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hedrickbrotherscom.sharepoint.com/sites/2024Projects/Shared Documents/24-606-01 Alton Hilltop at PBG/05c 100% CD Estimate (GMP)/03 EstSummary/"/>
    </mc:Choice>
  </mc:AlternateContent>
  <xr:revisionPtr revIDLastSave="4666" documentId="6_{C13B472B-A7B3-4063-BB47-A12FF5EF0649}" xr6:coauthVersionLast="47" xr6:coauthVersionMax="47" xr10:uidLastSave="{99A12BF5-5B8D-4356-9A72-DAA65EA11BCF}"/>
  <bookViews>
    <workbookView xWindow="-14340" yWindow="-16320" windowWidth="29040" windowHeight="15720" tabRatio="943" firstSheet="97" activeTab="110" xr2:uid="{00000000-000D-0000-FFFF-FFFF00000000}"/>
  </bookViews>
  <sheets>
    <sheet name="AREA CALC's" sheetId="144" r:id="rId1"/>
    <sheet name="Project Difference" sheetId="150" r:id="rId2"/>
    <sheet name="Bond Calculator" sheetId="39" r:id="rId3"/>
    <sheet name="Allowances" sheetId="49" r:id="rId4"/>
    <sheet name="Alternates" sheetId="47" r:id="rId5"/>
    <sheet name="GCS&amp;GRS HB" sheetId="154" state="hidden" r:id="rId6"/>
    <sheet name="GCs&amp;GRs-1" sheetId="153" r:id="rId7"/>
    <sheet name="GCs &amp; GRs" sheetId="142" state="hidden" r:id="rId8"/>
    <sheet name="Labor Rates Calculator" sheetId="141" r:id="rId9"/>
    <sheet name="Cost Summary" sheetId="20" r:id="rId10"/>
    <sheet name="IDS" sheetId="143" r:id="rId11"/>
    <sheet name="01A Surveying" sheetId="2" r:id="rId12"/>
    <sheet name="01B Material Testing" sheetId="51" r:id="rId13"/>
    <sheet name="01C Final Cleaning" sheetId="112" r:id="rId14"/>
    <sheet name="02A Demolition" sheetId="50" state="hidden" r:id="rId15"/>
    <sheet name="02B Abatement" sheetId="114" state="hidden" r:id="rId16"/>
    <sheet name="03A Concrete" sheetId="3" r:id="rId17"/>
    <sheet name="03B Precast Hollow Core" sheetId="140" state="hidden" r:id="rId18"/>
    <sheet name="03C Concrete Tilt Up" sheetId="52" state="hidden" r:id="rId19"/>
    <sheet name="03D Structural Precast" sheetId="53" state="hidden" r:id="rId20"/>
    <sheet name="03E Cranes and Hoisting" sheetId="115" state="hidden" r:id="rId21"/>
    <sheet name="03F Concrete Restoration" sheetId="116" state="hidden" r:id="rId22"/>
    <sheet name="04A Masonry" sheetId="55" state="hidden" r:id="rId23"/>
    <sheet name="03C Architectural Precast" sheetId="54" r:id="rId24"/>
    <sheet name="04B Stone Veneer" sheetId="32" r:id="rId25"/>
    <sheet name="05A Structural Steel" sheetId="4" state="hidden" r:id="rId26"/>
    <sheet name="05B Metal Trusses" sheetId="56" state="hidden" r:id="rId27"/>
    <sheet name="05C Misc. Metals" sheetId="57" r:id="rId28"/>
    <sheet name="Sheet1" sheetId="146" state="hidden" r:id="rId29"/>
    <sheet name="05D Handrailings &amp; Railings" sheetId="117" state="hidden" r:id="rId30"/>
    <sheet name="05E Glass Railings" sheetId="118" r:id="rId31"/>
    <sheet name="Rafters &amp; Brackets Clubhouse" sheetId="151" state="hidden" r:id="rId32"/>
    <sheet name="Rafter Tails &amp; Brackets" sheetId="149" state="hidden" r:id="rId33"/>
    <sheet name="Shutters Analysis" sheetId="148" state="hidden" r:id="rId34"/>
    <sheet name="05F Brackets &amp; Rafter Tails" sheetId="152" r:id="rId35"/>
    <sheet name="05G Balcony Columns" sheetId="147" state="hidden" r:id="rId36"/>
    <sheet name="06A Rough Carpentry" sheetId="58" r:id="rId37"/>
    <sheet name="06C Wood Trusses" sheetId="59" r:id="rId38"/>
    <sheet name="06D Interior Finish Carpentry" sheetId="60" r:id="rId39"/>
    <sheet name="06E Heavy Timber Construction" sheetId="61" state="hidden" r:id="rId40"/>
    <sheet name="06F Millwork" sheetId="5" r:id="rId41"/>
    <sheet name="06G Exterior Finish Carpent" sheetId="119" state="hidden" r:id="rId42"/>
    <sheet name="07B Building Insulation" sheetId="66" r:id="rId43"/>
    <sheet name="07C Fireproofing&amp;Firestopping" sheetId="38" r:id="rId44"/>
    <sheet name="07D Roofing" sheetId="7" r:id="rId45"/>
    <sheet name="07E Caulking &amp; Waterproofing" sheetId="6" r:id="rId46"/>
    <sheet name="07F Siding" sheetId="64" state="hidden" r:id="rId47"/>
    <sheet name="07H Panelized Exterior Skin" sheetId="63" state="hidden" r:id="rId48"/>
    <sheet name="08A Doors, Frames, &amp; Hardware" sheetId="8" r:id="rId49"/>
    <sheet name="08 30 Retractable Screens" sheetId="68" state="hidden" r:id="rId50"/>
    <sheet name="08B Overhead Coiling Doors" sheetId="29" r:id="rId51"/>
    <sheet name="08C Glass and Glazing" sheetId="9" r:id="rId52"/>
    <sheet name="08D Skylights" sheetId="120" state="hidden" r:id="rId53"/>
    <sheet name="08E Mirrors" sheetId="71" r:id="rId54"/>
    <sheet name="09A Stucco" sheetId="69" r:id="rId55"/>
    <sheet name="09C Acoustical Ceilings" sheetId="77" state="hidden" r:id="rId56"/>
    <sheet name="09D Acoustical Treatment" sheetId="121" state="hidden" r:id="rId57"/>
    <sheet name="09B Drywall&amp;Framing" sheetId="10" r:id="rId58"/>
    <sheet name="09F Carpet &amp; Resilient" sheetId="74" state="hidden" r:id="rId59"/>
    <sheet name="09G Wood Flooring" sheetId="73" state="hidden" r:id="rId60"/>
    <sheet name="09H Resinuous &amp; Polished C" sheetId="76" state="hidden" r:id="rId61"/>
    <sheet name="09E Flooring" sheetId="75" r:id="rId62"/>
    <sheet name="09I Painting" sheetId="30" r:id="rId63"/>
    <sheet name="09J Venetian Plaster" sheetId="122" state="hidden" r:id="rId64"/>
    <sheet name="10A Signage" sheetId="41" r:id="rId65"/>
    <sheet name="10B Operable Partitions" sheetId="123" state="hidden" r:id="rId66"/>
    <sheet name="10C Toilet Partitions &amp; Bath" sheetId="81" r:id="rId67"/>
    <sheet name="10 22 Operable Partitions" sheetId="82" state="hidden" r:id="rId68"/>
    <sheet name="10D Shower Enclosures" sheetId="80" r:id="rId69"/>
    <sheet name="10 30 Fireplace" sheetId="79" state="hidden" r:id="rId70"/>
    <sheet name="10E Wall &amp; Corner Guards" sheetId="83" state="hidden" r:id="rId71"/>
    <sheet name="10F Lockers" sheetId="87" state="hidden" r:id="rId72"/>
    <sheet name="10G Mesh Sto Lockers" sheetId="124" state="hidden" r:id="rId73"/>
    <sheet name="10H Fireplaces" sheetId="125" state="hidden" r:id="rId74"/>
    <sheet name="10I Fire Extinguishers&amp;Cabinet" sheetId="78" r:id="rId75"/>
    <sheet name="10J Postal Specialties" sheetId="86" r:id="rId76"/>
    <sheet name="10K Metal Shelving" sheetId="126" r:id="rId77"/>
    <sheet name="11 11 Laundry Equip." sheetId="85" state="hidden" r:id="rId78"/>
    <sheet name="11A Loading Dock Equip" sheetId="128" state="hidden" r:id="rId79"/>
    <sheet name="11B Food Service Equip" sheetId="89" state="hidden" r:id="rId80"/>
    <sheet name="11C Appliances" sheetId="84" r:id="rId81"/>
    <sheet name="12 30 Wall Protection" sheetId="92" state="hidden" r:id="rId82"/>
    <sheet name="11D Athletic Equipment&amp;Surf" sheetId="129" state="hidden" r:id="rId83"/>
    <sheet name="12A Window Treatment" sheetId="110" r:id="rId84"/>
    <sheet name="12B Residential Cabinets &amp; Tops" sheetId="136" r:id="rId85"/>
    <sheet name="13B Swimming Pools" sheetId="25" r:id="rId86"/>
    <sheet name="13C Awnings,Canopies,Shutters" sheetId="132" r:id="rId87"/>
    <sheet name="13D Saunas" sheetId="133" state="hidden" r:id="rId88"/>
    <sheet name="13E Playground Equip" sheetId="134" state="hidden" r:id="rId89"/>
    <sheet name="13F Shade Structures" sheetId="135" state="hidden" r:id="rId90"/>
    <sheet name="14A Elevators" sheetId="93" r:id="rId91"/>
    <sheet name="14B Chutes&amp;Collectors" sheetId="35" r:id="rId92"/>
    <sheet name="14C Elevator Interior&amp;Modern" sheetId="138" state="hidden" r:id="rId93"/>
    <sheet name="14D Wheelchair Lifts" sheetId="137" state="hidden" r:id="rId94"/>
    <sheet name="14E Vehicle Lifts" sheetId="94" state="hidden" r:id="rId95"/>
    <sheet name="14 80 Scaffolding" sheetId="90" state="hidden" r:id="rId96"/>
    <sheet name="21A Fire Sprinkler" sheetId="46" r:id="rId97"/>
    <sheet name="22A Plumbing " sheetId="95" r:id="rId98"/>
    <sheet name="23A HVAC" sheetId="16" r:id="rId99"/>
    <sheet name="26A Electrical" sheetId="13" r:id="rId100"/>
    <sheet name="27A Fire Alarm" sheetId="31" state="hidden" r:id="rId101"/>
    <sheet name="27B BDA" sheetId="145" r:id="rId102"/>
    <sheet name="28A Low Voltage" sheetId="17" r:id="rId103"/>
    <sheet name="31A Sitework" sheetId="14" r:id="rId104"/>
    <sheet name="31B Dewatering" sheetId="99" r:id="rId105"/>
    <sheet name="31D Soil Improvements" sheetId="100" r:id="rId106"/>
    <sheet name="31F Sheet Piling" sheetId="15" state="hidden" r:id="rId107"/>
    <sheet name="31G Auger Cast Piles" sheetId="139" state="hidden" r:id="rId108"/>
    <sheet name="32A Pavers" sheetId="102" r:id="rId109"/>
    <sheet name="32B Site Furnishings" sheetId="101" r:id="rId110"/>
    <sheet name="32C Landscape and Irrigation" sheetId="28" r:id="rId111"/>
    <sheet name="32D Fencing" sheetId="104" r:id="rId112"/>
    <sheet name="32E Synthetic Fields" sheetId="26" state="hidden" r:id="rId113"/>
    <sheet name="35A Marine Work" sheetId="36" state="hidden" r:id="rId114"/>
    <sheet name="41 22 Crane and Hoist" sheetId="109" state="hidden" r:id="rId115"/>
    <sheet name="SiteWorkPrices" sheetId="107" state="hidden" r:id="rId116"/>
    <sheet name="UnitPrices" sheetId="108" state="hidden" r:id="rId117"/>
  </sheets>
  <definedNames>
    <definedName name="FCP" localSheetId="2">'Bond Calculator'!$B$7</definedName>
    <definedName name="_xlnm.Print_Area" localSheetId="16">'03A Concrete'!$A$1:$Q$128</definedName>
    <definedName name="_xlnm.Print_Area" localSheetId="25">'05A Structural Steel'!$A$1:$G$82</definedName>
    <definedName name="_xlnm.Print_Area" localSheetId="40">'06F Millwork'!$A$1:$G$180</definedName>
    <definedName name="_xlnm.Print_Area" localSheetId="44">'07D Roofing'!$A$1:$G$106</definedName>
    <definedName name="_xlnm.Print_Area" localSheetId="45">'07E Caulking &amp; Waterproofing'!$A$1:$G$122</definedName>
    <definedName name="_xlnm.Print_Area" localSheetId="51">'08C Glass and Glazing'!$A$1:$G$154</definedName>
    <definedName name="_xlnm.Print_Area" localSheetId="57">'09B Drywall&amp;Framing'!$A$1:$G$103</definedName>
    <definedName name="_xlnm.Print_Area" localSheetId="84">'12B Residential Cabinets &amp; Tops'!$A$1:$G$82</definedName>
    <definedName name="_xlnm.Print_Area" localSheetId="85">'13B Swimming Pools'!$A$1:$G$77</definedName>
    <definedName name="_xlnm.Print_Area" localSheetId="86">'13C Awnings,Canopies,Shutters'!$A$1:$G$109</definedName>
    <definedName name="_xlnm.Print_Area" localSheetId="87">'13D Saunas'!$A$1:$G$78</definedName>
    <definedName name="_xlnm.Print_Area" localSheetId="88">'13E Playground Equip'!$A$1:$G$78</definedName>
    <definedName name="_xlnm.Print_Area" localSheetId="89">'13F Shade Structures'!$A$1:$G$77</definedName>
    <definedName name="_xlnm.Print_Area" localSheetId="98">'23A HVAC'!$A$1:$AT$78</definedName>
    <definedName name="_xlnm.Print_Area" localSheetId="99">'26A Electrical'!$A$1:$AM$131</definedName>
    <definedName name="_xlnm.Print_Area" localSheetId="102">'28A Low Voltage'!$A$1:$G$107</definedName>
    <definedName name="_xlnm.Print_Area" localSheetId="103">'31A Sitework'!$A$1:$G$234</definedName>
    <definedName name="_xlnm.Print_Area" localSheetId="106">'31F Sheet Piling'!$A$1:$G$72</definedName>
    <definedName name="_xlnm.Print_Area" localSheetId="107">'31G Auger Cast Piles'!$A$1:$G$72</definedName>
    <definedName name="_xlnm.Print_Area" localSheetId="112">'32E Synthetic Fields'!$A$1:$G$106</definedName>
    <definedName name="_xlnm.Print_Area" localSheetId="3">Allowances!$A$1:$C$23</definedName>
    <definedName name="_xlnm.Print_Area" localSheetId="9">'Cost Summary'!$B$3:$V$100</definedName>
    <definedName name="_xlnm.Print_Area" localSheetId="7">'GCs &amp; GRs'!$A$1:$O$149</definedName>
    <definedName name="_xlnm.Print_Titles" localSheetId="9">'Cost Summary'!$2:$11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1" i="16" l="1"/>
  <c r="O48" i="80"/>
  <c r="O50" i="80" s="1"/>
  <c r="Y60" i="86"/>
  <c r="W60" i="86"/>
  <c r="M87" i="69"/>
  <c r="I106" i="8"/>
  <c r="H9" i="8"/>
  <c r="T8" i="60"/>
  <c r="I35" i="8"/>
  <c r="L8" i="17"/>
  <c r="U51" i="81"/>
  <c r="U39" i="81"/>
  <c r="I122" i="8"/>
  <c r="I34" i="60"/>
  <c r="O48" i="81"/>
  <c r="O40" i="81"/>
  <c r="O39" i="81"/>
  <c r="O36" i="81"/>
  <c r="Y132" i="8"/>
  <c r="W132" i="8"/>
  <c r="Y131" i="8"/>
  <c r="Y130" i="8"/>
  <c r="Y122" i="8"/>
  <c r="Y35" i="8"/>
  <c r="Y109" i="8" s="1"/>
  <c r="X9" i="8"/>
  <c r="M38" i="8"/>
  <c r="W35" i="8"/>
  <c r="W122" i="8"/>
  <c r="M53" i="71"/>
  <c r="M36" i="81"/>
  <c r="M39" i="81"/>
  <c r="M48" i="81"/>
  <c r="M40" i="81"/>
  <c r="K34" i="60"/>
  <c r="M84" i="8"/>
  <c r="M73" i="8"/>
  <c r="M71" i="8"/>
  <c r="M54" i="8"/>
  <c r="M52" i="8"/>
  <c r="Q59" i="57"/>
  <c r="S51" i="81"/>
  <c r="S36" i="78"/>
  <c r="W160" i="13"/>
  <c r="B79" i="145"/>
  <c r="B78" i="145"/>
  <c r="B77" i="145"/>
  <c r="B76" i="145"/>
  <c r="B75" i="145"/>
  <c r="S81" i="16"/>
  <c r="S85" i="16" s="1"/>
  <c r="M40" i="17"/>
  <c r="M47" i="17"/>
  <c r="M48" i="17"/>
  <c r="M56" i="17"/>
  <c r="M60" i="6"/>
  <c r="O33" i="104"/>
  <c r="I49" i="58"/>
  <c r="G49" i="58"/>
  <c r="M160" i="13"/>
  <c r="M134" i="75"/>
  <c r="V9" i="8"/>
  <c r="M47" i="75"/>
  <c r="M127" i="75" s="1"/>
  <c r="Q160" i="13"/>
  <c r="O81" i="16"/>
  <c r="Q81" i="16"/>
  <c r="AC80" i="16"/>
  <c r="AC81" i="16" s="1"/>
  <c r="AA81" i="16"/>
  <c r="F58" i="20"/>
  <c r="F57" i="20"/>
  <c r="M88" i="59"/>
  <c r="B107" i="59"/>
  <c r="M31" i="59"/>
  <c r="M67" i="59"/>
  <c r="O41" i="38"/>
  <c r="Q54" i="17"/>
  <c r="O63" i="38"/>
  <c r="O46" i="38"/>
  <c r="Q57" i="32"/>
  <c r="U34" i="7"/>
  <c r="U76" i="7"/>
  <c r="K114" i="6"/>
  <c r="K48" i="17"/>
  <c r="K40" i="17"/>
  <c r="K55" i="6"/>
  <c r="O45" i="29"/>
  <c r="K56" i="17"/>
  <c r="O77" i="6"/>
  <c r="O67" i="6"/>
  <c r="O53" i="6"/>
  <c r="U49" i="57"/>
  <c r="U48" i="57"/>
  <c r="U36" i="57"/>
  <c r="Q35" i="132"/>
  <c r="Q87" i="132"/>
  <c r="P9" i="132"/>
  <c r="M87" i="132"/>
  <c r="O104" i="152"/>
  <c r="K69" i="57"/>
  <c r="Q51" i="81"/>
  <c r="M51" i="81"/>
  <c r="K51" i="81"/>
  <c r="K88" i="32"/>
  <c r="E113" i="32"/>
  <c r="B112" i="32"/>
  <c r="B111" i="32"/>
  <c r="B110" i="32"/>
  <c r="B109" i="32"/>
  <c r="K58" i="32"/>
  <c r="C113" i="32" s="1"/>
  <c r="K57" i="32"/>
  <c r="O202" i="14"/>
  <c r="B128" i="69"/>
  <c r="M129" i="75"/>
  <c r="U104" i="152"/>
  <c r="S87" i="132"/>
  <c r="P49" i="57"/>
  <c r="Q94" i="57"/>
  <c r="S145" i="9"/>
  <c r="C21" i="49"/>
  <c r="C19" i="49"/>
  <c r="S79" i="152"/>
  <c r="S76" i="152"/>
  <c r="S70" i="152"/>
  <c r="S64" i="152"/>
  <c r="S58" i="152"/>
  <c r="S52" i="152"/>
  <c r="S46" i="152"/>
  <c r="S40" i="152"/>
  <c r="S104" i="152"/>
  <c r="S125" i="9"/>
  <c r="B130" i="6"/>
  <c r="B129" i="6"/>
  <c r="B128" i="6"/>
  <c r="B127" i="6"/>
  <c r="S140" i="9"/>
  <c r="S72" i="9"/>
  <c r="Q123" i="9"/>
  <c r="M75" i="71"/>
  <c r="M123" i="75"/>
  <c r="M145" i="9"/>
  <c r="B4" i="28"/>
  <c r="K80" i="28"/>
  <c r="K63" i="28"/>
  <c r="S47" i="75"/>
  <c r="S102" i="75" s="1"/>
  <c r="S126" i="75"/>
  <c r="AL81" i="16"/>
  <c r="AA102" i="75"/>
  <c r="Z8" i="75" s="1"/>
  <c r="Q202" i="14"/>
  <c r="Y74" i="69"/>
  <c r="Y71" i="69"/>
  <c r="Y53" i="69"/>
  <c r="Y46" i="69"/>
  <c r="Y88" i="69"/>
  <c r="M58" i="75"/>
  <c r="M49" i="75"/>
  <c r="M128" i="75" s="1"/>
  <c r="O46" i="145"/>
  <c r="U160" i="13"/>
  <c r="M53" i="101"/>
  <c r="U36" i="78"/>
  <c r="U37" i="78"/>
  <c r="U36" i="81"/>
  <c r="AM46" i="136"/>
  <c r="AM38" i="136"/>
  <c r="Q38" i="136"/>
  <c r="U111" i="95"/>
  <c r="U112" i="95"/>
  <c r="U117" i="95"/>
  <c r="U94" i="95"/>
  <c r="U89" i="95"/>
  <c r="M59" i="101"/>
  <c r="M58" i="101"/>
  <c r="M56" i="101"/>
  <c r="M55" i="101"/>
  <c r="M38" i="101"/>
  <c r="M49" i="101"/>
  <c r="M48" i="101"/>
  <c r="M51" i="101"/>
  <c r="P11" i="71"/>
  <c r="P10" i="71"/>
  <c r="N11" i="71"/>
  <c r="N10" i="71"/>
  <c r="M60" i="86"/>
  <c r="B87" i="80"/>
  <c r="B86" i="80"/>
  <c r="B85" i="80"/>
  <c r="B84" i="80"/>
  <c r="I77" i="81"/>
  <c r="B94" i="81"/>
  <c r="B93" i="81"/>
  <c r="B92" i="81"/>
  <c r="B91" i="81"/>
  <c r="B89" i="71"/>
  <c r="B90" i="71"/>
  <c r="B91" i="71"/>
  <c r="B92" i="71"/>
  <c r="O50" i="71"/>
  <c r="U50" i="71" s="1"/>
  <c r="U53" i="71" s="1"/>
  <c r="I73" i="5"/>
  <c r="O73" i="5"/>
  <c r="M73" i="5" s="1"/>
  <c r="O71" i="5"/>
  <c r="M71" i="5" s="1"/>
  <c r="M49" i="5"/>
  <c r="M42" i="5"/>
  <c r="Q49" i="110"/>
  <c r="K55" i="78"/>
  <c r="K36" i="78"/>
  <c r="I39" i="81"/>
  <c r="I49" i="81"/>
  <c r="K48" i="80"/>
  <c r="I53" i="71"/>
  <c r="B105" i="126"/>
  <c r="B104" i="126"/>
  <c r="B102" i="126"/>
  <c r="B103" i="126"/>
  <c r="Q33" i="126"/>
  <c r="K57" i="126"/>
  <c r="D61" i="126"/>
  <c r="G61" i="126" s="1"/>
  <c r="O61" i="126" s="1"/>
  <c r="D60" i="126"/>
  <c r="G60" i="126" s="1"/>
  <c r="O60" i="126" s="1"/>
  <c r="D59" i="126"/>
  <c r="G59" i="126" s="1"/>
  <c r="O59" i="126" s="1"/>
  <c r="D58" i="126"/>
  <c r="G58" i="126" s="1"/>
  <c r="O58" i="126" s="1"/>
  <c r="Q66" i="126"/>
  <c r="U53" i="136"/>
  <c r="O88" i="32"/>
  <c r="M52" i="32"/>
  <c r="M45" i="32"/>
  <c r="O123" i="9"/>
  <c r="O125" i="9"/>
  <c r="W34" i="28"/>
  <c r="U88" i="69"/>
  <c r="O39" i="136"/>
  <c r="O87" i="136"/>
  <c r="O83" i="136"/>
  <c r="O61" i="136"/>
  <c r="I109" i="8"/>
  <c r="K38" i="3"/>
  <c r="K129" i="3" s="1"/>
  <c r="U40" i="66"/>
  <c r="U79" i="66" s="1"/>
  <c r="W87" i="132"/>
  <c r="K33" i="46"/>
  <c r="K73" i="46" s="1"/>
  <c r="S94" i="57"/>
  <c r="S52" i="57"/>
  <c r="S48" i="57"/>
  <c r="S41" i="57"/>
  <c r="S69" i="57" s="1"/>
  <c r="I79" i="152"/>
  <c r="I76" i="152"/>
  <c r="I70" i="152"/>
  <c r="I64" i="152"/>
  <c r="I58" i="152"/>
  <c r="I52" i="152"/>
  <c r="I46" i="152"/>
  <c r="I41" i="152"/>
  <c r="W89" i="132"/>
  <c r="K129" i="152"/>
  <c r="Y78" i="132"/>
  <c r="Y69" i="132"/>
  <c r="Y53" i="132"/>
  <c r="Y63" i="132"/>
  <c r="Y40" i="132"/>
  <c r="M88" i="69"/>
  <c r="O53" i="69"/>
  <c r="O46" i="69"/>
  <c r="O88" i="69" s="1"/>
  <c r="M123" i="9"/>
  <c r="M125" i="9"/>
  <c r="M127" i="9"/>
  <c r="L8" i="9" s="1"/>
  <c r="M128" i="9"/>
  <c r="M129" i="9"/>
  <c r="O48" i="57"/>
  <c r="Q86" i="136"/>
  <c r="Q61" i="136"/>
  <c r="S57" i="32"/>
  <c r="M58" i="32"/>
  <c r="M88" i="32" s="1"/>
  <c r="M91" i="32"/>
  <c r="M89" i="32"/>
  <c r="M90" i="32"/>
  <c r="M92" i="32"/>
  <c r="M61" i="32"/>
  <c r="W202" i="14"/>
  <c r="L10" i="154"/>
  <c r="M38" i="104"/>
  <c r="AC127" i="8"/>
  <c r="K58" i="60"/>
  <c r="M98" i="8"/>
  <c r="M109" i="8"/>
  <c r="W109" i="8"/>
  <c r="B160" i="75"/>
  <c r="B159" i="75"/>
  <c r="B158" i="75"/>
  <c r="B157" i="75"/>
  <c r="U56" i="32"/>
  <c r="S56" i="32"/>
  <c r="M67" i="93"/>
  <c r="M60" i="93"/>
  <c r="Q61" i="93"/>
  <c r="K61" i="93"/>
  <c r="M68" i="93"/>
  <c r="M61" i="93"/>
  <c r="M53" i="93"/>
  <c r="M54" i="93"/>
  <c r="M77" i="93"/>
  <c r="B106" i="59"/>
  <c r="B105" i="59"/>
  <c r="B104" i="59"/>
  <c r="B103" i="59"/>
  <c r="K58" i="75"/>
  <c r="K49" i="75"/>
  <c r="O61" i="75"/>
  <c r="O116" i="3"/>
  <c r="K202" i="14"/>
  <c r="M97" i="7"/>
  <c r="M76" i="7"/>
  <c r="O92" i="46"/>
  <c r="O91" i="46"/>
  <c r="O90" i="46"/>
  <c r="O66" i="10"/>
  <c r="M66" i="10"/>
  <c r="I66" i="10"/>
  <c r="K66" i="10"/>
  <c r="B119" i="35"/>
  <c r="B118" i="35"/>
  <c r="B117" i="35"/>
  <c r="B116" i="35"/>
  <c r="O74" i="35"/>
  <c r="O65" i="35"/>
  <c r="O66" i="35"/>
  <c r="O67" i="35"/>
  <c r="O68" i="35"/>
  <c r="O52" i="35"/>
  <c r="O53" i="35"/>
  <c r="O54" i="35"/>
  <c r="O55" i="35"/>
  <c r="O43" i="35"/>
  <c r="O42" i="35"/>
  <c r="O41" i="35"/>
  <c r="O40" i="35"/>
  <c r="AA79" i="69"/>
  <c r="Q81" i="69"/>
  <c r="AA81" i="69" s="1"/>
  <c r="Q82" i="69"/>
  <c r="AA82" i="69" s="1"/>
  <c r="Q83" i="69"/>
  <c r="AA83" i="69" s="1"/>
  <c r="Q80" i="69"/>
  <c r="AA80" i="69" s="1"/>
  <c r="K76" i="7"/>
  <c r="Q126" i="75"/>
  <c r="U133" i="75"/>
  <c r="U130" i="75"/>
  <c r="U132" i="75"/>
  <c r="K68" i="93"/>
  <c r="K54" i="93"/>
  <c r="K60" i="136"/>
  <c r="K38" i="136"/>
  <c r="K39" i="136"/>
  <c r="K77" i="93"/>
  <c r="Q68" i="93"/>
  <c r="Q54" i="93"/>
  <c r="W62" i="57"/>
  <c r="W49" i="57"/>
  <c r="W52" i="57"/>
  <c r="W41" i="57"/>
  <c r="Q77" i="93"/>
  <c r="U44" i="14"/>
  <c r="M41" i="3"/>
  <c r="M46" i="3"/>
  <c r="K33" i="104"/>
  <c r="O68" i="46"/>
  <c r="O73" i="46"/>
  <c r="AG123" i="75"/>
  <c r="AG125" i="75"/>
  <c r="AI102" i="75"/>
  <c r="S68" i="30"/>
  <c r="S64" i="30"/>
  <c r="S65" i="30"/>
  <c r="S73" i="30"/>
  <c r="U94" i="102"/>
  <c r="Q40" i="28"/>
  <c r="Q53" i="28"/>
  <c r="Q63" i="28"/>
  <c r="W71" i="69"/>
  <c r="W74" i="69"/>
  <c r="W46" i="69"/>
  <c r="W53" i="69"/>
  <c r="W88" i="69"/>
  <c r="S94" i="95"/>
  <c r="S89" i="95"/>
  <c r="O77" i="93"/>
  <c r="AA109" i="8"/>
  <c r="AA111" i="8" s="1"/>
  <c r="AA127" i="8"/>
  <c r="Q46" i="32"/>
  <c r="Q72" i="30"/>
  <c r="M72" i="30"/>
  <c r="AC131" i="75"/>
  <c r="AC53" i="75"/>
  <c r="AC51" i="75"/>
  <c r="Q47" i="75"/>
  <c r="O50" i="7"/>
  <c r="O76" i="7"/>
  <c r="Y83" i="16" l="1"/>
  <c r="Y85" i="16" s="1"/>
  <c r="O52" i="80"/>
  <c r="O53" i="80"/>
  <c r="O54" i="80"/>
  <c r="N8" i="80"/>
  <c r="Y62" i="86"/>
  <c r="Y64" i="86" s="1"/>
  <c r="W62" i="86"/>
  <c r="W64" i="86" s="1"/>
  <c r="Y111" i="8"/>
  <c r="Y113" i="8" s="1"/>
  <c r="W162" i="13"/>
  <c r="W164" i="13" s="1"/>
  <c r="S86" i="16"/>
  <c r="S87" i="16"/>
  <c r="R8" i="16"/>
  <c r="M162" i="13"/>
  <c r="M164" i="13" s="1"/>
  <c r="M77" i="17"/>
  <c r="M79" i="17" s="1"/>
  <c r="M81" i="17" s="1"/>
  <c r="W65" i="20" s="1"/>
  <c r="K102" i="75"/>
  <c r="Q162" i="13"/>
  <c r="Q164" i="13" s="1"/>
  <c r="AC83" i="16"/>
  <c r="AC85" i="16" s="1"/>
  <c r="AA83" i="16"/>
  <c r="AA85" i="16" s="1"/>
  <c r="F56" i="20"/>
  <c r="Q57" i="20"/>
  <c r="Q58" i="20"/>
  <c r="O48" i="38"/>
  <c r="O50" i="38" s="1"/>
  <c r="U78" i="7"/>
  <c r="U80" i="7" s="1"/>
  <c r="O47" i="29"/>
  <c r="O49" i="29" s="1"/>
  <c r="Q89" i="132"/>
  <c r="Q91" i="132" s="1"/>
  <c r="M89" i="132"/>
  <c r="M91" i="132" s="1"/>
  <c r="M102" i="75"/>
  <c r="M104" i="75" s="1"/>
  <c r="M106" i="75" s="1"/>
  <c r="S89" i="132"/>
  <c r="S91" i="132" s="1"/>
  <c r="Q125" i="9"/>
  <c r="Q127" i="9" s="1"/>
  <c r="K65" i="28"/>
  <c r="K67" i="28" s="1"/>
  <c r="S104" i="75"/>
  <c r="S106" i="75" s="1"/>
  <c r="AL83" i="16"/>
  <c r="AL85" i="16" s="1"/>
  <c r="AA104" i="75"/>
  <c r="AA106" i="75" s="1"/>
  <c r="Q204" i="14"/>
  <c r="Q206" i="14" s="1"/>
  <c r="Y90" i="69"/>
  <c r="Y92" i="69" s="1"/>
  <c r="K88" i="6"/>
  <c r="U162" i="13"/>
  <c r="U164" i="13" s="1"/>
  <c r="M62" i="86"/>
  <c r="M64" i="86" s="1"/>
  <c r="Q51" i="110"/>
  <c r="Q53" i="110" s="1"/>
  <c r="K57" i="78"/>
  <c r="K59" i="78" s="1"/>
  <c r="K50" i="80"/>
  <c r="K52" i="80" s="1"/>
  <c r="J8" i="80" s="1"/>
  <c r="B88" i="80" s="1"/>
  <c r="I55" i="71"/>
  <c r="I57" i="71" s="1"/>
  <c r="Q68" i="126"/>
  <c r="Q70" i="126" s="1"/>
  <c r="O127" i="9"/>
  <c r="C161" i="75"/>
  <c r="Q102" i="75"/>
  <c r="Y102" i="75"/>
  <c r="U90" i="69"/>
  <c r="U92" i="69" s="1"/>
  <c r="O63" i="136"/>
  <c r="O65" i="136" s="1"/>
  <c r="I111" i="8"/>
  <c r="I113" i="8" s="1"/>
  <c r="K131" i="3"/>
  <c r="K133" i="3" s="1"/>
  <c r="U81" i="66"/>
  <c r="U83" i="66" s="1"/>
  <c r="K75" i="46"/>
  <c r="K77" i="46" s="1"/>
  <c r="W91" i="132"/>
  <c r="V8" i="132" s="1"/>
  <c r="K104" i="152"/>
  <c r="O90" i="69"/>
  <c r="O92" i="69" s="1"/>
  <c r="AA88" i="69"/>
  <c r="M90" i="69"/>
  <c r="M92" i="69" s="1"/>
  <c r="L8" i="69" s="1"/>
  <c r="Q63" i="136"/>
  <c r="Q65" i="136" s="1"/>
  <c r="S58" i="32"/>
  <c r="O71" i="32"/>
  <c r="W204" i="14"/>
  <c r="W206" i="14"/>
  <c r="M111" i="8"/>
  <c r="M113" i="8" s="1"/>
  <c r="O73" i="32"/>
  <c r="O75" i="32" s="1"/>
  <c r="M79" i="93"/>
  <c r="M81" i="93" s="1"/>
  <c r="K104" i="75"/>
  <c r="K106" i="75" s="1"/>
  <c r="J8" i="75" s="1"/>
  <c r="O129" i="3"/>
  <c r="K204" i="14"/>
  <c r="K206" i="14" s="1"/>
  <c r="M78" i="7"/>
  <c r="M80" i="7" s="1"/>
  <c r="O80" i="35"/>
  <c r="K78" i="7"/>
  <c r="K80" i="7" s="1"/>
  <c r="K79" i="93"/>
  <c r="K81" i="93" s="1"/>
  <c r="Q79" i="93"/>
  <c r="Q81" i="93" s="1"/>
  <c r="O75" i="46"/>
  <c r="O77" i="46" s="1"/>
  <c r="AI104" i="75"/>
  <c r="AI106" i="75" s="1"/>
  <c r="S75" i="30"/>
  <c r="S77" i="30" s="1"/>
  <c r="U96" i="102"/>
  <c r="U98" i="102" s="1"/>
  <c r="Q65" i="28"/>
  <c r="Q67" i="28" s="1"/>
  <c r="W90" i="69"/>
  <c r="W92" i="69" s="1"/>
  <c r="AA113" i="8"/>
  <c r="O78" i="7"/>
  <c r="O80" i="7" s="1"/>
  <c r="X8" i="16" l="1"/>
  <c r="Y86" i="16"/>
  <c r="Y87" i="16"/>
  <c r="Y65" i="86"/>
  <c r="Y66" i="86"/>
  <c r="X8" i="86"/>
  <c r="W65" i="86"/>
  <c r="W66" i="86"/>
  <c r="V8" i="86"/>
  <c r="Y115" i="8"/>
  <c r="Y114" i="8"/>
  <c r="X8" i="8"/>
  <c r="X10" i="8" s="1"/>
  <c r="W166" i="13"/>
  <c r="W165" i="13"/>
  <c r="V8" i="13"/>
  <c r="M166" i="13"/>
  <c r="M165" i="13"/>
  <c r="L8" i="13"/>
  <c r="M82" i="17"/>
  <c r="M83" i="17"/>
  <c r="Q166" i="13"/>
  <c r="Q165" i="13"/>
  <c r="P8" i="13"/>
  <c r="AC87" i="16"/>
  <c r="AC86" i="16"/>
  <c r="AB8" i="16"/>
  <c r="AA87" i="16"/>
  <c r="AA86" i="16"/>
  <c r="Z8" i="16"/>
  <c r="O52" i="38"/>
  <c r="O51" i="38"/>
  <c r="N8" i="38"/>
  <c r="U82" i="7"/>
  <c r="U81" i="7"/>
  <c r="T8" i="7"/>
  <c r="O51" i="29"/>
  <c r="O50" i="29"/>
  <c r="N8" i="29"/>
  <c r="Q93" i="132"/>
  <c r="Q92" i="132"/>
  <c r="P8" i="132"/>
  <c r="M93" i="132"/>
  <c r="M92" i="132"/>
  <c r="L8" i="132"/>
  <c r="S92" i="132"/>
  <c r="S93" i="132"/>
  <c r="R8" i="132"/>
  <c r="Q129" i="9"/>
  <c r="Q128" i="9"/>
  <c r="P8" i="9"/>
  <c r="K69" i="28"/>
  <c r="K68" i="28"/>
  <c r="J8" i="28"/>
  <c r="S108" i="75"/>
  <c r="S107" i="75"/>
  <c r="R8" i="75"/>
  <c r="S119" i="75" s="1"/>
  <c r="AL87" i="16"/>
  <c r="AL86" i="16"/>
  <c r="AK8" i="16"/>
  <c r="AA108" i="75"/>
  <c r="AA107" i="75"/>
  <c r="Q208" i="14"/>
  <c r="Q207" i="14"/>
  <c r="P8" i="14"/>
  <c r="X8" i="69"/>
  <c r="M108" i="75"/>
  <c r="M107" i="75"/>
  <c r="L8" i="75"/>
  <c r="M119" i="75" s="1"/>
  <c r="K90" i="6"/>
  <c r="K92" i="6" s="1"/>
  <c r="U166" i="13"/>
  <c r="U165" i="13"/>
  <c r="T8" i="13"/>
  <c r="M66" i="86"/>
  <c r="M65" i="86"/>
  <c r="L8" i="86"/>
  <c r="H11" i="71" s="1"/>
  <c r="Q55" i="110"/>
  <c r="Q54" i="110"/>
  <c r="P8" i="110"/>
  <c r="K61" i="78"/>
  <c r="K60" i="78"/>
  <c r="J8" i="78"/>
  <c r="K54" i="80"/>
  <c r="K53" i="80"/>
  <c r="I59" i="71"/>
  <c r="I58" i="71"/>
  <c r="H8" i="71"/>
  <c r="Q72" i="126"/>
  <c r="Q71" i="126"/>
  <c r="P8" i="126"/>
  <c r="O128" i="9"/>
  <c r="O129" i="9"/>
  <c r="N8" i="9"/>
  <c r="Y104" i="75"/>
  <c r="Y106" i="75" s="1"/>
  <c r="X8" i="75"/>
  <c r="T8" i="69"/>
  <c r="O67" i="136"/>
  <c r="O66" i="136"/>
  <c r="N8" i="136"/>
  <c r="I115" i="8"/>
  <c r="I114" i="8"/>
  <c r="H8" i="8"/>
  <c r="K135" i="3"/>
  <c r="K134" i="3"/>
  <c r="J8" i="3"/>
  <c r="U85" i="66"/>
  <c r="U84" i="66"/>
  <c r="T8" i="66"/>
  <c r="K78" i="46"/>
  <c r="K79" i="46"/>
  <c r="J8" i="46"/>
  <c r="W92" i="132"/>
  <c r="W93" i="132"/>
  <c r="N8" i="69"/>
  <c r="Q67" i="136"/>
  <c r="Q66" i="136"/>
  <c r="P8" i="136"/>
  <c r="W207" i="14"/>
  <c r="W208" i="14"/>
  <c r="V8" i="14"/>
  <c r="M115" i="8"/>
  <c r="M114" i="8"/>
  <c r="L8" i="8"/>
  <c r="J9" i="60" s="1"/>
  <c r="O77" i="32"/>
  <c r="O76" i="32"/>
  <c r="N8" i="32"/>
  <c r="M83" i="93"/>
  <c r="M82" i="93"/>
  <c r="L8" i="93"/>
  <c r="K108" i="75"/>
  <c r="K107" i="75"/>
  <c r="O131" i="3"/>
  <c r="O133" i="3" s="1"/>
  <c r="K208" i="14"/>
  <c r="K207" i="14"/>
  <c r="J8" i="14"/>
  <c r="M82" i="7"/>
  <c r="M81" i="7"/>
  <c r="L8" i="7"/>
  <c r="O82" i="35"/>
  <c r="O84" i="35" s="1"/>
  <c r="K82" i="7"/>
  <c r="K81" i="7"/>
  <c r="J8" i="7"/>
  <c r="K83" i="93"/>
  <c r="K82" i="93"/>
  <c r="J8" i="93"/>
  <c r="Q83" i="93"/>
  <c r="Q82" i="93"/>
  <c r="P8" i="93"/>
  <c r="O79" i="46"/>
  <c r="O78" i="46"/>
  <c r="N8" i="46"/>
  <c r="AI108" i="75"/>
  <c r="AI107" i="75"/>
  <c r="AH8" i="75"/>
  <c r="S79" i="30"/>
  <c r="S78" i="30"/>
  <c r="R9" i="30"/>
  <c r="U100" i="102"/>
  <c r="U99" i="102"/>
  <c r="T8" i="102"/>
  <c r="Q69" i="28"/>
  <c r="Q68" i="28"/>
  <c r="P8" i="28"/>
  <c r="V8" i="69"/>
  <c r="AA114" i="8"/>
  <c r="AA115" i="8"/>
  <c r="Z8" i="8"/>
  <c r="Z10" i="8" s="1"/>
  <c r="N8" i="7"/>
  <c r="O81" i="7"/>
  <c r="O82" i="7"/>
  <c r="O51" i="81" l="1"/>
  <c r="O56" i="81" s="1"/>
  <c r="O58" i="81" s="1"/>
  <c r="O60" i="81" s="1"/>
  <c r="I51" i="81"/>
  <c r="H10" i="71"/>
  <c r="H10" i="8"/>
  <c r="T9" i="60"/>
  <c r="J10" i="57"/>
  <c r="N9" i="152"/>
  <c r="P10" i="132"/>
  <c r="R9" i="152"/>
  <c r="R10" i="132"/>
  <c r="T9" i="152"/>
  <c r="P10" i="57"/>
  <c r="K93" i="6"/>
  <c r="K94" i="6"/>
  <c r="J8" i="6"/>
  <c r="B131" i="6" s="1"/>
  <c r="Y108" i="75"/>
  <c r="Y107" i="75"/>
  <c r="O135" i="3"/>
  <c r="O134" i="3"/>
  <c r="N8" i="3"/>
  <c r="O85" i="35"/>
  <c r="O86" i="35"/>
  <c r="N8" i="35"/>
  <c r="B120" i="35" s="1"/>
  <c r="M68" i="30"/>
  <c r="M50" i="30"/>
  <c r="M73" i="30" s="1"/>
  <c r="S63" i="38"/>
  <c r="S41" i="38"/>
  <c r="AK39" i="136"/>
  <c r="AK38" i="136"/>
  <c r="AK60" i="136"/>
  <c r="W131" i="8"/>
  <c r="W130" i="8"/>
  <c r="O88" i="59"/>
  <c r="O67" i="59"/>
  <c r="W39" i="136"/>
  <c r="W38" i="136"/>
  <c r="W46" i="136"/>
  <c r="BE61" i="136"/>
  <c r="Q23" i="145"/>
  <c r="AC130" i="75"/>
  <c r="Q79" i="20"/>
  <c r="L60" i="142"/>
  <c r="I60" i="142"/>
  <c r="S88" i="69"/>
  <c r="Q104" i="75"/>
  <c r="Q106" i="75" s="1"/>
  <c r="W61" i="75"/>
  <c r="AC61" i="75"/>
  <c r="AE46" i="75"/>
  <c r="AE91" i="75"/>
  <c r="AA34" i="30"/>
  <c r="AN81" i="16"/>
  <c r="S97" i="7"/>
  <c r="S40" i="7"/>
  <c r="S42" i="7"/>
  <c r="S43" i="7"/>
  <c r="S44" i="7"/>
  <c r="S45" i="7"/>
  <c r="AG202" i="14"/>
  <c r="S34" i="60"/>
  <c r="O48" i="54"/>
  <c r="G59" i="101"/>
  <c r="K59" i="101" s="1"/>
  <c r="Y64" i="7"/>
  <c r="Y40" i="7"/>
  <c r="I34" i="7"/>
  <c r="B243" i="14"/>
  <c r="B242" i="14"/>
  <c r="B241" i="14"/>
  <c r="B240" i="14"/>
  <c r="I74" i="14"/>
  <c r="I202" i="14" s="1"/>
  <c r="M74" i="14"/>
  <c r="O74" i="14"/>
  <c r="B116" i="17"/>
  <c r="B115" i="17"/>
  <c r="B114" i="17"/>
  <c r="B113" i="17"/>
  <c r="M87" i="136"/>
  <c r="M83" i="136"/>
  <c r="AI51" i="136"/>
  <c r="AK51" i="136" s="1"/>
  <c r="M61" i="136"/>
  <c r="M49" i="110"/>
  <c r="B101" i="101"/>
  <c r="B100" i="101"/>
  <c r="B99" i="101"/>
  <c r="B98" i="101"/>
  <c r="D58" i="101"/>
  <c r="G58" i="101"/>
  <c r="I58" i="101" s="1"/>
  <c r="K58" i="101" s="1"/>
  <c r="S46" i="17"/>
  <c r="O54" i="17"/>
  <c r="C19" i="47"/>
  <c r="O46" i="100"/>
  <c r="O48" i="100" s="1"/>
  <c r="O50" i="100" s="1"/>
  <c r="AE88" i="69"/>
  <c r="AM96" i="75"/>
  <c r="AM88" i="75"/>
  <c r="AM57" i="75"/>
  <c r="W35" i="17"/>
  <c r="W36" i="17"/>
  <c r="B127" i="69"/>
  <c r="B126" i="69"/>
  <c r="B125" i="69"/>
  <c r="B124" i="69"/>
  <c r="Q68" i="144"/>
  <c r="Q66" i="144"/>
  <c r="Q81" i="20"/>
  <c r="B199" i="13"/>
  <c r="B198" i="13"/>
  <c r="B197" i="13"/>
  <c r="B196" i="13"/>
  <c r="N4" i="144"/>
  <c r="L4" i="144"/>
  <c r="K79" i="144"/>
  <c r="Q90" i="20"/>
  <c r="K160" i="13"/>
  <c r="K162" i="13" s="1"/>
  <c r="K164" i="13" s="1"/>
  <c r="O73" i="30"/>
  <c r="F81" i="20"/>
  <c r="D55" i="126"/>
  <c r="G55" i="126"/>
  <c r="I55" i="126" s="1"/>
  <c r="D49" i="126"/>
  <c r="D48" i="126"/>
  <c r="D45" i="126"/>
  <c r="D51" i="126"/>
  <c r="D53" i="126"/>
  <c r="D52" i="126"/>
  <c r="D50" i="126"/>
  <c r="D44" i="126"/>
  <c r="D47" i="126"/>
  <c r="D46" i="126"/>
  <c r="D43" i="126"/>
  <c r="G53" i="126"/>
  <c r="I53" i="126" s="1"/>
  <c r="G52" i="126"/>
  <c r="I52" i="126" s="1"/>
  <c r="G51" i="126"/>
  <c r="I51" i="126" s="1"/>
  <c r="G50" i="126"/>
  <c r="I50" i="126" s="1"/>
  <c r="G49" i="126"/>
  <c r="I49" i="126" s="1"/>
  <c r="G48" i="126"/>
  <c r="I48" i="126" s="1"/>
  <c r="G47" i="126"/>
  <c r="I47" i="126" s="1"/>
  <c r="G46" i="126"/>
  <c r="I46" i="126" s="1"/>
  <c r="G45" i="126"/>
  <c r="I45" i="126" s="1"/>
  <c r="G44" i="126"/>
  <c r="I44" i="126" s="1"/>
  <c r="G43" i="126"/>
  <c r="I43" i="126" s="1"/>
  <c r="D42" i="126"/>
  <c r="G42" i="126" s="1"/>
  <c r="I42" i="126" s="1"/>
  <c r="D41" i="126"/>
  <c r="G41" i="126" s="1"/>
  <c r="I41" i="126" s="1"/>
  <c r="AE39" i="136"/>
  <c r="W72" i="7"/>
  <c r="AP60" i="152"/>
  <c r="AV60" i="152" s="1"/>
  <c r="AP59" i="152"/>
  <c r="AV59" i="152" s="1"/>
  <c r="I101" i="66"/>
  <c r="I97" i="66"/>
  <c r="I96" i="66"/>
  <c r="B122" i="66"/>
  <c r="B121" i="66"/>
  <c r="B120" i="66"/>
  <c r="B119" i="66"/>
  <c r="K54" i="66"/>
  <c r="K45" i="66"/>
  <c r="I37" i="66"/>
  <c r="I65" i="104"/>
  <c r="AT52" i="152"/>
  <c r="AT46" i="152"/>
  <c r="AT43" i="152"/>
  <c r="AT40" i="152"/>
  <c r="AT63" i="152"/>
  <c r="AV63" i="152"/>
  <c r="B107" i="104"/>
  <c r="B106" i="104"/>
  <c r="B105" i="104"/>
  <c r="B104" i="104"/>
  <c r="Q41" i="104"/>
  <c r="Q39" i="104"/>
  <c r="O41" i="104"/>
  <c r="O39" i="104"/>
  <c r="I57" i="104"/>
  <c r="I68" i="104" s="1"/>
  <c r="B163" i="9"/>
  <c r="B162" i="9"/>
  <c r="B161" i="9"/>
  <c r="B160" i="9"/>
  <c r="Q71" i="7"/>
  <c r="AC71" i="7" s="1"/>
  <c r="B85" i="38"/>
  <c r="B84" i="38"/>
  <c r="B83" i="38"/>
  <c r="B82" i="38"/>
  <c r="Q79" i="152"/>
  <c r="Q76" i="152"/>
  <c r="Q40" i="152"/>
  <c r="O53" i="132"/>
  <c r="O40" i="132"/>
  <c r="M49" i="57"/>
  <c r="Q49" i="57" s="1"/>
  <c r="I70" i="54"/>
  <c r="I69" i="54"/>
  <c r="Q37" i="59"/>
  <c r="K67" i="59" s="1"/>
  <c r="I39" i="54"/>
  <c r="K33" i="25"/>
  <c r="K48" i="25"/>
  <c r="K55" i="25"/>
  <c r="U53" i="28"/>
  <c r="AE202" i="14"/>
  <c r="Q42" i="3"/>
  <c r="M42" i="3" s="1"/>
  <c r="Q36" i="3"/>
  <c r="Q38" i="3"/>
  <c r="AG40" i="13"/>
  <c r="AG128" i="13"/>
  <c r="AC51" i="136"/>
  <c r="B104" i="136"/>
  <c r="B103" i="136"/>
  <c r="B102" i="136"/>
  <c r="B101" i="136"/>
  <c r="O40" i="13"/>
  <c r="BB60" i="152"/>
  <c r="BB59" i="152"/>
  <c r="BB63" i="152"/>
  <c r="S84" i="6"/>
  <c r="S86" i="6"/>
  <c r="S73" i="6"/>
  <c r="S63" i="6"/>
  <c r="S38" i="6"/>
  <c r="B4" i="17"/>
  <c r="B4" i="51"/>
  <c r="AZ60" i="152"/>
  <c r="AZ59" i="152"/>
  <c r="AO21" i="152"/>
  <c r="AO20" i="152"/>
  <c r="AO19" i="152"/>
  <c r="AO18" i="152"/>
  <c r="AO17" i="152"/>
  <c r="AO16" i="152"/>
  <c r="AO15" i="152"/>
  <c r="AO14" i="152"/>
  <c r="AO13" i="152"/>
  <c r="Y52" i="9"/>
  <c r="Y72" i="9"/>
  <c r="Q35" i="147"/>
  <c r="K37" i="66"/>
  <c r="AC38" i="136"/>
  <c r="K37" i="101"/>
  <c r="K84" i="101"/>
  <c r="K83" i="101"/>
  <c r="K79" i="101"/>
  <c r="K55" i="101"/>
  <c r="I59" i="6"/>
  <c r="K88" i="69"/>
  <c r="W117" i="95"/>
  <c r="AK52" i="75"/>
  <c r="AK70" i="75"/>
  <c r="AG54" i="136"/>
  <c r="AG39" i="136"/>
  <c r="AI71" i="7"/>
  <c r="AX52" i="152"/>
  <c r="AX40" i="152"/>
  <c r="AX43" i="152"/>
  <c r="AX46" i="152"/>
  <c r="M82" i="6"/>
  <c r="M61" i="6"/>
  <c r="M83" i="6"/>
  <c r="M71" i="6"/>
  <c r="M56" i="6"/>
  <c r="M53" i="6"/>
  <c r="M73" i="6"/>
  <c r="W83" i="6"/>
  <c r="W81" i="6"/>
  <c r="W77" i="6"/>
  <c r="W78" i="6"/>
  <c r="W79" i="6"/>
  <c r="W71" i="6"/>
  <c r="W69" i="6"/>
  <c r="W72" i="6"/>
  <c r="W67" i="6"/>
  <c r="W56" i="6"/>
  <c r="W61" i="6"/>
  <c r="W59" i="6"/>
  <c r="W64" i="6"/>
  <c r="W57" i="6"/>
  <c r="W53" i="6"/>
  <c r="O62" i="81" l="1"/>
  <c r="O61" i="81"/>
  <c r="N8" i="81"/>
  <c r="AE102" i="75"/>
  <c r="AD8" i="75" s="1"/>
  <c r="AA61" i="136"/>
  <c r="AA63" i="136" s="1"/>
  <c r="AA65" i="136" s="1"/>
  <c r="AS51" i="136"/>
  <c r="AU51" i="136" s="1"/>
  <c r="AW51" i="136" s="1"/>
  <c r="AY51" i="136" s="1"/>
  <c r="AQ51" i="136"/>
  <c r="K51" i="136"/>
  <c r="U51" i="136" s="1"/>
  <c r="S51" i="136" s="1"/>
  <c r="S61" i="136" s="1"/>
  <c r="M66" i="126"/>
  <c r="M68" i="126" s="1"/>
  <c r="M70" i="126" s="1"/>
  <c r="K66" i="126"/>
  <c r="AA66" i="136"/>
  <c r="AA67" i="136"/>
  <c r="Z8" i="136"/>
  <c r="U61" i="75"/>
  <c r="U102" i="75" s="1"/>
  <c r="T8" i="75" s="1"/>
  <c r="U104" i="75"/>
  <c r="U106" i="75" s="1"/>
  <c r="K61" i="136"/>
  <c r="AK61" i="136"/>
  <c r="Q108" i="75"/>
  <c r="Q107" i="75"/>
  <c r="P8" i="75"/>
  <c r="B161" i="75" s="1"/>
  <c r="M75" i="30"/>
  <c r="M77" i="30" s="1"/>
  <c r="AK63" i="136"/>
  <c r="AK65" i="136" s="1"/>
  <c r="W111" i="8"/>
  <c r="W113" i="8" s="1"/>
  <c r="BE63" i="136"/>
  <c r="BE65" i="136" s="1"/>
  <c r="S90" i="69"/>
  <c r="S92" i="69" s="1"/>
  <c r="AE104" i="75"/>
  <c r="AE106" i="75" s="1"/>
  <c r="AN83" i="16"/>
  <c r="AN85" i="16" s="1"/>
  <c r="S76" i="7"/>
  <c r="O50" i="54"/>
  <c r="O52" i="54" s="1"/>
  <c r="AA73" i="30"/>
  <c r="M63" i="136"/>
  <c r="M65" i="136"/>
  <c r="L8" i="136"/>
  <c r="M67" i="136"/>
  <c r="M66" i="136"/>
  <c r="M51" i="110"/>
  <c r="M53" i="110" s="1"/>
  <c r="O51" i="100"/>
  <c r="O52" i="100"/>
  <c r="N8" i="100"/>
  <c r="AE90" i="69"/>
  <c r="AE92" i="69" s="1"/>
  <c r="O204" i="14"/>
  <c r="O206" i="14" s="1"/>
  <c r="AG160" i="13"/>
  <c r="AG162" i="13" s="1"/>
  <c r="AG164" i="13" s="1"/>
  <c r="J8" i="13"/>
  <c r="B200" i="13" s="1"/>
  <c r="K165" i="13"/>
  <c r="K166" i="13"/>
  <c r="U37" i="59"/>
  <c r="W37" i="59"/>
  <c r="S37" i="59"/>
  <c r="K57" i="25"/>
  <c r="K59" i="25" s="1"/>
  <c r="AX63" i="152"/>
  <c r="I70" i="104"/>
  <c r="I72" i="104" s="1"/>
  <c r="K90" i="69"/>
  <c r="K92" i="69" s="1"/>
  <c r="W119" i="95"/>
  <c r="W121" i="95" s="1"/>
  <c r="V8" i="95" s="1"/>
  <c r="AO51" i="136" l="1"/>
  <c r="AM51" i="136"/>
  <c r="AM61" i="136" s="1"/>
  <c r="AM63" i="136" s="1"/>
  <c r="AM65" i="136" s="1"/>
  <c r="S63" i="136"/>
  <c r="S65" i="136"/>
  <c r="W51" i="136"/>
  <c r="U61" i="136"/>
  <c r="U63" i="136" s="1"/>
  <c r="U65" i="136" s="1"/>
  <c r="K68" i="126"/>
  <c r="K70" i="126" s="1"/>
  <c r="U108" i="75"/>
  <c r="U107" i="75"/>
  <c r="K63" i="136"/>
  <c r="K65" i="136" s="1"/>
  <c r="M78" i="30"/>
  <c r="M79" i="30"/>
  <c r="L9" i="30"/>
  <c r="M72" i="126"/>
  <c r="M71" i="126"/>
  <c r="L8" i="126"/>
  <c r="AK67" i="136"/>
  <c r="AK66" i="136"/>
  <c r="AJ8" i="136"/>
  <c r="W115" i="8"/>
  <c r="W114" i="8"/>
  <c r="V8" i="8"/>
  <c r="BE67" i="136"/>
  <c r="BE66" i="136"/>
  <c r="BD8" i="136"/>
  <c r="R8" i="69"/>
  <c r="AE108" i="75"/>
  <c r="AE107" i="75"/>
  <c r="AN87" i="16"/>
  <c r="AN86" i="16"/>
  <c r="AM8" i="16"/>
  <c r="S78" i="7"/>
  <c r="S80" i="7" s="1"/>
  <c r="O54" i="54"/>
  <c r="O53" i="54"/>
  <c r="N8" i="54"/>
  <c r="AA75" i="30"/>
  <c r="AA77" i="30" s="1"/>
  <c r="M55" i="110"/>
  <c r="M54" i="110"/>
  <c r="L8" i="110"/>
  <c r="AD8" i="69"/>
  <c r="O207" i="14"/>
  <c r="O208" i="14"/>
  <c r="N8" i="14"/>
  <c r="B244" i="14" s="1"/>
  <c r="J8" i="25"/>
  <c r="K60" i="25"/>
  <c r="K61" i="25"/>
  <c r="AG166" i="13"/>
  <c r="AG165" i="13"/>
  <c r="AF8" i="13"/>
  <c r="I74" i="104"/>
  <c r="I73" i="104"/>
  <c r="H8" i="104"/>
  <c r="B108" i="104" s="1"/>
  <c r="J8" i="69"/>
  <c r="W123" i="95"/>
  <c r="W122" i="95"/>
  <c r="M202" i="14"/>
  <c r="AA72" i="9"/>
  <c r="AA82" i="9"/>
  <c r="AA52" i="9"/>
  <c r="AU39" i="136"/>
  <c r="AU61" i="136" s="1"/>
  <c r="AS39" i="136"/>
  <c r="AS38" i="136"/>
  <c r="AS61" i="136"/>
  <c r="S45" i="29"/>
  <c r="AW42" i="136"/>
  <c r="AW39" i="136"/>
  <c r="Q48" i="81"/>
  <c r="Q40" i="81"/>
  <c r="S45" i="71"/>
  <c r="S53" i="71" s="1"/>
  <c r="Q33" i="78"/>
  <c r="AW54" i="136"/>
  <c r="AO54" i="136" s="1"/>
  <c r="AW46" i="136"/>
  <c r="AW47" i="136"/>
  <c r="AC53" i="136"/>
  <c r="AW38" i="136"/>
  <c r="I50" i="7"/>
  <c r="AC50" i="7" s="1"/>
  <c r="AI40" i="7"/>
  <c r="Y53" i="136"/>
  <c r="M62" i="57"/>
  <c r="Q62" i="57" s="1"/>
  <c r="O62" i="57"/>
  <c r="M36" i="57"/>
  <c r="AG76" i="7"/>
  <c r="AK85" i="69"/>
  <c r="I64" i="6"/>
  <c r="S64" i="6" s="1"/>
  <c r="I78" i="6"/>
  <c r="S78" i="6" s="1"/>
  <c r="I79" i="6"/>
  <c r="S79" i="6" s="1"/>
  <c r="I77" i="6"/>
  <c r="I82" i="6"/>
  <c r="S82" i="6" s="1"/>
  <c r="I83" i="6"/>
  <c r="I81" i="6"/>
  <c r="I75" i="6"/>
  <c r="S75" i="6" s="1"/>
  <c r="I71" i="6"/>
  <c r="S71" i="6" s="1"/>
  <c r="I67" i="6"/>
  <c r="S67" i="6" s="1"/>
  <c r="I61" i="6"/>
  <c r="S61" i="6" s="1"/>
  <c r="I57" i="6"/>
  <c r="I56" i="6"/>
  <c r="I53" i="6"/>
  <c r="M112" i="6"/>
  <c r="M111" i="6"/>
  <c r="M79" i="6"/>
  <c r="M114" i="6"/>
  <c r="M57" i="6"/>
  <c r="M58" i="6"/>
  <c r="M81" i="6"/>
  <c r="M69" i="6"/>
  <c r="M59" i="6"/>
  <c r="M109" i="6"/>
  <c r="U140" i="9"/>
  <c r="U72" i="9"/>
  <c r="AC76" i="7"/>
  <c r="C17" i="49"/>
  <c r="C15" i="47"/>
  <c r="A23" i="49"/>
  <c r="Y86" i="13"/>
  <c r="G49" i="71"/>
  <c r="C16" i="47"/>
  <c r="C14" i="47"/>
  <c r="K140" i="9"/>
  <c r="C18" i="47" s="1"/>
  <c r="K55" i="102"/>
  <c r="O114" i="6"/>
  <c r="Y69" i="30"/>
  <c r="Y68" i="30"/>
  <c r="Y67" i="30"/>
  <c r="Y66" i="30"/>
  <c r="AC65" i="30"/>
  <c r="AC64" i="30"/>
  <c r="C17" i="47"/>
  <c r="B102" i="28"/>
  <c r="B101" i="28"/>
  <c r="B100" i="28"/>
  <c r="B99" i="28"/>
  <c r="O40" i="28"/>
  <c r="I50" i="28"/>
  <c r="D39" i="147"/>
  <c r="U202" i="14"/>
  <c r="U204" i="14" s="1"/>
  <c r="B126" i="132"/>
  <c r="B125" i="132"/>
  <c r="B124" i="132"/>
  <c r="B123" i="132"/>
  <c r="B112" i="57"/>
  <c r="B111" i="57"/>
  <c r="B110" i="57"/>
  <c r="B109" i="57"/>
  <c r="G84" i="132"/>
  <c r="I43" i="17"/>
  <c r="K77" i="17" s="1"/>
  <c r="S77" i="17"/>
  <c r="AA88" i="20"/>
  <c r="M35" i="152"/>
  <c r="M104" i="152" s="1"/>
  <c r="O106" i="152" s="1"/>
  <c r="O108" i="152" s="1"/>
  <c r="K40" i="132"/>
  <c r="Q93" i="152"/>
  <c r="Q83" i="152"/>
  <c r="Q90" i="152"/>
  <c r="M84" i="84"/>
  <c r="S168" i="14"/>
  <c r="S166" i="14"/>
  <c r="Z73" i="20"/>
  <c r="O34" i="60"/>
  <c r="Q52" i="8"/>
  <c r="Q38" i="8"/>
  <c r="G41" i="104"/>
  <c r="G39" i="104"/>
  <c r="G50" i="104"/>
  <c r="G49" i="104"/>
  <c r="BC61" i="136"/>
  <c r="BA61" i="136"/>
  <c r="AY61" i="136"/>
  <c r="K70" i="30"/>
  <c r="AG70" i="30" s="1"/>
  <c r="E117" i="30"/>
  <c r="I53" i="136"/>
  <c r="AG53" i="136" s="1"/>
  <c r="Y39" i="136"/>
  <c r="Y38" i="136"/>
  <c r="I79" i="101"/>
  <c r="G56" i="101"/>
  <c r="G53" i="101"/>
  <c r="I55" i="101"/>
  <c r="I83" i="101"/>
  <c r="I84" i="101"/>
  <c r="B175" i="3"/>
  <c r="F175" i="3"/>
  <c r="D175" i="3"/>
  <c r="G48" i="101"/>
  <c r="F12" i="154"/>
  <c r="I51" i="154"/>
  <c r="L51" i="154"/>
  <c r="I54" i="154"/>
  <c r="L54" i="154"/>
  <c r="I58" i="154"/>
  <c r="L58" i="154"/>
  <c r="I59" i="154"/>
  <c r="L59" i="154"/>
  <c r="I60" i="154"/>
  <c r="L60" i="154"/>
  <c r="I63" i="154"/>
  <c r="L63" i="154"/>
  <c r="I64" i="154"/>
  <c r="L64" i="154"/>
  <c r="I65" i="154"/>
  <c r="L65" i="154"/>
  <c r="K67" i="154"/>
  <c r="L67" i="154"/>
  <c r="K69" i="154"/>
  <c r="L69" i="154"/>
  <c r="K72" i="154"/>
  <c r="L72" i="154"/>
  <c r="K76" i="154"/>
  <c r="L76" i="154"/>
  <c r="K77" i="154"/>
  <c r="L77" i="154"/>
  <c r="K79" i="154"/>
  <c r="L79" i="154"/>
  <c r="K81" i="154"/>
  <c r="L81" i="154"/>
  <c r="K83" i="154"/>
  <c r="L83" i="154"/>
  <c r="K84" i="154"/>
  <c r="L84" i="154"/>
  <c r="K85" i="154"/>
  <c r="L85" i="154"/>
  <c r="K86" i="154"/>
  <c r="L86" i="154"/>
  <c r="K87" i="154"/>
  <c r="L87" i="154"/>
  <c r="K88" i="154"/>
  <c r="L88" i="154"/>
  <c r="K89" i="154"/>
  <c r="L89" i="154"/>
  <c r="K90" i="154"/>
  <c r="L90" i="154"/>
  <c r="J91" i="154"/>
  <c r="K91" i="154"/>
  <c r="L91" i="154"/>
  <c r="K92" i="154"/>
  <c r="L92" i="154"/>
  <c r="K93" i="154"/>
  <c r="L93" i="154"/>
  <c r="K94" i="154"/>
  <c r="L94" i="154"/>
  <c r="K95" i="154"/>
  <c r="L95" i="154"/>
  <c r="K99" i="154"/>
  <c r="L99" i="154"/>
  <c r="K101" i="154"/>
  <c r="L101" i="154"/>
  <c r="K102" i="154"/>
  <c r="L102" i="154"/>
  <c r="K103" i="154"/>
  <c r="L103" i="154"/>
  <c r="K104" i="154"/>
  <c r="L104" i="154"/>
  <c r="K105" i="154"/>
  <c r="L105" i="154"/>
  <c r="K108" i="154"/>
  <c r="L108" i="154"/>
  <c r="K109" i="154"/>
  <c r="L109" i="154"/>
  <c r="K110" i="154"/>
  <c r="L110" i="154"/>
  <c r="K111" i="154"/>
  <c r="L111" i="154"/>
  <c r="K112" i="154"/>
  <c r="L112" i="154"/>
  <c r="K113" i="154"/>
  <c r="L113" i="154"/>
  <c r="K114" i="154"/>
  <c r="L114" i="154"/>
  <c r="K115" i="154"/>
  <c r="L115" i="154"/>
  <c r="K118" i="154"/>
  <c r="L118" i="154"/>
  <c r="K120" i="154"/>
  <c r="L120" i="154"/>
  <c r="K121" i="154"/>
  <c r="L121" i="154"/>
  <c r="D122" i="154"/>
  <c r="K122" i="154"/>
  <c r="L122" i="154"/>
  <c r="J124" i="154"/>
  <c r="K124" i="154"/>
  <c r="L124" i="154"/>
  <c r="K125" i="154"/>
  <c r="L125" i="154"/>
  <c r="K127" i="154"/>
  <c r="L127" i="154"/>
  <c r="K128" i="154"/>
  <c r="L128" i="154"/>
  <c r="K129" i="154"/>
  <c r="L129" i="154"/>
  <c r="K132" i="154"/>
  <c r="L132" i="154"/>
  <c r="K133" i="154"/>
  <c r="L133" i="154"/>
  <c r="K134" i="154"/>
  <c r="L134" i="154"/>
  <c r="K136" i="154"/>
  <c r="L136" i="154"/>
  <c r="K137" i="154"/>
  <c r="L137" i="154"/>
  <c r="I138" i="154"/>
  <c r="L138" i="154"/>
  <c r="K142" i="154"/>
  <c r="L142" i="154"/>
  <c r="K143" i="154"/>
  <c r="L143" i="154"/>
  <c r="K144" i="154"/>
  <c r="L144" i="154"/>
  <c r="K146" i="154"/>
  <c r="L146" i="154"/>
  <c r="K147" i="154"/>
  <c r="L147" i="154"/>
  <c r="K148" i="154"/>
  <c r="L148" i="154"/>
  <c r="K149" i="154"/>
  <c r="L149" i="154"/>
  <c r="K151" i="154"/>
  <c r="L151" i="154"/>
  <c r="K152" i="154"/>
  <c r="L152" i="154"/>
  <c r="J153" i="154"/>
  <c r="K153" i="154"/>
  <c r="L153" i="154"/>
  <c r="K156" i="154"/>
  <c r="L156" i="154"/>
  <c r="K157" i="154"/>
  <c r="L157" i="154"/>
  <c r="K158" i="154"/>
  <c r="L158" i="154"/>
  <c r="U8" i="154"/>
  <c r="V8" i="154"/>
  <c r="W8" i="154"/>
  <c r="F10" i="154"/>
  <c r="F18" i="154"/>
  <c r="F19" i="154"/>
  <c r="F23" i="154"/>
  <c r="P29" i="154"/>
  <c r="X29" i="154"/>
  <c r="P30" i="154"/>
  <c r="X30" i="154"/>
  <c r="P31" i="154"/>
  <c r="X31" i="154"/>
  <c r="P32" i="154"/>
  <c r="X32" i="154"/>
  <c r="P33" i="154"/>
  <c r="X33" i="154"/>
  <c r="P34" i="154"/>
  <c r="X34" i="154"/>
  <c r="P35" i="154"/>
  <c r="X35" i="154"/>
  <c r="P36" i="154"/>
  <c r="X36" i="154"/>
  <c r="P37" i="154"/>
  <c r="X37" i="154"/>
  <c r="P38" i="154"/>
  <c r="X38" i="154"/>
  <c r="P39" i="154"/>
  <c r="X39" i="154"/>
  <c r="P40" i="154"/>
  <c r="X40" i="154"/>
  <c r="P41" i="154"/>
  <c r="X41" i="154"/>
  <c r="P42" i="154"/>
  <c r="X42" i="154"/>
  <c r="P43" i="154"/>
  <c r="X43" i="154"/>
  <c r="I45" i="154"/>
  <c r="L45" i="154"/>
  <c r="I47" i="154"/>
  <c r="L47" i="154"/>
  <c r="I48" i="154"/>
  <c r="L48" i="154"/>
  <c r="J4" i="154"/>
  <c r="K4" i="154"/>
  <c r="D12" i="154" s="1"/>
  <c r="G12" i="154" s="1"/>
  <c r="L12" i="154" s="1"/>
  <c r="L4" i="154"/>
  <c r="J5" i="154"/>
  <c r="K5" i="154"/>
  <c r="L5" i="154"/>
  <c r="U5" i="154"/>
  <c r="V5" i="154"/>
  <c r="W5" i="154"/>
  <c r="D153" i="153"/>
  <c r="I50" i="153"/>
  <c r="L50" i="153"/>
  <c r="I53" i="153"/>
  <c r="L53" i="153"/>
  <c r="I57" i="153"/>
  <c r="L57" i="153"/>
  <c r="I58" i="153"/>
  <c r="L58" i="153"/>
  <c r="I59" i="153"/>
  <c r="L59" i="153"/>
  <c r="I62" i="153"/>
  <c r="L62" i="153"/>
  <c r="I63" i="153"/>
  <c r="L63" i="153"/>
  <c r="I64" i="153"/>
  <c r="L64" i="153"/>
  <c r="K66" i="153"/>
  <c r="L66" i="153"/>
  <c r="K68" i="153"/>
  <c r="L68" i="153"/>
  <c r="K71" i="153"/>
  <c r="L71" i="153"/>
  <c r="K75" i="153"/>
  <c r="L75" i="153"/>
  <c r="K76" i="153"/>
  <c r="L76" i="153"/>
  <c r="K78" i="153"/>
  <c r="L78" i="153"/>
  <c r="K80" i="153"/>
  <c r="L80" i="153"/>
  <c r="K82" i="153"/>
  <c r="L82" i="153"/>
  <c r="K85" i="153"/>
  <c r="L85" i="153"/>
  <c r="K86" i="153"/>
  <c r="L86" i="153"/>
  <c r="K89" i="153"/>
  <c r="L89" i="153"/>
  <c r="J90" i="153"/>
  <c r="K90" i="153"/>
  <c r="L90" i="153"/>
  <c r="K91" i="153"/>
  <c r="L91" i="153"/>
  <c r="K93" i="153"/>
  <c r="L93" i="153"/>
  <c r="K98" i="153"/>
  <c r="L98" i="153"/>
  <c r="K100" i="153"/>
  <c r="L100" i="153"/>
  <c r="K101" i="153"/>
  <c r="L101" i="153"/>
  <c r="K102" i="153"/>
  <c r="L102" i="153"/>
  <c r="K103" i="153"/>
  <c r="L103" i="153"/>
  <c r="K104" i="153"/>
  <c r="L104" i="153"/>
  <c r="K107" i="153"/>
  <c r="L107" i="153"/>
  <c r="K108" i="153"/>
  <c r="L108" i="153"/>
  <c r="K109" i="153"/>
  <c r="L109" i="153"/>
  <c r="K110" i="153"/>
  <c r="L110" i="153"/>
  <c r="K111" i="153"/>
  <c r="L111" i="153"/>
  <c r="K112" i="153"/>
  <c r="L112" i="153"/>
  <c r="K113" i="153"/>
  <c r="L113" i="153"/>
  <c r="K114" i="153"/>
  <c r="L114" i="153"/>
  <c r="K117" i="153"/>
  <c r="L117" i="153"/>
  <c r="K119" i="153"/>
  <c r="L119" i="153"/>
  <c r="K120" i="153"/>
  <c r="L120" i="153"/>
  <c r="D121" i="153"/>
  <c r="K121" i="153"/>
  <c r="L121" i="153"/>
  <c r="J123" i="153"/>
  <c r="K123" i="153"/>
  <c r="L123" i="153"/>
  <c r="K124" i="153"/>
  <c r="L124" i="153"/>
  <c r="K126" i="153"/>
  <c r="L126" i="153"/>
  <c r="K127" i="153"/>
  <c r="L127" i="153"/>
  <c r="K128" i="153"/>
  <c r="L128" i="153"/>
  <c r="K131" i="153"/>
  <c r="L131" i="153"/>
  <c r="K132" i="153"/>
  <c r="L132" i="153"/>
  <c r="K133" i="153"/>
  <c r="L133" i="153"/>
  <c r="K135" i="153"/>
  <c r="L135" i="153"/>
  <c r="K136" i="153"/>
  <c r="L136" i="153"/>
  <c r="I137" i="153"/>
  <c r="L137" i="153"/>
  <c r="K141" i="153"/>
  <c r="L141" i="153"/>
  <c r="K142" i="153"/>
  <c r="L142" i="153"/>
  <c r="K143" i="153"/>
  <c r="L143" i="153"/>
  <c r="K145" i="153"/>
  <c r="L145" i="153"/>
  <c r="K146" i="153"/>
  <c r="L146" i="153"/>
  <c r="K147" i="153"/>
  <c r="L147" i="153"/>
  <c r="K148" i="153"/>
  <c r="L148" i="153"/>
  <c r="K150" i="153"/>
  <c r="L150" i="153"/>
  <c r="K151" i="153"/>
  <c r="L151" i="153"/>
  <c r="J152" i="153"/>
  <c r="K152" i="153"/>
  <c r="L152" i="153"/>
  <c r="K153" i="153"/>
  <c r="L153" i="153" s="1"/>
  <c r="K155" i="153"/>
  <c r="L155" i="153"/>
  <c r="K156" i="153"/>
  <c r="L156" i="153"/>
  <c r="K157" i="153"/>
  <c r="L157" i="153"/>
  <c r="U8" i="153"/>
  <c r="V8" i="153"/>
  <c r="W8" i="153"/>
  <c r="F17" i="153"/>
  <c r="F22" i="153"/>
  <c r="P28" i="153"/>
  <c r="X28" i="153"/>
  <c r="P29" i="153"/>
  <c r="X29" i="153"/>
  <c r="P30" i="153"/>
  <c r="X30" i="153"/>
  <c r="P31" i="153"/>
  <c r="X31" i="153"/>
  <c r="P32" i="153"/>
  <c r="X32" i="153"/>
  <c r="P33" i="153"/>
  <c r="X33" i="153"/>
  <c r="P34" i="153"/>
  <c r="X34" i="153"/>
  <c r="P35" i="153"/>
  <c r="X35" i="153"/>
  <c r="P36" i="153"/>
  <c r="X36" i="153"/>
  <c r="P37" i="153"/>
  <c r="X37" i="153"/>
  <c r="P38" i="153"/>
  <c r="X38" i="153"/>
  <c r="P39" i="153"/>
  <c r="X39" i="153"/>
  <c r="P40" i="153"/>
  <c r="X40" i="153"/>
  <c r="P41" i="153"/>
  <c r="X41" i="153"/>
  <c r="P42" i="153"/>
  <c r="X42" i="153"/>
  <c r="I44" i="153"/>
  <c r="L44" i="153"/>
  <c r="I46" i="153"/>
  <c r="L46" i="153"/>
  <c r="I47" i="153"/>
  <c r="L47" i="153"/>
  <c r="J4" i="153"/>
  <c r="K4" i="153"/>
  <c r="L4" i="153"/>
  <c r="J5" i="153"/>
  <c r="K5" i="153"/>
  <c r="L5" i="153"/>
  <c r="U5" i="153"/>
  <c r="V5" i="153"/>
  <c r="W5" i="153"/>
  <c r="B88" i="110"/>
  <c r="B87" i="110"/>
  <c r="B86" i="110"/>
  <c r="B85" i="110"/>
  <c r="G23" i="142"/>
  <c r="G21" i="142"/>
  <c r="G15" i="142"/>
  <c r="G12" i="142"/>
  <c r="G13" i="142"/>
  <c r="F11" i="142"/>
  <c r="F12" i="142"/>
  <c r="F13" i="142"/>
  <c r="F14" i="142"/>
  <c r="F15" i="142"/>
  <c r="F16" i="142"/>
  <c r="F17" i="142"/>
  <c r="F18" i="142"/>
  <c r="F19" i="142"/>
  <c r="F20" i="142"/>
  <c r="F21" i="142"/>
  <c r="F22" i="142"/>
  <c r="F23" i="142"/>
  <c r="F24" i="142"/>
  <c r="F25" i="142"/>
  <c r="F26" i="142"/>
  <c r="F10" i="142"/>
  <c r="G11" i="142"/>
  <c r="G14" i="142"/>
  <c r="G16" i="142"/>
  <c r="G17" i="142"/>
  <c r="G18" i="142"/>
  <c r="G19" i="142"/>
  <c r="G20" i="142"/>
  <c r="G22" i="142"/>
  <c r="G24" i="142"/>
  <c r="G25" i="142"/>
  <c r="G26" i="142"/>
  <c r="Y146" i="142"/>
  <c r="G10" i="142"/>
  <c r="E121" i="16"/>
  <c r="K59" i="20" s="1"/>
  <c r="D121" i="16"/>
  <c r="O59" i="20" s="1"/>
  <c r="C121" i="16"/>
  <c r="M59" i="20" s="1"/>
  <c r="B120" i="16"/>
  <c r="B119" i="16"/>
  <c r="B118" i="16"/>
  <c r="B117" i="16"/>
  <c r="O37" i="86"/>
  <c r="M33" i="16"/>
  <c r="B94" i="78"/>
  <c r="B93" i="78"/>
  <c r="B92" i="78"/>
  <c r="B91" i="78"/>
  <c r="K32" i="2"/>
  <c r="K33" i="16"/>
  <c r="K81" i="16" s="1"/>
  <c r="K85" i="16" s="1"/>
  <c r="J8" i="16" s="1"/>
  <c r="K72" i="9"/>
  <c r="K38" i="8"/>
  <c r="U63" i="6"/>
  <c r="Q85" i="16"/>
  <c r="P8" i="16" s="1"/>
  <c r="B147" i="152"/>
  <c r="B146" i="152"/>
  <c r="B145" i="152"/>
  <c r="B144" i="152"/>
  <c r="N8" i="118"/>
  <c r="Q68" i="104"/>
  <c r="S68" i="104"/>
  <c r="AA133" i="14"/>
  <c r="M68" i="104"/>
  <c r="W90" i="152"/>
  <c r="W83" i="152"/>
  <c r="U69" i="132" s="1"/>
  <c r="W76" i="152"/>
  <c r="U53" i="132" s="1"/>
  <c r="W79" i="152"/>
  <c r="W70" i="152"/>
  <c r="W64" i="152"/>
  <c r="W58" i="152"/>
  <c r="W52" i="152"/>
  <c r="W46" i="152"/>
  <c r="W41" i="152"/>
  <c r="O59" i="57"/>
  <c r="O33" i="118"/>
  <c r="O52" i="57"/>
  <c r="O41" i="57"/>
  <c r="I160" i="13"/>
  <c r="E128" i="69"/>
  <c r="D128" i="69"/>
  <c r="C128" i="69"/>
  <c r="AG53" i="69"/>
  <c r="AG46" i="69"/>
  <c r="AE160" i="13"/>
  <c r="K81" i="20"/>
  <c r="M81" i="20"/>
  <c r="O81" i="20" s="1"/>
  <c r="M64" i="10"/>
  <c r="M60" i="10"/>
  <c r="M59" i="10"/>
  <c r="D113" i="10"/>
  <c r="C113" i="10"/>
  <c r="O51" i="10"/>
  <c r="K51" i="10"/>
  <c r="B112" i="10"/>
  <c r="B111" i="10"/>
  <c r="B110" i="10"/>
  <c r="B109" i="10"/>
  <c r="I63" i="10"/>
  <c r="E113" i="10" s="1"/>
  <c r="I71" i="10"/>
  <c r="H8" i="10" s="1"/>
  <c r="B113" i="10" s="1"/>
  <c r="AI70" i="30"/>
  <c r="AI68" i="30"/>
  <c r="AI67" i="30"/>
  <c r="AI63" i="30"/>
  <c r="Q77" i="69"/>
  <c r="Q67" i="69"/>
  <c r="Q60" i="69"/>
  <c r="Q53" i="69"/>
  <c r="B80" i="147"/>
  <c r="B79" i="147"/>
  <c r="B78" i="147"/>
  <c r="B77" i="147"/>
  <c r="Q46" i="69"/>
  <c r="G40" i="147"/>
  <c r="M37" i="147"/>
  <c r="Q37" i="147" s="1"/>
  <c r="U63" i="32"/>
  <c r="S63" i="32"/>
  <c r="K63" i="32"/>
  <c r="I45" i="32"/>
  <c r="AO46" i="75"/>
  <c r="U61" i="32"/>
  <c r="U45" i="32"/>
  <c r="S61" i="32"/>
  <c r="Q61" i="32" s="1"/>
  <c r="M39" i="54"/>
  <c r="K39" i="54"/>
  <c r="D39" i="54"/>
  <c r="G39" i="54"/>
  <c r="I33" i="54"/>
  <c r="I88" i="69"/>
  <c r="B99" i="86"/>
  <c r="B98" i="86"/>
  <c r="B97" i="86"/>
  <c r="B96" i="86"/>
  <c r="M34" i="147"/>
  <c r="D101" i="152"/>
  <c r="D100" i="152"/>
  <c r="D99" i="152"/>
  <c r="D97" i="152"/>
  <c r="AZ63" i="152" s="1"/>
  <c r="D98" i="152"/>
  <c r="Y98" i="152" s="1"/>
  <c r="S40" i="28"/>
  <c r="D102" i="152"/>
  <c r="S63" i="28"/>
  <c r="AE104" i="152"/>
  <c r="K57" i="10"/>
  <c r="W44" i="7"/>
  <c r="W76" i="7" s="1"/>
  <c r="K51" i="66"/>
  <c r="AM46" i="69"/>
  <c r="AM53" i="69"/>
  <c r="W40" i="66"/>
  <c r="S40" i="66"/>
  <c r="AK54" i="75"/>
  <c r="O95" i="75"/>
  <c r="AM95" i="75" s="1"/>
  <c r="W88" i="75"/>
  <c r="AK88" i="75" s="1"/>
  <c r="M46" i="66"/>
  <c r="O59" i="66"/>
  <c r="M51" i="66"/>
  <c r="D37" i="147"/>
  <c r="G39" i="147" s="1"/>
  <c r="Q39" i="147" s="1"/>
  <c r="D35" i="147"/>
  <c r="AA160" i="13"/>
  <c r="AK71" i="69"/>
  <c r="AK88" i="69" s="1"/>
  <c r="O55" i="25"/>
  <c r="O57" i="25"/>
  <c r="W123" i="9"/>
  <c r="K62" i="10"/>
  <c r="K63" i="10"/>
  <c r="K59" i="10"/>
  <c r="K60" i="10"/>
  <c r="AF78" i="16"/>
  <c r="AF81" i="16" s="1"/>
  <c r="S69" i="46"/>
  <c r="S73" i="46"/>
  <c r="AO123" i="9"/>
  <c r="AM123" i="9"/>
  <c r="W45" i="29"/>
  <c r="S71" i="32"/>
  <c r="I44" i="59"/>
  <c r="I67" i="59" s="1"/>
  <c r="M33" i="78"/>
  <c r="M50" i="78" s="1"/>
  <c r="W73" i="30"/>
  <c r="W75" i="30" s="1"/>
  <c r="Q41" i="38"/>
  <c r="U83" i="6"/>
  <c r="U79" i="6"/>
  <c r="U78" i="6"/>
  <c r="U69" i="6"/>
  <c r="U72" i="6"/>
  <c r="U73" i="6"/>
  <c r="U57" i="6"/>
  <c r="U56" i="6"/>
  <c r="AI71" i="69"/>
  <c r="AI67" i="69"/>
  <c r="C124" i="84"/>
  <c r="B123" i="84"/>
  <c r="B122" i="84"/>
  <c r="B121" i="84"/>
  <c r="B120" i="84"/>
  <c r="AO88" i="69"/>
  <c r="D188" i="95"/>
  <c r="O56" i="20" s="1"/>
  <c r="Q112" i="95"/>
  <c r="S112" i="95" s="1"/>
  <c r="Q111" i="95"/>
  <c r="O91" i="75"/>
  <c r="AM91" i="75" s="1"/>
  <c r="AM102" i="75" s="1"/>
  <c r="AM104" i="75" s="1"/>
  <c r="AM106" i="75" s="1"/>
  <c r="O55" i="75"/>
  <c r="G116" i="3"/>
  <c r="M116" i="3"/>
  <c r="Q116" i="3"/>
  <c r="M129" i="3"/>
  <c r="B174" i="3"/>
  <c r="B173" i="3"/>
  <c r="B172" i="3"/>
  <c r="B171" i="3"/>
  <c r="I38" i="3"/>
  <c r="E175" i="3" s="1"/>
  <c r="O109" i="6"/>
  <c r="O110" i="6" s="1"/>
  <c r="O113" i="6"/>
  <c r="O88" i="6"/>
  <c r="O90" i="6" s="1"/>
  <c r="B187" i="95"/>
  <c r="B186" i="95"/>
  <c r="B185" i="95"/>
  <c r="B184" i="95"/>
  <c r="Q94" i="95"/>
  <c r="Q89" i="95"/>
  <c r="Q117" i="95" s="1"/>
  <c r="AA94" i="95"/>
  <c r="AA89" i="95"/>
  <c r="AI46" i="7"/>
  <c r="AI45" i="7"/>
  <c r="AI44" i="7"/>
  <c r="AI43" i="7"/>
  <c r="B116" i="93"/>
  <c r="B115" i="93"/>
  <c r="B114" i="93"/>
  <c r="B113" i="93"/>
  <c r="AE52" i="7"/>
  <c r="Q33" i="46"/>
  <c r="B115" i="7"/>
  <c r="B114" i="7"/>
  <c r="B113" i="7"/>
  <c r="B112" i="7"/>
  <c r="Q97" i="7"/>
  <c r="Q45" i="7"/>
  <c r="Q44" i="7"/>
  <c r="D116" i="7" s="1"/>
  <c r="Q43" i="7"/>
  <c r="C116" i="7" s="1"/>
  <c r="Q42" i="7"/>
  <c r="Q40" i="7"/>
  <c r="Q69" i="46"/>
  <c r="U70" i="46"/>
  <c r="U64" i="46"/>
  <c r="K63" i="132"/>
  <c r="U60" i="46"/>
  <c r="U56" i="46"/>
  <c r="U54" i="46"/>
  <c r="U58" i="46"/>
  <c r="U68" i="46"/>
  <c r="I52" i="57"/>
  <c r="O68" i="104"/>
  <c r="K82" i="132"/>
  <c r="K78" i="132"/>
  <c r="K53" i="132"/>
  <c r="I59" i="57"/>
  <c r="I48" i="57"/>
  <c r="I41" i="57"/>
  <c r="K68" i="104"/>
  <c r="G65" i="104"/>
  <c r="M33" i="118"/>
  <c r="AA160" i="14"/>
  <c r="B4" i="14"/>
  <c r="Y179" i="14"/>
  <c r="Y71" i="14"/>
  <c r="B87" i="54"/>
  <c r="B86" i="54"/>
  <c r="B85" i="54"/>
  <c r="B84" i="54"/>
  <c r="G37" i="54"/>
  <c r="M80" i="28"/>
  <c r="F143" i="5"/>
  <c r="G143" i="5" s="1"/>
  <c r="B4" i="95"/>
  <c r="B4" i="75"/>
  <c r="AJ81" i="16"/>
  <c r="AJ83" i="16" s="1"/>
  <c r="I34" i="118"/>
  <c r="G34" i="118"/>
  <c r="K51" i="118"/>
  <c r="D65" i="5"/>
  <c r="AC40" i="13"/>
  <c r="AC160" i="13" s="1"/>
  <c r="B4" i="93"/>
  <c r="AP81" i="16"/>
  <c r="B85" i="100"/>
  <c r="B84" i="100"/>
  <c r="B83" i="100"/>
  <c r="B82" i="100"/>
  <c r="AM71" i="69"/>
  <c r="B4" i="13"/>
  <c r="B4" i="16"/>
  <c r="U64" i="93"/>
  <c r="U57" i="93"/>
  <c r="U50" i="93"/>
  <c r="O101" i="84"/>
  <c r="O68" i="84"/>
  <c r="U71" i="32"/>
  <c r="U73" i="32" s="1"/>
  <c r="G37" i="147"/>
  <c r="I37" i="147" s="1"/>
  <c r="I41" i="147" s="1"/>
  <c r="K98" i="8"/>
  <c r="I33" i="78"/>
  <c r="Q37" i="71"/>
  <c r="Q39" i="81"/>
  <c r="G81" i="152"/>
  <c r="G80" i="152"/>
  <c r="G78" i="152"/>
  <c r="G77" i="152"/>
  <c r="G75" i="152"/>
  <c r="G74" i="152"/>
  <c r="G73" i="152"/>
  <c r="G72" i="152"/>
  <c r="G71" i="152"/>
  <c r="G69" i="152"/>
  <c r="G68" i="152"/>
  <c r="G67" i="152"/>
  <c r="G66" i="152"/>
  <c r="G65" i="152"/>
  <c r="G63" i="152"/>
  <c r="G62" i="152"/>
  <c r="G61" i="152"/>
  <c r="G60" i="152"/>
  <c r="G59" i="152"/>
  <c r="G57" i="152"/>
  <c r="G56" i="152"/>
  <c r="G55" i="152"/>
  <c r="G54" i="152"/>
  <c r="G53" i="152"/>
  <c r="G51" i="152"/>
  <c r="G50" i="152"/>
  <c r="G49" i="152"/>
  <c r="G48" i="152"/>
  <c r="G47" i="152"/>
  <c r="G45" i="152"/>
  <c r="G44" i="152"/>
  <c r="G43" i="152"/>
  <c r="G42" i="152"/>
  <c r="G80" i="132"/>
  <c r="G79" i="132"/>
  <c r="G76" i="132"/>
  <c r="G73" i="132"/>
  <c r="G70" i="132"/>
  <c r="W73" i="46"/>
  <c r="M73" i="46"/>
  <c r="AA70" i="46"/>
  <c r="K68" i="30"/>
  <c r="D117" i="30" s="1"/>
  <c r="I109" i="9"/>
  <c r="K63" i="35"/>
  <c r="K64" i="35"/>
  <c r="K65" i="35"/>
  <c r="K66" i="35"/>
  <c r="K67" i="35"/>
  <c r="K68" i="35"/>
  <c r="K69" i="35"/>
  <c r="K70" i="35"/>
  <c r="K71" i="35"/>
  <c r="K50" i="35"/>
  <c r="K51" i="35"/>
  <c r="K52" i="35"/>
  <c r="K53" i="35"/>
  <c r="K54" i="35"/>
  <c r="K56" i="35"/>
  <c r="K57" i="35"/>
  <c r="K58" i="35"/>
  <c r="K39" i="35"/>
  <c r="K38" i="35"/>
  <c r="K46" i="35"/>
  <c r="K44" i="35"/>
  <c r="K45" i="35"/>
  <c r="M68" i="35"/>
  <c r="K42" i="35"/>
  <c r="K41" i="35"/>
  <c r="K40" i="35"/>
  <c r="F43" i="20"/>
  <c r="M43" i="20"/>
  <c r="B4" i="41"/>
  <c r="J8" i="41"/>
  <c r="B92" i="41"/>
  <c r="B91" i="41"/>
  <c r="B90" i="41"/>
  <c r="B89" i="41"/>
  <c r="B88" i="41"/>
  <c r="G46" i="41"/>
  <c r="B4" i="38"/>
  <c r="K21" i="20"/>
  <c r="G61" i="32"/>
  <c r="D60" i="32"/>
  <c r="G60" i="32" s="1"/>
  <c r="G47" i="32"/>
  <c r="G48" i="32"/>
  <c r="G49" i="32"/>
  <c r="G50" i="32"/>
  <c r="G51" i="32"/>
  <c r="G52" i="32"/>
  <c r="G46" i="32"/>
  <c r="G132" i="10"/>
  <c r="B4" i="132"/>
  <c r="B4" i="60"/>
  <c r="B90" i="118"/>
  <c r="B89" i="118"/>
  <c r="B88" i="118"/>
  <c r="B87" i="118"/>
  <c r="M21" i="20"/>
  <c r="O19" i="20"/>
  <c r="M19" i="20"/>
  <c r="F19" i="20"/>
  <c r="Y68" i="46"/>
  <c r="AA68" i="46" s="1"/>
  <c r="Y58" i="46"/>
  <c r="Y54" i="46"/>
  <c r="Y73" i="46" s="1"/>
  <c r="Y75" i="46"/>
  <c r="Q33" i="35"/>
  <c r="B133" i="102"/>
  <c r="B132" i="102"/>
  <c r="B131" i="102"/>
  <c r="B130" i="102"/>
  <c r="O94" i="102"/>
  <c r="G43" i="141"/>
  <c r="E42" i="141"/>
  <c r="M74" i="35"/>
  <c r="M65" i="35"/>
  <c r="M67" i="35"/>
  <c r="M66" i="35"/>
  <c r="M54" i="35"/>
  <c r="M53" i="35"/>
  <c r="M52" i="35"/>
  <c r="M42" i="35"/>
  <c r="M41" i="35"/>
  <c r="M40" i="35"/>
  <c r="B4" i="54"/>
  <c r="AQ39" i="136"/>
  <c r="AQ38" i="136"/>
  <c r="I68" i="35"/>
  <c r="I67" i="35"/>
  <c r="I66" i="35"/>
  <c r="I54" i="35"/>
  <c r="I53" i="35"/>
  <c r="I42" i="35"/>
  <c r="I41" i="35"/>
  <c r="AG46" i="136"/>
  <c r="AG38" i="136"/>
  <c r="I55" i="35"/>
  <c r="I43" i="35"/>
  <c r="I70" i="35"/>
  <c r="I65" i="35"/>
  <c r="I64" i="35"/>
  <c r="I63" i="35"/>
  <c r="I62" i="35"/>
  <c r="I57" i="35"/>
  <c r="I52" i="35"/>
  <c r="I51" i="35"/>
  <c r="I50" i="35"/>
  <c r="I49" i="35"/>
  <c r="I45" i="35"/>
  <c r="I97" i="35"/>
  <c r="I40" i="35"/>
  <c r="I37" i="35"/>
  <c r="I39" i="35"/>
  <c r="I38" i="35"/>
  <c r="AC68" i="30"/>
  <c r="AE34" i="7"/>
  <c r="B116" i="30"/>
  <c r="B115" i="30"/>
  <c r="B114" i="30"/>
  <c r="B113" i="30"/>
  <c r="K50" i="30"/>
  <c r="AS72" i="69"/>
  <c r="AS70" i="69"/>
  <c r="AS65" i="69"/>
  <c r="AS64" i="69"/>
  <c r="AS105" i="69"/>
  <c r="AS73" i="69"/>
  <c r="AS88" i="69"/>
  <c r="K33" i="84"/>
  <c r="G34" i="101"/>
  <c r="G35" i="101"/>
  <c r="I35" i="101" s="1"/>
  <c r="K35" i="101" s="1"/>
  <c r="G49" i="101"/>
  <c r="I49" i="101" s="1"/>
  <c r="K49" i="101" s="1"/>
  <c r="A7" i="47"/>
  <c r="I129" i="152"/>
  <c r="AK104" i="152"/>
  <c r="AI104" i="152"/>
  <c r="G91" i="152"/>
  <c r="G88" i="152"/>
  <c r="G86" i="152"/>
  <c r="G84" i="152"/>
  <c r="B21" i="152"/>
  <c r="B20" i="152"/>
  <c r="B19" i="152"/>
  <c r="B18" i="152"/>
  <c r="B17" i="152"/>
  <c r="B16" i="152"/>
  <c r="B15" i="152"/>
  <c r="B14" i="152"/>
  <c r="B13" i="152"/>
  <c r="B4" i="152"/>
  <c r="M46" i="149"/>
  <c r="Q55" i="102"/>
  <c r="B4" i="118"/>
  <c r="L4" i="142"/>
  <c r="J4" i="142"/>
  <c r="B4" i="126"/>
  <c r="K53" i="81"/>
  <c r="K45" i="71"/>
  <c r="G42" i="78"/>
  <c r="I37" i="86"/>
  <c r="G39" i="86"/>
  <c r="G38" i="86"/>
  <c r="G37" i="86"/>
  <c r="G37" i="78"/>
  <c r="G48" i="78"/>
  <c r="G45" i="78"/>
  <c r="G40" i="78"/>
  <c r="U33" i="80"/>
  <c r="U46" i="80" s="1"/>
  <c r="O41" i="71"/>
  <c r="K36" i="81"/>
  <c r="AE46" i="136"/>
  <c r="AE86" i="136" s="1"/>
  <c r="AE52" i="9"/>
  <c r="U73" i="30"/>
  <c r="B4" i="32"/>
  <c r="B84" i="29"/>
  <c r="B83" i="29"/>
  <c r="B82" i="29"/>
  <c r="B81" i="29"/>
  <c r="I45" i="29"/>
  <c r="U88" i="59"/>
  <c r="G66" i="59"/>
  <c r="AC33" i="9"/>
  <c r="G46" i="110"/>
  <c r="G50" i="71"/>
  <c r="G48" i="71"/>
  <c r="B4" i="110"/>
  <c r="AQ76" i="7"/>
  <c r="AG123" i="9"/>
  <c r="AI60" i="136"/>
  <c r="AI61" i="136" s="1"/>
  <c r="U58" i="6"/>
  <c r="AE73" i="30"/>
  <c r="W51" i="66"/>
  <c r="W79" i="66"/>
  <c r="M34" i="60"/>
  <c r="O84" i="8"/>
  <c r="O73" i="8"/>
  <c r="O71" i="8"/>
  <c r="O54" i="8"/>
  <c r="O38" i="8"/>
  <c r="O52" i="8"/>
  <c r="B4" i="78"/>
  <c r="AO76" i="7"/>
  <c r="G45" i="41"/>
  <c r="I45" i="41" s="1"/>
  <c r="G44" i="41"/>
  <c r="I44" i="41" s="1"/>
  <c r="G47" i="71"/>
  <c r="D39" i="81"/>
  <c r="K84" i="8"/>
  <c r="D84" i="8"/>
  <c r="D83" i="8"/>
  <c r="D41" i="71"/>
  <c r="G41" i="71" s="1"/>
  <c r="B4" i="81"/>
  <c r="G39" i="8"/>
  <c r="K73" i="8"/>
  <c r="K71" i="8"/>
  <c r="K54" i="8"/>
  <c r="K52" i="8"/>
  <c r="K62" i="29"/>
  <c r="D43" i="35"/>
  <c r="D55" i="35"/>
  <c r="Q88" i="59"/>
  <c r="AI160" i="13"/>
  <c r="AI162" i="13"/>
  <c r="M69" i="80"/>
  <c r="B4" i="80"/>
  <c r="AC123" i="9"/>
  <c r="W81" i="16"/>
  <c r="G88" i="9"/>
  <c r="K88" i="9"/>
  <c r="O37" i="66"/>
  <c r="G50" i="66"/>
  <c r="D49" i="66"/>
  <c r="G49" i="66" s="1"/>
  <c r="G48" i="66"/>
  <c r="G36" i="54"/>
  <c r="Y85" i="136"/>
  <c r="G57" i="59"/>
  <c r="G55" i="59"/>
  <c r="D56" i="59"/>
  <c r="G56" i="59"/>
  <c r="D53" i="59"/>
  <c r="G53" i="59" s="1"/>
  <c r="D52" i="59"/>
  <c r="G52" i="59" s="1"/>
  <c r="K45" i="31"/>
  <c r="K36" i="31"/>
  <c r="K38" i="31"/>
  <c r="I45" i="31"/>
  <c r="I36" i="31"/>
  <c r="I38" i="31"/>
  <c r="D54" i="57"/>
  <c r="D71" i="8"/>
  <c r="D70" i="8"/>
  <c r="D42" i="8"/>
  <c r="D48" i="8"/>
  <c r="D47" i="8"/>
  <c r="D46" i="8"/>
  <c r="D45" i="8"/>
  <c r="D44" i="8"/>
  <c r="D41" i="8"/>
  <c r="D43" i="8"/>
  <c r="F121" i="144"/>
  <c r="H134" i="144"/>
  <c r="O129" i="144"/>
  <c r="J129" i="144"/>
  <c r="H125" i="144"/>
  <c r="N128" i="144"/>
  <c r="M129" i="144"/>
  <c r="L129" i="144"/>
  <c r="J128" i="144"/>
  <c r="I129" i="144"/>
  <c r="H129" i="144"/>
  <c r="H128" i="144"/>
  <c r="O124" i="144"/>
  <c r="P129" i="144"/>
  <c r="N134" i="144"/>
  <c r="G134" i="144"/>
  <c r="P133" i="144"/>
  <c r="P132" i="144"/>
  <c r="P131" i="144"/>
  <c r="P130" i="144"/>
  <c r="P128" i="144"/>
  <c r="P127" i="144"/>
  <c r="P126" i="144"/>
  <c r="P125" i="144"/>
  <c r="P124" i="144"/>
  <c r="P123" i="144"/>
  <c r="P122" i="144"/>
  <c r="P121" i="144"/>
  <c r="P134" i="144" s="1"/>
  <c r="O133" i="144"/>
  <c r="O132" i="144"/>
  <c r="O131" i="144"/>
  <c r="O130" i="144"/>
  <c r="O128" i="144"/>
  <c r="O127" i="144"/>
  <c r="O126" i="144"/>
  <c r="O125" i="144"/>
  <c r="O123" i="144"/>
  <c r="O122" i="144"/>
  <c r="O121" i="144"/>
  <c r="O134" i="144" s="1"/>
  <c r="M127" i="144"/>
  <c r="M124" i="144"/>
  <c r="M134" i="144" s="1"/>
  <c r="L133" i="144"/>
  <c r="L128" i="144"/>
  <c r="L125" i="144"/>
  <c r="L134" i="144" s="1"/>
  <c r="K133" i="144"/>
  <c r="K134" i="144" s="1"/>
  <c r="J133" i="144"/>
  <c r="J132" i="144"/>
  <c r="J131" i="144"/>
  <c r="J130" i="144"/>
  <c r="J127" i="144"/>
  <c r="J126" i="144"/>
  <c r="J125" i="144"/>
  <c r="J124" i="144"/>
  <c r="J123" i="144"/>
  <c r="J122" i="144"/>
  <c r="J121" i="144"/>
  <c r="J134" i="144" s="1"/>
  <c r="I133" i="144"/>
  <c r="I132" i="144"/>
  <c r="I131" i="144"/>
  <c r="I130" i="144"/>
  <c r="I128" i="144"/>
  <c r="I127" i="144"/>
  <c r="I126" i="144"/>
  <c r="I125" i="144"/>
  <c r="I124" i="144"/>
  <c r="I123" i="144"/>
  <c r="I122" i="144"/>
  <c r="I121" i="144"/>
  <c r="I134" i="144" s="1"/>
  <c r="H133" i="144"/>
  <c r="H132" i="144"/>
  <c r="H131" i="144"/>
  <c r="H130" i="144"/>
  <c r="H127" i="144"/>
  <c r="H126" i="144"/>
  <c r="H124" i="144"/>
  <c r="H123" i="144"/>
  <c r="H122" i="144"/>
  <c r="H121" i="144"/>
  <c r="F134" i="144"/>
  <c r="B94" i="25"/>
  <c r="B93" i="25"/>
  <c r="B92" i="25"/>
  <c r="B91" i="25"/>
  <c r="K36" i="151"/>
  <c r="K40" i="151"/>
  <c r="K49" i="151"/>
  <c r="K46" i="151"/>
  <c r="K43" i="151"/>
  <c r="K39" i="151"/>
  <c r="K35" i="151"/>
  <c r="G40" i="151"/>
  <c r="I40" i="151" s="1"/>
  <c r="G36" i="151"/>
  <c r="I36" i="151" s="1"/>
  <c r="K57" i="151"/>
  <c r="K52" i="151"/>
  <c r="I39" i="151"/>
  <c r="I43" i="151"/>
  <c r="I46" i="151"/>
  <c r="I49" i="151"/>
  <c r="I52" i="151"/>
  <c r="I35" i="151"/>
  <c r="G57" i="151"/>
  <c r="G52" i="151"/>
  <c r="G49" i="151"/>
  <c r="G46" i="151"/>
  <c r="G43" i="151"/>
  <c r="G39" i="151"/>
  <c r="G35" i="151"/>
  <c r="B97" i="151"/>
  <c r="B19" i="151"/>
  <c r="B18" i="151"/>
  <c r="B17" i="151"/>
  <c r="B16" i="151"/>
  <c r="B15" i="151"/>
  <c r="B14" i="151"/>
  <c r="B13" i="151"/>
  <c r="B12" i="151"/>
  <c r="B11" i="151"/>
  <c r="B4" i="151"/>
  <c r="K36" i="149"/>
  <c r="Y65" i="30"/>
  <c r="D38" i="144"/>
  <c r="D61" i="144"/>
  <c r="Y64" i="30"/>
  <c r="D96" i="14"/>
  <c r="D112" i="14"/>
  <c r="D94" i="14"/>
  <c r="D113" i="14"/>
  <c r="D92" i="14"/>
  <c r="D86" i="9"/>
  <c r="F42" i="141"/>
  <c r="G42" i="141"/>
  <c r="M148" i="142"/>
  <c r="M149" i="142" s="1"/>
  <c r="I33" i="46"/>
  <c r="I73" i="46" s="1"/>
  <c r="A10" i="49"/>
  <c r="O85" i="16"/>
  <c r="N8" i="16" s="1"/>
  <c r="K4" i="142"/>
  <c r="J5" i="142"/>
  <c r="E10" i="150"/>
  <c r="E9" i="150"/>
  <c r="G53" i="71" l="1"/>
  <c r="K53" i="71"/>
  <c r="Q45" i="71"/>
  <c r="Q53" i="71" s="1"/>
  <c r="Q55" i="71" s="1"/>
  <c r="Q57" i="71" s="1"/>
  <c r="S39" i="81"/>
  <c r="B121" i="16"/>
  <c r="M81" i="16"/>
  <c r="M85" i="16" s="1"/>
  <c r="L8" i="16" s="1"/>
  <c r="O102" i="75"/>
  <c r="P9" i="60"/>
  <c r="K79" i="17"/>
  <c r="K81" i="17" s="1"/>
  <c r="O110" i="152"/>
  <c r="O109" i="152"/>
  <c r="N8" i="152"/>
  <c r="S106" i="152"/>
  <c r="S108" i="152" s="1"/>
  <c r="U106" i="152"/>
  <c r="U108" i="152" s="1"/>
  <c r="S110" i="152"/>
  <c r="S109" i="152"/>
  <c r="R8" i="152"/>
  <c r="R10" i="152" s="1"/>
  <c r="I88" i="9"/>
  <c r="Y88" i="9" s="1"/>
  <c r="Y123" i="9" s="1"/>
  <c r="S88" i="9"/>
  <c r="S123" i="9" s="1"/>
  <c r="AM67" i="136"/>
  <c r="AM66" i="136"/>
  <c r="AL8" i="136"/>
  <c r="S66" i="136"/>
  <c r="S67" i="136"/>
  <c r="R8" i="136"/>
  <c r="U66" i="136"/>
  <c r="U67" i="136"/>
  <c r="T8" i="136"/>
  <c r="Y51" i="136"/>
  <c r="Y61" i="136" s="1"/>
  <c r="W61" i="136"/>
  <c r="W63" i="136" s="1"/>
  <c r="W65" i="136" s="1"/>
  <c r="C188" i="95"/>
  <c r="S111" i="95"/>
  <c r="O52" i="71"/>
  <c r="O53" i="71" s="1"/>
  <c r="K71" i="126"/>
  <c r="K72" i="126"/>
  <c r="J8" i="126"/>
  <c r="B106" i="126" s="1"/>
  <c r="AT65" i="152"/>
  <c r="AT67" i="152" s="1"/>
  <c r="AS8" i="152" s="1"/>
  <c r="K106" i="152"/>
  <c r="K108" i="152" s="1"/>
  <c r="W48" i="57"/>
  <c r="M48" i="57"/>
  <c r="Q48" i="57" s="1"/>
  <c r="Q69" i="57" s="1"/>
  <c r="M59" i="57"/>
  <c r="W59" i="57"/>
  <c r="K55" i="35"/>
  <c r="M55" i="35"/>
  <c r="M43" i="35"/>
  <c r="K43" i="35"/>
  <c r="K66" i="136"/>
  <c r="K67" i="136"/>
  <c r="J8" i="136"/>
  <c r="Y76" i="7"/>
  <c r="Y78" i="7" s="1"/>
  <c r="Y80" i="7" s="1"/>
  <c r="Y82" i="7" s="1"/>
  <c r="AA76" i="7"/>
  <c r="AA78" i="7" s="1"/>
  <c r="AA80" i="7" s="1"/>
  <c r="S81" i="7"/>
  <c r="S82" i="7"/>
  <c r="R8" i="7"/>
  <c r="AM107" i="75"/>
  <c r="AM108" i="75"/>
  <c r="AL8" i="75"/>
  <c r="AA78" i="30"/>
  <c r="AA79" i="30"/>
  <c r="Z9" i="30"/>
  <c r="AG61" i="136"/>
  <c r="AG63" i="136" s="1"/>
  <c r="AG65" i="136" s="1"/>
  <c r="M41" i="147"/>
  <c r="S202" i="14"/>
  <c r="S204" i="14" s="1"/>
  <c r="S206" i="14" s="1"/>
  <c r="F22" i="154"/>
  <c r="O39" i="154"/>
  <c r="F39" i="154" s="1"/>
  <c r="K105" i="20"/>
  <c r="AT69" i="152"/>
  <c r="AT68" i="152"/>
  <c r="AV65" i="152"/>
  <c r="AV67" i="152" s="1"/>
  <c r="BB65" i="152"/>
  <c r="BB67" i="152" s="1"/>
  <c r="AC73" i="30"/>
  <c r="Y73" i="30"/>
  <c r="AC162" i="13"/>
  <c r="AC164" i="13"/>
  <c r="AI73" i="30"/>
  <c r="K73" i="30"/>
  <c r="C117" i="30"/>
  <c r="I114" i="6"/>
  <c r="S83" i="6"/>
  <c r="AX65" i="152"/>
  <c r="AX67" i="152" s="1"/>
  <c r="AZ65" i="152"/>
  <c r="AZ67" i="152" s="1"/>
  <c r="AX68" i="152"/>
  <c r="AX69" i="152"/>
  <c r="AW8" i="152"/>
  <c r="F14" i="154"/>
  <c r="O32" i="154"/>
  <c r="F32" i="154" s="1"/>
  <c r="F24" i="154"/>
  <c r="O40" i="154"/>
  <c r="F40" i="154" s="1"/>
  <c r="O29" i="154"/>
  <c r="F29" i="154" s="1"/>
  <c r="AO88" i="75"/>
  <c r="AC98" i="152"/>
  <c r="AC97" i="152"/>
  <c r="W104" i="152"/>
  <c r="AC99" i="152"/>
  <c r="AA101" i="152"/>
  <c r="AC101" i="152"/>
  <c r="I104" i="152"/>
  <c r="Y102" i="152"/>
  <c r="AC102" i="152"/>
  <c r="AA97" i="152"/>
  <c r="Y97" i="152"/>
  <c r="AA98" i="152"/>
  <c r="AA99" i="152"/>
  <c r="Y99" i="152"/>
  <c r="Y101" i="152"/>
  <c r="AC106" i="152"/>
  <c r="AA106" i="152"/>
  <c r="U40" i="132"/>
  <c r="AA102" i="152"/>
  <c r="O36" i="154"/>
  <c r="F36" i="154" s="1"/>
  <c r="M204" i="14"/>
  <c r="M206" i="14" s="1"/>
  <c r="Y125" i="9"/>
  <c r="Y127" i="9" s="1"/>
  <c r="AW53" i="136"/>
  <c r="AC61" i="136"/>
  <c r="AC63" i="136" s="1"/>
  <c r="AC65" i="136" s="1"/>
  <c r="AS63" i="136"/>
  <c r="AS65" i="136" s="1"/>
  <c r="S47" i="29"/>
  <c r="S49" i="29" s="1"/>
  <c r="AG78" i="7"/>
  <c r="AG80" i="7" s="1"/>
  <c r="M88" i="6"/>
  <c r="M90" i="6" s="1"/>
  <c r="M92" i="6" s="1"/>
  <c r="I123" i="9"/>
  <c r="U88" i="9"/>
  <c r="AA88" i="9" s="1"/>
  <c r="U123" i="9"/>
  <c r="U125" i="9"/>
  <c r="U127" i="9" s="1"/>
  <c r="AC78" i="7"/>
  <c r="AC80" i="7" s="1"/>
  <c r="AB8" i="7" s="1"/>
  <c r="F11" i="154"/>
  <c r="O30" i="154"/>
  <c r="F30" i="154" s="1"/>
  <c r="F13" i="154"/>
  <c r="O31" i="154"/>
  <c r="F31" i="154" s="1"/>
  <c r="F15" i="154"/>
  <c r="O33" i="154"/>
  <c r="F33" i="154" s="1"/>
  <c r="F16" i="154"/>
  <c r="O34" i="154"/>
  <c r="F34" i="154" s="1"/>
  <c r="F17" i="154"/>
  <c r="O35" i="154"/>
  <c r="F35" i="154" s="1"/>
  <c r="F20" i="154"/>
  <c r="O37" i="154"/>
  <c r="F37" i="154" s="1"/>
  <c r="F21" i="154"/>
  <c r="O38" i="154"/>
  <c r="F38" i="154" s="1"/>
  <c r="F25" i="154"/>
  <c r="O41" i="154"/>
  <c r="F41" i="154" s="1"/>
  <c r="F26" i="154"/>
  <c r="O42" i="154"/>
  <c r="F42" i="154" s="1"/>
  <c r="F27" i="154"/>
  <c r="O43" i="154"/>
  <c r="F43" i="154" s="1"/>
  <c r="F10" i="153"/>
  <c r="O28" i="153"/>
  <c r="F28" i="153" s="1"/>
  <c r="F11" i="153"/>
  <c r="O29" i="153"/>
  <c r="F29" i="153" s="1"/>
  <c r="F12" i="153"/>
  <c r="O30" i="153"/>
  <c r="F30" i="153" s="1"/>
  <c r="F13" i="153"/>
  <c r="O31" i="153"/>
  <c r="F31" i="153" s="1"/>
  <c r="F14" i="153"/>
  <c r="O32" i="153"/>
  <c r="F32" i="153" s="1"/>
  <c r="F15" i="153"/>
  <c r="O33" i="153"/>
  <c r="F33" i="153" s="1"/>
  <c r="F16" i="153"/>
  <c r="O34" i="153"/>
  <c r="F34" i="153" s="1"/>
  <c r="F18" i="153"/>
  <c r="O35" i="153"/>
  <c r="F35" i="153" s="1"/>
  <c r="F19" i="153"/>
  <c r="O36" i="153"/>
  <c r="F36" i="153" s="1"/>
  <c r="F20" i="153"/>
  <c r="O37" i="153"/>
  <c r="F37" i="153" s="1"/>
  <c r="F21" i="153"/>
  <c r="O38" i="153"/>
  <c r="F38" i="153" s="1"/>
  <c r="F23" i="153"/>
  <c r="O39" i="153"/>
  <c r="F39" i="153" s="1"/>
  <c r="F24" i="153"/>
  <c r="O40" i="153"/>
  <c r="F40" i="153" s="1"/>
  <c r="F25" i="153"/>
  <c r="O41" i="153"/>
  <c r="F41" i="153" s="1"/>
  <c r="F26" i="153"/>
  <c r="O42" i="153"/>
  <c r="F42" i="153" s="1"/>
  <c r="K84" i="132"/>
  <c r="U63" i="132"/>
  <c r="Q104" i="152"/>
  <c r="M86" i="84"/>
  <c r="M88" i="84" s="1"/>
  <c r="BC63" i="136"/>
  <c r="BC65" i="136" s="1"/>
  <c r="BA63" i="136"/>
  <c r="BA65" i="136" s="1"/>
  <c r="AY63" i="136"/>
  <c r="AY65" i="136" s="1"/>
  <c r="AX8" i="136" s="1"/>
  <c r="D29" i="154"/>
  <c r="D30" i="154"/>
  <c r="D31" i="154"/>
  <c r="D32" i="154"/>
  <c r="D33" i="154"/>
  <c r="D34" i="154"/>
  <c r="D35" i="154"/>
  <c r="D36" i="154"/>
  <c r="D37" i="154"/>
  <c r="D38" i="154"/>
  <c r="D39" i="154"/>
  <c r="D40" i="154"/>
  <c r="D41" i="154"/>
  <c r="D42" i="154"/>
  <c r="D43" i="154"/>
  <c r="D52" i="154"/>
  <c r="I52" i="154" s="1"/>
  <c r="L52" i="154" s="1"/>
  <c r="D53" i="154"/>
  <c r="I53" i="154" s="1"/>
  <c r="L53" i="154" s="1"/>
  <c r="D55" i="154"/>
  <c r="I55" i="154" s="1"/>
  <c r="L55" i="154" s="1"/>
  <c r="D56" i="154"/>
  <c r="I56" i="154" s="1"/>
  <c r="L56" i="154" s="1"/>
  <c r="D57" i="154"/>
  <c r="I57" i="154" s="1"/>
  <c r="L57" i="154" s="1"/>
  <c r="D61" i="154"/>
  <c r="I61" i="154" s="1"/>
  <c r="L61" i="154" s="1"/>
  <c r="D62" i="154"/>
  <c r="I62" i="154" s="1"/>
  <c r="L62" i="154" s="1"/>
  <c r="D68" i="154"/>
  <c r="K68" i="154" s="1"/>
  <c r="D70" i="154"/>
  <c r="K70" i="154" s="1"/>
  <c r="L70" i="154" s="1"/>
  <c r="D71" i="154"/>
  <c r="K71" i="154" s="1"/>
  <c r="L71" i="154" s="1"/>
  <c r="D73" i="154"/>
  <c r="K73" i="154" s="1"/>
  <c r="L73" i="154" s="1"/>
  <c r="D74" i="154"/>
  <c r="K74" i="154" s="1"/>
  <c r="L74" i="154" s="1"/>
  <c r="D75" i="154"/>
  <c r="K75" i="154" s="1"/>
  <c r="L75" i="154" s="1"/>
  <c r="D78" i="154"/>
  <c r="K78" i="154" s="1"/>
  <c r="L78" i="154" s="1"/>
  <c r="D80" i="154"/>
  <c r="K80" i="154" s="1"/>
  <c r="L80" i="154" s="1"/>
  <c r="D97" i="154"/>
  <c r="K97" i="154" s="1"/>
  <c r="L97" i="154" s="1"/>
  <c r="D98" i="154"/>
  <c r="K98" i="154" s="1"/>
  <c r="L98" i="154" s="1"/>
  <c r="D106" i="154"/>
  <c r="K106" i="154" s="1"/>
  <c r="L106" i="154" s="1"/>
  <c r="D116" i="154"/>
  <c r="K116" i="154" s="1"/>
  <c r="L116" i="154" s="1"/>
  <c r="D117" i="154"/>
  <c r="K117" i="154" s="1"/>
  <c r="L117" i="154" s="1"/>
  <c r="D130" i="154"/>
  <c r="K130" i="154" s="1"/>
  <c r="L130" i="154" s="1"/>
  <c r="D131" i="154"/>
  <c r="K131" i="154" s="1"/>
  <c r="L131" i="154" s="1"/>
  <c r="D139" i="154"/>
  <c r="I139" i="154" s="1"/>
  <c r="L139" i="154" s="1"/>
  <c r="D140" i="154"/>
  <c r="I140" i="154" s="1"/>
  <c r="L140" i="154" s="1"/>
  <c r="D154" i="154"/>
  <c r="K154" i="154" s="1"/>
  <c r="L154" i="154" s="1"/>
  <c r="D46" i="154"/>
  <c r="I46" i="154" s="1"/>
  <c r="L46" i="154" s="1"/>
  <c r="D107" i="154"/>
  <c r="K107" i="154" s="1"/>
  <c r="L107" i="154" s="1"/>
  <c r="D123" i="154"/>
  <c r="K123" i="154" s="1"/>
  <c r="L123" i="154" s="1"/>
  <c r="D10" i="154"/>
  <c r="G10" i="154" s="1"/>
  <c r="D11" i="154"/>
  <c r="D13" i="154"/>
  <c r="D14" i="154"/>
  <c r="D15" i="154"/>
  <c r="D16" i="154"/>
  <c r="D17" i="154"/>
  <c r="D18" i="154"/>
  <c r="G18" i="154" s="1"/>
  <c r="L18" i="154" s="1"/>
  <c r="D19" i="154"/>
  <c r="G19" i="154" s="1"/>
  <c r="L19" i="154" s="1"/>
  <c r="D20" i="154"/>
  <c r="D21" i="154"/>
  <c r="D22" i="154"/>
  <c r="D23" i="154"/>
  <c r="G23" i="154" s="1"/>
  <c r="L23" i="154" s="1"/>
  <c r="D24" i="154"/>
  <c r="D25" i="154"/>
  <c r="D26" i="154"/>
  <c r="D27" i="154"/>
  <c r="L44" i="154"/>
  <c r="I159" i="154"/>
  <c r="L155" i="154"/>
  <c r="L150" i="154"/>
  <c r="L145" i="154"/>
  <c r="L141" i="154"/>
  <c r="L135" i="154"/>
  <c r="L126" i="154"/>
  <c r="L119" i="154"/>
  <c r="L100" i="154"/>
  <c r="L82" i="154"/>
  <c r="Y63" i="136"/>
  <c r="Y65" i="136" s="1"/>
  <c r="D28" i="153"/>
  <c r="D29" i="153"/>
  <c r="D30" i="153"/>
  <c r="D31" i="153"/>
  <c r="D32" i="153"/>
  <c r="D33" i="153"/>
  <c r="D34" i="153"/>
  <c r="D35" i="153"/>
  <c r="D36" i="153"/>
  <c r="D37" i="153"/>
  <c r="D38" i="153"/>
  <c r="D39" i="153"/>
  <c r="D40" i="153"/>
  <c r="D41" i="153"/>
  <c r="D42" i="153"/>
  <c r="D51" i="153"/>
  <c r="I51" i="153" s="1"/>
  <c r="L51" i="153" s="1"/>
  <c r="D52" i="153"/>
  <c r="I52" i="153" s="1"/>
  <c r="L52" i="153" s="1"/>
  <c r="D54" i="153"/>
  <c r="I54" i="153" s="1"/>
  <c r="L54" i="153" s="1"/>
  <c r="D55" i="153"/>
  <c r="I55" i="153" s="1"/>
  <c r="L55" i="153" s="1"/>
  <c r="D56" i="153"/>
  <c r="I56" i="153" s="1"/>
  <c r="L56" i="153" s="1"/>
  <c r="D60" i="153"/>
  <c r="I60" i="153" s="1"/>
  <c r="L60" i="153" s="1"/>
  <c r="L43" i="153" s="1"/>
  <c r="D61" i="153"/>
  <c r="I61" i="153" s="1"/>
  <c r="L61" i="153" s="1"/>
  <c r="D67" i="153"/>
  <c r="K67" i="153" s="1"/>
  <c r="D69" i="153"/>
  <c r="K69" i="153" s="1"/>
  <c r="L69" i="153" s="1"/>
  <c r="D70" i="153"/>
  <c r="K70" i="153" s="1"/>
  <c r="L70" i="153" s="1"/>
  <c r="D72" i="153"/>
  <c r="K72" i="153" s="1"/>
  <c r="L72" i="153" s="1"/>
  <c r="D73" i="153"/>
  <c r="K73" i="153" s="1"/>
  <c r="L73" i="153" s="1"/>
  <c r="D74" i="153"/>
  <c r="K74" i="153" s="1"/>
  <c r="L74" i="153" s="1"/>
  <c r="D77" i="153"/>
  <c r="K77" i="153" s="1"/>
  <c r="L77" i="153" s="1"/>
  <c r="D79" i="153"/>
  <c r="K79" i="153" s="1"/>
  <c r="L79" i="153" s="1"/>
  <c r="K83" i="153"/>
  <c r="L83" i="153" s="1"/>
  <c r="K84" i="153"/>
  <c r="L84" i="153" s="1"/>
  <c r="K87" i="153"/>
  <c r="L87" i="153" s="1"/>
  <c r="K88" i="153"/>
  <c r="L88" i="153" s="1"/>
  <c r="K92" i="153"/>
  <c r="L92" i="153" s="1"/>
  <c r="K94" i="153"/>
  <c r="L94" i="153" s="1"/>
  <c r="D96" i="153"/>
  <c r="K96" i="153" s="1"/>
  <c r="L96" i="153" s="1"/>
  <c r="D97" i="153"/>
  <c r="K97" i="153" s="1"/>
  <c r="L97" i="153" s="1"/>
  <c r="D105" i="153"/>
  <c r="K105" i="153" s="1"/>
  <c r="L105" i="153" s="1"/>
  <c r="D115" i="153"/>
  <c r="K115" i="153" s="1"/>
  <c r="L115" i="153" s="1"/>
  <c r="D116" i="153"/>
  <c r="K116" i="153" s="1"/>
  <c r="L116" i="153" s="1"/>
  <c r="D129" i="153"/>
  <c r="K129" i="153" s="1"/>
  <c r="L129" i="153" s="1"/>
  <c r="D130" i="153"/>
  <c r="K130" i="153" s="1"/>
  <c r="L130" i="153" s="1"/>
  <c r="D138" i="153"/>
  <c r="I138" i="153" s="1"/>
  <c r="L138" i="153" s="1"/>
  <c r="D139" i="153"/>
  <c r="I139" i="153" s="1"/>
  <c r="L139" i="153" s="1"/>
  <c r="D45" i="153"/>
  <c r="I45" i="153" s="1"/>
  <c r="L45" i="153" s="1"/>
  <c r="D106" i="153"/>
  <c r="K106" i="153" s="1"/>
  <c r="L106" i="153" s="1"/>
  <c r="D122" i="153"/>
  <c r="K122" i="153" s="1"/>
  <c r="L122" i="153" s="1"/>
  <c r="D10" i="153"/>
  <c r="D11" i="153"/>
  <c r="D12" i="153"/>
  <c r="D13" i="153"/>
  <c r="D14" i="153"/>
  <c r="D15" i="153"/>
  <c r="D16" i="153"/>
  <c r="D17" i="153"/>
  <c r="G17" i="153" s="1"/>
  <c r="L17" i="153" s="1"/>
  <c r="D18" i="153"/>
  <c r="D19" i="153"/>
  <c r="D20" i="153"/>
  <c r="D21" i="153"/>
  <c r="D22" i="153"/>
  <c r="G22" i="153" s="1"/>
  <c r="L22" i="153" s="1"/>
  <c r="D23" i="153"/>
  <c r="D24" i="153"/>
  <c r="D25" i="153"/>
  <c r="D26" i="153"/>
  <c r="I158" i="153"/>
  <c r="L154" i="153"/>
  <c r="L149" i="153"/>
  <c r="L144" i="153"/>
  <c r="L140" i="153"/>
  <c r="L134" i="153"/>
  <c r="L125" i="153"/>
  <c r="L118" i="153"/>
  <c r="L99" i="153"/>
  <c r="L81" i="153"/>
  <c r="M86" i="16"/>
  <c r="M87" i="16"/>
  <c r="K55" i="71"/>
  <c r="K57" i="71" s="1"/>
  <c r="Q86" i="16"/>
  <c r="Q87" i="16"/>
  <c r="U61" i="6"/>
  <c r="U67" i="6"/>
  <c r="U82" i="6"/>
  <c r="U86" i="6"/>
  <c r="Q41" i="147"/>
  <c r="O70" i="104"/>
  <c r="O72" i="104" s="1"/>
  <c r="Q70" i="104"/>
  <c r="Q72" i="104" s="1"/>
  <c r="S70" i="104"/>
  <c r="S72" i="104" s="1"/>
  <c r="K70" i="104"/>
  <c r="K72" i="104" s="1"/>
  <c r="U206" i="14"/>
  <c r="AA71" i="14"/>
  <c r="AA202" i="14" s="1"/>
  <c r="Y202" i="14"/>
  <c r="G104" i="152"/>
  <c r="AE106" i="152"/>
  <c r="AE108" i="152" s="1"/>
  <c r="AE109" i="152" s="1"/>
  <c r="Y106" i="152"/>
  <c r="Q106" i="152"/>
  <c r="W106" i="152"/>
  <c r="I106" i="152"/>
  <c r="I162" i="13"/>
  <c r="I164" i="13" s="1"/>
  <c r="AE162" i="13"/>
  <c r="AE164" i="13" s="1"/>
  <c r="I73" i="10"/>
  <c r="I75" i="10" s="1"/>
  <c r="Q88" i="69"/>
  <c r="I90" i="69"/>
  <c r="I92" i="69" s="1"/>
  <c r="W78" i="7"/>
  <c r="W80" i="7" s="1"/>
  <c r="K79" i="66"/>
  <c r="K81" i="66"/>
  <c r="K83" i="66" s="1"/>
  <c r="W91" i="75"/>
  <c r="AA162" i="13"/>
  <c r="AA164" i="13" s="1"/>
  <c r="O59" i="25"/>
  <c r="W125" i="9"/>
  <c r="W127" i="9" s="1"/>
  <c r="AF83" i="16"/>
  <c r="AF85" i="16" s="1"/>
  <c r="S75" i="46"/>
  <c r="S77" i="46" s="1"/>
  <c r="AO125" i="9"/>
  <c r="AO127" i="9" s="1"/>
  <c r="AN8" i="9" s="1"/>
  <c r="AM125" i="9"/>
  <c r="AM127" i="9" s="1"/>
  <c r="AL8" i="9" s="1"/>
  <c r="W47" i="29"/>
  <c r="W49" i="29" s="1"/>
  <c r="S73" i="32"/>
  <c r="S75" i="32" s="1"/>
  <c r="AU63" i="136"/>
  <c r="AU65" i="136" s="1"/>
  <c r="W77" i="30"/>
  <c r="AI45" i="69"/>
  <c r="AA90" i="69"/>
  <c r="AA92" i="69" s="1"/>
  <c r="AO90" i="69"/>
  <c r="AO92" i="69" s="1"/>
  <c r="O104" i="75"/>
  <c r="O106" i="75" s="1"/>
  <c r="O92" i="6"/>
  <c r="AE42" i="7"/>
  <c r="AE76" i="7" s="1"/>
  <c r="AE78" i="7" s="1"/>
  <c r="AE80" i="7" s="1"/>
  <c r="AM42" i="7"/>
  <c r="Q119" i="95"/>
  <c r="Q121" i="95" s="1"/>
  <c r="AC71" i="46"/>
  <c r="U71" i="46"/>
  <c r="M143" i="5"/>
  <c r="O143" i="5" s="1"/>
  <c r="K143" i="5"/>
  <c r="AJ85" i="16"/>
  <c r="AP83" i="16"/>
  <c r="AP85" i="16" s="1"/>
  <c r="U75" i="32"/>
  <c r="T8" i="32" s="1"/>
  <c r="I125" i="9"/>
  <c r="I127" i="9" s="1"/>
  <c r="AE88" i="9"/>
  <c r="AE123" i="9" s="1"/>
  <c r="Q43" i="20"/>
  <c r="Y77" i="46"/>
  <c r="O96" i="102"/>
  <c r="O98" i="102" s="1"/>
  <c r="AS90" i="69"/>
  <c r="AS92" i="69" s="1"/>
  <c r="M106" i="152"/>
  <c r="M108" i="152" s="1"/>
  <c r="AI106" i="152"/>
  <c r="AI108" i="152" s="1"/>
  <c r="AK106" i="152"/>
  <c r="AK108" i="152" s="1"/>
  <c r="M48" i="149"/>
  <c r="M50" i="149" s="1"/>
  <c r="U75" i="30"/>
  <c r="U77" i="30" s="1"/>
  <c r="T9" i="30" s="1"/>
  <c r="AQ78" i="7"/>
  <c r="AQ80" i="7" s="1"/>
  <c r="AG125" i="9"/>
  <c r="AG127" i="9" s="1"/>
  <c r="W81" i="66"/>
  <c r="W83" i="66" s="1"/>
  <c r="AO78" i="7"/>
  <c r="AO80" i="7" s="1"/>
  <c r="AI164" i="13"/>
  <c r="AH8" i="13" s="1"/>
  <c r="AC125" i="9"/>
  <c r="AC127" i="9" s="1"/>
  <c r="B122" i="16"/>
  <c r="W83" i="16"/>
  <c r="W85" i="16" s="1"/>
  <c r="AE125" i="9"/>
  <c r="AE127" i="9" s="1"/>
  <c r="K86" i="16"/>
  <c r="K87" i="16"/>
  <c r="D51" i="8"/>
  <c r="D121" i="144"/>
  <c r="I57" i="151"/>
  <c r="O87" i="16"/>
  <c r="O86" i="16"/>
  <c r="L5" i="142"/>
  <c r="K5" i="142"/>
  <c r="E6" i="150"/>
  <c r="E7" i="150"/>
  <c r="J9" i="57" l="1"/>
  <c r="L9" i="132"/>
  <c r="L10" i="132" s="1"/>
  <c r="V10" i="8"/>
  <c r="P10" i="60"/>
  <c r="K83" i="17"/>
  <c r="K82" i="17"/>
  <c r="J8" i="17"/>
  <c r="U109" i="152"/>
  <c r="U110" i="152"/>
  <c r="T8" i="152"/>
  <c r="T10" i="152" s="1"/>
  <c r="S127" i="9"/>
  <c r="AW61" i="136"/>
  <c r="AW63" i="136" s="1"/>
  <c r="AW65" i="136" s="1"/>
  <c r="AO53" i="136"/>
  <c r="AO61" i="136" s="1"/>
  <c r="AO63" i="136" s="1"/>
  <c r="AO65" i="136" s="1"/>
  <c r="W67" i="136"/>
  <c r="W66" i="136"/>
  <c r="V8" i="136"/>
  <c r="S117" i="95"/>
  <c r="S119" i="95" s="1"/>
  <c r="S121" i="95" s="1"/>
  <c r="K109" i="152"/>
  <c r="K110" i="152"/>
  <c r="X8" i="7"/>
  <c r="Y81" i="7"/>
  <c r="AA81" i="7"/>
  <c r="AA82" i="7"/>
  <c r="Z8" i="7"/>
  <c r="G11" i="154"/>
  <c r="L11" i="154" s="1"/>
  <c r="G22" i="154"/>
  <c r="L22" i="154" s="1"/>
  <c r="G24" i="154"/>
  <c r="L24" i="154" s="1"/>
  <c r="G25" i="154"/>
  <c r="L25" i="154" s="1"/>
  <c r="G26" i="154"/>
  <c r="L26" i="154" s="1"/>
  <c r="G27" i="154"/>
  <c r="L27" i="154" s="1"/>
  <c r="G14" i="154"/>
  <c r="L14" i="154" s="1"/>
  <c r="G39" i="154"/>
  <c r="L39" i="154" s="1"/>
  <c r="G40" i="154"/>
  <c r="L40" i="154" s="1"/>
  <c r="G31" i="153"/>
  <c r="L31" i="153" s="1"/>
  <c r="BA8" i="152"/>
  <c r="BB69" i="152"/>
  <c r="BB68" i="152"/>
  <c r="AU8" i="152"/>
  <c r="AV69" i="152"/>
  <c r="AV68" i="152"/>
  <c r="AI75" i="30"/>
  <c r="AI77" i="30"/>
  <c r="AC166" i="13"/>
  <c r="AB8" i="13"/>
  <c r="AC165" i="13"/>
  <c r="G29" i="154"/>
  <c r="L29" i="154" s="1"/>
  <c r="G32" i="154"/>
  <c r="L32" i="154" s="1"/>
  <c r="G37" i="154"/>
  <c r="L37" i="154" s="1"/>
  <c r="G38" i="154"/>
  <c r="L38" i="154" s="1"/>
  <c r="G39" i="153"/>
  <c r="L39" i="153" s="1"/>
  <c r="G42" i="153"/>
  <c r="L42" i="153" s="1"/>
  <c r="G41" i="154"/>
  <c r="L41" i="154" s="1"/>
  <c r="AY8" i="152"/>
  <c r="AZ69" i="152"/>
  <c r="AZ68" i="152"/>
  <c r="I108" i="152"/>
  <c r="I110" i="152" s="1"/>
  <c r="G10" i="153"/>
  <c r="L10" i="153" s="1"/>
  <c r="G24" i="153"/>
  <c r="L24" i="153" s="1"/>
  <c r="G25" i="153"/>
  <c r="L25" i="153" s="1"/>
  <c r="G26" i="153"/>
  <c r="L26" i="153" s="1"/>
  <c r="G36" i="154"/>
  <c r="L36" i="154" s="1"/>
  <c r="G41" i="153"/>
  <c r="L41" i="153" s="1"/>
  <c r="G15" i="154"/>
  <c r="L15" i="154" s="1"/>
  <c r="G43" i="154"/>
  <c r="L43" i="154" s="1"/>
  <c r="G16" i="153"/>
  <c r="L16" i="153" s="1"/>
  <c r="G34" i="153"/>
  <c r="L34" i="153" s="1"/>
  <c r="G15" i="153"/>
  <c r="L15" i="153" s="1"/>
  <c r="G33" i="153"/>
  <c r="L33" i="153" s="1"/>
  <c r="G14" i="153"/>
  <c r="L14" i="153" s="1"/>
  <c r="G32" i="153"/>
  <c r="L32" i="153" s="1"/>
  <c r="G13" i="154"/>
  <c r="L13" i="154" s="1"/>
  <c r="G42" i="154"/>
  <c r="L42" i="154" s="1"/>
  <c r="W102" i="75"/>
  <c r="V8" i="75" s="1"/>
  <c r="AK91" i="75"/>
  <c r="AO91" i="75"/>
  <c r="AC104" i="152"/>
  <c r="AA104" i="152"/>
  <c r="AA108" i="152" s="1"/>
  <c r="AC108" i="152"/>
  <c r="AC110" i="152" s="1"/>
  <c r="AG104" i="152"/>
  <c r="AG106" i="152" s="1"/>
  <c r="AG108" i="152" s="1"/>
  <c r="W108" i="152"/>
  <c r="W110" i="152"/>
  <c r="W109" i="152"/>
  <c r="I109" i="152"/>
  <c r="Y104" i="152"/>
  <c r="Y108" i="152" s="1"/>
  <c r="X8" i="152" s="1"/>
  <c r="Q108" i="152"/>
  <c r="Q109" i="152" s="1"/>
  <c r="Z8" i="152"/>
  <c r="AA110" i="152"/>
  <c r="AA109" i="152"/>
  <c r="Y110" i="152"/>
  <c r="AE110" i="152"/>
  <c r="AC109" i="152"/>
  <c r="G31" i="154"/>
  <c r="L31" i="154" s="1"/>
  <c r="G19" i="153"/>
  <c r="L19" i="153" s="1"/>
  <c r="G18" i="153"/>
  <c r="L18" i="153" s="1"/>
  <c r="G30" i="154"/>
  <c r="L30" i="154" s="1"/>
  <c r="G29" i="153"/>
  <c r="L29" i="153" s="1"/>
  <c r="G28" i="153"/>
  <c r="L28" i="153" s="1"/>
  <c r="G35" i="154"/>
  <c r="L35" i="154" s="1"/>
  <c r="G40" i="153"/>
  <c r="L40" i="153" s="1"/>
  <c r="G21" i="154"/>
  <c r="L21" i="154" s="1"/>
  <c r="G34" i="154"/>
  <c r="L34" i="154" s="1"/>
  <c r="G13" i="153"/>
  <c r="L13" i="153" s="1"/>
  <c r="G12" i="153"/>
  <c r="L12" i="153" s="1"/>
  <c r="G30" i="153"/>
  <c r="L30" i="153" s="1"/>
  <c r="G23" i="153"/>
  <c r="L23" i="153" s="1"/>
  <c r="G21" i="153"/>
  <c r="L21" i="153" s="1"/>
  <c r="G20" i="154"/>
  <c r="L20" i="154" s="1"/>
  <c r="G33" i="154"/>
  <c r="L33" i="154" s="1"/>
  <c r="G20" i="153"/>
  <c r="L20" i="153" s="1"/>
  <c r="G38" i="153"/>
  <c r="L38" i="153" s="1"/>
  <c r="G37" i="153"/>
  <c r="L37" i="153" s="1"/>
  <c r="G17" i="154"/>
  <c r="L17" i="154" s="1"/>
  <c r="G11" i="153"/>
  <c r="L11" i="153" s="1"/>
  <c r="G36" i="153"/>
  <c r="L36" i="153" s="1"/>
  <c r="G35" i="153"/>
  <c r="L35" i="153" s="1"/>
  <c r="G16" i="154"/>
  <c r="L16" i="154" s="1"/>
  <c r="M208" i="14"/>
  <c r="M207" i="14"/>
  <c r="L8" i="14"/>
  <c r="Y129" i="9"/>
  <c r="Y128" i="9"/>
  <c r="X8" i="9"/>
  <c r="AS67" i="136"/>
  <c r="AS66" i="136"/>
  <c r="AR8" i="136"/>
  <c r="S51" i="29"/>
  <c r="S50" i="29"/>
  <c r="R8" i="29"/>
  <c r="S66" i="29" s="1"/>
  <c r="AC67" i="136"/>
  <c r="AC66" i="136"/>
  <c r="AB8" i="136"/>
  <c r="B105" i="136" s="1"/>
  <c r="AW67" i="136"/>
  <c r="AW66" i="136"/>
  <c r="AV8" i="136"/>
  <c r="AG82" i="7"/>
  <c r="AG81" i="7"/>
  <c r="AF8" i="7"/>
  <c r="M94" i="6"/>
  <c r="M93" i="6"/>
  <c r="L8" i="6"/>
  <c r="U129" i="9"/>
  <c r="U128" i="9"/>
  <c r="T8" i="9"/>
  <c r="B164" i="9" s="1"/>
  <c r="AC82" i="7"/>
  <c r="AC81" i="7"/>
  <c r="M90" i="84"/>
  <c r="M89" i="84"/>
  <c r="L8" i="84"/>
  <c r="S208" i="14"/>
  <c r="S207" i="14"/>
  <c r="R8" i="14"/>
  <c r="BC67" i="136"/>
  <c r="BC66" i="136"/>
  <c r="BA67" i="136"/>
  <c r="BA66" i="136"/>
  <c r="AY67" i="136"/>
  <c r="AY66" i="136"/>
  <c r="L96" i="154"/>
  <c r="L68" i="154"/>
  <c r="N66" i="154" s="1"/>
  <c r="K159" i="154"/>
  <c r="L162" i="154" s="1"/>
  <c r="M162" i="154" s="1"/>
  <c r="Y67" i="136"/>
  <c r="Y66" i="136"/>
  <c r="AG67" i="136"/>
  <c r="AG66" i="136"/>
  <c r="L95" i="153"/>
  <c r="L67" i="153"/>
  <c r="N65" i="153" s="1"/>
  <c r="K158" i="153"/>
  <c r="L161" i="153" s="1"/>
  <c r="M161" i="153" s="1"/>
  <c r="K59" i="71"/>
  <c r="K58" i="71"/>
  <c r="Q59" i="71"/>
  <c r="Q58" i="71"/>
  <c r="O74" i="104"/>
  <c r="O73" i="104"/>
  <c r="Q74" i="104"/>
  <c r="Q73" i="104"/>
  <c r="S74" i="104"/>
  <c r="S73" i="104"/>
  <c r="K74" i="104"/>
  <c r="K73" i="104"/>
  <c r="U207" i="14"/>
  <c r="U208" i="14"/>
  <c r="T8" i="14"/>
  <c r="I165" i="13"/>
  <c r="I166" i="13"/>
  <c r="H8" i="13"/>
  <c r="AE166" i="13"/>
  <c r="AE165" i="13"/>
  <c r="AD8" i="13"/>
  <c r="Q90" i="69"/>
  <c r="Q92" i="69" s="1"/>
  <c r="H8" i="69"/>
  <c r="W82" i="7"/>
  <c r="W81" i="7"/>
  <c r="V8" i="7"/>
  <c r="K85" i="66"/>
  <c r="K84" i="66"/>
  <c r="J8" i="66"/>
  <c r="AA166" i="13"/>
  <c r="AA165" i="13"/>
  <c r="Z8" i="13"/>
  <c r="O60" i="25"/>
  <c r="O61" i="25"/>
  <c r="N8" i="25"/>
  <c r="W129" i="9"/>
  <c r="W128" i="9"/>
  <c r="V8" i="9"/>
  <c r="AF87" i="16"/>
  <c r="AF86" i="16"/>
  <c r="AE8" i="16"/>
  <c r="S79" i="46"/>
  <c r="S78" i="46"/>
  <c r="R8" i="46"/>
  <c r="AO129" i="9"/>
  <c r="AO128" i="9"/>
  <c r="AM129" i="9"/>
  <c r="AM128" i="9"/>
  <c r="W51" i="29"/>
  <c r="W50" i="29"/>
  <c r="V8" i="29"/>
  <c r="S77" i="32"/>
  <c r="S76" i="32"/>
  <c r="R8" i="32"/>
  <c r="AU67" i="136"/>
  <c r="AU66" i="136"/>
  <c r="AT8" i="136"/>
  <c r="BB8" i="136"/>
  <c r="W78" i="30"/>
  <c r="W79" i="30"/>
  <c r="V9" i="30"/>
  <c r="Z8" i="69"/>
  <c r="AN8" i="69"/>
  <c r="O108" i="75"/>
  <c r="O107" i="75"/>
  <c r="N8" i="75"/>
  <c r="O93" i="6"/>
  <c r="O94" i="6"/>
  <c r="N8" i="6"/>
  <c r="Q123" i="95"/>
  <c r="Q122" i="95"/>
  <c r="P8" i="95"/>
  <c r="B188" i="95" s="1"/>
  <c r="U73" i="46"/>
  <c r="U75" i="46" s="1"/>
  <c r="U77" i="46" s="1"/>
  <c r="Q73" i="46"/>
  <c r="Q75" i="46" s="1"/>
  <c r="Q77" i="46" s="1"/>
  <c r="Q79" i="46"/>
  <c r="Q78" i="46"/>
  <c r="P8" i="46"/>
  <c r="U79" i="46"/>
  <c r="U78" i="46"/>
  <c r="T8" i="46"/>
  <c r="AJ86" i="16"/>
  <c r="AJ87" i="16"/>
  <c r="AI8" i="16"/>
  <c r="AP87" i="16"/>
  <c r="AP86" i="16"/>
  <c r="AO8" i="16"/>
  <c r="U76" i="32"/>
  <c r="U77" i="32"/>
  <c r="I129" i="9"/>
  <c r="I128" i="9"/>
  <c r="H8" i="9"/>
  <c r="AA43" i="20"/>
  <c r="Y78" i="46"/>
  <c r="Y79" i="46"/>
  <c r="X8" i="46"/>
  <c r="O100" i="102"/>
  <c r="O99" i="102"/>
  <c r="N8" i="102"/>
  <c r="B134" i="102" s="1"/>
  <c r="AF8" i="136"/>
  <c r="AE82" i="7"/>
  <c r="AE81" i="7"/>
  <c r="AD8" i="7"/>
  <c r="AR8" i="69"/>
  <c r="AK110" i="152"/>
  <c r="AK109" i="152"/>
  <c r="AJ8" i="152"/>
  <c r="AI110" i="152"/>
  <c r="AI109" i="152"/>
  <c r="AH8" i="152"/>
  <c r="AG110" i="152"/>
  <c r="AG109" i="152"/>
  <c r="AF8" i="152"/>
  <c r="AD8" i="152"/>
  <c r="V8" i="152"/>
  <c r="M110" i="152"/>
  <c r="M109" i="152"/>
  <c r="L8" i="152"/>
  <c r="M52" i="149"/>
  <c r="M51" i="149"/>
  <c r="U79" i="30"/>
  <c r="U78" i="30"/>
  <c r="AQ82" i="7"/>
  <c r="AQ81" i="7"/>
  <c r="AP8" i="7"/>
  <c r="AG129" i="9"/>
  <c r="AG128" i="9"/>
  <c r="AF8" i="9"/>
  <c r="W85" i="66"/>
  <c r="W84" i="66"/>
  <c r="AO82" i="7"/>
  <c r="AO81" i="7"/>
  <c r="AN8" i="7"/>
  <c r="AI165" i="13"/>
  <c r="AI166" i="13"/>
  <c r="AC129" i="9"/>
  <c r="AC128" i="9"/>
  <c r="AB8" i="9"/>
  <c r="W87" i="16"/>
  <c r="W86" i="16"/>
  <c r="V8" i="16"/>
  <c r="AE129" i="9"/>
  <c r="AE128" i="9"/>
  <c r="AD8" i="9"/>
  <c r="X8" i="136"/>
  <c r="E121" i="144"/>
  <c r="K59" i="151"/>
  <c r="K61" i="151" s="1"/>
  <c r="J8" i="151" s="1"/>
  <c r="I59" i="151"/>
  <c r="I61" i="151" s="1"/>
  <c r="E8" i="150"/>
  <c r="C8" i="150"/>
  <c r="S129" i="9" l="1"/>
  <c r="S128" i="9"/>
  <c r="R8" i="9"/>
  <c r="AO67" i="136"/>
  <c r="AO66" i="136"/>
  <c r="AN8" i="136"/>
  <c r="H9" i="57"/>
  <c r="J9" i="132"/>
  <c r="B148" i="152"/>
  <c r="T9" i="132"/>
  <c r="S123" i="95"/>
  <c r="S122" i="95"/>
  <c r="R8" i="95"/>
  <c r="U119" i="95"/>
  <c r="U121" i="95" s="1"/>
  <c r="AK102" i="75"/>
  <c r="AC91" i="75"/>
  <c r="AI78" i="30"/>
  <c r="AI79" i="30"/>
  <c r="AH9" i="30"/>
  <c r="AB8" i="152"/>
  <c r="Y109" i="152"/>
  <c r="P8" i="152"/>
  <c r="Q110" i="152"/>
  <c r="L9" i="154"/>
  <c r="L27" i="153"/>
  <c r="G159" i="154"/>
  <c r="L161" i="154" s="1"/>
  <c r="L163" i="154" s="1"/>
  <c r="M163" i="154" s="1"/>
  <c r="M166" i="154" s="1"/>
  <c r="L28" i="154"/>
  <c r="L9" i="153"/>
  <c r="L158" i="153" s="1"/>
  <c r="G158" i="153"/>
  <c r="L160" i="153" s="1"/>
  <c r="N9" i="57"/>
  <c r="P8" i="69"/>
  <c r="I63" i="151"/>
  <c r="I62" i="151"/>
  <c r="H8" i="151"/>
  <c r="K63" i="151"/>
  <c r="K62" i="151"/>
  <c r="M160" i="153" l="1"/>
  <c r="Q78" i="20"/>
  <c r="N9" i="132"/>
  <c r="U123" i="95"/>
  <c r="U122" i="95"/>
  <c r="T8" i="95"/>
  <c r="AK104" i="75"/>
  <c r="AK106" i="75" s="1"/>
  <c r="AJ8" i="75"/>
  <c r="L159" i="154"/>
  <c r="L164" i="154" s="1"/>
  <c r="S112" i="20"/>
  <c r="M161" i="154"/>
  <c r="L162" i="153"/>
  <c r="I81" i="16"/>
  <c r="I85" i="16" s="1"/>
  <c r="B4" i="84"/>
  <c r="Y37" i="147"/>
  <c r="Y41" i="147" s="1"/>
  <c r="D70" i="66"/>
  <c r="D67" i="66"/>
  <c r="D66" i="66"/>
  <c r="D65" i="66"/>
  <c r="D64" i="66"/>
  <c r="D63" i="66"/>
  <c r="D62" i="66"/>
  <c r="B4" i="66"/>
  <c r="G70" i="66"/>
  <c r="M31" i="20" s="1"/>
  <c r="G63" i="66"/>
  <c r="G64" i="66"/>
  <c r="G65" i="66"/>
  <c r="G66" i="66"/>
  <c r="G67" i="66"/>
  <c r="G62" i="66"/>
  <c r="G46" i="7"/>
  <c r="B4" i="46"/>
  <c r="AG37" i="147"/>
  <c r="AG35" i="147"/>
  <c r="AA37" i="147"/>
  <c r="D51" i="59"/>
  <c r="G51" i="59" s="1"/>
  <c r="D49" i="59"/>
  <c r="G49" i="59" s="1"/>
  <c r="D48" i="59"/>
  <c r="G48" i="59" s="1"/>
  <c r="D47" i="59"/>
  <c r="G47" i="59" s="1"/>
  <c r="D46" i="59"/>
  <c r="G46" i="59" s="1"/>
  <c r="D45" i="59"/>
  <c r="G45" i="59" s="1"/>
  <c r="D44" i="59"/>
  <c r="B4" i="59"/>
  <c r="G47" i="58"/>
  <c r="G40" i="3"/>
  <c r="I48" i="149"/>
  <c r="AQ72" i="69"/>
  <c r="AQ105" i="69"/>
  <c r="AQ73" i="69"/>
  <c r="AQ88" i="69" s="1"/>
  <c r="AK108" i="75" l="1"/>
  <c r="AK107" i="75"/>
  <c r="M162" i="153"/>
  <c r="M165" i="153" s="1"/>
  <c r="L163" i="153"/>
  <c r="G44" i="59"/>
  <c r="S67" i="59"/>
  <c r="I87" i="16"/>
  <c r="I86" i="16"/>
  <c r="H8" i="16"/>
  <c r="AC37" i="147"/>
  <c r="AA41" i="147"/>
  <c r="AQ90" i="69"/>
  <c r="AQ92" i="69" s="1"/>
  <c r="I36" i="149"/>
  <c r="I46" i="149" s="1"/>
  <c r="G46" i="149"/>
  <c r="B19" i="149"/>
  <c r="B18" i="149"/>
  <c r="B17" i="149"/>
  <c r="B16" i="149"/>
  <c r="B15" i="149"/>
  <c r="B14" i="149"/>
  <c r="B13" i="149"/>
  <c r="B12" i="149"/>
  <c r="B11" i="149"/>
  <c r="B4" i="149"/>
  <c r="K36" i="148"/>
  <c r="I36" i="148"/>
  <c r="U46" i="148"/>
  <c r="S46" i="148"/>
  <c r="Q46" i="148"/>
  <c r="G46" i="148"/>
  <c r="B19" i="148"/>
  <c r="B18" i="148"/>
  <c r="B17" i="148"/>
  <c r="B16" i="148"/>
  <c r="B15" i="148"/>
  <c r="B14" i="148"/>
  <c r="B13" i="148"/>
  <c r="B12" i="148"/>
  <c r="B11" i="148"/>
  <c r="B4" i="148"/>
  <c r="AE37" i="147"/>
  <c r="AE35" i="147"/>
  <c r="AC35" i="147"/>
  <c r="AG41" i="147"/>
  <c r="S37" i="147"/>
  <c r="U37" i="147"/>
  <c r="W37" i="147" s="1"/>
  <c r="S35" i="147"/>
  <c r="G34" i="147"/>
  <c r="B19" i="147"/>
  <c r="B18" i="147"/>
  <c r="B17" i="147"/>
  <c r="B16" i="147"/>
  <c r="B15" i="147"/>
  <c r="B14" i="147"/>
  <c r="B13" i="147"/>
  <c r="B12" i="147"/>
  <c r="B11" i="147"/>
  <c r="B4" i="147"/>
  <c r="B4" i="69"/>
  <c r="I117" i="95"/>
  <c r="S41" i="147" l="1"/>
  <c r="AE41" i="147"/>
  <c r="AP8" i="69"/>
  <c r="K46" i="149"/>
  <c r="K48" i="149" s="1"/>
  <c r="K50" i="149" s="1"/>
  <c r="AC41" i="147"/>
  <c r="I50" i="149"/>
  <c r="I46" i="148"/>
  <c r="O46" i="148"/>
  <c r="K46" i="148"/>
  <c r="M46" i="148"/>
  <c r="W41" i="147"/>
  <c r="U41" i="147"/>
  <c r="Q43" i="147"/>
  <c r="W43" i="147"/>
  <c r="U43" i="147"/>
  <c r="Q45" i="147"/>
  <c r="Q47" i="147" s="1"/>
  <c r="G41" i="147"/>
  <c r="I119" i="95"/>
  <c r="I121" i="95" s="1"/>
  <c r="AA71" i="46"/>
  <c r="AA73" i="46" s="1"/>
  <c r="I43" i="147" l="1"/>
  <c r="I45" i="147" s="1"/>
  <c r="M43" i="147"/>
  <c r="M45" i="147" s="1"/>
  <c r="H8" i="147"/>
  <c r="AB2" i="147"/>
  <c r="AD2" i="147"/>
  <c r="AA43" i="147"/>
  <c r="AA45" i="147" s="1"/>
  <c r="Y43" i="147"/>
  <c r="Y45" i="147" s="1"/>
  <c r="Z2" i="147"/>
  <c r="X2" i="147"/>
  <c r="V2" i="147"/>
  <c r="T2" i="147"/>
  <c r="R2" i="147"/>
  <c r="K52" i="149"/>
  <c r="K51" i="149"/>
  <c r="Z8" i="147"/>
  <c r="AA47" i="147"/>
  <c r="AA46" i="147"/>
  <c r="AG43" i="147"/>
  <c r="AG45" i="147" s="1"/>
  <c r="AE43" i="147"/>
  <c r="AE45" i="147" s="1"/>
  <c r="AC43" i="147"/>
  <c r="AC45" i="147" s="1"/>
  <c r="AC46" i="147"/>
  <c r="Q46" i="147"/>
  <c r="J8" i="149"/>
  <c r="I52" i="149"/>
  <c r="I51" i="149"/>
  <c r="H8" i="149"/>
  <c r="B86" i="149"/>
  <c r="U48" i="148"/>
  <c r="U50" i="148" s="1"/>
  <c r="S48" i="148"/>
  <c r="S50" i="148" s="1"/>
  <c r="Q48" i="148"/>
  <c r="Q50" i="148" s="1"/>
  <c r="O48" i="148"/>
  <c r="O50" i="148" s="1"/>
  <c r="M48" i="148"/>
  <c r="M50" i="148" s="1"/>
  <c r="K48" i="148"/>
  <c r="K50" i="148" s="1"/>
  <c r="I48" i="148"/>
  <c r="I50" i="148" s="1"/>
  <c r="U45" i="147"/>
  <c r="W45" i="147"/>
  <c r="P8" i="147"/>
  <c r="V8" i="147"/>
  <c r="T8" i="147"/>
  <c r="S43" i="147"/>
  <c r="S45" i="147" s="1"/>
  <c r="R8" i="147" s="1"/>
  <c r="I123" i="95"/>
  <c r="I122" i="95"/>
  <c r="H8" i="95"/>
  <c r="AK49" i="13"/>
  <c r="M47" i="147" l="1"/>
  <c r="M46" i="147"/>
  <c r="I47" i="147"/>
  <c r="I46" i="147"/>
  <c r="L8" i="147"/>
  <c r="F26" i="20" s="1"/>
  <c r="Q26" i="20" s="1"/>
  <c r="Y47" i="147"/>
  <c r="Y46" i="147"/>
  <c r="X8" i="147"/>
  <c r="AB8" i="147"/>
  <c r="AC47" i="147"/>
  <c r="AD8" i="147"/>
  <c r="AE47" i="147"/>
  <c r="AE46" i="147"/>
  <c r="AF8" i="147"/>
  <c r="AG47" i="147"/>
  <c r="AG46" i="147"/>
  <c r="I52" i="148"/>
  <c r="I51" i="148"/>
  <c r="H8" i="148"/>
  <c r="B86" i="148" s="1"/>
  <c r="K52" i="148"/>
  <c r="K51" i="148"/>
  <c r="J8" i="148"/>
  <c r="M52" i="148"/>
  <c r="M51" i="148"/>
  <c r="O52" i="148"/>
  <c r="O51" i="148"/>
  <c r="Q52" i="148"/>
  <c r="Q51" i="148"/>
  <c r="S52" i="148"/>
  <c r="S51" i="148"/>
  <c r="U52" i="148"/>
  <c r="U51" i="148"/>
  <c r="T8" i="148"/>
  <c r="W47" i="147"/>
  <c r="W46" i="147"/>
  <c r="U47" i="147"/>
  <c r="U46" i="147"/>
  <c r="S47" i="147"/>
  <c r="S46" i="147"/>
  <c r="K33" i="20"/>
  <c r="M33" i="20"/>
  <c r="M117" i="95"/>
  <c r="M119" i="95"/>
  <c r="C7" i="49"/>
  <c r="A7" i="49"/>
  <c r="D7" i="146"/>
  <c r="D3" i="146"/>
  <c r="D2" i="146"/>
  <c r="D9" i="146" s="1"/>
  <c r="C3" i="146"/>
  <c r="C2" i="146"/>
  <c r="C9" i="146" s="1"/>
  <c r="AO57" i="75"/>
  <c r="AC102" i="75" s="1"/>
  <c r="K39" i="20"/>
  <c r="M39" i="20"/>
  <c r="AQ46" i="75"/>
  <c r="AQ57" i="75"/>
  <c r="AQ60" i="75"/>
  <c r="AQ55" i="75"/>
  <c r="B4" i="9"/>
  <c r="M55" i="20"/>
  <c r="K42" i="20"/>
  <c r="O42" i="20"/>
  <c r="M42" i="20"/>
  <c r="I57" i="30"/>
  <c r="I51" i="30"/>
  <c r="Q73" i="30" s="1"/>
  <c r="I50" i="30"/>
  <c r="I68" i="30"/>
  <c r="AG73" i="30"/>
  <c r="B112" i="46"/>
  <c r="B111" i="46"/>
  <c r="B110" i="46"/>
  <c r="B109" i="46"/>
  <c r="G41" i="101"/>
  <c r="I41" i="101" s="1"/>
  <c r="K41" i="101" s="1"/>
  <c r="G47" i="101"/>
  <c r="I47" i="101" s="1"/>
  <c r="K47" i="101" s="1"/>
  <c r="G46" i="101"/>
  <c r="I46" i="101" s="1"/>
  <c r="K46" i="101" s="1"/>
  <c r="G43" i="101"/>
  <c r="M56" i="20"/>
  <c r="Y45" i="29"/>
  <c r="Q45" i="29"/>
  <c r="I75" i="58"/>
  <c r="O117" i="95"/>
  <c r="K60" i="20"/>
  <c r="K61" i="20"/>
  <c r="AA66" i="20"/>
  <c r="AK181" i="13"/>
  <c r="AK88" i="13"/>
  <c r="AA63" i="20" s="1"/>
  <c r="AK99" i="13"/>
  <c r="M53" i="20"/>
  <c r="W65" i="93"/>
  <c r="W58" i="93"/>
  <c r="W51" i="93"/>
  <c r="K40" i="20"/>
  <c r="M40" i="20"/>
  <c r="S63" i="10"/>
  <c r="O40" i="20" s="1"/>
  <c r="S61" i="10"/>
  <c r="S60" i="10"/>
  <c r="S59" i="10"/>
  <c r="G37" i="38"/>
  <c r="G36" i="38"/>
  <c r="AU71" i="69"/>
  <c r="AU53" i="69"/>
  <c r="AU46" i="69"/>
  <c r="I77" i="93"/>
  <c r="U77" i="93"/>
  <c r="M49" i="20"/>
  <c r="G45" i="110"/>
  <c r="M44" i="20"/>
  <c r="G71" i="84"/>
  <c r="G72" i="84"/>
  <c r="G73" i="84"/>
  <c r="M48" i="20" s="1"/>
  <c r="G70" i="84"/>
  <c r="G33" i="84" s="1"/>
  <c r="G37" i="126"/>
  <c r="G38" i="126"/>
  <c r="G36" i="126"/>
  <c r="G33" i="126" s="1"/>
  <c r="AC73" i="20"/>
  <c r="B5" i="145"/>
  <c r="U46" i="145"/>
  <c r="S46" i="145"/>
  <c r="Q46" i="145"/>
  <c r="M46" i="145"/>
  <c r="K46" i="145"/>
  <c r="I46" i="145"/>
  <c r="U39" i="145"/>
  <c r="S39" i="145"/>
  <c r="Q39" i="145"/>
  <c r="M39" i="145"/>
  <c r="K39" i="145"/>
  <c r="I39" i="145"/>
  <c r="AQ42" i="136"/>
  <c r="AQ61" i="136" s="1"/>
  <c r="AQ63" i="136" s="1"/>
  <c r="I91" i="75"/>
  <c r="M41" i="20" s="1"/>
  <c r="U45" i="29"/>
  <c r="I55" i="75"/>
  <c r="O109" i="8"/>
  <c r="Q67" i="59"/>
  <c r="B4" i="71"/>
  <c r="B149" i="8"/>
  <c r="B148" i="8"/>
  <c r="B147" i="8"/>
  <c r="B146" i="8"/>
  <c r="B189" i="5"/>
  <c r="B188" i="5"/>
  <c r="B187" i="5"/>
  <c r="B186" i="5"/>
  <c r="B97" i="60"/>
  <c r="B96" i="60"/>
  <c r="B95" i="60"/>
  <c r="B94" i="60"/>
  <c r="B4" i="58"/>
  <c r="B4" i="86"/>
  <c r="B4" i="57"/>
  <c r="B4" i="104"/>
  <c r="O18" i="20"/>
  <c r="M18" i="20"/>
  <c r="AE61" i="136"/>
  <c r="O39" i="20"/>
  <c r="B4" i="136"/>
  <c r="U55" i="25"/>
  <c r="S50" i="93"/>
  <c r="S57" i="93"/>
  <c r="K109" i="8"/>
  <c r="B4" i="6"/>
  <c r="B4" i="29"/>
  <c r="G38" i="29"/>
  <c r="G37" i="29"/>
  <c r="B4" i="101"/>
  <c r="G33" i="118"/>
  <c r="I33" i="118" s="1"/>
  <c r="AI105" i="69"/>
  <c r="B4" i="7"/>
  <c r="B5" i="30"/>
  <c r="D111" i="5"/>
  <c r="B4" i="10"/>
  <c r="D76" i="5"/>
  <c r="D75" i="5"/>
  <c r="G75" i="5" s="1"/>
  <c r="D101" i="5"/>
  <c r="B4" i="5"/>
  <c r="G45" i="58"/>
  <c r="I45" i="58" s="1"/>
  <c r="G43" i="58"/>
  <c r="I43" i="58" s="1"/>
  <c r="G35" i="58"/>
  <c r="I35" i="58" s="1"/>
  <c r="G37" i="58"/>
  <c r="I37" i="58" s="1"/>
  <c r="G38" i="58"/>
  <c r="I38" i="58" s="1"/>
  <c r="G40" i="58"/>
  <c r="I40" i="58" s="1"/>
  <c r="G41" i="58"/>
  <c r="I41" i="58" s="1"/>
  <c r="G34" i="58"/>
  <c r="B4" i="55"/>
  <c r="B4" i="3"/>
  <c r="B4" i="2"/>
  <c r="G43" i="3"/>
  <c r="G46" i="3"/>
  <c r="G39" i="3"/>
  <c r="G38" i="3"/>
  <c r="G37" i="3"/>
  <c r="D36" i="3"/>
  <c r="G36" i="3" s="1"/>
  <c r="K14" i="20"/>
  <c r="O14" i="20"/>
  <c r="M14" i="20"/>
  <c r="F14" i="20"/>
  <c r="F84" i="2"/>
  <c r="E84" i="2"/>
  <c r="D84" i="2"/>
  <c r="C84" i="2"/>
  <c r="B84" i="2"/>
  <c r="I36" i="2"/>
  <c r="I37" i="2"/>
  <c r="I39" i="2"/>
  <c r="I40" i="2"/>
  <c r="I41" i="2"/>
  <c r="I35" i="2"/>
  <c r="G44" i="2"/>
  <c r="G37" i="2"/>
  <c r="G36" i="2"/>
  <c r="G35" i="2"/>
  <c r="G41" i="2"/>
  <c r="G40" i="2"/>
  <c r="G39" i="2"/>
  <c r="M112" i="144"/>
  <c r="M111" i="144"/>
  <c r="I112" i="144"/>
  <c r="I111" i="144"/>
  <c r="J51" i="144"/>
  <c r="K52" i="144"/>
  <c r="L54" i="144"/>
  <c r="I53" i="144"/>
  <c r="L31" i="144"/>
  <c r="K29" i="144"/>
  <c r="I30" i="144"/>
  <c r="J28" i="144"/>
  <c r="D50" i="144"/>
  <c r="AA80" i="20"/>
  <c r="AA84" i="20"/>
  <c r="Q13" i="20"/>
  <c r="W13" i="20" s="1"/>
  <c r="X13" i="20" s="1"/>
  <c r="T6" i="20"/>
  <c r="AA79" i="20"/>
  <c r="O11" i="142"/>
  <c r="O12" i="142"/>
  <c r="O13" i="142"/>
  <c r="O14" i="142"/>
  <c r="O15" i="142"/>
  <c r="O16" i="142"/>
  <c r="O17" i="142"/>
  <c r="O18" i="142"/>
  <c r="O19" i="142"/>
  <c r="O20" i="142"/>
  <c r="O21" i="142"/>
  <c r="O22" i="142"/>
  <c r="O23" i="142"/>
  <c r="O24" i="142"/>
  <c r="O25" i="142"/>
  <c r="O26" i="142"/>
  <c r="O10" i="142"/>
  <c r="B6" i="20"/>
  <c r="B4" i="8"/>
  <c r="AA68" i="20"/>
  <c r="F16" i="20"/>
  <c r="B106" i="112"/>
  <c r="G31" i="112"/>
  <c r="G34" i="112"/>
  <c r="G35" i="112"/>
  <c r="G36" i="112"/>
  <c r="G37" i="112"/>
  <c r="G38" i="112"/>
  <c r="G39" i="112"/>
  <c r="G40" i="112"/>
  <c r="G41" i="112"/>
  <c r="G42" i="112"/>
  <c r="G43" i="112"/>
  <c r="G44" i="112"/>
  <c r="G45" i="112"/>
  <c r="G46" i="112"/>
  <c r="G47" i="112"/>
  <c r="G33" i="112"/>
  <c r="H115" i="144"/>
  <c r="G115" i="144"/>
  <c r="D115" i="144"/>
  <c r="F114" i="144"/>
  <c r="L115" i="144"/>
  <c r="H107" i="144"/>
  <c r="G107" i="144"/>
  <c r="D107" i="144"/>
  <c r="F106" i="144"/>
  <c r="M104" i="144"/>
  <c r="M103" i="144"/>
  <c r="L107" i="144"/>
  <c r="L97" i="144"/>
  <c r="M97" i="144" s="1"/>
  <c r="B97" i="144"/>
  <c r="L96" i="144"/>
  <c r="B96" i="144"/>
  <c r="K95" i="144"/>
  <c r="B95" i="144"/>
  <c r="J94" i="144"/>
  <c r="M94" i="144" s="1"/>
  <c r="B94" i="144"/>
  <c r="D93" i="144"/>
  <c r="B93" i="144"/>
  <c r="D92" i="144"/>
  <c r="B92" i="144"/>
  <c r="D91" i="144"/>
  <c r="B91" i="144"/>
  <c r="D90" i="144"/>
  <c r="B90" i="144"/>
  <c r="D89" i="144"/>
  <c r="B89" i="144"/>
  <c r="D88" i="144"/>
  <c r="B88" i="144"/>
  <c r="D87" i="144"/>
  <c r="B87" i="144"/>
  <c r="D86" i="144"/>
  <c r="B86" i="144"/>
  <c r="D85" i="144"/>
  <c r="B85" i="144"/>
  <c r="D84" i="144"/>
  <c r="B84" i="144"/>
  <c r="L79" i="144"/>
  <c r="J79" i="144"/>
  <c r="I79" i="144"/>
  <c r="M77" i="144"/>
  <c r="B77" i="144"/>
  <c r="M76" i="144"/>
  <c r="B76" i="144"/>
  <c r="M75" i="144"/>
  <c r="D75" i="144"/>
  <c r="B75" i="144"/>
  <c r="M74" i="144"/>
  <c r="B74" i="144"/>
  <c r="M73" i="144"/>
  <c r="D73" i="144"/>
  <c r="B73" i="144"/>
  <c r="M72" i="144"/>
  <c r="D72" i="144"/>
  <c r="B72" i="144"/>
  <c r="M71" i="144"/>
  <c r="D71" i="144"/>
  <c r="B71" i="144"/>
  <c r="D70" i="144"/>
  <c r="B70" i="144"/>
  <c r="D69" i="144"/>
  <c r="B69" i="144"/>
  <c r="B68" i="144"/>
  <c r="D67" i="144"/>
  <c r="B67" i="144"/>
  <c r="D66" i="144"/>
  <c r="B66" i="144"/>
  <c r="B65" i="144"/>
  <c r="D64" i="144"/>
  <c r="B64" i="144"/>
  <c r="D63" i="144"/>
  <c r="B63" i="144"/>
  <c r="D62" i="144"/>
  <c r="B62" i="144"/>
  <c r="B61" i="144"/>
  <c r="L56" i="144"/>
  <c r="K56" i="144"/>
  <c r="J56" i="144"/>
  <c r="I56" i="144"/>
  <c r="M54" i="144"/>
  <c r="M53" i="144"/>
  <c r="M52" i="144"/>
  <c r="M51" i="144"/>
  <c r="B50" i="144"/>
  <c r="D49" i="144"/>
  <c r="B49" i="144"/>
  <c r="D48" i="144"/>
  <c r="B48" i="144"/>
  <c r="D47" i="144"/>
  <c r="B47" i="144"/>
  <c r="D46" i="144"/>
  <c r="B46" i="144"/>
  <c r="D45" i="144"/>
  <c r="B45" i="144"/>
  <c r="D44" i="144"/>
  <c r="B44" i="144"/>
  <c r="D43" i="144"/>
  <c r="B43" i="144"/>
  <c r="D42" i="144"/>
  <c r="B42" i="144"/>
  <c r="D41" i="144"/>
  <c r="B41" i="144"/>
  <c r="D40" i="144"/>
  <c r="B40" i="144"/>
  <c r="D39" i="144"/>
  <c r="B39" i="144"/>
  <c r="T14" i="144"/>
  <c r="B38" i="144"/>
  <c r="L33" i="144"/>
  <c r="K33" i="144"/>
  <c r="J33" i="144"/>
  <c r="I33" i="144"/>
  <c r="M31" i="144"/>
  <c r="B31" i="144"/>
  <c r="M30" i="144"/>
  <c r="B30" i="144"/>
  <c r="M29" i="144"/>
  <c r="B29" i="144"/>
  <c r="M28" i="144"/>
  <c r="B28" i="144"/>
  <c r="B27" i="144"/>
  <c r="D26" i="144"/>
  <c r="D132" i="144" s="1"/>
  <c r="E132" i="144" s="1"/>
  <c r="B26" i="144"/>
  <c r="D25" i="144"/>
  <c r="D131" i="144" s="1"/>
  <c r="E131" i="144" s="1"/>
  <c r="B25" i="144"/>
  <c r="D24" i="144"/>
  <c r="D130" i="144" s="1"/>
  <c r="E130" i="144" s="1"/>
  <c r="B24" i="144"/>
  <c r="D23" i="144"/>
  <c r="D129" i="144" s="1"/>
  <c r="E129" i="144" s="1"/>
  <c r="B23" i="144"/>
  <c r="D22" i="144"/>
  <c r="D128" i="144" s="1"/>
  <c r="E128" i="144" s="1"/>
  <c r="B22" i="144"/>
  <c r="D21" i="144"/>
  <c r="D127" i="144" s="1"/>
  <c r="E127" i="144" s="1"/>
  <c r="B21" i="144"/>
  <c r="D20" i="144"/>
  <c r="D126" i="144" s="1"/>
  <c r="E126" i="144" s="1"/>
  <c r="B20" i="144"/>
  <c r="D19" i="144"/>
  <c r="D125" i="144" s="1"/>
  <c r="E125" i="144" s="1"/>
  <c r="B19" i="144"/>
  <c r="D18" i="144"/>
  <c r="D124" i="144" s="1"/>
  <c r="E124" i="144" s="1"/>
  <c r="B18" i="144"/>
  <c r="D17" i="144"/>
  <c r="D123" i="144" s="1"/>
  <c r="E123" i="144" s="1"/>
  <c r="B17" i="144"/>
  <c r="D16" i="144"/>
  <c r="D122" i="144" s="1"/>
  <c r="B16" i="144"/>
  <c r="H15" i="144"/>
  <c r="G15" i="144"/>
  <c r="F15" i="144"/>
  <c r="B15" i="144"/>
  <c r="B9" i="144"/>
  <c r="G36" i="28"/>
  <c r="G59" i="102"/>
  <c r="G58" i="102"/>
  <c r="G56" i="102"/>
  <c r="G37" i="14"/>
  <c r="G36" i="14"/>
  <c r="B134" i="143"/>
  <c r="B133" i="143"/>
  <c r="B132" i="143"/>
  <c r="B131" i="143"/>
  <c r="S95" i="143"/>
  <c r="Q95" i="143"/>
  <c r="O95" i="143"/>
  <c r="M95" i="143"/>
  <c r="K95" i="143"/>
  <c r="I95" i="143"/>
  <c r="S42" i="140"/>
  <c r="Q42" i="140"/>
  <c r="O42" i="140"/>
  <c r="M42" i="140"/>
  <c r="K42" i="140"/>
  <c r="I42" i="140"/>
  <c r="B19" i="140"/>
  <c r="B18" i="140"/>
  <c r="B17" i="140"/>
  <c r="B16" i="140"/>
  <c r="B15" i="140"/>
  <c r="B14" i="140"/>
  <c r="B13" i="140"/>
  <c r="B12" i="140"/>
  <c r="B11" i="140"/>
  <c r="B4" i="140"/>
  <c r="S41" i="139"/>
  <c r="Q41" i="139"/>
  <c r="O41" i="139"/>
  <c r="M41" i="139"/>
  <c r="K41" i="139"/>
  <c r="I41" i="139"/>
  <c r="B19" i="139"/>
  <c r="B18" i="139"/>
  <c r="B17" i="139"/>
  <c r="B16" i="139"/>
  <c r="B15" i="139"/>
  <c r="B14" i="139"/>
  <c r="B13" i="139"/>
  <c r="B12" i="139"/>
  <c r="B11" i="139"/>
  <c r="B4" i="139"/>
  <c r="S67" i="138"/>
  <c r="Q67" i="138"/>
  <c r="O67" i="138"/>
  <c r="M67" i="138"/>
  <c r="K67" i="138"/>
  <c r="I67" i="138"/>
  <c r="B19" i="138"/>
  <c r="B18" i="138"/>
  <c r="B17" i="138"/>
  <c r="B16" i="138"/>
  <c r="B15" i="138"/>
  <c r="B14" i="138"/>
  <c r="B13" i="138"/>
  <c r="B12" i="138"/>
  <c r="B11" i="138"/>
  <c r="B4" i="138"/>
  <c r="S56" i="137"/>
  <c r="Q56" i="137"/>
  <c r="O56" i="137"/>
  <c r="M56" i="137"/>
  <c r="K56" i="137"/>
  <c r="I56" i="137"/>
  <c r="B19" i="137"/>
  <c r="B18" i="137"/>
  <c r="B17" i="137"/>
  <c r="B16" i="137"/>
  <c r="B15" i="137"/>
  <c r="B14" i="137"/>
  <c r="B13" i="137"/>
  <c r="B12" i="137"/>
  <c r="B11" i="137"/>
  <c r="B4" i="137"/>
  <c r="I61" i="136"/>
  <c r="B19" i="136"/>
  <c r="B18" i="136"/>
  <c r="B17" i="136"/>
  <c r="B16" i="136"/>
  <c r="B15" i="136"/>
  <c r="B14" i="136"/>
  <c r="B13" i="136"/>
  <c r="B12" i="136"/>
  <c r="B11" i="136"/>
  <c r="S55" i="135"/>
  <c r="Q55" i="135"/>
  <c r="O55" i="135"/>
  <c r="M55" i="135"/>
  <c r="K55" i="135"/>
  <c r="I55" i="135"/>
  <c r="B19" i="135"/>
  <c r="B18" i="135"/>
  <c r="B17" i="135"/>
  <c r="B16" i="135"/>
  <c r="B15" i="135"/>
  <c r="B14" i="135"/>
  <c r="B13" i="135"/>
  <c r="B12" i="135"/>
  <c r="B11" i="135"/>
  <c r="B4" i="135"/>
  <c r="S56" i="134"/>
  <c r="Q56" i="134"/>
  <c r="O56" i="134"/>
  <c r="M56" i="134"/>
  <c r="K56" i="134"/>
  <c r="I56" i="134"/>
  <c r="B19" i="134"/>
  <c r="B18" i="134"/>
  <c r="B17" i="134"/>
  <c r="B16" i="134"/>
  <c r="B15" i="134"/>
  <c r="B14" i="134"/>
  <c r="B13" i="134"/>
  <c r="B12" i="134"/>
  <c r="B11" i="134"/>
  <c r="B4" i="134"/>
  <c r="S56" i="133"/>
  <c r="Q56" i="133"/>
  <c r="O56" i="133"/>
  <c r="M56" i="133"/>
  <c r="K56" i="133"/>
  <c r="I56" i="133"/>
  <c r="B19" i="133"/>
  <c r="B18" i="133"/>
  <c r="B17" i="133"/>
  <c r="B16" i="133"/>
  <c r="B15" i="133"/>
  <c r="B14" i="133"/>
  <c r="B13" i="133"/>
  <c r="B12" i="133"/>
  <c r="B11" i="133"/>
  <c r="B4" i="133"/>
  <c r="AA87" i="132"/>
  <c r="O87" i="132"/>
  <c r="U87" i="132"/>
  <c r="I87" i="132"/>
  <c r="Y87" i="132"/>
  <c r="K87" i="132"/>
  <c r="B21" i="132"/>
  <c r="B20" i="132"/>
  <c r="B19" i="132"/>
  <c r="B18" i="132"/>
  <c r="B17" i="132"/>
  <c r="B16" i="132"/>
  <c r="B15" i="132"/>
  <c r="B14" i="132"/>
  <c r="B13" i="132"/>
  <c r="S57" i="129"/>
  <c r="Q57" i="129"/>
  <c r="O57" i="129"/>
  <c r="M57" i="129"/>
  <c r="K57" i="129"/>
  <c r="I57" i="129"/>
  <c r="B19" i="129"/>
  <c r="B18" i="129"/>
  <c r="B17" i="129"/>
  <c r="B16" i="129"/>
  <c r="B15" i="129"/>
  <c r="B14" i="129"/>
  <c r="B13" i="129"/>
  <c r="B12" i="129"/>
  <c r="B11" i="129"/>
  <c r="B4" i="129"/>
  <c r="S57" i="128"/>
  <c r="Q57" i="128"/>
  <c r="O57" i="128"/>
  <c r="M57" i="128"/>
  <c r="K57" i="128"/>
  <c r="I57" i="128"/>
  <c r="B19" i="128"/>
  <c r="B18" i="128"/>
  <c r="B17" i="128"/>
  <c r="B16" i="128"/>
  <c r="B15" i="128"/>
  <c r="B14" i="128"/>
  <c r="B13" i="128"/>
  <c r="B12" i="128"/>
  <c r="B11" i="128"/>
  <c r="B4" i="128"/>
  <c r="Y66" i="126"/>
  <c r="W66" i="126"/>
  <c r="O66" i="126"/>
  <c r="S66" i="126"/>
  <c r="I66" i="126"/>
  <c r="U66" i="126"/>
  <c r="B19" i="126"/>
  <c r="B18" i="126"/>
  <c r="B17" i="126"/>
  <c r="B16" i="126"/>
  <c r="B15" i="126"/>
  <c r="B14" i="126"/>
  <c r="B13" i="126"/>
  <c r="B12" i="126"/>
  <c r="B11" i="126"/>
  <c r="S50" i="125"/>
  <c r="Q50" i="125"/>
  <c r="O50" i="125"/>
  <c r="M50" i="125"/>
  <c r="K50" i="125"/>
  <c r="I50" i="125"/>
  <c r="B19" i="125"/>
  <c r="B18" i="125"/>
  <c r="B17" i="125"/>
  <c r="B16" i="125"/>
  <c r="B15" i="125"/>
  <c r="B14" i="125"/>
  <c r="B13" i="125"/>
  <c r="B12" i="125"/>
  <c r="B11" i="125"/>
  <c r="B4" i="125"/>
  <c r="S50" i="124"/>
  <c r="Q50" i="124"/>
  <c r="O50" i="124"/>
  <c r="M50" i="124"/>
  <c r="K50" i="124"/>
  <c r="I50" i="124"/>
  <c r="B19" i="124"/>
  <c r="B18" i="124"/>
  <c r="B17" i="124"/>
  <c r="B16" i="124"/>
  <c r="B15" i="124"/>
  <c r="B14" i="124"/>
  <c r="B13" i="124"/>
  <c r="B12" i="124"/>
  <c r="B11" i="124"/>
  <c r="B4" i="124"/>
  <c r="S46" i="123"/>
  <c r="Q46" i="123"/>
  <c r="O46" i="123"/>
  <c r="M46" i="123"/>
  <c r="K46" i="123"/>
  <c r="I46" i="123"/>
  <c r="B19" i="123"/>
  <c r="B18" i="123"/>
  <c r="B17" i="123"/>
  <c r="B16" i="123"/>
  <c r="B15" i="123"/>
  <c r="B14" i="123"/>
  <c r="B13" i="123"/>
  <c r="B12" i="123"/>
  <c r="B11" i="123"/>
  <c r="B4" i="123"/>
  <c r="S64" i="122"/>
  <c r="Q64" i="122"/>
  <c r="O64" i="122"/>
  <c r="M64" i="122"/>
  <c r="K64" i="122"/>
  <c r="I64" i="122"/>
  <c r="B19" i="122"/>
  <c r="B18" i="122"/>
  <c r="B17" i="122"/>
  <c r="B16" i="122"/>
  <c r="B15" i="122"/>
  <c r="B14" i="122"/>
  <c r="B13" i="122"/>
  <c r="B12" i="122"/>
  <c r="B11" i="122"/>
  <c r="B4" i="122"/>
  <c r="S47" i="121"/>
  <c r="Q47" i="121"/>
  <c r="O47" i="121"/>
  <c r="M47" i="121"/>
  <c r="K47" i="121"/>
  <c r="I47" i="121"/>
  <c r="B19" i="121"/>
  <c r="B18" i="121"/>
  <c r="B17" i="121"/>
  <c r="B16" i="121"/>
  <c r="B15" i="121"/>
  <c r="B14" i="121"/>
  <c r="B13" i="121"/>
  <c r="B12" i="121"/>
  <c r="B11" i="121"/>
  <c r="B4" i="121"/>
  <c r="S44" i="120"/>
  <c r="Q44" i="120"/>
  <c r="O44" i="120"/>
  <c r="M44" i="120"/>
  <c r="K44" i="120"/>
  <c r="I44" i="120"/>
  <c r="B19" i="120"/>
  <c r="B18" i="120"/>
  <c r="B17" i="120"/>
  <c r="B16" i="120"/>
  <c r="B15" i="120"/>
  <c r="B14" i="120"/>
  <c r="B13" i="120"/>
  <c r="B12" i="120"/>
  <c r="B11" i="120"/>
  <c r="B4" i="120"/>
  <c r="S60" i="119"/>
  <c r="Q60" i="119"/>
  <c r="O60" i="119"/>
  <c r="M60" i="119"/>
  <c r="K60" i="119"/>
  <c r="I60" i="119"/>
  <c r="B19" i="119"/>
  <c r="B18" i="119"/>
  <c r="B17" i="119"/>
  <c r="B16" i="119"/>
  <c r="B15" i="119"/>
  <c r="B14" i="119"/>
  <c r="B13" i="119"/>
  <c r="B12" i="119"/>
  <c r="B11" i="119"/>
  <c r="B4" i="119"/>
  <c r="S51" i="118"/>
  <c r="Q51" i="118"/>
  <c r="O51" i="118"/>
  <c r="M51" i="118"/>
  <c r="I51" i="118"/>
  <c r="K53" i="118" s="1"/>
  <c r="K55" i="118" s="1"/>
  <c r="B19" i="118"/>
  <c r="B18" i="118"/>
  <c r="B17" i="118"/>
  <c r="B16" i="118"/>
  <c r="B15" i="118"/>
  <c r="B14" i="118"/>
  <c r="B13" i="118"/>
  <c r="B12" i="118"/>
  <c r="B11" i="118"/>
  <c r="S51" i="117"/>
  <c r="Q51" i="117"/>
  <c r="O51" i="117"/>
  <c r="M51" i="117"/>
  <c r="K51" i="117"/>
  <c r="I51" i="117"/>
  <c r="B19" i="117"/>
  <c r="B18" i="117"/>
  <c r="B17" i="117"/>
  <c r="B16" i="117"/>
  <c r="B15" i="117"/>
  <c r="B14" i="117"/>
  <c r="B13" i="117"/>
  <c r="B12" i="117"/>
  <c r="B11" i="117"/>
  <c r="B4" i="117"/>
  <c r="S92" i="116"/>
  <c r="Q92" i="116"/>
  <c r="O92" i="116"/>
  <c r="M92" i="116"/>
  <c r="K92" i="116"/>
  <c r="I92" i="116"/>
  <c r="B19" i="116"/>
  <c r="B18" i="116"/>
  <c r="B17" i="116"/>
  <c r="B16" i="116"/>
  <c r="B15" i="116"/>
  <c r="B14" i="116"/>
  <c r="B13" i="116"/>
  <c r="B12" i="116"/>
  <c r="B11" i="116"/>
  <c r="B4" i="116"/>
  <c r="S92" i="115"/>
  <c r="Q92" i="115"/>
  <c r="O92" i="115"/>
  <c r="M92" i="115"/>
  <c r="K92" i="115"/>
  <c r="I92" i="115"/>
  <c r="B19" i="115"/>
  <c r="B18" i="115"/>
  <c r="B17" i="115"/>
  <c r="B16" i="115"/>
  <c r="B15" i="115"/>
  <c r="B14" i="115"/>
  <c r="B13" i="115"/>
  <c r="B12" i="115"/>
  <c r="B11" i="115"/>
  <c r="B4" i="115"/>
  <c r="S53" i="114"/>
  <c r="Q53" i="114"/>
  <c r="O53" i="114"/>
  <c r="M53" i="114"/>
  <c r="K53" i="114"/>
  <c r="I53" i="114"/>
  <c r="B19" i="114"/>
  <c r="B18" i="114"/>
  <c r="B17" i="114"/>
  <c r="B16" i="114"/>
  <c r="B15" i="114"/>
  <c r="B14" i="114"/>
  <c r="B13" i="114"/>
  <c r="B12" i="114"/>
  <c r="B11" i="114"/>
  <c r="B4" i="114"/>
  <c r="S66" i="112"/>
  <c r="Q66" i="112"/>
  <c r="O66" i="112"/>
  <c r="M66" i="112"/>
  <c r="K66" i="112"/>
  <c r="I66" i="112"/>
  <c r="B19" i="112"/>
  <c r="B18" i="112"/>
  <c r="B17" i="112"/>
  <c r="B16" i="112"/>
  <c r="B15" i="112"/>
  <c r="B14" i="112"/>
  <c r="B13" i="112"/>
  <c r="B12" i="112"/>
  <c r="B11" i="112"/>
  <c r="B4" i="112"/>
  <c r="O69" i="59" l="1"/>
  <c r="O71" i="59" s="1"/>
  <c r="M69" i="59"/>
  <c r="M71" i="59" s="1"/>
  <c r="O73" i="59"/>
  <c r="O72" i="59"/>
  <c r="N8" i="59"/>
  <c r="I69" i="59"/>
  <c r="I71" i="59" s="1"/>
  <c r="K69" i="59"/>
  <c r="K71" i="59" s="1"/>
  <c r="Q75" i="30"/>
  <c r="Q77" i="30" s="1"/>
  <c r="AU88" i="69"/>
  <c r="AU90" i="69" s="1"/>
  <c r="AU92" i="69" s="1"/>
  <c r="AB8" i="75"/>
  <c r="AC104" i="75"/>
  <c r="AC106" i="75" s="1"/>
  <c r="K62" i="101"/>
  <c r="AA26" i="20"/>
  <c r="H8" i="59"/>
  <c r="I73" i="59"/>
  <c r="I72" i="59"/>
  <c r="J8" i="118"/>
  <c r="K57" i="118"/>
  <c r="K56" i="118"/>
  <c r="AK73" i="30"/>
  <c r="AK75" i="30" s="1"/>
  <c r="AK77" i="30" s="1"/>
  <c r="I62" i="101"/>
  <c r="AA78" i="20"/>
  <c r="T112" i="20"/>
  <c r="U112" i="20" s="1"/>
  <c r="Z112" i="20" s="1"/>
  <c r="G34" i="110"/>
  <c r="E122" i="144"/>
  <c r="T15" i="144"/>
  <c r="T16" i="144"/>
  <c r="T17" i="144"/>
  <c r="T18" i="144"/>
  <c r="T19" i="144"/>
  <c r="T20" i="144"/>
  <c r="T21" i="144"/>
  <c r="T22" i="144"/>
  <c r="T23" i="144"/>
  <c r="T24" i="144"/>
  <c r="T25" i="144"/>
  <c r="D133" i="144"/>
  <c r="T26" i="144"/>
  <c r="S69" i="59"/>
  <c r="S71" i="59" s="1"/>
  <c r="I34" i="58"/>
  <c r="G75" i="58"/>
  <c r="Q46" i="3"/>
  <c r="I73" i="30"/>
  <c r="O33" i="20"/>
  <c r="O73" i="20" s="1"/>
  <c r="O83" i="20" s="1"/>
  <c r="M121" i="95"/>
  <c r="L8" i="95" s="1"/>
  <c r="AA61" i="20"/>
  <c r="I47" i="29"/>
  <c r="I49" i="29" s="1"/>
  <c r="U47" i="29"/>
  <c r="U49" i="29" s="1"/>
  <c r="Y47" i="29"/>
  <c r="Y49" i="29" s="1"/>
  <c r="I69" i="57"/>
  <c r="K71" i="57" s="1"/>
  <c r="K73" i="57" s="1"/>
  <c r="O119" i="95"/>
  <c r="O121" i="95" s="1"/>
  <c r="I41" i="145"/>
  <c r="I43" i="145" s="1"/>
  <c r="H9" i="145" s="1"/>
  <c r="K41" i="145"/>
  <c r="K43" i="145" s="1"/>
  <c r="J9" i="145" s="1"/>
  <c r="M41" i="145"/>
  <c r="M43" i="145" s="1"/>
  <c r="L9" i="145" s="1"/>
  <c r="Q41" i="145"/>
  <c r="Q43" i="145" s="1"/>
  <c r="P9" i="145" s="1"/>
  <c r="S41" i="145"/>
  <c r="S43" i="145" s="1"/>
  <c r="U41" i="145"/>
  <c r="U43" i="145" s="1"/>
  <c r="I88" i="6"/>
  <c r="K18" i="20"/>
  <c r="S77" i="93"/>
  <c r="U79" i="93"/>
  <c r="U81" i="93" s="1"/>
  <c r="K111" i="8"/>
  <c r="K113" i="8" s="1"/>
  <c r="G129" i="3"/>
  <c r="O78" i="20"/>
  <c r="Q107" i="20" s="1"/>
  <c r="O79" i="20"/>
  <c r="AA13" i="20"/>
  <c r="Q16" i="20"/>
  <c r="Q14" i="20"/>
  <c r="W14" i="20" s="1"/>
  <c r="X14" i="20" s="1"/>
  <c r="M15" i="144"/>
  <c r="D33" i="144"/>
  <c r="E6" i="144" s="1"/>
  <c r="H16" i="144"/>
  <c r="G16" i="144"/>
  <c r="F16" i="144"/>
  <c r="H17" i="144"/>
  <c r="G17" i="144"/>
  <c r="F17" i="144"/>
  <c r="M17" i="144" s="1"/>
  <c r="H18" i="144"/>
  <c r="G18" i="144"/>
  <c r="F18" i="144"/>
  <c r="H19" i="144"/>
  <c r="G19" i="144"/>
  <c r="F19" i="144"/>
  <c r="M19" i="144" s="1"/>
  <c r="H20" i="144"/>
  <c r="G20" i="144"/>
  <c r="F20" i="144"/>
  <c r="M20" i="144" s="1"/>
  <c r="H21" i="144"/>
  <c r="G21" i="144"/>
  <c r="F21" i="144"/>
  <c r="M21" i="144" s="1"/>
  <c r="H22" i="144"/>
  <c r="G22" i="144"/>
  <c r="F22" i="144"/>
  <c r="M22" i="144" s="1"/>
  <c r="H23" i="144"/>
  <c r="G23" i="144"/>
  <c r="F23" i="144"/>
  <c r="M23" i="144" s="1"/>
  <c r="H24" i="144"/>
  <c r="G24" i="144"/>
  <c r="F24" i="144"/>
  <c r="M24" i="144" s="1"/>
  <c r="H25" i="144"/>
  <c r="G25" i="144"/>
  <c r="F25" i="144"/>
  <c r="M25" i="144" s="1"/>
  <c r="H26" i="144"/>
  <c r="G26" i="144"/>
  <c r="F26" i="144"/>
  <c r="M26" i="144" s="1"/>
  <c r="H27" i="144"/>
  <c r="G27" i="144"/>
  <c r="F27" i="144"/>
  <c r="M27" i="144" s="1"/>
  <c r="D56" i="144"/>
  <c r="G6" i="144" s="1"/>
  <c r="H38" i="144"/>
  <c r="G38" i="144"/>
  <c r="F38" i="144"/>
  <c r="H39" i="144"/>
  <c r="G39" i="144"/>
  <c r="F39" i="144"/>
  <c r="M39" i="144" s="1"/>
  <c r="H40" i="144"/>
  <c r="G40" i="144"/>
  <c r="F40" i="144"/>
  <c r="M40" i="144" s="1"/>
  <c r="H41" i="144"/>
  <c r="G41" i="144"/>
  <c r="F41" i="144"/>
  <c r="M41" i="144" s="1"/>
  <c r="H42" i="144"/>
  <c r="G42" i="144"/>
  <c r="F42" i="144"/>
  <c r="M42" i="144" s="1"/>
  <c r="H43" i="144"/>
  <c r="G43" i="144"/>
  <c r="F43" i="144"/>
  <c r="M43" i="144" s="1"/>
  <c r="H44" i="144"/>
  <c r="G44" i="144"/>
  <c r="F44" i="144"/>
  <c r="M44" i="144" s="1"/>
  <c r="H45" i="144"/>
  <c r="G45" i="144"/>
  <c r="F45" i="144"/>
  <c r="M45" i="144" s="1"/>
  <c r="H46" i="144"/>
  <c r="G46" i="144"/>
  <c r="F46" i="144"/>
  <c r="M46" i="144" s="1"/>
  <c r="H47" i="144"/>
  <c r="G47" i="144"/>
  <c r="F47" i="144"/>
  <c r="M47" i="144" s="1"/>
  <c r="H48" i="144"/>
  <c r="G48" i="144"/>
  <c r="F48" i="144"/>
  <c r="M48" i="144" s="1"/>
  <c r="H49" i="144"/>
  <c r="G49" i="144"/>
  <c r="F49" i="144"/>
  <c r="M49" i="144" s="1"/>
  <c r="H50" i="144"/>
  <c r="G50" i="144"/>
  <c r="F50" i="144"/>
  <c r="M50" i="144" s="1"/>
  <c r="D79" i="144"/>
  <c r="I6" i="144" s="1"/>
  <c r="N6" i="144" s="1"/>
  <c r="H61" i="144"/>
  <c r="G61" i="144"/>
  <c r="F61" i="144"/>
  <c r="H62" i="144"/>
  <c r="G62" i="144"/>
  <c r="F62" i="144"/>
  <c r="M62" i="144" s="1"/>
  <c r="H63" i="144"/>
  <c r="G63" i="144"/>
  <c r="F63" i="144"/>
  <c r="M63" i="144" s="1"/>
  <c r="H64" i="144"/>
  <c r="G64" i="144"/>
  <c r="F64" i="144"/>
  <c r="M64" i="144" s="1"/>
  <c r="H65" i="144"/>
  <c r="G65" i="144"/>
  <c r="F65" i="144"/>
  <c r="M65" i="144" s="1"/>
  <c r="H66" i="144"/>
  <c r="G66" i="144"/>
  <c r="F66" i="144"/>
  <c r="M66" i="144" s="1"/>
  <c r="H67" i="144"/>
  <c r="G67" i="144"/>
  <c r="F67" i="144"/>
  <c r="M67" i="144" s="1"/>
  <c r="H68" i="144"/>
  <c r="G68" i="144"/>
  <c r="F68" i="144"/>
  <c r="M68" i="144" s="1"/>
  <c r="H69" i="144"/>
  <c r="G69" i="144"/>
  <c r="F69" i="144"/>
  <c r="M69" i="144" s="1"/>
  <c r="H70" i="144"/>
  <c r="G70" i="144"/>
  <c r="F70" i="144"/>
  <c r="M70" i="144" s="1"/>
  <c r="H71" i="144"/>
  <c r="G71" i="144"/>
  <c r="F71" i="144"/>
  <c r="H72" i="144"/>
  <c r="G72" i="144"/>
  <c r="F72" i="144"/>
  <c r="H73" i="144"/>
  <c r="G73" i="144"/>
  <c r="F73" i="144"/>
  <c r="D99" i="144"/>
  <c r="K6" i="144" s="1"/>
  <c r="H84" i="144"/>
  <c r="G84" i="144"/>
  <c r="F84" i="144"/>
  <c r="H85" i="144"/>
  <c r="G85" i="144"/>
  <c r="F85" i="144"/>
  <c r="M85" i="144" s="1"/>
  <c r="H86" i="144"/>
  <c r="G86" i="144"/>
  <c r="F86" i="144"/>
  <c r="M86" i="144" s="1"/>
  <c r="H87" i="144"/>
  <c r="G87" i="144"/>
  <c r="F87" i="144"/>
  <c r="M87" i="144" s="1"/>
  <c r="H88" i="144"/>
  <c r="G88" i="144"/>
  <c r="F88" i="144"/>
  <c r="M88" i="144" s="1"/>
  <c r="H89" i="144"/>
  <c r="G89" i="144"/>
  <c r="F89" i="144"/>
  <c r="M89" i="144" s="1"/>
  <c r="H90" i="144"/>
  <c r="G90" i="144"/>
  <c r="F90" i="144"/>
  <c r="M90" i="144" s="1"/>
  <c r="H91" i="144"/>
  <c r="G91" i="144"/>
  <c r="F91" i="144"/>
  <c r="M91" i="144" s="1"/>
  <c r="H92" i="144"/>
  <c r="G92" i="144"/>
  <c r="F92" i="144"/>
  <c r="M92" i="144" s="1"/>
  <c r="H93" i="144"/>
  <c r="G93" i="144"/>
  <c r="F93" i="144"/>
  <c r="M93" i="144" s="1"/>
  <c r="K99" i="144"/>
  <c r="M95" i="144"/>
  <c r="L99" i="144"/>
  <c r="M96" i="144"/>
  <c r="F107" i="144"/>
  <c r="I106" i="144"/>
  <c r="F115" i="144"/>
  <c r="I114" i="144"/>
  <c r="I97" i="143"/>
  <c r="I99" i="143" s="1"/>
  <c r="K97" i="143"/>
  <c r="K99" i="143" s="1"/>
  <c r="M97" i="143"/>
  <c r="M99" i="143" s="1"/>
  <c r="O97" i="143"/>
  <c r="O99" i="143" s="1"/>
  <c r="Q97" i="143"/>
  <c r="Q99" i="143" s="1"/>
  <c r="S97" i="143"/>
  <c r="S99" i="143" s="1"/>
  <c r="I44" i="140"/>
  <c r="I46" i="140" s="1"/>
  <c r="K44" i="140"/>
  <c r="K46" i="140" s="1"/>
  <c r="M44" i="140"/>
  <c r="M46" i="140" s="1"/>
  <c r="O44" i="140"/>
  <c r="O46" i="140" s="1"/>
  <c r="Q44" i="140"/>
  <c r="Q46" i="140" s="1"/>
  <c r="S44" i="140"/>
  <c r="S46" i="140" s="1"/>
  <c r="I43" i="139"/>
  <c r="I45" i="139" s="1"/>
  <c r="K43" i="139"/>
  <c r="K45" i="139" s="1"/>
  <c r="M43" i="139"/>
  <c r="M45" i="139" s="1"/>
  <c r="O43" i="139"/>
  <c r="O45" i="139" s="1"/>
  <c r="Q43" i="139"/>
  <c r="Q45" i="139" s="1"/>
  <c r="S43" i="139"/>
  <c r="S45" i="139" s="1"/>
  <c r="I69" i="138"/>
  <c r="I71" i="138" s="1"/>
  <c r="K69" i="138"/>
  <c r="K71" i="138" s="1"/>
  <c r="M69" i="138"/>
  <c r="M71" i="138" s="1"/>
  <c r="O69" i="138"/>
  <c r="O71" i="138" s="1"/>
  <c r="Q69" i="138"/>
  <c r="Q71" i="138" s="1"/>
  <c r="S69" i="138"/>
  <c r="S71" i="138" s="1"/>
  <c r="I58" i="137"/>
  <c r="I60" i="137" s="1"/>
  <c r="K58" i="137"/>
  <c r="K60" i="137" s="1"/>
  <c r="M58" i="137"/>
  <c r="M60" i="137" s="1"/>
  <c r="O58" i="137"/>
  <c r="O60" i="137" s="1"/>
  <c r="Q58" i="137"/>
  <c r="Q60" i="137" s="1"/>
  <c r="S58" i="137"/>
  <c r="S60" i="137" s="1"/>
  <c r="AE63" i="136"/>
  <c r="AE65" i="136" s="1"/>
  <c r="I63" i="136"/>
  <c r="I65" i="136" s="1"/>
  <c r="AQ65" i="136"/>
  <c r="AI63" i="136"/>
  <c r="AI65" i="136" s="1"/>
  <c r="I57" i="135"/>
  <c r="I59" i="135" s="1"/>
  <c r="K57" i="135"/>
  <c r="K59" i="135" s="1"/>
  <c r="M57" i="135"/>
  <c r="M59" i="135" s="1"/>
  <c r="O57" i="135"/>
  <c r="O59" i="135" s="1"/>
  <c r="Q57" i="135"/>
  <c r="Q59" i="135" s="1"/>
  <c r="S57" i="135"/>
  <c r="S59" i="135" s="1"/>
  <c r="I58" i="134"/>
  <c r="I60" i="134" s="1"/>
  <c r="K58" i="134"/>
  <c r="K60" i="134" s="1"/>
  <c r="M58" i="134"/>
  <c r="M60" i="134" s="1"/>
  <c r="O58" i="134"/>
  <c r="O60" i="134" s="1"/>
  <c r="Q58" i="134"/>
  <c r="Q60" i="134" s="1"/>
  <c r="S58" i="134"/>
  <c r="S60" i="134" s="1"/>
  <c r="I58" i="133"/>
  <c r="I60" i="133" s="1"/>
  <c r="K58" i="133"/>
  <c r="K60" i="133" s="1"/>
  <c r="M58" i="133"/>
  <c r="M60" i="133" s="1"/>
  <c r="O58" i="133"/>
  <c r="O60" i="133" s="1"/>
  <c r="Q58" i="133"/>
  <c r="Q60" i="133" s="1"/>
  <c r="S58" i="133"/>
  <c r="S60" i="133" s="1"/>
  <c r="K89" i="132"/>
  <c r="K91" i="132" s="1"/>
  <c r="Y89" i="132"/>
  <c r="Y91" i="132" s="1"/>
  <c r="I89" i="132"/>
  <c r="I91" i="132" s="1"/>
  <c r="H8" i="132" s="1"/>
  <c r="H10" i="132" s="1"/>
  <c r="U89" i="132"/>
  <c r="U91" i="132" s="1"/>
  <c r="O89" i="132"/>
  <c r="O91" i="132" s="1"/>
  <c r="AA89" i="132"/>
  <c r="AA91" i="132" s="1"/>
  <c r="I59" i="129"/>
  <c r="I61" i="129" s="1"/>
  <c r="K59" i="129"/>
  <c r="K61" i="129" s="1"/>
  <c r="M59" i="129"/>
  <c r="M61" i="129" s="1"/>
  <c r="O59" i="129"/>
  <c r="O61" i="129" s="1"/>
  <c r="Q59" i="129"/>
  <c r="Q61" i="129" s="1"/>
  <c r="S59" i="129"/>
  <c r="S61" i="129" s="1"/>
  <c r="I59" i="128"/>
  <c r="I61" i="128" s="1"/>
  <c r="K59" i="128"/>
  <c r="K61" i="128" s="1"/>
  <c r="M59" i="128"/>
  <c r="M61" i="128" s="1"/>
  <c r="O59" i="128"/>
  <c r="O61" i="128" s="1"/>
  <c r="Q59" i="128"/>
  <c r="Q61" i="128" s="1"/>
  <c r="S59" i="128"/>
  <c r="S61" i="128" s="1"/>
  <c r="U68" i="126"/>
  <c r="U70" i="126" s="1"/>
  <c r="I68" i="126"/>
  <c r="I70" i="126" s="1"/>
  <c r="S68" i="126"/>
  <c r="S70" i="126" s="1"/>
  <c r="O68" i="126"/>
  <c r="O70" i="126" s="1"/>
  <c r="W68" i="126"/>
  <c r="W70" i="126" s="1"/>
  <c r="Y68" i="126"/>
  <c r="Y70" i="126" s="1"/>
  <c r="I52" i="125"/>
  <c r="I54" i="125" s="1"/>
  <c r="K52" i="125"/>
  <c r="K54" i="125" s="1"/>
  <c r="M52" i="125"/>
  <c r="M54" i="125" s="1"/>
  <c r="O52" i="125"/>
  <c r="O54" i="125" s="1"/>
  <c r="Q52" i="125"/>
  <c r="Q54" i="125" s="1"/>
  <c r="S52" i="125"/>
  <c r="S54" i="125" s="1"/>
  <c r="I52" i="124"/>
  <c r="I54" i="124" s="1"/>
  <c r="K52" i="124"/>
  <c r="K54" i="124" s="1"/>
  <c r="M52" i="124"/>
  <c r="M54" i="124" s="1"/>
  <c r="O52" i="124"/>
  <c r="O54" i="124" s="1"/>
  <c r="Q52" i="124"/>
  <c r="Q54" i="124" s="1"/>
  <c r="S52" i="124"/>
  <c r="S54" i="124" s="1"/>
  <c r="I48" i="123"/>
  <c r="I50" i="123" s="1"/>
  <c r="K48" i="123"/>
  <c r="K50" i="123" s="1"/>
  <c r="M48" i="123"/>
  <c r="M50" i="123" s="1"/>
  <c r="O48" i="123"/>
  <c r="O50" i="123" s="1"/>
  <c r="Q48" i="123"/>
  <c r="Q50" i="123" s="1"/>
  <c r="S48" i="123"/>
  <c r="S50" i="123" s="1"/>
  <c r="I66" i="122"/>
  <c r="I68" i="122" s="1"/>
  <c r="K66" i="122"/>
  <c r="K68" i="122" s="1"/>
  <c r="M66" i="122"/>
  <c r="M68" i="122" s="1"/>
  <c r="O66" i="122"/>
  <c r="O68" i="122" s="1"/>
  <c r="Q66" i="122"/>
  <c r="Q68" i="122" s="1"/>
  <c r="S66" i="122"/>
  <c r="S68" i="122" s="1"/>
  <c r="I49" i="121"/>
  <c r="I51" i="121" s="1"/>
  <c r="K49" i="121"/>
  <c r="K51" i="121" s="1"/>
  <c r="M49" i="121"/>
  <c r="M51" i="121" s="1"/>
  <c r="O49" i="121"/>
  <c r="O51" i="121" s="1"/>
  <c r="Q49" i="121"/>
  <c r="Q51" i="121" s="1"/>
  <c r="S49" i="121"/>
  <c r="S51" i="121" s="1"/>
  <c r="I46" i="120"/>
  <c r="I48" i="120" s="1"/>
  <c r="K46" i="120"/>
  <c r="K48" i="120" s="1"/>
  <c r="M46" i="120"/>
  <c r="M48" i="120" s="1"/>
  <c r="O46" i="120"/>
  <c r="O48" i="120" s="1"/>
  <c r="Q46" i="120"/>
  <c r="Q48" i="120" s="1"/>
  <c r="S46" i="120"/>
  <c r="I62" i="119"/>
  <c r="I64" i="119" s="1"/>
  <c r="K62" i="119"/>
  <c r="K64" i="119" s="1"/>
  <c r="M62" i="119"/>
  <c r="M64" i="119" s="1"/>
  <c r="O62" i="119"/>
  <c r="O64" i="119" s="1"/>
  <c r="Q62" i="119"/>
  <c r="Q64" i="119" s="1"/>
  <c r="S62" i="119"/>
  <c r="S64" i="119" s="1"/>
  <c r="I53" i="118"/>
  <c r="I55" i="118" s="1"/>
  <c r="M53" i="118"/>
  <c r="M55" i="118" s="1"/>
  <c r="L8" i="118" s="1"/>
  <c r="O53" i="118"/>
  <c r="O55" i="118" s="1"/>
  <c r="Q53" i="118"/>
  <c r="Q55" i="118" s="1"/>
  <c r="S53" i="118"/>
  <c r="S55" i="118" s="1"/>
  <c r="I53" i="117"/>
  <c r="I55" i="117" s="1"/>
  <c r="K53" i="117"/>
  <c r="K55" i="117" s="1"/>
  <c r="M53" i="117"/>
  <c r="M55" i="117" s="1"/>
  <c r="O53" i="117"/>
  <c r="O55" i="117" s="1"/>
  <c r="Q53" i="117"/>
  <c r="Q55" i="117" s="1"/>
  <c r="S53" i="117"/>
  <c r="S55" i="117" s="1"/>
  <c r="I94" i="116"/>
  <c r="I96" i="116" s="1"/>
  <c r="K94" i="116"/>
  <c r="K96" i="116" s="1"/>
  <c r="M94" i="116"/>
  <c r="M96" i="116" s="1"/>
  <c r="O94" i="116"/>
  <c r="O96" i="116" s="1"/>
  <c r="Q94" i="116"/>
  <c r="Q96" i="116" s="1"/>
  <c r="S94" i="116"/>
  <c r="S96" i="116" s="1"/>
  <c r="I94" i="115"/>
  <c r="I96" i="115" s="1"/>
  <c r="K94" i="115"/>
  <c r="K96" i="115" s="1"/>
  <c r="M94" i="115"/>
  <c r="M96" i="115" s="1"/>
  <c r="O94" i="115"/>
  <c r="O96" i="115" s="1"/>
  <c r="Q94" i="115"/>
  <c r="Q96" i="115" s="1"/>
  <c r="S94" i="115"/>
  <c r="S96" i="115" s="1"/>
  <c r="I55" i="114"/>
  <c r="I57" i="114" s="1"/>
  <c r="K55" i="114"/>
  <c r="K57" i="114" s="1"/>
  <c r="M55" i="114"/>
  <c r="M57" i="114" s="1"/>
  <c r="O55" i="114"/>
  <c r="O57" i="114" s="1"/>
  <c r="Q55" i="114"/>
  <c r="Q57" i="114" s="1"/>
  <c r="S55" i="114"/>
  <c r="S57" i="114" s="1"/>
  <c r="I68" i="112"/>
  <c r="I70" i="112" s="1"/>
  <c r="K68" i="112"/>
  <c r="K70" i="112" s="1"/>
  <c r="M68" i="112"/>
  <c r="M70" i="112" s="1"/>
  <c r="O68" i="112"/>
  <c r="O70" i="112" s="1"/>
  <c r="Q68" i="112"/>
  <c r="Q70" i="112" s="1"/>
  <c r="S68" i="112"/>
  <c r="S70" i="112" s="1"/>
  <c r="M73" i="59" l="1"/>
  <c r="M72" i="59"/>
  <c r="L8" i="59"/>
  <c r="K75" i="57"/>
  <c r="K74" i="57"/>
  <c r="J8" i="57"/>
  <c r="S71" i="57"/>
  <c r="S73" i="57" s="1"/>
  <c r="Q71" i="57"/>
  <c r="Q73" i="57" s="1"/>
  <c r="F64" i="20"/>
  <c r="Q64" i="20" s="1"/>
  <c r="AA16" i="20"/>
  <c r="W16" i="20"/>
  <c r="S75" i="57"/>
  <c r="S74" i="57"/>
  <c r="R8" i="57"/>
  <c r="K73" i="59"/>
  <c r="K72" i="59"/>
  <c r="J8" i="59"/>
  <c r="P9" i="30"/>
  <c r="Q79" i="30"/>
  <c r="Q78" i="30"/>
  <c r="AC107" i="75"/>
  <c r="AC108" i="75"/>
  <c r="K64" i="101"/>
  <c r="K66" i="101" s="1"/>
  <c r="K75" i="30"/>
  <c r="B117" i="30" s="1"/>
  <c r="E133" i="144"/>
  <c r="D134" i="144"/>
  <c r="T27" i="144"/>
  <c r="E134" i="144"/>
  <c r="S73" i="59"/>
  <c r="S72" i="59"/>
  <c r="AJ9" i="30"/>
  <c r="AK78" i="30"/>
  <c r="AK79" i="30"/>
  <c r="O74" i="20"/>
  <c r="O77" i="20" s="1"/>
  <c r="O82" i="20" s="1"/>
  <c r="M122" i="95"/>
  <c r="M123" i="95"/>
  <c r="I50" i="29"/>
  <c r="I51" i="29"/>
  <c r="U50" i="29"/>
  <c r="U51" i="29"/>
  <c r="Y50" i="29"/>
  <c r="Y51" i="29"/>
  <c r="O123" i="95"/>
  <c r="O122" i="95"/>
  <c r="N8" i="95"/>
  <c r="AT8" i="69"/>
  <c r="U45" i="145"/>
  <c r="U44" i="145"/>
  <c r="S45" i="145"/>
  <c r="S44" i="145"/>
  <c r="Q45" i="145"/>
  <c r="Q44" i="145"/>
  <c r="M45" i="145"/>
  <c r="M44" i="145"/>
  <c r="K45" i="145"/>
  <c r="K44" i="145"/>
  <c r="I45" i="145"/>
  <c r="I44" i="145"/>
  <c r="U82" i="93"/>
  <c r="U83" i="93"/>
  <c r="T8" i="93"/>
  <c r="K115" i="8"/>
  <c r="K114" i="8"/>
  <c r="J8" i="8"/>
  <c r="M18" i="144"/>
  <c r="F33" i="144"/>
  <c r="AA14" i="20"/>
  <c r="I115" i="144"/>
  <c r="M114" i="144"/>
  <c r="I107" i="144"/>
  <c r="M106" i="144"/>
  <c r="F99" i="144"/>
  <c r="M84" i="144"/>
  <c r="G99" i="144"/>
  <c r="K8" i="144" s="1"/>
  <c r="H99" i="144"/>
  <c r="K7" i="144" s="1"/>
  <c r="F79" i="144"/>
  <c r="M61" i="144"/>
  <c r="G79" i="144"/>
  <c r="I8" i="144" s="1"/>
  <c r="H79" i="144"/>
  <c r="I7" i="144" s="1"/>
  <c r="F56" i="144"/>
  <c r="M38" i="144"/>
  <c r="G56" i="144"/>
  <c r="G8" i="144" s="1"/>
  <c r="H56" i="144"/>
  <c r="G7" i="144" s="1"/>
  <c r="M16" i="144"/>
  <c r="M33" i="144" s="1"/>
  <c r="G33" i="144"/>
  <c r="E8" i="144" s="1"/>
  <c r="H33" i="144"/>
  <c r="E7" i="144" s="1"/>
  <c r="E4" i="144"/>
  <c r="N15" i="144"/>
  <c r="R8" i="143"/>
  <c r="P8" i="143"/>
  <c r="N8" i="143"/>
  <c r="L8" i="143"/>
  <c r="J8" i="143"/>
  <c r="H8" i="143"/>
  <c r="B135" i="143" s="1"/>
  <c r="S48" i="140"/>
  <c r="S47" i="140"/>
  <c r="R8" i="140"/>
  <c r="Q48" i="140"/>
  <c r="Q47" i="140"/>
  <c r="P8" i="140"/>
  <c r="O48" i="140"/>
  <c r="O47" i="140"/>
  <c r="N8" i="140"/>
  <c r="M48" i="140"/>
  <c r="M47" i="140"/>
  <c r="L8" i="140"/>
  <c r="K48" i="140"/>
  <c r="K47" i="140"/>
  <c r="J8" i="140"/>
  <c r="I48" i="140"/>
  <c r="I47" i="140"/>
  <c r="H8" i="140"/>
  <c r="S47" i="139"/>
  <c r="S46" i="139"/>
  <c r="R8" i="139"/>
  <c r="Q47" i="139"/>
  <c r="Q46" i="139"/>
  <c r="P8" i="139"/>
  <c r="O47" i="139"/>
  <c r="O46" i="139"/>
  <c r="N8" i="139"/>
  <c r="M47" i="139"/>
  <c r="M46" i="139"/>
  <c r="L8" i="139"/>
  <c r="K47" i="139"/>
  <c r="K46" i="139"/>
  <c r="J8" i="139"/>
  <c r="I47" i="139"/>
  <c r="I46" i="139"/>
  <c r="H8" i="139"/>
  <c r="S73" i="138"/>
  <c r="S72" i="138"/>
  <c r="R8" i="138"/>
  <c r="Q73" i="138"/>
  <c r="Q72" i="138"/>
  <c r="P8" i="138"/>
  <c r="O73" i="138"/>
  <c r="O72" i="138"/>
  <c r="N8" i="138"/>
  <c r="M73" i="138"/>
  <c r="M72" i="138"/>
  <c r="L8" i="138"/>
  <c r="K73" i="138"/>
  <c r="K72" i="138"/>
  <c r="J8" i="138"/>
  <c r="I73" i="138"/>
  <c r="I72" i="138"/>
  <c r="H8" i="138"/>
  <c r="S62" i="137"/>
  <c r="S61" i="137"/>
  <c r="R8" i="137"/>
  <c r="Q62" i="137"/>
  <c r="Q61" i="137"/>
  <c r="P8" i="137"/>
  <c r="O62" i="137"/>
  <c r="O61" i="137"/>
  <c r="N8" i="137"/>
  <c r="M62" i="137"/>
  <c r="M61" i="137"/>
  <c r="L8" i="137"/>
  <c r="K62" i="137"/>
  <c r="K61" i="137"/>
  <c r="J8" i="137"/>
  <c r="I62" i="137"/>
  <c r="I61" i="137"/>
  <c r="H8" i="137"/>
  <c r="AZ8" i="136"/>
  <c r="AI67" i="136"/>
  <c r="AI66" i="136"/>
  <c r="AH8" i="136"/>
  <c r="AQ67" i="136"/>
  <c r="AQ66" i="136"/>
  <c r="AP8" i="136"/>
  <c r="I67" i="136"/>
  <c r="I66" i="136"/>
  <c r="H8" i="136"/>
  <c r="AE67" i="136"/>
  <c r="AE66" i="136"/>
  <c r="AD8" i="136"/>
  <c r="S61" i="135"/>
  <c r="S60" i="135"/>
  <c r="R8" i="135"/>
  <c r="Q61" i="135"/>
  <c r="Q60" i="135"/>
  <c r="P8" i="135"/>
  <c r="O61" i="135"/>
  <c r="O60" i="135"/>
  <c r="N8" i="135"/>
  <c r="M61" i="135"/>
  <c r="M60" i="135"/>
  <c r="L8" i="135"/>
  <c r="K61" i="135"/>
  <c r="K60" i="135"/>
  <c r="J8" i="135"/>
  <c r="I61" i="135"/>
  <c r="I60" i="135"/>
  <c r="H8" i="135"/>
  <c r="S62" i="134"/>
  <c r="S61" i="134"/>
  <c r="R8" i="134"/>
  <c r="Q62" i="134"/>
  <c r="Q61" i="134"/>
  <c r="P8" i="134"/>
  <c r="O62" i="134"/>
  <c r="O61" i="134"/>
  <c r="N8" i="134"/>
  <c r="M62" i="134"/>
  <c r="M61" i="134"/>
  <c r="L8" i="134"/>
  <c r="K62" i="134"/>
  <c r="K61" i="134"/>
  <c r="J8" i="134"/>
  <c r="I62" i="134"/>
  <c r="I61" i="134"/>
  <c r="H8" i="134"/>
  <c r="S62" i="133"/>
  <c r="S61" i="133"/>
  <c r="R8" i="133"/>
  <c r="Q62" i="133"/>
  <c r="Q61" i="133"/>
  <c r="P8" i="133"/>
  <c r="O62" i="133"/>
  <c r="O61" i="133"/>
  <c r="N8" i="133"/>
  <c r="M62" i="133"/>
  <c r="M61" i="133"/>
  <c r="L8" i="133"/>
  <c r="K62" i="133"/>
  <c r="K61" i="133"/>
  <c r="J8" i="133"/>
  <c r="I62" i="133"/>
  <c r="I61" i="133"/>
  <c r="H8" i="133"/>
  <c r="AA93" i="132"/>
  <c r="AA92" i="132"/>
  <c r="Z8" i="132"/>
  <c r="O93" i="132"/>
  <c r="O92" i="132"/>
  <c r="N8" i="132"/>
  <c r="U93" i="132"/>
  <c r="U92" i="132"/>
  <c r="T8" i="132"/>
  <c r="I93" i="132"/>
  <c r="I92" i="132"/>
  <c r="Y93" i="132"/>
  <c r="Y92" i="132"/>
  <c r="X8" i="132"/>
  <c r="K93" i="132"/>
  <c r="K92" i="132"/>
  <c r="J8" i="132"/>
  <c r="S63" i="129"/>
  <c r="S62" i="129"/>
  <c r="R8" i="129"/>
  <c r="Q63" i="129"/>
  <c r="Q62" i="129"/>
  <c r="P8" i="129"/>
  <c r="O63" i="129"/>
  <c r="O62" i="129"/>
  <c r="N8" i="129"/>
  <c r="M63" i="129"/>
  <c r="M62" i="129"/>
  <c r="L8" i="129"/>
  <c r="K63" i="129"/>
  <c r="K62" i="129"/>
  <c r="J8" i="129"/>
  <c r="I63" i="129"/>
  <c r="I62" i="129"/>
  <c r="H8" i="129"/>
  <c r="S63" i="128"/>
  <c r="S62" i="128"/>
  <c r="R8" i="128"/>
  <c r="Q63" i="128"/>
  <c r="Q62" i="128"/>
  <c r="P8" i="128"/>
  <c r="O63" i="128"/>
  <c r="O62" i="128"/>
  <c r="N8" i="128"/>
  <c r="M63" i="128"/>
  <c r="M62" i="128"/>
  <c r="L8" i="128"/>
  <c r="K63" i="128"/>
  <c r="K62" i="128"/>
  <c r="J8" i="128"/>
  <c r="I63" i="128"/>
  <c r="I62" i="128"/>
  <c r="H8" i="128"/>
  <c r="Y72" i="126"/>
  <c r="Y71" i="126"/>
  <c r="X8" i="126"/>
  <c r="W72" i="126"/>
  <c r="W71" i="126"/>
  <c r="V8" i="126"/>
  <c r="O72" i="126"/>
  <c r="O71" i="126"/>
  <c r="N8" i="126"/>
  <c r="S72" i="126"/>
  <c r="S71" i="126"/>
  <c r="R8" i="126"/>
  <c r="I72" i="126"/>
  <c r="I71" i="126"/>
  <c r="H8" i="126"/>
  <c r="U72" i="126"/>
  <c r="U71" i="126"/>
  <c r="T8" i="126"/>
  <c r="S56" i="125"/>
  <c r="S55" i="125"/>
  <c r="R8" i="125"/>
  <c r="Q56" i="125"/>
  <c r="Q55" i="125"/>
  <c r="P8" i="125"/>
  <c r="O56" i="125"/>
  <c r="O55" i="125"/>
  <c r="N8" i="125"/>
  <c r="M56" i="125"/>
  <c r="M55" i="125"/>
  <c r="L8" i="125"/>
  <c r="K56" i="125"/>
  <c r="K55" i="125"/>
  <c r="J8" i="125"/>
  <c r="I56" i="125"/>
  <c r="I55" i="125"/>
  <c r="H8" i="125"/>
  <c r="S56" i="124"/>
  <c r="S55" i="124"/>
  <c r="R8" i="124"/>
  <c r="Q56" i="124"/>
  <c r="Q55" i="124"/>
  <c r="P8" i="124"/>
  <c r="O56" i="124"/>
  <c r="O55" i="124"/>
  <c r="N8" i="124"/>
  <c r="M56" i="124"/>
  <c r="M55" i="124"/>
  <c r="L8" i="124"/>
  <c r="K56" i="124"/>
  <c r="K55" i="124"/>
  <c r="J8" i="124"/>
  <c r="I56" i="124"/>
  <c r="I55" i="124"/>
  <c r="H8" i="124"/>
  <c r="S52" i="123"/>
  <c r="S51" i="123"/>
  <c r="Q52" i="123"/>
  <c r="Q51" i="123"/>
  <c r="O52" i="123"/>
  <c r="O51" i="123"/>
  <c r="M52" i="123"/>
  <c r="M51" i="123"/>
  <c r="K52" i="123"/>
  <c r="K51" i="123"/>
  <c r="I52" i="123"/>
  <c r="I51" i="123"/>
  <c r="S70" i="122"/>
  <c r="S69" i="122"/>
  <c r="Q70" i="122"/>
  <c r="Q69" i="122"/>
  <c r="O70" i="122"/>
  <c r="O69" i="122"/>
  <c r="M70" i="122"/>
  <c r="M69" i="122"/>
  <c r="L8" i="122"/>
  <c r="K70" i="122"/>
  <c r="K69" i="122"/>
  <c r="J8" i="122"/>
  <c r="I70" i="122"/>
  <c r="I69" i="122"/>
  <c r="H8" i="122"/>
  <c r="S53" i="121"/>
  <c r="S52" i="121"/>
  <c r="Q53" i="121"/>
  <c r="Q52" i="121"/>
  <c r="O53" i="121"/>
  <c r="O52" i="121"/>
  <c r="M53" i="121"/>
  <c r="M52" i="121"/>
  <c r="K53" i="121"/>
  <c r="K52" i="121"/>
  <c r="I53" i="121"/>
  <c r="I52" i="121"/>
  <c r="R8" i="120"/>
  <c r="S48" i="120"/>
  <c r="Q50" i="120"/>
  <c r="Q49" i="120"/>
  <c r="P8" i="120"/>
  <c r="O50" i="120"/>
  <c r="O49" i="120"/>
  <c r="N8" i="120"/>
  <c r="M50" i="120"/>
  <c r="M49" i="120"/>
  <c r="L8" i="120"/>
  <c r="K50" i="120"/>
  <c r="K49" i="120"/>
  <c r="J8" i="120"/>
  <c r="I50" i="120"/>
  <c r="I49" i="120"/>
  <c r="H8" i="120"/>
  <c r="S66" i="119"/>
  <c r="S65" i="119"/>
  <c r="R8" i="119"/>
  <c r="Q66" i="119"/>
  <c r="Q65" i="119"/>
  <c r="P8" i="119"/>
  <c r="O66" i="119"/>
  <c r="O65" i="119"/>
  <c r="N8" i="119"/>
  <c r="M66" i="119"/>
  <c r="M65" i="119"/>
  <c r="L8" i="119"/>
  <c r="K66" i="119"/>
  <c r="K65" i="119"/>
  <c r="J8" i="119"/>
  <c r="I66" i="119"/>
  <c r="I65" i="119"/>
  <c r="H8" i="119"/>
  <c r="S57" i="118"/>
  <c r="S56" i="118"/>
  <c r="R8" i="118"/>
  <c r="Q57" i="118"/>
  <c r="Q56" i="118"/>
  <c r="P8" i="118"/>
  <c r="O57" i="118"/>
  <c r="O56" i="118"/>
  <c r="M57" i="118"/>
  <c r="M56" i="118"/>
  <c r="I57" i="118"/>
  <c r="I56" i="118"/>
  <c r="H8" i="118"/>
  <c r="B91" i="118" s="1"/>
  <c r="M24" i="20" s="1"/>
  <c r="Q24" i="20" s="1"/>
  <c r="S57" i="117"/>
  <c r="S56" i="117"/>
  <c r="R8" i="117"/>
  <c r="Q57" i="117"/>
  <c r="Q56" i="117"/>
  <c r="P8" i="117"/>
  <c r="O57" i="117"/>
  <c r="O56" i="117"/>
  <c r="N8" i="117"/>
  <c r="M57" i="117"/>
  <c r="M56" i="117"/>
  <c r="L8" i="117"/>
  <c r="K57" i="117"/>
  <c r="K56" i="117"/>
  <c r="J8" i="117"/>
  <c r="I57" i="117"/>
  <c r="I56" i="117"/>
  <c r="H8" i="117"/>
  <c r="S98" i="116"/>
  <c r="S97" i="116"/>
  <c r="R8" i="116"/>
  <c r="Q98" i="116"/>
  <c r="Q97" i="116"/>
  <c r="P8" i="116"/>
  <c r="O98" i="116"/>
  <c r="O97" i="116"/>
  <c r="N8" i="116"/>
  <c r="M98" i="116"/>
  <c r="M97" i="116"/>
  <c r="L8" i="116"/>
  <c r="K98" i="116"/>
  <c r="K97" i="116"/>
  <c r="J8" i="116"/>
  <c r="I98" i="116"/>
  <c r="I97" i="116"/>
  <c r="H8" i="116"/>
  <c r="S98" i="115"/>
  <c r="S97" i="115"/>
  <c r="R8" i="115"/>
  <c r="Q98" i="115"/>
  <c r="Q97" i="115"/>
  <c r="P8" i="115"/>
  <c r="O98" i="115"/>
  <c r="O97" i="115"/>
  <c r="N8" i="115"/>
  <c r="M98" i="115"/>
  <c r="M97" i="115"/>
  <c r="L8" i="115"/>
  <c r="K98" i="115"/>
  <c r="K97" i="115"/>
  <c r="J8" i="115"/>
  <c r="I98" i="115"/>
  <c r="I97" i="115"/>
  <c r="H8" i="115"/>
  <c r="S59" i="114"/>
  <c r="S58" i="114"/>
  <c r="R8" i="114"/>
  <c r="Q59" i="114"/>
  <c r="Q58" i="114"/>
  <c r="P8" i="114"/>
  <c r="O59" i="114"/>
  <c r="O58" i="114"/>
  <c r="N8" i="114"/>
  <c r="M59" i="114"/>
  <c r="M58" i="114"/>
  <c r="L8" i="114"/>
  <c r="K59" i="114"/>
  <c r="K58" i="114"/>
  <c r="J8" i="114"/>
  <c r="I59" i="114"/>
  <c r="I58" i="114"/>
  <c r="H8" i="114"/>
  <c r="S72" i="112"/>
  <c r="S71" i="112"/>
  <c r="R8" i="112"/>
  <c r="Q72" i="112"/>
  <c r="Q71" i="112"/>
  <c r="P8" i="112"/>
  <c r="O72" i="112"/>
  <c r="O71" i="112"/>
  <c r="N8" i="112"/>
  <c r="M72" i="112"/>
  <c r="M71" i="112"/>
  <c r="L8" i="112"/>
  <c r="K72" i="112"/>
  <c r="K71" i="112"/>
  <c r="J8" i="112"/>
  <c r="I72" i="112"/>
  <c r="I71" i="112"/>
  <c r="H8" i="112"/>
  <c r="AA24" i="20" l="1"/>
  <c r="W73" i="20"/>
  <c r="X16" i="20"/>
  <c r="AA64" i="20"/>
  <c r="N10" i="132"/>
  <c r="N10" i="152"/>
  <c r="J11" i="57"/>
  <c r="Q74" i="57"/>
  <c r="Q75" i="57"/>
  <c r="P8" i="57"/>
  <c r="P11" i="57" s="1"/>
  <c r="B127" i="132"/>
  <c r="L9" i="152"/>
  <c r="L10" i="152" s="1"/>
  <c r="J10" i="132"/>
  <c r="R10" i="57"/>
  <c r="J9" i="152"/>
  <c r="J10" i="152" s="1"/>
  <c r="X10" i="132"/>
  <c r="T10" i="132"/>
  <c r="V9" i="152"/>
  <c r="V10" i="152" s="1"/>
  <c r="P9" i="152"/>
  <c r="P10" i="152" s="1"/>
  <c r="R11" i="57"/>
  <c r="H9" i="60"/>
  <c r="F47" i="20"/>
  <c r="Q47" i="20" s="1"/>
  <c r="AA47" i="20" s="1"/>
  <c r="K68" i="101"/>
  <c r="K67" i="101"/>
  <c r="J8" i="101"/>
  <c r="B102" i="101" s="1"/>
  <c r="H10" i="57"/>
  <c r="K77" i="30"/>
  <c r="F52" i="20"/>
  <c r="Q52" i="20" s="1"/>
  <c r="N10" i="57"/>
  <c r="B150" i="8"/>
  <c r="F35" i="20" s="1"/>
  <c r="Q35" i="20" s="1"/>
  <c r="M1" i="95"/>
  <c r="F50" i="20"/>
  <c r="Q50" i="20" s="1"/>
  <c r="R8" i="20"/>
  <c r="G8" i="20"/>
  <c r="N28" i="144"/>
  <c r="N29" i="144"/>
  <c r="N30" i="144"/>
  <c r="N31" i="144"/>
  <c r="N27" i="144"/>
  <c r="N26" i="144"/>
  <c r="N25" i="144"/>
  <c r="N24" i="144"/>
  <c r="N23" i="144"/>
  <c r="N22" i="144"/>
  <c r="N21" i="144"/>
  <c r="N20" i="144"/>
  <c r="N19" i="144"/>
  <c r="N18" i="144"/>
  <c r="N17" i="144"/>
  <c r="P33" i="144"/>
  <c r="E5" i="144"/>
  <c r="N16" i="144"/>
  <c r="N33" i="144" s="1"/>
  <c r="M56" i="144"/>
  <c r="G4" i="144" s="1"/>
  <c r="N38" i="144"/>
  <c r="P56" i="144"/>
  <c r="G5" i="144"/>
  <c r="H3" i="144" s="1"/>
  <c r="M79" i="144"/>
  <c r="I4" i="144" s="1"/>
  <c r="N61" i="144" s="1"/>
  <c r="P79" i="144"/>
  <c r="I5" i="144"/>
  <c r="M99" i="144"/>
  <c r="N84" i="144"/>
  <c r="N99" i="144" s="1"/>
  <c r="P99" i="144"/>
  <c r="K5" i="144"/>
  <c r="L3" i="144" s="1"/>
  <c r="M107" i="144"/>
  <c r="T4" i="144" s="1"/>
  <c r="M115" i="144"/>
  <c r="N9" i="144" s="1"/>
  <c r="T7" i="20" s="1"/>
  <c r="S50" i="120"/>
  <c r="S49" i="120"/>
  <c r="Y94" i="69" l="1"/>
  <c r="I57" i="20"/>
  <c r="I58" i="20"/>
  <c r="T57" i="20"/>
  <c r="T58" i="20"/>
  <c r="AA35" i="20"/>
  <c r="U94" i="69"/>
  <c r="O94" i="69"/>
  <c r="M94" i="69"/>
  <c r="W94" i="69"/>
  <c r="T88" i="20"/>
  <c r="T81" i="20"/>
  <c r="T78" i="20"/>
  <c r="T79" i="20"/>
  <c r="S94" i="69"/>
  <c r="AE94" i="69"/>
  <c r="K94" i="69"/>
  <c r="T13" i="20"/>
  <c r="K79" i="30"/>
  <c r="K78" i="30"/>
  <c r="J9" i="30"/>
  <c r="AA52" i="20"/>
  <c r="AA50" i="20"/>
  <c r="I77" i="10"/>
  <c r="I94" i="69"/>
  <c r="AA94" i="69"/>
  <c r="Q94" i="69"/>
  <c r="O86" i="20"/>
  <c r="O87" i="20" s="1"/>
  <c r="O89" i="20" s="1"/>
  <c r="I26" i="20"/>
  <c r="T26" i="20"/>
  <c r="I43" i="20"/>
  <c r="AO94" i="69"/>
  <c r="T43" i="20"/>
  <c r="Q56" i="20"/>
  <c r="I24" i="20"/>
  <c r="T24" i="20"/>
  <c r="I19" i="20"/>
  <c r="I13" i="20"/>
  <c r="AS94" i="69"/>
  <c r="AQ94" i="69"/>
  <c r="AU94" i="69"/>
  <c r="J3" i="144"/>
  <c r="N5" i="144"/>
  <c r="R33" i="144" s="1"/>
  <c r="G6" i="20"/>
  <c r="I64" i="20"/>
  <c r="T66" i="20"/>
  <c r="T64" i="20"/>
  <c r="T61" i="20"/>
  <c r="I79" i="20"/>
  <c r="I78" i="20"/>
  <c r="T68" i="20"/>
  <c r="T63" i="20"/>
  <c r="T52" i="20"/>
  <c r="T35" i="20"/>
  <c r="T50" i="20"/>
  <c r="T47" i="20"/>
  <c r="I35" i="20"/>
  <c r="I46" i="20"/>
  <c r="I47" i="20"/>
  <c r="I50" i="20"/>
  <c r="I52" i="20"/>
  <c r="I56" i="20"/>
  <c r="I67" i="20"/>
  <c r="I71" i="20"/>
  <c r="I16" i="20"/>
  <c r="I14" i="20"/>
  <c r="T14" i="20"/>
  <c r="T16" i="20"/>
  <c r="R7" i="20"/>
  <c r="S88" i="20" s="1"/>
  <c r="N94" i="144"/>
  <c r="N97" i="144"/>
  <c r="N96" i="144"/>
  <c r="N95" i="144"/>
  <c r="N93" i="144"/>
  <c r="N92" i="144"/>
  <c r="N91" i="144"/>
  <c r="N90" i="144"/>
  <c r="N89" i="144"/>
  <c r="N88" i="144"/>
  <c r="N87" i="144"/>
  <c r="N86" i="144"/>
  <c r="N85" i="144"/>
  <c r="N71" i="144"/>
  <c r="N72" i="144"/>
  <c r="N73" i="144"/>
  <c r="N74" i="144"/>
  <c r="N75" i="144"/>
  <c r="N76" i="144"/>
  <c r="N77" i="144"/>
  <c r="N70" i="144"/>
  <c r="N69" i="144"/>
  <c r="N68" i="144"/>
  <c r="N67" i="144"/>
  <c r="N66" i="144"/>
  <c r="N65" i="144"/>
  <c r="N64" i="144"/>
  <c r="N63" i="144"/>
  <c r="N62" i="144"/>
  <c r="N51" i="144"/>
  <c r="N52" i="144"/>
  <c r="N53" i="144"/>
  <c r="N54" i="144"/>
  <c r="N50" i="144"/>
  <c r="N49" i="144"/>
  <c r="N48" i="144"/>
  <c r="N47" i="144"/>
  <c r="N46" i="144"/>
  <c r="N45" i="144"/>
  <c r="N44" i="144"/>
  <c r="N43" i="144"/>
  <c r="N42" i="144"/>
  <c r="N41" i="144"/>
  <c r="N40" i="144"/>
  <c r="N39" i="144"/>
  <c r="N56" i="144" s="1"/>
  <c r="F3" i="144"/>
  <c r="S47" i="68"/>
  <c r="S46" i="68"/>
  <c r="Q47" i="68"/>
  <c r="Q46" i="68"/>
  <c r="O47" i="68"/>
  <c r="O46" i="68"/>
  <c r="M47" i="68"/>
  <c r="M46" i="68"/>
  <c r="K47" i="68"/>
  <c r="K46" i="68"/>
  <c r="I47" i="68"/>
  <c r="I46" i="68"/>
  <c r="Q72" i="82"/>
  <c r="Q70" i="82"/>
  <c r="P8" i="82"/>
  <c r="S66" i="82"/>
  <c r="Q68" i="82"/>
  <c r="Q66" i="82"/>
  <c r="O72" i="82"/>
  <c r="O71" i="82"/>
  <c r="M72" i="82"/>
  <c r="M71" i="82"/>
  <c r="K72" i="82"/>
  <c r="K71" i="82"/>
  <c r="I72" i="82"/>
  <c r="I71" i="82"/>
  <c r="S72" i="79"/>
  <c r="S71" i="79"/>
  <c r="Q72" i="79"/>
  <c r="Q71" i="79"/>
  <c r="O72" i="79"/>
  <c r="O71" i="79"/>
  <c r="M72" i="79"/>
  <c r="M71" i="79"/>
  <c r="K72" i="79"/>
  <c r="K71" i="79"/>
  <c r="I72" i="79"/>
  <c r="I71" i="79"/>
  <c r="S55" i="83"/>
  <c r="Q55" i="83"/>
  <c r="S53" i="85"/>
  <c r="S52" i="85"/>
  <c r="Q53" i="85"/>
  <c r="Q52" i="85"/>
  <c r="O53" i="85"/>
  <c r="O52" i="85"/>
  <c r="M53" i="85"/>
  <c r="M52" i="85"/>
  <c r="K53" i="85"/>
  <c r="K52" i="85"/>
  <c r="I53" i="85"/>
  <c r="I52" i="85"/>
  <c r="S54" i="92"/>
  <c r="S53" i="92"/>
  <c r="Q54" i="92"/>
  <c r="Q53" i="92"/>
  <c r="O54" i="92"/>
  <c r="O53" i="92"/>
  <c r="M54" i="92"/>
  <c r="M53" i="92"/>
  <c r="K54" i="92"/>
  <c r="K53" i="92"/>
  <c r="I54" i="92"/>
  <c r="I53" i="92"/>
  <c r="S60" i="90"/>
  <c r="S59" i="90"/>
  <c r="Q60" i="90"/>
  <c r="Q59" i="90"/>
  <c r="O60" i="90"/>
  <c r="O59" i="90"/>
  <c r="M60" i="90"/>
  <c r="M59" i="90"/>
  <c r="K60" i="90"/>
  <c r="K59" i="90"/>
  <c r="I60" i="90"/>
  <c r="I59" i="90"/>
  <c r="S75" i="109"/>
  <c r="S74" i="109"/>
  <c r="Q75" i="109"/>
  <c r="Q74" i="109"/>
  <c r="O75" i="109"/>
  <c r="O74" i="109"/>
  <c r="M75" i="109"/>
  <c r="M74" i="109"/>
  <c r="K75" i="109"/>
  <c r="K74" i="109"/>
  <c r="I75" i="109"/>
  <c r="I74" i="109"/>
  <c r="B4" i="109"/>
  <c r="B4" i="36"/>
  <c r="B4" i="15"/>
  <c r="B4" i="31"/>
  <c r="B4" i="102"/>
  <c r="B4" i="100"/>
  <c r="B4" i="99"/>
  <c r="B4" i="90"/>
  <c r="B4" i="94"/>
  <c r="B4" i="25"/>
  <c r="B4" i="92"/>
  <c r="B4" i="89"/>
  <c r="B4" i="85"/>
  <c r="B4" i="87"/>
  <c r="B4" i="83"/>
  <c r="B4" i="79"/>
  <c r="B4" i="82"/>
  <c r="B4" i="73"/>
  <c r="B4" i="77"/>
  <c r="B4" i="68"/>
  <c r="B4" i="64"/>
  <c r="B4" i="63"/>
  <c r="B4" i="61"/>
  <c r="B4" i="56"/>
  <c r="B4" i="4"/>
  <c r="B4" i="53"/>
  <c r="B4" i="52"/>
  <c r="B4" i="50"/>
  <c r="B4" i="35"/>
  <c r="B4" i="74"/>
  <c r="B4" i="76"/>
  <c r="Y93" i="69" l="1"/>
  <c r="G57" i="20"/>
  <c r="G58" i="20"/>
  <c r="R57" i="20"/>
  <c r="R58" i="20"/>
  <c r="U93" i="69"/>
  <c r="O93" i="69"/>
  <c r="M93" i="69"/>
  <c r="W93" i="69"/>
  <c r="S93" i="69"/>
  <c r="AE93" i="69"/>
  <c r="O100" i="20"/>
  <c r="R52" i="20"/>
  <c r="R50" i="20"/>
  <c r="K93" i="69"/>
  <c r="R24" i="20"/>
  <c r="R63" i="20"/>
  <c r="R64" i="20"/>
  <c r="R66" i="20"/>
  <c r="R68" i="20"/>
  <c r="R61" i="20"/>
  <c r="R35" i="20"/>
  <c r="R16" i="20"/>
  <c r="R43" i="20"/>
  <c r="R26" i="20"/>
  <c r="R47" i="20"/>
  <c r="AA56" i="20"/>
  <c r="R56" i="20"/>
  <c r="T56" i="20"/>
  <c r="I76" i="10"/>
  <c r="I93" i="69"/>
  <c r="AA93" i="69"/>
  <c r="Q93" i="69"/>
  <c r="G26" i="20"/>
  <c r="G43" i="20"/>
  <c r="AO93" i="69"/>
  <c r="G24" i="20"/>
  <c r="G19" i="20"/>
  <c r="G13" i="20"/>
  <c r="AS93" i="69"/>
  <c r="AQ93" i="69"/>
  <c r="AU93" i="69"/>
  <c r="N79" i="144"/>
  <c r="G64" i="20"/>
  <c r="R6" i="20"/>
  <c r="R88" i="20" s="1"/>
  <c r="G79" i="20"/>
  <c r="R78" i="20"/>
  <c r="R79" i="20"/>
  <c r="G78" i="20"/>
  <c r="G35" i="20"/>
  <c r="G46" i="20"/>
  <c r="G47" i="20"/>
  <c r="G50" i="20"/>
  <c r="G52" i="20"/>
  <c r="G56" i="20"/>
  <c r="G67" i="20"/>
  <c r="G71" i="20"/>
  <c r="G16" i="20"/>
  <c r="G14" i="20"/>
  <c r="R4" i="144"/>
  <c r="G7" i="20"/>
  <c r="N113" i="144"/>
  <c r="N105" i="144"/>
  <c r="V4" i="144"/>
  <c r="N103" i="144"/>
  <c r="N104" i="144"/>
  <c r="N111" i="144"/>
  <c r="N112" i="144"/>
  <c r="N106" i="144"/>
  <c r="N114" i="144"/>
  <c r="Q57" i="83"/>
  <c r="Q59" i="83" s="1"/>
  <c r="P8" i="83" s="1"/>
  <c r="S70" i="82"/>
  <c r="S68" i="82"/>
  <c r="Q71" i="82"/>
  <c r="S57" i="83"/>
  <c r="S59" i="83" s="1"/>
  <c r="Q61" i="83"/>
  <c r="Q60" i="83"/>
  <c r="R50" i="2"/>
  <c r="R49" i="2"/>
  <c r="AH81" i="16"/>
  <c r="H57" i="20" l="1"/>
  <c r="H58" i="20"/>
  <c r="S57" i="20"/>
  <c r="S58" i="20"/>
  <c r="S13" i="20"/>
  <c r="R14" i="20"/>
  <c r="R13" i="20"/>
  <c r="H26" i="20"/>
  <c r="S26" i="20"/>
  <c r="H43" i="20"/>
  <c r="S43" i="20"/>
  <c r="H24" i="20"/>
  <c r="S24" i="20"/>
  <c r="H13" i="20"/>
  <c r="H19" i="20"/>
  <c r="H64" i="20"/>
  <c r="S66" i="20"/>
  <c r="S64" i="20"/>
  <c r="S61" i="20"/>
  <c r="H79" i="20"/>
  <c r="S78" i="20"/>
  <c r="S79" i="20"/>
  <c r="H78" i="20"/>
  <c r="S68" i="20"/>
  <c r="S63" i="20"/>
  <c r="S56" i="20"/>
  <c r="S52" i="20"/>
  <c r="S50" i="20"/>
  <c r="S47" i="20"/>
  <c r="S35" i="20"/>
  <c r="S14" i="20"/>
  <c r="S16" i="20"/>
  <c r="H35" i="20"/>
  <c r="H46" i="20"/>
  <c r="H47" i="20"/>
  <c r="H50" i="20"/>
  <c r="H52" i="20"/>
  <c r="H56" i="20"/>
  <c r="H67" i="20"/>
  <c r="H71" i="20"/>
  <c r="H16" i="20"/>
  <c r="H14" i="20"/>
  <c r="N115" i="144"/>
  <c r="N107" i="144"/>
  <c r="S61" i="83"/>
  <c r="R8" i="83"/>
  <c r="S72" i="82"/>
  <c r="S71" i="82"/>
  <c r="S60" i="83"/>
  <c r="AH83" i="16"/>
  <c r="AH85" i="16" s="1"/>
  <c r="AG8" i="16" s="1"/>
  <c r="AH87" i="16" l="1"/>
  <c r="AH86" i="16"/>
  <c r="C20" i="47"/>
  <c r="Y117" i="95" l="1"/>
  <c r="Y119" i="95" l="1"/>
  <c r="Y121" i="95" s="1"/>
  <c r="Y123" i="95" l="1"/>
  <c r="Y122" i="95"/>
  <c r="X8" i="95"/>
  <c r="AV81" i="16" l="1"/>
  <c r="AV85" i="16" s="1"/>
  <c r="K117" i="95"/>
  <c r="K119" i="95" s="1"/>
  <c r="K121" i="95" s="1"/>
  <c r="K122" i="95" l="1"/>
  <c r="K123" i="95"/>
  <c r="AU8" i="16"/>
  <c r="AV86" i="16"/>
  <c r="AV87" i="16"/>
  <c r="J8" i="95"/>
  <c r="AR81" i="16"/>
  <c r="AR83" i="16" s="1"/>
  <c r="K1" i="95" l="1"/>
  <c r="O1" i="95"/>
  <c r="AR85" i="16"/>
  <c r="Z77" i="20"/>
  <c r="Z86" i="20" s="1"/>
  <c r="Z89" i="20" s="1"/>
  <c r="AQ8" i="16" l="1"/>
  <c r="AR87" i="16"/>
  <c r="AR86" i="16"/>
  <c r="G33" i="102" l="1"/>
  <c r="W49" i="110" l="1"/>
  <c r="W51" i="110" s="1"/>
  <c r="W53" i="110" s="1"/>
  <c r="U49" i="110"/>
  <c r="U51" i="110" s="1"/>
  <c r="U53" i="110" s="1"/>
  <c r="K49" i="110"/>
  <c r="K51" i="110" s="1"/>
  <c r="K53" i="110" s="1"/>
  <c r="I49" i="110"/>
  <c r="I51" i="110" s="1"/>
  <c r="I53" i="110" s="1"/>
  <c r="S49" i="110"/>
  <c r="O49" i="110"/>
  <c r="B19" i="110"/>
  <c r="B18" i="110"/>
  <c r="B17" i="110"/>
  <c r="B16" i="110"/>
  <c r="B15" i="110"/>
  <c r="B14" i="110"/>
  <c r="B13" i="110"/>
  <c r="B12" i="110"/>
  <c r="B11" i="110"/>
  <c r="G36" i="78"/>
  <c r="S69" i="109"/>
  <c r="S71" i="109" s="1"/>
  <c r="S73" i="109" s="1"/>
  <c r="Q69" i="109"/>
  <c r="Q71" i="109" s="1"/>
  <c r="Q73" i="109" s="1"/>
  <c r="O69" i="109"/>
  <c r="M69" i="109"/>
  <c r="M71" i="109" s="1"/>
  <c r="M73" i="109" s="1"/>
  <c r="K69" i="109"/>
  <c r="I69" i="109"/>
  <c r="B19" i="109"/>
  <c r="B18" i="109"/>
  <c r="B17" i="109"/>
  <c r="B16" i="109"/>
  <c r="B15" i="109"/>
  <c r="B14" i="109"/>
  <c r="B13" i="109"/>
  <c r="B12" i="109"/>
  <c r="B11" i="109"/>
  <c r="G55" i="78" l="1"/>
  <c r="O36" i="78"/>
  <c r="I55" i="110"/>
  <c r="I54" i="110"/>
  <c r="K55" i="110"/>
  <c r="K54" i="110"/>
  <c r="U55" i="110"/>
  <c r="U54" i="110"/>
  <c r="W55" i="110"/>
  <c r="W54" i="110"/>
  <c r="S71" i="10"/>
  <c r="H8" i="110"/>
  <c r="B89" i="110" s="1"/>
  <c r="J8" i="110"/>
  <c r="T8" i="110"/>
  <c r="U67" i="110" s="1"/>
  <c r="V8" i="110"/>
  <c r="O51" i="110"/>
  <c r="O53" i="110" s="1"/>
  <c r="S51" i="110"/>
  <c r="S53" i="110" s="1"/>
  <c r="O71" i="109"/>
  <c r="O73" i="109" s="1"/>
  <c r="P8" i="109"/>
  <c r="L8" i="109"/>
  <c r="R8" i="109"/>
  <c r="I71" i="109"/>
  <c r="I73" i="109" s="1"/>
  <c r="K71" i="109"/>
  <c r="K73" i="109" s="1"/>
  <c r="AI202" i="14"/>
  <c r="AI204" i="14" s="1"/>
  <c r="S48" i="56"/>
  <c r="Q48" i="56"/>
  <c r="O48" i="56"/>
  <c r="M48" i="56"/>
  <c r="Q71" i="32"/>
  <c r="Q73" i="32" s="1"/>
  <c r="K71" i="32"/>
  <c r="M71" i="32"/>
  <c r="I71" i="32"/>
  <c r="I73" i="32" s="1"/>
  <c r="S55" i="110" l="1"/>
  <c r="S54" i="110"/>
  <c r="O55" i="110"/>
  <c r="O54" i="110"/>
  <c r="R8" i="110"/>
  <c r="N8" i="110"/>
  <c r="F49" i="20" s="1"/>
  <c r="N8" i="109"/>
  <c r="J8" i="109"/>
  <c r="H8" i="109"/>
  <c r="AI206" i="14"/>
  <c r="AG204" i="14"/>
  <c r="AG206" i="14" s="1"/>
  <c r="AE204" i="14"/>
  <c r="AE206" i="14" s="1"/>
  <c r="I204" i="14"/>
  <c r="I206" i="14" s="1"/>
  <c r="AA204" i="14"/>
  <c r="AA206" i="14" s="1"/>
  <c r="Y204" i="14"/>
  <c r="Y206" i="14" s="1"/>
  <c r="Q75" i="32"/>
  <c r="K73" i="32"/>
  <c r="K75" i="32" s="1"/>
  <c r="J8" i="32" s="1"/>
  <c r="B113" i="32" s="1"/>
  <c r="M73" i="32"/>
  <c r="M75" i="32" s="1"/>
  <c r="I75" i="32"/>
  <c r="Q129" i="3"/>
  <c r="I66" i="51"/>
  <c r="S54" i="63"/>
  <c r="S48" i="61"/>
  <c r="Q48" i="61"/>
  <c r="O48" i="61"/>
  <c r="M48" i="61"/>
  <c r="K48" i="61"/>
  <c r="K50" i="61" s="1"/>
  <c r="CR46" i="108"/>
  <c r="CJ46" i="108"/>
  <c r="CB46" i="108"/>
  <c r="BT46" i="108"/>
  <c r="BL46" i="108"/>
  <c r="BD46" i="108"/>
  <c r="AV46" i="108"/>
  <c r="AN46" i="108"/>
  <c r="AF46" i="108"/>
  <c r="X46" i="108"/>
  <c r="P46" i="108"/>
  <c r="H46" i="108"/>
  <c r="CU46" i="108" s="1"/>
  <c r="CR45" i="108"/>
  <c r="CJ45" i="108"/>
  <c r="CU45" i="108" s="1"/>
  <c r="CB45" i="108"/>
  <c r="BT45" i="108"/>
  <c r="BL45" i="108"/>
  <c r="BD45" i="108"/>
  <c r="AV45" i="108"/>
  <c r="AN45" i="108"/>
  <c r="AF45" i="108"/>
  <c r="X45" i="108"/>
  <c r="P45" i="108"/>
  <c r="H45" i="108"/>
  <c r="CR44" i="108"/>
  <c r="CJ44" i="108"/>
  <c r="CB44" i="108"/>
  <c r="BT44" i="108"/>
  <c r="BL44" i="108"/>
  <c r="CU44" i="108" s="1"/>
  <c r="BD44" i="108"/>
  <c r="AV44" i="108"/>
  <c r="AN44" i="108"/>
  <c r="AF44" i="108"/>
  <c r="X44" i="108"/>
  <c r="P44" i="108"/>
  <c r="H44" i="108"/>
  <c r="CR43" i="108"/>
  <c r="CJ43" i="108"/>
  <c r="CB43" i="108"/>
  <c r="BT43" i="108"/>
  <c r="BL43" i="108"/>
  <c r="BD43" i="108"/>
  <c r="AV43" i="108"/>
  <c r="CU43" i="108" s="1"/>
  <c r="AN43" i="108"/>
  <c r="AF43" i="108"/>
  <c r="X43" i="108"/>
  <c r="P43" i="108"/>
  <c r="H43" i="108"/>
  <c r="CR41" i="108"/>
  <c r="CJ41" i="108"/>
  <c r="CB41" i="108"/>
  <c r="BT41" i="108"/>
  <c r="BL41" i="108"/>
  <c r="BD41" i="108"/>
  <c r="AV41" i="108"/>
  <c r="AN41" i="108"/>
  <c r="AF41" i="108"/>
  <c r="X41" i="108"/>
  <c r="P41" i="108"/>
  <c r="CU41" i="108" s="1"/>
  <c r="H41" i="108"/>
  <c r="CR40" i="108"/>
  <c r="CJ40" i="108"/>
  <c r="CB40" i="108"/>
  <c r="BT40" i="108"/>
  <c r="BL40" i="108"/>
  <c r="BD40" i="108"/>
  <c r="AV40" i="108"/>
  <c r="AN40" i="108"/>
  <c r="AF40" i="108"/>
  <c r="X40" i="108"/>
  <c r="P40" i="108"/>
  <c r="H40" i="108"/>
  <c r="CU40" i="108" s="1"/>
  <c r="CR38" i="108"/>
  <c r="CU38" i="108" s="1"/>
  <c r="CJ38" i="108"/>
  <c r="CB38" i="108"/>
  <c r="BT38" i="108"/>
  <c r="BL38" i="108"/>
  <c r="BD38" i="108"/>
  <c r="AV38" i="108"/>
  <c r="AN38" i="108"/>
  <c r="AF38" i="108"/>
  <c r="X38" i="108"/>
  <c r="P38" i="108"/>
  <c r="H38" i="108"/>
  <c r="CR36" i="108"/>
  <c r="CJ36" i="108"/>
  <c r="CB36" i="108"/>
  <c r="BT36" i="108"/>
  <c r="CU36" i="108" s="1"/>
  <c r="BL36" i="108"/>
  <c r="BD36" i="108"/>
  <c r="AV36" i="108"/>
  <c r="AN36" i="108"/>
  <c r="AF36" i="108"/>
  <c r="X36" i="108"/>
  <c r="P36" i="108"/>
  <c r="H36" i="108"/>
  <c r="CR35" i="108"/>
  <c r="CJ35" i="108"/>
  <c r="CB35" i="108"/>
  <c r="BT35" i="108"/>
  <c r="BL35" i="108"/>
  <c r="BD35" i="108"/>
  <c r="AV35" i="108"/>
  <c r="CU35" i="108" s="1"/>
  <c r="AN35" i="108"/>
  <c r="AF35" i="108"/>
  <c r="X35" i="108"/>
  <c r="P35" i="108"/>
  <c r="H35" i="108"/>
  <c r="CR34" i="108"/>
  <c r="CJ34" i="108"/>
  <c r="CB34" i="108"/>
  <c r="BT34" i="108"/>
  <c r="BL34" i="108"/>
  <c r="BD34" i="108"/>
  <c r="AV34" i="108"/>
  <c r="AN34" i="108"/>
  <c r="AF34" i="108"/>
  <c r="X34" i="108"/>
  <c r="CU34" i="108" s="1"/>
  <c r="P34" i="108"/>
  <c r="H34" i="108"/>
  <c r="CR33" i="108"/>
  <c r="CJ33" i="108"/>
  <c r="CB33" i="108"/>
  <c r="BT33" i="108"/>
  <c r="BL33" i="108"/>
  <c r="BD33" i="108"/>
  <c r="AV33" i="108"/>
  <c r="AN33" i="108"/>
  <c r="AF33" i="108"/>
  <c r="X33" i="108"/>
  <c r="P33" i="108"/>
  <c r="H33" i="108"/>
  <c r="CU33" i="108" s="1"/>
  <c r="CP31" i="108"/>
  <c r="CR31" i="108" s="1"/>
  <c r="CH31" i="108"/>
  <c r="CJ31" i="108" s="1"/>
  <c r="BZ31" i="108"/>
  <c r="CB31" i="108" s="1"/>
  <c r="BT31" i="108"/>
  <c r="BR31" i="108"/>
  <c r="BJ31" i="108"/>
  <c r="BL31" i="108" s="1"/>
  <c r="BB31" i="108"/>
  <c r="BD31" i="108" s="1"/>
  <c r="AT31" i="108"/>
  <c r="AV31" i="108" s="1"/>
  <c r="AL31" i="108"/>
  <c r="AN31" i="108" s="1"/>
  <c r="AD31" i="108"/>
  <c r="AF31" i="108" s="1"/>
  <c r="V31" i="108"/>
  <c r="X31" i="108" s="1"/>
  <c r="N31" i="108"/>
  <c r="P31" i="108" s="1"/>
  <c r="CU31" i="108" s="1"/>
  <c r="H31" i="108"/>
  <c r="F31" i="108"/>
  <c r="CP30" i="108"/>
  <c r="CR30" i="108" s="1"/>
  <c r="CH30" i="108"/>
  <c r="CJ30" i="108" s="1"/>
  <c r="BZ30" i="108"/>
  <c r="CB30" i="108" s="1"/>
  <c r="BT30" i="108"/>
  <c r="BR30" i="108"/>
  <c r="BJ30" i="108"/>
  <c r="BL30" i="108" s="1"/>
  <c r="BB30" i="108"/>
  <c r="BD30" i="108" s="1"/>
  <c r="AT30" i="108"/>
  <c r="AV30" i="108" s="1"/>
  <c r="AL30" i="108"/>
  <c r="AN30" i="108" s="1"/>
  <c r="AD30" i="108"/>
  <c r="AF30" i="108" s="1"/>
  <c r="V30" i="108"/>
  <c r="X30" i="108" s="1"/>
  <c r="N30" i="108"/>
  <c r="P30" i="108" s="1"/>
  <c r="H30" i="108"/>
  <c r="CU30" i="108" s="1"/>
  <c r="F30" i="108"/>
  <c r="CP29" i="108"/>
  <c r="CR29" i="108" s="1"/>
  <c r="CH29" i="108"/>
  <c r="CJ29" i="108" s="1"/>
  <c r="CB29" i="108"/>
  <c r="BZ29" i="108"/>
  <c r="BR29" i="108"/>
  <c r="BT29" i="108" s="1"/>
  <c r="BJ29" i="108"/>
  <c r="BL29" i="108" s="1"/>
  <c r="BB29" i="108"/>
  <c r="BD29" i="108" s="1"/>
  <c r="AT29" i="108"/>
  <c r="AV29" i="108" s="1"/>
  <c r="AL29" i="108"/>
  <c r="AN29" i="108" s="1"/>
  <c r="AD29" i="108"/>
  <c r="AF29" i="108" s="1"/>
  <c r="V29" i="108"/>
  <c r="X29" i="108" s="1"/>
  <c r="P29" i="108"/>
  <c r="N29" i="108"/>
  <c r="F29" i="108"/>
  <c r="H29" i="108" s="1"/>
  <c r="CU29" i="108" s="1"/>
  <c r="CP28" i="108"/>
  <c r="CR28" i="108" s="1"/>
  <c r="CH28" i="108"/>
  <c r="CJ28" i="108" s="1"/>
  <c r="CB28" i="108"/>
  <c r="BZ28" i="108"/>
  <c r="BT28" i="108"/>
  <c r="BR28" i="108"/>
  <c r="BJ28" i="108"/>
  <c r="BL28" i="108" s="1"/>
  <c r="BB28" i="108"/>
  <c r="BD28" i="108" s="1"/>
  <c r="AT28" i="108"/>
  <c r="AV28" i="108" s="1"/>
  <c r="AL28" i="108"/>
  <c r="AN28" i="108" s="1"/>
  <c r="AD28" i="108"/>
  <c r="AF28" i="108" s="1"/>
  <c r="V28" i="108"/>
  <c r="X28" i="108" s="1"/>
  <c r="P28" i="108"/>
  <c r="N28" i="108"/>
  <c r="H28" i="108"/>
  <c r="F28" i="108"/>
  <c r="CP27" i="108"/>
  <c r="CR27" i="108" s="1"/>
  <c r="CJ27" i="108"/>
  <c r="CH27" i="108"/>
  <c r="BZ27" i="108"/>
  <c r="CB27" i="108" s="1"/>
  <c r="BR27" i="108"/>
  <c r="BR7" i="108" s="1"/>
  <c r="BT7" i="108" s="1"/>
  <c r="BJ27" i="108"/>
  <c r="BJ7" i="108" s="1"/>
  <c r="BL7" i="108" s="1"/>
  <c r="BB27" i="108"/>
  <c r="BD27" i="108" s="1"/>
  <c r="AT27" i="108"/>
  <c r="AV27" i="108" s="1"/>
  <c r="AL27" i="108"/>
  <c r="AN27" i="108" s="1"/>
  <c r="AD27" i="108"/>
  <c r="AF27" i="108" s="1"/>
  <c r="X27" i="108"/>
  <c r="V27" i="108"/>
  <c r="N27" i="108"/>
  <c r="P27" i="108" s="1"/>
  <c r="F27" i="108"/>
  <c r="H27" i="108" s="1"/>
  <c r="CP26" i="108"/>
  <c r="CR26" i="108" s="1"/>
  <c r="CJ26" i="108"/>
  <c r="CH26" i="108"/>
  <c r="CB26" i="108"/>
  <c r="BZ26" i="108"/>
  <c r="BR26" i="108"/>
  <c r="BT26" i="108" s="1"/>
  <c r="BJ26" i="108"/>
  <c r="BL26" i="108" s="1"/>
  <c r="BB26" i="108"/>
  <c r="BD26" i="108" s="1"/>
  <c r="AT26" i="108"/>
  <c r="AV26" i="108" s="1"/>
  <c r="AL26" i="108"/>
  <c r="AN26" i="108" s="1"/>
  <c r="AD26" i="108"/>
  <c r="AF26" i="108" s="1"/>
  <c r="X26" i="108"/>
  <c r="V26" i="108"/>
  <c r="P26" i="108"/>
  <c r="N26" i="108"/>
  <c r="F26" i="108"/>
  <c r="H26" i="108" s="1"/>
  <c r="CR25" i="108"/>
  <c r="CJ25" i="108"/>
  <c r="CB25" i="108"/>
  <c r="BT25" i="108"/>
  <c r="BL25" i="108"/>
  <c r="BD25" i="108"/>
  <c r="AV25" i="108"/>
  <c r="AN25" i="108"/>
  <c r="AF25" i="108"/>
  <c r="X25" i="108"/>
  <c r="CU25" i="108" s="1"/>
  <c r="P25" i="108"/>
  <c r="H25" i="108"/>
  <c r="CR24" i="108"/>
  <c r="CJ24" i="108"/>
  <c r="CB24" i="108"/>
  <c r="BT24" i="108"/>
  <c r="BL24" i="108"/>
  <c r="BD24" i="108"/>
  <c r="AV24" i="108"/>
  <c r="AN24" i="108"/>
  <c r="AF24" i="108"/>
  <c r="X24" i="108"/>
  <c r="P24" i="108"/>
  <c r="H24" i="108"/>
  <c r="CU24" i="108" s="1"/>
  <c r="CU23" i="108"/>
  <c r="CR23" i="108"/>
  <c r="CJ23" i="108"/>
  <c r="CB23" i="108"/>
  <c r="BT23" i="108"/>
  <c r="BL23" i="108"/>
  <c r="BD23" i="108"/>
  <c r="AV23" i="108"/>
  <c r="AN23" i="108"/>
  <c r="AF23" i="108"/>
  <c r="X23" i="108"/>
  <c r="P23" i="108"/>
  <c r="H23" i="108"/>
  <c r="CR21" i="108"/>
  <c r="CJ21" i="108"/>
  <c r="CB21" i="108"/>
  <c r="CU21" i="108" s="1"/>
  <c r="BT21" i="108"/>
  <c r="BL21" i="108"/>
  <c r="BD21" i="108"/>
  <c r="AV21" i="108"/>
  <c r="AN21" i="108"/>
  <c r="AF21" i="108"/>
  <c r="X21" i="108"/>
  <c r="P21" i="108"/>
  <c r="H21" i="108"/>
  <c r="CR20" i="108"/>
  <c r="CJ20" i="108"/>
  <c r="CB20" i="108"/>
  <c r="BT20" i="108"/>
  <c r="BL20" i="108"/>
  <c r="BD20" i="108"/>
  <c r="CU20" i="108" s="1"/>
  <c r="AV20" i="108"/>
  <c r="AN20" i="108"/>
  <c r="AF20" i="108"/>
  <c r="X20" i="108"/>
  <c r="P20" i="108"/>
  <c r="H20" i="108"/>
  <c r="CR19" i="108"/>
  <c r="CJ19" i="108"/>
  <c r="CB19" i="108"/>
  <c r="BT19" i="108"/>
  <c r="BL19" i="108"/>
  <c r="BD19" i="108"/>
  <c r="AV19" i="108"/>
  <c r="AN19" i="108"/>
  <c r="AF19" i="108"/>
  <c r="CU19" i="108" s="1"/>
  <c r="X19" i="108"/>
  <c r="CR18" i="108"/>
  <c r="CJ18" i="108"/>
  <c r="CB18" i="108"/>
  <c r="BT18" i="108"/>
  <c r="BL18" i="108"/>
  <c r="BD18" i="108"/>
  <c r="AV18" i="108"/>
  <c r="AN18" i="108"/>
  <c r="AF18" i="108"/>
  <c r="X18" i="108"/>
  <c r="P18" i="108"/>
  <c r="H18" i="108"/>
  <c r="CU18" i="108" s="1"/>
  <c r="CR17" i="108"/>
  <c r="CU17" i="108" s="1"/>
  <c r="CJ17" i="108"/>
  <c r="CB17" i="108"/>
  <c r="BT17" i="108"/>
  <c r="BL17" i="108"/>
  <c r="BD17" i="108"/>
  <c r="AV17" i="108"/>
  <c r="AN17" i="108"/>
  <c r="AF17" i="108"/>
  <c r="X17" i="108"/>
  <c r="P17" i="108"/>
  <c r="H17" i="108"/>
  <c r="CR15" i="108"/>
  <c r="CJ15" i="108"/>
  <c r="CB15" i="108"/>
  <c r="BT15" i="108"/>
  <c r="CU15" i="108" s="1"/>
  <c r="BL15" i="108"/>
  <c r="BD15" i="108"/>
  <c r="AV15" i="108"/>
  <c r="AN15" i="108"/>
  <c r="AF15" i="108"/>
  <c r="X15" i="108"/>
  <c r="P15" i="108"/>
  <c r="H15" i="108"/>
  <c r="CR14" i="108"/>
  <c r="CJ14" i="108"/>
  <c r="CB14" i="108"/>
  <c r="BT14" i="108"/>
  <c r="BL14" i="108"/>
  <c r="BD14" i="108"/>
  <c r="AV14" i="108"/>
  <c r="CU14" i="108" s="1"/>
  <c r="AN14" i="108"/>
  <c r="AF14" i="108"/>
  <c r="X14" i="108"/>
  <c r="P14" i="108"/>
  <c r="H14" i="108"/>
  <c r="CR13" i="108"/>
  <c r="CJ13" i="108"/>
  <c r="CB13" i="108"/>
  <c r="BT13" i="108"/>
  <c r="BL13" i="108"/>
  <c r="BD13" i="108"/>
  <c r="AV13" i="108"/>
  <c r="AN13" i="108"/>
  <c r="AF13" i="108"/>
  <c r="X13" i="108"/>
  <c r="CU13" i="108" s="1"/>
  <c r="P13" i="108"/>
  <c r="H13" i="108"/>
  <c r="CR12" i="108"/>
  <c r="CJ12" i="108"/>
  <c r="CB12" i="108"/>
  <c r="BT12" i="108"/>
  <c r="BL12" i="108"/>
  <c r="BD12" i="108"/>
  <c r="AV12" i="108"/>
  <c r="AN12" i="108"/>
  <c r="AF12" i="108"/>
  <c r="X12" i="108"/>
  <c r="P12" i="108"/>
  <c r="H12" i="108"/>
  <c r="CU12" i="108" s="1"/>
  <c r="CU11" i="108"/>
  <c r="CR11" i="108"/>
  <c r="CJ11" i="108"/>
  <c r="CB11" i="108"/>
  <c r="BT11" i="108"/>
  <c r="BL11" i="108"/>
  <c r="BD11" i="108"/>
  <c r="AV11" i="108"/>
  <c r="AN11" i="108"/>
  <c r="AF11" i="108"/>
  <c r="X11" i="108"/>
  <c r="P11" i="108"/>
  <c r="H11" i="108"/>
  <c r="CR10" i="108"/>
  <c r="CJ10" i="108"/>
  <c r="CB10" i="108"/>
  <c r="CU10" i="108" s="1"/>
  <c r="BT10" i="108"/>
  <c r="BL10" i="108"/>
  <c r="BD10" i="108"/>
  <c r="AV10" i="108"/>
  <c r="AN10" i="108"/>
  <c r="AF10" i="108"/>
  <c r="X10" i="108"/>
  <c r="P10" i="108"/>
  <c r="H10" i="108"/>
  <c r="CP7" i="108"/>
  <c r="CR7" i="108" s="1"/>
  <c r="CH7" i="108"/>
  <c r="CJ7" i="108" s="1"/>
  <c r="BZ7" i="108"/>
  <c r="CB7" i="108" s="1"/>
  <c r="AV7" i="108"/>
  <c r="AT7" i="108"/>
  <c r="AL7" i="108"/>
  <c r="AN7" i="108" s="1"/>
  <c r="AD7" i="108"/>
  <c r="AF7" i="108" s="1"/>
  <c r="V7" i="108"/>
  <c r="X7" i="108" s="1"/>
  <c r="N7" i="108"/>
  <c r="P7" i="108" s="1"/>
  <c r="CR6" i="108"/>
  <c r="CJ6" i="108"/>
  <c r="CB6" i="108"/>
  <c r="BT6" i="108"/>
  <c r="BL6" i="108"/>
  <c r="BD6" i="108"/>
  <c r="AV6" i="108"/>
  <c r="AN6" i="108"/>
  <c r="AF6" i="108"/>
  <c r="X6" i="108"/>
  <c r="P6" i="108"/>
  <c r="H6" i="108"/>
  <c r="CU6" i="108" s="1"/>
  <c r="CU5" i="108"/>
  <c r="CR5" i="108"/>
  <c r="CJ5" i="108"/>
  <c r="CB5" i="108"/>
  <c r="BT5" i="108"/>
  <c r="BL5" i="108"/>
  <c r="BD5" i="108"/>
  <c r="AV5" i="108"/>
  <c r="AN5" i="108"/>
  <c r="AF5" i="108"/>
  <c r="X5" i="108"/>
  <c r="P5" i="108"/>
  <c r="H5" i="108"/>
  <c r="CR4" i="108"/>
  <c r="CJ4" i="108"/>
  <c r="CB4" i="108"/>
  <c r="CU4" i="108" s="1"/>
  <c r="BT4" i="108"/>
  <c r="BL4" i="108"/>
  <c r="BD4" i="108"/>
  <c r="AV4" i="108"/>
  <c r="AN4" i="108"/>
  <c r="AF4" i="108"/>
  <c r="X4" i="108"/>
  <c r="P4" i="108"/>
  <c r="H4" i="108"/>
  <c r="CR2" i="108"/>
  <c r="CJ2" i="108"/>
  <c r="CB2" i="108"/>
  <c r="BT2" i="108"/>
  <c r="BL2" i="108"/>
  <c r="BD2" i="108"/>
  <c r="CU2" i="108" s="1"/>
  <c r="AV2" i="108"/>
  <c r="AN2" i="108"/>
  <c r="AF2" i="108"/>
  <c r="X2" i="108"/>
  <c r="P2" i="108"/>
  <c r="H2" i="108"/>
  <c r="G206" i="107"/>
  <c r="G205" i="107"/>
  <c r="G204" i="107"/>
  <c r="G203" i="107"/>
  <c r="G202" i="107"/>
  <c r="G201" i="107"/>
  <c r="G200" i="107"/>
  <c r="G197" i="107"/>
  <c r="G196" i="107"/>
  <c r="G195" i="107"/>
  <c r="G194" i="107"/>
  <c r="G193" i="107"/>
  <c r="G192" i="107"/>
  <c r="G191" i="107"/>
  <c r="G190" i="107"/>
  <c r="G189" i="107"/>
  <c r="G188" i="107"/>
  <c r="G187" i="107"/>
  <c r="G184" i="107"/>
  <c r="G183" i="107"/>
  <c r="G182" i="107"/>
  <c r="G181" i="107"/>
  <c r="G180" i="107"/>
  <c r="G177" i="107"/>
  <c r="G176" i="107"/>
  <c r="G175" i="107"/>
  <c r="G174" i="107"/>
  <c r="G173" i="107"/>
  <c r="G172" i="107"/>
  <c r="G171" i="107"/>
  <c r="G170" i="107"/>
  <c r="G169" i="107"/>
  <c r="Q49" i="20" l="1"/>
  <c r="I49" i="20"/>
  <c r="G49" i="20"/>
  <c r="H49" i="20"/>
  <c r="H8" i="32"/>
  <c r="I76" i="32"/>
  <c r="I77" i="32"/>
  <c r="K76" i="32"/>
  <c r="K77" i="32"/>
  <c r="L8" i="32"/>
  <c r="M77" i="32"/>
  <c r="M76" i="32"/>
  <c r="P8" i="32"/>
  <c r="Q77" i="32"/>
  <c r="Q76" i="32"/>
  <c r="X8" i="14"/>
  <c r="Y208" i="14"/>
  <c r="Y207" i="14"/>
  <c r="Z8" i="14"/>
  <c r="AA208" i="14"/>
  <c r="AA207" i="14"/>
  <c r="H8" i="14"/>
  <c r="I208" i="14"/>
  <c r="I207" i="14"/>
  <c r="AD8" i="14"/>
  <c r="AE207" i="14"/>
  <c r="AE208" i="14"/>
  <c r="AF8" i="14"/>
  <c r="AG208" i="14"/>
  <c r="AG207" i="14"/>
  <c r="AH8" i="14"/>
  <c r="AI208" i="14"/>
  <c r="AI207" i="14"/>
  <c r="S56" i="63"/>
  <c r="S58" i="63" s="1"/>
  <c r="S60" i="63" s="1"/>
  <c r="S50" i="61"/>
  <c r="S52" i="61" s="1"/>
  <c r="Q50" i="61"/>
  <c r="Q52" i="61" s="1"/>
  <c r="O50" i="61"/>
  <c r="O52" i="61" s="1"/>
  <c r="M50" i="61"/>
  <c r="M52" i="61" s="1"/>
  <c r="K52" i="61"/>
  <c r="CU28" i="108"/>
  <c r="CU26" i="108"/>
  <c r="BL27" i="108"/>
  <c r="CU27" i="108" s="1"/>
  <c r="BT27" i="108"/>
  <c r="BB7" i="108"/>
  <c r="BD7" i="108" s="1"/>
  <c r="F7" i="108"/>
  <c r="H7" i="108" s="1"/>
  <c r="CU7" i="108" s="1"/>
  <c r="R49" i="20" l="1"/>
  <c r="F21" i="20"/>
  <c r="Q21" i="20" s="1"/>
  <c r="AA21" i="20"/>
  <c r="S21" i="20"/>
  <c r="T21" i="20"/>
  <c r="K67" i="20"/>
  <c r="Q67" i="20" s="1"/>
  <c r="AA49" i="20"/>
  <c r="T49" i="20"/>
  <c r="S49" i="20"/>
  <c r="K54" i="61"/>
  <c r="K53" i="61"/>
  <c r="M54" i="61"/>
  <c r="M53" i="61"/>
  <c r="O54" i="61"/>
  <c r="O53" i="61"/>
  <c r="Q54" i="61"/>
  <c r="Q53" i="61"/>
  <c r="S54" i="61"/>
  <c r="S53" i="61"/>
  <c r="S59" i="63"/>
  <c r="S52" i="36"/>
  <c r="Q52" i="36"/>
  <c r="O52" i="36"/>
  <c r="M52" i="36"/>
  <c r="K52" i="36"/>
  <c r="S76" i="26"/>
  <c r="Q76" i="26"/>
  <c r="O76" i="26"/>
  <c r="M76" i="26"/>
  <c r="K76" i="26"/>
  <c r="K78" i="26" s="1"/>
  <c r="I76" i="26"/>
  <c r="B19" i="15"/>
  <c r="B18" i="15"/>
  <c r="B17" i="15"/>
  <c r="B16" i="15"/>
  <c r="B15" i="15"/>
  <c r="B14" i="15"/>
  <c r="B13" i="15"/>
  <c r="B12" i="15"/>
  <c r="B11" i="15"/>
  <c r="S41" i="15"/>
  <c r="Q41" i="15"/>
  <c r="Q43" i="15" s="1"/>
  <c r="O41" i="15"/>
  <c r="O43" i="15" s="1"/>
  <c r="O45" i="15" s="1"/>
  <c r="M41" i="15"/>
  <c r="K41" i="15"/>
  <c r="K43" i="15" s="1"/>
  <c r="S56" i="31"/>
  <c r="S49" i="31"/>
  <c r="Q56" i="31"/>
  <c r="Q49" i="31"/>
  <c r="Q51" i="31" s="1"/>
  <c r="O56" i="31"/>
  <c r="O49" i="31"/>
  <c r="O51" i="31" s="1"/>
  <c r="M56" i="31"/>
  <c r="M49" i="31"/>
  <c r="K56" i="31"/>
  <c r="K49" i="31"/>
  <c r="K51" i="31" s="1"/>
  <c r="U68" i="104"/>
  <c r="U70" i="104" s="1"/>
  <c r="M70" i="104"/>
  <c r="J8" i="104"/>
  <c r="S94" i="102"/>
  <c r="K94" i="102"/>
  <c r="W94" i="102"/>
  <c r="W96" i="102" s="1"/>
  <c r="Q94" i="102"/>
  <c r="M94" i="102"/>
  <c r="S62" i="101"/>
  <c r="S64" i="101" s="1"/>
  <c r="Q62" i="101"/>
  <c r="M62" i="101"/>
  <c r="O62" i="101"/>
  <c r="O64" i="101" s="1"/>
  <c r="U46" i="100"/>
  <c r="S46" i="100"/>
  <c r="Q46" i="100"/>
  <c r="Q48" i="100" s="1"/>
  <c r="M46" i="100"/>
  <c r="K46" i="100"/>
  <c r="S43" i="99"/>
  <c r="Q43" i="99"/>
  <c r="O43" i="99"/>
  <c r="M43" i="99"/>
  <c r="K43" i="99"/>
  <c r="K45" i="99" s="1"/>
  <c r="W77" i="17"/>
  <c r="U77" i="17"/>
  <c r="O160" i="13"/>
  <c r="O162" i="13" s="1"/>
  <c r="Y160" i="13"/>
  <c r="S160" i="13"/>
  <c r="S162" i="13" s="1"/>
  <c r="AK160" i="13"/>
  <c r="AK162" i="13" s="1"/>
  <c r="AG117" i="95"/>
  <c r="AE117" i="95"/>
  <c r="AE119" i="95" s="1"/>
  <c r="AC117" i="95"/>
  <c r="AE73" i="46"/>
  <c r="AC73" i="46"/>
  <c r="AC75" i="46" s="1"/>
  <c r="M75" i="46"/>
  <c r="I75" i="46"/>
  <c r="U80" i="35"/>
  <c r="S80" i="35"/>
  <c r="S54" i="90"/>
  <c r="Q54" i="90"/>
  <c r="Q56" i="90" s="1"/>
  <c r="O54" i="90"/>
  <c r="M54" i="90"/>
  <c r="M56" i="90" s="1"/>
  <c r="K54" i="90"/>
  <c r="S56" i="94"/>
  <c r="Q56" i="94"/>
  <c r="O56" i="94"/>
  <c r="M56" i="94"/>
  <c r="K56" i="94"/>
  <c r="AA77" i="93"/>
  <c r="AA79" i="93" s="1"/>
  <c r="AA81" i="93" s="1"/>
  <c r="Y77" i="93"/>
  <c r="W77" i="93"/>
  <c r="W55" i="25"/>
  <c r="I55" i="25"/>
  <c r="Q55" i="25"/>
  <c r="S55" i="25"/>
  <c r="S50" i="92"/>
  <c r="S48" i="92"/>
  <c r="Q48" i="92"/>
  <c r="O48" i="92"/>
  <c r="M48" i="92"/>
  <c r="M50" i="92" s="1"/>
  <c r="K48" i="92"/>
  <c r="K50" i="92" s="1"/>
  <c r="S57" i="89"/>
  <c r="Q57" i="89"/>
  <c r="O57" i="89"/>
  <c r="M57" i="89"/>
  <c r="K57" i="89"/>
  <c r="U84" i="84"/>
  <c r="U86" i="84" s="1"/>
  <c r="S84" i="84"/>
  <c r="Q84" i="84"/>
  <c r="O84" i="84"/>
  <c r="O86" i="84" s="1"/>
  <c r="O88" i="84" s="1"/>
  <c r="N8" i="84" s="1"/>
  <c r="B124" i="84" s="1"/>
  <c r="F48" i="20" s="1"/>
  <c r="K84" i="84"/>
  <c r="S47" i="85"/>
  <c r="Q47" i="85"/>
  <c r="O47" i="85"/>
  <c r="M47" i="85"/>
  <c r="M49" i="85" s="1"/>
  <c r="K47" i="85"/>
  <c r="K49" i="85" s="1"/>
  <c r="K51" i="85" s="1"/>
  <c r="S50" i="87"/>
  <c r="Q50" i="87"/>
  <c r="O50" i="87"/>
  <c r="M50" i="87"/>
  <c r="M52" i="87" s="1"/>
  <c r="K50" i="87"/>
  <c r="K52" i="87" s="1"/>
  <c r="K54" i="87" s="1"/>
  <c r="U60" i="86"/>
  <c r="S60" i="86"/>
  <c r="Q60" i="86"/>
  <c r="Q62" i="86" s="1"/>
  <c r="Q64" i="86" s="1"/>
  <c r="O60" i="86"/>
  <c r="I60" i="86"/>
  <c r="U55" i="78"/>
  <c r="S55" i="78"/>
  <c r="Q55" i="78"/>
  <c r="I55" i="78"/>
  <c r="I57" i="78" s="1"/>
  <c r="O55" i="78"/>
  <c r="S66" i="79"/>
  <c r="Q66" i="79"/>
  <c r="Q68" i="79" s="1"/>
  <c r="Q70" i="79" s="1"/>
  <c r="O66" i="79"/>
  <c r="O68" i="79" s="1"/>
  <c r="M66" i="79"/>
  <c r="K66" i="79"/>
  <c r="Q48" i="80"/>
  <c r="I48" i="80"/>
  <c r="I50" i="80" s="1"/>
  <c r="O66" i="82"/>
  <c r="O68" i="82" s="1"/>
  <c r="M66" i="82"/>
  <c r="M68" i="82" s="1"/>
  <c r="K66" i="82"/>
  <c r="U56" i="81"/>
  <c r="S56" i="81"/>
  <c r="Q56" i="81"/>
  <c r="K56" i="81"/>
  <c r="I56" i="81"/>
  <c r="S52" i="41"/>
  <c r="S54" i="41" s="1"/>
  <c r="Q52" i="41"/>
  <c r="O52" i="41"/>
  <c r="M52" i="41"/>
  <c r="M54" i="41" s="1"/>
  <c r="K52" i="41"/>
  <c r="AY88" i="69"/>
  <c r="AY90" i="69" s="1"/>
  <c r="AY92" i="69" s="1"/>
  <c r="AW88" i="69"/>
  <c r="AW90" i="69" s="1"/>
  <c r="AW92" i="69" s="1"/>
  <c r="AG88" i="69"/>
  <c r="AG90" i="69" s="1"/>
  <c r="AG92" i="69" s="1"/>
  <c r="AM88" i="69"/>
  <c r="AI88" i="69"/>
  <c r="M45" i="29"/>
  <c r="K45" i="29"/>
  <c r="K47" i="29" s="1"/>
  <c r="AC109" i="8"/>
  <c r="U109" i="8"/>
  <c r="S109" i="8"/>
  <c r="Q109" i="8"/>
  <c r="O111" i="8"/>
  <c r="R67" i="20" l="1"/>
  <c r="R21" i="20"/>
  <c r="S67" i="20"/>
  <c r="T67" i="20"/>
  <c r="AA67" i="20"/>
  <c r="Q48" i="20"/>
  <c r="I48" i="20"/>
  <c r="G48" i="20"/>
  <c r="H48" i="20"/>
  <c r="AG93" i="69"/>
  <c r="AG94" i="69"/>
  <c r="AY93" i="69"/>
  <c r="AY94" i="69"/>
  <c r="AW93" i="69"/>
  <c r="AW94" i="69"/>
  <c r="AV8" i="69"/>
  <c r="AX8" i="69"/>
  <c r="O90" i="84"/>
  <c r="O89" i="84"/>
  <c r="Q66" i="86"/>
  <c r="Q65" i="86"/>
  <c r="K56" i="87"/>
  <c r="K55" i="87"/>
  <c r="O47" i="15"/>
  <c r="O46" i="15"/>
  <c r="Z8" i="93"/>
  <c r="AA83" i="93"/>
  <c r="AA82" i="93"/>
  <c r="AF8" i="69"/>
  <c r="S62" i="86"/>
  <c r="S64" i="86" s="1"/>
  <c r="O57" i="78"/>
  <c r="O59" i="78" s="1"/>
  <c r="Q50" i="80"/>
  <c r="Q52" i="80" s="1"/>
  <c r="K54" i="41"/>
  <c r="K56" i="41" s="1"/>
  <c r="O54" i="41"/>
  <c r="O56" i="41" s="1"/>
  <c r="K86" i="84"/>
  <c r="K88" i="84" s="1"/>
  <c r="K59" i="89"/>
  <c r="K61" i="89" s="1"/>
  <c r="S59" i="89"/>
  <c r="S61" i="89" s="1"/>
  <c r="S52" i="92"/>
  <c r="K52" i="92"/>
  <c r="S57" i="25"/>
  <c r="S59" i="25" s="1"/>
  <c r="Q57" i="25"/>
  <c r="Q59" i="25" s="1"/>
  <c r="Y79" i="93"/>
  <c r="Y81" i="93" s="1"/>
  <c r="M58" i="94"/>
  <c r="M60" i="94" s="1"/>
  <c r="Q58" i="94"/>
  <c r="Q60" i="94" s="1"/>
  <c r="S58" i="94"/>
  <c r="S60" i="94" s="1"/>
  <c r="K56" i="90"/>
  <c r="K58" i="90" s="1"/>
  <c r="O56" i="90"/>
  <c r="O58" i="90" s="1"/>
  <c r="Q58" i="90"/>
  <c r="S54" i="36"/>
  <c r="S56" i="36" s="1"/>
  <c r="Q54" i="36"/>
  <c r="Q56" i="36" s="1"/>
  <c r="O54" i="36"/>
  <c r="O56" i="36" s="1"/>
  <c r="M54" i="36"/>
  <c r="M56" i="36" s="1"/>
  <c r="K54" i="36"/>
  <c r="K56" i="36" s="1"/>
  <c r="S78" i="26"/>
  <c r="S80" i="26" s="1"/>
  <c r="Q78" i="26"/>
  <c r="Q80" i="26" s="1"/>
  <c r="O78" i="26"/>
  <c r="O80" i="26" s="1"/>
  <c r="M78" i="26"/>
  <c r="M80" i="26" s="1"/>
  <c r="K80" i="26"/>
  <c r="I78" i="26"/>
  <c r="I80" i="26" s="1"/>
  <c r="S43" i="15"/>
  <c r="S45" i="15" s="1"/>
  <c r="Q45" i="15"/>
  <c r="M43" i="15"/>
  <c r="M45" i="15" s="1"/>
  <c r="K45" i="15"/>
  <c r="S51" i="31"/>
  <c r="S53" i="31" s="1"/>
  <c r="Q53" i="31"/>
  <c r="O53" i="31"/>
  <c r="M51" i="31"/>
  <c r="M53" i="31" s="1"/>
  <c r="K53" i="31"/>
  <c r="J8" i="31" s="1"/>
  <c r="U72" i="104"/>
  <c r="T8" i="104" s="1"/>
  <c r="M72" i="104"/>
  <c r="L8" i="104" s="1"/>
  <c r="R8" i="104"/>
  <c r="N8" i="104"/>
  <c r="S96" i="102"/>
  <c r="S98" i="102" s="1"/>
  <c r="K96" i="102"/>
  <c r="K98" i="102" s="1"/>
  <c r="W98" i="102"/>
  <c r="Q96" i="102"/>
  <c r="Q98" i="102" s="1"/>
  <c r="M96" i="102"/>
  <c r="M98" i="102" s="1"/>
  <c r="S66" i="101"/>
  <c r="Q64" i="101"/>
  <c r="Q66" i="101" s="1"/>
  <c r="M64" i="101"/>
  <c r="M66" i="101" s="1"/>
  <c r="O66" i="101"/>
  <c r="U48" i="100"/>
  <c r="U50" i="100" s="1"/>
  <c r="S48" i="100"/>
  <c r="S50" i="100" s="1"/>
  <c r="Q50" i="100"/>
  <c r="M48" i="100"/>
  <c r="M50" i="100" s="1"/>
  <c r="K48" i="100"/>
  <c r="K50" i="100" s="1"/>
  <c r="S45" i="99"/>
  <c r="S47" i="99" s="1"/>
  <c r="Q45" i="99"/>
  <c r="Q47" i="99" s="1"/>
  <c r="O45" i="99"/>
  <c r="O47" i="99" s="1"/>
  <c r="M45" i="99"/>
  <c r="M47" i="99" s="1"/>
  <c r="K47" i="99"/>
  <c r="W79" i="17"/>
  <c r="W81" i="17" s="1"/>
  <c r="S79" i="17"/>
  <c r="S81" i="17" s="1"/>
  <c r="U79" i="17"/>
  <c r="U81" i="17" s="1"/>
  <c r="T8" i="17" s="1"/>
  <c r="O164" i="13"/>
  <c r="N8" i="13" s="1"/>
  <c r="Y162" i="13"/>
  <c r="Y164" i="13" s="1"/>
  <c r="X8" i="13" s="1"/>
  <c r="S164" i="13"/>
  <c r="AK164" i="13"/>
  <c r="AG119" i="95"/>
  <c r="AG121" i="95" s="1"/>
  <c r="AE121" i="95"/>
  <c r="AC119" i="95"/>
  <c r="AC121" i="95" s="1"/>
  <c r="AB8" i="95" s="1"/>
  <c r="AE75" i="46"/>
  <c r="AE77" i="46" s="1"/>
  <c r="AD8" i="46" s="1"/>
  <c r="AC77" i="46"/>
  <c r="AB8" i="46" s="1"/>
  <c r="AA75" i="46"/>
  <c r="AA77" i="46" s="1"/>
  <c r="Z8" i="46" s="1"/>
  <c r="M77" i="46"/>
  <c r="L8" i="46" s="1"/>
  <c r="I77" i="46"/>
  <c r="H8" i="46" s="1"/>
  <c r="B113" i="46" s="1"/>
  <c r="U82" i="35"/>
  <c r="U84" i="35" s="1"/>
  <c r="S82" i="35"/>
  <c r="S84" i="35" s="1"/>
  <c r="S56" i="90"/>
  <c r="S58" i="90" s="1"/>
  <c r="M58" i="90"/>
  <c r="O58" i="94"/>
  <c r="O60" i="94" s="1"/>
  <c r="K58" i="94"/>
  <c r="K60" i="94" s="1"/>
  <c r="W79" i="93"/>
  <c r="W81" i="93" s="1"/>
  <c r="O79" i="93"/>
  <c r="O81" i="93" s="1"/>
  <c r="W57" i="25"/>
  <c r="W59" i="25" s="1"/>
  <c r="I57" i="25"/>
  <c r="I59" i="25" s="1"/>
  <c r="U57" i="25"/>
  <c r="U59" i="25" s="1"/>
  <c r="Q50" i="92"/>
  <c r="Q52" i="92" s="1"/>
  <c r="O50" i="92"/>
  <c r="O52" i="92" s="1"/>
  <c r="M52" i="92"/>
  <c r="Q59" i="89"/>
  <c r="Q61" i="89" s="1"/>
  <c r="O59" i="89"/>
  <c r="O61" i="89" s="1"/>
  <c r="M59" i="89"/>
  <c r="M61" i="89" s="1"/>
  <c r="U88" i="84"/>
  <c r="S86" i="84"/>
  <c r="S88" i="84" s="1"/>
  <c r="Q86" i="84"/>
  <c r="Q88" i="84" s="1"/>
  <c r="S49" i="85"/>
  <c r="S51" i="85" s="1"/>
  <c r="Q49" i="85"/>
  <c r="Q51" i="85" s="1"/>
  <c r="O49" i="85"/>
  <c r="O51" i="85" s="1"/>
  <c r="M51" i="85"/>
  <c r="S52" i="87"/>
  <c r="S54" i="87" s="1"/>
  <c r="Q52" i="87"/>
  <c r="Q54" i="87" s="1"/>
  <c r="O52" i="87"/>
  <c r="O54" i="87" s="1"/>
  <c r="M54" i="87"/>
  <c r="U62" i="86"/>
  <c r="U64" i="86" s="1"/>
  <c r="O62" i="86"/>
  <c r="O64" i="86" s="1"/>
  <c r="I62" i="86"/>
  <c r="I64" i="86" s="1"/>
  <c r="U57" i="78"/>
  <c r="U59" i="78" s="1"/>
  <c r="S57" i="78"/>
  <c r="S59" i="78" s="1"/>
  <c r="Q57" i="78"/>
  <c r="Q59" i="78" s="1"/>
  <c r="I59" i="78"/>
  <c r="S68" i="79"/>
  <c r="S70" i="79" s="1"/>
  <c r="O70" i="79"/>
  <c r="M68" i="79"/>
  <c r="M70" i="79" s="1"/>
  <c r="K68" i="79"/>
  <c r="K70" i="79" s="1"/>
  <c r="I52" i="80"/>
  <c r="O70" i="82"/>
  <c r="M70" i="82"/>
  <c r="K68" i="82"/>
  <c r="K70" i="82" s="1"/>
  <c r="U58" i="81"/>
  <c r="U60" i="81" s="1"/>
  <c r="S58" i="81"/>
  <c r="S60" i="81" s="1"/>
  <c r="Q58" i="81"/>
  <c r="Q60" i="81" s="1"/>
  <c r="K58" i="81"/>
  <c r="K60" i="81" s="1"/>
  <c r="I58" i="81"/>
  <c r="I60" i="81" s="1"/>
  <c r="S56" i="41"/>
  <c r="Q54" i="41"/>
  <c r="Q56" i="41" s="1"/>
  <c r="M56" i="41"/>
  <c r="AK90" i="69"/>
  <c r="AK92" i="69" s="1"/>
  <c r="AI90" i="69"/>
  <c r="AI92" i="69" s="1"/>
  <c r="AM90" i="69"/>
  <c r="AM92" i="69" s="1"/>
  <c r="M47" i="29"/>
  <c r="M49" i="29" s="1"/>
  <c r="K49" i="29"/>
  <c r="Q47" i="29"/>
  <c r="Q49" i="29" s="1"/>
  <c r="Q111" i="8"/>
  <c r="Q113" i="8" s="1"/>
  <c r="U111" i="8"/>
  <c r="U113" i="8" s="1"/>
  <c r="AC111" i="8"/>
  <c r="AC113" i="8" s="1"/>
  <c r="AB8" i="8" s="1"/>
  <c r="S111" i="8"/>
  <c r="S113" i="8" s="1"/>
  <c r="O113" i="8"/>
  <c r="R48" i="20" l="1"/>
  <c r="R9" i="60"/>
  <c r="AB10" i="8"/>
  <c r="AA48" i="20"/>
  <c r="T48" i="20"/>
  <c r="S48" i="20"/>
  <c r="K72" i="20"/>
  <c r="I61" i="78"/>
  <c r="I60" i="78"/>
  <c r="Q61" i="78"/>
  <c r="Q60" i="78"/>
  <c r="S61" i="78"/>
  <c r="S60" i="78"/>
  <c r="U61" i="78"/>
  <c r="U60" i="78"/>
  <c r="O61" i="78"/>
  <c r="O60" i="78"/>
  <c r="AK94" i="69"/>
  <c r="AK93" i="69"/>
  <c r="AI93" i="69"/>
  <c r="AI94" i="69"/>
  <c r="AM93" i="69"/>
  <c r="AM94" i="69"/>
  <c r="F55" i="20"/>
  <c r="U61" i="25"/>
  <c r="U60" i="25"/>
  <c r="W61" i="25"/>
  <c r="W60" i="25"/>
  <c r="Q61" i="25"/>
  <c r="Q60" i="25"/>
  <c r="S61" i="25"/>
  <c r="S60" i="25"/>
  <c r="Q90" i="84"/>
  <c r="Q89" i="84"/>
  <c r="S90" i="84"/>
  <c r="S89" i="84"/>
  <c r="U90" i="84"/>
  <c r="U89" i="84"/>
  <c r="K90" i="84"/>
  <c r="K89" i="84"/>
  <c r="M63" i="89"/>
  <c r="M62" i="89"/>
  <c r="O63" i="89"/>
  <c r="O62" i="89"/>
  <c r="Q63" i="89"/>
  <c r="Q62" i="89"/>
  <c r="S63" i="89"/>
  <c r="S62" i="89"/>
  <c r="I66" i="86"/>
  <c r="I65" i="86"/>
  <c r="O66" i="86"/>
  <c r="O65" i="86"/>
  <c r="U66" i="86"/>
  <c r="U65" i="86"/>
  <c r="S66" i="86"/>
  <c r="S65" i="86"/>
  <c r="M56" i="87"/>
  <c r="M55" i="87"/>
  <c r="O56" i="87"/>
  <c r="O55" i="87"/>
  <c r="Q56" i="87"/>
  <c r="Q55" i="87"/>
  <c r="S56" i="87"/>
  <c r="S55" i="87"/>
  <c r="I54" i="80"/>
  <c r="I53" i="80"/>
  <c r="Q54" i="80"/>
  <c r="Q53" i="80"/>
  <c r="M58" i="41"/>
  <c r="M57" i="41"/>
  <c r="Q58" i="41"/>
  <c r="Q57" i="41"/>
  <c r="S58" i="41"/>
  <c r="S57" i="41"/>
  <c r="O58" i="41"/>
  <c r="O57" i="41"/>
  <c r="K58" i="41"/>
  <c r="K57" i="41"/>
  <c r="Q51" i="29"/>
  <c r="Q50" i="29"/>
  <c r="K51" i="29"/>
  <c r="K50" i="29"/>
  <c r="M51" i="29"/>
  <c r="M50" i="29"/>
  <c r="S115" i="8"/>
  <c r="S114" i="8"/>
  <c r="AC115" i="8"/>
  <c r="AC114" i="8"/>
  <c r="U115" i="8"/>
  <c r="U114" i="8"/>
  <c r="Q115" i="8"/>
  <c r="Q114" i="8"/>
  <c r="S86" i="35"/>
  <c r="S85" i="35"/>
  <c r="U86" i="35"/>
  <c r="U85" i="35"/>
  <c r="K62" i="94"/>
  <c r="K61" i="94"/>
  <c r="O62" i="94"/>
  <c r="O61" i="94"/>
  <c r="S62" i="94"/>
  <c r="S61" i="94"/>
  <c r="Q62" i="94"/>
  <c r="Q61" i="94"/>
  <c r="M62" i="94"/>
  <c r="M61" i="94"/>
  <c r="K55" i="31"/>
  <c r="K54" i="31"/>
  <c r="M55" i="31"/>
  <c r="M54" i="31"/>
  <c r="O55" i="31"/>
  <c r="O54" i="31"/>
  <c r="Q55" i="31"/>
  <c r="Q54" i="31"/>
  <c r="S55" i="31"/>
  <c r="S54" i="31"/>
  <c r="U83" i="17"/>
  <c r="U82" i="17"/>
  <c r="S83" i="17"/>
  <c r="S82" i="17"/>
  <c r="W83" i="17"/>
  <c r="W82" i="17"/>
  <c r="M49" i="99"/>
  <c r="M48" i="99"/>
  <c r="O49" i="99"/>
  <c r="O48" i="99"/>
  <c r="Q49" i="99"/>
  <c r="Q48" i="99"/>
  <c r="S49" i="99"/>
  <c r="S48" i="99"/>
  <c r="K52" i="100"/>
  <c r="K51" i="100"/>
  <c r="M52" i="100"/>
  <c r="M51" i="100"/>
  <c r="Q52" i="100"/>
  <c r="Q51" i="100"/>
  <c r="S52" i="100"/>
  <c r="S51" i="100"/>
  <c r="U52" i="100"/>
  <c r="U51" i="100"/>
  <c r="M100" i="102"/>
  <c r="M99" i="102"/>
  <c r="Q100" i="102"/>
  <c r="Q99" i="102"/>
  <c r="W100" i="102"/>
  <c r="W99" i="102"/>
  <c r="K100" i="102"/>
  <c r="K99" i="102"/>
  <c r="S100" i="102"/>
  <c r="S99" i="102"/>
  <c r="O68" i="101"/>
  <c r="O67" i="101"/>
  <c r="M68" i="101"/>
  <c r="M67" i="101"/>
  <c r="Q68" i="101"/>
  <c r="Q67" i="101"/>
  <c r="S68" i="101"/>
  <c r="S67" i="101"/>
  <c r="J8" i="36"/>
  <c r="K58" i="36"/>
  <c r="K57" i="36"/>
  <c r="L8" i="36"/>
  <c r="M58" i="36"/>
  <c r="M57" i="36"/>
  <c r="N8" i="36"/>
  <c r="O58" i="36"/>
  <c r="O57" i="36"/>
  <c r="P8" i="36"/>
  <c r="Q58" i="36"/>
  <c r="Q57" i="36"/>
  <c r="R8" i="36"/>
  <c r="S58" i="36"/>
  <c r="S57" i="36"/>
  <c r="H8" i="26"/>
  <c r="I82" i="26"/>
  <c r="I81" i="26"/>
  <c r="J8" i="26"/>
  <c r="K82" i="26"/>
  <c r="K81" i="26"/>
  <c r="L8" i="26"/>
  <c r="M82" i="26"/>
  <c r="M81" i="26"/>
  <c r="N8" i="26"/>
  <c r="O82" i="26"/>
  <c r="O81" i="26"/>
  <c r="P8" i="26"/>
  <c r="Q82" i="26"/>
  <c r="Q81" i="26"/>
  <c r="R8" i="26"/>
  <c r="S82" i="26"/>
  <c r="S81" i="26"/>
  <c r="M74" i="104"/>
  <c r="M73" i="104"/>
  <c r="U74" i="104"/>
  <c r="U73" i="104"/>
  <c r="K63" i="89"/>
  <c r="K62" i="89"/>
  <c r="I61" i="25"/>
  <c r="I60" i="25"/>
  <c r="K49" i="99"/>
  <c r="K48" i="99"/>
  <c r="K46" i="15"/>
  <c r="K47" i="15"/>
  <c r="M47" i="15"/>
  <c r="M46" i="15"/>
  <c r="S47" i="15"/>
  <c r="S46" i="15"/>
  <c r="Q47" i="15"/>
  <c r="Q46" i="15"/>
  <c r="Y165" i="13"/>
  <c r="Y166" i="13"/>
  <c r="O166" i="13"/>
  <c r="O165" i="13"/>
  <c r="I79" i="46"/>
  <c r="I78" i="46"/>
  <c r="M79" i="46"/>
  <c r="M78" i="46"/>
  <c r="AA79" i="46"/>
  <c r="AA78" i="46"/>
  <c r="AC79" i="46"/>
  <c r="AC78" i="46"/>
  <c r="AE79" i="46"/>
  <c r="AE78" i="46"/>
  <c r="N8" i="93"/>
  <c r="O83" i="93"/>
  <c r="O82" i="93"/>
  <c r="X8" i="93"/>
  <c r="Y83" i="93"/>
  <c r="Y82" i="93"/>
  <c r="V8" i="93"/>
  <c r="W83" i="93"/>
  <c r="W82" i="93"/>
  <c r="I61" i="81"/>
  <c r="I62" i="81"/>
  <c r="Q62" i="81"/>
  <c r="Q61" i="81"/>
  <c r="K62" i="81"/>
  <c r="K61" i="81"/>
  <c r="U62" i="81"/>
  <c r="U61" i="81"/>
  <c r="S61" i="81"/>
  <c r="S62" i="81"/>
  <c r="AL8" i="69"/>
  <c r="AH8" i="69"/>
  <c r="AJ8" i="69"/>
  <c r="F39" i="20" s="1"/>
  <c r="AG123" i="95"/>
  <c r="AG122" i="95"/>
  <c r="AC123" i="95"/>
  <c r="AC122" i="95"/>
  <c r="AE123" i="95"/>
  <c r="AE122" i="95"/>
  <c r="AJ8" i="13"/>
  <c r="AK166" i="13"/>
  <c r="AK165" i="13"/>
  <c r="R8" i="13"/>
  <c r="F60" i="20" s="1"/>
  <c r="S166" i="13"/>
  <c r="S165" i="13"/>
  <c r="N8" i="8"/>
  <c r="O115" i="8"/>
  <c r="O114" i="8"/>
  <c r="Q55" i="20" l="1"/>
  <c r="G55" i="20"/>
  <c r="H55" i="20"/>
  <c r="T55" i="20"/>
  <c r="S55" i="20"/>
  <c r="Q60" i="20"/>
  <c r="I60" i="20"/>
  <c r="G60" i="20"/>
  <c r="H60" i="20"/>
  <c r="I55" i="20"/>
  <c r="AA55" i="20"/>
  <c r="Q39" i="20"/>
  <c r="I39" i="20"/>
  <c r="G39" i="20"/>
  <c r="H39" i="20"/>
  <c r="S55" i="64"/>
  <c r="S57" i="64" s="1"/>
  <c r="W88" i="6"/>
  <c r="W90" i="6" s="1"/>
  <c r="Q88" i="6"/>
  <c r="U88" i="6"/>
  <c r="U90" i="6" s="1"/>
  <c r="S88" i="6"/>
  <c r="S52" i="4"/>
  <c r="Q52" i="4"/>
  <c r="O52" i="4"/>
  <c r="M52" i="4"/>
  <c r="K52" i="4"/>
  <c r="S87" i="55"/>
  <c r="Q87" i="55"/>
  <c r="S92" i="53"/>
  <c r="Q92" i="53"/>
  <c r="U48" i="54"/>
  <c r="K48" i="54"/>
  <c r="S42" i="52"/>
  <c r="Q42" i="52"/>
  <c r="I129" i="3"/>
  <c r="W129" i="3"/>
  <c r="U129" i="3"/>
  <c r="U131" i="3" s="1"/>
  <c r="M71" i="10"/>
  <c r="M73" i="10" s="1"/>
  <c r="S73" i="10"/>
  <c r="Q71" i="10"/>
  <c r="Q73" i="10" s="1"/>
  <c r="U71" i="10"/>
  <c r="U73" i="10" s="1"/>
  <c r="O71" i="10"/>
  <c r="K71" i="10"/>
  <c r="R39" i="20" l="1"/>
  <c r="R60" i="20"/>
  <c r="R55" i="20"/>
  <c r="K73" i="10"/>
  <c r="J8" i="10"/>
  <c r="O73" i="10"/>
  <c r="N8" i="10"/>
  <c r="AA60" i="20"/>
  <c r="T60" i="20"/>
  <c r="S60" i="20"/>
  <c r="AA39" i="20"/>
  <c r="T39" i="20"/>
  <c r="S39" i="20"/>
  <c r="S44" i="52"/>
  <c r="S46" i="52"/>
  <c r="S59" i="64"/>
  <c r="W92" i="6"/>
  <c r="Q90" i="6"/>
  <c r="Q92" i="6" s="1"/>
  <c r="I90" i="6"/>
  <c r="I92" i="6" s="1"/>
  <c r="U92" i="6"/>
  <c r="S90" i="6"/>
  <c r="S92" i="6" s="1"/>
  <c r="Q89" i="55"/>
  <c r="Q91" i="55" s="1"/>
  <c r="S89" i="55"/>
  <c r="S91" i="55" s="1"/>
  <c r="Q94" i="53"/>
  <c r="Q96" i="53" s="1"/>
  <c r="S94" i="53"/>
  <c r="S96" i="53" s="1"/>
  <c r="K50" i="54"/>
  <c r="K52" i="54" s="1"/>
  <c r="U50" i="54"/>
  <c r="U52" i="54" s="1"/>
  <c r="R8" i="52"/>
  <c r="Q44" i="52"/>
  <c r="Q46" i="52" s="1"/>
  <c r="I131" i="3"/>
  <c r="I133" i="3" s="1"/>
  <c r="W131" i="3"/>
  <c r="W133" i="3" s="1"/>
  <c r="U133" i="3"/>
  <c r="S75" i="10"/>
  <c r="U75" i="10"/>
  <c r="Q75" i="10"/>
  <c r="M75" i="10"/>
  <c r="K75" i="10"/>
  <c r="O75" i="10"/>
  <c r="I53" i="50"/>
  <c r="O76" i="10" l="1"/>
  <c r="O77" i="10"/>
  <c r="K76" i="10"/>
  <c r="K77" i="10"/>
  <c r="L8" i="10"/>
  <c r="M77" i="10"/>
  <c r="M76" i="10"/>
  <c r="Q76" i="10"/>
  <c r="Q77" i="10"/>
  <c r="U76" i="10"/>
  <c r="U77" i="10"/>
  <c r="T8" i="10"/>
  <c r="S76" i="10"/>
  <c r="S77" i="10"/>
  <c r="T8" i="3"/>
  <c r="U135" i="3"/>
  <c r="U134" i="3"/>
  <c r="V8" i="3"/>
  <c r="W135" i="3"/>
  <c r="W134" i="3"/>
  <c r="H8" i="3"/>
  <c r="F18" i="20" s="1"/>
  <c r="I135" i="3"/>
  <c r="I134" i="3"/>
  <c r="U54" i="54"/>
  <c r="U53" i="54"/>
  <c r="K54" i="54"/>
  <c r="K53" i="54"/>
  <c r="Q48" i="52"/>
  <c r="Q47" i="52"/>
  <c r="S48" i="52"/>
  <c r="S47" i="52"/>
  <c r="S98" i="53"/>
  <c r="S97" i="53"/>
  <c r="Q98" i="53"/>
  <c r="Q97" i="53"/>
  <c r="S93" i="55"/>
  <c r="S92" i="55"/>
  <c r="Q93" i="55"/>
  <c r="Q92" i="55"/>
  <c r="S61" i="64"/>
  <c r="S60" i="64"/>
  <c r="P8" i="10"/>
  <c r="Q93" i="6"/>
  <c r="Q94" i="6"/>
  <c r="R8" i="6"/>
  <c r="S94" i="6"/>
  <c r="S93" i="6"/>
  <c r="U94" i="6"/>
  <c r="T8" i="6"/>
  <c r="U93" i="6"/>
  <c r="I93" i="6"/>
  <c r="I94" i="6"/>
  <c r="W94" i="6"/>
  <c r="W93" i="6"/>
  <c r="R8" i="10"/>
  <c r="R8" i="55"/>
  <c r="P8" i="55"/>
  <c r="R8" i="53"/>
  <c r="P8" i="53"/>
  <c r="T8" i="54"/>
  <c r="J8" i="54"/>
  <c r="P8" i="52"/>
  <c r="F40" i="20" l="1"/>
  <c r="Q40" i="20" s="1"/>
  <c r="I40" i="20"/>
  <c r="G40" i="20"/>
  <c r="H40" i="20"/>
  <c r="B19" i="104"/>
  <c r="B18" i="104"/>
  <c r="B17" i="104"/>
  <c r="B16" i="104"/>
  <c r="B15" i="104"/>
  <c r="B14" i="104"/>
  <c r="B13" i="104"/>
  <c r="B12" i="104"/>
  <c r="B11" i="104"/>
  <c r="I94" i="102"/>
  <c r="I96" i="102" s="1"/>
  <c r="B19" i="102"/>
  <c r="B18" i="102"/>
  <c r="B17" i="102"/>
  <c r="B16" i="102"/>
  <c r="B15" i="102"/>
  <c r="B14" i="102"/>
  <c r="B13" i="102"/>
  <c r="B12" i="102"/>
  <c r="B11" i="102"/>
  <c r="I64" i="101"/>
  <c r="B19" i="101"/>
  <c r="B18" i="101"/>
  <c r="B17" i="101"/>
  <c r="B16" i="101"/>
  <c r="B15" i="101"/>
  <c r="B14" i="101"/>
  <c r="B13" i="101"/>
  <c r="B12" i="101"/>
  <c r="B11" i="101"/>
  <c r="I46" i="100"/>
  <c r="I48" i="100" s="1"/>
  <c r="B19" i="100"/>
  <c r="B18" i="100"/>
  <c r="B17" i="100"/>
  <c r="B16" i="100"/>
  <c r="B15" i="100"/>
  <c r="B14" i="100"/>
  <c r="B13" i="100"/>
  <c r="B12" i="100"/>
  <c r="B11" i="100"/>
  <c r="I43" i="99"/>
  <c r="I45" i="99" s="1"/>
  <c r="B19" i="99"/>
  <c r="B18" i="99"/>
  <c r="B17" i="99"/>
  <c r="B16" i="99"/>
  <c r="B15" i="99"/>
  <c r="B14" i="99"/>
  <c r="B13" i="99"/>
  <c r="B12" i="99"/>
  <c r="B11" i="99"/>
  <c r="AA117" i="95"/>
  <c r="B19" i="95"/>
  <c r="B18" i="95"/>
  <c r="B17" i="95"/>
  <c r="B16" i="95"/>
  <c r="B15" i="95"/>
  <c r="B14" i="95"/>
  <c r="B13" i="95"/>
  <c r="B12" i="95"/>
  <c r="B11" i="95"/>
  <c r="W75" i="46"/>
  <c r="W77" i="46" s="1"/>
  <c r="V8" i="46" s="1"/>
  <c r="B19" i="46"/>
  <c r="B18" i="46"/>
  <c r="B17" i="46"/>
  <c r="B16" i="46"/>
  <c r="B15" i="46"/>
  <c r="B14" i="46"/>
  <c r="B13" i="46"/>
  <c r="B12" i="46"/>
  <c r="B11" i="46"/>
  <c r="Q80" i="35"/>
  <c r="Q82" i="35" s="1"/>
  <c r="Q84" i="35" s="1"/>
  <c r="M80" i="35"/>
  <c r="M82" i="35" s="1"/>
  <c r="M84" i="35" s="1"/>
  <c r="K80" i="35"/>
  <c r="K82" i="35" s="1"/>
  <c r="K84" i="35" s="1"/>
  <c r="I80" i="35"/>
  <c r="I82" i="35" s="1"/>
  <c r="I84" i="35" s="1"/>
  <c r="B19" i="35"/>
  <c r="B18" i="35"/>
  <c r="B17" i="35"/>
  <c r="B16" i="35"/>
  <c r="B15" i="35"/>
  <c r="B14" i="35"/>
  <c r="B13" i="35"/>
  <c r="B12" i="35"/>
  <c r="B11" i="35"/>
  <c r="T8" i="35"/>
  <c r="R8" i="35"/>
  <c r="I54" i="90"/>
  <c r="B19" i="90"/>
  <c r="B18" i="90"/>
  <c r="B17" i="90"/>
  <c r="B16" i="90"/>
  <c r="B15" i="90"/>
  <c r="B14" i="90"/>
  <c r="B13" i="90"/>
  <c r="B12" i="90"/>
  <c r="B11" i="90"/>
  <c r="R8" i="90"/>
  <c r="P8" i="90"/>
  <c r="I56" i="94"/>
  <c r="I58" i="94" s="1"/>
  <c r="I60" i="94" s="1"/>
  <c r="B19" i="94"/>
  <c r="B18" i="94"/>
  <c r="B17" i="94"/>
  <c r="B16" i="94"/>
  <c r="B15" i="94"/>
  <c r="B14" i="94"/>
  <c r="B13" i="94"/>
  <c r="B12" i="94"/>
  <c r="B11" i="94"/>
  <c r="R8" i="94"/>
  <c r="P8" i="94"/>
  <c r="I79" i="93"/>
  <c r="I81" i="93" s="1"/>
  <c r="B19" i="93"/>
  <c r="B18" i="93"/>
  <c r="B17" i="93"/>
  <c r="B16" i="93"/>
  <c r="B15" i="93"/>
  <c r="B14" i="93"/>
  <c r="B13" i="93"/>
  <c r="B12" i="93"/>
  <c r="B11" i="93"/>
  <c r="M55" i="25"/>
  <c r="B19" i="25"/>
  <c r="B18" i="25"/>
  <c r="B17" i="25"/>
  <c r="B16" i="25"/>
  <c r="B15" i="25"/>
  <c r="B14" i="25"/>
  <c r="B13" i="25"/>
  <c r="B12" i="25"/>
  <c r="B11" i="25"/>
  <c r="V8" i="25"/>
  <c r="H8" i="25"/>
  <c r="B95" i="25" s="1"/>
  <c r="R40" i="20" l="1"/>
  <c r="AA40" i="20"/>
  <c r="T40" i="20"/>
  <c r="S40" i="20"/>
  <c r="I86" i="35"/>
  <c r="I85" i="35"/>
  <c r="K86" i="35"/>
  <c r="K85" i="35"/>
  <c r="M86" i="35"/>
  <c r="M85" i="35"/>
  <c r="Q86" i="35"/>
  <c r="Q85" i="35"/>
  <c r="I62" i="94"/>
  <c r="I61" i="94"/>
  <c r="P8" i="104"/>
  <c r="H8" i="93"/>
  <c r="B117" i="93" s="1"/>
  <c r="F53" i="20" s="1"/>
  <c r="I83" i="93"/>
  <c r="I82" i="93"/>
  <c r="W79" i="46"/>
  <c r="W78" i="46"/>
  <c r="L8" i="102"/>
  <c r="J8" i="100"/>
  <c r="B86" i="100" s="1"/>
  <c r="I47" i="99"/>
  <c r="I98" i="102"/>
  <c r="I66" i="101"/>
  <c r="R8" i="100"/>
  <c r="I50" i="100"/>
  <c r="AA119" i="95"/>
  <c r="AA121" i="95" s="1"/>
  <c r="H8" i="35"/>
  <c r="J8" i="35"/>
  <c r="L8" i="35"/>
  <c r="P8" i="35"/>
  <c r="L8" i="90"/>
  <c r="N8" i="90"/>
  <c r="J8" i="90"/>
  <c r="I56" i="90"/>
  <c r="I58" i="90" s="1"/>
  <c r="H8" i="94"/>
  <c r="J8" i="94"/>
  <c r="L8" i="94"/>
  <c r="N8" i="94"/>
  <c r="T8" i="25"/>
  <c r="M57" i="25"/>
  <c r="M59" i="25" s="1"/>
  <c r="P8" i="25"/>
  <c r="I48" i="92"/>
  <c r="B19" i="92"/>
  <c r="B18" i="92"/>
  <c r="B17" i="92"/>
  <c r="B16" i="92"/>
  <c r="B15" i="92"/>
  <c r="B14" i="92"/>
  <c r="B13" i="92"/>
  <c r="B12" i="92"/>
  <c r="B11" i="92"/>
  <c r="R8" i="92"/>
  <c r="P8" i="92"/>
  <c r="I57" i="89"/>
  <c r="I59" i="89" s="1"/>
  <c r="I61" i="89" s="1"/>
  <c r="B19" i="89"/>
  <c r="B18" i="89"/>
  <c r="B17" i="89"/>
  <c r="B16" i="89"/>
  <c r="B15" i="89"/>
  <c r="B14" i="89"/>
  <c r="B13" i="89"/>
  <c r="B12" i="89"/>
  <c r="B11" i="89"/>
  <c r="R8" i="89"/>
  <c r="P8" i="89"/>
  <c r="I47" i="85"/>
  <c r="B19" i="85"/>
  <c r="B18" i="85"/>
  <c r="B17" i="85"/>
  <c r="B16" i="85"/>
  <c r="B15" i="85"/>
  <c r="B14" i="85"/>
  <c r="B13" i="85"/>
  <c r="B12" i="85"/>
  <c r="B11" i="85"/>
  <c r="R8" i="85"/>
  <c r="P8" i="85"/>
  <c r="I84" i="84"/>
  <c r="B19" i="84"/>
  <c r="B18" i="84"/>
  <c r="B17" i="84"/>
  <c r="B16" i="84"/>
  <c r="B15" i="84"/>
  <c r="B14" i="84"/>
  <c r="B13" i="84"/>
  <c r="B12" i="84"/>
  <c r="B11" i="84"/>
  <c r="T8" i="84"/>
  <c r="R8" i="84"/>
  <c r="I50" i="87"/>
  <c r="B19" i="87"/>
  <c r="B18" i="87"/>
  <c r="B17" i="87"/>
  <c r="B16" i="87"/>
  <c r="B15" i="87"/>
  <c r="B14" i="87"/>
  <c r="B13" i="87"/>
  <c r="B12" i="87"/>
  <c r="B11" i="87"/>
  <c r="R8" i="87"/>
  <c r="P8" i="87"/>
  <c r="K60" i="86"/>
  <c r="K62" i="86" s="1"/>
  <c r="K64" i="86" s="1"/>
  <c r="B19" i="86"/>
  <c r="B18" i="86"/>
  <c r="B17" i="86"/>
  <c r="B16" i="86"/>
  <c r="B15" i="86"/>
  <c r="B14" i="86"/>
  <c r="B13" i="86"/>
  <c r="B12" i="86"/>
  <c r="B11" i="86"/>
  <c r="T8" i="86"/>
  <c r="R8" i="86"/>
  <c r="O55" i="83"/>
  <c r="O57" i="83" s="1"/>
  <c r="O59" i="83" s="1"/>
  <c r="M55" i="83"/>
  <c r="M57" i="83" s="1"/>
  <c r="M59" i="83" s="1"/>
  <c r="K55" i="83"/>
  <c r="K57" i="83" s="1"/>
  <c r="K59" i="83" s="1"/>
  <c r="I55" i="83"/>
  <c r="I57" i="83" s="1"/>
  <c r="I59" i="83" s="1"/>
  <c r="B19" i="83"/>
  <c r="B18" i="83"/>
  <c r="B17" i="83"/>
  <c r="B16" i="83"/>
  <c r="B15" i="83"/>
  <c r="B14" i="83"/>
  <c r="B13" i="83"/>
  <c r="B12" i="83"/>
  <c r="B11" i="83"/>
  <c r="M55" i="78"/>
  <c r="B19" i="78"/>
  <c r="B18" i="78"/>
  <c r="B17" i="78"/>
  <c r="B16" i="78"/>
  <c r="B15" i="78"/>
  <c r="B14" i="78"/>
  <c r="B13" i="78"/>
  <c r="B12" i="78"/>
  <c r="B11" i="78"/>
  <c r="T8" i="78"/>
  <c r="R8" i="78"/>
  <c r="I66" i="79"/>
  <c r="B19" i="79"/>
  <c r="B18" i="79"/>
  <c r="B17" i="79"/>
  <c r="B16" i="79"/>
  <c r="B15" i="79"/>
  <c r="B14" i="79"/>
  <c r="B13" i="79"/>
  <c r="B12" i="79"/>
  <c r="B11" i="79"/>
  <c r="R8" i="79"/>
  <c r="P8" i="79"/>
  <c r="U48" i="80"/>
  <c r="U50" i="80" s="1"/>
  <c r="U52" i="80" s="1"/>
  <c r="S48" i="80"/>
  <c r="S50" i="80" s="1"/>
  <c r="S52" i="80" s="1"/>
  <c r="M48" i="80"/>
  <c r="M50" i="80" s="1"/>
  <c r="M52" i="80" s="1"/>
  <c r="W48" i="80"/>
  <c r="B19" i="80"/>
  <c r="B18" i="80"/>
  <c r="B17" i="80"/>
  <c r="B16" i="80"/>
  <c r="B15" i="80"/>
  <c r="B14" i="80"/>
  <c r="B13" i="80"/>
  <c r="B12" i="80"/>
  <c r="B11" i="80"/>
  <c r="P8" i="80"/>
  <c r="H8" i="80"/>
  <c r="I66" i="82"/>
  <c r="B19" i="82"/>
  <c r="B18" i="82"/>
  <c r="B17" i="82"/>
  <c r="B16" i="82"/>
  <c r="B15" i="82"/>
  <c r="B14" i="82"/>
  <c r="B13" i="82"/>
  <c r="B12" i="82"/>
  <c r="B11" i="82"/>
  <c r="R8" i="82"/>
  <c r="M56" i="81"/>
  <c r="B19" i="81"/>
  <c r="B18" i="81"/>
  <c r="B17" i="81"/>
  <c r="B16" i="81"/>
  <c r="B15" i="81"/>
  <c r="B14" i="81"/>
  <c r="B13" i="81"/>
  <c r="B12" i="81"/>
  <c r="B11" i="81"/>
  <c r="T8" i="81"/>
  <c r="R8" i="81"/>
  <c r="S63" i="73"/>
  <c r="O63" i="73"/>
  <c r="O65" i="73" s="1"/>
  <c r="M63" i="73"/>
  <c r="K63" i="73"/>
  <c r="K65" i="73" s="1"/>
  <c r="I63" i="73"/>
  <c r="I65" i="73" s="1"/>
  <c r="Q63" i="73"/>
  <c r="Q65" i="73" s="1"/>
  <c r="B19" i="73"/>
  <c r="B18" i="73"/>
  <c r="B17" i="73"/>
  <c r="B16" i="73"/>
  <c r="B15" i="73"/>
  <c r="B14" i="73"/>
  <c r="B13" i="73"/>
  <c r="B12" i="73"/>
  <c r="B11" i="73"/>
  <c r="S63" i="74"/>
  <c r="O63" i="74"/>
  <c r="M63" i="74"/>
  <c r="M65" i="74" s="1"/>
  <c r="K63" i="74"/>
  <c r="I63" i="74"/>
  <c r="Q63" i="74"/>
  <c r="Q65" i="74" s="1"/>
  <c r="B19" i="74"/>
  <c r="B18" i="74"/>
  <c r="B17" i="74"/>
  <c r="B16" i="74"/>
  <c r="B15" i="74"/>
  <c r="B14" i="74"/>
  <c r="B13" i="74"/>
  <c r="B12" i="74"/>
  <c r="B11" i="74"/>
  <c r="AS102" i="75"/>
  <c r="AS104" i="75" s="1"/>
  <c r="W104" i="75"/>
  <c r="AG102" i="75"/>
  <c r="AG104" i="75" s="1"/>
  <c r="AQ102" i="75"/>
  <c r="I102" i="75"/>
  <c r="I104" i="75" s="1"/>
  <c r="AO102" i="75"/>
  <c r="B19" i="75"/>
  <c r="B18" i="75"/>
  <c r="B17" i="75"/>
  <c r="B16" i="75"/>
  <c r="B15" i="75"/>
  <c r="B14" i="75"/>
  <c r="B13" i="75"/>
  <c r="B12" i="75"/>
  <c r="B11" i="75"/>
  <c r="S47" i="77"/>
  <c r="S49" i="77" s="1"/>
  <c r="O47" i="77"/>
  <c r="O49" i="77" s="1"/>
  <c r="M47" i="77"/>
  <c r="M49" i="77" s="1"/>
  <c r="K47" i="77"/>
  <c r="K49" i="77" s="1"/>
  <c r="I47" i="77"/>
  <c r="I49" i="77" s="1"/>
  <c r="Q47" i="77"/>
  <c r="B19" i="77"/>
  <c r="B18" i="77"/>
  <c r="B17" i="77"/>
  <c r="B16" i="77"/>
  <c r="B15" i="77"/>
  <c r="B14" i="77"/>
  <c r="B13" i="77"/>
  <c r="B12" i="77"/>
  <c r="B11" i="77"/>
  <c r="S65" i="76"/>
  <c r="S67" i="76" s="1"/>
  <c r="O65" i="76"/>
  <c r="O67" i="76" s="1"/>
  <c r="M65" i="76"/>
  <c r="M67" i="76" s="1"/>
  <c r="K65" i="76"/>
  <c r="I65" i="76"/>
  <c r="I67" i="76" s="1"/>
  <c r="Q65" i="76"/>
  <c r="B19" i="76"/>
  <c r="B18" i="76"/>
  <c r="B17" i="76"/>
  <c r="B16" i="76"/>
  <c r="B15" i="76"/>
  <c r="B14" i="76"/>
  <c r="B13" i="76"/>
  <c r="B12" i="76"/>
  <c r="B11" i="76"/>
  <c r="B19" i="69"/>
  <c r="B18" i="69"/>
  <c r="B17" i="69"/>
  <c r="B16" i="69"/>
  <c r="B15" i="69"/>
  <c r="B14" i="69"/>
  <c r="B13" i="69"/>
  <c r="B12" i="69"/>
  <c r="B11" i="69"/>
  <c r="U55" i="71"/>
  <c r="S55" i="71"/>
  <c r="M55" i="71"/>
  <c r="B23" i="71"/>
  <c r="B22" i="71"/>
  <c r="B21" i="71"/>
  <c r="B20" i="71"/>
  <c r="B19" i="71"/>
  <c r="B18" i="71"/>
  <c r="B17" i="71"/>
  <c r="B16" i="71"/>
  <c r="B15" i="71"/>
  <c r="Q53" i="20" l="1"/>
  <c r="I53" i="20"/>
  <c r="G53" i="20"/>
  <c r="H53" i="20"/>
  <c r="AO104" i="75"/>
  <c r="AO106" i="75" s="1"/>
  <c r="AN8" i="75"/>
  <c r="F54" i="20"/>
  <c r="H54" i="20" s="1"/>
  <c r="M61" i="25"/>
  <c r="M60" i="25"/>
  <c r="I63" i="89"/>
  <c r="I62" i="89"/>
  <c r="K66" i="86"/>
  <c r="K65" i="86"/>
  <c r="I61" i="83"/>
  <c r="I60" i="83"/>
  <c r="M54" i="80"/>
  <c r="M53" i="80"/>
  <c r="S54" i="80"/>
  <c r="S53" i="80"/>
  <c r="U54" i="80"/>
  <c r="U53" i="80"/>
  <c r="I48" i="99"/>
  <c r="I49" i="99"/>
  <c r="I52" i="100"/>
  <c r="I51" i="100"/>
  <c r="I100" i="102"/>
  <c r="I99" i="102"/>
  <c r="I68" i="101"/>
  <c r="I67" i="101"/>
  <c r="O60" i="83"/>
  <c r="O61" i="83"/>
  <c r="M61" i="83"/>
  <c r="M60" i="83"/>
  <c r="K61" i="83"/>
  <c r="K60" i="83"/>
  <c r="Z8" i="95"/>
  <c r="AA122" i="95"/>
  <c r="AA123" i="95"/>
  <c r="H8" i="99"/>
  <c r="L8" i="100"/>
  <c r="P8" i="102"/>
  <c r="V8" i="102"/>
  <c r="J8" i="102"/>
  <c r="R8" i="102"/>
  <c r="L8" i="101"/>
  <c r="N8" i="101"/>
  <c r="T8" i="100"/>
  <c r="P8" i="99"/>
  <c r="N8" i="99"/>
  <c r="L8" i="99"/>
  <c r="J8" i="99"/>
  <c r="R8" i="25"/>
  <c r="S65" i="73"/>
  <c r="S67" i="73" s="1"/>
  <c r="S65" i="74"/>
  <c r="S67" i="74" s="1"/>
  <c r="AS106" i="75"/>
  <c r="O51" i="77"/>
  <c r="S51" i="77"/>
  <c r="S69" i="76"/>
  <c r="H8" i="102"/>
  <c r="F69" i="20" s="1"/>
  <c r="R8" i="101"/>
  <c r="H8" i="101"/>
  <c r="K70" i="20" s="1"/>
  <c r="Q70" i="20" s="1"/>
  <c r="P8" i="101"/>
  <c r="H8" i="100"/>
  <c r="P8" i="100"/>
  <c r="R8" i="99"/>
  <c r="AD8" i="95"/>
  <c r="AF8" i="95"/>
  <c r="H8" i="90"/>
  <c r="L8" i="25"/>
  <c r="F51" i="20" s="1"/>
  <c r="J8" i="92"/>
  <c r="L8" i="92"/>
  <c r="N8" i="92"/>
  <c r="I50" i="92"/>
  <c r="I52" i="92" s="1"/>
  <c r="L8" i="89"/>
  <c r="N8" i="89"/>
  <c r="H8" i="89"/>
  <c r="J8" i="89"/>
  <c r="I49" i="85"/>
  <c r="I51" i="85" s="1"/>
  <c r="P8" i="84"/>
  <c r="J8" i="84"/>
  <c r="I86" i="84"/>
  <c r="I88" i="84" s="1"/>
  <c r="J8" i="87"/>
  <c r="N8" i="87"/>
  <c r="L8" i="87"/>
  <c r="I52" i="87"/>
  <c r="I54" i="87" s="1"/>
  <c r="N8" i="86"/>
  <c r="P8" i="86"/>
  <c r="J8" i="86"/>
  <c r="H8" i="86"/>
  <c r="H8" i="83"/>
  <c r="J8" i="83"/>
  <c r="L8" i="83"/>
  <c r="N8" i="83"/>
  <c r="H8" i="78"/>
  <c r="B95" i="78" s="1"/>
  <c r="P8" i="78"/>
  <c r="N8" i="78"/>
  <c r="M57" i="78"/>
  <c r="M59" i="78" s="1"/>
  <c r="J8" i="79"/>
  <c r="L8" i="79"/>
  <c r="N8" i="79"/>
  <c r="I68" i="79"/>
  <c r="I70" i="79" s="1"/>
  <c r="L8" i="80"/>
  <c r="R8" i="80"/>
  <c r="S69" i="80" s="1"/>
  <c r="T8" i="80"/>
  <c r="W50" i="80"/>
  <c r="W52" i="80" s="1"/>
  <c r="L8" i="82"/>
  <c r="N8" i="82"/>
  <c r="J8" i="82"/>
  <c r="I68" i="82"/>
  <c r="I70" i="82" s="1"/>
  <c r="U57" i="71"/>
  <c r="T8" i="71" s="1"/>
  <c r="H8" i="81"/>
  <c r="H9" i="71" s="1"/>
  <c r="H12" i="71" s="1"/>
  <c r="J8" i="81"/>
  <c r="N9" i="71" s="1"/>
  <c r="P8" i="81"/>
  <c r="M58" i="81"/>
  <c r="M60" i="81" s="1"/>
  <c r="I67" i="73"/>
  <c r="K67" i="73"/>
  <c r="O67" i="73"/>
  <c r="M65" i="73"/>
  <c r="M67" i="73" s="1"/>
  <c r="Q67" i="73"/>
  <c r="M67" i="74"/>
  <c r="Q67" i="74"/>
  <c r="I65" i="74"/>
  <c r="I67" i="74" s="1"/>
  <c r="K65" i="74"/>
  <c r="K67" i="74" s="1"/>
  <c r="O65" i="74"/>
  <c r="O67" i="74" s="1"/>
  <c r="W106" i="75"/>
  <c r="AQ104" i="75"/>
  <c r="AQ106" i="75" s="1"/>
  <c r="AG106" i="75"/>
  <c r="AF8" i="75" s="1"/>
  <c r="I106" i="75"/>
  <c r="Q49" i="77"/>
  <c r="Q51" i="77" s="1"/>
  <c r="I51" i="77"/>
  <c r="K51" i="77"/>
  <c r="M51" i="77"/>
  <c r="Q67" i="76"/>
  <c r="Q69" i="76" s="1"/>
  <c r="I69" i="76"/>
  <c r="M69" i="76"/>
  <c r="O69" i="76"/>
  <c r="K67" i="76"/>
  <c r="K69" i="76" s="1"/>
  <c r="P8" i="71"/>
  <c r="S57" i="71"/>
  <c r="M57" i="71"/>
  <c r="O55" i="71"/>
  <c r="O57" i="71" s="1"/>
  <c r="G54" i="20" l="1"/>
  <c r="Q54" i="20"/>
  <c r="T54" i="20" s="1"/>
  <c r="I54" i="20"/>
  <c r="R70" i="20"/>
  <c r="R54" i="20"/>
  <c r="R53" i="20"/>
  <c r="AA53" i="20"/>
  <c r="T53" i="20"/>
  <c r="S53" i="20"/>
  <c r="B100" i="86"/>
  <c r="M46" i="20" s="1"/>
  <c r="Q46" i="20" s="1"/>
  <c r="Q72" i="20"/>
  <c r="I72" i="20"/>
  <c r="G72" i="20"/>
  <c r="H72" i="20"/>
  <c r="AA70" i="20"/>
  <c r="T70" i="20"/>
  <c r="S70" i="20"/>
  <c r="M61" i="78"/>
  <c r="M60" i="78"/>
  <c r="Q69" i="20"/>
  <c r="I69" i="20"/>
  <c r="G69" i="20"/>
  <c r="H69" i="20"/>
  <c r="AA54" i="20"/>
  <c r="S54" i="20"/>
  <c r="Q51" i="20"/>
  <c r="I51" i="20"/>
  <c r="G51" i="20"/>
  <c r="H51" i="20"/>
  <c r="I90" i="84"/>
  <c r="I89" i="84"/>
  <c r="I56" i="87"/>
  <c r="I55" i="87"/>
  <c r="W54" i="80"/>
  <c r="W53" i="80"/>
  <c r="Q69" i="73"/>
  <c r="Q68" i="73"/>
  <c r="M69" i="73"/>
  <c r="M68" i="73"/>
  <c r="O69" i="73"/>
  <c r="O68" i="73"/>
  <c r="K69" i="73"/>
  <c r="K68" i="73"/>
  <c r="I69" i="73"/>
  <c r="I68" i="73"/>
  <c r="O69" i="74"/>
  <c r="O68" i="74"/>
  <c r="Q69" i="74"/>
  <c r="Q68" i="74"/>
  <c r="S69" i="74"/>
  <c r="S68" i="74"/>
  <c r="AO108" i="75"/>
  <c r="AO107" i="75"/>
  <c r="AG108" i="75"/>
  <c r="AG107" i="75"/>
  <c r="W108" i="75"/>
  <c r="W107" i="75"/>
  <c r="AS108" i="75"/>
  <c r="AS107" i="75"/>
  <c r="N8" i="71"/>
  <c r="O59" i="71"/>
  <c r="O58" i="71"/>
  <c r="L8" i="71"/>
  <c r="M59" i="71"/>
  <c r="M58" i="71"/>
  <c r="R8" i="71"/>
  <c r="S59" i="71"/>
  <c r="S58" i="71"/>
  <c r="J8" i="71"/>
  <c r="K62" i="71" s="1"/>
  <c r="U59" i="71"/>
  <c r="U58" i="71"/>
  <c r="O70" i="76"/>
  <c r="O71" i="76"/>
  <c r="S70" i="76"/>
  <c r="S71" i="76"/>
  <c r="M71" i="76"/>
  <c r="M70" i="76"/>
  <c r="I71" i="76"/>
  <c r="I70" i="76"/>
  <c r="Q71" i="76"/>
  <c r="Q70" i="76"/>
  <c r="K71" i="76"/>
  <c r="K70" i="76"/>
  <c r="M62" i="81"/>
  <c r="M61" i="81"/>
  <c r="L8" i="81"/>
  <c r="Q52" i="77"/>
  <c r="Q53" i="77"/>
  <c r="S53" i="77"/>
  <c r="S52" i="77"/>
  <c r="O52" i="77"/>
  <c r="O53" i="77"/>
  <c r="K53" i="77"/>
  <c r="K52" i="77"/>
  <c r="M53" i="77"/>
  <c r="M52" i="77"/>
  <c r="I53" i="77"/>
  <c r="I52" i="77"/>
  <c r="S69" i="73"/>
  <c r="S68" i="73"/>
  <c r="H8" i="75"/>
  <c r="F41" i="20" s="1"/>
  <c r="I108" i="75"/>
  <c r="I107" i="75"/>
  <c r="AP8" i="75"/>
  <c r="AQ108" i="75"/>
  <c r="AQ107" i="75"/>
  <c r="J8" i="74"/>
  <c r="K69" i="74"/>
  <c r="K68" i="74"/>
  <c r="H8" i="74"/>
  <c r="I69" i="74"/>
  <c r="I68" i="74"/>
  <c r="L8" i="74"/>
  <c r="M69" i="74"/>
  <c r="M68" i="74"/>
  <c r="H8" i="92"/>
  <c r="H8" i="85"/>
  <c r="N8" i="85"/>
  <c r="L8" i="85"/>
  <c r="J8" i="85"/>
  <c r="H8" i="84"/>
  <c r="H8" i="87"/>
  <c r="L8" i="78"/>
  <c r="H8" i="79"/>
  <c r="V8" i="80"/>
  <c r="F45" i="20" s="1"/>
  <c r="H8" i="82"/>
  <c r="N12" i="71" l="1"/>
  <c r="B93" i="71"/>
  <c r="R51" i="20"/>
  <c r="R69" i="20"/>
  <c r="T72" i="20"/>
  <c r="P9" i="71"/>
  <c r="P12" i="71" s="1"/>
  <c r="B95" i="81"/>
  <c r="AA46" i="20"/>
  <c r="T46" i="20"/>
  <c r="S46" i="20"/>
  <c r="R46" i="20"/>
  <c r="AA72" i="20"/>
  <c r="R72" i="20"/>
  <c r="S72" i="20"/>
  <c r="O74" i="71"/>
  <c r="F38" i="20"/>
  <c r="Q45" i="20"/>
  <c r="I45" i="20"/>
  <c r="G45" i="20"/>
  <c r="H45" i="20"/>
  <c r="AA69" i="20"/>
  <c r="T69" i="20"/>
  <c r="S69" i="20"/>
  <c r="AA51" i="20"/>
  <c r="T51" i="20"/>
  <c r="S51" i="20"/>
  <c r="Q41" i="20"/>
  <c r="I41" i="20"/>
  <c r="G41" i="20"/>
  <c r="H41" i="20"/>
  <c r="F44" i="20"/>
  <c r="I44" i="20" s="1"/>
  <c r="Q44" i="20"/>
  <c r="G44" i="20"/>
  <c r="H44" i="20"/>
  <c r="B12" i="29"/>
  <c r="B13" i="29"/>
  <c r="B14" i="29"/>
  <c r="B15" i="29"/>
  <c r="B16" i="29"/>
  <c r="B17" i="29"/>
  <c r="B18" i="29"/>
  <c r="B19" i="29"/>
  <c r="B11" i="29"/>
  <c r="S41" i="68"/>
  <c r="S43" i="68" s="1"/>
  <c r="S45" i="68" s="1"/>
  <c r="Q41" i="68"/>
  <c r="Q43" i="68" s="1"/>
  <c r="Q45" i="68" s="1"/>
  <c r="O41" i="68"/>
  <c r="O43" i="68" s="1"/>
  <c r="O45" i="68" s="1"/>
  <c r="M41" i="68"/>
  <c r="M43" i="68" s="1"/>
  <c r="M45" i="68" s="1"/>
  <c r="K41" i="68"/>
  <c r="K43" i="68" s="1"/>
  <c r="I41" i="68"/>
  <c r="B19" i="68"/>
  <c r="B18" i="68"/>
  <c r="B17" i="68"/>
  <c r="B16" i="68"/>
  <c r="B15" i="68"/>
  <c r="B14" i="68"/>
  <c r="B13" i="68"/>
  <c r="B12" i="68"/>
  <c r="B11" i="68"/>
  <c r="Q79" i="66"/>
  <c r="Q81" i="66" s="1"/>
  <c r="I79" i="66"/>
  <c r="I81" i="66" s="1"/>
  <c r="O79" i="66"/>
  <c r="M79" i="66"/>
  <c r="M81" i="66" s="1"/>
  <c r="S79" i="66"/>
  <c r="B23" i="66"/>
  <c r="B22" i="66"/>
  <c r="B21" i="66"/>
  <c r="B20" i="66"/>
  <c r="B19" i="66"/>
  <c r="B18" i="66"/>
  <c r="B17" i="66"/>
  <c r="B16" i="66"/>
  <c r="B15" i="66"/>
  <c r="B14" i="66"/>
  <c r="B13" i="66"/>
  <c r="B12" i="66"/>
  <c r="B11" i="66"/>
  <c r="Q55" i="64"/>
  <c r="O55" i="64"/>
  <c r="O57" i="64" s="1"/>
  <c r="M55" i="64"/>
  <c r="M57" i="64" s="1"/>
  <c r="K55" i="64"/>
  <c r="K57" i="64" s="1"/>
  <c r="I55" i="64"/>
  <c r="I57" i="64" s="1"/>
  <c r="I59" i="64" s="1"/>
  <c r="B23" i="64"/>
  <c r="B22" i="64"/>
  <c r="B21" i="64"/>
  <c r="B20" i="64"/>
  <c r="B19" i="64"/>
  <c r="B18" i="64"/>
  <c r="B17" i="64"/>
  <c r="B16" i="64"/>
  <c r="B15" i="64"/>
  <c r="B14" i="64"/>
  <c r="B13" i="64"/>
  <c r="B12" i="64"/>
  <c r="B11" i="64"/>
  <c r="R8" i="64"/>
  <c r="Q54" i="63"/>
  <c r="Q56" i="63" s="1"/>
  <c r="Q58" i="63" s="1"/>
  <c r="O54" i="63"/>
  <c r="M54" i="63"/>
  <c r="K54" i="63"/>
  <c r="K56" i="63" s="1"/>
  <c r="K58" i="63" s="1"/>
  <c r="I54" i="63"/>
  <c r="B19" i="63"/>
  <c r="B18" i="63"/>
  <c r="B17" i="63"/>
  <c r="B16" i="63"/>
  <c r="B15" i="63"/>
  <c r="B14" i="63"/>
  <c r="B13" i="63"/>
  <c r="B12" i="63"/>
  <c r="B11" i="63"/>
  <c r="R8" i="63"/>
  <c r="V8" i="6"/>
  <c r="P8" i="6"/>
  <c r="H8" i="6"/>
  <c r="I48" i="61"/>
  <c r="I50" i="61" s="1"/>
  <c r="B19" i="61"/>
  <c r="B18" i="61"/>
  <c r="B17" i="61"/>
  <c r="B16" i="61"/>
  <c r="B15" i="61"/>
  <c r="B14" i="61"/>
  <c r="B13" i="61"/>
  <c r="B12" i="61"/>
  <c r="B11" i="61"/>
  <c r="U58" i="60"/>
  <c r="S58" i="60"/>
  <c r="Q58" i="60"/>
  <c r="Q60" i="60" s="1"/>
  <c r="O58" i="60"/>
  <c r="O60" i="60" s="1"/>
  <c r="M58" i="60"/>
  <c r="M60" i="60" s="1"/>
  <c r="I58" i="60"/>
  <c r="K60" i="60" s="1"/>
  <c r="K62" i="60" s="1"/>
  <c r="B21" i="60"/>
  <c r="B20" i="60"/>
  <c r="B19" i="60"/>
  <c r="B18" i="60"/>
  <c r="B17" i="60"/>
  <c r="B16" i="60"/>
  <c r="B15" i="60"/>
  <c r="B14" i="60"/>
  <c r="B13" i="60"/>
  <c r="Y67" i="59"/>
  <c r="U67" i="59"/>
  <c r="W67" i="59"/>
  <c r="W69" i="59" s="1"/>
  <c r="Q69" i="59"/>
  <c r="Q71" i="59" s="1"/>
  <c r="B19" i="59"/>
  <c r="B18" i="59"/>
  <c r="B17" i="59"/>
  <c r="B16" i="59"/>
  <c r="B15" i="59"/>
  <c r="B14" i="59"/>
  <c r="B13" i="59"/>
  <c r="B12" i="59"/>
  <c r="B11" i="59"/>
  <c r="S75" i="58"/>
  <c r="Q75" i="58"/>
  <c r="O75" i="58"/>
  <c r="M75" i="58"/>
  <c r="K75" i="58"/>
  <c r="K77" i="58" s="1"/>
  <c r="B19" i="58"/>
  <c r="B18" i="58"/>
  <c r="B17" i="58"/>
  <c r="B16" i="58"/>
  <c r="B15" i="58"/>
  <c r="B14" i="58"/>
  <c r="B13" i="58"/>
  <c r="B12" i="58"/>
  <c r="B11" i="58"/>
  <c r="W69" i="57"/>
  <c r="M69" i="57"/>
  <c r="U69" i="57"/>
  <c r="O69" i="57"/>
  <c r="I71" i="57"/>
  <c r="B22" i="57"/>
  <c r="B21" i="57"/>
  <c r="B20" i="57"/>
  <c r="B19" i="57"/>
  <c r="B18" i="57"/>
  <c r="B17" i="57"/>
  <c r="B16" i="57"/>
  <c r="B15" i="57"/>
  <c r="B14" i="57"/>
  <c r="K48" i="56"/>
  <c r="I48" i="56"/>
  <c r="I50" i="56" s="1"/>
  <c r="B19" i="56"/>
  <c r="B18" i="56"/>
  <c r="B17" i="56"/>
  <c r="B16" i="56"/>
  <c r="B15" i="56"/>
  <c r="B14" i="56"/>
  <c r="B13" i="56"/>
  <c r="B12" i="56"/>
  <c r="B11" i="56"/>
  <c r="O87" i="55"/>
  <c r="O89" i="55" s="1"/>
  <c r="O91" i="55" s="1"/>
  <c r="M87" i="55"/>
  <c r="M89" i="55" s="1"/>
  <c r="M91" i="55" s="1"/>
  <c r="K87" i="55"/>
  <c r="K89" i="55" s="1"/>
  <c r="K91" i="55" s="1"/>
  <c r="I87" i="55"/>
  <c r="I89" i="55" s="1"/>
  <c r="I91" i="55" s="1"/>
  <c r="B19" i="55"/>
  <c r="B18" i="55"/>
  <c r="B17" i="55"/>
  <c r="B16" i="55"/>
  <c r="B15" i="55"/>
  <c r="B14" i="55"/>
  <c r="B13" i="55"/>
  <c r="B12" i="55"/>
  <c r="B11" i="55"/>
  <c r="M48" i="54"/>
  <c r="M50" i="54" s="1"/>
  <c r="M52" i="54" s="1"/>
  <c r="I48" i="54"/>
  <c r="I50" i="54" s="1"/>
  <c r="I52" i="54" s="1"/>
  <c r="S48" i="54"/>
  <c r="S50" i="54" s="1"/>
  <c r="S52" i="54" s="1"/>
  <c r="Q48" i="54"/>
  <c r="Q50" i="54" s="1"/>
  <c r="Q52" i="54" s="1"/>
  <c r="B19" i="54"/>
  <c r="B18" i="54"/>
  <c r="B17" i="54"/>
  <c r="B16" i="54"/>
  <c r="B15" i="54"/>
  <c r="B14" i="54"/>
  <c r="B13" i="54"/>
  <c r="B12" i="54"/>
  <c r="B11" i="54"/>
  <c r="O92" i="53"/>
  <c r="O94" i="53" s="1"/>
  <c r="M92" i="53"/>
  <c r="M94" i="53" s="1"/>
  <c r="K92" i="53"/>
  <c r="K94" i="53" s="1"/>
  <c r="K96" i="53" s="1"/>
  <c r="I92" i="53"/>
  <c r="B19" i="53"/>
  <c r="B18" i="53"/>
  <c r="B17" i="53"/>
  <c r="B16" i="53"/>
  <c r="B15" i="53"/>
  <c r="B14" i="53"/>
  <c r="B13" i="53"/>
  <c r="B12" i="53"/>
  <c r="B11" i="53"/>
  <c r="O42" i="52"/>
  <c r="M42" i="52"/>
  <c r="K42" i="52"/>
  <c r="K44" i="52" s="1"/>
  <c r="K46" i="52" s="1"/>
  <c r="I42" i="52"/>
  <c r="I44" i="52" s="1"/>
  <c r="I46" i="52" s="1"/>
  <c r="B19" i="52"/>
  <c r="B18" i="52"/>
  <c r="B17" i="52"/>
  <c r="B16" i="52"/>
  <c r="B15" i="52"/>
  <c r="B14" i="52"/>
  <c r="B13" i="52"/>
  <c r="B12" i="52"/>
  <c r="B11" i="52"/>
  <c r="S66" i="51"/>
  <c r="Q66" i="51"/>
  <c r="Q68" i="51" s="1"/>
  <c r="O66" i="51"/>
  <c r="O68" i="51" s="1"/>
  <c r="O70" i="51" s="1"/>
  <c r="M66" i="51"/>
  <c r="M68" i="51" s="1"/>
  <c r="M70" i="51" s="1"/>
  <c r="K66" i="51"/>
  <c r="K68" i="51" s="1"/>
  <c r="K70" i="51" s="1"/>
  <c r="I68" i="51"/>
  <c r="I70" i="51" s="1"/>
  <c r="B19" i="51"/>
  <c r="B18" i="51"/>
  <c r="B17" i="51"/>
  <c r="B16" i="51"/>
  <c r="B15" i="51"/>
  <c r="B14" i="51"/>
  <c r="B13" i="51"/>
  <c r="B12" i="51"/>
  <c r="B11" i="51"/>
  <c r="S53" i="50"/>
  <c r="Q53" i="50"/>
  <c r="O53" i="50"/>
  <c r="O55" i="50" s="1"/>
  <c r="M53" i="50"/>
  <c r="M55" i="50" s="1"/>
  <c r="K53" i="50"/>
  <c r="K55" i="50" s="1"/>
  <c r="I55" i="50"/>
  <c r="B19" i="50"/>
  <c r="B18" i="50"/>
  <c r="B17" i="50"/>
  <c r="B16" i="50"/>
  <c r="B15" i="50"/>
  <c r="B14" i="50"/>
  <c r="B13" i="50"/>
  <c r="B12" i="50"/>
  <c r="B11" i="50"/>
  <c r="A14" i="49"/>
  <c r="A15" i="49" s="1"/>
  <c r="A16" i="49" s="1"/>
  <c r="A17" i="49" s="1"/>
  <c r="A18" i="49" s="1"/>
  <c r="A19" i="49" s="1"/>
  <c r="A20" i="49" s="1"/>
  <c r="A21" i="49" s="1"/>
  <c r="A22" i="49" s="1"/>
  <c r="A10" i="47"/>
  <c r="B10" i="39"/>
  <c r="D10" i="39" s="1"/>
  <c r="F12" i="39"/>
  <c r="H11" i="39"/>
  <c r="D11" i="39"/>
  <c r="H10" i="39"/>
  <c r="H9" i="39"/>
  <c r="H8" i="39"/>
  <c r="H7" i="39"/>
  <c r="H6" i="39"/>
  <c r="H12" i="39" s="1"/>
  <c r="H13" i="39" s="1"/>
  <c r="R44" i="20" l="1"/>
  <c r="R41" i="20"/>
  <c r="R45" i="20"/>
  <c r="K64" i="60"/>
  <c r="K63" i="60"/>
  <c r="J8" i="60"/>
  <c r="L9" i="8" s="1"/>
  <c r="F34" i="20"/>
  <c r="I34" i="20" s="1"/>
  <c r="O127" i="6"/>
  <c r="Q38" i="20"/>
  <c r="I38" i="20"/>
  <c r="G38" i="20"/>
  <c r="H38" i="20"/>
  <c r="U71" i="57"/>
  <c r="U73" i="57"/>
  <c r="AA45" i="20"/>
  <c r="T45" i="20"/>
  <c r="S45" i="20"/>
  <c r="AA41" i="20"/>
  <c r="T41" i="20"/>
  <c r="S41" i="20"/>
  <c r="AA44" i="20"/>
  <c r="T44" i="20"/>
  <c r="S44" i="20"/>
  <c r="I56" i="63"/>
  <c r="I58" i="63" s="1"/>
  <c r="I61" i="64"/>
  <c r="I60" i="64"/>
  <c r="Q57" i="64"/>
  <c r="Q59" i="64" s="1"/>
  <c r="P8" i="59"/>
  <c r="Q73" i="59"/>
  <c r="Q72" i="59"/>
  <c r="Q54" i="54"/>
  <c r="Q53" i="54"/>
  <c r="S54" i="54"/>
  <c r="S53" i="54"/>
  <c r="I54" i="54"/>
  <c r="I53" i="54"/>
  <c r="M54" i="54"/>
  <c r="M53" i="54"/>
  <c r="I48" i="52"/>
  <c r="I47" i="52"/>
  <c r="K48" i="52"/>
  <c r="K47" i="52"/>
  <c r="K98" i="53"/>
  <c r="K97" i="53"/>
  <c r="I93" i="55"/>
  <c r="I92" i="55"/>
  <c r="K93" i="55"/>
  <c r="K92" i="55"/>
  <c r="M93" i="55"/>
  <c r="M92" i="55"/>
  <c r="O93" i="55"/>
  <c r="O92" i="55"/>
  <c r="Q61" i="64"/>
  <c r="Q60" i="64"/>
  <c r="J8" i="51"/>
  <c r="K72" i="51"/>
  <c r="K71" i="51"/>
  <c r="H8" i="51"/>
  <c r="I72" i="51"/>
  <c r="I71" i="51"/>
  <c r="N8" i="51"/>
  <c r="O72" i="51"/>
  <c r="O71" i="51"/>
  <c r="L8" i="51"/>
  <c r="M71" i="51"/>
  <c r="M72" i="51"/>
  <c r="Q59" i="63"/>
  <c r="Q60" i="63"/>
  <c r="K60" i="63"/>
  <c r="K59" i="63"/>
  <c r="I77" i="58"/>
  <c r="I60" i="60"/>
  <c r="I62" i="60"/>
  <c r="K50" i="56"/>
  <c r="K52" i="56" s="1"/>
  <c r="S50" i="56"/>
  <c r="S52" i="56" s="1"/>
  <c r="O50" i="56"/>
  <c r="O52" i="56" s="1"/>
  <c r="Q50" i="56"/>
  <c r="Q52" i="56" s="1"/>
  <c r="M50" i="56"/>
  <c r="M52" i="56" s="1"/>
  <c r="I94" i="53"/>
  <c r="I96" i="53" s="1"/>
  <c r="M96" i="53"/>
  <c r="O96" i="53"/>
  <c r="S68" i="51"/>
  <c r="S70" i="51" s="1"/>
  <c r="B8" i="39"/>
  <c r="D8" i="39" s="1"/>
  <c r="B9" i="39"/>
  <c r="D9" i="39" s="1"/>
  <c r="I73" i="57"/>
  <c r="M71" i="57"/>
  <c r="M73" i="57" s="1"/>
  <c r="U69" i="59"/>
  <c r="U71" i="59" s="1"/>
  <c r="T8" i="59" s="1"/>
  <c r="Y69" i="59"/>
  <c r="Y71" i="59" s="1"/>
  <c r="X8" i="59" s="1"/>
  <c r="K59" i="64"/>
  <c r="K45" i="68"/>
  <c r="F28" i="20"/>
  <c r="W71" i="59"/>
  <c r="V8" i="59" s="1"/>
  <c r="O71" i="57"/>
  <c r="O73" i="57" s="1"/>
  <c r="I43" i="68"/>
  <c r="I45" i="68" s="1"/>
  <c r="M83" i="66"/>
  <c r="I83" i="66"/>
  <c r="O81" i="66"/>
  <c r="O83" i="66" s="1"/>
  <c r="Q83" i="66"/>
  <c r="S81" i="66"/>
  <c r="S83" i="66" s="1"/>
  <c r="P8" i="64"/>
  <c r="H8" i="64"/>
  <c r="M59" i="64"/>
  <c r="O59" i="64"/>
  <c r="P8" i="63"/>
  <c r="M56" i="63"/>
  <c r="M58" i="63" s="1"/>
  <c r="J8" i="63"/>
  <c r="O56" i="63"/>
  <c r="O58" i="63" s="1"/>
  <c r="I52" i="61"/>
  <c r="M62" i="60"/>
  <c r="O62" i="60"/>
  <c r="Q62" i="60"/>
  <c r="S60" i="60"/>
  <c r="S62" i="60" s="1"/>
  <c r="U60" i="60"/>
  <c r="U62" i="60" s="1"/>
  <c r="M77" i="58"/>
  <c r="M79" i="58" s="1"/>
  <c r="L8" i="58" s="1"/>
  <c r="O77" i="58"/>
  <c r="O79" i="58" s="1"/>
  <c r="N8" i="58" s="1"/>
  <c r="K79" i="58"/>
  <c r="Q77" i="58"/>
  <c r="Q79" i="58" s="1"/>
  <c r="P8" i="58" s="1"/>
  <c r="S77" i="58"/>
  <c r="S79" i="58" s="1"/>
  <c r="R8" i="58" s="1"/>
  <c r="W71" i="57"/>
  <c r="W73" i="57" s="1"/>
  <c r="I52" i="56"/>
  <c r="J8" i="55"/>
  <c r="L8" i="55"/>
  <c r="N8" i="55"/>
  <c r="H8" i="55"/>
  <c r="P8" i="54"/>
  <c r="H8" i="54"/>
  <c r="L8" i="54"/>
  <c r="R8" i="54"/>
  <c r="J8" i="53"/>
  <c r="M44" i="52"/>
  <c r="M46" i="52" s="1"/>
  <c r="H8" i="52"/>
  <c r="J8" i="52"/>
  <c r="O44" i="52"/>
  <c r="O46" i="52" s="1"/>
  <c r="Q70" i="51"/>
  <c r="Q55" i="50"/>
  <c r="Q57" i="50" s="1"/>
  <c r="S55" i="50"/>
  <c r="S57" i="50" s="1"/>
  <c r="I57" i="50"/>
  <c r="K57" i="50"/>
  <c r="M57" i="50"/>
  <c r="O57" i="50"/>
  <c r="B6" i="39"/>
  <c r="H34" i="20" l="1"/>
  <c r="Q34" i="20"/>
  <c r="G34" i="20"/>
  <c r="J10" i="60"/>
  <c r="R34" i="20"/>
  <c r="R38" i="20"/>
  <c r="B88" i="54"/>
  <c r="K19" i="20" s="1"/>
  <c r="Q19" i="20" s="1"/>
  <c r="N1" i="54"/>
  <c r="AA38" i="20"/>
  <c r="T38" i="20"/>
  <c r="S38" i="20"/>
  <c r="S85" i="66"/>
  <c r="S84" i="66"/>
  <c r="Q85" i="66"/>
  <c r="Q84" i="66"/>
  <c r="O85" i="66"/>
  <c r="O84" i="66"/>
  <c r="I85" i="66"/>
  <c r="I84" i="66"/>
  <c r="M85" i="66"/>
  <c r="M84" i="66"/>
  <c r="Q28" i="20"/>
  <c r="I28" i="20"/>
  <c r="G28" i="20"/>
  <c r="H28" i="20"/>
  <c r="AA34" i="20"/>
  <c r="T34" i="20"/>
  <c r="S34" i="20"/>
  <c r="I59" i="63"/>
  <c r="I60" i="63"/>
  <c r="I54" i="61"/>
  <c r="I53" i="61"/>
  <c r="R8" i="59"/>
  <c r="N8" i="50"/>
  <c r="O59" i="50"/>
  <c r="O58" i="50"/>
  <c r="M59" i="50"/>
  <c r="M58" i="50"/>
  <c r="K59" i="50"/>
  <c r="K58" i="50"/>
  <c r="H8" i="50"/>
  <c r="I59" i="50"/>
  <c r="I58" i="50"/>
  <c r="S59" i="50"/>
  <c r="S58" i="50"/>
  <c r="P8" i="50"/>
  <c r="Q59" i="50"/>
  <c r="Q58" i="50"/>
  <c r="O48" i="52"/>
  <c r="O47" i="52"/>
  <c r="M48" i="52"/>
  <c r="M47" i="52"/>
  <c r="O98" i="53"/>
  <c r="O97" i="53"/>
  <c r="M98" i="53"/>
  <c r="M97" i="53"/>
  <c r="I98" i="53"/>
  <c r="I97" i="53"/>
  <c r="I54" i="56"/>
  <c r="I53" i="56"/>
  <c r="M54" i="56"/>
  <c r="M53" i="56"/>
  <c r="Q54" i="56"/>
  <c r="Q53" i="56"/>
  <c r="O54" i="56"/>
  <c r="O53" i="56"/>
  <c r="S54" i="56"/>
  <c r="S53" i="56"/>
  <c r="K54" i="56"/>
  <c r="K53" i="56"/>
  <c r="V8" i="57"/>
  <c r="W75" i="57"/>
  <c r="W74" i="57"/>
  <c r="N8" i="57"/>
  <c r="N11" i="57" s="1"/>
  <c r="O75" i="57"/>
  <c r="O74" i="57"/>
  <c r="U75" i="57"/>
  <c r="U74" i="57"/>
  <c r="L8" i="57"/>
  <c r="L11" i="57" s="1"/>
  <c r="M75" i="57"/>
  <c r="M74" i="57"/>
  <c r="I75" i="57"/>
  <c r="I74" i="57"/>
  <c r="W73" i="59"/>
  <c r="W72" i="59"/>
  <c r="Y73" i="59"/>
  <c r="Y72" i="59"/>
  <c r="U73" i="59"/>
  <c r="U72" i="59"/>
  <c r="O60" i="64"/>
  <c r="O61" i="64"/>
  <c r="M61" i="64"/>
  <c r="M60" i="64"/>
  <c r="K61" i="64"/>
  <c r="K60" i="64"/>
  <c r="R8" i="51"/>
  <c r="S72" i="51"/>
  <c r="S71" i="51"/>
  <c r="P8" i="51"/>
  <c r="Q72" i="51"/>
  <c r="Q71" i="51"/>
  <c r="L8" i="60"/>
  <c r="M64" i="60"/>
  <c r="M63" i="60"/>
  <c r="J8" i="58"/>
  <c r="K80" i="58"/>
  <c r="K81" i="58"/>
  <c r="O59" i="63"/>
  <c r="O60" i="63"/>
  <c r="M60" i="63"/>
  <c r="M59" i="63"/>
  <c r="S81" i="58"/>
  <c r="S80" i="58"/>
  <c r="Q81" i="58"/>
  <c r="Q80" i="58"/>
  <c r="O80" i="58"/>
  <c r="O81" i="58"/>
  <c r="M81" i="58"/>
  <c r="M80" i="58"/>
  <c r="N8" i="60"/>
  <c r="O64" i="60"/>
  <c r="O63" i="60"/>
  <c r="P8" i="60"/>
  <c r="Q64" i="60"/>
  <c r="Q63" i="60"/>
  <c r="R8" i="60"/>
  <c r="R10" i="60" s="1"/>
  <c r="S64" i="60"/>
  <c r="S63" i="60"/>
  <c r="T10" i="60"/>
  <c r="U64" i="60"/>
  <c r="U63" i="60"/>
  <c r="H8" i="60"/>
  <c r="I63" i="60"/>
  <c r="I64" i="60"/>
  <c r="I79" i="58"/>
  <c r="H8" i="57"/>
  <c r="B113" i="57" s="1"/>
  <c r="T8" i="57"/>
  <c r="H8" i="56"/>
  <c r="L8" i="56"/>
  <c r="P8" i="56"/>
  <c r="J8" i="56"/>
  <c r="N8" i="56"/>
  <c r="R8" i="56"/>
  <c r="L8" i="50"/>
  <c r="R8" i="50"/>
  <c r="J8" i="50"/>
  <c r="L8" i="53"/>
  <c r="N8" i="53"/>
  <c r="J8" i="64"/>
  <c r="H8" i="63"/>
  <c r="H8" i="53"/>
  <c r="R8" i="61"/>
  <c r="P8" i="61"/>
  <c r="N8" i="61"/>
  <c r="R8" i="66"/>
  <c r="N8" i="66"/>
  <c r="V8" i="66"/>
  <c r="L8" i="66"/>
  <c r="P8" i="66"/>
  <c r="H8" i="66"/>
  <c r="B123" i="66" s="1"/>
  <c r="N8" i="64"/>
  <c r="L8" i="64"/>
  <c r="N8" i="63"/>
  <c r="L8" i="63"/>
  <c r="J8" i="61"/>
  <c r="H8" i="61"/>
  <c r="L8" i="61"/>
  <c r="L8" i="52"/>
  <c r="N8" i="52"/>
  <c r="D6" i="39"/>
  <c r="B7" i="39"/>
  <c r="D7" i="39" s="1"/>
  <c r="R28" i="20" l="1"/>
  <c r="R19" i="20"/>
  <c r="L10" i="8"/>
  <c r="J9" i="8"/>
  <c r="J10" i="8" s="1"/>
  <c r="H10" i="60"/>
  <c r="B98" i="60"/>
  <c r="F29" i="20" s="1"/>
  <c r="F31" i="20"/>
  <c r="H11" i="57"/>
  <c r="AA19" i="20"/>
  <c r="T19" i="20"/>
  <c r="S19" i="20"/>
  <c r="AA28" i="20"/>
  <c r="T28" i="20"/>
  <c r="S28" i="20"/>
  <c r="F23" i="20"/>
  <c r="I80" i="58"/>
  <c r="I81" i="58"/>
  <c r="H8" i="58"/>
  <c r="B115" i="58" s="1"/>
  <c r="F27" i="20" s="1"/>
  <c r="D12" i="39"/>
  <c r="Q29" i="20" l="1"/>
  <c r="G29" i="20"/>
  <c r="I29" i="20"/>
  <c r="H29" i="20"/>
  <c r="Q31" i="20"/>
  <c r="I31" i="20"/>
  <c r="G31" i="20"/>
  <c r="H31" i="20"/>
  <c r="Q27" i="20"/>
  <c r="I27" i="20"/>
  <c r="G27" i="20"/>
  <c r="H27" i="20"/>
  <c r="Q23" i="20"/>
  <c r="I23" i="20"/>
  <c r="G23" i="20"/>
  <c r="H23" i="20"/>
  <c r="I56" i="31"/>
  <c r="Q131" i="3"/>
  <c r="Q133" i="3" s="1"/>
  <c r="R23" i="20" l="1"/>
  <c r="R27" i="20"/>
  <c r="R31" i="20"/>
  <c r="R29" i="20"/>
  <c r="AA29" i="20"/>
  <c r="T29" i="20"/>
  <c r="S29" i="20"/>
  <c r="AA31" i="20"/>
  <c r="T31" i="20"/>
  <c r="S31" i="20"/>
  <c r="AA27" i="20"/>
  <c r="T27" i="20"/>
  <c r="S27" i="20"/>
  <c r="AA23" i="20"/>
  <c r="T23" i="20"/>
  <c r="S23" i="20"/>
  <c r="Q135" i="3"/>
  <c r="Q134" i="3"/>
  <c r="P8" i="3"/>
  <c r="K123" i="9" l="1"/>
  <c r="AK123" i="9"/>
  <c r="F59" i="20" l="1"/>
  <c r="Q59" i="20" s="1"/>
  <c r="U81" i="16"/>
  <c r="U83" i="16" s="1"/>
  <c r="U85" i="16" s="1"/>
  <c r="AT81" i="16"/>
  <c r="AT85" i="16" s="1"/>
  <c r="B17" i="16"/>
  <c r="R59" i="20" l="1"/>
  <c r="I59" i="20"/>
  <c r="G59" i="20"/>
  <c r="H59" i="20"/>
  <c r="AS8" i="16"/>
  <c r="AT87" i="16"/>
  <c r="AT86" i="16"/>
  <c r="T8" i="16"/>
  <c r="U87" i="16"/>
  <c r="U86" i="16"/>
  <c r="AA59" i="20" l="1"/>
  <c r="T59" i="20"/>
  <c r="S59" i="20"/>
  <c r="I63" i="28"/>
  <c r="I65" i="28" s="1"/>
  <c r="I67" i="28" s="1"/>
  <c r="B12" i="2"/>
  <c r="B13" i="2"/>
  <c r="B14" i="2"/>
  <c r="B15" i="2"/>
  <c r="B16" i="2"/>
  <c r="B17" i="2"/>
  <c r="B18" i="2"/>
  <c r="B19" i="2"/>
  <c r="B11" i="2"/>
  <c r="B12" i="26"/>
  <c r="B13" i="26"/>
  <c r="B14" i="26"/>
  <c r="B15" i="26"/>
  <c r="B16" i="26"/>
  <c r="B17" i="26"/>
  <c r="B18" i="26"/>
  <c r="B19" i="26"/>
  <c r="B11" i="26"/>
  <c r="B12" i="28"/>
  <c r="B13" i="28"/>
  <c r="B14" i="28"/>
  <c r="B15" i="28"/>
  <c r="B16" i="28"/>
  <c r="B17" i="28"/>
  <c r="B18" i="28"/>
  <c r="B19" i="28"/>
  <c r="B11" i="28"/>
  <c r="B12" i="14"/>
  <c r="B13" i="14"/>
  <c r="B14" i="14"/>
  <c r="B15" i="14"/>
  <c r="B16" i="14"/>
  <c r="B17" i="14"/>
  <c r="B18" i="14"/>
  <c r="B19" i="14"/>
  <c r="B11" i="14"/>
  <c r="B12" i="31"/>
  <c r="B13" i="31"/>
  <c r="B14" i="31"/>
  <c r="B15" i="31"/>
  <c r="B16" i="31"/>
  <c r="B17" i="31"/>
  <c r="B18" i="31"/>
  <c r="B19" i="31"/>
  <c r="B11" i="31"/>
  <c r="B12" i="13"/>
  <c r="B13" i="13"/>
  <c r="B14" i="13"/>
  <c r="B15" i="13"/>
  <c r="B16" i="13"/>
  <c r="B17" i="13"/>
  <c r="B18" i="13"/>
  <c r="B19" i="13"/>
  <c r="B22" i="13"/>
  <c r="B23" i="13"/>
  <c r="B24" i="13"/>
  <c r="B25" i="13"/>
  <c r="B26" i="13"/>
  <c r="B27" i="13"/>
  <c r="B28" i="13"/>
  <c r="B11" i="13"/>
  <c r="B12" i="41"/>
  <c r="B13" i="41"/>
  <c r="B14" i="41"/>
  <c r="B15" i="41"/>
  <c r="B16" i="41"/>
  <c r="B17" i="41"/>
  <c r="B18" i="41"/>
  <c r="B19" i="41"/>
  <c r="B11" i="41"/>
  <c r="B12" i="17"/>
  <c r="B13" i="17"/>
  <c r="B14" i="17"/>
  <c r="B15" i="17"/>
  <c r="B16" i="17"/>
  <c r="B17" i="17"/>
  <c r="B18" i="17"/>
  <c r="B19" i="17"/>
  <c r="B11" i="17"/>
  <c r="B13" i="30"/>
  <c r="B14" i="30"/>
  <c r="B15" i="30"/>
  <c r="B16" i="30"/>
  <c r="B17" i="30"/>
  <c r="B18" i="30"/>
  <c r="B19" i="30"/>
  <c r="B20" i="30"/>
  <c r="B12" i="30"/>
  <c r="B14" i="8"/>
  <c r="B15" i="8"/>
  <c r="B16" i="8"/>
  <c r="B17" i="8"/>
  <c r="B18" i="8"/>
  <c r="B19" i="8"/>
  <c r="B20" i="8"/>
  <c r="B21" i="8"/>
  <c r="B13" i="8"/>
  <c r="B12" i="9"/>
  <c r="B13" i="9"/>
  <c r="B14" i="9"/>
  <c r="B15" i="9"/>
  <c r="B16" i="9"/>
  <c r="B17" i="9"/>
  <c r="B18" i="9"/>
  <c r="B19" i="9"/>
  <c r="B11" i="9"/>
  <c r="B12" i="7"/>
  <c r="B13" i="7"/>
  <c r="B14" i="7"/>
  <c r="B15" i="7"/>
  <c r="B16" i="7"/>
  <c r="B17" i="7"/>
  <c r="B18" i="7"/>
  <c r="B19" i="7"/>
  <c r="B11" i="7"/>
  <c r="B12" i="10"/>
  <c r="B13" i="10"/>
  <c r="B14" i="10"/>
  <c r="B15" i="10"/>
  <c r="B16" i="10"/>
  <c r="B17" i="10"/>
  <c r="B18" i="10"/>
  <c r="B11" i="10"/>
  <c r="B12" i="38"/>
  <c r="B13" i="38"/>
  <c r="B14" i="38"/>
  <c r="B15" i="38"/>
  <c r="B16" i="38"/>
  <c r="B17" i="38"/>
  <c r="B18" i="38"/>
  <c r="B11" i="38"/>
  <c r="B12" i="6"/>
  <c r="B13" i="6"/>
  <c r="B14" i="6"/>
  <c r="B15" i="6"/>
  <c r="B16" i="6"/>
  <c r="B17" i="6"/>
  <c r="B18" i="6"/>
  <c r="B19" i="6"/>
  <c r="B20" i="6"/>
  <c r="B21" i="6"/>
  <c r="B22" i="6"/>
  <c r="B23" i="6"/>
  <c r="B11" i="6"/>
  <c r="B12" i="5"/>
  <c r="B13" i="5"/>
  <c r="B14" i="5"/>
  <c r="B15" i="5"/>
  <c r="B16" i="5"/>
  <c r="B17" i="5"/>
  <c r="B18" i="5"/>
  <c r="B19" i="5"/>
  <c r="B20" i="5"/>
  <c r="B21" i="5"/>
  <c r="B11" i="5"/>
  <c r="B12" i="4"/>
  <c r="B13" i="4"/>
  <c r="B14" i="4"/>
  <c r="B15" i="4"/>
  <c r="B16" i="4"/>
  <c r="B17" i="4"/>
  <c r="B18" i="4"/>
  <c r="B19" i="4"/>
  <c r="B11" i="4"/>
  <c r="B12" i="32"/>
  <c r="B13" i="32"/>
  <c r="B14" i="32"/>
  <c r="B15" i="32"/>
  <c r="B16" i="32"/>
  <c r="B17" i="32"/>
  <c r="B18" i="32"/>
  <c r="B19" i="32"/>
  <c r="B11" i="32"/>
  <c r="B12" i="3"/>
  <c r="B13" i="3"/>
  <c r="B14" i="3"/>
  <c r="B15" i="3"/>
  <c r="B16" i="3"/>
  <c r="B17" i="3"/>
  <c r="B18" i="3"/>
  <c r="B19" i="3"/>
  <c r="B11" i="3"/>
  <c r="I52" i="36"/>
  <c r="B4" i="26"/>
  <c r="W63" i="28"/>
  <c r="W65" i="28" s="1"/>
  <c r="W67" i="28" s="1"/>
  <c r="U63" i="28"/>
  <c r="U65" i="28" s="1"/>
  <c r="U67" i="28" s="1"/>
  <c r="O63" i="28"/>
  <c r="O65" i="28" s="1"/>
  <c r="O67" i="28" s="1"/>
  <c r="M63" i="28"/>
  <c r="M65" i="28" s="1"/>
  <c r="S65" i="28"/>
  <c r="I41" i="15"/>
  <c r="I43" i="15" s="1"/>
  <c r="AC202" i="14"/>
  <c r="I49" i="31"/>
  <c r="I51" i="31" s="1"/>
  <c r="I53" i="31" s="1"/>
  <c r="H8" i="31" s="1"/>
  <c r="AM160" i="13"/>
  <c r="AM162" i="13" s="1"/>
  <c r="I52" i="41"/>
  <c r="I54" i="41" s="1"/>
  <c r="I77" i="17"/>
  <c r="I79" i="17" s="1"/>
  <c r="I81" i="17" s="1"/>
  <c r="H8" i="17" s="1"/>
  <c r="AE75" i="30"/>
  <c r="AE77" i="30" s="1"/>
  <c r="AD9" i="30" s="1"/>
  <c r="Y75" i="30"/>
  <c r="Y77" i="30" s="1"/>
  <c r="X9" i="30" s="1"/>
  <c r="AC75" i="30"/>
  <c r="O75" i="30"/>
  <c r="AA123" i="9"/>
  <c r="AA125" i="9" s="1"/>
  <c r="AA127" i="9" s="1"/>
  <c r="Z8" i="9" s="1"/>
  <c r="AI123" i="9"/>
  <c r="AI125" i="9" s="1"/>
  <c r="K125" i="9"/>
  <c r="AK125" i="9"/>
  <c r="L8" i="29"/>
  <c r="J8" i="29"/>
  <c r="P8" i="29"/>
  <c r="AK76" i="7"/>
  <c r="AK78" i="7" s="1"/>
  <c r="AM76" i="7"/>
  <c r="AM78" i="7" s="1"/>
  <c r="I76" i="7"/>
  <c r="AI76" i="7"/>
  <c r="Q76" i="7"/>
  <c r="S46" i="38"/>
  <c r="S48" i="38" s="1"/>
  <c r="I46" i="38"/>
  <c r="I48" i="38" s="1"/>
  <c r="I50" i="38" s="1"/>
  <c r="H8" i="38" s="1"/>
  <c r="K46" i="38"/>
  <c r="K48" i="38" s="1"/>
  <c r="K50" i="38" s="1"/>
  <c r="J8" i="38" s="1"/>
  <c r="M46" i="38"/>
  <c r="M48" i="38" s="1"/>
  <c r="M50" i="38" s="1"/>
  <c r="L8" i="38" s="1"/>
  <c r="Q46" i="38"/>
  <c r="S150" i="5"/>
  <c r="Q150" i="5"/>
  <c r="Q152" i="5" s="1"/>
  <c r="O150" i="5"/>
  <c r="O152" i="5" s="1"/>
  <c r="O154" i="5" s="1"/>
  <c r="M150" i="5"/>
  <c r="M152" i="5" s="1"/>
  <c r="M154" i="5" s="1"/>
  <c r="K150" i="5"/>
  <c r="I150" i="5"/>
  <c r="I52" i="4"/>
  <c r="S129" i="3"/>
  <c r="S131" i="3" s="1"/>
  <c r="S44" i="2"/>
  <c r="S46" i="2" s="1"/>
  <c r="Q44" i="2"/>
  <c r="Q46" i="2" s="1"/>
  <c r="O44" i="2"/>
  <c r="O46" i="2" s="1"/>
  <c r="O48" i="2" s="1"/>
  <c r="M44" i="2"/>
  <c r="K44" i="2"/>
  <c r="K46" i="2" s="1"/>
  <c r="K48" i="2" s="1"/>
  <c r="I44" i="2"/>
  <c r="I46" i="2" s="1"/>
  <c r="I48" i="2" s="1"/>
  <c r="B86" i="38" l="1"/>
  <c r="F32" i="20" s="1"/>
  <c r="Q32" i="20"/>
  <c r="I32" i="20"/>
  <c r="G32" i="20"/>
  <c r="H32" i="20"/>
  <c r="M156" i="5"/>
  <c r="M155" i="5"/>
  <c r="O156" i="5"/>
  <c r="O155" i="5"/>
  <c r="I55" i="31"/>
  <c r="I54" i="31"/>
  <c r="I83" i="17"/>
  <c r="I82" i="17"/>
  <c r="Y79" i="30"/>
  <c r="Y78" i="30"/>
  <c r="AE79" i="30"/>
  <c r="AE78" i="30"/>
  <c r="AA129" i="9"/>
  <c r="AA128" i="9"/>
  <c r="H8" i="2"/>
  <c r="I50" i="2"/>
  <c r="I49" i="2"/>
  <c r="J8" i="2"/>
  <c r="K50" i="2"/>
  <c r="K49" i="2"/>
  <c r="N8" i="2"/>
  <c r="O50" i="2"/>
  <c r="O49" i="2"/>
  <c r="N8" i="28"/>
  <c r="O69" i="28"/>
  <c r="O68" i="28"/>
  <c r="T8" i="28"/>
  <c r="U69" i="28"/>
  <c r="U68" i="28"/>
  <c r="V8" i="28"/>
  <c r="W68" i="28"/>
  <c r="W69" i="28"/>
  <c r="H8" i="28"/>
  <c r="B103" i="28" s="1"/>
  <c r="I69" i="28"/>
  <c r="I68" i="28"/>
  <c r="I52" i="38"/>
  <c r="I51" i="38"/>
  <c r="K52" i="38"/>
  <c r="K51" i="38"/>
  <c r="M51" i="38"/>
  <c r="M52" i="38"/>
  <c r="Q48" i="38"/>
  <c r="Q49" i="38"/>
  <c r="Q50" i="38" s="1"/>
  <c r="P8" i="38" s="1"/>
  <c r="AI78" i="7"/>
  <c r="Q78" i="7"/>
  <c r="Q80" i="7"/>
  <c r="M131" i="3"/>
  <c r="M133" i="3" s="1"/>
  <c r="I54" i="4"/>
  <c r="I56" i="4" s="1"/>
  <c r="Q54" i="4"/>
  <c r="Q56" i="4" s="1"/>
  <c r="S54" i="4"/>
  <c r="S56" i="4" s="1"/>
  <c r="O54" i="4"/>
  <c r="O56" i="4" s="1"/>
  <c r="K54" i="4"/>
  <c r="K56" i="4" s="1"/>
  <c r="M54" i="4"/>
  <c r="M56" i="4" s="1"/>
  <c r="I54" i="36"/>
  <c r="I56" i="36" s="1"/>
  <c r="R8" i="15"/>
  <c r="N8" i="15"/>
  <c r="P8" i="15"/>
  <c r="J8" i="15"/>
  <c r="L8" i="15"/>
  <c r="I45" i="15"/>
  <c r="S67" i="28"/>
  <c r="M67" i="28"/>
  <c r="AC206" i="14"/>
  <c r="I56" i="41"/>
  <c r="H8" i="29"/>
  <c r="B85" i="29" s="1"/>
  <c r="S50" i="38"/>
  <c r="K127" i="9"/>
  <c r="AI127" i="9"/>
  <c r="AH8" i="9" s="1"/>
  <c r="L8" i="5"/>
  <c r="S152" i="5"/>
  <c r="S154" i="5" s="1"/>
  <c r="O77" i="30"/>
  <c r="I75" i="30"/>
  <c r="I77" i="30" s="1"/>
  <c r="AC77" i="30"/>
  <c r="AB9" i="30" s="1"/>
  <c r="AK127" i="9"/>
  <c r="N8" i="5"/>
  <c r="K152" i="5"/>
  <c r="K154" i="5" s="1"/>
  <c r="I152" i="5"/>
  <c r="I154" i="5" s="1"/>
  <c r="Q154" i="5"/>
  <c r="I78" i="7"/>
  <c r="I80" i="7" s="1"/>
  <c r="AM80" i="7"/>
  <c r="AK80" i="7"/>
  <c r="AJ8" i="7" s="1"/>
  <c r="AM164" i="13"/>
  <c r="S133" i="3"/>
  <c r="M46" i="2"/>
  <c r="M48" i="2" s="1"/>
  <c r="Q48" i="2"/>
  <c r="S48" i="2"/>
  <c r="R8" i="2" s="1"/>
  <c r="R32" i="20" l="1"/>
  <c r="AA32" i="20"/>
  <c r="T32" i="20"/>
  <c r="S32" i="20"/>
  <c r="I58" i="41"/>
  <c r="I57" i="41"/>
  <c r="AL8" i="7"/>
  <c r="AM82" i="7"/>
  <c r="AM81" i="7"/>
  <c r="H8" i="7"/>
  <c r="I82" i="7"/>
  <c r="I81" i="7"/>
  <c r="S52" i="38"/>
  <c r="S51" i="38"/>
  <c r="R8" i="38"/>
  <c r="S135" i="3"/>
  <c r="S134" i="3"/>
  <c r="R8" i="4"/>
  <c r="S58" i="4"/>
  <c r="S57" i="4"/>
  <c r="L8" i="4"/>
  <c r="M58" i="4"/>
  <c r="M57" i="4"/>
  <c r="H8" i="4"/>
  <c r="I57" i="4"/>
  <c r="I58" i="4"/>
  <c r="J8" i="4"/>
  <c r="K58" i="4"/>
  <c r="K57" i="4"/>
  <c r="P8" i="4"/>
  <c r="Q58" i="4"/>
  <c r="Q57" i="4"/>
  <c r="N8" i="4"/>
  <c r="O58" i="4"/>
  <c r="O57" i="4"/>
  <c r="I46" i="15"/>
  <c r="I47" i="15"/>
  <c r="H8" i="36"/>
  <c r="I58" i="36"/>
  <c r="I57" i="36"/>
  <c r="AC79" i="30"/>
  <c r="AC78" i="30"/>
  <c r="AI129" i="9"/>
  <c r="AI128" i="9"/>
  <c r="L8" i="2"/>
  <c r="M49" i="2"/>
  <c r="M50" i="2"/>
  <c r="P8" i="2"/>
  <c r="Q50" i="2"/>
  <c r="Q49" i="2"/>
  <c r="J8" i="9"/>
  <c r="K129" i="9"/>
  <c r="K128" i="9"/>
  <c r="F37" i="20"/>
  <c r="AJ8" i="9"/>
  <c r="AK129" i="9"/>
  <c r="AK128" i="9"/>
  <c r="H9" i="30"/>
  <c r="I78" i="30"/>
  <c r="I79" i="30"/>
  <c r="O79" i="30"/>
  <c r="O78" i="30"/>
  <c r="AL8" i="13"/>
  <c r="AM166" i="13"/>
  <c r="AM165" i="13"/>
  <c r="S69" i="28"/>
  <c r="S68" i="28"/>
  <c r="L8" i="28"/>
  <c r="K71" i="20" s="1"/>
  <c r="M69" i="28"/>
  <c r="M68" i="28"/>
  <c r="Q51" i="38"/>
  <c r="Q52" i="38"/>
  <c r="AK82" i="7"/>
  <c r="AK81" i="7"/>
  <c r="P8" i="7"/>
  <c r="B116" i="7" s="1"/>
  <c r="Q82" i="7"/>
  <c r="Q81" i="7"/>
  <c r="S155" i="5"/>
  <c r="S156" i="5"/>
  <c r="Q156" i="5"/>
  <c r="Q155" i="5"/>
  <c r="K156" i="5"/>
  <c r="K155" i="5"/>
  <c r="AI80" i="7"/>
  <c r="I156" i="5"/>
  <c r="I155" i="5"/>
  <c r="M134" i="3"/>
  <c r="M135" i="3"/>
  <c r="L8" i="3"/>
  <c r="N9" i="30"/>
  <c r="R8" i="28"/>
  <c r="AC208" i="14"/>
  <c r="AB8" i="14"/>
  <c r="R8" i="3"/>
  <c r="H8" i="15"/>
  <c r="R8" i="17"/>
  <c r="V8" i="17"/>
  <c r="X8" i="29"/>
  <c r="T8" i="29"/>
  <c r="R8" i="5"/>
  <c r="J8" i="5"/>
  <c r="H8" i="5"/>
  <c r="B190" i="5" s="1"/>
  <c r="P8" i="5"/>
  <c r="AC207" i="14"/>
  <c r="S49" i="2"/>
  <c r="S50" i="2"/>
  <c r="Q71" i="20" l="1"/>
  <c r="K73" i="20"/>
  <c r="F33" i="20"/>
  <c r="Q37" i="20"/>
  <c r="I37" i="20"/>
  <c r="G37" i="20"/>
  <c r="H37" i="20"/>
  <c r="D190" i="5"/>
  <c r="M30" i="20" s="1"/>
  <c r="M73" i="20" s="1"/>
  <c r="Y66" i="29"/>
  <c r="F36" i="20"/>
  <c r="Q18" i="20"/>
  <c r="I18" i="20"/>
  <c r="G18" i="20"/>
  <c r="H18" i="20"/>
  <c r="C23" i="49"/>
  <c r="AI82" i="7"/>
  <c r="AI81" i="7"/>
  <c r="AH8" i="7"/>
  <c r="R18" i="20" l="1"/>
  <c r="X18" i="20"/>
  <c r="R37" i="20"/>
  <c r="R71" i="20"/>
  <c r="Q33" i="20"/>
  <c r="I33" i="20"/>
  <c r="G33" i="20"/>
  <c r="H33" i="20"/>
  <c r="K83" i="20"/>
  <c r="K74" i="20"/>
  <c r="K77" i="20" s="1"/>
  <c r="K82" i="20" s="1"/>
  <c r="AA71" i="20"/>
  <c r="T71" i="20"/>
  <c r="S71" i="20"/>
  <c r="AA33" i="20"/>
  <c r="AA37" i="20"/>
  <c r="T37" i="20"/>
  <c r="S37" i="20"/>
  <c r="M83" i="20"/>
  <c r="M74" i="20"/>
  <c r="M77" i="20" s="1"/>
  <c r="M82" i="20" s="1"/>
  <c r="C190" i="5"/>
  <c r="F30" i="20" s="1"/>
  <c r="Q36" i="20"/>
  <c r="I36" i="20"/>
  <c r="G36" i="20"/>
  <c r="H36" i="20"/>
  <c r="AA18" i="20"/>
  <c r="T18" i="20"/>
  <c r="S18" i="20"/>
  <c r="R36" i="20" l="1"/>
  <c r="R33" i="20"/>
  <c r="T33" i="20"/>
  <c r="S33" i="20"/>
  <c r="K86" i="20"/>
  <c r="K87" i="20" s="1"/>
  <c r="K89" i="20" s="1"/>
  <c r="K100" i="20" s="1"/>
  <c r="M86" i="20"/>
  <c r="M87" i="20" s="1"/>
  <c r="M89" i="20" s="1"/>
  <c r="Q30" i="20"/>
  <c r="I30" i="20"/>
  <c r="G30" i="20"/>
  <c r="H30" i="20"/>
  <c r="AA36" i="20"/>
  <c r="T36" i="20"/>
  <c r="S36" i="20"/>
  <c r="R30" i="20" l="1"/>
  <c r="M100" i="20"/>
  <c r="AA30" i="20"/>
  <c r="T30" i="20"/>
  <c r="S30" i="20"/>
  <c r="B12" i="39"/>
  <c r="B14" i="39" l="1"/>
  <c r="D13" i="39"/>
  <c r="S79" i="93"/>
  <c r="S81" i="93"/>
  <c r="R8" i="93" s="1"/>
  <c r="S82" i="93"/>
  <c r="S83" i="93"/>
  <c r="Y77" i="17"/>
  <c r="Y79" i="17" s="1"/>
  <c r="Y81" i="17" l="1"/>
  <c r="X8" i="17" s="1"/>
  <c r="AG75" i="30"/>
  <c r="AG77" i="30" s="1"/>
  <c r="Y82" i="17" l="1"/>
  <c r="Y83" i="17"/>
  <c r="AG79" i="30"/>
  <c r="AG78" i="30"/>
  <c r="AF9" i="30"/>
  <c r="F42" i="20" s="1"/>
  <c r="Q42" i="20" l="1"/>
  <c r="I42" i="20"/>
  <c r="G42" i="20"/>
  <c r="H42" i="20"/>
  <c r="R42" i="20" l="1"/>
  <c r="AA42" i="20"/>
  <c r="T42" i="20"/>
  <c r="S42" i="20"/>
  <c r="H8" i="152"/>
  <c r="F25" i="20" l="1"/>
  <c r="Q25" i="20" s="1"/>
  <c r="AA25" i="20" l="1"/>
  <c r="R25" i="20"/>
  <c r="S25" i="20"/>
  <c r="T25" i="20"/>
  <c r="G81" i="20" l="1"/>
  <c r="H81" i="20"/>
  <c r="I81" i="20"/>
  <c r="R81" i="20" l="1"/>
  <c r="S81" i="20"/>
  <c r="AA81" i="20"/>
  <c r="AC88" i="69" l="1"/>
  <c r="AC90" i="69" l="1"/>
  <c r="AC92" i="69" s="1"/>
  <c r="AB8" i="69" l="1"/>
  <c r="AC94" i="69"/>
  <c r="AC93" i="69"/>
  <c r="O77" i="17"/>
  <c r="O79" i="17" s="1"/>
  <c r="O81" i="17" l="1"/>
  <c r="N8" i="17" l="1"/>
  <c r="O82" i="17"/>
  <c r="O83" i="17"/>
  <c r="B117" i="17" l="1"/>
  <c r="F65" i="20" s="1"/>
  <c r="N2" i="17"/>
  <c r="G65" i="20" l="1"/>
  <c r="G73" i="20" s="1"/>
  <c r="H65" i="20"/>
  <c r="H73" i="20" s="1"/>
  <c r="F73" i="20"/>
  <c r="I65" i="20"/>
  <c r="I73" i="20" s="1"/>
  <c r="Q65" i="20"/>
  <c r="H74" i="20" l="1"/>
  <c r="H77" i="20" s="1"/>
  <c r="T65" i="20"/>
  <c r="T73" i="20" s="1"/>
  <c r="X65" i="20"/>
  <c r="X73" i="20" s="1"/>
  <c r="AA65" i="20"/>
  <c r="AA73" i="20" s="1"/>
  <c r="R65" i="20"/>
  <c r="R73" i="20" s="1"/>
  <c r="S65" i="20"/>
  <c r="S73" i="20" s="1"/>
  <c r="Q73" i="20"/>
  <c r="I74" i="20"/>
  <c r="I77" i="20" s="1"/>
  <c r="F83" i="20"/>
  <c r="Q102" i="20"/>
  <c r="F74" i="20"/>
  <c r="F77" i="20" s="1"/>
  <c r="G74" i="20"/>
  <c r="G77" i="20" s="1"/>
  <c r="F82" i="20" l="1"/>
  <c r="Q103" i="20"/>
  <c r="G83" i="20"/>
  <c r="H83" i="20"/>
  <c r="I83" i="20"/>
  <c r="K106" i="20"/>
  <c r="Q118" i="20"/>
  <c r="S113" i="20"/>
  <c r="Q74" i="20"/>
  <c r="AA102" i="20"/>
  <c r="Q77" i="20"/>
  <c r="Q83" i="20"/>
  <c r="Q92" i="20" l="1"/>
  <c r="Q93" i="20"/>
  <c r="Q91" i="20"/>
  <c r="Q94" i="20"/>
  <c r="AA83" i="20"/>
  <c r="R83" i="20"/>
  <c r="T83" i="20"/>
  <c r="S83" i="20"/>
  <c r="AA103" i="20"/>
  <c r="Q82" i="20"/>
  <c r="H82" i="20"/>
  <c r="H86" i="20" s="1"/>
  <c r="I82" i="20"/>
  <c r="I86" i="20" s="1"/>
  <c r="K107" i="20"/>
  <c r="G82" i="20"/>
  <c r="G86" i="20" s="1"/>
  <c r="AA74" i="20"/>
  <c r="AA77" i="20" s="1"/>
  <c r="R74" i="20"/>
  <c r="R77" i="20" s="1"/>
  <c r="T74" i="20"/>
  <c r="T77" i="20" s="1"/>
  <c r="S74" i="20"/>
  <c r="S77" i="20" s="1"/>
  <c r="F86" i="20"/>
  <c r="Q104" i="20" l="1"/>
  <c r="F87" i="20"/>
  <c r="F89" i="20" s="1"/>
  <c r="T82" i="20"/>
  <c r="T86" i="20" s="1"/>
  <c r="T113" i="20"/>
  <c r="U113" i="20" s="1"/>
  <c r="R82" i="20"/>
  <c r="R86" i="20" s="1"/>
  <c r="S82" i="20"/>
  <c r="S86" i="20" s="1"/>
  <c r="AA82" i="20"/>
  <c r="AA86" i="20" s="1"/>
  <c r="Q86" i="20"/>
  <c r="G87" i="20"/>
  <c r="G89" i="20" s="1"/>
  <c r="I87" i="20"/>
  <c r="I89" i="20" s="1"/>
  <c r="H87" i="20"/>
  <c r="H89" i="20" s="1"/>
  <c r="Q105" i="20" l="1"/>
  <c r="F100" i="20"/>
  <c r="Q87" i="20"/>
  <c r="AA104" i="20"/>
  <c r="Q89" i="20"/>
  <c r="F102" i="20" s="1"/>
  <c r="F103" i="20" l="1"/>
  <c r="U23" i="20"/>
  <c r="U31" i="20"/>
  <c r="U39" i="20"/>
  <c r="U47" i="20"/>
  <c r="U55" i="20"/>
  <c r="U64" i="20"/>
  <c r="U70" i="20"/>
  <c r="U88" i="20"/>
  <c r="Q97" i="20"/>
  <c r="Q99" i="20"/>
  <c r="K102" i="20"/>
  <c r="U24" i="20"/>
  <c r="U32" i="20"/>
  <c r="U40" i="20"/>
  <c r="U48" i="20"/>
  <c r="U56" i="20"/>
  <c r="U71" i="20"/>
  <c r="M102" i="20"/>
  <c r="Q98" i="20"/>
  <c r="M103" i="20"/>
  <c r="U13" i="20"/>
  <c r="U25" i="20"/>
  <c r="U33" i="20"/>
  <c r="U41" i="20"/>
  <c r="U49" i="20"/>
  <c r="U57" i="20"/>
  <c r="U72" i="20"/>
  <c r="U78" i="20"/>
  <c r="U84" i="20"/>
  <c r="U104" i="20"/>
  <c r="Q96" i="20"/>
  <c r="U81" i="20"/>
  <c r="S105" i="20"/>
  <c r="U14" i="20"/>
  <c r="U26" i="20"/>
  <c r="U34" i="20"/>
  <c r="U42" i="20"/>
  <c r="U50" i="20"/>
  <c r="U58" i="20"/>
  <c r="U79" i="20"/>
  <c r="U85" i="20"/>
  <c r="AA105" i="20"/>
  <c r="U16" i="20"/>
  <c r="U27" i="20"/>
  <c r="U35" i="20"/>
  <c r="U43" i="20"/>
  <c r="U51" i="20"/>
  <c r="U59" i="20"/>
  <c r="U66" i="20"/>
  <c r="U80" i="20"/>
  <c r="K103" i="20"/>
  <c r="U18" i="20"/>
  <c r="U28" i="20"/>
  <c r="U36" i="20"/>
  <c r="U44" i="20"/>
  <c r="U52" i="20"/>
  <c r="U60" i="20"/>
  <c r="U67" i="20"/>
  <c r="Q100" i="20"/>
  <c r="U100" i="20" s="1"/>
  <c r="Q95" i="20"/>
  <c r="U19" i="20"/>
  <c r="U29" i="20"/>
  <c r="U37" i="20"/>
  <c r="U45" i="20"/>
  <c r="U53" i="20"/>
  <c r="U61" i="20"/>
  <c r="U68" i="20"/>
  <c r="U21" i="20"/>
  <c r="U30" i="20"/>
  <c r="U38" i="20"/>
  <c r="U46" i="20"/>
  <c r="U54" i="20"/>
  <c r="U63" i="20"/>
  <c r="U69" i="20"/>
  <c r="U65" i="20"/>
  <c r="M107" i="20"/>
  <c r="U83" i="20"/>
  <c r="U74" i="20"/>
  <c r="U82" i="20"/>
  <c r="AA87" i="20"/>
  <c r="AA89" i="20" s="1"/>
  <c r="R87" i="20"/>
  <c r="R89" i="20" s="1"/>
  <c r="U87" i="20"/>
  <c r="S87" i="20"/>
  <c r="S89" i="20" s="1"/>
  <c r="T87" i="20"/>
  <c r="T89" i="20" s="1"/>
  <c r="U115" i="20"/>
  <c r="U116" i="20" s="1"/>
  <c r="V116" i="20" s="1"/>
  <c r="R96" i="20" l="1"/>
  <c r="S96" i="20"/>
  <c r="T96" i="20"/>
  <c r="U73" i="20"/>
  <c r="U77" i="20" s="1"/>
  <c r="U86" i="20" s="1"/>
  <c r="U89" i="20" s="1"/>
  <c r="T98" i="20"/>
  <c r="R98" i="20"/>
  <c r="S98" i="20"/>
  <c r="R99" i="20"/>
  <c r="T99" i="20"/>
  <c r="S99" i="20"/>
  <c r="R95" i="20"/>
  <c r="AA106" i="20"/>
  <c r="AC95" i="20"/>
  <c r="S95" i="20"/>
  <c r="T95" i="20"/>
  <c r="R97" i="20"/>
  <c r="S97" i="20"/>
  <c r="T97" i="20"/>
  <c r="N9" i="145"/>
  <c r="O38" i="145"/>
  <c r="O39" i="145"/>
  <c r="O41" i="145"/>
  <c r="O43" i="145"/>
  <c r="O44" i="145"/>
  <c r="O45" i="145"/>
  <c r="P2" i="17"/>
  <c r="P8" i="17"/>
  <c r="Q76" i="17"/>
  <c r="Q77" i="17"/>
  <c r="Q79" i="17"/>
  <c r="Q81" i="17"/>
  <c r="Q82" i="17"/>
  <c r="Q8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Piazza</author>
    <author>Ryan Hutchins</author>
  </authors>
  <commentList>
    <comment ref="M26" authorId="0" shapeId="0" xr:uid="{449BA600-2563-49F1-9E97-72659655531A}">
      <text>
        <r>
          <rPr>
            <b/>
            <sz val="9"/>
            <color indexed="81"/>
            <rFont val="Tahoma"/>
            <family val="2"/>
          </rPr>
          <t>Joseph Piazza:</t>
        </r>
        <r>
          <rPr>
            <sz val="9"/>
            <color indexed="81"/>
            <rFont val="Tahoma"/>
            <family val="2"/>
          </rPr>
          <t xml:space="preserve">
Brett said 20% - 25% depends on project</t>
        </r>
      </text>
    </comment>
    <comment ref="N63" authorId="1" shapeId="0" xr:uid="{201CDB15-3472-42AE-96EF-AF030B8B6A56}">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Joseph Piazza</author>
    <author>Ryan Hutchins</author>
  </authors>
  <commentList>
    <comment ref="M25" authorId="0" shapeId="0" xr:uid="{9D91C106-3FCC-4510-AAA4-57C0805A45DD}">
      <text>
        <r>
          <rPr>
            <b/>
            <sz val="9"/>
            <color indexed="81"/>
            <rFont val="Tahoma"/>
            <family val="2"/>
          </rPr>
          <t>Joseph Piazza:</t>
        </r>
        <r>
          <rPr>
            <sz val="9"/>
            <color indexed="81"/>
            <rFont val="Tahoma"/>
            <family val="2"/>
          </rPr>
          <t xml:space="preserve">
Brett said 20% - 25% depends on project</t>
        </r>
      </text>
    </comment>
    <comment ref="N62" authorId="1" shapeId="0" xr:uid="{6E5B0766-F830-49A0-A25D-C29FB319B588}">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Joseph Piazza</author>
    <author>Ryan Hutchins</author>
  </authors>
  <commentList>
    <comment ref="M25" authorId="0" shapeId="0" xr:uid="{149F7FC5-214E-426D-A838-983F61BF8648}">
      <text>
        <r>
          <rPr>
            <b/>
            <sz val="9"/>
            <color indexed="81"/>
            <rFont val="Tahoma"/>
            <family val="2"/>
          </rPr>
          <t>Joseph Piazza:</t>
        </r>
        <r>
          <rPr>
            <sz val="9"/>
            <color indexed="81"/>
            <rFont val="Tahoma"/>
            <family val="2"/>
          </rPr>
          <t xml:space="preserve">
Brett said 20% - 25% depends on project</t>
        </r>
      </text>
    </comment>
    <comment ref="N61" authorId="1" shapeId="0" xr:uid="{D39D0BF1-CB9C-4732-B2CE-D558BF1760CF}">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Q90" authorId="0" shapeId="0" xr:uid="{7B5EE004-E5CF-46CE-BB10-C3DD9D7E2650}">
      <text>
        <r>
          <rPr>
            <sz val="11"/>
            <color theme="1"/>
            <rFont val="Calibri"/>
            <family val="2"/>
            <scheme val="minor"/>
          </rPr>
          <t>Claudia Mejias:
o update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M83" authorId="0" shapeId="0" xr:uid="{F48BF79F-7F76-404C-B817-FF3C9384DFF2}">
      <text>
        <r>
          <rPr>
            <sz val="11"/>
            <color theme="1"/>
            <rFont val="Calibri"/>
            <family val="2"/>
            <scheme val="minor"/>
          </rPr>
          <t>Claudia Mejias:
deduct for wood trusses material</t>
        </r>
      </text>
    </comment>
    <comment ref="O83" authorId="0" shapeId="0" xr:uid="{9F463234-2FCB-472F-AF22-BA93CB1D8F2B}">
      <text>
        <r>
          <rPr>
            <sz val="11"/>
            <color theme="1"/>
            <rFont val="Calibri"/>
            <family val="2"/>
            <scheme val="minor"/>
          </rPr>
          <t>Claudia Mejias:
deduct for wood trusses material</t>
        </r>
      </text>
    </comment>
    <comment ref="B90" authorId="0" shapeId="0" xr:uid="{E944007E-0E57-40A7-98E7-0B27F90686B5}">
      <text>
        <r>
          <rPr>
            <sz val="11"/>
            <color theme="1"/>
            <rFont val="Calibri"/>
            <family val="2"/>
            <scheme val="minor"/>
          </rPr>
          <t>Claudia Mejias:
it was previously 9"</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B36" authorId="0" shapeId="0" xr:uid="{BEB5D873-1E9E-4BE0-9447-3B6AAD81E418}">
      <text>
        <r>
          <rPr>
            <sz val="11"/>
            <color theme="1"/>
            <rFont val="Calibri"/>
            <family val="2"/>
            <scheme val="minor"/>
          </rPr>
          <t>Claudia Mejias:
https://acrstonegroup.com/tundrabrick-ashland/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M36" authorId="0" shapeId="0" xr:uid="{FD6AEF3B-44F0-438F-9427-10924D37948A}">
      <text>
        <r>
          <rPr>
            <sz val="11"/>
            <color theme="1"/>
            <rFont val="Calibri"/>
            <family val="2"/>
            <scheme val="minor"/>
          </rPr>
          <t>Claudia Mejias:
their bid - glass railings @ clubhouse</t>
        </r>
      </text>
    </comment>
    <comment ref="B46" authorId="0" shapeId="0" xr:uid="{BEBDA57B-13EE-46CD-A3F9-BB5A2F25BEF9}">
      <text>
        <r>
          <rPr>
            <sz val="11"/>
            <color theme="1"/>
            <rFont val="Calibri"/>
            <family val="2"/>
            <scheme val="minor"/>
          </rPr>
          <t xml:space="preserve">Claudia Mejias:
S2.3.3.3 is showing a balcony slab at the entrance with 5 decorative columns (Gridlines III.18 to III.16)
Architectural floor plans A2.1.3 shows a discrepancy, not showing the slab or the columns but they're seen in the elevations
</t>
        </r>
      </text>
    </comment>
    <comment ref="S65" authorId="0" shapeId="0" xr:uid="{7714122A-EA24-4F00-9401-6E63534794D1}">
      <text>
        <r>
          <rPr>
            <sz val="11"/>
            <color theme="1"/>
            <rFont val="Calibri"/>
            <family val="2"/>
            <scheme val="minor"/>
          </rPr>
          <t>Claudia Mejias:
composite cleanup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K36" authorId="0" shapeId="0" xr:uid="{8746A557-CF4D-4B0E-AE12-A622DCDDCC45}">
      <text>
        <r>
          <rPr>
            <sz val="11"/>
            <color theme="1"/>
            <rFont val="Calibri"/>
            <family val="2"/>
            <scheme val="minor"/>
          </rPr>
          <t>Claudia Mejias:
material comes from HB element quote, installation budget = material price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AX40" authorId="0" shapeId="0" xr:uid="{A4EC629F-B93B-432F-8970-DA821D130895}">
      <text>
        <r>
          <rPr>
            <sz val="11"/>
            <color theme="1"/>
            <rFont val="Calibri"/>
            <family val="2"/>
            <scheme val="minor"/>
          </rPr>
          <t>Claudia Mejias:
x 2 to include installation</t>
        </r>
      </text>
    </comment>
    <comment ref="AX43" authorId="0" shapeId="0" xr:uid="{5B66211C-AEB4-4021-A8C3-7013CC36720B}">
      <text>
        <r>
          <rPr>
            <sz val="11"/>
            <color theme="1"/>
            <rFont val="Calibri"/>
            <family val="2"/>
            <scheme val="minor"/>
          </rPr>
          <t>Claudia Mejias:
x 2 to include installation</t>
        </r>
      </text>
    </comment>
    <comment ref="AX46" authorId="0" shapeId="0" xr:uid="{CDE4D268-B6FE-46AB-8C1F-30B2910E15DA}">
      <text>
        <r>
          <rPr>
            <sz val="11"/>
            <color theme="1"/>
            <rFont val="Calibri"/>
            <family val="2"/>
            <scheme val="minor"/>
          </rPr>
          <t>Claudia Mejias:
x 2 to include installation</t>
        </r>
      </text>
    </comment>
    <comment ref="AX52" authorId="0" shapeId="0" xr:uid="{1C95DCDD-5D96-4374-B385-138DD8366F25}">
      <text>
        <r>
          <rPr>
            <sz val="11"/>
            <color theme="1"/>
            <rFont val="Calibri"/>
            <family val="2"/>
            <scheme val="minor"/>
          </rPr>
          <t>Claudia Mejias:
x 2 to include installation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B39" authorId="0" shapeId="0" xr:uid="{99E41592-ED85-42E6-AFA1-71BF49B8801D}">
      <text>
        <r>
          <rPr>
            <sz val="11"/>
            <color theme="1"/>
            <rFont val="Calibri"/>
            <family val="2"/>
            <scheme val="minor"/>
          </rPr>
          <t>Claudia Mejias:
https://store.pamperhaus.net/products/rattan-cane-webbing-roll-rc07
$20/SF</t>
        </r>
      </text>
    </comment>
    <comment ref="B49" authorId="0" shapeId="0" xr:uid="{518AD933-2C8F-43F6-B6B1-24ADC63136D1}">
      <text>
        <r>
          <rPr>
            <sz val="11"/>
            <color theme="1"/>
            <rFont val="Calibri"/>
            <family val="2"/>
            <scheme val="minor"/>
          </rPr>
          <t>Claudia Mejias:
https://clayimports.com/products/breeze-block-petalo?srsltid=AfmBOoqCE5aJunENcfWYaKGa5BRMvOLWzzskmRrLg0MaL2e6mHJUMX5g</t>
        </r>
      </text>
    </comment>
    <comment ref="K60" authorId="0" shapeId="0" xr:uid="{44D2CB68-2C40-4F46-A2DA-A5E3CBD44B50}">
      <text>
        <r>
          <rPr>
            <sz val="11"/>
            <color theme="1"/>
            <rFont val="Calibri"/>
            <family val="2"/>
            <scheme val="minor"/>
          </rPr>
          <t>Claudia Mejias:
check Liberty Casting Stone</t>
        </r>
      </text>
    </comment>
    <comment ref="F143" authorId="0" shapeId="0" xr:uid="{BD41A832-430B-4D52-86F9-7B4871913290}">
      <text>
        <r>
          <rPr>
            <sz val="11"/>
            <color theme="1"/>
            <rFont val="Calibri"/>
            <family val="2"/>
            <scheme val="minor"/>
          </rPr>
          <t>Claudia Mejias:
see quote for material price, x 2 for install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Claudia Mejias</author>
    <author>Sam Fahmy</author>
  </authors>
  <commentList>
    <comment ref="I34" authorId="0" shapeId="0" xr:uid="{CDD53D1D-641B-4091-B812-0A4F8F29CC21}">
      <text>
        <r>
          <rPr>
            <sz val="11"/>
            <color theme="1"/>
            <rFont val="Calibri"/>
            <family val="2"/>
            <scheme val="minor"/>
          </rPr>
          <t>Claudia Mejias:
added 3 mobilizations</t>
        </r>
      </text>
    </comment>
    <comment ref="I63" authorId="1" shapeId="0" xr:uid="{D4EC5822-7BF1-4D7E-92C3-5686C84EF6C3}">
      <text>
        <r>
          <rPr>
            <b/>
            <sz val="9"/>
            <color indexed="81"/>
            <rFont val="Tahoma"/>
            <family val="2"/>
          </rPr>
          <t>Sam Fahmy:</t>
        </r>
        <r>
          <rPr>
            <sz val="9"/>
            <color indexed="81"/>
            <rFont val="Tahoma"/>
            <family val="2"/>
          </rPr>
          <t xml:space="preserve">
add $19,930 if required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U56" authorId="0" shapeId="0" xr:uid="{3A464BFF-85A5-4B30-9119-0C1994B70D80}">
      <text>
        <r>
          <rPr>
            <sz val="11"/>
            <color theme="1"/>
            <rFont val="Calibri"/>
            <family val="2"/>
            <scheme val="minor"/>
          </rPr>
          <t>Claudia Mejias:
wrong product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W39" authorId="0" shapeId="0" xr:uid="{EDBBE4D8-05E8-4983-9874-1E5AF711CF9D}">
      <text>
        <r>
          <rPr>
            <sz val="11"/>
            <color theme="1"/>
            <rFont val="Calibri"/>
            <family val="2"/>
            <scheme val="minor"/>
          </rPr>
          <t>Claudia Mejias:
savings for 20min?</t>
        </r>
      </text>
    </comment>
    <comment ref="Y39" authorId="0" shapeId="0" xr:uid="{00DA2001-18B3-4175-89D3-1FD419E8F310}">
      <text>
        <r>
          <rPr>
            <sz val="11"/>
            <color theme="1"/>
            <rFont val="Calibri"/>
            <family val="2"/>
            <scheme val="minor"/>
          </rPr>
          <t>Claudia Mejias:
savings for 20min?</t>
        </r>
      </text>
    </comment>
    <comment ref="AC49" authorId="0" shapeId="0" xr:uid="{C4A89858-0A39-4BE4-924B-D43B23261FB7}">
      <text>
        <r>
          <rPr>
            <sz val="11"/>
            <color theme="1"/>
            <rFont val="Calibri"/>
            <family val="2"/>
            <scheme val="minor"/>
          </rPr>
          <t xml:space="preserve">Claudia Mejias:
1 3/8" HC  for LD-02
</t>
        </r>
      </text>
    </comment>
    <comment ref="AA127" authorId="0" shapeId="0" xr:uid="{0C38AFD0-42B6-4362-8046-947C59B38993}">
      <text>
        <r>
          <rPr>
            <sz val="11"/>
            <color theme="1"/>
            <rFont val="Calibri"/>
            <family val="2"/>
            <scheme val="minor"/>
          </rPr>
          <t>Claudia Mejias:
$300 per unit</t>
        </r>
      </text>
    </comment>
    <comment ref="AC127" authorId="0" shapeId="0" xr:uid="{0182610D-3C94-4EE8-93F2-F3DA79A6EC30}">
      <text>
        <r>
          <rPr>
            <sz val="11"/>
            <color theme="1"/>
            <rFont val="Calibri"/>
            <family val="2"/>
            <scheme val="minor"/>
          </rPr>
          <t>Claudia Mejias:
$300 per frame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B41" authorId="0" shapeId="0" xr:uid="{86F15F41-8BC9-4BCF-A87C-E05E5D0F3616}">
      <text>
        <r>
          <rPr>
            <sz val="11"/>
            <color theme="1"/>
            <rFont val="Calibri"/>
            <family val="2"/>
            <scheme val="minor"/>
          </rPr>
          <t>Claudia Mejias:
https://mirrormate.com/products/cherokee-barnwood-mirror-frame?variant=45635754786954</t>
        </r>
      </text>
    </comment>
    <comment ref="B47" authorId="0" shapeId="0" xr:uid="{BE179BF0-5C97-497D-A707-D4F9FA78F97D}">
      <text>
        <r>
          <rPr>
            <sz val="11"/>
            <color theme="1"/>
            <rFont val="Calibri"/>
            <family val="2"/>
            <scheme val="minor"/>
          </rPr>
          <t>Claudia Mejias:
https://www.jossandmain.com/</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W85" authorId="0" shapeId="0" xr:uid="{8B00A213-6FDC-4B36-8861-EF77E32A3C49}">
      <text>
        <r>
          <rPr>
            <sz val="11"/>
            <color theme="1"/>
            <rFont val="Calibri"/>
            <family val="2"/>
            <scheme val="minor"/>
          </rPr>
          <t>Claudia Mejias:
deducted for balcony columns</t>
        </r>
      </text>
    </comment>
    <comment ref="Y85" authorId="0" shapeId="0" xr:uid="{D8576EC0-AD54-4E7C-ADD4-A215D1ED7A3E}">
      <text>
        <r>
          <rPr>
            <sz val="11"/>
            <color theme="1"/>
            <rFont val="Calibri"/>
            <family val="2"/>
            <scheme val="minor"/>
          </rPr>
          <t>Claudia Mejias:
deducted for balcony columns</t>
        </r>
      </text>
    </comment>
    <comment ref="AE85" authorId="0" shapeId="0" xr:uid="{48136DA4-5106-4936-9891-E7D0DC473BB0}">
      <text>
        <r>
          <rPr>
            <sz val="11"/>
            <color theme="1"/>
            <rFont val="Calibri"/>
            <family val="2"/>
            <scheme val="minor"/>
          </rPr>
          <t>Claudia Mejias:
deducted for balcony columns</t>
        </r>
      </text>
    </comment>
    <comment ref="AK85" authorId="0" shapeId="0" xr:uid="{8BB518E7-3034-4C16-BD8B-17D0EFD0FEEC}">
      <text>
        <r>
          <rPr>
            <sz val="11"/>
            <color theme="1"/>
            <rFont val="Calibri"/>
            <family val="2"/>
            <scheme val="minor"/>
          </rPr>
          <t>Claudia Mejias:
deducted for balcony columns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Sam Fahmy</author>
  </authors>
  <commentList>
    <comment ref="S37" authorId="0" shapeId="0" xr:uid="{931C56E0-1140-4767-990F-63C6F2A2BA43}">
      <text>
        <r>
          <rPr>
            <sz val="11"/>
            <color theme="1"/>
            <rFont val="Calibri"/>
            <family val="2"/>
            <scheme val="minor"/>
          </rPr>
          <t xml:space="preserve">Sam Fahmy:
20 GA </t>
        </r>
      </text>
    </comment>
    <comment ref="Q54" authorId="0" shapeId="0" xr:uid="{66D7F07B-9AEA-47C9-8D9B-C1719F9C845C}">
      <text>
        <r>
          <rPr>
            <sz val="11"/>
            <color theme="1"/>
            <rFont val="Calibri"/>
            <family val="2"/>
            <scheme val="minor"/>
          </rPr>
          <t>Sam Fahmy:
Not rigid insulation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Q55" authorId="0" shapeId="0" xr:uid="{B711B990-4EA3-4295-8421-4A09FB30871D}">
      <text>
        <r>
          <rPr>
            <sz val="11"/>
            <color theme="1"/>
            <rFont val="Calibri"/>
            <family val="2"/>
            <scheme val="minor"/>
          </rPr>
          <t>Claudia Mejias:
we need their hard price</t>
        </r>
      </text>
    </comment>
    <comment ref="S55" authorId="0" shapeId="0" xr:uid="{91981BFF-EF9E-4B2A-A032-28A77F93FF93}">
      <text>
        <r>
          <rPr>
            <sz val="11"/>
            <color theme="1"/>
            <rFont val="Calibri"/>
            <family val="2"/>
            <scheme val="minor"/>
          </rPr>
          <t>Claudia Mejias:
we need their hard price</t>
        </r>
      </text>
    </comment>
    <comment ref="Q59" authorId="0" shapeId="0" xr:uid="{3CE62F36-02E6-4553-897D-A4B2205EE118}">
      <text>
        <r>
          <rPr>
            <sz val="11"/>
            <color theme="1"/>
            <rFont val="Calibri"/>
            <family val="2"/>
            <scheme val="minor"/>
          </rPr>
          <t>Claudia Mejias:
t units main traffic areas</t>
        </r>
      </text>
    </comment>
    <comment ref="S59" authorId="0" shapeId="0" xr:uid="{0708A501-3197-43A0-B80B-69C1FAA8540F}">
      <text>
        <r>
          <rPr>
            <sz val="11"/>
            <color theme="1"/>
            <rFont val="Calibri"/>
            <family val="2"/>
            <scheme val="minor"/>
          </rPr>
          <t>Claudia Mejias:
t units main traffic areas</t>
        </r>
      </text>
    </comment>
    <comment ref="AI61" authorId="0" shapeId="0" xr:uid="{1EB220C8-334E-4D40-A6DA-6868F20BE10D}">
      <text>
        <r>
          <rPr>
            <sz val="11"/>
            <color theme="1"/>
            <rFont val="Calibri"/>
            <family val="2"/>
            <scheme val="minor"/>
          </rPr>
          <t>Claudia Mejias:
they have an allowance of $152,045</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N4" authorId="0" shapeId="0" xr:uid="{B853B496-0DA3-448B-863F-4DDAF5BDB26A}">
      <text>
        <r>
          <rPr>
            <sz val="11"/>
            <color theme="1"/>
            <rFont val="Calibri"/>
            <family val="2"/>
            <scheme val="minor"/>
          </rPr>
          <t xml:space="preserve">Claudia Mejias:
</t>
        </r>
      </text>
    </comment>
    <comment ref="D64" authorId="0" shapeId="0" xr:uid="{6E9B5294-3C11-4913-B29B-8421426F40CF}">
      <text>
        <r>
          <rPr>
            <sz val="11"/>
            <color theme="1"/>
            <rFont val="Calibri"/>
            <family val="2"/>
            <scheme val="minor"/>
          </rPr>
          <t>Claudia Mejias:
44 units, 3ft wide, 5 rows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Sam Fahmy</author>
  </authors>
  <commentList>
    <comment ref="O47" authorId="0" shapeId="0" xr:uid="{FDEE5F37-683C-459C-8761-60ED4247B1E9}">
      <text>
        <r>
          <rPr>
            <sz val="11"/>
            <color theme="1"/>
            <rFont val="Calibri"/>
            <family val="2"/>
            <scheme val="minor"/>
          </rPr>
          <t>Sam Fahmy:
Add $12,819 if required</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Sam Fahmy</author>
  </authors>
  <commentList>
    <comment ref="H2" authorId="0" shapeId="0" xr:uid="{1FCABA96-CCDE-420D-AD91-B9FAE7E1A019}">
      <text>
        <r>
          <rPr>
            <sz val="11"/>
            <color theme="1"/>
            <rFont val="Calibri"/>
            <family val="2"/>
            <scheme val="minor"/>
          </rPr>
          <t>Sam Fahmy:
1,000 heads have been added because of the soffits, previously we assume drop ceilings every where 2 heads / room turns to be around 5-6 heads with soffits</t>
        </r>
      </text>
    </comment>
    <comment ref="J2" authorId="0" shapeId="0" xr:uid="{F7EA0CC1-AFEF-45EB-A48C-BDAD7275D9E4}">
      <text>
        <r>
          <rPr>
            <sz val="11"/>
            <color theme="1"/>
            <rFont val="Calibri"/>
            <family val="2"/>
            <scheme val="minor"/>
          </rPr>
          <t>Sam Fahmy:
1,000 heads have been added because of the soffits, previously we assume drop ceilings every where 2 heads / room turns to be around 5-6 heads with soffits</t>
        </r>
      </text>
    </comment>
    <comment ref="P2" authorId="0" shapeId="0" xr:uid="{640C219B-7356-4C83-988E-3ADAC179AACC}">
      <text>
        <r>
          <rPr>
            <sz val="11"/>
            <color theme="1"/>
            <rFont val="Calibri"/>
            <family val="2"/>
            <scheme val="minor"/>
          </rPr>
          <t>Sam Fahmy:
1,000 heads have been added because of the soffits, previously we assume drop ceilings every where 2 heads / room turns to be around 5-6 heads with soffits</t>
        </r>
      </text>
    </comment>
    <comment ref="R2" authorId="0" shapeId="0" xr:uid="{2DA60064-CA81-4AF9-A80A-563A5BEF2B87}">
      <text>
        <r>
          <rPr>
            <sz val="11"/>
            <color theme="1"/>
            <rFont val="Calibri"/>
            <family val="2"/>
            <scheme val="minor"/>
          </rPr>
          <t>Sam Fahmy:
1,000 heads have been added because of the soffits, previously we assume drop ceilings every where 2 heads / room turns to be around 5-6 heads with soffits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Sam Fahmy</author>
  </authors>
  <commentList>
    <comment ref="O42" authorId="0" shapeId="0" xr:uid="{773B9ED9-7DD6-4AB5-A3B6-8493EC823D8C}">
      <text>
        <r>
          <rPr>
            <b/>
            <sz val="9"/>
            <color indexed="81"/>
            <rFont val="Tahoma"/>
            <family val="2"/>
          </rPr>
          <t>Sam Fahmy:</t>
        </r>
        <r>
          <rPr>
            <sz val="9"/>
            <color indexed="81"/>
            <rFont val="Tahoma"/>
            <family val="2"/>
          </rPr>
          <t xml:space="preserve">
alloawnce of $690,000</t>
        </r>
      </text>
    </comment>
    <comment ref="Q42" authorId="0" shapeId="0" xr:uid="{239B6FC6-098D-475D-B374-6B754AFBAB85}">
      <text>
        <r>
          <rPr>
            <sz val="11"/>
            <color theme="1"/>
            <rFont val="Calibri"/>
            <family val="2"/>
            <scheme val="minor"/>
          </rPr>
          <t>Sam Fahmy:
add $673,375 for equal LF or $578,960 VE</t>
        </r>
      </text>
    </comment>
    <comment ref="W42" authorId="0" shapeId="0" xr:uid="{85A816A8-D821-40B7-9B2F-3FEDC8F92AF8}">
      <text>
        <r>
          <rPr>
            <sz val="11"/>
            <color theme="1"/>
            <rFont val="Calibri"/>
            <family val="2"/>
            <scheme val="minor"/>
          </rPr>
          <t>Sam Fahmy:
add $845,000 for LF</t>
        </r>
      </text>
    </comment>
    <comment ref="K65" authorId="0" shapeId="0" xr:uid="{94DC9D47-DAD5-4B01-915D-E1B7DE2DDB64}">
      <text>
        <r>
          <rPr>
            <b/>
            <sz val="9"/>
            <color indexed="81"/>
            <rFont val="Tahoma"/>
            <family val="2"/>
          </rPr>
          <t>Sam Fahmy:</t>
        </r>
        <r>
          <rPr>
            <sz val="9"/>
            <color indexed="81"/>
            <rFont val="Tahoma"/>
            <family val="2"/>
          </rPr>
          <t xml:space="preserve">
add $30,000 if required</t>
        </r>
      </text>
    </comment>
    <comment ref="M65" authorId="0" shapeId="0" xr:uid="{E0F9044F-8E8E-4A6B-A4CA-36C8DEE6049C}">
      <text>
        <r>
          <rPr>
            <b/>
            <sz val="9"/>
            <color indexed="81"/>
            <rFont val="Tahoma"/>
            <family val="2"/>
          </rPr>
          <t>Sam Fahmy:</t>
        </r>
        <r>
          <rPr>
            <sz val="9"/>
            <color indexed="81"/>
            <rFont val="Tahoma"/>
            <family val="2"/>
          </rPr>
          <t xml:space="preserve">
add $30,000 if required</t>
        </r>
      </text>
    </comment>
    <comment ref="O65" authorId="0" shapeId="0" xr:uid="{C71334BA-0249-4857-96C7-9B08DFEA7DC0}">
      <text>
        <r>
          <rPr>
            <b/>
            <sz val="9"/>
            <color indexed="81"/>
            <rFont val="Tahoma"/>
            <family val="2"/>
          </rPr>
          <t>Sam Fahmy:</t>
        </r>
        <r>
          <rPr>
            <sz val="9"/>
            <color indexed="81"/>
            <rFont val="Tahoma"/>
            <family val="2"/>
          </rPr>
          <t xml:space="preserve">
Add $32,00 if required</t>
        </r>
      </text>
    </comment>
    <comment ref="Q65" authorId="0" shapeId="0" xr:uid="{CF5B5DE0-5CAA-4BE2-AAE6-566540046B72}">
      <text>
        <r>
          <rPr>
            <b/>
            <sz val="9"/>
            <color indexed="81"/>
            <rFont val="Tahoma"/>
            <family val="2"/>
          </rPr>
          <t>Sam Fahmy:</t>
        </r>
        <r>
          <rPr>
            <sz val="9"/>
            <color indexed="81"/>
            <rFont val="Tahoma"/>
            <family val="2"/>
          </rPr>
          <t xml:space="preserve">
Add $32,00 if required</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Sam Fahmy</author>
  </authors>
  <commentList>
    <comment ref="I25" authorId="0" shapeId="0" xr:uid="{EDBC15C5-C401-43DB-A624-D44D911A5FC7}">
      <text>
        <r>
          <rPr>
            <sz val="11"/>
            <color theme="1"/>
            <rFont val="Calibri"/>
            <family val="2"/>
            <scheme val="minor"/>
          </rPr>
          <t>Sam Fahmy:
they includes 7 buildings</t>
        </r>
      </text>
    </comment>
    <comment ref="Q28" authorId="0" shapeId="0" xr:uid="{F31081C3-F6BF-4AFA-AF14-EAB511830605}">
      <text>
        <r>
          <rPr>
            <sz val="11"/>
            <color theme="1"/>
            <rFont val="Calibri"/>
            <family val="2"/>
            <scheme val="minor"/>
          </rPr>
          <t>Sam Fahmy:
in Electrica scope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Sam Fahmy</author>
  </authors>
  <commentList>
    <comment ref="K45" authorId="0" shapeId="0" xr:uid="{20411FEC-0302-41EA-9AAD-F221A96CFE32}">
      <text>
        <r>
          <rPr>
            <sz val="11"/>
            <color theme="1"/>
            <rFont val="Calibri"/>
            <family val="2"/>
            <scheme val="minor"/>
          </rPr>
          <t>Sam Fahmy:
700 fobs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Safwat Fahmy</author>
  </authors>
  <commentList>
    <comment ref="AC160" authorId="0" shapeId="0" xr:uid="{89463A84-C176-4597-9BB3-ED831DB0E703}">
      <text>
        <r>
          <rPr>
            <b/>
            <sz val="9"/>
            <color indexed="81"/>
            <rFont val="Tahoma"/>
            <family val="2"/>
          </rPr>
          <t>Safwat Fahmy:</t>
        </r>
        <r>
          <rPr>
            <sz val="9"/>
            <color indexed="81"/>
            <rFont val="Tahoma"/>
            <family val="2"/>
          </rPr>
          <t xml:space="preserve">
add $4750 if required</t>
        </r>
      </text>
    </comment>
    <comment ref="AC163" authorId="0" shapeId="0" xr:uid="{34FB21F3-D75D-4EE3-8C53-305565461720}">
      <text>
        <r>
          <rPr>
            <b/>
            <sz val="9"/>
            <color indexed="81"/>
            <rFont val="Tahoma"/>
            <family val="2"/>
          </rPr>
          <t>Safwat Fahmy:</t>
        </r>
        <r>
          <rPr>
            <sz val="9"/>
            <color indexed="81"/>
            <rFont val="Tahoma"/>
            <family val="2"/>
          </rPr>
          <t xml:space="preserve">
add $18,000 if required</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B34" authorId="0" shapeId="0" xr:uid="{80854367-D7E2-4EE0-BB9B-6E8FF427FD9B}">
      <text>
        <r>
          <rPr>
            <sz val="11"/>
            <color theme="1"/>
            <rFont val="Calibri"/>
            <family val="2"/>
            <scheme val="minor"/>
          </rPr>
          <t>Claudia Mejias:
https://www.theparkcatalog.com/9-bike-wave-rack-black-powder-coat-1-7-8-o-d</t>
        </r>
      </text>
    </comment>
    <comment ref="K40" authorId="0" shapeId="0" xr:uid="{1A7CB0DA-CF19-4B1D-8BAD-4B2801AD6DDD}">
      <text>
        <r>
          <rPr>
            <sz val="11"/>
            <color theme="1"/>
            <rFont val="Calibri"/>
            <family val="2"/>
            <scheme val="minor"/>
          </rPr>
          <t>Claudia Mejias:
included with Scarborough bench</t>
        </r>
      </text>
    </comment>
    <comment ref="B46" authorId="0" shapeId="0" xr:uid="{84E5A889-0A91-4454-B90C-C4252BFDA78D}">
      <text>
        <r>
          <rPr>
            <sz val="11"/>
            <color theme="1"/>
            <rFont val="Calibri"/>
            <family val="2"/>
            <scheme val="minor"/>
          </rPr>
          <t>Claudia Mejias:
https://www.theparkcatalog.com/</t>
        </r>
      </text>
    </comment>
    <comment ref="K48" authorId="0" shapeId="0" xr:uid="{22F6376A-343B-4991-BE4C-AABF126FBAB4}">
      <text>
        <r>
          <rPr>
            <sz val="11"/>
            <color theme="1"/>
            <rFont val="Calibri"/>
            <family val="2"/>
            <scheme val="minor"/>
          </rPr>
          <t>Claudia Mejias:
Adventure Playground System</t>
        </r>
      </text>
    </comment>
    <comment ref="B52" authorId="0" shapeId="0" xr:uid="{B1F8DDEF-4DDD-40A7-A6CF-83B068E40CA0}">
      <text>
        <r>
          <rPr>
            <sz val="11"/>
            <color theme="1"/>
            <rFont val="Calibri"/>
            <family val="2"/>
            <scheme val="minor"/>
          </rPr>
          <t>Claudia Mejias:
Rep for GameTime
Dominica Recreation Products
Longwood, FL 32752
Phone: 800-432-0162
Fax: (407) 331-4720
https://playdrp.com/request-a-quote/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O39" authorId="0" shapeId="0" xr:uid="{039E3B70-7E2C-4A08-B159-270A90B36002}">
      <text>
        <r>
          <rPr>
            <sz val="11"/>
            <color theme="1"/>
            <rFont val="Calibri"/>
            <family val="2"/>
            <scheme val="minor"/>
          </rPr>
          <t>Claudia Mejias:
From Coastal</t>
        </r>
      </text>
    </comment>
    <comment ref="Q39" authorId="0" shapeId="0" xr:uid="{406EB3D3-5B43-4941-9D6E-57A6537C48D3}">
      <text>
        <r>
          <rPr>
            <sz val="11"/>
            <color theme="1"/>
            <rFont val="Calibri"/>
            <family val="2"/>
            <scheme val="minor"/>
          </rPr>
          <t>Claudia Mejias:
From Coastal</t>
        </r>
      </text>
    </comment>
    <comment ref="O41" authorId="0" shapeId="0" xr:uid="{7E7BD2EF-74C7-47B0-B25A-A04FD9415675}">
      <text>
        <r>
          <rPr>
            <sz val="11"/>
            <color theme="1"/>
            <rFont val="Calibri"/>
            <family val="2"/>
            <scheme val="minor"/>
          </rPr>
          <t>Claudia Mejias:
From Coastal</t>
        </r>
      </text>
    </comment>
    <comment ref="Q41" authorId="0" shapeId="0" xr:uid="{2610A226-2E7A-42B1-99BF-780F6923A2E4}">
      <text>
        <r>
          <rPr>
            <sz val="11"/>
            <color theme="1"/>
            <rFont val="Calibri"/>
            <family val="2"/>
            <scheme val="minor"/>
          </rPr>
          <t>Claudia Mejias:
From Coastal</t>
        </r>
      </text>
    </comment>
  </commentList>
</comments>
</file>

<file path=xl/sharedStrings.xml><?xml version="1.0" encoding="utf-8"?>
<sst xmlns="http://schemas.openxmlformats.org/spreadsheetml/2006/main" count="37949" uniqueCount="4333">
  <si>
    <t>PROJECT AREA CALCULATIONS</t>
  </si>
  <si>
    <t>BU1</t>
  </si>
  <si>
    <t>BU2</t>
  </si>
  <si>
    <t>BU3</t>
  </si>
  <si>
    <t>BU4</t>
  </si>
  <si>
    <t>Total</t>
  </si>
  <si>
    <t>Alton Hilltop Gardens</t>
  </si>
  <si>
    <t>Gross (sf)</t>
  </si>
  <si>
    <t>Gross R (sf)</t>
  </si>
  <si>
    <t>Gross T (sf)</t>
  </si>
  <si>
    <t>FORMULA OFF GCS</t>
  </si>
  <si>
    <t>EFF.</t>
  </si>
  <si>
    <t>Garage (sf)</t>
  </si>
  <si>
    <t xml:space="preserve">Construction Design </t>
  </si>
  <si>
    <t>RSF</t>
  </si>
  <si>
    <t>Units</t>
  </si>
  <si>
    <t>Bedrooms</t>
  </si>
  <si>
    <t>Site (acres)</t>
  </si>
  <si>
    <t>Bathrooms</t>
  </si>
  <si>
    <t>Parking Spaces</t>
  </si>
  <si>
    <t>CH</t>
  </si>
  <si>
    <t>01   Bid set</t>
  </si>
  <si>
    <t>Duration (months)</t>
  </si>
  <si>
    <t>BU Type l</t>
  </si>
  <si>
    <t>Stories</t>
  </si>
  <si>
    <t>QTY.</t>
  </si>
  <si>
    <t>l.</t>
  </si>
  <si>
    <t>Levels</t>
  </si>
  <si>
    <t>SF</t>
  </si>
  <si>
    <t>BOH</t>
  </si>
  <si>
    <t>Corridors</t>
  </si>
  <si>
    <t>Balconies</t>
  </si>
  <si>
    <t>Stairs</t>
  </si>
  <si>
    <t>Gross SF</t>
  </si>
  <si>
    <t>%</t>
  </si>
  <si>
    <t>Building Type l</t>
  </si>
  <si>
    <t>St1</t>
  </si>
  <si>
    <t>A1 - 1 bed/1 bath</t>
  </si>
  <si>
    <t>A2 - 1 bed/1 bath</t>
  </si>
  <si>
    <t>B1- M - 1 bed/1 bath</t>
  </si>
  <si>
    <t>B2- M - 1 bed/1 bath</t>
  </si>
  <si>
    <t>A3(C2 MOD) - 1 bed/1 bath</t>
  </si>
  <si>
    <t>B1</t>
  </si>
  <si>
    <t>B2</t>
  </si>
  <si>
    <t>B2.1</t>
  </si>
  <si>
    <t>C1 - 2 bed/2 bath</t>
  </si>
  <si>
    <t>C2 - 2 bed/2 bath</t>
  </si>
  <si>
    <t>C3 2 bd /2 bath</t>
  </si>
  <si>
    <t>D1 - 3 bed/2 bath</t>
  </si>
  <si>
    <t>Amenity/ Maintenance</t>
  </si>
  <si>
    <t>Stair Towers</t>
  </si>
  <si>
    <t>TOTALs</t>
  </si>
  <si>
    <t>Av</t>
  </si>
  <si>
    <t>AV ALL</t>
  </si>
  <si>
    <t>BU Type ll</t>
  </si>
  <si>
    <t>ll.</t>
  </si>
  <si>
    <t>Building type ll</t>
  </si>
  <si>
    <t>B1 M - 1 bed/1 bath</t>
  </si>
  <si>
    <t>B2 M - 1 bed/1 bath</t>
  </si>
  <si>
    <t>lll.</t>
  </si>
  <si>
    <t>Bed rooms</t>
  </si>
  <si>
    <t>Building type lll</t>
  </si>
  <si>
    <t>balconies</t>
  </si>
  <si>
    <t>Core</t>
  </si>
  <si>
    <t>lV.</t>
  </si>
  <si>
    <t>Maint.</t>
  </si>
  <si>
    <t>Building type 1</t>
  </si>
  <si>
    <t>A3 - 1 bed/1 bath</t>
  </si>
  <si>
    <t>B1 - 2 bed/2 bath</t>
  </si>
  <si>
    <t>B2 - 2 bed/2 bath</t>
  </si>
  <si>
    <t>B3 2 bd /2 bath</t>
  </si>
  <si>
    <t>B4 2 bd /2 bath</t>
  </si>
  <si>
    <t>C1 - 3 bed/2 bath</t>
  </si>
  <si>
    <t>C2 3 bd//2 bath</t>
  </si>
  <si>
    <t>Parking</t>
  </si>
  <si>
    <t xml:space="preserve">Total </t>
  </si>
  <si>
    <t>Total AC SF</t>
  </si>
  <si>
    <t>Typ1  Garages</t>
  </si>
  <si>
    <t>Typ2  Garages</t>
  </si>
  <si>
    <t>Surface Parking</t>
  </si>
  <si>
    <t>Clubhouse</t>
  </si>
  <si>
    <t>Door calculation</t>
  </si>
  <si>
    <t>Entry Door</t>
  </si>
  <si>
    <t>F1 Bedroom Barn Door</t>
  </si>
  <si>
    <t>F2  Bedroom Barn Door</t>
  </si>
  <si>
    <t>C1  Bedroom Swing Door</t>
  </si>
  <si>
    <t>Bathroom Door</t>
  </si>
  <si>
    <t>WIC</t>
  </si>
  <si>
    <t>Closet Double Door</t>
  </si>
  <si>
    <t>Linen Closet</t>
  </si>
  <si>
    <t>Den Double
F1 Barn Door</t>
  </si>
  <si>
    <t>Single 
F2 Barn Door</t>
  </si>
  <si>
    <t>Laundry</t>
  </si>
  <si>
    <t>AC</t>
  </si>
  <si>
    <t>B1 Den</t>
  </si>
  <si>
    <t>B2 Den</t>
  </si>
  <si>
    <t>Item</t>
  </si>
  <si>
    <t>Multi Family</t>
  </si>
  <si>
    <t>Hilltop</t>
  </si>
  <si>
    <t>Dofference</t>
  </si>
  <si>
    <t>Notes</t>
  </si>
  <si>
    <t>Eartwork Import Fill to the required elevation</t>
  </si>
  <si>
    <t>Increase of 24,000 CY for import for pads and increase of 45,000 CY to  balance the whole site</t>
  </si>
  <si>
    <t>LiFt station</t>
  </si>
  <si>
    <t>Usr Muncibility lift Stataion ILO private one</t>
  </si>
  <si>
    <t>Landscaping (17.5 Acres)</t>
  </si>
  <si>
    <t>Usualy the price /Acre is around 65k-75k/ Acre Hilltop is 155k/Acre</t>
  </si>
  <si>
    <t>Facades decorative items</t>
  </si>
  <si>
    <t>Adde decorative columns, brakets and Rafter tails</t>
  </si>
  <si>
    <t xml:space="preserve">Hedrick Brothers Construction </t>
  </si>
  <si>
    <t xml:space="preserve">Performance / Payment Bond </t>
  </si>
  <si>
    <t xml:space="preserve">General Construction </t>
  </si>
  <si>
    <t xml:space="preserve">Design Build </t>
  </si>
  <si>
    <t>Contract Value</t>
  </si>
  <si>
    <t>Cost Summary</t>
  </si>
  <si>
    <t>Allowances</t>
  </si>
  <si>
    <t>NO.</t>
  </si>
  <si>
    <t>DESCRIPTION</t>
  </si>
  <si>
    <t>VALUE</t>
  </si>
  <si>
    <t xml:space="preserve">Allowance for Luxer System </t>
  </si>
  <si>
    <t>Allowance for Elevator cab finishes</t>
  </si>
  <si>
    <t>Allowance for Clubhouse glass railing (MTL-1 and GL-1 as per ID)</t>
  </si>
  <si>
    <t>Allowance for Plumbing Fixtures</t>
  </si>
  <si>
    <t>Allowance Electrical Fixtures</t>
  </si>
  <si>
    <t xml:space="preserve"> Allowance for Electrical and Water Consumptions (Allowance)</t>
  </si>
  <si>
    <t>Allowance for unit entry wall tile</t>
  </si>
  <si>
    <t>Allowance for 30 steel bollards</t>
  </si>
  <si>
    <t>Allowance for clubhouse roller shades</t>
  </si>
  <si>
    <t>*All ALLOWANCES IN BID TABS MUST BE LISTED HERE</t>
  </si>
  <si>
    <t>Alternates</t>
  </si>
  <si>
    <t xml:space="preserve">Markup </t>
  </si>
  <si>
    <t>ALT. #1</t>
  </si>
  <si>
    <t>ALT. #2</t>
  </si>
  <si>
    <t>Add for aluminum abrasive stair nosings</t>
  </si>
  <si>
    <t>ALT. #3</t>
  </si>
  <si>
    <t>Add Corrosion -Resistance Coating for the HVAC equipment</t>
  </si>
  <si>
    <t>ALT. #4</t>
  </si>
  <si>
    <t>Add for intumescent paint at steel columns ilo drywall wrap</t>
  </si>
  <si>
    <t>ALT. #5</t>
  </si>
  <si>
    <t>Add Vibro replacement</t>
  </si>
  <si>
    <t>ALT. #6</t>
  </si>
  <si>
    <t xml:space="preserve">Add for Solarban </t>
  </si>
  <si>
    <t>ALT. #7</t>
  </si>
  <si>
    <t>Add for original Caesarstone Calacatta Nuvo 3151</t>
  </si>
  <si>
    <t xml:space="preserve">Contract Reference </t>
  </si>
  <si>
    <t>General Condition Ref.</t>
  </si>
  <si>
    <t>Miami Vertice Riverside</t>
  </si>
  <si>
    <t xml:space="preserve">Construction </t>
  </si>
  <si>
    <t xml:space="preserve">Activity </t>
  </si>
  <si>
    <t xml:space="preserve">Start </t>
  </si>
  <si>
    <t xml:space="preserve">Finish </t>
  </si>
  <si>
    <t>Days</t>
  </si>
  <si>
    <t xml:space="preserve">Weeks </t>
  </si>
  <si>
    <t xml:space="preserve">Months </t>
  </si>
  <si>
    <t>% Time</t>
  </si>
  <si>
    <t xml:space="preserve">Remarks </t>
  </si>
  <si>
    <t>Demo to building pad</t>
  </si>
  <si>
    <t xml:space="preserve">Close Out </t>
  </si>
  <si>
    <t>General Conditions</t>
  </si>
  <si>
    <t>General Req. - Field Office</t>
  </si>
  <si>
    <t>General Req.</t>
  </si>
  <si>
    <t>Building</t>
  </si>
  <si>
    <t xml:space="preserve">Description </t>
  </si>
  <si>
    <t>Qty.</t>
  </si>
  <si>
    <t>U</t>
  </si>
  <si>
    <t xml:space="preserve">Unit </t>
  </si>
  <si>
    <t>Const.</t>
  </si>
  <si>
    <t xml:space="preserve">General </t>
  </si>
  <si>
    <t>LABOR RATE                  FY 2025               *Updated 09.26.24</t>
  </si>
  <si>
    <t>LABOR RATE (MIAMI/FT. LAUDERDALE)</t>
  </si>
  <si>
    <t>LABOR RATE (MF CENTRAL FLORIDA)</t>
  </si>
  <si>
    <t xml:space="preserve">Cost </t>
  </si>
  <si>
    <t>Cond.</t>
  </si>
  <si>
    <t>Req.</t>
  </si>
  <si>
    <t xml:space="preserve">Field Labor - Construction </t>
  </si>
  <si>
    <t xml:space="preserve">Project Executive </t>
  </si>
  <si>
    <t>wks</t>
  </si>
  <si>
    <t>Senior Project Manager</t>
  </si>
  <si>
    <t>Project Manager - Level 3</t>
  </si>
  <si>
    <t>Project Manager - Level 2</t>
  </si>
  <si>
    <t>Project Manager - Level 1</t>
  </si>
  <si>
    <t>Project Administator</t>
  </si>
  <si>
    <t>Project Accountant</t>
  </si>
  <si>
    <t xml:space="preserve">Assistant Project Manager </t>
  </si>
  <si>
    <t>General Superintendent</t>
  </si>
  <si>
    <t>Superintendent - Level 3</t>
  </si>
  <si>
    <t>Superintendent - Level 2</t>
  </si>
  <si>
    <t>Superintendent - Level 1</t>
  </si>
  <si>
    <t>Assistant Superinterndent</t>
  </si>
  <si>
    <t>Quality Control Manager</t>
  </si>
  <si>
    <t>Foreman</t>
  </si>
  <si>
    <t xml:space="preserve"> </t>
  </si>
  <si>
    <t xml:space="preserve">Accounting </t>
  </si>
  <si>
    <t xml:space="preserve">VDC Manager </t>
  </si>
  <si>
    <t>Safety Supervisor/Inspector</t>
  </si>
  <si>
    <t xml:space="preserve">Field Labor - Close Out </t>
  </si>
  <si>
    <t xml:space="preserve">Project Coordinator </t>
  </si>
  <si>
    <t xml:space="preserve">Field Office - Contractor </t>
  </si>
  <si>
    <t>Field Office Set Up / Removal - Double Wide</t>
  </si>
  <si>
    <t>ea</t>
  </si>
  <si>
    <t>`</t>
  </si>
  <si>
    <t>Field Office - Double Wide</t>
  </si>
  <si>
    <t>mos</t>
  </si>
  <si>
    <t>Field Office Set Up / Removal - Single Wide</t>
  </si>
  <si>
    <t>WILLSCOT 4/16/2024 (36x10 mobile office)</t>
  </si>
  <si>
    <t>Field Office - Single Wide</t>
  </si>
  <si>
    <t>Field Office Set Up / Removal - Connex</t>
  </si>
  <si>
    <t>$</t>
  </si>
  <si>
    <t>WILLSCOT 20' COMBO W/10' OFFICE</t>
  </si>
  <si>
    <t>Field Office - Conex</t>
  </si>
  <si>
    <t>Connect Telephone Lines</t>
  </si>
  <si>
    <t xml:space="preserve">Telephone </t>
  </si>
  <si>
    <t>Cellular Telephones</t>
  </si>
  <si>
    <t>In labor rates</t>
  </si>
  <si>
    <t xml:space="preserve">Furniture </t>
  </si>
  <si>
    <t>ls</t>
  </si>
  <si>
    <t>Office Supplies</t>
  </si>
  <si>
    <t>Drinking Water</t>
  </si>
  <si>
    <t>Janitor Supplies/Cleaning</t>
  </si>
  <si>
    <t>Software Charge</t>
  </si>
  <si>
    <t>.25% of GMP Total</t>
  </si>
  <si>
    <t xml:space="preserve">Computers </t>
  </si>
  <si>
    <t xml:space="preserve">Printers </t>
  </si>
  <si>
    <t>Copy Machine</t>
  </si>
  <si>
    <t xml:space="preserve">Alarm System </t>
  </si>
  <si>
    <t xml:space="preserve">Installation Office Equip. </t>
  </si>
  <si>
    <t xml:space="preserve">Storage Trailers Set Up / Removal </t>
  </si>
  <si>
    <t>willscot 40' trailer</t>
  </si>
  <si>
    <t xml:space="preserve">Storage Trailers </t>
  </si>
  <si>
    <t>Rate - $1200 ea. per month</t>
  </si>
  <si>
    <t xml:space="preserve">Field Office - Owner </t>
  </si>
  <si>
    <t xml:space="preserve">Field Office Set Up / Removal </t>
  </si>
  <si>
    <t xml:space="preserve">assume not required </t>
  </si>
  <si>
    <t xml:space="preserve">Field Office </t>
  </si>
  <si>
    <t>Telephone</t>
  </si>
  <si>
    <t>Janitor Supplies</t>
  </si>
  <si>
    <t>Fax Machine</t>
  </si>
  <si>
    <t>Temporary Utilities</t>
  </si>
  <si>
    <t xml:space="preserve">Temp. Electrical Service </t>
  </si>
  <si>
    <t>by elect sub</t>
  </si>
  <si>
    <t>Temp. Electrical - Const. Phase</t>
  </si>
  <si>
    <t>Allowance</t>
  </si>
  <si>
    <t>Temp.  Electrical - Operate Phase</t>
  </si>
  <si>
    <t xml:space="preserve">by owner </t>
  </si>
  <si>
    <t>Temp. Wiring &amp; Lighting</t>
  </si>
  <si>
    <t>sf</t>
  </si>
  <si>
    <t xml:space="preserve">by elect sub </t>
  </si>
  <si>
    <t>Temporary Water - Service</t>
  </si>
  <si>
    <t xml:space="preserve">Temporary Water  </t>
  </si>
  <si>
    <t>Temporary Toilets</t>
  </si>
  <si>
    <t>04/15/2024 united site services</t>
  </si>
  <si>
    <t xml:space="preserve">Temporary Toilet Set Up / Removal </t>
  </si>
  <si>
    <t>Temporary Washing Station</t>
  </si>
  <si>
    <t xml:space="preserve">Temporary Washing Station Set Up / Removal </t>
  </si>
  <si>
    <t>Temporary Holding Tanks</t>
  </si>
  <si>
    <t xml:space="preserve">Temporary Ventilation </t>
  </si>
  <si>
    <t xml:space="preserve">Temporary Cooling </t>
  </si>
  <si>
    <t xml:space="preserve">Equipment </t>
  </si>
  <si>
    <t xml:space="preserve">Small Tools </t>
  </si>
  <si>
    <t xml:space="preserve">Equipment Rental </t>
  </si>
  <si>
    <t>Engineering Instruments</t>
  </si>
  <si>
    <t xml:space="preserve">Security </t>
  </si>
  <si>
    <t>Temporary Fence - 6' Post Driven w/ windscreen</t>
  </si>
  <si>
    <t>lf</t>
  </si>
  <si>
    <t>rent national 4/15/2024</t>
  </si>
  <si>
    <t>Temporary Fence - 8' Post Driven w/ windscreen</t>
  </si>
  <si>
    <t>Temporary Fence - 6' Panels w/ windscreen</t>
  </si>
  <si>
    <t>Temporary Fence - 8' Panels w/ windscreen</t>
  </si>
  <si>
    <t>Temporary Fence - Gates 8'x24'</t>
  </si>
  <si>
    <t xml:space="preserve">Temporary Fence Maintain </t>
  </si>
  <si>
    <t>Security Service</t>
  </si>
  <si>
    <t>Additional Safety Material/Modifications</t>
  </si>
  <si>
    <t>Protection Floor &amp; Roof Openings</t>
  </si>
  <si>
    <t>Protection Existing Floors &amp; Walls</t>
  </si>
  <si>
    <t>Protection Service Elevator</t>
  </si>
  <si>
    <t>Temporary Enclosures</t>
  </si>
  <si>
    <t>Temporary Ladders</t>
  </si>
  <si>
    <t>Building Barricades</t>
  </si>
  <si>
    <t>Site Barricades</t>
  </si>
  <si>
    <t xml:space="preserve">Fire Protection </t>
  </si>
  <si>
    <t>First Aid</t>
  </si>
  <si>
    <t xml:space="preserve">Drug Testing </t>
  </si>
  <si>
    <t xml:space="preserve">Cleaning </t>
  </si>
  <si>
    <t>Trash Removal - 10yd dumpsters</t>
  </si>
  <si>
    <t>4/15/2024 Coastal Waste *see 02 10 Site Prep</t>
  </si>
  <si>
    <t>Trash Removal - 20yd dumpsters</t>
  </si>
  <si>
    <t>Trash Removal - 30yd dumpsters</t>
  </si>
  <si>
    <t xml:space="preserve">Trash Removal - Field Offices </t>
  </si>
  <si>
    <t xml:space="preserve">General Building Cleaning </t>
  </si>
  <si>
    <t xml:space="preserve">Final Building Clean </t>
  </si>
  <si>
    <t>add different categories - check with operations</t>
  </si>
  <si>
    <t xml:space="preserve">Services </t>
  </si>
  <si>
    <t xml:space="preserve">CMP Schedule - Set Up </t>
  </si>
  <si>
    <t>Call Assaf Newmark (Spectrum Consulting) to confirm 404-819-4663</t>
  </si>
  <si>
    <t>CPM Schedule - Updates (Standard Reports)</t>
  </si>
  <si>
    <t>Call Assaf Newmark (Spectrum Consulting) to confirm 404-819-4664</t>
  </si>
  <si>
    <t>CPM Schedule - Updates (Bifurcated Reports)</t>
  </si>
  <si>
    <t>Call Assaf Newmark (Spectrum Consulting) to confirm 404-819-4665</t>
  </si>
  <si>
    <t>Progress Photos Bldg. - Ground</t>
  </si>
  <si>
    <t>Progress Photos Bldg. - Aerial</t>
  </si>
  <si>
    <t>Video - Existing Conditions</t>
  </si>
  <si>
    <t xml:space="preserve">Video - Owner O&amp;M Demo. </t>
  </si>
  <si>
    <t>Legal</t>
  </si>
  <si>
    <t xml:space="preserve">Drawings </t>
  </si>
  <si>
    <t>As Built Survey</t>
  </si>
  <si>
    <t xml:space="preserve">As Built Drawings </t>
  </si>
  <si>
    <t>Plan/Copy Expense</t>
  </si>
  <si>
    <t>Postage - USPS</t>
  </si>
  <si>
    <t>Postage - Fed-X</t>
  </si>
  <si>
    <t xml:space="preserve">Testing </t>
  </si>
  <si>
    <t xml:space="preserve">Concrete Testing </t>
  </si>
  <si>
    <t>by owner</t>
  </si>
  <si>
    <t xml:space="preserve">Steel Testing </t>
  </si>
  <si>
    <t>Special Inspectors</t>
  </si>
  <si>
    <t xml:space="preserve">Permits </t>
  </si>
  <si>
    <t xml:space="preserve">Building Permits </t>
  </si>
  <si>
    <t>Impact Fees</t>
  </si>
  <si>
    <t>Trailer Permits</t>
  </si>
  <si>
    <t>Off Site Permits</t>
  </si>
  <si>
    <t>Travel</t>
  </si>
  <si>
    <t>Airfare</t>
  </si>
  <si>
    <t>round trip</t>
  </si>
  <si>
    <t>Hotel</t>
  </si>
  <si>
    <t>per night</t>
  </si>
  <si>
    <t>2 nights</t>
  </si>
  <si>
    <t>Per Diem</t>
  </si>
  <si>
    <t>per day</t>
  </si>
  <si>
    <t xml:space="preserve">Other </t>
  </si>
  <si>
    <t xml:space="preserve">Project Sign </t>
  </si>
  <si>
    <t xml:space="preserve">Temporary Parking </t>
  </si>
  <si>
    <t>Legal Notices</t>
  </si>
  <si>
    <t>Total GCs</t>
  </si>
  <si>
    <t>Total GRs</t>
  </si>
  <si>
    <t>Total GCs &amp; GRs</t>
  </si>
  <si>
    <t>per month</t>
  </si>
  <si>
    <t>Per Diem Joe Caliando</t>
  </si>
  <si>
    <t>Alton Hilltop Gardens - Permit Set - General Conditions/Requirements Summary</t>
  </si>
  <si>
    <t> </t>
  </si>
  <si>
    <t xml:space="preserve"> Activity  </t>
  </si>
  <si>
    <t xml:space="preserve"> Start  </t>
  </si>
  <si>
    <t xml:space="preserve"> Finish  </t>
  </si>
  <si>
    <t xml:space="preserve"> Days </t>
  </si>
  <si>
    <t xml:space="preserve"> Weeks  </t>
  </si>
  <si>
    <t xml:space="preserve"> Months  </t>
  </si>
  <si>
    <t xml:space="preserve"> % Time </t>
  </si>
  <si>
    <t xml:space="preserve"> Remarks  </t>
  </si>
  <si>
    <t xml:space="preserve"> Construction  </t>
  </si>
  <si>
    <t xml:space="preserve"> Close Out  </t>
  </si>
  <si>
    <t xml:space="preserve"> General Conditions </t>
  </si>
  <si>
    <t xml:space="preserve"> General Req. - Field Office </t>
  </si>
  <si>
    <t xml:space="preserve"> General Req. </t>
  </si>
  <si>
    <t xml:space="preserve"> Total  </t>
  </si>
  <si>
    <t xml:space="preserve"> Unit  </t>
  </si>
  <si>
    <t xml:space="preserve"> Const. </t>
  </si>
  <si>
    <t xml:space="preserve"> General  </t>
  </si>
  <si>
    <t xml:space="preserve"> Cost  </t>
  </si>
  <si>
    <t xml:space="preserve"> Cond. </t>
  </si>
  <si>
    <t xml:space="preserve"> Req. </t>
  </si>
  <si>
    <t xml:space="preserve"> $                              -  </t>
  </si>
  <si>
    <t xml:space="preserve"> $             -  </t>
  </si>
  <si>
    <t xml:space="preserve"> $                         -  </t>
  </si>
  <si>
    <t xml:space="preserve"> ` </t>
  </si>
  <si>
    <t xml:space="preserve"> $                    -  </t>
  </si>
  <si>
    <t xml:space="preserve"> WILLSCOT 4/16/2024 (36x10 mobile office) </t>
  </si>
  <si>
    <t xml:space="preserve"> $ </t>
  </si>
  <si>
    <t xml:space="preserve"> WILLSCOT 20' COMBO W/10' OFFICE </t>
  </si>
  <si>
    <t xml:space="preserve"> $                       -  </t>
  </si>
  <si>
    <t xml:space="preserve"> In labor rates </t>
  </si>
  <si>
    <t xml:space="preserve"> .25% of GMP Total </t>
  </si>
  <si>
    <t xml:space="preserve"> willscot 40' trailer </t>
  </si>
  <si>
    <t xml:space="preserve"> Rate - $1200 ea. per month </t>
  </si>
  <si>
    <t xml:space="preserve"> $                     -  </t>
  </si>
  <si>
    <t xml:space="preserve"> by elect sub </t>
  </si>
  <si>
    <t xml:space="preserve"> Allowance </t>
  </si>
  <si>
    <t xml:space="preserve"> by owner  </t>
  </si>
  <si>
    <t xml:space="preserve"> by elect sub  </t>
  </si>
  <si>
    <t xml:space="preserve"> 04/15/2024 united site services </t>
  </si>
  <si>
    <t xml:space="preserve"> rent national 4/15/2024 </t>
  </si>
  <si>
    <t xml:space="preserve"> 4/15/2024 Coastal Waste *see 02 10 Site Prep </t>
  </si>
  <si>
    <t xml:space="preserve"> Call Assaf Newmark (Spectrum Consulting) to confirm 404-819-4663 </t>
  </si>
  <si>
    <t xml:space="preserve"> Call Assaf Newmark (Spectrum Consulting) to confirm 404-819-4664 </t>
  </si>
  <si>
    <t xml:space="preserve"> Call Assaf Newmark (Spectrum Consulting) to confirm 404-819-4665 </t>
  </si>
  <si>
    <t xml:space="preserve"> by owner </t>
  </si>
  <si>
    <t xml:space="preserve"> Total GCs </t>
  </si>
  <si>
    <t xml:space="preserve"> Total GRs </t>
  </si>
  <si>
    <t xml:space="preserve"> Total GCs &amp; GRs </t>
  </si>
  <si>
    <t>Hedrick Brothers Construction Co., Inc.</t>
  </si>
  <si>
    <t>Salaries and Burden Calculations</t>
  </si>
  <si>
    <t>As of 8/22/24</t>
  </si>
  <si>
    <t xml:space="preserve">MARK-UP </t>
  </si>
  <si>
    <t xml:space="preserve"> Burdened Rate </t>
  </si>
  <si>
    <t xml:space="preserve"> Mark-up  </t>
  </si>
  <si>
    <t>Proj Exec</t>
  </si>
  <si>
    <t>Sr PM</t>
  </si>
  <si>
    <t>PM 2</t>
  </si>
  <si>
    <t>PM 1</t>
  </si>
  <si>
    <t>Proj Admin</t>
  </si>
  <si>
    <t>Proj Acct</t>
  </si>
  <si>
    <t>Asst PM</t>
  </si>
  <si>
    <t>Gen Supt</t>
  </si>
  <si>
    <t>Supt 3</t>
  </si>
  <si>
    <t>Supt 2</t>
  </si>
  <si>
    <t>Supt 1</t>
  </si>
  <si>
    <t>Asst Supt</t>
  </si>
  <si>
    <t>QC</t>
  </si>
  <si>
    <t>Acctg</t>
  </si>
  <si>
    <t>VDC</t>
  </si>
  <si>
    <t>Safety</t>
  </si>
  <si>
    <t>Labor</t>
  </si>
  <si>
    <t>Apprentice</t>
  </si>
  <si>
    <t>Carpenter</t>
  </si>
  <si>
    <t>Driver</t>
  </si>
  <si>
    <t>Leadman</t>
  </si>
  <si>
    <t>Supt MEP</t>
  </si>
  <si>
    <t xml:space="preserve"> $           -  </t>
  </si>
  <si>
    <t>PM 3</t>
  </si>
  <si>
    <t>Cons Mgr</t>
  </si>
  <si>
    <t>Proj Coor</t>
  </si>
  <si>
    <t>Mktg</t>
  </si>
  <si>
    <t>Bus Dev</t>
  </si>
  <si>
    <t>Chief, 3 &amp; 2</t>
  </si>
  <si>
    <t>Coord &amp; Jrs</t>
  </si>
  <si>
    <t>Exec Asst</t>
  </si>
  <si>
    <t>COST ESTIMATE (ROM)</t>
  </si>
  <si>
    <t>Rev. 3 dated 03/19/26</t>
  </si>
  <si>
    <t>GMP Estimate</t>
  </si>
  <si>
    <t>Duration</t>
  </si>
  <si>
    <t>Total Apartment Buildings</t>
  </si>
  <si>
    <t xml:space="preserve">Site </t>
  </si>
  <si>
    <t>Garage</t>
  </si>
  <si>
    <t>B</t>
  </si>
  <si>
    <t>(A-B)</t>
  </si>
  <si>
    <t>CSI</t>
  </si>
  <si>
    <t>CSI DESCRIPTION</t>
  </si>
  <si>
    <t>TOTAL</t>
  </si>
  <si>
    <t>$ /GSF</t>
  </si>
  <si>
    <t>$ /RSF</t>
  </si>
  <si>
    <t>$ /UNIT</t>
  </si>
  <si>
    <t>GRAND TOTAL</t>
  </si>
  <si>
    <t>No. of Proposals</t>
  </si>
  <si>
    <t>BO Price</t>
  </si>
  <si>
    <t>Savings</t>
  </si>
  <si>
    <t>SUB</t>
  </si>
  <si>
    <t>GMP R2</t>
  </si>
  <si>
    <t>Variance</t>
  </si>
  <si>
    <t>00A</t>
  </si>
  <si>
    <t>Electrical and Water Consumptions (Allowance)</t>
  </si>
  <si>
    <t>01A</t>
  </si>
  <si>
    <t>Surveying</t>
  </si>
  <si>
    <t>01B</t>
  </si>
  <si>
    <t>Materials Testing</t>
  </si>
  <si>
    <t>Excluded</t>
  </si>
  <si>
    <t>01C</t>
  </si>
  <si>
    <t>Site Maintenance / Dumpster / Cleaning</t>
  </si>
  <si>
    <t>02A</t>
  </si>
  <si>
    <t>Demolition</t>
  </si>
  <si>
    <t>03A</t>
  </si>
  <si>
    <t>Concrete (Tunnel Form)</t>
  </si>
  <si>
    <t>03C</t>
  </si>
  <si>
    <t>Architectural Precast</t>
  </si>
  <si>
    <t>04A</t>
  </si>
  <si>
    <t>Masonry</t>
  </si>
  <si>
    <t>in Concrete</t>
  </si>
  <si>
    <t>04B</t>
  </si>
  <si>
    <t>Stone Veneer</t>
  </si>
  <si>
    <t>RFI CD #23, added precast trims</t>
  </si>
  <si>
    <t>05A</t>
  </si>
  <si>
    <t xml:space="preserve">Structural Steel </t>
  </si>
  <si>
    <t>05C</t>
  </si>
  <si>
    <t>Misc. Metals</t>
  </si>
  <si>
    <t>05E</t>
  </si>
  <si>
    <t>Glass Railings</t>
  </si>
  <si>
    <t>05F</t>
  </si>
  <si>
    <t>Brackets &amp; Rafter Tails</t>
  </si>
  <si>
    <t>05G</t>
  </si>
  <si>
    <t>Balcony Columns</t>
  </si>
  <si>
    <t>Moved to Drywall &amp; Stucco</t>
  </si>
  <si>
    <t>06A</t>
  </si>
  <si>
    <t>Rough Carpentry</t>
  </si>
  <si>
    <t>Added grout for HMF</t>
  </si>
  <si>
    <t>06C</t>
  </si>
  <si>
    <t>Wood Trusses</t>
  </si>
  <si>
    <t>more competitive proposal</t>
  </si>
  <si>
    <t>06D</t>
  </si>
  <si>
    <t>Interior Finish Cabinetry</t>
  </si>
  <si>
    <t>06F</t>
  </si>
  <si>
    <t>Millwork</t>
  </si>
  <si>
    <t>07B</t>
  </si>
  <si>
    <t>Building Insulation</t>
  </si>
  <si>
    <t>07C</t>
  </si>
  <si>
    <t>Fireproofing &amp; Firestopping</t>
  </si>
  <si>
    <t>07D</t>
  </si>
  <si>
    <t>Roofing</t>
  </si>
  <si>
    <t>07E</t>
  </si>
  <si>
    <t>Caulking &amp; Waterproofing</t>
  </si>
  <si>
    <t>08A</t>
  </si>
  <si>
    <t>Doors, Frames, &amp; Hardware</t>
  </si>
  <si>
    <t xml:space="preserve">Panel entry door as per RFI </t>
  </si>
  <si>
    <t>08B</t>
  </si>
  <si>
    <t>Overhead Coiling Doors</t>
  </si>
  <si>
    <t>08C</t>
  </si>
  <si>
    <t>Glass and Glazing</t>
  </si>
  <si>
    <t>08E</t>
  </si>
  <si>
    <t>Mirrors</t>
  </si>
  <si>
    <t>09A</t>
  </si>
  <si>
    <t>Stucco</t>
  </si>
  <si>
    <t>Balcony columns, no net increase</t>
  </si>
  <si>
    <t>09B</t>
  </si>
  <si>
    <t>Drywall / Framing</t>
  </si>
  <si>
    <t>09E</t>
  </si>
  <si>
    <t xml:space="preserve">Flooring </t>
  </si>
  <si>
    <t xml:space="preserve">Kast RFI for shower surround and kitchen backsplash material </t>
  </si>
  <si>
    <t>09I</t>
  </si>
  <si>
    <t>Painting</t>
  </si>
  <si>
    <t>Talbot/CF</t>
  </si>
  <si>
    <t>10A</t>
  </si>
  <si>
    <t>Signage</t>
  </si>
  <si>
    <t>10C</t>
  </si>
  <si>
    <t>Bath Accessories / Signs / Fire Extinguishers</t>
  </si>
  <si>
    <t>10D</t>
  </si>
  <si>
    <t xml:space="preserve">Shower enclosures </t>
  </si>
  <si>
    <t>10J</t>
  </si>
  <si>
    <t>Postal Specialties</t>
  </si>
  <si>
    <t>10K</t>
  </si>
  <si>
    <t>MDF Shelving</t>
  </si>
  <si>
    <t>Removed shelf towers at W.I.C as per Kolter instruction</t>
  </si>
  <si>
    <t>11C</t>
  </si>
  <si>
    <t>Appliances</t>
  </si>
  <si>
    <t>12A</t>
  </si>
  <si>
    <t>Window Treatment</t>
  </si>
  <si>
    <t>12B</t>
  </si>
  <si>
    <t>Residential Cabinets and Countertops</t>
  </si>
  <si>
    <t>13B</t>
  </si>
  <si>
    <t>Swimming Pool</t>
  </si>
  <si>
    <t>13C</t>
  </si>
  <si>
    <t>Awnings, Canopies, Bahama Shutters</t>
  </si>
  <si>
    <t>14A</t>
  </si>
  <si>
    <t>Elevators</t>
  </si>
  <si>
    <t>14B</t>
  </si>
  <si>
    <t>Chutes &amp; Collectors</t>
  </si>
  <si>
    <t>21A</t>
  </si>
  <si>
    <t>Fire Sprinkler</t>
  </si>
  <si>
    <t>22A</t>
  </si>
  <si>
    <t>Plumbing</t>
  </si>
  <si>
    <t>Plumbing Fixtures</t>
  </si>
  <si>
    <t>Plumbing Units Submeters</t>
  </si>
  <si>
    <t>23A</t>
  </si>
  <si>
    <t>HVAC</t>
  </si>
  <si>
    <t>26A</t>
  </si>
  <si>
    <t xml:space="preserve">Electrical </t>
  </si>
  <si>
    <t>26B</t>
  </si>
  <si>
    <t>Light Fixtures</t>
  </si>
  <si>
    <t xml:space="preserve">Included </t>
  </si>
  <si>
    <t>26C</t>
  </si>
  <si>
    <t>Generators</t>
  </si>
  <si>
    <t>27A</t>
  </si>
  <si>
    <t>Fire Alarm</t>
  </si>
  <si>
    <t>Included</t>
  </si>
  <si>
    <t>27B</t>
  </si>
  <si>
    <t>BDA System</t>
  </si>
  <si>
    <t>28A</t>
  </si>
  <si>
    <t>Low Voltage</t>
  </si>
  <si>
    <t>Joy</t>
  </si>
  <si>
    <t>28B</t>
  </si>
  <si>
    <t>Access Control</t>
  </si>
  <si>
    <t>Included in LV</t>
  </si>
  <si>
    <t>Moved to line above</t>
  </si>
  <si>
    <t>31A</t>
  </si>
  <si>
    <t>Sitework</t>
  </si>
  <si>
    <t>Congress off site work and remove organic material  as per Geotech report</t>
  </si>
  <si>
    <t>31D</t>
  </si>
  <si>
    <t>Soil Improvements</t>
  </si>
  <si>
    <t>32A</t>
  </si>
  <si>
    <t>Pavers</t>
  </si>
  <si>
    <t>32B</t>
  </si>
  <si>
    <t>Site Furnishings</t>
  </si>
  <si>
    <t>Increased allowance to cover wood deck platform and BBQ grills as per Kast RFIs</t>
  </si>
  <si>
    <t>32C</t>
  </si>
  <si>
    <t>Landscape and Irrigation</t>
  </si>
  <si>
    <t>32D</t>
  </si>
  <si>
    <t>Fencing</t>
  </si>
  <si>
    <t>Moved entry gates to LV contractor</t>
  </si>
  <si>
    <t xml:space="preserve"> SUB-TOTAL 1 (Cost of Work)Building</t>
  </si>
  <si>
    <t>GC Contingency</t>
  </si>
  <si>
    <t>Owner Contingency</t>
  </si>
  <si>
    <t>By Owner</t>
  </si>
  <si>
    <t>Escalation Contingency</t>
  </si>
  <si>
    <t xml:space="preserve"> SUB-TOTAL 2 (Contingency)</t>
  </si>
  <si>
    <t>General Requirements</t>
  </si>
  <si>
    <t>Builders Risk Insurance &amp; Deductibles</t>
  </si>
  <si>
    <t>Difference in OCIP  Insurance Program (Allowance)</t>
  </si>
  <si>
    <t>Subcontractor Default Insurance</t>
  </si>
  <si>
    <t>Warranty</t>
  </si>
  <si>
    <t>General Liability Insurance</t>
  </si>
  <si>
    <t>Difference in Coverage (DIC)</t>
  </si>
  <si>
    <t>SUB-TOTAL 3 (Bonds, Insurances, &amp; GC's)</t>
  </si>
  <si>
    <t>GC Fee (OH&amp;P)</t>
  </si>
  <si>
    <t>Credit Pre-Construction  Fees</t>
  </si>
  <si>
    <t xml:space="preserve">ESTIMATE TOTAL </t>
  </si>
  <si>
    <t>POTENTIAL VALUE ANALYSIS ITEMS SAVINGS GOALS</t>
  </si>
  <si>
    <t>Buyout 3%</t>
  </si>
  <si>
    <t>Buyout 4%</t>
  </si>
  <si>
    <t xml:space="preserve">  </t>
  </si>
  <si>
    <t>Buyout 5%</t>
  </si>
  <si>
    <t>Buyout 6%</t>
  </si>
  <si>
    <t>ESTIMATE TOTAL w/ VA Items</t>
  </si>
  <si>
    <t>ESTIMATE TOTAL w/ VA Items &amp; 3% BO</t>
  </si>
  <si>
    <t>ESTIMATE TOTAL w/ VA Items &amp; 4% BO</t>
  </si>
  <si>
    <t>ESTIMATE TOTAL w/ VA Items &amp; 5% BO</t>
  </si>
  <si>
    <t>ESTIMATE TOTAL w/ VA Items &amp; 6% BO</t>
  </si>
  <si>
    <t>Performance &amp; Payment Bond</t>
  </si>
  <si>
    <t xml:space="preserve">GROSS MARGIN </t>
  </si>
  <si>
    <t>COST %</t>
  </si>
  <si>
    <t>COST $</t>
  </si>
  <si>
    <t>BILLED</t>
  </si>
  <si>
    <t>MARGIN</t>
  </si>
  <si>
    <t xml:space="preserve">POTENTIAL BUYOUT SAVINGS </t>
  </si>
  <si>
    <t>GENERAL CONDITIONS</t>
  </si>
  <si>
    <t>SDI</t>
  </si>
  <si>
    <t>Pe-Con Fee</t>
  </si>
  <si>
    <t>FEE</t>
  </si>
  <si>
    <t>Hedrick Plug</t>
  </si>
  <si>
    <t>X</t>
  </si>
  <si>
    <t>BACK TO SUMMARY SHEET</t>
  </si>
  <si>
    <t>I</t>
  </si>
  <si>
    <t>Bidder 1</t>
  </si>
  <si>
    <t>Bidder 2</t>
  </si>
  <si>
    <t>Bidder 3</t>
  </si>
  <si>
    <t>Bidder 4</t>
  </si>
  <si>
    <t>Bidder5</t>
  </si>
  <si>
    <t>Bidder6</t>
  </si>
  <si>
    <t xml:space="preserve">Project: </t>
  </si>
  <si>
    <t>Company</t>
  </si>
  <si>
    <t>HB Construction</t>
  </si>
  <si>
    <t xml:space="preserve">Trade:   </t>
  </si>
  <si>
    <t>IDS Services</t>
  </si>
  <si>
    <t>Contact</t>
  </si>
  <si>
    <t>Butch Carmichael</t>
  </si>
  <si>
    <t xml:space="preserve">CSI Code:   </t>
  </si>
  <si>
    <t>Phone</t>
  </si>
  <si>
    <t>561-225-4868</t>
  </si>
  <si>
    <t xml:space="preserve">Date: </t>
  </si>
  <si>
    <t xml:space="preserve">Email </t>
  </si>
  <si>
    <t xml:space="preserve"> &lt;bcarmichael@hedrickbrothers.com&gt;</t>
  </si>
  <si>
    <t>Adjusted Bid</t>
  </si>
  <si>
    <t>BID DOCUMENTS:</t>
  </si>
  <si>
    <t>Plan/ Spec. Package</t>
  </si>
  <si>
    <t>QTY</t>
  </si>
  <si>
    <t>U/M</t>
  </si>
  <si>
    <t>Unit Cost</t>
  </si>
  <si>
    <t>Subtotal</t>
  </si>
  <si>
    <t>Yes/No</t>
  </si>
  <si>
    <t>Price</t>
  </si>
  <si>
    <t>Plans By Division</t>
  </si>
  <si>
    <t>P</t>
  </si>
  <si>
    <t>Survey</t>
  </si>
  <si>
    <t>OCIP Insurance per exhibit</t>
  </si>
  <si>
    <t>GENERAL INCLUSIONS</t>
  </si>
  <si>
    <t>INCLUDES ALL SALES TAX</t>
  </si>
  <si>
    <t>ALL HOISTING &amp; RIGGING REQUIRED TO COMPLETE THIS SCOPE</t>
  </si>
  <si>
    <t>PROVIDE P&amp;P BONDS</t>
  </si>
  <si>
    <t>FLORIDA STATE CONTRACTORS LIC.</t>
  </si>
  <si>
    <t>GENERAL LIABILITY AND WORKERS COMP. INSURANCE LIMITS</t>
  </si>
  <si>
    <t>STATE AND LOCAL TAXES</t>
  </si>
  <si>
    <t>SPECIFIC TRADE SCOPE OF WORK REQUIREMENTS</t>
  </si>
  <si>
    <t>BASE BID</t>
  </si>
  <si>
    <t>EA</t>
  </si>
  <si>
    <t>Pre-construction Modeling/BIM Execution Plan Meetings</t>
  </si>
  <si>
    <t>BIM Execution Plan Meeting including writing of BEP</t>
  </si>
  <si>
    <t>i</t>
  </si>
  <si>
    <t>Initial Jobsite Visit</t>
  </si>
  <si>
    <t>x</t>
  </si>
  <si>
    <t>Model Architectural</t>
  </si>
  <si>
    <t>Model Structural</t>
  </si>
  <si>
    <t>Model Mechanical/HVAC</t>
  </si>
  <si>
    <t>Model Plumbing</t>
  </si>
  <si>
    <t>Model Electrical</t>
  </si>
  <si>
    <t>Model Fire Sprinkler</t>
  </si>
  <si>
    <t>Model Civil</t>
  </si>
  <si>
    <t>Model FF&amp;E</t>
  </si>
  <si>
    <t>Pre-construction - Digital Scanning</t>
  </si>
  <si>
    <t>Drone Mapping</t>
  </si>
  <si>
    <t>Laser Scan of Existing Building after Demo</t>
  </si>
  <si>
    <t>Photos of Existing Furniture to be Modeled</t>
  </si>
  <si>
    <t>Pre-construction - BIM Coordination Meetings/ Clash Meetings</t>
  </si>
  <si>
    <t>Coordination/ Clash Meetings</t>
  </si>
  <si>
    <t>Modification of Architectural Model</t>
  </si>
  <si>
    <t>Modification of Structural Model</t>
  </si>
  <si>
    <t>Modification of Mechanical/HVAC Model</t>
  </si>
  <si>
    <t>Modification of Plumbing Model</t>
  </si>
  <si>
    <t>Modification of Electrical Model</t>
  </si>
  <si>
    <t>Modification of Fire Sprinkler Model</t>
  </si>
  <si>
    <t>Modification of Civil Model</t>
  </si>
  <si>
    <t>Modification of FF&amp;E Model</t>
  </si>
  <si>
    <t>Construction - BIM Coordination Meetings/ Clash Meetings</t>
  </si>
  <si>
    <t>As-Built Digital Scanning</t>
  </si>
  <si>
    <t>Pre-Drywall Laser Scan</t>
  </si>
  <si>
    <t>Laser Scan to Verify Installation</t>
  </si>
  <si>
    <t>Closeout Documents/ As-Builts</t>
  </si>
  <si>
    <t>Link RFIs to Model</t>
  </si>
  <si>
    <t>Link Submittals to Model</t>
  </si>
  <si>
    <t>Link O&amp;M Documents to Model</t>
  </si>
  <si>
    <t>Link Warranties &amp; Guarantees to Model</t>
  </si>
  <si>
    <t>Additional Services</t>
  </si>
  <si>
    <t>Additional Jobsite Visits</t>
  </si>
  <si>
    <t>Interior Renderings</t>
  </si>
  <si>
    <t>Exterior Renderings</t>
  </si>
  <si>
    <t>3D Fly Through</t>
  </si>
  <si>
    <t>4D Simulation</t>
  </si>
  <si>
    <t>VR Presentations</t>
  </si>
  <si>
    <t>Full Virtual Tour</t>
  </si>
  <si>
    <t>Site Logistics</t>
  </si>
  <si>
    <t>5D Quantity Take-Off</t>
  </si>
  <si>
    <t>Space Planning</t>
  </si>
  <si>
    <t>Other:</t>
  </si>
  <si>
    <t>SUBTOTAL</t>
  </si>
  <si>
    <t>BOND RATE</t>
  </si>
  <si>
    <t>BOND AMOUNT</t>
  </si>
  <si>
    <t xml:space="preserve">ADJUSTED TOTAL </t>
  </si>
  <si>
    <t>Cost per SF</t>
  </si>
  <si>
    <t>Cost per Unit</t>
  </si>
  <si>
    <t>QUALIFICATIONS</t>
  </si>
  <si>
    <t>EXCLUSIONS/OWNER PROVIDED ITEMS:</t>
  </si>
  <si>
    <t>ALTERNATES:</t>
  </si>
  <si>
    <t>PROPOSED VE (Provide Clear Description):</t>
  </si>
  <si>
    <t>FULLY LOADED LABOR RATES</t>
  </si>
  <si>
    <t>Laborer</t>
  </si>
  <si>
    <t>Mechanic</t>
  </si>
  <si>
    <t>Superintendent</t>
  </si>
  <si>
    <t>Project Manager</t>
  </si>
  <si>
    <t xml:space="preserve">SCHEDULE </t>
  </si>
  <si>
    <t>Prepared shop drawings/submittals</t>
  </si>
  <si>
    <t>Mobilization</t>
  </si>
  <si>
    <t>Total duration to complete scope of work</t>
  </si>
  <si>
    <t>Winner</t>
  </si>
  <si>
    <t>Base Bid</t>
  </si>
  <si>
    <t>Need Prequalification</t>
  </si>
  <si>
    <t>Prequalified</t>
  </si>
  <si>
    <t>HB</t>
  </si>
  <si>
    <t>Caulffield &amp; Wheeler</t>
  </si>
  <si>
    <t>Renee Watson</t>
  </si>
  <si>
    <t>estimates@cwiassoc.com</t>
  </si>
  <si>
    <t>COMPASS</t>
  </si>
  <si>
    <t>Residential Building 1</t>
  </si>
  <si>
    <t>Residential Building 2</t>
  </si>
  <si>
    <t>Residential Building 3</t>
  </si>
  <si>
    <t>Site</t>
  </si>
  <si>
    <t>Buildings</t>
  </si>
  <si>
    <t>Material Testing</t>
  </si>
  <si>
    <t>Site Maintenance</t>
  </si>
  <si>
    <t>Final Cleaning</t>
  </si>
  <si>
    <t xml:space="preserve">Construction fence </t>
  </si>
  <si>
    <t>LF</t>
  </si>
  <si>
    <t>Construction gates</t>
  </si>
  <si>
    <t>Maintenance during construction</t>
  </si>
  <si>
    <t>LS</t>
  </si>
  <si>
    <t xml:space="preserve"> Street Maintenance &amp; Cleaning</t>
  </si>
  <si>
    <t>Misc. Street Sweeping</t>
  </si>
  <si>
    <t>Concrete Wash-out</t>
  </si>
  <si>
    <t>Construction waste removal / recycle</t>
  </si>
  <si>
    <t>Temp Fire Protection - Temp Holding Tanks (5) ea</t>
  </si>
  <si>
    <t>Month</t>
  </si>
  <si>
    <t>Temp Fire Protection - Fill</t>
  </si>
  <si>
    <t>Dumpster</t>
  </si>
  <si>
    <t>Labors</t>
  </si>
  <si>
    <t>Floor Protections</t>
  </si>
  <si>
    <t xml:space="preserve">MOT </t>
  </si>
  <si>
    <t>Safety rails, Penetration Covers &amp; Maintenance of rails</t>
  </si>
  <si>
    <t>Abatement</t>
  </si>
  <si>
    <t>02B</t>
  </si>
  <si>
    <t>BO</t>
  </si>
  <si>
    <t>Bidder2</t>
  </si>
  <si>
    <t>Bidder 5</t>
  </si>
  <si>
    <t>Bidder 6</t>
  </si>
  <si>
    <t>Formcrete</t>
  </si>
  <si>
    <t>Starlite</t>
  </si>
  <si>
    <t>StarliteR1</t>
  </si>
  <si>
    <t>KD</t>
  </si>
  <si>
    <t>Concrete</t>
  </si>
  <si>
    <t xml:space="preserve">Mujo </t>
  </si>
  <si>
    <t>Sean Williams</t>
  </si>
  <si>
    <t>Eduardo Garay</t>
  </si>
  <si>
    <t>954-609-8102</t>
  </si>
  <si>
    <t>561-719-7607</t>
  </si>
  <si>
    <t>954-344-4515</t>
  </si>
  <si>
    <t>maksu@formcrete.net</t>
  </si>
  <si>
    <t>&lt;SeWilliams@starlitebuild.com&gt;</t>
  </si>
  <si>
    <t>egaray@kdconstruction.us</t>
  </si>
  <si>
    <t>{1%}</t>
  </si>
  <si>
    <t>COMPASS PREQUALIFIED</t>
  </si>
  <si>
    <t>PREQUALIFICATION SCORE</t>
  </si>
  <si>
    <t>SINGLE PROJECT LIMIT</t>
  </si>
  <si>
    <t xml:space="preserve">Water table 7ft - </t>
  </si>
  <si>
    <t>Residential Buildings</t>
  </si>
  <si>
    <t>Garages</t>
  </si>
  <si>
    <t>Maintenance Building</t>
  </si>
  <si>
    <t>Pool Pavilion</t>
  </si>
  <si>
    <t>Precast litel aove windows</t>
  </si>
  <si>
    <t>Monument sign</t>
  </si>
  <si>
    <t>Main gates and fence columns (11)</t>
  </si>
  <si>
    <t>C3.01, C3.04</t>
  </si>
  <si>
    <t>FPL Transformer concrete Pad (2)</t>
  </si>
  <si>
    <t>C3.01,3,4,56</t>
  </si>
  <si>
    <t>Footings for sun shades and seating area</t>
  </si>
  <si>
    <t>Site Trellis footings (4) footings</t>
  </si>
  <si>
    <t>C3.01</t>
  </si>
  <si>
    <t>Pool cabana footings (5x4) 20 Footings</t>
  </si>
  <si>
    <t>C3.03, 5</t>
  </si>
  <si>
    <t>Sun shelter footings (4) footings</t>
  </si>
  <si>
    <t>C3.06</t>
  </si>
  <si>
    <t>Structure slab at building 5</t>
  </si>
  <si>
    <t>Site Bollards</t>
  </si>
  <si>
    <t>Clubhouse platform</t>
  </si>
  <si>
    <t>Compsite wood platform at pool area footings</t>
  </si>
  <si>
    <t>Excavation for footings, layout and batter boards, formwork</t>
  </si>
  <si>
    <t>Reinf., as scheduled/detailed</t>
  </si>
  <si>
    <t>S2.1.2</t>
  </si>
  <si>
    <t>CIP Footings 5000 PSI</t>
  </si>
  <si>
    <t>S1.0, S2.1.1</t>
  </si>
  <si>
    <t>Excavation for SOG, compaction, termite treatment and vapor barrier (15mil)</t>
  </si>
  <si>
    <t>S1.0</t>
  </si>
  <si>
    <t>6" SOG 3000 PSI, WWF 6x6-W1.4xW1.4</t>
  </si>
  <si>
    <t>S2.3.2</t>
  </si>
  <si>
    <t>6" Tunnel Walls 5000PSI</t>
  </si>
  <si>
    <t>S4.1.1</t>
  </si>
  <si>
    <t>CIP Elevated slabs 6", 7" 5000 PSI</t>
  </si>
  <si>
    <t>PL-1 Precast Lintels (assumed above windows and doors)</t>
  </si>
  <si>
    <t>11/S2.1.2,S3.1.3</t>
  </si>
  <si>
    <t>Concrete beams as per schedule</t>
  </si>
  <si>
    <t>S3.3.1</t>
  </si>
  <si>
    <t>Concrete columns at Building Type II</t>
  </si>
  <si>
    <t>Concert Curbs at Roof level</t>
  </si>
  <si>
    <t>CIP Stairs w/ nosing</t>
  </si>
  <si>
    <t>Concrete caps</t>
  </si>
  <si>
    <t>S3.1.3</t>
  </si>
  <si>
    <t>Control joints at slab, columns</t>
  </si>
  <si>
    <t>G/S3.1.4, F,G,H/S3.1.5</t>
  </si>
  <si>
    <t>Install and fill with grout all door frames in  masonry walls</t>
  </si>
  <si>
    <t>Steel</t>
  </si>
  <si>
    <t>Steel columns ST-1 4"X4"x1/4" w / head plates 12"x12"x3/4"</t>
  </si>
  <si>
    <t>Balcony steel columns</t>
  </si>
  <si>
    <t>For fireproofing of structural steel members see architectural drawings</t>
  </si>
  <si>
    <t>Layout</t>
  </si>
  <si>
    <t>12" CMU walls at balconies and corridors</t>
  </si>
  <si>
    <t>8" CMU walls at balconies and corridors</t>
  </si>
  <si>
    <t>Ladder wire/Rebars/Horizontal Reinf.</t>
  </si>
  <si>
    <t>Filled cells with Grout 3000 PSI</t>
  </si>
  <si>
    <t>Installation and grout door frames</t>
  </si>
  <si>
    <t xml:space="preserve">Installation of roof trusses </t>
  </si>
  <si>
    <t>Furnish and install 5/8" CDX FR plywood sheathing</t>
  </si>
  <si>
    <t>All require ply wood for soffits and facia</t>
  </si>
  <si>
    <t>4" SOG 3000 PSI, WWF 6x6-W1.4xW1.4</t>
  </si>
  <si>
    <t xml:space="preserve">CIP Second floor slabs to be 8" 6000 PSI, reinforced w/ #5@12" O.C </t>
  </si>
  <si>
    <t>S2.CH.2</t>
  </si>
  <si>
    <t>Structural steel columns - no schedule or location provided</t>
  </si>
  <si>
    <t>1I/S1.0</t>
  </si>
  <si>
    <t>CMU Walls</t>
  </si>
  <si>
    <t>Allowance: 1 ton of reinforcing steel per building</t>
  </si>
  <si>
    <t>3L/S1.0</t>
  </si>
  <si>
    <t>ton</t>
  </si>
  <si>
    <r>
      <rPr>
        <sz val="10"/>
        <color rgb="FF000000"/>
        <rFont val="Arial"/>
        <family val="2"/>
      </rPr>
      <t>Wood columns for balconies</t>
    </r>
    <r>
      <rPr>
        <sz val="10"/>
        <color rgb="FFFF0000"/>
        <rFont val="Arial"/>
        <family val="2"/>
      </rPr>
      <t xml:space="preserve"> - see 05G Balcony Columns</t>
    </r>
  </si>
  <si>
    <r>
      <rPr>
        <b/>
        <sz val="10"/>
        <color rgb="FF000000"/>
        <rFont val="Arial"/>
        <family val="2"/>
      </rPr>
      <t xml:space="preserve">Site </t>
    </r>
    <r>
      <rPr>
        <i/>
        <sz val="10"/>
        <color rgb="FFFF0000"/>
        <rFont val="Arial"/>
        <family val="2"/>
      </rPr>
      <t>- excluded</t>
    </r>
  </si>
  <si>
    <t>old scope</t>
  </si>
  <si>
    <t>Low CMU Wall w/ CIP Footings</t>
  </si>
  <si>
    <t>SP-6</t>
  </si>
  <si>
    <t xml:space="preserve">1-3/4" Hewn Stone, artic color, cultured stone </t>
  </si>
  <si>
    <t>36" Concrete Footer for Dog Park Sun shelter</t>
  </si>
  <si>
    <t>Concrete pads for Landscape forms benches</t>
  </si>
  <si>
    <t>CMU Pool planters</t>
  </si>
  <si>
    <t>BO Discount</t>
  </si>
  <si>
    <t>UNIT  RATES</t>
  </si>
  <si>
    <t>Bidder1</t>
  </si>
  <si>
    <t>Precast Hollow Core</t>
  </si>
  <si>
    <t>03B</t>
  </si>
  <si>
    <t>Building SF</t>
  </si>
  <si>
    <t>Concrete Tilt Up</t>
  </si>
  <si>
    <t>Structural Precast</t>
  </si>
  <si>
    <t>03D</t>
  </si>
  <si>
    <t>Slabs-psi</t>
  </si>
  <si>
    <t>Under slab vapor barriers-.</t>
  </si>
  <si>
    <t>6" Concrete Slab</t>
  </si>
  <si>
    <t xml:space="preserve">4" Concrete Slab </t>
  </si>
  <si>
    <t xml:space="preserve">Thickend Slab </t>
  </si>
  <si>
    <t>Elevator pit</t>
  </si>
  <si>
    <t>Add for 4000 psi Moisture sensitive concrete</t>
  </si>
  <si>
    <t>Dumpster Enclosure</t>
  </si>
  <si>
    <t>Monument Sign -</t>
  </si>
  <si>
    <t>SLAB-ON-GRADE</t>
  </si>
  <si>
    <t>5"  Slab w/ WWF 6x6 w.2.9xw2.9</t>
  </si>
  <si>
    <t xml:space="preserve">  a. Soil poisoning and pre-treat</t>
  </si>
  <si>
    <t xml:space="preserve">  b. Fine grading building pad</t>
  </si>
  <si>
    <t xml:space="preserve">  d. F&amp;I rebar, as per plans</t>
  </si>
  <si>
    <t xml:space="preserve">  e. F&amp;I wire mesh, as per plans</t>
  </si>
  <si>
    <t xml:space="preserve">  f. 4,000 PSI</t>
  </si>
  <si>
    <t xml:space="preserve">  g. Sawcut constr. / control joints</t>
  </si>
  <si>
    <t xml:space="preserve">  h. Finish slab to FF25/FL17</t>
  </si>
  <si>
    <t xml:space="preserve">  i. Leave out strip, compact</t>
  </si>
  <si>
    <t xml:space="preserve">  j. Patch slab after tilt operations</t>
  </si>
  <si>
    <t xml:space="preserve">  k. Provide curing compound</t>
  </si>
  <si>
    <t xml:space="preserve">TILT-UP WALL PANELS - </t>
  </si>
  <si>
    <t xml:space="preserve">  a. Provide lifting and bracing eng.</t>
  </si>
  <si>
    <t xml:space="preserve">  b. Provide panel shop drawings</t>
  </si>
  <si>
    <t xml:space="preserve">  c. Provide rebar shop drawings</t>
  </si>
  <si>
    <t xml:space="preserve">   1) Structural panel engineering</t>
  </si>
  <si>
    <t xml:space="preserve">   2) Added rebar for panels, as req.</t>
  </si>
  <si>
    <t xml:space="preserve">  d. Form panels to ACI tolerances</t>
  </si>
  <si>
    <t xml:space="preserve">  e. F&amp;I panel inserts, rebar and accessories</t>
  </si>
  <si>
    <t xml:space="preserve">  f. All reveals, recesses, rustif.</t>
  </si>
  <si>
    <t xml:space="preserve">  g. Provide PT at top of panels</t>
  </si>
  <si>
    <t xml:space="preserve">  h. Install Only: HM frames</t>
  </si>
  <si>
    <t xml:space="preserve">  i. Install embeds for struct. steel</t>
  </si>
  <si>
    <t xml:space="preserve">  j. concrete to be 4,000 PSI </t>
  </si>
  <si>
    <t xml:space="preserve">  k. Furnish all panel connections - Corners Only</t>
  </si>
  <si>
    <t xml:space="preserve">  l. Weld all panel connections</t>
  </si>
  <si>
    <t xml:space="preserve">  m. Erection of panels to ACI tol.</t>
  </si>
  <si>
    <t xml:space="preserve">  n. Solid grouting of panels</t>
  </si>
  <si>
    <t xml:space="preserve">  o. Grind, patch, rub-out panels</t>
  </si>
  <si>
    <t xml:space="preserve">  p. Provide brace rental for 28 days</t>
  </si>
  <si>
    <t xml:space="preserve">   1) ADD for additional 28 days</t>
  </si>
  <si>
    <t xml:space="preserve">  q. Install/remove deadmen, as req.</t>
  </si>
  <si>
    <t xml:space="preserve">  r. Provide casting beds, as req.</t>
  </si>
  <si>
    <t xml:space="preserve">  s. Provide leave-out panel for steel erection</t>
  </si>
  <si>
    <t>Total panel concrete</t>
  </si>
  <si>
    <t>Lull for duration of job including - Operator</t>
  </si>
  <si>
    <t xml:space="preserve">Additional dumpsters for casting bed </t>
  </si>
  <si>
    <t>Panel structural engineering</t>
  </si>
  <si>
    <t>Cranes and Hoisting</t>
  </si>
  <si>
    <t>03E</t>
  </si>
  <si>
    <t>Concrete Restoration</t>
  </si>
  <si>
    <t>03F</t>
  </si>
  <si>
    <t xml:space="preserve">Project:   </t>
  </si>
  <si>
    <t>CMU, Incl.: 8" &amp; 12"</t>
  </si>
  <si>
    <t xml:space="preserve">  a. Layout and formwork</t>
  </si>
  <si>
    <t xml:space="preserve">  b. Reinf., as scheduled/detailed</t>
  </si>
  <si>
    <t xml:space="preserve">  c. ?-psi concrete grout; 0.? w/c</t>
  </si>
  <si>
    <t xml:space="preserve">  d. Pumping as required</t>
  </si>
  <si>
    <t xml:space="preserve">  e. Horizontal Reinf.</t>
  </si>
  <si>
    <t xml:space="preserve">  f. Lintels, ladder wire and accessories</t>
  </si>
  <si>
    <t xml:space="preserve">  g. Setting of Joist Embeds &amp; door frames</t>
  </si>
  <si>
    <t xml:space="preserve">  h. Above scope included for:</t>
  </si>
  <si>
    <t xml:space="preserve">      1)</t>
  </si>
  <si>
    <t xml:space="preserve">      2)</t>
  </si>
  <si>
    <t xml:space="preserve">      3)</t>
  </si>
  <si>
    <t>offered the VE</t>
  </si>
  <si>
    <t>working on prefinished</t>
  </si>
  <si>
    <t>VE option stone finish</t>
  </si>
  <si>
    <t>Signature Privacy Walls</t>
  </si>
  <si>
    <t>Perma Cast</t>
  </si>
  <si>
    <t>Wall Way Corporation</t>
  </si>
  <si>
    <t>American Eagle Fence LLC</t>
  </si>
  <si>
    <t>Cast Stone International</t>
  </si>
  <si>
    <t>Nick Solomon</t>
  </si>
  <si>
    <t xml:space="preserve">Chris Borkowski </t>
  </si>
  <si>
    <t>Mohammad Dadullah</t>
  </si>
  <si>
    <t>Jim Foster</t>
  </si>
  <si>
    <t xml:space="preserve">
Patrick Barrera</t>
  </si>
  <si>
    <t xml:space="preserve">727-458-0018  </t>
  </si>
  <si>
    <t>941-415-2665</t>
  </si>
  <si>
    <t>305-888-8998</t>
  </si>
  <si>
    <t xml:space="preserve">850-502-8360 </t>
  </si>
  <si>
    <t>561-227-8684</t>
  </si>
  <si>
    <t xml:space="preserve"> nick@signatureprivacywalls.com</t>
  </si>
  <si>
    <t>&lt;chris@permacastwalls.com&gt;</t>
  </si>
  <si>
    <t xml:space="preserve"> &lt;mdadullah@yahoo.com&gt;</t>
  </si>
  <si>
    <t>jfoster@ameaglefence.com</t>
  </si>
  <si>
    <t>bids@caststoneinternational.com</t>
  </si>
  <si>
    <t>{Not in COMPASS}</t>
  </si>
  <si>
    <t>{Not qualified}</t>
  </si>
  <si>
    <t>{4.0}</t>
  </si>
  <si>
    <t>Property 6' post and panel concrete wall (wall 4-1/2" wide) - 980 LF</t>
  </si>
  <si>
    <t>C3.02, HP 1 of 7</t>
  </si>
  <si>
    <t>{20 ft O.C}</t>
  </si>
  <si>
    <t>{8 ft O.C}</t>
  </si>
  <si>
    <t>{5 ft O.C}</t>
  </si>
  <si>
    <r>
      <rPr>
        <sz val="10"/>
        <color rgb="FF000000"/>
        <rFont val="Arial"/>
      </rPr>
      <t>1' wide x 6' Posts for aluminum fence</t>
    </r>
    <r>
      <rPr>
        <i/>
        <sz val="10"/>
        <color rgb="FFFF0000"/>
        <rFont val="Arial"/>
      </rPr>
      <t xml:space="preserve"> </t>
    </r>
  </si>
  <si>
    <r>
      <rPr>
        <sz val="10"/>
        <color rgb="FF000000"/>
        <rFont val="Arial"/>
        <family val="2"/>
      </rPr>
      <t xml:space="preserve">Stone veneer finish for wall only - Eldorado Marquee </t>
    </r>
    <r>
      <rPr>
        <sz val="10"/>
        <color rgb="FFFF0000"/>
        <rFont val="Arial"/>
        <family val="2"/>
      </rPr>
      <t>BOTH SIDES</t>
    </r>
  </si>
  <si>
    <t>stone finish</t>
  </si>
  <si>
    <t>Add column base stone veneer</t>
  </si>
  <si>
    <t>Remove one side of stone veneer</t>
  </si>
  <si>
    <t>Remove other side of stone veneer</t>
  </si>
  <si>
    <t>Alternate wall prefinished</t>
  </si>
  <si>
    <t>pending scupper price</t>
  </si>
  <si>
    <t>pre-Kast RFI</t>
  </si>
  <si>
    <t>dated 04.24.26</t>
  </si>
  <si>
    <t>dated 04.13.26</t>
  </si>
  <si>
    <t>Titan Stone, LLC</t>
  </si>
  <si>
    <t>Florida Stoneworks LLC</t>
  </si>
  <si>
    <t>Titan Stone R2</t>
  </si>
  <si>
    <t>Liberty Casting Stone</t>
  </si>
  <si>
    <t>JS Plastering</t>
  </si>
  <si>
    <t>Marbon</t>
  </si>
  <si>
    <t>Cast Stone, Stone Veneer</t>
  </si>
  <si>
    <t xml:space="preserve">Matthew Teston </t>
  </si>
  <si>
    <t>Patrick Barrera</t>
  </si>
  <si>
    <t>Steven Fritz</t>
  </si>
  <si>
    <t>Manuel Castillo</t>
  </si>
  <si>
    <t>Paul Vassalotti</t>
  </si>
  <si>
    <t>(954) 662-2553</t>
  </si>
  <si>
    <t>561-625-0333</t>
  </si>
  <si>
    <t>941-217-4040</t>
  </si>
  <si>
    <t>786-260-7895</t>
  </si>
  <si>
    <t xml:space="preserve">561-727-8377 </t>
  </si>
  <si>
    <t>&lt;mteston@titanstone.com&gt;</t>
  </si>
  <si>
    <t>steven.flstone@gmail.com</t>
  </si>
  <si>
    <t xml:space="preserve">wily@libertycastingstone.com </t>
  </si>
  <si>
    <t>manuel@jsplasteringinc.com</t>
  </si>
  <si>
    <t>Paul@marbon.com</t>
  </si>
  <si>
    <t>{2%}</t>
  </si>
  <si>
    <t>{Not Qualified}</t>
  </si>
  <si>
    <t xml:space="preserve">Stone Veneer, Incl.: </t>
  </si>
  <si>
    <t xml:space="preserve">  a. Stone specification - proposed El Dorado Stone Ashland height: 2.5", 7.75"-8", thickness: .688"-.813"</t>
  </si>
  <si>
    <t xml:space="preserve">  b. Labor costs for stocking and installation</t>
  </si>
  <si>
    <t xml:space="preserve">  c. Specified anchors and attachment hardware</t>
  </si>
  <si>
    <t xml:space="preserve">  d. Colored grout?</t>
  </si>
  <si>
    <t xml:space="preserve">  e. Scaffolding and equipment</t>
  </si>
  <si>
    <t xml:space="preserve">  f. Delivery costs</t>
  </si>
  <si>
    <t xml:space="preserve">  g. Sales tax included?</t>
  </si>
  <si>
    <t>Supply and install Stone Veneer  El Dorado Stone Ashland height: 2.5", 7.75"-8", thickness: .688"-.813"</t>
  </si>
  <si>
    <t>Building 1 - entrance and wall return</t>
  </si>
  <si>
    <t>A4.1.2C</t>
  </si>
  <si>
    <t>Building 2 - entrance and wall return</t>
  </si>
  <si>
    <t>A4.2.2C</t>
  </si>
  <si>
    <t>Building 3- entrance and wall return</t>
  </si>
  <si>
    <t>A4.3.2C</t>
  </si>
  <si>
    <t>Building 4 - entrance and wall return</t>
  </si>
  <si>
    <t>A4.4.1C</t>
  </si>
  <si>
    <t>Building 5 - entrance and wall return</t>
  </si>
  <si>
    <t>A4.5.1</t>
  </si>
  <si>
    <t>Building 6 - entrance and wall return</t>
  </si>
  <si>
    <t>A4.6.1C</t>
  </si>
  <si>
    <t>A4.CH.2</t>
  </si>
  <si>
    <t>Stone Veneer Trim</t>
  </si>
  <si>
    <t>KAST PRECON RFI</t>
  </si>
  <si>
    <r>
      <rPr>
        <sz val="11"/>
        <color rgb="FF000000"/>
        <rFont val="Calibri"/>
        <family val="2"/>
        <scheme val="minor"/>
      </rPr>
      <t xml:space="preserve">Planters stone veneer </t>
    </r>
    <r>
      <rPr>
        <sz val="11"/>
        <color rgb="FFFF0000"/>
        <rFont val="Calibri"/>
        <family val="2"/>
        <scheme val="minor"/>
      </rPr>
      <t>- excluded, RFI response stone veneer OR stucco</t>
    </r>
  </si>
  <si>
    <t>Oolite benches</t>
  </si>
  <si>
    <t>RFI CD-23</t>
  </si>
  <si>
    <t>Precast trim around stone veneer entrances Buildings</t>
  </si>
  <si>
    <t>Precast trim around stone veneer entrances Clubhouse</t>
  </si>
  <si>
    <r>
      <rPr>
        <sz val="11"/>
        <color rgb="FF000000"/>
        <rFont val="Calibri"/>
        <family val="2"/>
        <scheme val="minor"/>
      </rPr>
      <t xml:space="preserve">6' post &amp; panel concrete wall - Site (950 LF)- one side of wall </t>
    </r>
    <r>
      <rPr>
        <i/>
        <sz val="11"/>
        <color rgb="FFFF0000"/>
        <rFont val="Calibri"/>
        <family val="2"/>
        <scheme val="minor"/>
      </rPr>
      <t>- see Architectural Precast</t>
    </r>
  </si>
  <si>
    <t>Sheet 7 of 10</t>
  </si>
  <si>
    <r>
      <rPr>
        <sz val="11"/>
        <color rgb="FF000000"/>
        <rFont val="Calibri"/>
        <family val="2"/>
        <scheme val="minor"/>
      </rPr>
      <t xml:space="preserve">MVIS Water proofing </t>
    </r>
    <r>
      <rPr>
        <i/>
        <sz val="11"/>
        <color rgb="FFFF0000"/>
        <rFont val="Calibri"/>
        <family val="2"/>
        <scheme val="minor"/>
      </rPr>
      <t>- see Titan Stone email 2/24 with spec sheets and details</t>
    </r>
  </si>
  <si>
    <t>Mortar - qualify color</t>
  </si>
  <si>
    <t>Scratch coat</t>
  </si>
  <si>
    <t>Cleanup</t>
  </si>
  <si>
    <t>Precast stone scuppers at Building 5 low roof</t>
  </si>
  <si>
    <t>1,7/A8.5</t>
  </si>
  <si>
    <t>Exclude waterproofing at exterior wall applied stone veneer</t>
  </si>
  <si>
    <t>Deduct for stucco bands ilo precast bands at stone veneer (entrances)</t>
  </si>
  <si>
    <t>Add for one side of exterior precast wall</t>
  </si>
  <si>
    <t>Add for stone veneer at base of gate columns (16 columns)</t>
  </si>
  <si>
    <t>Air and water barrier for one side  precast wall</t>
  </si>
  <si>
    <t xml:space="preserve">Pool planters stone veneer </t>
  </si>
  <si>
    <t>Structural Steel</t>
  </si>
  <si>
    <t>Structural Steel , incl.:</t>
  </si>
  <si>
    <t xml:space="preserve">  a. Equipment, cranes, etc.</t>
  </si>
  <si>
    <t xml:space="preserve">  b. scheduled/detailed shop drawings.</t>
  </si>
  <si>
    <t xml:space="preserve">  c. Steel Columns, W-Beams, Joists and Metal Decking as scheduled.</t>
  </si>
  <si>
    <t xml:space="preserve">  d. Steel connections, angle iron, steel beam at elevator.</t>
  </si>
  <si>
    <t xml:space="preserve">  e. Roof top equipment structural requirements.</t>
  </si>
  <si>
    <t xml:space="preserve">  f. Above scope included for:</t>
  </si>
  <si>
    <t>Metal Trusses</t>
  </si>
  <si>
    <t>05B</t>
  </si>
  <si>
    <t>dated 04.27.26</t>
  </si>
  <si>
    <t>04.10.26</t>
  </si>
  <si>
    <t>incomplete scope</t>
  </si>
  <si>
    <t>110% higher</t>
  </si>
  <si>
    <t>Pilar Welding</t>
  </si>
  <si>
    <t>Greco Aluminum</t>
  </si>
  <si>
    <t>Coastal Metal</t>
  </si>
  <si>
    <t>All American Windows</t>
  </si>
  <si>
    <t>Bachiller Iron Works</t>
  </si>
  <si>
    <t xml:space="preserve">Complete Access </t>
  </si>
  <si>
    <t>JC Ornamental Works</t>
  </si>
  <si>
    <t>Sarai Campos</t>
  </si>
  <si>
    <t>Chris Jones</t>
  </si>
  <si>
    <t>Laura Montes</t>
  </si>
  <si>
    <t>Vicente Fernandez</t>
  </si>
  <si>
    <t>David A. Rodriguez</t>
  </si>
  <si>
    <t>Chris Mauro</t>
  </si>
  <si>
    <t>561-524-9246</t>
  </si>
  <si>
    <t>727-739-8873</t>
  </si>
  <si>
    <t>561-819-0308</t>
  </si>
  <si>
    <t>954-786-8525</t>
  </si>
  <si>
    <t>305-751-7765 ext 103</t>
  </si>
  <si>
    <t xml:space="preserve"> 407-408-4323</t>
  </si>
  <si>
    <t xml:space="preserve"> &lt;sara@pilarwelding.com&gt;</t>
  </si>
  <si>
    <t>chris.jones@grecorailings.com</t>
  </si>
  <si>
    <t>lmontes@coastalmetal.biz</t>
  </si>
  <si>
    <t>vfernandez@aawimpact.com&gt;</t>
  </si>
  <si>
    <t>drodriguez@biwiron.com</t>
  </si>
  <si>
    <t>chris@cacocf.com</t>
  </si>
  <si>
    <t>Misc Metals</t>
  </si>
  <si>
    <t>Rafter Tails &amp; Brackets</t>
  </si>
  <si>
    <t>cant price</t>
  </si>
  <si>
    <t>included</t>
  </si>
  <si>
    <t>included below</t>
  </si>
  <si>
    <t>Awnings, Shutters,etc</t>
  </si>
  <si>
    <t>{0.7%}</t>
  </si>
  <si>
    <t>{Denied}</t>
  </si>
  <si>
    <t>{Qualified}</t>
  </si>
  <si>
    <t>{6.0}</t>
  </si>
  <si>
    <t>{2.4}</t>
  </si>
  <si>
    <t>{2,000,000}</t>
  </si>
  <si>
    <t>Acknowledgment of Addendum #1</t>
  </si>
  <si>
    <t>Acknowledgment of Clarifications #1 thru #4</t>
  </si>
  <si>
    <t>Building 1 thru 6</t>
  </si>
  <si>
    <t>Stair Railings (Stair #1 and #2)</t>
  </si>
  <si>
    <t>Stair Wall mounted hand rail (Stair #1 and #2)</t>
  </si>
  <si>
    <t>Stair cane rail (Stair #1 and #2)</t>
  </si>
  <si>
    <t xml:space="preserve">Balcony Railings </t>
  </si>
  <si>
    <t>Decorative balcony railing @entrance</t>
  </si>
  <si>
    <t>Elevators (pit ladder, sump pit cover)</t>
  </si>
  <si>
    <r>
      <rPr>
        <sz val="10"/>
        <color rgb="FF000000"/>
        <rFont val="Arial"/>
        <family val="2"/>
      </rPr>
      <t xml:space="preserve">Hoist Beams, Safety Beams </t>
    </r>
    <r>
      <rPr>
        <i/>
        <sz val="10"/>
        <color rgb="FFFF0000"/>
        <rFont val="Arial"/>
        <family val="2"/>
      </rPr>
      <t>- furnish only, install by Concrete</t>
    </r>
  </si>
  <si>
    <r>
      <rPr>
        <sz val="10"/>
        <color rgb="FF000000"/>
        <rFont val="Arial"/>
        <family val="2"/>
      </rPr>
      <t xml:space="preserve">Separator Beams </t>
    </r>
    <r>
      <rPr>
        <i/>
        <sz val="10"/>
        <color rgb="FFFF0000"/>
        <rFont val="Arial"/>
        <family val="2"/>
      </rPr>
      <t>- by Concrete</t>
    </r>
  </si>
  <si>
    <t>Stair Railings (Stair #1)</t>
  </si>
  <si>
    <t>A7.CH.1</t>
  </si>
  <si>
    <t>A7.CH.2</t>
  </si>
  <si>
    <t>Railing @entry steps</t>
  </si>
  <si>
    <r>
      <rPr>
        <sz val="10"/>
        <color rgb="FF000000"/>
        <rFont val="Arial"/>
        <family val="2"/>
      </rPr>
      <t>Decorative railing @ Stair #3 Includes balcony railing @ 2nd floor</t>
    </r>
    <r>
      <rPr>
        <i/>
        <sz val="10"/>
        <color rgb="FFFF0000"/>
        <rFont val="Arial"/>
        <family val="2"/>
      </rPr>
      <t xml:space="preserve"> - in Glass railing</t>
    </r>
  </si>
  <si>
    <t>A7.CH.3, ID7-01</t>
  </si>
  <si>
    <t>Decorative balcony railing @ cowork, maker's, fitness terrace</t>
  </si>
  <si>
    <r>
      <rPr>
        <sz val="10"/>
        <color rgb="FF000000"/>
        <rFont val="Arial"/>
        <family val="2"/>
      </rPr>
      <t xml:space="preserve">HSS and Beams for storefronts </t>
    </r>
    <r>
      <rPr>
        <i/>
        <sz val="10"/>
        <color rgb="FFFF0000"/>
        <rFont val="Arial"/>
        <family val="2"/>
      </rPr>
      <t>- in Concrete</t>
    </r>
  </si>
  <si>
    <r>
      <rPr>
        <sz val="10"/>
        <color rgb="FF000000"/>
        <rFont val="Arial"/>
        <family val="2"/>
      </rPr>
      <t xml:space="preserve">Separator Beams </t>
    </r>
    <r>
      <rPr>
        <i/>
        <sz val="10"/>
        <color rgb="FFFF0000"/>
        <rFont val="Arial"/>
        <family val="2"/>
      </rPr>
      <t>- furnish only, install by Concrete</t>
    </r>
  </si>
  <si>
    <r>
      <rPr>
        <sz val="10"/>
        <color rgb="FF000000"/>
        <rFont val="Arial"/>
        <family val="2"/>
      </rPr>
      <t xml:space="preserve">Bollards (allowance) </t>
    </r>
    <r>
      <rPr>
        <i/>
        <sz val="10"/>
        <color rgb="FFFF0000"/>
        <rFont val="Arial"/>
        <family val="2"/>
      </rPr>
      <t>- furnish only, concrete sub will install</t>
    </r>
  </si>
  <si>
    <t>Engineering &amp; Shop Drawings</t>
  </si>
  <si>
    <t>Taxes</t>
  </si>
  <si>
    <t>Stair nosings</t>
  </si>
  <si>
    <t>Add for elevator metal install</t>
  </si>
  <si>
    <t>2-line Hybrid Railing ilo 3-line</t>
  </si>
  <si>
    <t>2-line ilo 3-line</t>
  </si>
  <si>
    <t xml:space="preserve">Square ends brackets, radius middle </t>
  </si>
  <si>
    <t>Angled ends for Rafter Tails ilo deco radius</t>
  </si>
  <si>
    <t>OCIP credit</t>
  </si>
  <si>
    <t>Brackets</t>
  </si>
  <si>
    <t>Rafter Tails</t>
  </si>
  <si>
    <t>Building I</t>
  </si>
  <si>
    <t>Building II</t>
  </si>
  <si>
    <t>Building III</t>
  </si>
  <si>
    <t>Maintenance Bldg</t>
  </si>
  <si>
    <t>Handrailings &amp; Railings</t>
  </si>
  <si>
    <t>05D</t>
  </si>
  <si>
    <t>VE</t>
  </si>
  <si>
    <t>A Christian</t>
  </si>
  <si>
    <r>
      <rPr>
        <sz val="10"/>
        <color rgb="FF000000"/>
        <rFont val="Arial"/>
        <family val="2"/>
      </rPr>
      <t>Decorative railing @ Stair #3 Includes balcony railing @ 2nd floor</t>
    </r>
    <r>
      <rPr>
        <i/>
        <sz val="10"/>
        <color rgb="FFFF0000"/>
        <rFont val="Arial"/>
        <family val="2"/>
      </rPr>
      <t xml:space="preserve"> </t>
    </r>
  </si>
  <si>
    <t>1/ID7-01</t>
  </si>
  <si>
    <t xml:space="preserve">Stair #3 glass balcony railing @ 2nd floor </t>
  </si>
  <si>
    <t>Aluminum Rafter Tails &amp; Brackets</t>
  </si>
  <si>
    <t>PVC Rafter Tails &amp; Brackets</t>
  </si>
  <si>
    <t xml:space="preserve">Coastal </t>
  </si>
  <si>
    <t>saving</t>
  </si>
  <si>
    <t>BR2 - Aluminum Rafter tails (1'-10" x 6" , 111 ea)</t>
  </si>
  <si>
    <t xml:space="preserve">BR6 - Aluminum Brackets (2' x 6' ,  5ea) </t>
  </si>
  <si>
    <t>Installation</t>
  </si>
  <si>
    <t>BR2 - Aluminum Rafter tails (1'-10" x 6" , 58 ea)</t>
  </si>
  <si>
    <t xml:space="preserve">BR6 - Aluminum Brackets (2' x 6' ,  8ea) </t>
  </si>
  <si>
    <t>Garage 1</t>
  </si>
  <si>
    <t>BR2 - Aluminum Rafter tails (1'-10" x 6" , 86 ea)</t>
  </si>
  <si>
    <t>Garage 2</t>
  </si>
  <si>
    <t>Garage 3</t>
  </si>
  <si>
    <t>8x8 Aluminum columns with PC finish</t>
  </si>
  <si>
    <t>8x8 Steel columns with Hardie Board wrap</t>
  </si>
  <si>
    <t>8x8 PVC columns</t>
  </si>
  <si>
    <t>Fiberglass Rafter Tails &amp; Brackets</t>
  </si>
  <si>
    <t>Bahama Shutters (740 ea)</t>
  </si>
  <si>
    <t>Custom color add</t>
  </si>
  <si>
    <t>https://www.architecturaldepot.com/ELSQEM.html</t>
  </si>
  <si>
    <t>Standard shutters</t>
  </si>
  <si>
    <t>Batten Shutters</t>
  </si>
  <si>
    <t>Aluminum prefinished</t>
  </si>
  <si>
    <t>in louvers, awnings, shutters</t>
  </si>
  <si>
    <t>PROMISING</t>
  </si>
  <si>
    <t>CH, Maint and G only</t>
  </si>
  <si>
    <t>Aluminum</t>
  </si>
  <si>
    <t>dated 04.10.26</t>
  </si>
  <si>
    <t>dated 04.23.26</t>
  </si>
  <si>
    <t>includes Misc Met</t>
  </si>
  <si>
    <t>VE Foam + EIFS</t>
  </si>
  <si>
    <t>missing rafter tails &amp; brackets</t>
  </si>
  <si>
    <t>wont meet fire</t>
  </si>
  <si>
    <t>FOAM + EIFS</t>
  </si>
  <si>
    <t>VE PVC</t>
  </si>
  <si>
    <t>FRP</t>
  </si>
  <si>
    <t>Bidder  7</t>
  </si>
  <si>
    <t>Bachiller Iron Works R3</t>
  </si>
  <si>
    <t>Awning Factory</t>
  </si>
  <si>
    <t>RB Plastering</t>
  </si>
  <si>
    <t>Griffin Stucco</t>
  </si>
  <si>
    <t>Stud Drywall</t>
  </si>
  <si>
    <t>Shell Lumber</t>
  </si>
  <si>
    <t xml:space="preserve">Holland </t>
  </si>
  <si>
    <t>Architectural Mall</t>
  </si>
  <si>
    <t>HB Elements</t>
  </si>
  <si>
    <t>Decoro</t>
  </si>
  <si>
    <t>Estimating</t>
  </si>
  <si>
    <t>Carlos Valencia</t>
  </si>
  <si>
    <t>Rohit Puranik</t>
  </si>
  <si>
    <t>Joe Colella</t>
  </si>
  <si>
    <t>Duan Mercer</t>
  </si>
  <si>
    <t>Sales (Holland)</t>
  </si>
  <si>
    <t>Jake Hed</t>
  </si>
  <si>
    <t>Arseny</t>
  </si>
  <si>
    <t>Samuel Boehne</t>
  </si>
  <si>
    <t>305-751-7765</t>
  </si>
  <si>
    <t>305-856-6401</t>
  </si>
  <si>
    <t>877-279-9993</t>
  </si>
  <si>
    <t>estimating5@theawningfactory.com</t>
  </si>
  <si>
    <t xml:space="preserve"> &lt;duan@shelllumber.com&gt;</t>
  </si>
  <si>
    <t>sales@hollandfiberglass.com</t>
  </si>
  <si>
    <t>&lt;jake@architecturalmall.com&gt;</t>
  </si>
  <si>
    <t>Awnings, Shutters</t>
  </si>
  <si>
    <t>{Qualified w/ exc}</t>
  </si>
  <si>
    <t>{1,000,000}</t>
  </si>
  <si>
    <t>Building 1</t>
  </si>
  <si>
    <t>BR2 - Aluminum Rafter tails (4'-6" x 2'-10" , 114 ea)</t>
  </si>
  <si>
    <t>BR1 - Aluminum Brackets (1'-8" x 3'-3" , 31 ea)</t>
  </si>
  <si>
    <t>BR6 - Aluminum Brackets (2' x 6' ,  16ea)</t>
  </si>
  <si>
    <t>BR2 - Aluminum Rafter tails (1'-10" x 6" , 48 ea)</t>
  </si>
  <si>
    <t>BR3 - Aluminum Rafter tails  (10" x 6" , 8 ea)</t>
  </si>
  <si>
    <t>BR2 - Aluminum Rafter tails (1'-10" x 6" , 32 ea)</t>
  </si>
  <si>
    <t>BR4 - Aluminum Rafter tails (3'-8" x 4' ,  5ea)</t>
  </si>
  <si>
    <t>Building 2</t>
  </si>
  <si>
    <t>BR1 - Aluminum Brackets (1'-8" x 3'-3" ,  48 ea)</t>
  </si>
  <si>
    <t>BR2 - Aluminum Rafter tails (1'-10" x 6" , 65 ea)</t>
  </si>
  <si>
    <t>BR3 - Aluminum Rafter tails  (10" x 6" , 5 ea)</t>
  </si>
  <si>
    <t>BR4 - Aluminum Rafter tails (3'-8" x 4' ,  5 ea)</t>
  </si>
  <si>
    <t>BR5 - Aluminum Rafter tails (3'-8" x 4' ,  7 ea)</t>
  </si>
  <si>
    <t>Building 3</t>
  </si>
  <si>
    <t>BR2 - Aluminum Rafter tails (1'-10" x 6" , 41 ea)</t>
  </si>
  <si>
    <t>Brackets at monument sign</t>
  </si>
  <si>
    <t>BR4 - Aluminum Brackets  (3'-8" x 4' ,  5 ea)</t>
  </si>
  <si>
    <t>BR5 - Aluminum Brackets  (1'-8" x 4' ,  5 ea)</t>
  </si>
  <si>
    <t>Building 4</t>
  </si>
  <si>
    <t>Totals</t>
  </si>
  <si>
    <t>BR1 - Aluminum Brackets (1'-8" x 3'-3" ,  22 ea)</t>
  </si>
  <si>
    <t>BR2</t>
  </si>
  <si>
    <t>BR2 - Aluminum Rafter tails (1'-10" x 6" , 70 ea)</t>
  </si>
  <si>
    <t>BR6</t>
  </si>
  <si>
    <t>BR3 - Aluminum Rafter tails  (10" x 6" , 20 ea)</t>
  </si>
  <si>
    <t>BR4 - Aluminum Rafter tails (3'-8" x 4' ,  4 ea)</t>
  </si>
  <si>
    <t>BR5 - Aluminum Rafter tails (1'-8" x 4' ,  10 ea)</t>
  </si>
  <si>
    <t>Building 5</t>
  </si>
  <si>
    <t>BR1 - Aluminum Brackets (1'-8" x 3'-3" ,  25 ea)</t>
  </si>
  <si>
    <t>BR3 - Aluminum Rafter tails  (10" x 6" , 0 ea)</t>
  </si>
  <si>
    <t>BR4 - Aluminum Rafter tails (3'-8" x 4' ,  0 ea)</t>
  </si>
  <si>
    <t>BR5 - Aluminum Rafter tails (1'-8" x 4' ,  7 ea)</t>
  </si>
  <si>
    <t>Building 6</t>
  </si>
  <si>
    <t>BR2 - Aluminum Rafter tails (4'-6" x 2'-10" , 111 ea)</t>
  </si>
  <si>
    <t>BR6 - Aluminum Brackets (2' x 6' ,  5ea)</t>
  </si>
  <si>
    <t>BR2 - Aluminum Rafter tails (1'-10" x 6" , 33 ea)</t>
  </si>
  <si>
    <t>BR1</t>
  </si>
  <si>
    <t>BR3</t>
  </si>
  <si>
    <t>BR4</t>
  </si>
  <si>
    <t>BR5</t>
  </si>
  <si>
    <t>Aluminum Columns</t>
  </si>
  <si>
    <t>Wood columns</t>
  </si>
  <si>
    <t>Framing + Densglass</t>
  </si>
  <si>
    <t>Wood + Stucco  + Paint</t>
  </si>
  <si>
    <t>Wood + PVC + Paint</t>
  </si>
  <si>
    <t>Non G Steel + PVC + Paint</t>
  </si>
  <si>
    <t>G Steel + PVC+Paint</t>
  </si>
  <si>
    <t>PVC+Paint</t>
  </si>
  <si>
    <t>Framing + Densglass + Stucco</t>
  </si>
  <si>
    <t>Non G Steel + Stucco +Paint</t>
  </si>
  <si>
    <t>G Steel + Stucco + Paint</t>
  </si>
  <si>
    <t>Proshell</t>
  </si>
  <si>
    <t>Griffin + Advanced Drywall</t>
  </si>
  <si>
    <t>Everlast</t>
  </si>
  <si>
    <t>HB wood + Griffin + WP</t>
  </si>
  <si>
    <t>8"x8"x 9'h  columns at balconies (includes base, capital and top)</t>
  </si>
  <si>
    <t>Column Material</t>
  </si>
  <si>
    <t>Column Install</t>
  </si>
  <si>
    <t>included above</t>
  </si>
  <si>
    <t>Column Finish</t>
  </si>
  <si>
    <r>
      <rPr>
        <sz val="10"/>
        <color rgb="FF000000"/>
        <rFont val="Arial"/>
        <family val="2"/>
      </rPr>
      <t>Paint</t>
    </r>
    <r>
      <rPr>
        <i/>
        <sz val="10"/>
        <color rgb="FFFF0000"/>
        <rFont val="Arial"/>
        <family val="2"/>
      </rPr>
      <t xml:space="preserve"> - in painting</t>
    </r>
  </si>
  <si>
    <t>Waterproofing - for wood</t>
  </si>
  <si>
    <t>HB Plug for engineering</t>
  </si>
  <si>
    <t>MISC. ROUGH CARPENTRY BU1</t>
  </si>
  <si>
    <t>Forman</t>
  </si>
  <si>
    <t>WKS</t>
  </si>
  <si>
    <t>MISC. ROUGH CARPENTRY BU2</t>
  </si>
  <si>
    <t>MISC. ROUGH CARPENTRY BU3</t>
  </si>
  <si>
    <t>MISC. ROUGH CARPENTRY CH</t>
  </si>
  <si>
    <t>MISC. ROUGH CARPENTRY Garage</t>
  </si>
  <si>
    <t>MISC. ROUGH CARPENTRY Pool Pavilion</t>
  </si>
  <si>
    <t>Grouting 623 HMF in CMU or Concrete wall</t>
  </si>
  <si>
    <t>no FRT at CH, Maint and G</t>
  </si>
  <si>
    <t>material increase</t>
  </si>
  <si>
    <t>dated 03.19.26</t>
  </si>
  <si>
    <t>dated 04.17.26</t>
  </si>
  <si>
    <t>dated 03.26.26</t>
  </si>
  <si>
    <t>Builders First Source</t>
  </si>
  <si>
    <t>Ridgway Roof</t>
  </si>
  <si>
    <t xml:space="preserve">A-1 Industries </t>
  </si>
  <si>
    <t>Dade Truss</t>
  </si>
  <si>
    <t>Custom Truss</t>
  </si>
  <si>
    <t>Erec Erickson</t>
  </si>
  <si>
    <t>Daniel Skelly</t>
  </si>
  <si>
    <t>Jim Thomas</t>
  </si>
  <si>
    <t>Romulo Egea</t>
  </si>
  <si>
    <t>407-755-8027</t>
  </si>
  <si>
    <t>352-363-4339</t>
  </si>
  <si>
    <t>407-697-8167</t>
  </si>
  <si>
    <t xml:space="preserve">305-986-4427   </t>
  </si>
  <si>
    <t>954-786-8800</t>
  </si>
  <si>
    <t xml:space="preserve">&lt;erec.erickson@bldr.com&gt; </t>
  </si>
  <si>
    <t xml:space="preserve">daniel@ridgwaytruss.com&gt; </t>
  </si>
  <si>
    <t>jim.thomas@a1globalholdings.com</t>
  </si>
  <si>
    <t>romuloe@bcgius.com</t>
  </si>
  <si>
    <t xml:space="preserve"> &lt;customtrussllc@gmail.com&gt;</t>
  </si>
  <si>
    <t>Wood Trusses:</t>
  </si>
  <si>
    <t xml:space="preserve">  a. supply wood truses</t>
  </si>
  <si>
    <t xml:space="preserve">  b. supply girder trusses</t>
  </si>
  <si>
    <t xml:space="preserve">  c. level returns</t>
  </si>
  <si>
    <t xml:space="preserve">  d. engineering</t>
  </si>
  <si>
    <t xml:space="preserve">  e. delivery and sales tax</t>
  </si>
  <si>
    <t>Furnish and install FRT wood trusses</t>
  </si>
  <si>
    <t>15/S1.0</t>
  </si>
  <si>
    <t>Building #1</t>
  </si>
  <si>
    <t>Building #2</t>
  </si>
  <si>
    <t>Building #3</t>
  </si>
  <si>
    <t>Building #4</t>
  </si>
  <si>
    <t>Building #5</t>
  </si>
  <si>
    <t>Building #6</t>
  </si>
  <si>
    <t>Garage #1</t>
  </si>
  <si>
    <t>Garage #2</t>
  </si>
  <si>
    <t>Garage #3</t>
  </si>
  <si>
    <t>Building Type I (3ea)</t>
  </si>
  <si>
    <t>Building Type II (2ea)</t>
  </si>
  <si>
    <t>Building Type III (1ea)</t>
  </si>
  <si>
    <t>Garage Type I</t>
  </si>
  <si>
    <t>Garage Type II</t>
  </si>
  <si>
    <t>Level returns are excluded</t>
  </si>
  <si>
    <t>Non FRT trusses at Clubhouse, Maintenance, Garages &amp; Pool Pavilion</t>
  </si>
  <si>
    <t>Non FRT trusses at Garage only</t>
  </si>
  <si>
    <t xml:space="preserve">National Millwork	</t>
  </si>
  <si>
    <t xml:space="preserve">National Millwork R4	</t>
  </si>
  <si>
    <t>Astera</t>
  </si>
  <si>
    <t>Builders FirstSource</t>
  </si>
  <si>
    <t>Tercilla &amp; Son</t>
  </si>
  <si>
    <t>Choice Doors</t>
  </si>
  <si>
    <t>Exclusive Trim</t>
  </si>
  <si>
    <t>Interior Finish Carpentry</t>
  </si>
  <si>
    <t>Ric Waggoneer</t>
  </si>
  <si>
    <t>Hanna Raharjo</t>
  </si>
  <si>
    <t>Guillermo Santiago</t>
  </si>
  <si>
    <t>Brandon Smith</t>
  </si>
  <si>
    <t>Preston Scott</t>
  </si>
  <si>
    <t>Luis Sayan</t>
  </si>
  <si>
    <t>561-351-6359</t>
  </si>
  <si>
    <t>770-789-2890</t>
  </si>
  <si>
    <t>912-253-0652</t>
  </si>
  <si>
    <t>561-797-0965</t>
  </si>
  <si>
    <t>407-760-6680</t>
  </si>
  <si>
    <t>954-963-9331 xt 17</t>
  </si>
  <si>
    <t>rwaggoner@nationalmillworkinc.com</t>
  </si>
  <si>
    <t xml:space="preserve">
hanna@asterakb.com</t>
  </si>
  <si>
    <t>guillermo.santiago@buildwithbmc.com</t>
  </si>
  <si>
    <t>brandon.smith@terson.us</t>
  </si>
  <si>
    <t>preston@choicedoor.com&gt;</t>
  </si>
  <si>
    <t>lsayan@etiflorida.com</t>
  </si>
  <si>
    <t>D,F, &amp;H Bid</t>
  </si>
  <si>
    <t>Units and corridors baseboards</t>
  </si>
  <si>
    <t>{73,374 LF}</t>
  </si>
  <si>
    <t>Door casings</t>
  </si>
  <si>
    <t>in doors number</t>
  </si>
  <si>
    <r>
      <rPr>
        <sz val="10"/>
        <color rgb="FF000000"/>
        <rFont val="Arial"/>
        <family val="2"/>
      </rPr>
      <t xml:space="preserve">Window sills  </t>
    </r>
    <r>
      <rPr>
        <i/>
        <sz val="10"/>
        <color rgb="FFFF0000"/>
        <rFont val="Arial"/>
        <family val="2"/>
      </rPr>
      <t>to be marble sills by flooring</t>
    </r>
  </si>
  <si>
    <t>Door trims</t>
  </si>
  <si>
    <t>Baseboards</t>
  </si>
  <si>
    <t>{2,700LF}</t>
  </si>
  <si>
    <t>Material distribution / Punch out</t>
  </si>
  <si>
    <t>Bidder4</t>
  </si>
  <si>
    <t>Heavy Timber Construction</t>
  </si>
  <si>
    <t>06E</t>
  </si>
  <si>
    <t xml:space="preserve">This Subcontractor is responsible to supply and install a complete U.L. listed firestopping system for each penetration of their work through any fire rated assembly in order to maintain the fire rating of that work. Subcontractor to provide affidavit form their qualifier indicating all fire caulking is complete for the entire project. </t>
  </si>
  <si>
    <t>no metal work</t>
  </si>
  <si>
    <t>no upholstery</t>
  </si>
  <si>
    <t>Borgzinner</t>
  </si>
  <si>
    <t>Central Florida Millwork</t>
  </si>
  <si>
    <t>Advanced Millwork</t>
  </si>
  <si>
    <t>Heavenly Pros</t>
  </si>
  <si>
    <t>Ken Stevens</t>
  </si>
  <si>
    <t>John Davis</t>
  </si>
  <si>
    <t>Daniel Maddux</t>
  </si>
  <si>
    <t>Luis Jimenez</t>
  </si>
  <si>
    <t xml:space="preserve">561-827-6626 </t>
  </si>
  <si>
    <t>407-496-1057</t>
  </si>
  <si>
    <t xml:space="preserve">407-294-1927 </t>
  </si>
  <si>
    <t>561-452-1627</t>
  </si>
  <si>
    <t>sales@borgzinner.com</t>
  </si>
  <si>
    <t>john@cflmillwork.com</t>
  </si>
  <si>
    <t>dmaddux@advancedmillwork.net</t>
  </si>
  <si>
    <t xml:space="preserve"> luis@heavenlypros.com</t>
  </si>
  <si>
    <t>{w/exceptions}</t>
  </si>
  <si>
    <t>{2.0}</t>
  </si>
  <si>
    <t>{3.9}</t>
  </si>
  <si>
    <t>Lobby 165</t>
  </si>
  <si>
    <r>
      <rPr>
        <sz val="10"/>
        <color rgb="FF000000"/>
        <rFont val="Arial"/>
        <family val="2"/>
      </rPr>
      <t>GL-1 &amp; MTL-1 (Bendheim, Corduroy Textured glass) at Stair &amp; Stair Balcony</t>
    </r>
    <r>
      <rPr>
        <i/>
        <sz val="10"/>
        <color rgb="FFFF0000"/>
        <rFont val="Arial"/>
        <family val="2"/>
      </rPr>
      <t>- in Glass railings</t>
    </r>
  </si>
  <si>
    <t>4/ID7-01</t>
  </si>
  <si>
    <t>MTL-1 &amp;RAT-1  Wall Panels</t>
  </si>
  <si>
    <t>2,4/ID7-01</t>
  </si>
  <si>
    <t>WD-1 &amp; PNT-1 Wood panel at planter</t>
  </si>
  <si>
    <t>QTZ-1 Planter countertop (Caesarstone, Taj Royale 5212)</t>
  </si>
  <si>
    <t>ST-1 at stair treads</t>
  </si>
  <si>
    <r>
      <rPr>
        <sz val="10"/>
        <color rgb="FF000000"/>
        <rFont val="Arial"/>
        <family val="2"/>
      </rPr>
      <t xml:space="preserve">Tree by ID </t>
    </r>
    <r>
      <rPr>
        <i/>
        <sz val="10"/>
        <color rgb="FFFF0000"/>
        <rFont val="Arial"/>
        <family val="2"/>
      </rPr>
      <t>- excluded</t>
    </r>
  </si>
  <si>
    <t>ST-2&amp;S-1 Shelves and Cabinets at Trash w/ UC light (includes undershelf light)</t>
  </si>
  <si>
    <t>5/ID7-01, 
2,3/ID7-01</t>
  </si>
  <si>
    <t>ST-2 Panel at Fridge</t>
  </si>
  <si>
    <t>5/ID-7.01</t>
  </si>
  <si>
    <t>WD-8 Ceiling Beams</t>
  </si>
  <si>
    <t>PNT-1 Trim and moldings throughout</t>
  </si>
  <si>
    <t>1,2/ID7-01, 
2/ID8-02</t>
  </si>
  <si>
    <t>Open Club 249</t>
  </si>
  <si>
    <t>BB-1 Breezeblock (Clay Imports, Style: Escala, Color: Terracota)</t>
  </si>
  <si>
    <t>2,3/ID7-03</t>
  </si>
  <si>
    <t xml:space="preserve">MTL-1 &amp; RAT-1 panels </t>
  </si>
  <si>
    <t>1/ID7-03</t>
  </si>
  <si>
    <t>WD-3 ceiling beams</t>
  </si>
  <si>
    <t>1/ID2-01</t>
  </si>
  <si>
    <t>ST-2 paneling</t>
  </si>
  <si>
    <t>TV Lounge 244</t>
  </si>
  <si>
    <t>WD-1/ST-1/2 Cabinets</t>
  </si>
  <si>
    <t>ID7-03</t>
  </si>
  <si>
    <t>WD-1/ST-1/2 Wall panels</t>
  </si>
  <si>
    <t>GL-1 (Bendheim, Corduroy Textured glass)</t>
  </si>
  <si>
    <t>WD-3&amp;ST-1 Cabinets</t>
  </si>
  <si>
    <t>WD-1&amp;ST-2 Wood Panels</t>
  </si>
  <si>
    <t>WD-3&amp;ST-1 trim around TV opening</t>
  </si>
  <si>
    <t>Rum Bar 245</t>
  </si>
  <si>
    <t>WD-3&amp;ST-1 Shelves Ceiling/Soffits/Slats and trim</t>
  </si>
  <si>
    <t>FAB-1 Fabric (Fabricut, Portiere Ebony, Black)</t>
  </si>
  <si>
    <t>ST-1 Window and Wall Bench</t>
  </si>
  <si>
    <t>Decorative Trim throughout</t>
  </si>
  <si>
    <t xml:space="preserve">ST-1 Wood Panel </t>
  </si>
  <si>
    <t>WD-3&amp;ST-1 Shelves</t>
  </si>
  <si>
    <t>ST-1 Cabinets</t>
  </si>
  <si>
    <t>QTZ-1 Countertop and Backsplash(Caesarstone, Taj Royale 5212)</t>
  </si>
  <si>
    <t>QTZ-2 Bar countertop  (Corian, smoke drift)</t>
  </si>
  <si>
    <t>MIRR-1 Antique mirror siena tuscany, 3 mm, style: specchi nel tempo</t>
  </si>
  <si>
    <t>Culture Lounge 166</t>
  </si>
  <si>
    <t>ST-2 bookcase and trim</t>
  </si>
  <si>
    <t>ID7-04</t>
  </si>
  <si>
    <t xml:space="preserve">RAT-1 &amp; MTL-1 panels </t>
  </si>
  <si>
    <t>above</t>
  </si>
  <si>
    <t>FAB-2  @ banquette</t>
  </si>
  <si>
    <t>WD-3&amp;ST-2 banquette</t>
  </si>
  <si>
    <t>Bodega 222</t>
  </si>
  <si>
    <t>WD-3&amp;ST-2 Trim</t>
  </si>
  <si>
    <t>ST-2 Cabinets</t>
  </si>
  <si>
    <t>QTZ-1 Countertops (Caesarstone, Taj Royale 5212)</t>
  </si>
  <si>
    <t>WD-3&amp;ST-2 shelves</t>
  </si>
  <si>
    <t>Men&amp;Women RR 173,175</t>
  </si>
  <si>
    <t xml:space="preserve">QTZ-1 Vanity Tops and Apron </t>
  </si>
  <si>
    <t>3/ID6-02</t>
  </si>
  <si>
    <t>Unisex RM (1 @ 1st lvl, 2@ 2nd lvl)</t>
  </si>
  <si>
    <t xml:space="preserve">QTZ-X Vanity Tops </t>
  </si>
  <si>
    <t>1/ID-6-03</t>
  </si>
  <si>
    <t>ST-1 Vanity Apron</t>
  </si>
  <si>
    <t>Leasing Office 169</t>
  </si>
  <si>
    <t>WD-4 Ceiling Beams</t>
  </si>
  <si>
    <t>1/ID7-02</t>
  </si>
  <si>
    <t>ST-1 Leasing cabinets</t>
  </si>
  <si>
    <t>3/ID7-02</t>
  </si>
  <si>
    <t xml:space="preserve">MTL-1 &amp;RAT-1 Wall panel </t>
  </si>
  <si>
    <t>Breakroom 168</t>
  </si>
  <si>
    <t>UQTZ-1 countertops</t>
  </si>
  <si>
    <t>7/ID7-02</t>
  </si>
  <si>
    <t>WD-3&amp;ST-2 cabinets and shelves</t>
  </si>
  <si>
    <t>UCAB-1 Cabinet</t>
  </si>
  <si>
    <t>Mail Room 172</t>
  </si>
  <si>
    <t>ST-1 Mail Sorting Cabinets</t>
  </si>
  <si>
    <t>ID7-05</t>
  </si>
  <si>
    <t>QTZ-3 Tops around mailboxes (Caesarstone, Vanilla Noir 5100)</t>
  </si>
  <si>
    <t>ST-1 Hanging planter</t>
  </si>
  <si>
    <t>FAB-3 at banquette</t>
  </si>
  <si>
    <r>
      <rPr>
        <sz val="10"/>
        <color rgb="FF000000"/>
        <rFont val="Arial"/>
        <family val="2"/>
      </rPr>
      <t xml:space="preserve">Framing for mailboxes walls </t>
    </r>
    <r>
      <rPr>
        <i/>
        <sz val="10"/>
        <color rgb="FFFF0000"/>
        <rFont val="Arial"/>
        <family val="2"/>
      </rPr>
      <t>- in Drywall</t>
    </r>
  </si>
  <si>
    <t>asked</t>
  </si>
  <si>
    <t>Package Room 196</t>
  </si>
  <si>
    <t>Plam Shelving</t>
  </si>
  <si>
    <t>10/ID8-06</t>
  </si>
  <si>
    <t>Wellness Lounge 219</t>
  </si>
  <si>
    <t>ST-1 Cabinets and trim</t>
  </si>
  <si>
    <t>QTZ-1 Trim (Caesarstone, Taj Royale 5212)</t>
  </si>
  <si>
    <t xml:space="preserve">ST-2 Ceilings </t>
  </si>
  <si>
    <t xml:space="preserve">MTL-1 &amp;RAT-1  Wall Panels </t>
  </si>
  <si>
    <t>9/ID-7.03, 4/ID7-06</t>
  </si>
  <si>
    <t xml:space="preserve">ST-1 Wall trims </t>
  </si>
  <si>
    <t>1-4/ID7-07</t>
  </si>
  <si>
    <t>MIR-X &amp; MTL-1 Custom mirrors</t>
  </si>
  <si>
    <t>ST-2 &amp;WD-3 ceiling</t>
  </si>
  <si>
    <t>WD-8 ceiling beams</t>
  </si>
  <si>
    <t>WD-X &amp; ST-2 ceiling</t>
  </si>
  <si>
    <t>WD-3&amp;ST-2  Fitness cubbies</t>
  </si>
  <si>
    <t>1-4/ID7-07, 5/ID8-07</t>
  </si>
  <si>
    <r>
      <rPr>
        <sz val="10"/>
        <color rgb="FF000000"/>
        <rFont val="Arial"/>
        <family val="2"/>
      </rPr>
      <t xml:space="preserve">MIRR-X arched mirrors </t>
    </r>
    <r>
      <rPr>
        <i/>
        <sz val="10"/>
        <color rgb="FFFF0000"/>
        <rFont val="Arial"/>
        <family val="2"/>
      </rPr>
      <t>- in Mirrors</t>
    </r>
  </si>
  <si>
    <t>1-4/ID7-08</t>
  </si>
  <si>
    <t>WD-1 &amp; ST-1 Cabinets</t>
  </si>
  <si>
    <t>3/ID-7-09</t>
  </si>
  <si>
    <t>WD-6 Trims &amp; paneling</t>
  </si>
  <si>
    <t>WD-4 Wood louver</t>
  </si>
  <si>
    <t>8/ID8-07, 3/ID-7-09</t>
  </si>
  <si>
    <t>painting by others</t>
  </si>
  <si>
    <t>Micro Offices &amp; Co work space East &amp; North</t>
  </si>
  <si>
    <t>WD-3 &amp;ST-1 Stained wood veneer &amp;FAB-4 Benches</t>
  </si>
  <si>
    <t>ID7-10</t>
  </si>
  <si>
    <t>NO FAB</t>
  </si>
  <si>
    <t>WD-3 &amp; ST-1 Cabinets and shelves</t>
  </si>
  <si>
    <t>QTZ-4 Countertops (Corian, Ironstone)</t>
  </si>
  <si>
    <t>QTZ-4 Countertops</t>
  </si>
  <si>
    <t xml:space="preserve">ST-1 Cabinets </t>
  </si>
  <si>
    <t>ST-2 Wood wall trim</t>
  </si>
  <si>
    <t>WD-3 &amp; ST-2 wall trim</t>
  </si>
  <si>
    <r>
      <rPr>
        <b/>
        <sz val="10"/>
        <color rgb="FF000000"/>
        <rFont val="Arial"/>
        <family val="2"/>
      </rPr>
      <t>Elevators Interior -</t>
    </r>
    <r>
      <rPr>
        <b/>
        <i/>
        <sz val="10"/>
        <color rgb="FFFF0000"/>
        <rFont val="Arial"/>
        <family val="2"/>
      </rPr>
      <t xml:space="preserve"> In Elevators allowance</t>
    </r>
  </si>
  <si>
    <t>Elevators Lobby</t>
  </si>
  <si>
    <t>ST-2 trim</t>
  </si>
  <si>
    <t>ID6-07</t>
  </si>
  <si>
    <t>WD-1&amp;ST-2 elevator lobby wall (tambour)</t>
  </si>
  <si>
    <t>ST-2 Cabinet (plam, stained to match ID sample)</t>
  </si>
  <si>
    <t>QTZ-2 tops (Corian, honed)</t>
  </si>
  <si>
    <t>CONC-1 (Concrete wood look, truform concrete, finish clear sealant)(30SF)</t>
  </si>
  <si>
    <t>ID7-11</t>
  </si>
  <si>
    <t>MTL-1</t>
  </si>
  <si>
    <t>Pool Pavilion Tongue and Groove</t>
  </si>
  <si>
    <t>BA-1 Baseboards throughout - 6"</t>
  </si>
  <si>
    <t>Concrete countertop at BBQ grills</t>
  </si>
  <si>
    <t>8 of 10</t>
  </si>
  <si>
    <t>We exclude tree by ID</t>
  </si>
  <si>
    <t>We exclude all FF&amp;E</t>
  </si>
  <si>
    <t>Exterior Finish Carpentry</t>
  </si>
  <si>
    <t>06G</t>
  </si>
  <si>
    <t>Install Doors:</t>
  </si>
  <si>
    <t>Interior Doors:</t>
  </si>
  <si>
    <t xml:space="preserve">  a. single leaf</t>
  </si>
  <si>
    <t xml:space="preserve">  b. 2 leaf</t>
  </si>
  <si>
    <t>Exterior Doors:</t>
  </si>
  <si>
    <t>Base Molding:</t>
  </si>
  <si>
    <t xml:space="preserve">  a. base (material)</t>
  </si>
  <si>
    <t xml:space="preserve">  b. base (install) - Paint Grade $1.75 LF and Stain Grade $2.50 LF</t>
  </si>
  <si>
    <t>Chair Rail:</t>
  </si>
  <si>
    <t xml:space="preserve">  a. chair rail (material)</t>
  </si>
  <si>
    <t xml:space="preserve">  b. chair rail (install)</t>
  </si>
  <si>
    <t>Crown Molding:</t>
  </si>
  <si>
    <t xml:space="preserve">  a. crown molding (material)</t>
  </si>
  <si>
    <t xml:space="preserve">  b. crown molding (install)</t>
  </si>
  <si>
    <t xml:space="preserve">  c. crown molding backing</t>
  </si>
  <si>
    <t>working on Hanging Moss</t>
  </si>
  <si>
    <t>too high</t>
  </si>
  <si>
    <t>waiting for unit int insul</t>
  </si>
  <si>
    <t>EPS</t>
  </si>
  <si>
    <t>no EPS at attic</t>
  </si>
  <si>
    <t>XPS</t>
  </si>
  <si>
    <t>Bidder 7</t>
  </si>
  <si>
    <t>Synergy Foam</t>
  </si>
  <si>
    <t>Gale Insulation</t>
  </si>
  <si>
    <t>Dennaoui</t>
  </si>
  <si>
    <t>CQ Insulation</t>
  </si>
  <si>
    <t>Leed Insulation</t>
  </si>
  <si>
    <t>Arango Insulation</t>
  </si>
  <si>
    <t>Arango Insulation R2</t>
  </si>
  <si>
    <t>Division #7 Specialty Contractors</t>
  </si>
  <si>
    <t>Sprayed Insulation</t>
  </si>
  <si>
    <t>Horacio Hoyos</t>
  </si>
  <si>
    <t>Endy Samaniego</t>
  </si>
  <si>
    <t>Sebastian Gills</t>
  </si>
  <si>
    <t>Kirk Harris</t>
  </si>
  <si>
    <t>Mac Mulleady</t>
  </si>
  <si>
    <t xml:space="preserve">Mariana Hoyos </t>
  </si>
  <si>
    <t xml:space="preserve">Robert Desilva </t>
  </si>
  <si>
    <t>407-849-3665</t>
  </si>
  <si>
    <t>561-989-4113</t>
  </si>
  <si>
    <t>407-312-9008</t>
  </si>
  <si>
    <t xml:space="preserve">772-200-6133 </t>
  </si>
  <si>
    <t>770-716-7514</t>
  </si>
  <si>
    <t>561-800-5124</t>
  </si>
  <si>
    <t>hh@synergyfoam.com</t>
  </si>
  <si>
    <t>endy.samaniego@truteam.com</t>
  </si>
  <si>
    <t>estimating@dennaouiinc.com</t>
  </si>
  <si>
    <t>k.garris@cqinsulation.com</t>
  </si>
  <si>
    <t>mac@leedinsulation.net</t>
  </si>
  <si>
    <t xml:space="preserve"> &lt;mariana@arangoinsulation.com&gt;</t>
  </si>
  <si>
    <t>&lt;r.desilva@d7contractors.com&gt;</t>
  </si>
  <si>
    <t>{with exceptions}</t>
  </si>
  <si>
    <t>{expired}</t>
  </si>
  <si>
    <t>{1.5}</t>
  </si>
  <si>
    <t>{621,493}</t>
  </si>
  <si>
    <t>{1005417}</t>
  </si>
  <si>
    <t>{1,565,933}</t>
  </si>
  <si>
    <t>Wall insulation</t>
  </si>
  <si>
    <t>Exterior walls, exterior side of corridors, MEP Rooms - R4.1 Fi Foil</t>
  </si>
  <si>
    <t>A8.1, A8.2, A7.1.4</t>
  </si>
  <si>
    <t>Tropical reference</t>
  </si>
  <si>
    <t>Shafts walls - no locations - Wall type 9 and 10</t>
  </si>
  <si>
    <t>A8.1, A8.2</t>
  </si>
  <si>
    <t>RFI CD-7</t>
  </si>
  <si>
    <t>Fiberglass insulation at demising walls (6" tunnel walls)</t>
  </si>
  <si>
    <t>Interior walls - unfaced fiberglass batts</t>
  </si>
  <si>
    <t>R-11, R-19 Unfaced Fiberglass Batt</t>
  </si>
  <si>
    <r>
      <rPr>
        <sz val="10"/>
        <color rgb="FF000000"/>
        <rFont val="Arial"/>
        <family val="2"/>
      </rPr>
      <t xml:space="preserve">Mineral wool insulation at partitions 4C-S and 4D-S </t>
    </r>
    <r>
      <rPr>
        <i/>
        <sz val="10"/>
        <color rgb="FFFF0000"/>
        <rFont val="Arial"/>
        <family val="2"/>
      </rPr>
      <t>- not required as per RFI CD#7</t>
    </r>
  </si>
  <si>
    <t>Attic &amp; above ceiling insulation</t>
  </si>
  <si>
    <t>Exterior walls (balcony) 1AF</t>
  </si>
  <si>
    <t>R-5.1 FiFoil</t>
  </si>
  <si>
    <t>R-4.1 FiFoil</t>
  </si>
  <si>
    <t>FF AA-2</t>
  </si>
  <si>
    <t>R-7.1 FiFoil</t>
  </si>
  <si>
    <r>
      <rPr>
        <sz val="10"/>
        <color rgb="FF000000"/>
        <rFont val="Arial"/>
        <family val="2"/>
      </rPr>
      <t xml:space="preserve">R-19min EPS roof insulation at wood trusses @ roof </t>
    </r>
    <r>
      <rPr>
        <i/>
        <sz val="10"/>
        <color rgb="FFFF0000"/>
        <rFont val="Arial"/>
        <family val="2"/>
      </rPr>
      <t>- see roofing</t>
    </r>
  </si>
  <si>
    <t>A5.12, 1/A8.3, A5.1.3</t>
  </si>
  <si>
    <t>Exterior walls (corridors) 1CF,1DF,1AF</t>
  </si>
  <si>
    <t xml:space="preserve">R-19 roof insulation at wood trusses @ low roof Stair #2 </t>
  </si>
  <si>
    <t>A7.1.2</t>
  </si>
  <si>
    <t>CMU walls (trash/MEP) 1AF</t>
  </si>
  <si>
    <t>R-19 roof insulation at entrances (unconditioned space above conditioned space)</t>
  </si>
  <si>
    <t>3/A5.1.2</t>
  </si>
  <si>
    <t>Demising walls Type II &amp; III (4AS)</t>
  </si>
  <si>
    <t>5" mineral wool</t>
  </si>
  <si>
    <t>?</t>
  </si>
  <si>
    <t>2" mineral wool</t>
  </si>
  <si>
    <t>1 1/2" mineral wool</t>
  </si>
  <si>
    <t>R-11 4CS partition</t>
  </si>
  <si>
    <t>R11</t>
  </si>
  <si>
    <t>R19 4DS partition</t>
  </si>
  <si>
    <t>Exterior walls - R4.1 Fi Foil</t>
  </si>
  <si>
    <t>A5.CH.1</t>
  </si>
  <si>
    <t>R-19 Unfaced Fiberglass Batt</t>
  </si>
  <si>
    <t>R11 unit wet walls</t>
  </si>
  <si>
    <t>R19 unit 2DS partition</t>
  </si>
  <si>
    <t>R-19 insulation @ attic</t>
  </si>
  <si>
    <t>R-19 min Insulation at the roof trusses</t>
  </si>
  <si>
    <t xml:space="preserve">HB Adjustment </t>
  </si>
  <si>
    <t>R-19 closed cell ilo EPS</t>
  </si>
  <si>
    <t>R-19 open cell ilo EPS</t>
  </si>
  <si>
    <t>Deduct for Stair 2 ceiling insulation (R-19min batt)</t>
  </si>
  <si>
    <t>Deduct for interior wall partition insulation at units</t>
  </si>
  <si>
    <t>Deduct for interior wall partition insulation at clubhouse</t>
  </si>
  <si>
    <t>waiting for firestopping</t>
  </si>
  <si>
    <t>wrong # of columns</t>
  </si>
  <si>
    <t>Tropic Fire</t>
  </si>
  <si>
    <t>State Line</t>
  </si>
  <si>
    <t>Therma Seal</t>
  </si>
  <si>
    <t>Arch Coatings</t>
  </si>
  <si>
    <t>Ed Smith</t>
  </si>
  <si>
    <t>Robert Becker</t>
  </si>
  <si>
    <t>John A. Greco</t>
  </si>
  <si>
    <t>Ryan Polen</t>
  </si>
  <si>
    <t>407-674-6900</t>
  </si>
  <si>
    <t>561-739-6570</t>
  </si>
  <si>
    <t>954-971-0791</t>
  </si>
  <si>
    <t>508-254-9140</t>
  </si>
  <si>
    <t>727-821-9600</t>
  </si>
  <si>
    <t>estimating@tropicfirepro.com</t>
  </si>
  <si>
    <t>rbecker@statelinefire.com</t>
  </si>
  <si>
    <t>jgreco@thermaseal.net</t>
  </si>
  <si>
    <t xml:space="preserve"> &lt;ryan@archcoatings.com&gt;</t>
  </si>
  <si>
    <t>FIRE STOPPING</t>
  </si>
  <si>
    <r>
      <rPr>
        <sz val="10"/>
        <color rgb="FF000000"/>
        <rFont val="Arial"/>
        <family val="2"/>
      </rPr>
      <t xml:space="preserve">MEP penetrations Residential Buildings </t>
    </r>
    <r>
      <rPr>
        <sz val="10"/>
        <color rgb="FFFF0000"/>
        <rFont val="Arial"/>
        <family val="2"/>
      </rPr>
      <t>- in MEP</t>
    </r>
  </si>
  <si>
    <r>
      <rPr>
        <sz val="10"/>
        <color rgb="FF000000"/>
        <rFont val="Arial"/>
        <family val="2"/>
      </rPr>
      <t xml:space="preserve">MEP penetrations Clubhouse  </t>
    </r>
    <r>
      <rPr>
        <sz val="10"/>
        <color rgb="FFFF0000"/>
        <rFont val="Arial"/>
        <family val="2"/>
      </rPr>
      <t>- in MEP</t>
    </r>
  </si>
  <si>
    <r>
      <rPr>
        <sz val="10"/>
        <color rgb="FF000000"/>
        <rFont val="Arial"/>
        <family val="2"/>
      </rPr>
      <t xml:space="preserve">Fireproof the base of fire rated walls as per drawings </t>
    </r>
    <r>
      <rPr>
        <sz val="10"/>
        <color rgb="FFFF0000"/>
        <rFont val="Arial"/>
        <family val="2"/>
      </rPr>
      <t>- in Drywall</t>
    </r>
  </si>
  <si>
    <t>A8.1</t>
  </si>
  <si>
    <t>Intumescent paint at exposed top and bottom steel plates - corner units</t>
  </si>
  <si>
    <t>3/A8.7</t>
  </si>
  <si>
    <t>Fire stopping head of CMU walls</t>
  </si>
  <si>
    <t>p</t>
  </si>
  <si>
    <t>Davis Bacon</t>
  </si>
  <si>
    <t>Revise primer requirements for the columns</t>
  </si>
  <si>
    <t>Add for intumescent paint at all columsn in rated partitions</t>
  </si>
  <si>
    <t>Add for fire caulking hollow metal doors in CMU walls (entry and BOH)</t>
  </si>
  <si>
    <t>Carried sub GMP</t>
  </si>
  <si>
    <t>Buy Out price</t>
  </si>
  <si>
    <t>Buy Out proposal</t>
  </si>
  <si>
    <t>no LWIC</t>
  </si>
  <si>
    <t xml:space="preserve">Buy out </t>
  </si>
  <si>
    <t>dated 03.09.26</t>
  </si>
  <si>
    <t>email 04.06.26</t>
  </si>
  <si>
    <t>dated 04.26.26</t>
  </si>
  <si>
    <t>dated 04.20.26</t>
  </si>
  <si>
    <t>dated 02.20.26</t>
  </si>
  <si>
    <t>dated 03.23.26</t>
  </si>
  <si>
    <t>dated 03.31.26</t>
  </si>
  <si>
    <t>missing scope - working on update</t>
  </si>
  <si>
    <t>Gutter only</t>
  </si>
  <si>
    <t>Bidder 8</t>
  </si>
  <si>
    <t>Bidder  9</t>
  </si>
  <si>
    <t>Crowther Roofing R2</t>
  </si>
  <si>
    <t>Wolverine Roofing R1</t>
  </si>
  <si>
    <t xml:space="preserve"> Assurance Buy Out</t>
  </si>
  <si>
    <t xml:space="preserve"> Assurance R1</t>
  </si>
  <si>
    <t xml:space="preserve"> Assurance R2</t>
  </si>
  <si>
    <t>Crown Roofing</t>
  </si>
  <si>
    <t>Wolverine Roofing</t>
  </si>
  <si>
    <t>Roofing &amp; Renovation</t>
  </si>
  <si>
    <t>P&amp;A Roofing</t>
  </si>
  <si>
    <t>Evans Roofing</t>
  </si>
  <si>
    <t>Walsh Roofing</t>
  </si>
  <si>
    <t>Vero Beach Roofing</t>
  </si>
  <si>
    <t>Apex Roofing</t>
  </si>
  <si>
    <t xml:space="preserve">Campany Roof </t>
  </si>
  <si>
    <t>Daniel Insulation</t>
  </si>
  <si>
    <t>Peter Antoncic</t>
  </si>
  <si>
    <t>Matt Wikel</t>
  </si>
  <si>
    <t>Felipe Torres</t>
  </si>
  <si>
    <t>Zach Robbin</t>
  </si>
  <si>
    <t>Lenny Petrunt</t>
  </si>
  <si>
    <t>Jessica Hutchins</t>
  </si>
  <si>
    <t>Sam Hazel</t>
  </si>
  <si>
    <t>Steve Cottrel</t>
  </si>
  <si>
    <t>Randy Walker</t>
  </si>
  <si>
    <t>Andrew Yusko</t>
  </si>
  <si>
    <t>Jeff Thomas</t>
  </si>
  <si>
    <t>Alex Lowry</t>
  </si>
  <si>
    <t>239-337-1300</t>
  </si>
  <si>
    <t xml:space="preserve">561-301-1475  </t>
  </si>
  <si>
    <t>305-826-2960</t>
  </si>
  <si>
    <t>239-887-8824</t>
  </si>
  <si>
    <t>954-870-0490</t>
  </si>
  <si>
    <t xml:space="preserve">201-893-4076 </t>
  </si>
  <si>
    <t>772-781-0900</t>
  </si>
  <si>
    <t>772-770-3782</t>
  </si>
  <si>
    <t>407-868-2085</t>
  </si>
  <si>
    <t>561-365-0450</t>
  </si>
  <si>
    <t>407-295-531</t>
  </si>
  <si>
    <t xml:space="preserve">419-205-4837 </t>
  </si>
  <si>
    <t xml:space="preserve"> bids@crowther.net</t>
  </si>
  <si>
    <t>&lt;Matt@wolverineroofers.com&gt;</t>
  </si>
  <si>
    <t>estimating@cellucrete.com</t>
  </si>
  <si>
    <t>zrrofllc@gmail.com</t>
  </si>
  <si>
    <t>lpetrunti@pa-roofing.com</t>
  </si>
  <si>
    <t>jessica@evansroof.com</t>
  </si>
  <si>
    <t>sam@walshrooﬁng.com</t>
  </si>
  <si>
    <t xml:space="preserve">scottrell@verobeachroofing.com&gt; </t>
  </si>
  <si>
    <t xml:space="preserve">rwalker@apexroofing.net  </t>
  </si>
  <si>
    <t>andrew.yusko@campanyroofing.com</t>
  </si>
  <si>
    <t>jeff.thomas@truteam.com</t>
  </si>
  <si>
    <t>&lt;a.lowry@cqinsulation.com&gt;</t>
  </si>
  <si>
    <t>{1.15%}</t>
  </si>
  <si>
    <t>{2.0%}</t>
  </si>
  <si>
    <t>{Expired}</t>
  </si>
  <si>
    <t>{2.08}</t>
  </si>
  <si>
    <t>{no score}</t>
  </si>
  <si>
    <t>{1.8}</t>
  </si>
  <si>
    <t>{2.8}</t>
  </si>
  <si>
    <t>{2,181,635}</t>
  </si>
  <si>
    <t>{$594,860}</t>
  </si>
  <si>
    <t>{$9,408,086}</t>
  </si>
  <si>
    <t>BID FORM</t>
  </si>
  <si>
    <t>{no clarifications}</t>
  </si>
  <si>
    <t>Acknowledgment of Addendums (Addendum #1)</t>
  </si>
  <si>
    <t>Acknowledgment of Clarifications #1-#4</t>
  </si>
  <si>
    <t>Residential Buildings 1 thru 6 TPO</t>
  </si>
  <si>
    <t>Residential Buildings 1 thru 6 Concrete Tile</t>
  </si>
  <si>
    <t>Residential Buildings 1 thru 6 LWIC</t>
  </si>
  <si>
    <t>Clubhouse Concrete Tile</t>
  </si>
  <si>
    <t>Garage 1 to 3  Concrete Tile</t>
  </si>
  <si>
    <t>Maintenance Concrete Tile</t>
  </si>
  <si>
    <t>Pool Pavilion Concrete Tile</t>
  </si>
  <si>
    <t>Sloped Roof</t>
  </si>
  <si>
    <t xml:space="preserve">Polystick TU Plus </t>
  </si>
  <si>
    <t>ask about the polyanchor</t>
  </si>
  <si>
    <t>Polyanchor HV above FRT plywood deck</t>
  </si>
  <si>
    <t>Concrete Roof Tile, Hip&amp;Ridge, Trim Tile</t>
  </si>
  <si>
    <t>Westlake</t>
  </si>
  <si>
    <t>6" Aluminum Gutters and downspouts - for roofing canopies</t>
  </si>
  <si>
    <t>6" Aluminum Gutters and downspouts - for clubhouse</t>
  </si>
  <si>
    <t>Metal flashings, drip edge, valleys, etc</t>
  </si>
  <si>
    <t>Roof vents</t>
  </si>
  <si>
    <t>Roofing membrane at valleys/crickets</t>
  </si>
  <si>
    <t xml:space="preserve">50 year or lifetime warranty </t>
  </si>
  <si>
    <t>{20 year}</t>
  </si>
  <si>
    <t>Flat Roof</t>
  </si>
  <si>
    <t>GAF</t>
  </si>
  <si>
    <t>TPO Roofing System BOD: Firestone Ultra Ply over wood deck</t>
  </si>
  <si>
    <t>A-2.1.6</t>
  </si>
  <si>
    <t>Versico</t>
  </si>
  <si>
    <t>ask how high</t>
  </si>
  <si>
    <t>2" min 300 PSI LWIC R-19 min sloped 1/4"</t>
  </si>
  <si>
    <t>60 mil TPO Roof system</t>
  </si>
  <si>
    <t>TPO Roofing wrapping parapets and side of plywood @ trusses - terminate in metal flashing</t>
  </si>
  <si>
    <t>4/A8.3</t>
  </si>
  <si>
    <t>asked to add</t>
  </si>
  <si>
    <t>Back of decorative parapet up to 8" min  - Addendum #1 Section 3/ A5.1.2</t>
  </si>
  <si>
    <t>3/ A5.1.2</t>
  </si>
  <si>
    <r>
      <rPr>
        <sz val="10"/>
        <color rgb="FF000000"/>
        <rFont val="Arial"/>
        <family val="2"/>
      </rPr>
      <t>Building 5 low roofs</t>
    </r>
    <r>
      <rPr>
        <sz val="10"/>
        <color rgb="FFFF0000"/>
        <rFont val="Arial"/>
        <family val="2"/>
      </rPr>
      <t xml:space="preserve"> - include with concrete contractor and waterproofer, roofer to do LWIC to slope</t>
    </r>
  </si>
  <si>
    <t>Roof drains flashing</t>
  </si>
  <si>
    <t>Scuppers</t>
  </si>
  <si>
    <t>Scuppers and Overflow scuppers flashing</t>
  </si>
  <si>
    <t>Condensate line flashing</t>
  </si>
  <si>
    <t>Walking pads</t>
  </si>
  <si>
    <r>
      <rPr>
        <sz val="10"/>
        <color rgb="FF000000"/>
        <rFont val="Arial"/>
        <family val="2"/>
      </rPr>
      <t>R-19 min EPS insulation at roof mansard cavities</t>
    </r>
    <r>
      <rPr>
        <i/>
        <sz val="10"/>
        <color rgb="FFFF0000"/>
        <rFont val="Arial"/>
        <family val="2"/>
      </rPr>
      <t>- see insulation</t>
    </r>
  </si>
  <si>
    <t>1/A8.3</t>
  </si>
  <si>
    <t>Wood blocking, wood nailer for wall coping</t>
  </si>
  <si>
    <t>20 years NDL warranty</t>
  </si>
  <si>
    <t>Permit fees</t>
  </si>
  <si>
    <t>BO Savings</t>
  </si>
  <si>
    <t>Decorative parapets will be flashed up with TPO roofing 10" - 12"</t>
  </si>
  <si>
    <t>Back of plywood parapets will be flashed all the way up and temrinate in metal flashing</t>
  </si>
  <si>
    <t>HV Polyanchor is included</t>
  </si>
  <si>
    <t>Deduct Polyanchor HV at all roofs</t>
  </si>
  <si>
    <t>Deduct Polyanchor HV at Garages only</t>
  </si>
  <si>
    <t>wrong specs missed Add1</t>
  </si>
  <si>
    <t>revising proposal</t>
  </si>
  <si>
    <t>missing PUMA</t>
  </si>
  <si>
    <t>working on missing items</t>
  </si>
  <si>
    <t>Bidder 1 R1</t>
  </si>
  <si>
    <t>JJ Caulking</t>
  </si>
  <si>
    <t>Triton Waterproofing</t>
  </si>
  <si>
    <t xml:space="preserve">MCW </t>
  </si>
  <si>
    <t>South Florida Caulking</t>
  </si>
  <si>
    <t>Pegasus Painting</t>
  </si>
  <si>
    <t>Joanna Quintana</t>
  </si>
  <si>
    <t>Carlos Sandrea</t>
  </si>
  <si>
    <t>Daniel Bernhard</t>
  </si>
  <si>
    <t>Juliette Salloum</t>
  </si>
  <si>
    <t>Wilberto Paret</t>
  </si>
  <si>
    <t>Jackelyn Urias</t>
  </si>
  <si>
    <t>786-329-1867</t>
  </si>
  <si>
    <t>561-886-7311</t>
  </si>
  <si>
    <t>954-974-0770</t>
  </si>
  <si>
    <t>786-955-7771</t>
  </si>
  <si>
    <t>954-755-4616 xt 109</t>
  </si>
  <si>
    <t xml:space="preserve"> &lt;joanna@jjcwcorp.com&gt;</t>
  </si>
  <si>
    <t>danielbernhard@tritoncandw.com</t>
  </si>
  <si>
    <t>jsalloum@mcwcompanies.com</t>
  </si>
  <si>
    <t>sflacaulking@comcast.net</t>
  </si>
  <si>
    <t xml:space="preserve"> &lt;jackelynu@pegasusfl.us&gt;</t>
  </si>
  <si>
    <t>{3.0%}</t>
  </si>
  <si>
    <t>{3.5%}</t>
  </si>
  <si>
    <t>{Qualified w/exc}</t>
  </si>
  <si>
    <t>{1,005,417}</t>
  </si>
  <si>
    <t>{$594,456}</t>
  </si>
  <si>
    <t xml:space="preserve">Waterproofing, incl.: </t>
  </si>
  <si>
    <t xml:space="preserve">  a. specified waterproofing products as scheduled</t>
  </si>
  <si>
    <t xml:space="preserve">  b. equipment, lifts, sprayers, etc.</t>
  </si>
  <si>
    <t xml:space="preserve">  c. certified installers of product</t>
  </si>
  <si>
    <t xml:space="preserve">  d. protection for adjacent work</t>
  </si>
  <si>
    <t xml:space="preserve">  e. OSHA requirements</t>
  </si>
  <si>
    <t xml:space="preserve">  f. daily cleaup </t>
  </si>
  <si>
    <t xml:space="preserve">  g. Above scope included for:</t>
  </si>
  <si>
    <t>Elevator pit exterior walls - Tremco Tremproof 250GC - 10years warranty</t>
  </si>
  <si>
    <t>A10.1.4</t>
  </si>
  <si>
    <r>
      <rPr>
        <sz val="10"/>
        <color rgb="FF000000"/>
        <rFont val="Arial"/>
        <family val="2"/>
      </rPr>
      <t xml:space="preserve">Elevator pit interior walls </t>
    </r>
    <r>
      <rPr>
        <i/>
        <sz val="10"/>
        <color rgb="FFFF0000"/>
        <rFont val="Arial"/>
        <family val="2"/>
      </rPr>
      <t>- AD MIX in concrete</t>
    </r>
  </si>
  <si>
    <t>Below grade waterproofing - elevator pit foundations - Tremco Amphibia 20 years</t>
  </si>
  <si>
    <t>Corridors sealer (lvl 1 to 5), ground balconies, Electrical, Storage and CATV Rooms - Euclid Stain Sealer</t>
  </si>
  <si>
    <t>Opening Waterproofing -  Euclid Tamoseal as per Addendum #1</t>
  </si>
  <si>
    <t xml:space="preserve">Stucco termination grade level -  Euclid Tamoseal </t>
  </si>
  <si>
    <t>11/A8.3</t>
  </si>
  <si>
    <t>PUMA at decorative parapets as per Addendum #1 (Tremco EWS -10 years)</t>
  </si>
  <si>
    <t>A10.1.2</t>
  </si>
  <si>
    <r>
      <rPr>
        <sz val="10"/>
        <color rgb="FF000000"/>
        <rFont val="Arial"/>
        <family val="2"/>
      </rPr>
      <t xml:space="preserve">MVIS waterproofing for stone veneer @ entrances </t>
    </r>
    <r>
      <rPr>
        <i/>
        <sz val="10"/>
        <color rgb="FFFF0000"/>
        <rFont val="Arial"/>
        <family val="2"/>
      </rPr>
      <t>- in stone veneer</t>
    </r>
  </si>
  <si>
    <t>Vulkem 350 traffic coating at Building 5 low roof area to receive structural LWIC</t>
  </si>
  <si>
    <t>Eyebrow waterproofing as per Addendum #1</t>
  </si>
  <si>
    <t>Elevator pit exterior walls -as per Addendum #1(Tremco Tremproof 250GC - 10years warranty)</t>
  </si>
  <si>
    <t>Elevated Terraces and East stairs,MEP rooms etc - per plans (Euclid Stain Sealer)</t>
  </si>
  <si>
    <t>Exterior Clubhouse main stairs - West (Vulkem 350NF/351)</t>
  </si>
  <si>
    <r>
      <rPr>
        <sz val="10"/>
        <color rgb="FF000000"/>
        <rFont val="Arial"/>
        <family val="2"/>
      </rPr>
      <t xml:space="preserve">MVIS waterproofing for stone veneer </t>
    </r>
    <r>
      <rPr>
        <i/>
        <sz val="10"/>
        <color rgb="FFFF0000"/>
        <rFont val="Arial"/>
        <family val="2"/>
      </rPr>
      <t>- in stone veneer</t>
    </r>
  </si>
  <si>
    <t>Maintenance Room - per plans (Euclid Eucopoxy Tufcoat), per Tropical NOT YET approved specs (MasterProtect H1000)</t>
  </si>
  <si>
    <t>Bulk Trash floor - as per Addendum #1 (Euclid tinted sealer)</t>
  </si>
  <si>
    <t>Garage floor - as per Addendum #1 (Euclid tinted sealer)</t>
  </si>
  <si>
    <t>Planter Waterproofing</t>
  </si>
  <si>
    <t>Check sealant and backer rod scopes specially precast scuppers</t>
  </si>
  <si>
    <t>Add for Vulkem ilo Increte sealer at elevated balconies</t>
  </si>
  <si>
    <t>Remove PUMA waterproofing at parapet top</t>
  </si>
  <si>
    <t>Add Vulkem to decorative parapet top</t>
  </si>
  <si>
    <t>Vulkem ilo PUMA at parapets</t>
  </si>
  <si>
    <t>Masterprotect ilo Euclid Increte Sealer</t>
  </si>
  <si>
    <t>Sikaguard sealer ilo Eucopoxy</t>
  </si>
  <si>
    <t>Remove concrete sealer at Garages</t>
  </si>
  <si>
    <t>Siding</t>
  </si>
  <si>
    <t>07F</t>
  </si>
  <si>
    <t>Panelized Exterior Skin</t>
  </si>
  <si>
    <t>07H</t>
  </si>
  <si>
    <t>Non impact doors</t>
  </si>
  <si>
    <t>common areas &amp; clubhouse on the works</t>
  </si>
  <si>
    <t>with locks</t>
  </si>
  <si>
    <t>VE hardware not Schlage</t>
  </si>
  <si>
    <t>dated 04.30.26</t>
  </si>
  <si>
    <t>dated 04.29.26</t>
  </si>
  <si>
    <t>invalid</t>
  </si>
  <si>
    <t>install only</t>
  </si>
  <si>
    <t>waiting for proposal</t>
  </si>
  <si>
    <t>waiting for update</t>
  </si>
  <si>
    <t>Exclusive Trim R3</t>
  </si>
  <si>
    <t>JDR Doors &amp; Hardware</t>
  </si>
  <si>
    <t>Mako Millwork</t>
  </si>
  <si>
    <t>Javier Perez</t>
  </si>
  <si>
    <t>Luis Graef</t>
  </si>
  <si>
    <t>Stephani Embry</t>
  </si>
  <si>
    <t>470-998-8830</t>
  </si>
  <si>
    <t>817-238-3077</t>
  </si>
  <si>
    <t>(954)963-9331</t>
  </si>
  <si>
    <t>321-759-8210</t>
  </si>
  <si>
    <t>javier@jdridoors.com</t>
  </si>
  <si>
    <t>Estimating@ETIFlorida.com.</t>
  </si>
  <si>
    <t xml:space="preserve"> &lt;Stephani@makomillwork.com&gt;</t>
  </si>
  <si>
    <t>Interior Finished Carpentry</t>
  </si>
  <si>
    <t>{1.75%}</t>
  </si>
  <si>
    <t>{2.5%}</t>
  </si>
  <si>
    <t>{5,000,000}</t>
  </si>
  <si>
    <t>{$2,260,803}</t>
  </si>
  <si>
    <t>Residential Units</t>
  </si>
  <si>
    <t>E-01</t>
  </si>
  <si>
    <t xml:space="preserve">Entry Doors - HM - 20min rated - flush </t>
  </si>
  <si>
    <t>A3.0</t>
  </si>
  <si>
    <t>HM with Welded frame 20min 1-3/4</t>
  </si>
  <si>
    <t>{20min}</t>
  </si>
  <si>
    <t>HM with WD frame 90min 1-3/4"</t>
  </si>
  <si>
    <r>
      <rPr>
        <sz val="11"/>
        <color rgb="FF000000"/>
        <rFont val="Calibri"/>
        <family val="2"/>
        <scheme val="minor"/>
      </rPr>
      <t xml:space="preserve">HM with </t>
    </r>
    <r>
      <rPr>
        <sz val="11"/>
        <color rgb="FFFF0000"/>
        <rFont val="Calibri"/>
        <family val="2"/>
        <scheme val="minor"/>
      </rPr>
      <t>XX</t>
    </r>
    <r>
      <rPr>
        <sz val="11"/>
        <color rgb="FF000000"/>
        <rFont val="Calibri"/>
        <family val="2"/>
        <scheme val="minor"/>
      </rPr>
      <t xml:space="preserve"> frame 20min 1-3/4"</t>
    </r>
  </si>
  <si>
    <t>HM with KD frame 20min 1-3/4"</t>
  </si>
  <si>
    <t>AC-01/02</t>
  </si>
  <si>
    <r>
      <rPr>
        <sz val="11"/>
        <color rgb="FF000000"/>
        <rFont val="Calibri"/>
        <family val="2"/>
        <scheme val="minor"/>
      </rPr>
      <t xml:space="preserve">AC Closet Doors - WD - louvered </t>
    </r>
    <r>
      <rPr>
        <i/>
        <sz val="11"/>
        <color rgb="FFFF0000"/>
        <rFont val="Calibri"/>
        <family val="2"/>
        <scheme val="minor"/>
      </rPr>
      <t>( to receive intumescent paint - in painting)</t>
    </r>
  </si>
  <si>
    <t>1-3/8" louvered</t>
  </si>
  <si>
    <t>1-3/4" SC</t>
  </si>
  <si>
    <t>1-3/8" SC</t>
  </si>
  <si>
    <t>BD-01</t>
  </si>
  <si>
    <r>
      <rPr>
        <sz val="11"/>
        <color rgb="FF000000"/>
        <rFont val="Calibri"/>
        <family val="2"/>
        <scheme val="minor"/>
      </rPr>
      <t xml:space="preserve">Bedroom Doors - WD - stile &amp; rail </t>
    </r>
    <r>
      <rPr>
        <i/>
        <sz val="11"/>
        <color rgb="FFFF0000"/>
        <rFont val="Calibri"/>
        <family val="2"/>
        <scheme val="minor"/>
      </rPr>
      <t>- premolded face as per RFI</t>
    </r>
  </si>
  <si>
    <t>1-3/8" HC</t>
  </si>
  <si>
    <t>BD-02</t>
  </si>
  <si>
    <r>
      <rPr>
        <sz val="11"/>
        <color rgb="FF000000"/>
        <rFont val="Calibri"/>
        <family val="2"/>
        <scheme val="minor"/>
      </rPr>
      <t xml:space="preserve">Bedroom Doors - single WD - barn door  w/ stile &amp; rail </t>
    </r>
    <r>
      <rPr>
        <i/>
        <sz val="11"/>
        <color rgb="FFFF0000"/>
        <rFont val="Calibri"/>
        <family val="2"/>
        <scheme val="minor"/>
      </rPr>
      <t>- premolded face as per RFI</t>
    </r>
  </si>
  <si>
    <t>BD-03</t>
  </si>
  <si>
    <t>Bedroom Doors - double WD - barn door w/ flush panel</t>
  </si>
  <si>
    <t>BT-01</t>
  </si>
  <si>
    <r>
      <rPr>
        <sz val="11"/>
        <color rgb="FF000000"/>
        <rFont val="Calibri"/>
        <family val="2"/>
        <scheme val="minor"/>
      </rPr>
      <t xml:space="preserve">Bathroom Doors - WD - stile &amp; rail </t>
    </r>
    <r>
      <rPr>
        <i/>
        <sz val="11"/>
        <color rgb="FFFF0000"/>
        <rFont val="Calibri"/>
        <family val="2"/>
        <scheme val="minor"/>
      </rPr>
      <t>- premolded face as per RFI</t>
    </r>
  </si>
  <si>
    <t>CL-01/03</t>
  </si>
  <si>
    <r>
      <rPr>
        <sz val="11"/>
        <color rgb="FF000000"/>
        <rFont val="Calibri"/>
        <family val="2"/>
        <scheme val="minor"/>
      </rPr>
      <t xml:space="preserve">WIC Doors - WD - stile &amp; rail - single </t>
    </r>
    <r>
      <rPr>
        <i/>
        <sz val="11"/>
        <color rgb="FFFF0000"/>
        <rFont val="Calibri"/>
        <family val="2"/>
        <scheme val="minor"/>
      </rPr>
      <t>- premolded face as per RFI</t>
    </r>
  </si>
  <si>
    <t>CL-02</t>
  </si>
  <si>
    <r>
      <rPr>
        <sz val="11"/>
        <color rgb="FF000000"/>
        <rFont val="Calibri"/>
        <family val="2"/>
        <scheme val="minor"/>
      </rPr>
      <t xml:space="preserve">Closet Doors - WD - stile &amp; rail - double </t>
    </r>
    <r>
      <rPr>
        <i/>
        <sz val="11"/>
        <color rgb="FFFF0000"/>
        <rFont val="Calibri"/>
        <family val="2"/>
        <scheme val="minor"/>
      </rPr>
      <t>- premolded face as per RFI</t>
    </r>
  </si>
  <si>
    <t>CL-04/05</t>
  </si>
  <si>
    <r>
      <rPr>
        <sz val="11"/>
        <color rgb="FF000000"/>
        <rFont val="Calibri"/>
        <family val="2"/>
        <scheme val="minor"/>
      </rPr>
      <t>Linen Closet Doors - WD - stile &amp; rail</t>
    </r>
    <r>
      <rPr>
        <i/>
        <sz val="11"/>
        <color rgb="FFFF0000"/>
        <rFont val="Calibri"/>
        <family val="2"/>
        <scheme val="minor"/>
      </rPr>
      <t xml:space="preserve"> - premolded face as per RFI</t>
    </r>
  </si>
  <si>
    <t>DN-01</t>
  </si>
  <si>
    <t>Den Doors - WD - barn door w/ flush panel</t>
  </si>
  <si>
    <t xml:space="preserve"> {18min} </t>
  </si>
  <si>
    <t>LD-01/02</t>
  </si>
  <si>
    <t>Laundry Room Doors - WD - louvered</t>
  </si>
  <si>
    <t>1-3/4"</t>
  </si>
  <si>
    <t>Hardware - Schlage, Color: Matte Black</t>
  </si>
  <si>
    <t>Alternate HDW</t>
  </si>
  <si>
    <t>asked specs</t>
  </si>
  <si>
    <t>BOH Hollow Metal Doors</t>
  </si>
  <si>
    <t>Electrical Rooms - 3'x7' - 90min fire rated - flush</t>
  </si>
  <si>
    <t>Electrical Rooms - 6'x7' - 90min fire rated - flush @Bldg 2,3</t>
  </si>
  <si>
    <t>Storage - 3'x7' - 45min fire rated - flush</t>
  </si>
  <si>
    <t>Corridor/Janitorial - 3' x 7' - 45min fire rated - flush</t>
  </si>
  <si>
    <t>Trash Room - 6'x7' - flush</t>
  </si>
  <si>
    <t>Trash Room - 4'x7' - flush - 90min</t>
  </si>
  <si>
    <t>Trash/Recycling - 3'x7' - 45min fire rated - flush</t>
  </si>
  <si>
    <t>Trash/Recycling - 3'x7' - 90min fire rated - flush @Bldg 4,5,6</t>
  </si>
  <si>
    <t>Trash Chute - 3'x7' - 45min fire rated - flush</t>
  </si>
  <si>
    <t>Dom. Pump/Fire Pump - 6'x7' - flush</t>
  </si>
  <si>
    <t>Stair #1-#2 - 3'x7' - 90min fire rated - flush</t>
  </si>
  <si>
    <t>Bike Storage - 3'x7' - 45min fire rated - flush @Bldg 2,3</t>
  </si>
  <si>
    <t>Bike Storage - 6'x7' - flush @Bldg 2,3</t>
  </si>
  <si>
    <t>CATV - 3' x 7' - 90min @Bldg 4,5</t>
  </si>
  <si>
    <t xml:space="preserve">Hardware </t>
  </si>
  <si>
    <t>ID Doors</t>
  </si>
  <si>
    <t>D-5,6,7,10,21 Louvered wood door, wood frame, matte black hardware</t>
  </si>
  <si>
    <t>D-8 HM door, HM frame, matte black hardware</t>
  </si>
  <si>
    <t>D-11 to D-19 Barn door, GL/MTL-1, matte black hardware</t>
  </si>
  <si>
    <t>D-20 Barn door, GL/MTL-1, matte black hardware</t>
  </si>
  <si>
    <t>BOH Doors</t>
  </si>
  <si>
    <t>Wood doors, wood frames, painted (1-05, 1-12, 1-22, 1-23, 2-03A, 2-03B, 2-04, 2-06A)</t>
  </si>
  <si>
    <t>HM doors, HM frames, painted (1-06A 1-19, 1-21, 1-24, 1-25, 2-18)</t>
  </si>
  <si>
    <t>Hollow Metal painted doors(101,101A,101B)</t>
  </si>
  <si>
    <t xml:space="preserve">Garage 1 </t>
  </si>
  <si>
    <t>HM doors, HM frames, painted (101, 102)</t>
  </si>
  <si>
    <t>Garage 2&amp;3 - no doors</t>
  </si>
  <si>
    <t>Material Distribution &amp; Punch out</t>
  </si>
  <si>
    <t>Construction cores (for locks)</t>
  </si>
  <si>
    <t>Installation of welded frames in CMU</t>
  </si>
  <si>
    <r>
      <rPr>
        <sz val="11"/>
        <color rgb="FF000000"/>
        <rFont val="Calibri"/>
        <scheme val="minor"/>
      </rPr>
      <t xml:space="preserve">Grout fire rated door frames  </t>
    </r>
    <r>
      <rPr>
        <sz val="11"/>
        <color rgb="FFFF0000"/>
        <rFont val="Calibri"/>
        <scheme val="minor"/>
      </rPr>
      <t>- see alternate below</t>
    </r>
  </si>
  <si>
    <r>
      <rPr>
        <sz val="11"/>
        <color rgb="FF000000"/>
        <rFont val="Calibri"/>
        <family val="2"/>
        <scheme val="minor"/>
      </rPr>
      <t xml:space="preserve">Door casings </t>
    </r>
    <r>
      <rPr>
        <i/>
        <sz val="11"/>
        <color rgb="FFFF0000"/>
        <rFont val="Calibri"/>
        <family val="2"/>
        <scheme val="minor"/>
      </rPr>
      <t>- in Interior Finish Carpentry</t>
    </r>
  </si>
  <si>
    <t>asked to break out</t>
  </si>
  <si>
    <r>
      <rPr>
        <sz val="11"/>
        <color rgb="FF000000"/>
        <rFont val="Calibri"/>
        <family val="2"/>
        <scheme val="minor"/>
      </rPr>
      <t xml:space="preserve">Running Trim  </t>
    </r>
    <r>
      <rPr>
        <i/>
        <sz val="11"/>
        <color rgb="FFFF0000"/>
        <rFont val="Calibri"/>
        <family val="2"/>
        <scheme val="minor"/>
      </rPr>
      <t>- in Interior Finish Carpentry</t>
    </r>
  </si>
  <si>
    <t>Electronic locks</t>
  </si>
  <si>
    <t>Entry door to be one panel</t>
  </si>
  <si>
    <t>1-3/8" thick solid core doors at bathroom &amp; bedrooms</t>
  </si>
  <si>
    <t>Flat panel entry door</t>
  </si>
  <si>
    <t>Deduct for electronic locks</t>
  </si>
  <si>
    <t>Raised panel entry door</t>
  </si>
  <si>
    <t>Grout frames</t>
  </si>
  <si>
    <t>Bi fold doors at Units closets ilo prehung</t>
  </si>
  <si>
    <t>Swing doors at Units closets ilo swing</t>
  </si>
  <si>
    <t>Cal Royal hardware ilo Schlage Latitude</t>
  </si>
  <si>
    <t>VE hollow core doors at bathrooms and bedrooms</t>
  </si>
  <si>
    <t>Retractable Screens</t>
  </si>
  <si>
    <t>08 30</t>
  </si>
  <si>
    <t>6 doors only</t>
  </si>
  <si>
    <t>sent wind loads</t>
  </si>
  <si>
    <t>All American Doors</t>
  </si>
  <si>
    <t>Allied Doors</t>
  </si>
  <si>
    <t>BRasco</t>
  </si>
  <si>
    <t>General Garage Door</t>
  </si>
  <si>
    <t>D &amp; D Garage Doors Inc.</t>
  </si>
  <si>
    <t>Rolling Door</t>
  </si>
  <si>
    <t>Industrial Door Solution</t>
  </si>
  <si>
    <t>Carla Martinez</t>
  </si>
  <si>
    <t>Michael Scheer</t>
  </si>
  <si>
    <t>Siri</t>
  </si>
  <si>
    <t>Doug Clavelo</t>
  </si>
  <si>
    <t>Rosaura M.</t>
  </si>
  <si>
    <t>Ileana Nodar</t>
  </si>
  <si>
    <t>Dan Reagan</t>
  </si>
  <si>
    <t xml:space="preserve">(786) 857-1185	</t>
  </si>
  <si>
    <t>(954) 942-8550</t>
  </si>
  <si>
    <t xml:space="preserve">(561) 844-6145	</t>
  </si>
  <si>
    <t>954 549 3662</t>
  </si>
  <si>
    <t>305-599-9977</t>
  </si>
  <si>
    <t>786-514-8156</t>
  </si>
  <si>
    <t>561-284-5643</t>
  </si>
  <si>
    <t>carla@allamericandoors.com</t>
  </si>
  <si>
    <t xml:space="preserve"> &lt;mscheer@allied-doors.com&gt;</t>
  </si>
  <si>
    <t>paul@generalgaragedoor.com'</t>
  </si>
  <si>
    <t xml:space="preserve"> &lt;mail@jgaraged.com&gt;</t>
  </si>
  <si>
    <t xml:space="preserve">mail@rolling-door.com&gt; </t>
  </si>
  <si>
    <t xml:space="preserve">ileana@industrialdoorsolution.com&gt; </t>
  </si>
  <si>
    <t xml:space="preserve"> &lt;dregan@overheaddoortc.com&gt;</t>
  </si>
  <si>
    <t>OVERHEAD DOORS</t>
  </si>
  <si>
    <t>{37 Clopay F4 8x8 Coiling}</t>
  </si>
  <si>
    <t>{Amarr brand,  Heritage 1000}</t>
  </si>
  <si>
    <t>{Wayne Dalton 9100 Series}</t>
  </si>
  <si>
    <t>{37 Wayne Dalton 8x8 Coiling}</t>
  </si>
  <si>
    <t>{37 Clopay 8x8 Coiling}</t>
  </si>
  <si>
    <t>{37 doors 8x8 }</t>
  </si>
  <si>
    <t>{39 Clopay 8x8 Coiling}</t>
  </si>
  <si>
    <t>Garage doors</t>
  </si>
  <si>
    <t xml:space="preserve">Maintenance building </t>
  </si>
  <si>
    <t>Motor operated or manual hoist</t>
  </si>
  <si>
    <t>{Lift-Master }</t>
  </si>
  <si>
    <t>{chain drive}</t>
  </si>
  <si>
    <t>{motor operated}</t>
  </si>
  <si>
    <t>{chain hoist}</t>
  </si>
  <si>
    <t>Insulated or non insulated</t>
  </si>
  <si>
    <t>{non insulated}</t>
  </si>
  <si>
    <t>Compliance with Section 1626 High Velocity Hurrizane zones impact - See wind loads in Structural plans</t>
  </si>
  <si>
    <t>G1 Roll up motorized with 60SF vent</t>
  </si>
  <si>
    <t>A6.G1.1</t>
  </si>
  <si>
    <t>Add for Keypad</t>
  </si>
  <si>
    <t>ASTA 424 WL 14 ga 8x8 ilo Clopay garage doors</t>
  </si>
  <si>
    <t>PGT</t>
  </si>
  <si>
    <t>TO REVISE</t>
  </si>
  <si>
    <t>includes D11-19 barn</t>
  </si>
  <si>
    <t>AAMA2603 only</t>
  </si>
  <si>
    <t>dated 04.24.25</t>
  </si>
  <si>
    <t>dated 04.03.26</t>
  </si>
  <si>
    <t>dated 04.22.26</t>
  </si>
  <si>
    <t>GMP</t>
  </si>
  <si>
    <t>too small</t>
  </si>
  <si>
    <t>CWS- Residential, Coral- Clubhouse</t>
  </si>
  <si>
    <t>interior only</t>
  </si>
  <si>
    <t>Bidder 3 R2</t>
  </si>
  <si>
    <t>Bidder 9</t>
  </si>
  <si>
    <t>Sunshine Windows</t>
  </si>
  <si>
    <t>Div 8</t>
  </si>
  <si>
    <t>A Christian R1</t>
  </si>
  <si>
    <t>SAP</t>
  </si>
  <si>
    <t xml:space="preserve">Bozarth </t>
  </si>
  <si>
    <t>Unlimited Windows and Doors</t>
  </si>
  <si>
    <t>New Image</t>
  </si>
  <si>
    <t>Infinite Windows</t>
  </si>
  <si>
    <t>MTM glass concepts</t>
  </si>
  <si>
    <t>The Sliding Door company</t>
  </si>
  <si>
    <t>Intus Windows</t>
  </si>
  <si>
    <t>Altitude Facade</t>
  </si>
  <si>
    <t>NR</t>
  </si>
  <si>
    <t>Kevin Cepero</t>
  </si>
  <si>
    <t>Johnny Cruz</t>
  </si>
  <si>
    <t>Jake Dable</t>
  </si>
  <si>
    <t>Abraham Kurnick</t>
  </si>
  <si>
    <t>Tim Yates</t>
  </si>
  <si>
    <t>Giovanni Azevedo</t>
  </si>
  <si>
    <t xml:space="preserve">Alex Powers </t>
  </si>
  <si>
    <t>Esteban Kadamani</t>
  </si>
  <si>
    <t>Arnaldo T. Liens</t>
  </si>
  <si>
    <t>Jason Jensen</t>
  </si>
  <si>
    <t>Sullivan Shea</t>
  </si>
  <si>
    <t>05-364-9952 ext 204</t>
  </si>
  <si>
    <t>561-866-2122</t>
  </si>
  <si>
    <t xml:space="preserve"> 786-523-6730</t>
  </si>
  <si>
    <t>713-416-5322</t>
  </si>
  <si>
    <t>772-324-1606</t>
  </si>
  <si>
    <t>407-454-0417</t>
  </si>
  <si>
    <t>786-518-3725</t>
  </si>
  <si>
    <t>786-899-2840</t>
  </si>
  <si>
    <t>561-202-1412</t>
  </si>
  <si>
    <t>571-732-0004</t>
  </si>
  <si>
    <t xml:space="preserve"> &lt;kcepero@sunshinewindows.com&gt;</t>
  </si>
  <si>
    <t>&lt;johnny@div8windowsanddoors.com&gt;</t>
  </si>
  <si>
    <t>jake@a-christianglass.com</t>
  </si>
  <si>
    <t>sales@sapwindows.com</t>
  </si>
  <si>
    <t xml:space="preserve"> &lt;tyates@bozarthcontractors.com&gt;</t>
  </si>
  <si>
    <t>giovanni@uwdinstalls.com</t>
  </si>
  <si>
    <t xml:space="preserve">&lt;alex@newimagegc.com&gt; </t>
  </si>
  <si>
    <t>esteban@infinitewindows.em</t>
  </si>
  <si>
    <t xml:space="preserve"> &lt;arnaldo@mtmglassconcepts.com&gt;</t>
  </si>
  <si>
    <t>jjensen@slidingdoorco.com</t>
  </si>
  <si>
    <t>sullivan@intuswindows.com</t>
  </si>
  <si>
    <t>{3.25%}</t>
  </si>
  <si>
    <t>{3%}</t>
  </si>
  <si>
    <t>{ Qualified}</t>
  </si>
  <si>
    <t>{5.0}</t>
  </si>
  <si>
    <t>{1.7}</t>
  </si>
  <si>
    <t>{6,000,000}</t>
  </si>
  <si>
    <t>{$632,928}</t>
  </si>
  <si>
    <t>Exterior Windows and Storefronts (Impact rated)</t>
  </si>
  <si>
    <t>A.6.1.11</t>
  </si>
  <si>
    <t>Specs as per All American Windows</t>
  </si>
  <si>
    <t>propietary specs</t>
  </si>
  <si>
    <t>Fixed windows MX1500</t>
  </si>
  <si>
    <t>MX</t>
  </si>
  <si>
    <t>B1, B16 Sliding Windows EL200/MX2000</t>
  </si>
  <si>
    <t>EL-200/MX200</t>
  </si>
  <si>
    <t>4060 , 3040, 2640 Horizontal sliding</t>
  </si>
  <si>
    <t>French Doors MX3000</t>
  </si>
  <si>
    <t>ES-MX3000</t>
  </si>
  <si>
    <t>SD-01, SD-02 Sliding Glass Doors MX4000</t>
  </si>
  <si>
    <t>ES-MX400</t>
  </si>
  <si>
    <t>8080 Sliding door
6680 Sliding door</t>
  </si>
  <si>
    <t>Storefront Window ES8000</t>
  </si>
  <si>
    <t>ES8000</t>
  </si>
  <si>
    <t>Storefront Doors ES9000</t>
  </si>
  <si>
    <t>Folding door – Clubhouse ES BF5010T</t>
  </si>
  <si>
    <t>Manufacturer: ES Windows</t>
  </si>
  <si>
    <t>Glazing: Single pane clear, gray</t>
  </si>
  <si>
    <t>SHGC: 0.5 minimum and U-Value=1.07</t>
  </si>
  <si>
    <t>U value 0.86, SHGC 0.55</t>
  </si>
  <si>
    <t>SHGC 0.5, U 1.07</t>
  </si>
  <si>
    <t>SHGC 0.46, U 1.03</t>
  </si>
  <si>
    <t>SHGC 0.21, U 0.48</t>
  </si>
  <si>
    <t>SHGC 0.47, U 1.07</t>
  </si>
  <si>
    <t>RFI CD-4</t>
  </si>
  <si>
    <t>Frame: Al with AAMA2604 Finish</t>
  </si>
  <si>
    <t>AAMA2603</t>
  </si>
  <si>
    <t>AAMA2604</t>
  </si>
  <si>
    <t>AAMA2605, to deduct</t>
  </si>
  <si>
    <t>SD-01 Sliding Doors, (8' x 8' )</t>
  </si>
  <si>
    <t>SD-02 Sliding Doors, (6'-6" x 8' )</t>
  </si>
  <si>
    <t>B1 Sliding Window (4' x 6')</t>
  </si>
  <si>
    <t>B16 Sliding Window (3' x 4')</t>
  </si>
  <si>
    <t>D-01 Door at balconies 3rd floor  gridlines  III.16 - III.18(3'-3" x 3')</t>
  </si>
  <si>
    <t>D3 Window at balconies 3rd floor gridlines III.16 - III.18(3'-6" x 7'-2")</t>
  </si>
  <si>
    <t>D2 Fixed Windows (9' x 6')</t>
  </si>
  <si>
    <t>D1 Fixed Window (3'-6" x 8'-10")</t>
  </si>
  <si>
    <t>B1 Sliding Window (4' x 6',  131 ea)</t>
  </si>
  <si>
    <t>B1 Sliding Window (4' x 6',  132 ea)</t>
  </si>
  <si>
    <t>A6.CH.2</t>
  </si>
  <si>
    <t>Interior Doors</t>
  </si>
  <si>
    <t>D-1 Interior Double Door,GL/MTL-1, matte black hardware</t>
  </si>
  <si>
    <t>D-2,3,4 Interior door, GL/MTL, matte black hardware</t>
  </si>
  <si>
    <t>missing D4</t>
  </si>
  <si>
    <t>D-9 Double door, GL/MTL-1</t>
  </si>
  <si>
    <t xml:space="preserve">D-22 Single storefront door, GL, </t>
  </si>
  <si>
    <t>missing D22</t>
  </si>
  <si>
    <t>D-23  Interior Double Door,GL/MTL-1, matte black hardware</t>
  </si>
  <si>
    <t>Interior Storefronts</t>
  </si>
  <si>
    <t>S-03 Interior Storefront @ Fitness (Door D-22 ID Drawings is part of this storefront)</t>
  </si>
  <si>
    <t>S-04 Interior Storefront @ Leasing (Door D-1 in ID Drawings is part of this storefront)</t>
  </si>
  <si>
    <t>Exterior Storefronts</t>
  </si>
  <si>
    <t>SF-00 (13'-8" x 20'-10")</t>
  </si>
  <si>
    <t>SF-01 (13'-8" x 20'-10")</t>
  </si>
  <si>
    <t>SF-02 (5'-8" x 10')</t>
  </si>
  <si>
    <t>SF-03 (Bifold door 3-panel) (11'-6"  x 10')</t>
  </si>
  <si>
    <t>Exterior Storefront Doors Hardware</t>
  </si>
  <si>
    <t>Door Leaf (D1, D-2, D-3, D-4, D-22, D-23)</t>
  </si>
  <si>
    <t>Exterior Windows</t>
  </si>
  <si>
    <t>C1 fixed window (4'-10" x 7' , 2ea)</t>
  </si>
  <si>
    <t>C1.1 fixed window (4'-10" x 7',  1ea)</t>
  </si>
  <si>
    <t>C2 fixed window (4' x 7', 14ea)</t>
  </si>
  <si>
    <t>C2.1 fixed window (4' x 7', 2ea)</t>
  </si>
  <si>
    <t>C3 fixed window (3' x 7', 3ea)</t>
  </si>
  <si>
    <t>C3.1 fixed window (3' x 7', 5ea)</t>
  </si>
  <si>
    <t>C3.2 fixed window (3' x 7', 1ea)</t>
  </si>
  <si>
    <t>C4 fixed window (3'-6" x 7', 6ea)</t>
  </si>
  <si>
    <t>{4}</t>
  </si>
  <si>
    <t>C5 fixed window (10'-6" x 7', 1ea)</t>
  </si>
  <si>
    <t>{2}</t>
  </si>
  <si>
    <t>C6  fixed window (3' x 4'-6", 3ea)</t>
  </si>
  <si>
    <t>C8  fixed window w/ transom (3'-4" x 10', 4ea)</t>
  </si>
  <si>
    <t>C10  fixed window (2'-8" x 9'-5", 10ea)</t>
  </si>
  <si>
    <t>S-07 fixed windows above wellness lounge countertop (20'-11" x 3'-6", 1ea)</t>
  </si>
  <si>
    <t>D2 Double outswing door, panic hardware, accessible hardware</t>
  </si>
  <si>
    <t>D4 Single outswing door, panic hardware, accessible hardware</t>
  </si>
  <si>
    <t>D5 Single outswing door, panic hardware, accessible hardware</t>
  </si>
  <si>
    <t>M1 Sliding Windows (3' x 5', 3 ea)</t>
  </si>
  <si>
    <t>G1 Fixed Windows, translucent glazing (3' x 5'-4", 4 ea)</t>
  </si>
  <si>
    <t>All exterior windows/storefronts to comply with section 1626 HVHZ - NOA</t>
  </si>
  <si>
    <t>Blue Max on exterior side</t>
  </si>
  <si>
    <t xml:space="preserve">Caulking on exterior side </t>
  </si>
  <si>
    <r>
      <rPr>
        <i/>
        <sz val="10"/>
        <color rgb="FF000000"/>
        <rFont val="Arial"/>
        <family val="2"/>
      </rPr>
      <t xml:space="preserve">Caulking on interior side </t>
    </r>
    <r>
      <rPr>
        <i/>
        <sz val="10"/>
        <color rgb="FFFF0000"/>
        <rFont val="Arial"/>
        <family val="2"/>
      </rPr>
      <t>- Painting</t>
    </r>
  </si>
  <si>
    <t>Solarban</t>
  </si>
  <si>
    <t>add for Tariff</t>
  </si>
  <si>
    <t>steel credit</t>
  </si>
  <si>
    <t>Add for Solarban</t>
  </si>
  <si>
    <t>Add for Euclid Cementitious waterproofing</t>
  </si>
  <si>
    <t>Tarrif</t>
  </si>
  <si>
    <t>Changing all 755 Mark B1 Horizontal Rollers from EL200 @ 72" high to MX2000 @ 63"High</t>
  </si>
  <si>
    <t>Changing all 755 Mark B1 Horizontal Rollers from EL200 @ 48" x 72" to MX2000 @ 60" x 60"</t>
  </si>
  <si>
    <t>Changing all 755 Mark B1 Horizontal Rollers from EL200 @ 48" x 72" to MX1000 @ 42" x 72"</t>
  </si>
  <si>
    <t>Changing all 755 Mark B1 Horizontal Rollers from EL200 @ 48" x 72" to MX2000 @ 48" x 60"</t>
  </si>
  <si>
    <t>Skylights</t>
  </si>
  <si>
    <t>08D</t>
  </si>
  <si>
    <t>requested frameless optionr</t>
  </si>
  <si>
    <t>per specs</t>
  </si>
  <si>
    <t>Confidentia International</t>
  </si>
  <si>
    <t>Interior Specialties</t>
  </si>
  <si>
    <t>Astera KB</t>
  </si>
  <si>
    <t>A Crystal Glass</t>
  </si>
  <si>
    <t>Granite State Specialties</t>
  </si>
  <si>
    <t>Mark Silva</t>
  </si>
  <si>
    <t>Christopher Smith</t>
  </si>
  <si>
    <t>Craig Major</t>
  </si>
  <si>
    <t>Eddy Fonseca</t>
  </si>
  <si>
    <t>561-401-6666</t>
  </si>
  <si>
    <t xml:space="preserve">407-331-4564 </t>
  </si>
  <si>
    <t>877-374-6782</t>
  </si>
  <si>
    <t>561-566-0370</t>
  </si>
  <si>
    <t>866-966-9113</t>
  </si>
  <si>
    <t>Mark Silva &lt;msilva@confidentiainternational.com&gt;</t>
  </si>
  <si>
    <t xml:space="preserve"> csmith@interiorspecialties.com</t>
  </si>
  <si>
    <t>hanna@asterakb.com</t>
  </si>
  <si>
    <t xml:space="preserve"> &lt;craig@acrystalglass.com&gt;</t>
  </si>
  <si>
    <t>eddy@granitestatespecialties.com</t>
  </si>
  <si>
    <t>Toilet accesories</t>
  </si>
  <si>
    <t>Fire extinguishers</t>
  </si>
  <si>
    <t>Units Mirrors</t>
  </si>
  <si>
    <t>U-MIR-1 (Mirrormate, cherokee barnwood frame slim)</t>
  </si>
  <si>
    <t>Precision frameworks, black</t>
  </si>
  <si>
    <t>Precision frameworks</t>
  </si>
  <si>
    <t>Avena</t>
  </si>
  <si>
    <t>black frame</t>
  </si>
  <si>
    <t>36"x42" mirrors</t>
  </si>
  <si>
    <t>50"x42" mirrors</t>
  </si>
  <si>
    <t>Clubhouse Mirrors</t>
  </si>
  <si>
    <r>
      <rPr>
        <sz val="10"/>
        <color rgb="FF000000"/>
        <rFont val="Arial"/>
        <family val="2"/>
      </rPr>
      <t xml:space="preserve">Custom mirrors at 173&amp;175 </t>
    </r>
    <r>
      <rPr>
        <i/>
        <sz val="10"/>
        <color rgb="FFFF0000"/>
        <rFont val="Arial"/>
        <family val="2"/>
      </rPr>
      <t>- in millwork</t>
    </r>
  </si>
  <si>
    <t>Mirror-1 (Joss &amp; Main, brandi wooden wall mirror, 24"x36")</t>
  </si>
  <si>
    <t>2/ID6-01, 8/ID6-02</t>
  </si>
  <si>
    <t>Mirror-2 (Schoolhouse, Nathan walnut mirorr, 24"x36"x1.5"D, 4 ea</t>
  </si>
  <si>
    <r>
      <rPr>
        <sz val="10"/>
        <color rgb="FF000000"/>
        <rFont val="Arial"/>
        <family val="2"/>
      </rPr>
      <t xml:space="preserve">MIRR-1 Rum Bar mirror panel behind shelving </t>
    </r>
    <r>
      <rPr>
        <i/>
        <sz val="10"/>
        <color rgb="FFFF0000"/>
        <rFont val="Arial"/>
        <family val="2"/>
      </rPr>
      <t>- in millwork</t>
    </r>
  </si>
  <si>
    <t>8/ID7-03</t>
  </si>
  <si>
    <t>MIRR-X Arched Fitness Mirrors</t>
  </si>
  <si>
    <t>1/ID7-08</t>
  </si>
  <si>
    <t>1/4" polished edge mirrors</t>
  </si>
  <si>
    <t>Precision Framework ilo Cherokee</t>
  </si>
  <si>
    <t>Frameless mirrors ilo black framed</t>
  </si>
  <si>
    <t>50%CD</t>
  </si>
  <si>
    <t>100%CD</t>
  </si>
  <si>
    <t>Bidder3</t>
  </si>
  <si>
    <t>Griffin</t>
  </si>
  <si>
    <t>Griffin R1</t>
  </si>
  <si>
    <t xml:space="preserve"> Dorado </t>
  </si>
  <si>
    <t>PPI</t>
  </si>
  <si>
    <t>PPI R1</t>
  </si>
  <si>
    <t>RB Plastering R1</t>
  </si>
  <si>
    <t>RB Plastering R2</t>
  </si>
  <si>
    <t>Stud Drywall &amp; Finishes</t>
  </si>
  <si>
    <t>MRM</t>
  </si>
  <si>
    <t>MRM R1</t>
  </si>
  <si>
    <t>Lion TB Construction</t>
  </si>
  <si>
    <t>Advanced Stucco</t>
  </si>
  <si>
    <t>Lion TB ConstructionR1</t>
  </si>
  <si>
    <t>Welch Plastering</t>
  </si>
  <si>
    <t>James Pegg</t>
  </si>
  <si>
    <t>Kollin Loren</t>
  </si>
  <si>
    <t>Joe Collella</t>
  </si>
  <si>
    <t xml:space="preserve">Robert Satek </t>
  </si>
  <si>
    <t>Vitalie Miron</t>
  </si>
  <si>
    <t>Darell Gordon</t>
  </si>
  <si>
    <t>Diane Fried</t>
  </si>
  <si>
    <t>(954) 675-4867</t>
  </si>
  <si>
    <t>rpuranik@griffinstucco.com</t>
  </si>
  <si>
    <t>james@doradodrywall.com</t>
  </si>
  <si>
    <t>ppiconstruction22@gmail.com</t>
  </si>
  <si>
    <t>estimating@rbplasteringinc.com</t>
  </si>
  <si>
    <t>joe@studdrywall.com</t>
  </si>
  <si>
    <t>rob@mrm.group</t>
  </si>
  <si>
    <t>estimating@lionconstructioncompany.com</t>
  </si>
  <si>
    <t>darrellg@advancedstucco.com</t>
  </si>
  <si>
    <t>admin@Welchplastering.com</t>
  </si>
  <si>
    <t>Not Ass(G 1.5)</t>
  </si>
  <si>
    <t>Not Ass (R6)</t>
  </si>
  <si>
    <t>Expired (R 6)</t>
  </si>
  <si>
    <t>{1,137,560}</t>
  </si>
  <si>
    <t xml:space="preserve">Light medium texture 5/8" Stucco for exterior masonry </t>
  </si>
  <si>
    <t>Smooth stucco finish at entrances</t>
  </si>
  <si>
    <t>Stucco lap siding</t>
  </si>
  <si>
    <t>Fiber cement facia for the soffits</t>
  </si>
  <si>
    <t>Back of the wood trusses</t>
  </si>
  <si>
    <t>3/4" raised stucco bands 4" high smooth finish</t>
  </si>
  <si>
    <t>Casing beads, corner beads, expansion joints and all required accessories as per drawings</t>
  </si>
  <si>
    <t>All hoisting &amp; rigging required for the scope of work</t>
  </si>
  <si>
    <t>STUCCO BUType 1 (3)</t>
  </si>
  <si>
    <t>Fiber cement Soffits</t>
  </si>
  <si>
    <t>Cement plaster at corridors ceilings</t>
  </si>
  <si>
    <t>Cement plaster at corridors Walls</t>
  </si>
  <si>
    <t>Back of the wood trusses (part of the roofing)(excluded)</t>
  </si>
  <si>
    <t>STUCCO BU type 2 (2)</t>
  </si>
  <si>
    <t>Stucco Lap siding</t>
  </si>
  <si>
    <t>STUCCO BU type3 (1)</t>
  </si>
  <si>
    <t>Stucco on exterior walls</t>
  </si>
  <si>
    <t>Stucco Clubhouse</t>
  </si>
  <si>
    <t>Stucco Clubhouse Lap siding</t>
  </si>
  <si>
    <t>Stucco Garages</t>
  </si>
  <si>
    <t>Parking Garages</t>
  </si>
  <si>
    <t>Fiber cement facia</t>
  </si>
  <si>
    <t>Stucco Maintenance</t>
  </si>
  <si>
    <t>Stucco MB</t>
  </si>
  <si>
    <t>Stucco Pool Pavilion</t>
  </si>
  <si>
    <t>Stucco in exterior wall at trellis</t>
  </si>
  <si>
    <t>Moument sign</t>
  </si>
  <si>
    <t>Columns at site fence</t>
  </si>
  <si>
    <t>Entry gate door columns</t>
  </si>
  <si>
    <t>BBQ</t>
  </si>
  <si>
    <t xml:space="preserve">Parking  </t>
  </si>
  <si>
    <r>
      <rPr>
        <sz val="10"/>
        <color rgb="FF000000"/>
        <rFont val="Arial"/>
        <family val="2"/>
      </rPr>
      <t xml:space="preserve">Applying for lath and stucco at balcony columns </t>
    </r>
    <r>
      <rPr>
        <i/>
        <sz val="10"/>
        <color rgb="FFFF0000"/>
        <rFont val="Arial"/>
        <family val="2"/>
      </rPr>
      <t>- in Balcony columns</t>
    </r>
  </si>
  <si>
    <t>Scafolding</t>
  </si>
  <si>
    <t>To use lab siding ILO stucco lab siding deduct of</t>
  </si>
  <si>
    <t>Blacony columns</t>
  </si>
  <si>
    <t>Acoustical Ceilings</t>
  </si>
  <si>
    <t>09C</t>
  </si>
  <si>
    <t xml:space="preserve">Acoustical Ceilings, incl.: </t>
  </si>
  <si>
    <t xml:space="preserve">  a. furnish and install all wire hangers, ACT tiles, grid as specified</t>
  </si>
  <si>
    <t xml:space="preserve">  b. equipment, lifts, power tools, etc. as required </t>
  </si>
  <si>
    <t xml:space="preserve">  c. OSHA requirements</t>
  </si>
  <si>
    <t xml:space="preserve">  d. daily clean up for your scope of work</t>
  </si>
  <si>
    <t xml:space="preserve">  e. Above scope included for:</t>
  </si>
  <si>
    <t>Manufacturer:</t>
  </si>
  <si>
    <t>Tile Specification:</t>
  </si>
  <si>
    <t>Grid Specification:</t>
  </si>
  <si>
    <t>Acoustical Treatment</t>
  </si>
  <si>
    <t>09D</t>
  </si>
  <si>
    <t>Bean Drywall</t>
  </si>
  <si>
    <t>Advanced Drywall</t>
  </si>
  <si>
    <t>Everlast Drywall</t>
  </si>
  <si>
    <t>MR Drywall</t>
  </si>
  <si>
    <t>Drywall &amp; Framing</t>
  </si>
  <si>
    <t>Brian P. Bean 101</t>
  </si>
  <si>
    <t>Paul</t>
  </si>
  <si>
    <t>Alex Boksiner 242</t>
  </si>
  <si>
    <t>Rich Mello</t>
  </si>
  <si>
    <t>Eric Lacerte</t>
  </si>
  <si>
    <t>brian@beandrywall.net</t>
  </si>
  <si>
    <t>bids@advdry.com</t>
  </si>
  <si>
    <t>aboksiner@kdconstruction.us</t>
  </si>
  <si>
    <t>rmello@everlastdrywall.com</t>
  </si>
  <si>
    <t>eric@rtesllc.com</t>
  </si>
  <si>
    <t>Quilified (4 Y)</t>
  </si>
  <si>
    <t>Not ass.  (R 6)</t>
  </si>
  <si>
    <t>{1,935,409}</t>
  </si>
  <si>
    <t xml:space="preserve">Framing and Drywall, incl.: </t>
  </si>
  <si>
    <t>Furnish all metal studs, channels, horizontal bracing, gypsum board products and insulation as scheduled</t>
  </si>
  <si>
    <t xml:space="preserve">Exterior framing and sheating </t>
  </si>
  <si>
    <t xml:space="preserve">Equipment, lifts, power tools, etc. as required </t>
  </si>
  <si>
    <t xml:space="preserve">Level 4 finish </t>
  </si>
  <si>
    <t>Skim coat over concrete for exposed slab deck</t>
  </si>
  <si>
    <t>Durock at showers and densheild at bathroom tubs</t>
  </si>
  <si>
    <t>Wood blocking for all cabinets, fixtures, handrails, and toilet acc.</t>
  </si>
  <si>
    <t>A.02</t>
  </si>
  <si>
    <t>Provide in wall backing for cabinets, door frames, fire extinguishers, accessories, etc. as required/scheduled.</t>
  </si>
  <si>
    <t>Include labor for wall and ceiling layout as required</t>
  </si>
  <si>
    <t>Provide Acoustical caulking at the heads of all wall types as per drawings</t>
  </si>
  <si>
    <t>OSHA requirements</t>
  </si>
  <si>
    <t>Daily clean up for your scope of work</t>
  </si>
  <si>
    <t>Provide acoustical caulk full peremeter for walls dimising and corridorr walls, fire rated walls, &amp; interior partitions</t>
  </si>
  <si>
    <t>A.8.1</t>
  </si>
  <si>
    <t>Shaft for the AC pipes (check mechanical drawings)</t>
  </si>
  <si>
    <t>2hour rated shafts wall for BDA risers</t>
  </si>
  <si>
    <t>Insulations</t>
  </si>
  <si>
    <t>All wet walls &amp; soffits under tub, shower, or toilet traps to be lined with R-11 batt insulation</t>
  </si>
  <si>
    <t>A.3.2</t>
  </si>
  <si>
    <r>
      <rPr>
        <sz val="10"/>
        <color rgb="FF000000"/>
        <rFont val="Arial"/>
        <family val="2"/>
      </rPr>
      <t>Fi-Foil insulation or</t>
    </r>
    <r>
      <rPr>
        <sz val="10"/>
        <color rgb="FFFF0000"/>
        <rFont val="Arial"/>
        <family val="2"/>
      </rPr>
      <t xml:space="preserve"> rigid </t>
    </r>
    <r>
      <rPr>
        <sz val="10"/>
        <color rgb="FF000000"/>
        <rFont val="Arial"/>
        <family val="2"/>
      </rPr>
      <t>insulation at exterior walls (rigid insulation excluded)</t>
    </r>
  </si>
  <si>
    <t>R-6 insulation at concrete demising walls</t>
  </si>
  <si>
    <t>Full height sound attenuation fber cement blanket</t>
  </si>
  <si>
    <t xml:space="preserve">2 hr rated column wrap </t>
  </si>
  <si>
    <t>A8.7</t>
  </si>
  <si>
    <t>BU type 1 (4,5,6)</t>
  </si>
  <si>
    <t>BU type 2 (2,3)</t>
  </si>
  <si>
    <t>BU type 3 (1) (1)</t>
  </si>
  <si>
    <t xml:space="preserve">Parking garages </t>
  </si>
  <si>
    <t>Maintenance building</t>
  </si>
  <si>
    <t>Pool pavilion</t>
  </si>
  <si>
    <t>Ligh gauge framing and Dens -Glass for balcony Columns</t>
  </si>
  <si>
    <t>Contingency</t>
  </si>
  <si>
    <t>Add SKD Spray texture over exposed cover coat slab deck add</t>
  </si>
  <si>
    <t>Add Insulation</t>
  </si>
  <si>
    <t>Change the drywall finish at all apartement deop ceiling from smooth level 4 to knockdown texture to match all walls</t>
  </si>
  <si>
    <t>Change all drywall at all non-rated interior walls at all apartements from 5/8" type X to 1/2" regular drywall</t>
  </si>
  <si>
    <t>Use 25 Ga metal studs-track ILU 20 ga with exeption of kitchen cabinet, bathroom shower, and tub walls</t>
  </si>
  <si>
    <t>Remove acoustiacl caulk at non-rated walls</t>
  </si>
  <si>
    <t>Carpet &amp; Resilient</t>
  </si>
  <si>
    <t>09F</t>
  </si>
  <si>
    <t>Wood Flooring</t>
  </si>
  <si>
    <t>09G</t>
  </si>
  <si>
    <t>Resinuous &amp; Polished Concrete</t>
  </si>
  <si>
    <t>09H</t>
  </si>
  <si>
    <t xml:space="preserve">BO </t>
  </si>
  <si>
    <t>dated 04.02.26</t>
  </si>
  <si>
    <t>General Property</t>
  </si>
  <si>
    <t>American flooringR1</t>
  </si>
  <si>
    <t>General Property R2</t>
  </si>
  <si>
    <t>General Property R8</t>
  </si>
  <si>
    <t>TCC R4</t>
  </si>
  <si>
    <t>Spraggins</t>
  </si>
  <si>
    <t>SpragginsR1</t>
  </si>
  <si>
    <t>SpragginsR2</t>
  </si>
  <si>
    <t>TCC</t>
  </si>
  <si>
    <t>American flooring</t>
  </si>
  <si>
    <t>Horizon</t>
  </si>
  <si>
    <t>Horizon R1</t>
  </si>
  <si>
    <t>East coast</t>
  </si>
  <si>
    <t>Pro Carpet</t>
  </si>
  <si>
    <t>Resource 4 Floors</t>
  </si>
  <si>
    <t>Jack Walsh</t>
  </si>
  <si>
    <t>Tile &amp; Stone</t>
  </si>
  <si>
    <t>Janet Morejon</t>
  </si>
  <si>
    <t>Albon Vrskic</t>
  </si>
  <si>
    <t>Taylor Hodge</t>
  </si>
  <si>
    <t>Terry Reynolds</t>
  </si>
  <si>
    <t>Richard Arias</t>
  </si>
  <si>
    <t>Chelsy St peter</t>
  </si>
  <si>
    <t>Brian Giles</t>
  </si>
  <si>
    <t>Liz Lambiro 126</t>
  </si>
  <si>
    <t>Michael Teitelbaum</t>
  </si>
  <si>
    <t>(561) 781-3337</t>
  </si>
  <si>
    <t>(561) 659-4846</t>
  </si>
  <si>
    <t>yanetm@gpconstructionco.com</t>
  </si>
  <si>
    <t>albin@americanflooringservices.com</t>
  </si>
  <si>
    <t>Taylor.Hodge@tccmultifamily.com</t>
  </si>
  <si>
    <t>treynolds@spragginsinc.com</t>
  </si>
  <si>
    <t>richard@horizontileinc.com</t>
  </si>
  <si>
    <t>Chelsy@eastcoastfl.com</t>
  </si>
  <si>
    <t>Bgiles@procarpetinc.com</t>
  </si>
  <si>
    <t>Liz.Lambiro@resource4floors.com</t>
  </si>
  <si>
    <t>Michael@JackWalshTrade.com</t>
  </si>
  <si>
    <t>Expired (4 Y)</t>
  </si>
  <si>
    <t>Quilified</t>
  </si>
  <si>
    <t xml:space="preserve">  Expired (1.7 G)</t>
  </si>
  <si>
    <t>{3,200,000}</t>
  </si>
  <si>
    <t>Broom Finish w/ penetrating sealing at AC Closets, Balconies, Laundry, and W/D</t>
  </si>
  <si>
    <t>A.3.0</t>
  </si>
  <si>
    <t>Ceramic tiles at bathrooms, and kitchen back splashes</t>
  </si>
  <si>
    <t>Vinyl at bedrooms, living rooms and kitchens</t>
  </si>
  <si>
    <t>Flooring BU type 1 (4,5,6)</t>
  </si>
  <si>
    <t>Flooring BU type 2 (2,3)</t>
  </si>
  <si>
    <t>Flooring BU type 3 (1) (1)</t>
  </si>
  <si>
    <t xml:space="preserve"> Clubhouse</t>
  </si>
  <si>
    <t>Floor Foli LVT 7.25"x48" 22 mil wear Mable color"725-466 Glue-down w/ MS resilient adhesive and sound insolation throughout all units</t>
  </si>
  <si>
    <t>Tiles at  showers and tubs walls and floors</t>
  </si>
  <si>
    <t xml:space="preserve">U-T-1 Shower wall tilea Porcelanosa porclain tiles 24"x48" as per RFI precon 32 </t>
  </si>
  <si>
    <t>Shower wall niches</t>
  </si>
  <si>
    <t>Metal wall trim-stain anodized aluminum</t>
  </si>
  <si>
    <t>Kitchen back splash Daltilw, Aircrafted, 3"x12", Glossy, color to be Coconut</t>
  </si>
  <si>
    <t>Window sillsCarrara Marble</t>
  </si>
  <si>
    <t xml:space="preserve">Floor preparations </t>
  </si>
  <si>
    <t xml:space="preserve">Crack suppression </t>
  </si>
  <si>
    <t>Waterproofing for the showers and tubs Laticrete Hydroban</t>
  </si>
  <si>
    <t>Caulking for showers and kitchem backsplash</t>
  </si>
  <si>
    <t>Floor protection</t>
  </si>
  <si>
    <t>Moisture testing</t>
  </si>
  <si>
    <t>Wall tiles at each unit entrance  (Allowance)</t>
  </si>
  <si>
    <t>Attick stock</t>
  </si>
  <si>
    <t>Cermaic tiles at storages (no Storage rooms shown)</t>
  </si>
  <si>
    <t>A6.1.10</t>
  </si>
  <si>
    <t>Ceramiic tiles at janetors</t>
  </si>
  <si>
    <r>
      <rPr>
        <b/>
        <sz val="10"/>
        <rFont val="Arial"/>
        <family val="2"/>
      </rPr>
      <t>B</t>
    </r>
    <r>
      <rPr>
        <sz val="10"/>
        <rFont val="Arial"/>
        <family val="2"/>
      </rPr>
      <t>room finish with penetration sealing for AC Closets, balcony, Laundry &amp; W/D</t>
    </r>
  </si>
  <si>
    <t>Corridors and electrical rooms Sealed Concrete  (Included inWaterproofing)</t>
  </si>
  <si>
    <t>Concrete sealer at maintenance  (Included in waterproofing)</t>
  </si>
  <si>
    <t>FLOORING Clubhouse</t>
  </si>
  <si>
    <t>T-1 8"x48", 9 MM brown  Brick City tile throughout</t>
  </si>
  <si>
    <t>ID4.01.02, 903</t>
  </si>
  <si>
    <t>T-2,3,4 pattern at entry</t>
  </si>
  <si>
    <t>T-5 24"x24" Matte color Pantheon at entry at Culture lounge &amp; markers space</t>
  </si>
  <si>
    <t>Sf</t>
  </si>
  <si>
    <t>T-7 13"x13" White color Merola Tile at elevator lobby LVL 1</t>
  </si>
  <si>
    <t>T-8,9,10 6"x6" 9.5MM pattern at mailroom</t>
  </si>
  <si>
    <t>T-11 2.5"x10" at wall up to 5 makoto color at mailrooms</t>
  </si>
  <si>
    <t>T-12  11.81"x11.81" Lovinia White Tilebar at restroom</t>
  </si>
  <si>
    <t>T-17</t>
  </si>
  <si>
    <t>T-18 2'x7' at wellness loung walls</t>
  </si>
  <si>
    <t>T-19 2"x6" at fitness center walls</t>
  </si>
  <si>
    <t>T-20 at level 2 restrooms</t>
  </si>
  <si>
    <t>CPT-1 19.7"x19.7" Milliken at leasing office</t>
  </si>
  <si>
    <t>CPT-2 19.7"x19.7" Milliken at rum bar</t>
  </si>
  <si>
    <t>CPT-3 19.7"x19.7" Milliken at Micro offices office</t>
  </si>
  <si>
    <t>RF-1 7"x48" Hazelnut Oak color, 2.5MM, Mohawk at fitness</t>
  </si>
  <si>
    <t>RF-2 36"x36" Lichen color, 2.5MM, Mnnigton Commercial at fitness</t>
  </si>
  <si>
    <t>U-LVT</t>
  </si>
  <si>
    <t>All required transitions</t>
  </si>
  <si>
    <t xml:space="preserve">Crack suppression at ground </t>
  </si>
  <si>
    <t xml:space="preserve">Elevator cabs </t>
  </si>
  <si>
    <t>Sound proof under RF1 &amp; RF2 for fitness center</t>
  </si>
  <si>
    <t>FLOORING Garages</t>
  </si>
  <si>
    <t>Sealed concrete Garages(included in Waterproofing)</t>
  </si>
  <si>
    <t>MB Sealed Concrete</t>
  </si>
  <si>
    <t>OCIP ADD</t>
  </si>
  <si>
    <t>Discount credit</t>
  </si>
  <si>
    <t>Use SPC 7"x48" 12 mil wear layers, click system w/ sound pad attached ILO Floor Foli LVT 7.25"x48" 22 mil wear Mable color"725-466 Glue-down w/ MS resilient adhesive and sound insolation throughout all units</t>
  </si>
  <si>
    <t>Use SPC (Solid Polymer composite vinyl) 7"x48" 12 mil wear layers, click system w/ sound pad attached ILO Floor Folio LVT 7.25"x48" 22 mil wear Mable color"725-466 Glue-down w/ MS resilient adhesive and sound insolation bathroom floors</t>
  </si>
  <si>
    <t>Use Universal tile &amp; Marble subway solid 3"x12" ILO daltile Subway at kitchen back splash</t>
  </si>
  <si>
    <t>Use Universal tile &amp; Marble Porcelain tiles12"x24" ILO Porcelanosa Porcelain at showersand niches</t>
  </si>
  <si>
    <t>Floorfolio Rigid Hybrid 20-mil click 5.0 mm with sound pad attached ILO Floor Foli LVT 7.25"x48" 22 mil wear Mable color"725-466 Glue-down w/ MS resilient adhesive and sound insolation throughout all units</t>
  </si>
  <si>
    <t>Roca Tiles 12"x24" Color Aena for the showers</t>
  </si>
  <si>
    <t>Roca Tiles 3"x6" Color biscuit for the Kitchen back splach</t>
  </si>
  <si>
    <t>Use Emser, LeTrav, 12x24 ILO Porcelanosa</t>
  </si>
  <si>
    <t>flor 7x48,5mm/20 mil</t>
  </si>
  <si>
    <t>Use Fallonton 9x48 2.5mm/22mil ILO Floorfolio 7x48  3mm/22MIl Vinyl plank</t>
  </si>
  <si>
    <t xml:space="preserve">Backsplash Emster, Pigmenta, 3x12 ceramic tile ILO Daltile Artcrafted </t>
  </si>
  <si>
    <t>Fortika Collection, Viva Series SPC, 7"x48", 12 Mil Wearlayer, 5,0mm, Color: Bonega ILO base bid</t>
  </si>
  <si>
    <t>Horizon 4.5mm 12 mil click vinyl plank ILO Floor folio 5mm 12mil glue down</t>
  </si>
  <si>
    <t>Fllorfolio 5mm 20 mil click vinyl plank  ILO Floorfolio 5mm 12 mil glue down</t>
  </si>
  <si>
    <t>Target</t>
  </si>
  <si>
    <t>50 %CD</t>
  </si>
  <si>
    <t>100%CD BO</t>
  </si>
  <si>
    <t>2 coats exterior</t>
  </si>
  <si>
    <t>Bidder8</t>
  </si>
  <si>
    <t>Color Factory</t>
  </si>
  <si>
    <t>Color Factory R1</t>
  </si>
  <si>
    <t>Talbot</t>
  </si>
  <si>
    <t>Talbot R1</t>
  </si>
  <si>
    <t>ILG Painting</t>
  </si>
  <si>
    <t xml:space="preserve"> Dorado R2</t>
  </si>
  <si>
    <t xml:space="preserve"> Dorado R3</t>
  </si>
  <si>
    <t>RCR Services</t>
  </si>
  <si>
    <t>Sunstate paintingR1</t>
  </si>
  <si>
    <t xml:space="preserve"> Reynolds </t>
  </si>
  <si>
    <t>New Touch</t>
  </si>
  <si>
    <t>Isaac Magalhaes 1</t>
  </si>
  <si>
    <t>Don Talbot</t>
  </si>
  <si>
    <t>Malik Raji</t>
  </si>
  <si>
    <t>Rob Rodriguez</t>
  </si>
  <si>
    <t>Rene Landry</t>
  </si>
  <si>
    <t>Ricky Duffield</t>
  </si>
  <si>
    <t>Callahan Reynolds</t>
  </si>
  <si>
    <t>Douglas Brandao</t>
  </si>
  <si>
    <t>estimating@colorfactorypaint.com</t>
  </si>
  <si>
    <t>don@talbotcompanies.com</t>
  </si>
  <si>
    <t>Malikr@ilgpainting.com</t>
  </si>
  <si>
    <t>rob@doradodrywall.com</t>
  </si>
  <si>
    <t>renercrservices@hotmail.com</t>
  </si>
  <si>
    <t>• sales@sunstatecontractors.com</t>
  </si>
  <si>
    <t>callahan@rpgfl.com</t>
  </si>
  <si>
    <t>estimating@newtouchofcolorcorp.com</t>
  </si>
  <si>
    <t xml:space="preserve"> Expired (4 Y)</t>
  </si>
  <si>
    <t>{w/ exc}</t>
  </si>
  <si>
    <t>Not Ass.</t>
  </si>
  <si>
    <t xml:space="preserve"> Not ass.(2.2 G)</t>
  </si>
  <si>
    <t>{2.1}</t>
  </si>
  <si>
    <t>N/A</t>
  </si>
  <si>
    <t>Interior:</t>
  </si>
  <si>
    <t>Concrete ceiling to receive bonding agent &amp; knockdown drywall compound texture</t>
  </si>
  <si>
    <t>All ceiling to receive one coat primer &amp; two coats finish</t>
  </si>
  <si>
    <t>Drywall partitions</t>
  </si>
  <si>
    <t>Drywall ceilings</t>
  </si>
  <si>
    <t>Paint all doors and frames</t>
  </si>
  <si>
    <t xml:space="preserve">Fire sprinklers risers </t>
  </si>
  <si>
    <t>Paint stair cases (Excluded)</t>
  </si>
  <si>
    <t>All interior finish materials to have class C flame spread min &amp; and all interior finishes in means of egress to have class B Flame Spread Min</t>
  </si>
  <si>
    <t xml:space="preserve">A3.0 </t>
  </si>
  <si>
    <t>Specified painting products as scheduled</t>
  </si>
  <si>
    <t>All required equipment, lifts, sprayers, etc.</t>
  </si>
  <si>
    <t>Beauty bead caulking at interior and exterior work</t>
  </si>
  <si>
    <t>Protection for adjacent work, including flooring</t>
  </si>
  <si>
    <t>Furnish and install wall covering</t>
  </si>
  <si>
    <t>Intumescent paint for AC closet doors</t>
  </si>
  <si>
    <t xml:space="preserve">Daily cleanup </t>
  </si>
  <si>
    <t>Sealer for the corridors Euclid Increte Stain &amp; Sealer (included in waterproofing)</t>
  </si>
  <si>
    <t>All required beauty beads</t>
  </si>
  <si>
    <t>Exterior:</t>
  </si>
  <si>
    <t xml:space="preserve">Exterior paint shall be Sherwin Williams Loxon XP </t>
  </si>
  <si>
    <t>Doors and frames</t>
  </si>
  <si>
    <t>Stucco walls, bands and soffits</t>
  </si>
  <si>
    <t>Residential Building</t>
  </si>
  <si>
    <t>Painting BUType 1 (4,5,6)</t>
  </si>
  <si>
    <t>Painting BU type 2 (2,3)</t>
  </si>
  <si>
    <t>Painting BU type 3 (1) (1)</t>
  </si>
  <si>
    <t>PAINTING Clubhouse</t>
  </si>
  <si>
    <t>Epoxy floors at trash Chutes</t>
  </si>
  <si>
    <t>Use 2 coats ILO 3 coats Promar 400 for interior painting</t>
  </si>
  <si>
    <t>Use 2 coats ILO 3 coats Painters Edhe plus for interior painting</t>
  </si>
  <si>
    <t>Use painters edge with SW for interior Painting</t>
  </si>
  <si>
    <t>Venetian Plaster</t>
  </si>
  <si>
    <t>09J</t>
  </si>
  <si>
    <t xml:space="preserve">Painting, incl.: </t>
  </si>
  <si>
    <t xml:space="preserve">  a. specified painting products as scheduled</t>
  </si>
  <si>
    <t xml:space="preserve">  c. beauty bead caulking at interior and exterior work</t>
  </si>
  <si>
    <t xml:space="preserve">  d. protection for adjacent work, including flooring</t>
  </si>
  <si>
    <t>a. doors and frames</t>
  </si>
  <si>
    <t>b. stucco walls</t>
  </si>
  <si>
    <t>c. stucco bands</t>
  </si>
  <si>
    <t>d. soffits</t>
  </si>
  <si>
    <t>b. drywall partitions</t>
  </si>
  <si>
    <t>c. drywall ceilings</t>
  </si>
  <si>
    <t>d. open ceilings - Dryfall</t>
  </si>
  <si>
    <t>e. wood/metal sidelite frames</t>
  </si>
  <si>
    <t>f. epoxy paint in restrooms</t>
  </si>
  <si>
    <t>Metal:</t>
  </si>
  <si>
    <t>a. exterior metal railing</t>
  </si>
  <si>
    <t>b. interior stairwell handrail and guard rail</t>
  </si>
  <si>
    <t>c. balcony railing</t>
  </si>
  <si>
    <t>Creative Sign Design</t>
  </si>
  <si>
    <t>Signarama</t>
  </si>
  <si>
    <t xml:space="preserve">Signage, incl.: </t>
  </si>
  <si>
    <t xml:space="preserve">  a. furnish signage products as scheduled and required by code</t>
  </si>
  <si>
    <t xml:space="preserve">  b. provide shop drawings, samples and submittals </t>
  </si>
  <si>
    <t xml:space="preserve">  c. equipment, lifts, fasteners, installation, etc.</t>
  </si>
  <si>
    <t xml:space="preserve">  d. OSHA requirements</t>
  </si>
  <si>
    <t xml:space="preserve">  e. daily clean up for your scope of work</t>
  </si>
  <si>
    <t>F&amp;I all signage required to pass inspection (Tropical reference)</t>
  </si>
  <si>
    <t>Monumental Signage  (Tropical reference)</t>
  </si>
  <si>
    <t>Units entry door signage</t>
  </si>
  <si>
    <t>Clubhouse signage</t>
  </si>
  <si>
    <t>Resident access only wayfinding sign</t>
  </si>
  <si>
    <t>Sheet 3,4 of 10 Siteplan</t>
  </si>
  <si>
    <t>Palm Beach public safety complex sign</t>
  </si>
  <si>
    <t>Sheet 3 of 10 Siteplan</t>
  </si>
  <si>
    <t>Operable Partitions</t>
  </si>
  <si>
    <t>10B</t>
  </si>
  <si>
    <t>waiting for VE backup</t>
  </si>
  <si>
    <t>waiting for VE</t>
  </si>
  <si>
    <t>VE - own brand</t>
  </si>
  <si>
    <t>National Millwork</t>
  </si>
  <si>
    <t>National Millwork R4</t>
  </si>
  <si>
    <t>Toilet Partitions &amp; Bathroom Accessories</t>
  </si>
  <si>
    <t>Chris Chlupp</t>
  </si>
  <si>
    <t xml:space="preserve">Luis Graef </t>
  </si>
  <si>
    <t>cchlupp@nationalmillworkinc.com </t>
  </si>
  <si>
    <t xml:space="preserve">&lt;lgraef@etiflorida.com&gt; </t>
  </si>
  <si>
    <t>{2.2}</t>
  </si>
  <si>
    <t>{1,373,149}</t>
  </si>
  <si>
    <t>Unit Bathroom accessories</t>
  </si>
  <si>
    <t>18-inch towel bar, robe hook, hand towel holder, and toilet paper holder (Dia accessory set 4 piece, Symmons, matte black)</t>
  </si>
  <si>
    <t>Curved shower rod @ bathtubs (Pamex BSRBL-652) - specified is discontinued MOEN, Trivia adjustable curved</t>
  </si>
  <si>
    <t>Bike racks @Bldg 2,3</t>
  </si>
  <si>
    <t>Clubhouse bathrooms accessories</t>
  </si>
  <si>
    <t>GB</t>
  </si>
  <si>
    <t>Grab bars (GB 18", 36", 42") - Bobrick, Matte Black</t>
  </si>
  <si>
    <t>ND-1</t>
  </si>
  <si>
    <t>Napkin disposal - Bobrick, Matte Black</t>
  </si>
  <si>
    <t>TT-1</t>
  </si>
  <si>
    <t>Toilet paper dispenser - Bobrick, Matte Black</t>
  </si>
  <si>
    <t>PTD-1</t>
  </si>
  <si>
    <t>Paper towel dispenser/trash - Bobrick, Matte Black</t>
  </si>
  <si>
    <t>TH</t>
  </si>
  <si>
    <t>Robe Hook - Kohle, matte black</t>
  </si>
  <si>
    <t xml:space="preserve">SD-1 </t>
  </si>
  <si>
    <t>Soap dispenser - Bobrick, Matte Black</t>
  </si>
  <si>
    <t>BC-1</t>
  </si>
  <si>
    <t>Baby Changing Station - Foundations, Matte Black</t>
  </si>
  <si>
    <t>Clubhouse bathrooms partitions (ASI ACCURATE PARTITIONS, alpaco classic collection, finish:phenolic neo walnut)</t>
  </si>
  <si>
    <t>Maintenance Building bathroom accessories</t>
  </si>
  <si>
    <t>Fire Extinguishers</t>
  </si>
  <si>
    <t xml:space="preserve">Pamex Vina ilo Symmons unit accessories </t>
  </si>
  <si>
    <t>10 22</t>
  </si>
  <si>
    <t>Pacific Glass</t>
  </si>
  <si>
    <t>Shower Enclosures</t>
  </si>
  <si>
    <t>Will Gardiner</t>
  </si>
  <si>
    <t xml:space="preserve">(803) 487-5913 </t>
  </si>
  <si>
    <t xml:space="preserve"> &lt;Will@pacificglass.us&gt;</t>
  </si>
  <si>
    <t>{1,600,000}</t>
  </si>
  <si>
    <t>SHOWER DOORS</t>
  </si>
  <si>
    <t>{374}</t>
  </si>
  <si>
    <t>{358}</t>
  </si>
  <si>
    <t>ID specs: Metropolitan Industries, Model: 200AA Beveled-HD, 72" high, finish: brushed nickle hinge, 8" C pull, no seal at hinge or strike, dual wipe sweep</t>
  </si>
  <si>
    <t>ID9-06</t>
  </si>
  <si>
    <t>3/8" clear glass frameless, brushed nickel, 8" pulls</t>
  </si>
  <si>
    <t>3/8" clear glass frameless, black matte 8" pulls</t>
  </si>
  <si>
    <t xml:space="preserve"> 3/8" clear glass semi - frameless, brushed nickel, 8" pulls </t>
  </si>
  <si>
    <t>Arch specs</t>
  </si>
  <si>
    <t>Semi-Frameless ilo Frameless</t>
  </si>
  <si>
    <t>Fireplace</t>
  </si>
  <si>
    <t>10 30</t>
  </si>
  <si>
    <t>Wall &amp; Corner Guards</t>
  </si>
  <si>
    <t>10E</t>
  </si>
  <si>
    <t>Lockers</t>
  </si>
  <si>
    <t>10F</t>
  </si>
  <si>
    <t>MAIL BOXES</t>
  </si>
  <si>
    <t>Mail Boxes BU1</t>
  </si>
  <si>
    <t xml:space="preserve">Mail Boxes BU2 </t>
  </si>
  <si>
    <t xml:space="preserve">Mail Boxes BU3 </t>
  </si>
  <si>
    <t>Luxor System at Club house</t>
  </si>
  <si>
    <t>Mesh Storage Lockers</t>
  </si>
  <si>
    <t>10G</t>
  </si>
  <si>
    <t>Fireplaces</t>
  </si>
  <si>
    <t>10H</t>
  </si>
  <si>
    <t>Pye Barker</t>
  </si>
  <si>
    <t>Fire Extinguishers &amp; Cabinets</t>
  </si>
  <si>
    <t>Ivis Hernandez</t>
  </si>
  <si>
    <t>10I</t>
  </si>
  <si>
    <t>(786) 636-8203</t>
  </si>
  <si>
    <t>Ivis Hernandez &lt;ivis.hernandez@pyebarkerfs.com&gt;</t>
  </si>
  <si>
    <t>FE at units (5lb)</t>
  </si>
  <si>
    <t>FE at corridors</t>
  </si>
  <si>
    <t>Recessed Fire Extinguishers (in rated cabinet)</t>
  </si>
  <si>
    <t>Fire Extinguisher</t>
  </si>
  <si>
    <t>SFEC</t>
  </si>
  <si>
    <t>Garage 1,2,&amp;3</t>
  </si>
  <si>
    <t>too low</t>
  </si>
  <si>
    <t>Sirius Maintenance</t>
  </si>
  <si>
    <t>Richard Leal</t>
  </si>
  <si>
    <t>richard@siriusmaintenance.net</t>
  </si>
  <si>
    <t>Mail boxes for the units 2 parcel lockers ADA compliant</t>
  </si>
  <si>
    <t>Mail boxes for the units 1 parcel lockers ADA compliant</t>
  </si>
  <si>
    <t>Liftgate Service</t>
  </si>
  <si>
    <t>Luxor System</t>
  </si>
  <si>
    <t>A</t>
  </si>
  <si>
    <t>pending price</t>
  </si>
  <si>
    <t>$250 per tower</t>
  </si>
  <si>
    <t>working on linens</t>
  </si>
  <si>
    <t>budget @ 22/LF</t>
  </si>
  <si>
    <t>wire shelving</t>
  </si>
  <si>
    <t>budgeted</t>
  </si>
  <si>
    <t>dated 04.15.26</t>
  </si>
  <si>
    <t>Sun Closets</t>
  </si>
  <si>
    <t>Container Store</t>
  </si>
  <si>
    <t>Metal Shelving</t>
  </si>
  <si>
    <t>Vytas</t>
  </si>
  <si>
    <t>Andrea Gantt</t>
  </si>
  <si>
    <t>908-361-4287</t>
  </si>
  <si>
    <t xml:space="preserve"> &lt;info@sunclosets.com&gt;	</t>
  </si>
  <si>
    <t>Flood Mitigation</t>
  </si>
  <si>
    <t>Wire Shelving BU1</t>
  </si>
  <si>
    <t xml:space="preserve">Wire Shelving BU2 </t>
  </si>
  <si>
    <t xml:space="preserve">Wire Shelving BU3 </t>
  </si>
  <si>
    <t>12" deep S&amp;R Closet Shelving 1 ROW</t>
  </si>
  <si>
    <t>St1 (28 ea, 13LF)</t>
  </si>
  <si>
    <t>A1 - 1 bed/1 bath (128 ea, 19LF)</t>
  </si>
  <si>
    <t>A2 - 1 bed/1 bath (30 ea, 15LF)</t>
  </si>
  <si>
    <t>B1 M - 1 bed/1 bath (12ea , 24LF)</t>
  </si>
  <si>
    <t>B2 M - 1 bed/1 bath  (5ea, 18LF)</t>
  </si>
  <si>
    <t>A3(C2 MOD) - 1 bed/1 bath (2ea, 20 LF)</t>
  </si>
  <si>
    <t>B1 Den (18ea, 39LF)</t>
  </si>
  <si>
    <t>B2 Den (9 ea, 18LF)</t>
  </si>
  <si>
    <t>B2.1  (9 ea, 18LF)</t>
  </si>
  <si>
    <t>C1 - 2 bed/2 bath (44ea, 34LF)</t>
  </si>
  <si>
    <t>C2 - 2 bed/2 bath (50 ea, 34LF)</t>
  </si>
  <si>
    <t>C3 2 bd /2 bath (70ea, 41LF)</t>
  </si>
  <si>
    <t>D1 - 3 bed/2 bath (30ea, 36LF)</t>
  </si>
  <si>
    <t>WIC Tower NO DRAWERS</t>
  </si>
  <si>
    <t>no towers at WIC</t>
  </si>
  <si>
    <t>14" deep S&amp;R Linen Shelving 5 ROWs</t>
  </si>
  <si>
    <t>B2-Mod (5ea, 3lf)</t>
  </si>
  <si>
    <t>B2 Den (9 ea, 3lf)</t>
  </si>
  <si>
    <t>D1 (30ea, 3lf)</t>
  </si>
  <si>
    <t>C1 (44ea, 3.5lf) open linens, no door</t>
  </si>
  <si>
    <t>Laundry Equipment</t>
  </si>
  <si>
    <t xml:space="preserve">11 11 </t>
  </si>
  <si>
    <t>Loading Dock Equipment</t>
  </si>
  <si>
    <t>11A</t>
  </si>
  <si>
    <t xml:space="preserve">Appliances, incl.: </t>
  </si>
  <si>
    <t xml:space="preserve">  a. include specified appliances as scheduled</t>
  </si>
  <si>
    <t xml:space="preserve">  b. include delivery, unloading and installation of appliances</t>
  </si>
  <si>
    <t xml:space="preserve">  c. include all required power cords, water supply lines, drainage lines for dishwashers and clothes washers, dryer vent piping, etc.</t>
  </si>
  <si>
    <t xml:space="preserve">  d. include removal of all appliance packaging</t>
  </si>
  <si>
    <t xml:space="preserve">  f. include sales tax</t>
  </si>
  <si>
    <t>Food Service Equipment</t>
  </si>
  <si>
    <t>11B</t>
  </si>
  <si>
    <t>PO</t>
  </si>
  <si>
    <t xml:space="preserve">GE </t>
  </si>
  <si>
    <t>AJ Madison</t>
  </si>
  <si>
    <t>AJ MadisonR1</t>
  </si>
  <si>
    <t>Whirlpool</t>
  </si>
  <si>
    <t>Anthony DiPalermo</t>
  </si>
  <si>
    <t>Sandy Ranallo</t>
  </si>
  <si>
    <t>Jessica Koop</t>
  </si>
  <si>
    <t>Anthony.DiPalermo@geappliances.com</t>
  </si>
  <si>
    <t>sandy@ajmadison.com</t>
  </si>
  <si>
    <t>jessica_koop@whirlpool.com</t>
  </si>
  <si>
    <t>REF 36-Inch Wide Side-by-Side Refrigerator (24 cu ft) WRS315SDHM   SS</t>
  </si>
  <si>
    <t>MICRO/HOOD Microwave Hood Combo with Electronic Touch (1.7 cu ft) WMH31017HS  SS</t>
  </si>
  <si>
    <t xml:space="preserve">DISP  1/3 HP In-Sink Disposer GC1000PE </t>
  </si>
  <si>
    <t>DW Quiet Dishwasher with Heated Dry WDF332PAMS  SS</t>
  </si>
  <si>
    <t>RANGE Electric Range with Keep Warm Setting (5.3 cu ft)  WEE515S0LS  SS</t>
  </si>
  <si>
    <t>WASH Top Load Agitator Washer with Built-in Faucet (4.5 cu ft) WED500CMW White</t>
  </si>
  <si>
    <t>DRY Long Vent Electric Moisture Sensing Dryer (7.0 cu ft) WED500CMW White</t>
  </si>
  <si>
    <t>Stackable WASH Front Loader (4.3 cu. Ft.) WFW560CHW  White</t>
  </si>
  <si>
    <t>Stackable DRY Long Vent  (7.4 cu ft) WED560LHW White</t>
  </si>
  <si>
    <t>GE 25.3 Cu. Ft. Side-By-Side Refrigerator GSS25GYPFS</t>
  </si>
  <si>
    <t>GE® ENERGY STAR® 30" Slide-In Electric Range with crisp mode</t>
  </si>
  <si>
    <t xml:space="preserve">1.6 Cu ft over the Range Microwave Oven with recirculating ventin </t>
  </si>
  <si>
    <t>Dishwashers with sanitize cycle &amp; dry boost</t>
  </si>
  <si>
    <t>Disposers</t>
  </si>
  <si>
    <t>Stackable washers and dryers Front loader washers</t>
  </si>
  <si>
    <t>LG Appliances Units</t>
  </si>
  <si>
    <t>Full-size refrigerator Atosa 2 glass door merchandise cooler SS</t>
  </si>
  <si>
    <t>ID9-01</t>
  </si>
  <si>
    <t>Under counter ice maker Summit 8lB drain free, ADA compliant BIM181FADA</t>
  </si>
  <si>
    <t>Under counter Refrigerator Summit built-in ADA  FF1843BIFADA</t>
  </si>
  <si>
    <t>Under counter Refrigerator Summit 24" wide built-in ADA    AL54IF</t>
  </si>
  <si>
    <t>Under counter Refrigerator Summit 24" wide built-in ADA    AL55OSCSS</t>
  </si>
  <si>
    <t>Pizza Oven Chicago Brick Oven Hybrid countertop CBO-O-CT-750-HYB</t>
  </si>
  <si>
    <t>Parts</t>
  </si>
  <si>
    <t>All required electrical cords</t>
  </si>
  <si>
    <t>Remval of all boxes</t>
  </si>
  <si>
    <t>Appliances BU1 M1</t>
  </si>
  <si>
    <t>Appliances BU2 M2-1 3 Stories</t>
  </si>
  <si>
    <t>Appliances BU2 M2-1 4 Stories</t>
  </si>
  <si>
    <t>Club house</t>
  </si>
  <si>
    <t>Stacked washer and driers</t>
  </si>
  <si>
    <t>Top Load Optional Pacakge for Washers and Driers deduct</t>
  </si>
  <si>
    <t>Wall Protection</t>
  </si>
  <si>
    <t>12 30</t>
  </si>
  <si>
    <t>Athletic Equipment &amp; Surfacing</t>
  </si>
  <si>
    <t>11D</t>
  </si>
  <si>
    <t>only white</t>
  </si>
  <si>
    <t>working on Hanging moss</t>
  </si>
  <si>
    <t>working on Perla</t>
  </si>
  <si>
    <t>Florida Blinds</t>
  </si>
  <si>
    <t>Shademonster</t>
  </si>
  <si>
    <t>Contract Decor</t>
  </si>
  <si>
    <t>Raise &amp; Shine</t>
  </si>
  <si>
    <t>National Stage &amp; Window</t>
  </si>
  <si>
    <t>FVI Corp</t>
  </si>
  <si>
    <t>Michael thomas</t>
  </si>
  <si>
    <t>Carla Castaldo</t>
  </si>
  <si>
    <t xml:space="preserve">Penny Warstler </t>
  </si>
  <si>
    <t>Morr Kadoch</t>
  </si>
  <si>
    <t>Gary Stein</t>
  </si>
  <si>
    <t xml:space="preserve">FVI Estimating </t>
  </si>
  <si>
    <t xml:space="preserve">321-558-8870 </t>
  </si>
  <si>
    <t>866-206-8056</t>
  </si>
  <si>
    <t xml:space="preserve">310-770-1964 </t>
  </si>
  <si>
    <t>786-999-2450</t>
  </si>
  <si>
    <t xml:space="preserve"> mthomas@floridablindscontractors.com</t>
  </si>
  <si>
    <t xml:space="preserve"> &lt;carla@shademonster.com&gt;</t>
  </si>
  <si>
    <t>cdi@contract-decor.com&gt;</t>
  </si>
  <si>
    <t xml:space="preserve"> info@raiseshineblinds.com</t>
  </si>
  <si>
    <t>&lt;nswcorp@aol.com&gt;</t>
  </si>
  <si>
    <t>&lt;estimating@fvicorporation.com&gt;</t>
  </si>
  <si>
    <t xml:space="preserve"> {Qualified w/ exc} </t>
  </si>
  <si>
    <t>Blinds / Shades</t>
  </si>
  <si>
    <t>Faux Wood Blinds</t>
  </si>
  <si>
    <t>{1136}</t>
  </si>
  <si>
    <t>{962}</t>
  </si>
  <si>
    <t>{949}</t>
  </si>
  <si>
    <t>{990}</t>
  </si>
  <si>
    <t>{1042}</t>
  </si>
  <si>
    <t>Vertical Blinds</t>
  </si>
  <si>
    <t>{432}</t>
  </si>
  <si>
    <t>{457}</t>
  </si>
  <si>
    <t>{459}</t>
  </si>
  <si>
    <t>{461}</t>
  </si>
  <si>
    <t>5% manual clutch roller shades with fascia</t>
  </si>
  <si>
    <t>Clubhouse shades</t>
  </si>
  <si>
    <t>Add for blackout to units  (similar to Tropical)</t>
  </si>
  <si>
    <t>Buy out proposal</t>
  </si>
  <si>
    <t>buy out proposal</t>
  </si>
  <si>
    <t>working on update</t>
  </si>
  <si>
    <t>dated 04.06.2026</t>
  </si>
  <si>
    <t>dated 04.07.26</t>
  </si>
  <si>
    <t>dated 04.08.26</t>
  </si>
  <si>
    <t>dated 03.30.26</t>
  </si>
  <si>
    <t>dated 04.14.26</t>
  </si>
  <si>
    <t>dated 03.18.26</t>
  </si>
  <si>
    <t>plywood cabinets</t>
  </si>
  <si>
    <t>cabinet only</t>
  </si>
  <si>
    <t>Bidder 10</t>
  </si>
  <si>
    <t>Bidder 11</t>
  </si>
  <si>
    <t>Bidder 12</t>
  </si>
  <si>
    <t>Bidder 13</t>
  </si>
  <si>
    <t>Bidder 14</t>
  </si>
  <si>
    <t>Bidder 15</t>
  </si>
  <si>
    <t>Bidder 16</t>
  </si>
  <si>
    <t>Bidder 17</t>
  </si>
  <si>
    <t>National Kitchen</t>
  </si>
  <si>
    <t>Apro</t>
  </si>
  <si>
    <t>National Kitchen R2</t>
  </si>
  <si>
    <t>National Kitchen R3</t>
  </si>
  <si>
    <t>Paramount Depot</t>
  </si>
  <si>
    <t>Berthos Trading</t>
  </si>
  <si>
    <t>Regent Cabinets</t>
  </si>
  <si>
    <t>Condesa</t>
  </si>
  <si>
    <t>Heron Stone</t>
  </si>
  <si>
    <t>Glamour Design</t>
  </si>
  <si>
    <t>Allied Interior Solutions</t>
  </si>
  <si>
    <t>TJ Cabinetry</t>
  </si>
  <si>
    <t>Leedo</t>
  </si>
  <si>
    <t>Cosmo</t>
  </si>
  <si>
    <t>Italkraft</t>
  </si>
  <si>
    <t>Pro Craft</t>
  </si>
  <si>
    <t>EC Cabinet</t>
  </si>
  <si>
    <t xml:space="preserve">Michael Schwartz </t>
  </si>
  <si>
    <t>Francisco Mota</t>
  </si>
  <si>
    <t>Cristian Perez</t>
  </si>
  <si>
    <t>Jose A. Cuevas</t>
  </si>
  <si>
    <t xml:space="preserve">Bill Reagan </t>
  </si>
  <si>
    <t>Lis Estrada</t>
  </si>
  <si>
    <t>Elizabeth Alegre</t>
  </si>
  <si>
    <t xml:space="preserve">Alan Solano </t>
  </si>
  <si>
    <t xml:space="preserve">Marc Halvorsen </t>
  </si>
  <si>
    <t xml:space="preserve">Gibb Verjee </t>
  </si>
  <si>
    <t>954- 294-1821</t>
  </si>
  <si>
    <t>407-346-5152</t>
  </si>
  <si>
    <t>786-715-0222</t>
  </si>
  <si>
    <t xml:space="preserve">317-339-7327 </t>
  </si>
  <si>
    <t>740-973-5653</t>
  </si>
  <si>
    <t>407-474-0284</t>
  </si>
  <si>
    <t xml:space="preserve">954-389-9444 </t>
  </si>
  <si>
    <t xml:space="preserve">214-306-6877 </t>
  </si>
  <si>
    <t>404-909-0580</t>
  </si>
  <si>
    <t xml:space="preserve">919-539-2701 </t>
  </si>
  <si>
    <t>Michael@nationalkb.com</t>
  </si>
  <si>
    <t>francisco@aprocg.com</t>
  </si>
  <si>
    <t xml:space="preserve"> &lt;cperez@paramountdepot.com&gt;</t>
  </si>
  <si>
    <t xml:space="preserve"> &lt;jcuevas@berthostrading.com&gt;</t>
  </si>
  <si>
    <t>&lt;billr@regentcabinetsolutions.com&gt;</t>
  </si>
  <si>
    <t xml:space="preserve"> &lt;lis@condesaspaces.com&gt;</t>
  </si>
  <si>
    <t>ealegre@heronstone.com</t>
  </si>
  <si>
    <t xml:space="preserve">alans@alliedinteriorsolutions.com </t>
  </si>
  <si>
    <t>mhalvorsen@leedo.com</t>
  </si>
  <si>
    <t>gibb.verjee@cosmocabinets.com</t>
  </si>
  <si>
    <t>{1.5%}</t>
  </si>
  <si>
    <t>{1,835,320}</t>
  </si>
  <si>
    <t>{$1,650,000}</t>
  </si>
  <si>
    <t>{$1,373,149}</t>
  </si>
  <si>
    <t>{2,852,944}</t>
  </si>
  <si>
    <t>{$1,000,000}</t>
  </si>
  <si>
    <t>Acknowledgment of Clarifications (#1 thru #4)</t>
  </si>
  <si>
    <t xml:space="preserve">Cabinets </t>
  </si>
  <si>
    <t>Countertops</t>
  </si>
  <si>
    <t>General scope</t>
  </si>
  <si>
    <t>ID9.06</t>
  </si>
  <si>
    <t>Ramboard for protection</t>
  </si>
  <si>
    <t>A3.2</t>
  </si>
  <si>
    <t>Countertop 2CM quartz level 3  for the kitchen (Caesarstone 5131 Calacatta nuvo, honed)</t>
  </si>
  <si>
    <t>{Decastone Quartz}</t>
  </si>
  <si>
    <t>Quartz</t>
  </si>
  <si>
    <t>{to match Calacatta}</t>
  </si>
  <si>
    <t>{Calacatta}</t>
  </si>
  <si>
    <t>lvl 1</t>
  </si>
  <si>
    <t>3cm, lvl1</t>
  </si>
  <si>
    <t>Countertop 2CM quartz Level 3 for vanities (Caesarstone 5131 Calacatta nuvo, honed)</t>
  </si>
  <si>
    <t>lvl1</t>
  </si>
  <si>
    <t xml:space="preserve">U-CAB-1 </t>
  </si>
  <si>
    <t>Base Cabinets, Full Overlay Painted Roma Shaker Doors, PCB box, finish: SW pure white</t>
  </si>
  <si>
    <t>U-H-1</t>
  </si>
  <si>
    <t>Cabinet Hardware: Soft Close Hinges for Doors and Drawers, Modern Metro Pull, flat black</t>
  </si>
  <si>
    <t>Open kitchen shelves, painted</t>
  </si>
  <si>
    <t>U-CAB-2</t>
  </si>
  <si>
    <t>Upper cabinets,Full Overlay Roma Shaker Doors, PCB box, finish: white oak look</t>
  </si>
  <si>
    <t>Kitchen island countertop</t>
  </si>
  <si>
    <t>confirming</t>
  </si>
  <si>
    <t>Kitchen island side, back panels and open shelves</t>
  </si>
  <si>
    <r>
      <rPr>
        <sz val="10"/>
        <color rgb="FF000000"/>
        <rFont val="Arial"/>
        <family val="2"/>
      </rPr>
      <t xml:space="preserve">Undercabinets lights (without Al strip) - (Tropical Spec'd: 12"/18"/24" series LED undercabinet lights, Lithonia, UCLD 12"/18"/24" 40k 90 CRI SWR WH)  (Tropical Accepted VE: 1LR-3W-24V-27K-CLIP-DRIVER ) </t>
    </r>
    <r>
      <rPr>
        <i/>
        <sz val="10"/>
        <color rgb="FFFF0000"/>
        <rFont val="Arial"/>
        <family val="2"/>
      </rPr>
      <t>- Electrical</t>
    </r>
  </si>
  <si>
    <t>Light Rail Molding</t>
  </si>
  <si>
    <t>Kitchen sinks installation only</t>
  </si>
  <si>
    <t>Vanity sinks installation only</t>
  </si>
  <si>
    <r>
      <rPr>
        <sz val="10"/>
        <color rgb="FF000000"/>
        <rFont val="Arial"/>
        <family val="2"/>
      </rPr>
      <t xml:space="preserve">Kitchen sinks (Kohler, Vault 32" undermount, K-25939-NA, SS) </t>
    </r>
    <r>
      <rPr>
        <i/>
        <sz val="10"/>
        <color rgb="FFFF0000"/>
        <rFont val="Arial"/>
        <family val="2"/>
      </rPr>
      <t>- by plumber</t>
    </r>
  </si>
  <si>
    <r>
      <rPr>
        <sz val="10"/>
        <color rgb="FF000000"/>
        <rFont val="Arial"/>
        <family val="2"/>
      </rPr>
      <t xml:space="preserve">Vanity sinks (Kohler, Verticyl,  K-2882-0, white) </t>
    </r>
    <r>
      <rPr>
        <i/>
        <sz val="10"/>
        <color rgb="FFFF0000"/>
        <rFont val="Arial"/>
        <family val="2"/>
      </rPr>
      <t>- by plumber</t>
    </r>
  </si>
  <si>
    <t>Tariffs Cabinets</t>
  </si>
  <si>
    <t>{134972}</t>
  </si>
  <si>
    <t>Tariffs Countertops</t>
  </si>
  <si>
    <t>{29335.29}</t>
  </si>
  <si>
    <t>Discount</t>
  </si>
  <si>
    <t>Crown moldings at soffits/wall cabinets are excluded</t>
  </si>
  <si>
    <t>Revise the height of the cabinets + soffit</t>
  </si>
  <si>
    <t>Revise countertop supports, dishwasher ez brackets</t>
  </si>
  <si>
    <t>Lazy Susan excluded</t>
  </si>
  <si>
    <t>Molding above wall cabinets</t>
  </si>
  <si>
    <t>Quartz lvl 1 ilo Quartz lvl 3 Calacatta</t>
  </si>
  <si>
    <t>Quartz lvl  2 ilo Quartz lvl 3 Calacatta</t>
  </si>
  <si>
    <t>Ivory White Granite ilo Calacatta Quartz</t>
  </si>
  <si>
    <t>Standard Hinges and Glides ilo Soft closing</t>
  </si>
  <si>
    <t>Standard 5" Pulls ilo specified</t>
  </si>
  <si>
    <t>La Gasse Pools</t>
  </si>
  <si>
    <t>Rock Star</t>
  </si>
  <si>
    <t>RA Pools</t>
  </si>
  <si>
    <t>Apex Pavers</t>
  </si>
  <si>
    <t>Pugh Pools LLC R2</t>
  </si>
  <si>
    <t>Atlantic Pools</t>
  </si>
  <si>
    <t>Artistic Pools</t>
  </si>
  <si>
    <t>Swimming Pools</t>
  </si>
  <si>
    <t>Kaylen Rasua</t>
  </si>
  <si>
    <t>Kelly Kephart</t>
  </si>
  <si>
    <t>Nigel Guite</t>
  </si>
  <si>
    <t>Robert Allard</t>
  </si>
  <si>
    <t>Bill Scott</t>
  </si>
  <si>
    <t>Geoff A. Pugh</t>
  </si>
  <si>
    <t>Joseph Stallone</t>
  </si>
  <si>
    <t>George Criscione</t>
  </si>
  <si>
    <t>krasua@lagassepools.com</t>
  </si>
  <si>
    <t>KellyK@certifiedpools.net</t>
  </si>
  <si>
    <t>Nigel@RockStarPools.com</t>
  </si>
  <si>
    <t>Robert@RAPools.com</t>
  </si>
  <si>
    <t>estimating@apexpavers.com</t>
  </si>
  <si>
    <t>Geoff@pughspools.com</t>
  </si>
  <si>
    <t>josephstallone94@gmail.com</t>
  </si>
  <si>
    <t>artisticpoolsandwaterfalls@gmail.com</t>
  </si>
  <si>
    <t>Expired  (1.6 G)</t>
  </si>
  <si>
    <t>Not ass.(5 R)</t>
  </si>
  <si>
    <t>Not ass.(6 R)</t>
  </si>
  <si>
    <t>Not ass.  (6 R)</t>
  </si>
  <si>
    <t>SWIMMING POOL</t>
  </si>
  <si>
    <t>Pool 2,200 sq.ft., 300 perimeter feet, (3) sets of steps, bench seating, sun shelf, 3'- 5' deep, Rollout gutter design</t>
  </si>
  <si>
    <t>LS 6of7</t>
  </si>
  <si>
    <t>{2450sf}</t>
  </si>
  <si>
    <t>Excavate pool, backfill, and compact pool and plumbing areas</t>
  </si>
  <si>
    <t>Shotcrete or Gunite 4,000 psi @ 28 days</t>
  </si>
  <si>
    <t>Pool walls and floors  8” thick with #4 rebar 12" O.C.E.W.</t>
  </si>
  <si>
    <t>Water tiles and tile copings</t>
  </si>
  <si>
    <t xml:space="preserve">Interior finish Florida stucco </t>
  </si>
  <si>
    <t>Pool lights, and all electrical conduits and bonding</t>
  </si>
  <si>
    <t>Pool circulation pump</t>
  </si>
  <si>
    <t>Pool Heater &amp; coll heat pumps</t>
  </si>
  <si>
    <t>Safety equipment, rails and signage</t>
  </si>
  <si>
    <t>Structural, hydraulic and electrical engineering</t>
  </si>
  <si>
    <t>{$5000}</t>
  </si>
  <si>
    <t>4 planters around the Pool</t>
  </si>
  <si>
    <t>ADA lift</t>
  </si>
  <si>
    <t>LED Light Unit price</t>
  </si>
  <si>
    <t>Bachiller R3</t>
  </si>
  <si>
    <t>Awnings, Canopies, Shutters</t>
  </si>
  <si>
    <t xml:space="preserve">Estimating AI </t>
  </si>
  <si>
    <t xml:space="preserve"> (407) 244 4956 </t>
  </si>
  <si>
    <t>&lt;estimatingai@theawningfactory.com&gt;</t>
  </si>
  <si>
    <t>Brackets &amp; Rafters</t>
  </si>
  <si>
    <t>missing</t>
  </si>
  <si>
    <t>SH5 - Colonial shutters (1'-6" x 7', 22 ea)</t>
  </si>
  <si>
    <t>Building 1thru 6</t>
  </si>
  <si>
    <t>SH6 - Colonial shutters (1'-3" x 7',  6ea)</t>
  </si>
  <si>
    <t>AW1 - Standing Seam Roof Canopy ( 19'-10" x 6')</t>
  </si>
  <si>
    <t>LV6 - Arched Louvered Awning (11'-6" x 3'-8", 2ea)</t>
  </si>
  <si>
    <t>AW2 - Standing Seam Roof Canopy ( 20' x 4'-8")</t>
  </si>
  <si>
    <t>LV7 - Arched Louvered Awning (10'-6" x 3', 2ea)</t>
  </si>
  <si>
    <t>AW3 - Standing Seam Roof Canopy ( 9' x 4')</t>
  </si>
  <si>
    <t>LV8 - Louvered Awning (6' x 2', 2ea)</t>
  </si>
  <si>
    <t>AW4 - Standing Seam Roof Canopy ( 14' x 5')</t>
  </si>
  <si>
    <t>LV9 -  Louvered Awning (5'-8" x 2', 4ea)</t>
  </si>
  <si>
    <t>AW5 - Louvered Aluminum Awning ( 6' x 4')</t>
  </si>
  <si>
    <t>LV10 -  Louvered Awning (6'-4 1/2" x 2', 3ea)</t>
  </si>
  <si>
    <t>SH1 - Batten shutters (1'-6" x 6')</t>
  </si>
  <si>
    <t>LV11 -  Louvered Awning (9' x 2', 1ea)</t>
  </si>
  <si>
    <t>SH2 - Batten shutters (1'-3" x 4')</t>
  </si>
  <si>
    <t>LV1 - Arched Louvered Awning (7'-4" x 3')</t>
  </si>
  <si>
    <t>LV2 - Arched Louvered Awning (5' x 3')</t>
  </si>
  <si>
    <t>LV12 - Arched Louvered Awning (9' x 2', 8ea)</t>
  </si>
  <si>
    <t>LV3 - Arched Louvered Awning (6'-2" x 2')</t>
  </si>
  <si>
    <t>LV13 -  Louver (6'-4 1/2" x 2', 2ea)</t>
  </si>
  <si>
    <r>
      <rPr>
        <sz val="10"/>
        <color rgb="FF000000"/>
        <rFont val="Arial"/>
        <family val="2"/>
      </rPr>
      <t xml:space="preserve">Open frames @ parapets </t>
    </r>
    <r>
      <rPr>
        <sz val="10"/>
        <color rgb="FFFF0000"/>
        <rFont val="Arial"/>
        <family val="2"/>
      </rPr>
      <t>- removed in Addendum #1</t>
    </r>
  </si>
  <si>
    <t>LV14 -  Louver (6'-4 1/2" x 2', 2ea)</t>
  </si>
  <si>
    <t>Decorative Open Aluminum Frame Tag 8.93 @Decorative Parapets</t>
  </si>
  <si>
    <t>Tag 8.93/ PAV.1.4</t>
  </si>
  <si>
    <t>SH7 - Aluminum Shutter (1'-6" x 5'-4", 4ea)</t>
  </si>
  <si>
    <t>SH7 - Aluminum Shutter (1'-6" x 5'-4", 8ea)</t>
  </si>
  <si>
    <t>SH7 - Aluminum Shutter (1'-6" x 5'-4", 6ea)</t>
  </si>
  <si>
    <t>SH8 - Aluminum Shutter (1'-5 1/2" x 2'-7 1/2", 8ea)</t>
  </si>
  <si>
    <r>
      <rPr>
        <sz val="10"/>
        <color rgb="FF000000"/>
        <rFont val="Arial"/>
        <family val="2"/>
      </rPr>
      <t xml:space="preserve">Decorative Open Aluminum Frame Tag 8.93 @Decorative Parapets </t>
    </r>
    <r>
      <rPr>
        <sz val="10"/>
        <color rgb="FFFF0000"/>
        <rFont val="Arial"/>
        <family val="2"/>
      </rPr>
      <t>-removed in Addendum #1</t>
    </r>
  </si>
  <si>
    <t>Site Trellis roof</t>
  </si>
  <si>
    <t>A2.TR.1 (Clubhouse plans)</t>
  </si>
  <si>
    <t>HB Adjustment for custom finish</t>
  </si>
  <si>
    <t>they can match</t>
  </si>
  <si>
    <t>Saunas</t>
  </si>
  <si>
    <t>13D</t>
  </si>
  <si>
    <t>Playground Equipment</t>
  </si>
  <si>
    <t>13E</t>
  </si>
  <si>
    <t>Pools &amp; Fountains</t>
  </si>
  <si>
    <t>13 11</t>
  </si>
  <si>
    <t>BO PriceR1</t>
  </si>
  <si>
    <t>Schindler</t>
  </si>
  <si>
    <t>Schindler BO</t>
  </si>
  <si>
    <t>Schindler BO R1</t>
  </si>
  <si>
    <t xml:space="preserve"> TKE </t>
  </si>
  <si>
    <t xml:space="preserve">Kone </t>
  </si>
  <si>
    <t>Kone R1</t>
  </si>
  <si>
    <t>Stephen Prachaseri</t>
  </si>
  <si>
    <t>James Marcic</t>
  </si>
  <si>
    <t>Scott Turner</t>
  </si>
  <si>
    <t>(407) 719-4066</t>
  </si>
  <si>
    <t>stephen.prachaseri@schindler.com</t>
  </si>
  <si>
    <t>james.marcic@tkelevator.com</t>
  </si>
  <si>
    <t>scott.turner@kone.com</t>
  </si>
  <si>
    <t>{37,500,000}</t>
  </si>
  <si>
    <t>{25,000,000}</t>
  </si>
  <si>
    <t>Schindler 3300 MRL Building and 3100 MRL CH, 2500 Lb 7'-9" H</t>
  </si>
  <si>
    <t>Kone MRL MonoSpace 500 3500 L 8'-6" H</t>
  </si>
  <si>
    <t>EOX 100</t>
  </si>
  <si>
    <t>Capacity - 2500 LB</t>
  </si>
  <si>
    <t>Speed - 150 fpm for buildings and 100 fpm for CH</t>
  </si>
  <si>
    <t>Operation system - machin-room-less</t>
  </si>
  <si>
    <t>Travel distance - 38'</t>
  </si>
  <si>
    <t>Landings - 5</t>
  </si>
  <si>
    <t xml:space="preserve">Cab size - 7' 9" H </t>
  </si>
  <si>
    <t>Automatic fan/light shutdown</t>
  </si>
  <si>
    <t>ADA phone</t>
  </si>
  <si>
    <t>Battery operated emergency lowering</t>
  </si>
  <si>
    <t>ELEVATORS BU1</t>
  </si>
  <si>
    <t>Passenger Machine-Room-Less buildings</t>
  </si>
  <si>
    <t xml:space="preserve">Runing hours 10 hours </t>
  </si>
  <si>
    <t>Runining hours extra 5 hours</t>
  </si>
  <si>
    <t>Running hours 15 hour  / temp Use (3) Months / Cleaning and inspection 3 Elevators</t>
  </si>
  <si>
    <t>Cab finish</t>
  </si>
  <si>
    <t xml:space="preserve">ELEVATORS BU2 </t>
  </si>
  <si>
    <t>Running hours 15 hour  / temp Use (3) Months / Cleaning and inspection 2 Elevators</t>
  </si>
  <si>
    <t>ELEVATORS BU3</t>
  </si>
  <si>
    <t>Running hours 15 hour  / temp Use (3) Months / Cleaning and inspection 1 Elevators</t>
  </si>
  <si>
    <t>ELEVATORS Clubhouse</t>
  </si>
  <si>
    <t>3 months rent / temp Use/ Final cleaning</t>
  </si>
  <si>
    <t>Tariffs</t>
  </si>
  <si>
    <t>Savimgs</t>
  </si>
  <si>
    <t>Wilkinson</t>
  </si>
  <si>
    <t>Taurus Chutes</t>
  </si>
  <si>
    <t xml:space="preserve">Atlas </t>
  </si>
  <si>
    <t>Atlas R1</t>
  </si>
  <si>
    <t>Walter GraceR1</t>
  </si>
  <si>
    <t>Kept</t>
  </si>
  <si>
    <t>Kareem Bayram</t>
  </si>
  <si>
    <t>Jill Brock</t>
  </si>
  <si>
    <t>Jennifer Ponder</t>
  </si>
  <si>
    <t>Lucas Singleton</t>
  </si>
  <si>
    <t>Matt Hulsey</t>
  </si>
  <si>
    <t>kbayram@whrise.com</t>
  </si>
  <si>
    <t>s.schaefer@tauruschutesinc.com</t>
  </si>
  <si>
    <t>jennifer@atlas-disposal.com</t>
  </si>
  <si>
    <t>sales@woltgrace.com</t>
  </si>
  <si>
    <t>matt.hulsey@keptcompanies.com</t>
  </si>
  <si>
    <t>{w/ exceptions}</t>
  </si>
  <si>
    <t>{179,927}</t>
  </si>
  <si>
    <t>TRASH/LINEN CHUTES BU 4,5,6 Type 1 (3)</t>
  </si>
  <si>
    <t>Trash Chute 24" 52'  16 Gauge</t>
  </si>
  <si>
    <t>Electrical interlocks</t>
  </si>
  <si>
    <t>ADA (pneumatic) push button</t>
  </si>
  <si>
    <t>Trash compactor</t>
  </si>
  <si>
    <t>2CY compaction containers</t>
  </si>
  <si>
    <t>2CY trash containers</t>
  </si>
  <si>
    <t>95 gallons trash bin</t>
  </si>
  <si>
    <t>Rubber sheet Baffles</t>
  </si>
  <si>
    <t>Odor Mist Control</t>
  </si>
  <si>
    <t>Isolator pads - cork neoprene sound / vibrations pads</t>
  </si>
  <si>
    <t>Coat entire Chute W/ Duct Lagging Material by Kinetics Noise (KNM 100-ALQ-2)</t>
  </si>
  <si>
    <t>2/A8,4</t>
  </si>
  <si>
    <t>TRASH/LINEN CHUTES BU2 3 Type 2  (2)</t>
  </si>
  <si>
    <t xml:space="preserve">Trash compactor </t>
  </si>
  <si>
    <t>TRASH/LINEN CHUTES BU1 Type 3 (1)</t>
  </si>
  <si>
    <t>Delivery and installatio</t>
  </si>
  <si>
    <t>Sales Taxes</t>
  </si>
  <si>
    <t>Coat entire Chute W/ Duct Lagging Material by Kinetics Noise (KNM 100-AL)</t>
  </si>
  <si>
    <t>Elevator Interior &amp; Modernization</t>
  </si>
  <si>
    <t>14C</t>
  </si>
  <si>
    <t>Specificed Manufacturer: ?</t>
  </si>
  <si>
    <t>Model - ?</t>
  </si>
  <si>
    <t>Finish - ?</t>
  </si>
  <si>
    <t>Capacity - ?</t>
  </si>
  <si>
    <t>Speed - ?</t>
  </si>
  <si>
    <t>Operation system - ?</t>
  </si>
  <si>
    <t>Travel distance - ? ft</t>
  </si>
  <si>
    <t>Landings - ?</t>
  </si>
  <si>
    <t xml:space="preserve">Cab size - </t>
  </si>
  <si>
    <t xml:space="preserve">Hoistway size - </t>
  </si>
  <si>
    <t>Power - ?</t>
  </si>
  <si>
    <t>Pit ladder</t>
  </si>
  <si>
    <t>Elevator inspections</t>
  </si>
  <si>
    <t>Rent elevator for 3 months</t>
  </si>
  <si>
    <t>Wheelchair Lifts</t>
  </si>
  <si>
    <t>14D</t>
  </si>
  <si>
    <t>Cab size - 5'-8" w x 7'-10" d x 7'-4" h</t>
  </si>
  <si>
    <t>Hoistway size - 7'-4" w x 10'-9" h</t>
  </si>
  <si>
    <t>Elevator use for 2 months</t>
  </si>
  <si>
    <t>Vehicle Lifts</t>
  </si>
  <si>
    <t>14E</t>
  </si>
  <si>
    <t>Scaffolding</t>
  </si>
  <si>
    <t>14 80</t>
  </si>
  <si>
    <t>Bidder9</t>
  </si>
  <si>
    <t>Wayne</t>
  </si>
  <si>
    <t>Sprinklermatic</t>
  </si>
  <si>
    <t>SprinklermaticR1</t>
  </si>
  <si>
    <t>Francis Fire</t>
  </si>
  <si>
    <t>Econoy Fire</t>
  </si>
  <si>
    <t>Dynafire</t>
  </si>
  <si>
    <t>Polaris</t>
  </si>
  <si>
    <t>Pyebarker</t>
  </si>
  <si>
    <t>Brothers</t>
  </si>
  <si>
    <t>Frontier</t>
  </si>
  <si>
    <t>Heath Stephens</t>
  </si>
  <si>
    <t>Craig Zimmerla 208</t>
  </si>
  <si>
    <t>Orrett Francis 203</t>
  </si>
  <si>
    <t>Echevarria105</t>
  </si>
  <si>
    <t>Garrett Meany</t>
  </si>
  <si>
    <t>Ari Glass</t>
  </si>
  <si>
    <t>Roy Ziek</t>
  </si>
  <si>
    <t>Remmy Rickel</t>
  </si>
  <si>
    <t>Aaron Solomon</t>
  </si>
  <si>
    <t>(904) 268-3030</t>
  </si>
  <si>
    <t>hastephens@waynefire.com</t>
  </si>
  <si>
    <t>craig@sprinklermatic.net</t>
  </si>
  <si>
    <t>ofrancis@francisfire.com</t>
  </si>
  <si>
    <t>rafael@ecofirepro.com</t>
  </si>
  <si>
    <t>garrett.meaney@dynafire.com</t>
  </si>
  <si>
    <t>AGlass@polarisfp.com</t>
  </si>
  <si>
    <t>Roy.Ziek@pyebarkerfs.com</t>
  </si>
  <si>
    <t>remmy@brofire.com</t>
  </si>
  <si>
    <t>asolomon@frontierfireco.com</t>
  </si>
  <si>
    <t>Not aas. (6 R)</t>
  </si>
  <si>
    <t>Expired (4Y)</t>
  </si>
  <si>
    <t>Expired (2 G)</t>
  </si>
  <si>
    <t>Design Build System meeting NFPA 13</t>
  </si>
  <si>
    <t>Fire Protection (Building)</t>
  </si>
  <si>
    <t xml:space="preserve">Manual wet Standpipes </t>
  </si>
  <si>
    <t>Main Lines CPVC</t>
  </si>
  <si>
    <t>Branch Lines CPVC</t>
  </si>
  <si>
    <t>Identification and Labeling</t>
  </si>
  <si>
    <t>Cabinets and Parts</t>
  </si>
  <si>
    <t>Final Adjustments and Tests</t>
  </si>
  <si>
    <t>BIM Coordination</t>
  </si>
  <si>
    <t>Fire Stopping and Caulking</t>
  </si>
  <si>
    <t>Fire Pump 40 HP for each building</t>
  </si>
  <si>
    <t>{6@300GPM}</t>
  </si>
  <si>
    <t>Jockey Pump  5 HP for each building</t>
  </si>
  <si>
    <t>Engineered Shop Drawings and Submittals</t>
  </si>
  <si>
    <t>Hangers/Supports</t>
  </si>
  <si>
    <t>Alarm Monitoring , flow switches, and tamper switches as required</t>
  </si>
  <si>
    <t>All sprinklers heads, concealed in clubhouse, brass in exposed areas</t>
  </si>
  <si>
    <t>FIRE SPRINKLERS BU type 1 (4,5,6)</t>
  </si>
  <si>
    <t>Complete Fire suppression system at units</t>
  </si>
  <si>
    <t>Fire pumps</t>
  </si>
  <si>
    <t>FIRE SPRINKLERS BU Type 2 (2,3)</t>
  </si>
  <si>
    <t>FIRE SPRINKLERS BU type 3 (1)</t>
  </si>
  <si>
    <t>FIRE SPRINKLERS Clubhouse</t>
  </si>
  <si>
    <t>FIRE SPRINKLERS Garage</t>
  </si>
  <si>
    <t>FIRE SPRINKLERS Maintenance Building</t>
  </si>
  <si>
    <t>Permit</t>
  </si>
  <si>
    <t xml:space="preserve"> BO Discount</t>
  </si>
  <si>
    <t>Add wet fire protections for the wood trusses - Residential Buildings</t>
  </si>
  <si>
    <t>Add wet fire protections for the wood trusses - Garages</t>
  </si>
  <si>
    <t>Add wet fire protections for the wood trusses - Maintenance Building</t>
  </si>
  <si>
    <t>to remove attics fire sprinklers from the CH</t>
  </si>
  <si>
    <t>to remove attics fire sprinklers from the Garages</t>
  </si>
  <si>
    <t>to remove attics fire sprinklers from the Maintenanace Bldg</t>
  </si>
  <si>
    <t>based on 2/6/26</t>
  </si>
  <si>
    <t>Alt. and Vinyl bans</t>
  </si>
  <si>
    <t>Alt. and Royal base and Matt black Faucets</t>
  </si>
  <si>
    <t>As Per drawings</t>
  </si>
  <si>
    <t>Without Fixtures</t>
  </si>
  <si>
    <t>Alpadex</t>
  </si>
  <si>
    <t>AlpadexR2</t>
  </si>
  <si>
    <t>Wright Brothers</t>
  </si>
  <si>
    <t>Ridgeway</t>
  </si>
  <si>
    <t>Medic Air</t>
  </si>
  <si>
    <t>Breakthrough</t>
  </si>
  <si>
    <t>Real Page</t>
  </si>
  <si>
    <t>Luis Crespo</t>
  </si>
  <si>
    <t>Daniel Ocampo</t>
  </si>
  <si>
    <t>Ken Depew 5</t>
  </si>
  <si>
    <t>Cale Janssen</t>
  </si>
  <si>
    <t>Ben Salzer</t>
  </si>
  <si>
    <t>Joseph Ortega</t>
  </si>
  <si>
    <t>(561) 889-0400</t>
  </si>
  <si>
    <t>estimating@alpadex.com</t>
  </si>
  <si>
    <t>docampo@wrightbrotherscs.com</t>
  </si>
  <si>
    <t>kend@ridgewayplumbing.com</t>
  </si>
  <si>
    <t>cjanssen@medicairsystems.com</t>
  </si>
  <si>
    <t xml:space="preserve">ben@brmph.com </t>
  </si>
  <si>
    <t>joseph.ortega@realpage.com</t>
  </si>
  <si>
    <r>
      <t>Furnish and Install all</t>
    </r>
    <r>
      <rPr>
        <b/>
        <sz val="11"/>
        <color theme="1"/>
        <rFont val="Calibri"/>
        <family val="2"/>
        <scheme val="minor"/>
      </rPr>
      <t xml:space="preserve"> Plumbing </t>
    </r>
    <r>
      <rPr>
        <sz val="11"/>
        <color theme="1"/>
        <rFont val="Calibri"/>
        <family val="2"/>
        <scheme val="minor"/>
      </rPr>
      <t>scope of work in accordance with the plans and specifications including but not limited to the items listed below unless noted otherwise:</t>
    </r>
  </si>
  <si>
    <r>
      <t xml:space="preserve">Subcontractor includes all Supervision, Labor, Material, and Equipment required to provide and complete all  </t>
    </r>
    <r>
      <rPr>
        <b/>
        <sz val="11"/>
        <color theme="1"/>
        <rFont val="Calibri"/>
        <family val="2"/>
        <scheme val="minor"/>
      </rPr>
      <t xml:space="preserve">Plumbing </t>
    </r>
    <r>
      <rPr>
        <sz val="11"/>
        <color theme="1"/>
        <rFont val="Calibri"/>
        <family val="2"/>
        <scheme val="minor"/>
      </rPr>
      <t>Per Plans, Specifications, and Local, State, and Federal Codes</t>
    </r>
  </si>
  <si>
    <t>Subcontractor will be need to working in multiple areas / units simultaneously</t>
  </si>
  <si>
    <t>Subcontractor must carry insurance for his tools and equipment as builders risk insurance will not cover</t>
  </si>
  <si>
    <t>Expired (4.8Y)</t>
  </si>
  <si>
    <t>Plumbing Fixtures as pe 2/6/26 drawings</t>
  </si>
  <si>
    <t>Piping Specs:</t>
  </si>
  <si>
    <t>Underground (5 ft. outside footprint)</t>
  </si>
  <si>
    <t>Water piping to be CPVC with solvent weld</t>
  </si>
  <si>
    <t>Sanitary piping to be PVC sch 40 solid wall</t>
  </si>
  <si>
    <t>Vent piping to be PVC</t>
  </si>
  <si>
    <t>Storm piping to be PVC sch 40 solid wall</t>
  </si>
  <si>
    <t>Above Ground</t>
  </si>
  <si>
    <t>Flowguard Gold up to 2" Water piping to be CPVC &amp; Corzan sch 80 CPVC for 2 1/2" and larger pipes</t>
  </si>
  <si>
    <t>P.1.0.01</t>
  </si>
  <si>
    <t>Hot water systems with recirculation loops shall be provided with 1" insulation for supply and return piping, for branches off main loop insulate first 8' of piping</t>
  </si>
  <si>
    <t>Hot water systems without recirculation loops shall be provided with 1" insulation for the first 8' of piping</t>
  </si>
  <si>
    <t>Padex</t>
  </si>
  <si>
    <t>Condensate Piping to be PVC DWv ch 40</t>
  </si>
  <si>
    <t>All horizontal above grade storm drain shall be insulated with1" thick Fiberglass</t>
  </si>
  <si>
    <t>P.0.1.1</t>
  </si>
  <si>
    <t>Additional Breakouts:</t>
  </si>
  <si>
    <t>Plumbing Fixtures - CH</t>
  </si>
  <si>
    <t>Plumbing Fixtures - Units</t>
  </si>
  <si>
    <t>{alt}</t>
  </si>
  <si>
    <t>Water heaters EWH-1,2,3,4 Rheem</t>
  </si>
  <si>
    <t>P.1.0.02</t>
  </si>
  <si>
    <t xml:space="preserve">Plumbing Equipment </t>
  </si>
  <si>
    <t>Floor drains</t>
  </si>
  <si>
    <t>Hose bibbs with vacuum breakers</t>
  </si>
  <si>
    <t>Pool deck and courtyard storm drainage piping</t>
  </si>
  <si>
    <t>Storm Drainage System</t>
  </si>
  <si>
    <t>Sanitary Sewer System</t>
  </si>
  <si>
    <t>Condensate Piping</t>
  </si>
  <si>
    <t>Domestic Water System</t>
  </si>
  <si>
    <t>Domestic and booster water Pumps P-1, P-2</t>
  </si>
  <si>
    <t>P.0.1.2</t>
  </si>
  <si>
    <t>Elevator Sump Pump System</t>
  </si>
  <si>
    <t>P1.5.02</t>
  </si>
  <si>
    <t>Natural Gas Piping</t>
  </si>
  <si>
    <t>Shower Pans</t>
  </si>
  <si>
    <t>Hot water pipes insulation</t>
  </si>
  <si>
    <t>Sound insulations for the pipes</t>
  </si>
  <si>
    <t>Provide final hookups from valve to Appliances/Kitchen Equipment</t>
  </si>
  <si>
    <t>Pool equipment ,and trash chutes plumbing scope</t>
  </si>
  <si>
    <t>All required water hammer arrestor</t>
  </si>
  <si>
    <t xml:space="preserve">Submeter for units - Materials </t>
  </si>
  <si>
    <t>Submeter for units - Install</t>
  </si>
  <si>
    <t xml:space="preserve">Water supply and tie to drainage for the site fountains </t>
  </si>
  <si>
    <t>Shop Drawings</t>
  </si>
  <si>
    <t>Fire Stopping for Plumbing Scope</t>
  </si>
  <si>
    <t>Temporary Water for Construction/Trailers</t>
  </si>
  <si>
    <t>Disinfecting of water lines</t>
  </si>
  <si>
    <t>PLUMBING BUType 1 (4,5,6)</t>
  </si>
  <si>
    <t>Plumbing Units</t>
  </si>
  <si>
    <t>ID9-05</t>
  </si>
  <si>
    <t>Leak Detection</t>
  </si>
  <si>
    <t>PLUMBING BUType 2 (3,4)</t>
  </si>
  <si>
    <t>PLUMBING BU Type 3  (1)</t>
  </si>
  <si>
    <t>PLUMBING Clubhouse</t>
  </si>
  <si>
    <t>Plumbing Clubhouse</t>
  </si>
  <si>
    <t>Plumbing Fixtures Kohler</t>
  </si>
  <si>
    <t>PLUMBING Garage</t>
  </si>
  <si>
    <t>Plumbing garage</t>
  </si>
  <si>
    <t>Add for Matt black faucets</t>
  </si>
  <si>
    <t>PLUMBING Pool Pavilion</t>
  </si>
  <si>
    <t>PLUMBING Dog Park</t>
  </si>
  <si>
    <t>PLUMBING MB</t>
  </si>
  <si>
    <t>Permit Fees</t>
  </si>
  <si>
    <t>CCIP</t>
  </si>
  <si>
    <t>Provide brass valves IL CPVC</t>
  </si>
  <si>
    <t>Sterling Forum 60x36 , this tub will not have the lip  add</t>
  </si>
  <si>
    <t>Royal Dreamer AFD Tub (60 x 36) – ADD</t>
  </si>
  <si>
    <t>Sterling 95079-0 Guard + 60 x 38 Shower Receptor – ADD</t>
  </si>
  <si>
    <t>Royal MFG Acrylic 60x38 Shower Pan Single Threshold – ADD</t>
  </si>
  <si>
    <t>Sterling Windham Toilet – ADD</t>
  </si>
  <si>
    <t>Swapping Zurn with Sioux Chief for General Floor Drains</t>
  </si>
  <si>
    <t>Swapping Zurn with Sioux Chief for Area Drains</t>
  </si>
  <si>
    <t>Swapping Zurn with Sioux Chief for Mechanical Floor Drains (Trash Rooms and where shown)</t>
  </si>
  <si>
    <t>CFG Moen Lavatory Faucet ILO Symmons (Chrome)</t>
  </si>
  <si>
    <t>Mansfield VX2 Alto toilet ILO Mansfield Summit</t>
  </si>
  <si>
    <t>Provide Sterling Forum 60"x36" tub ILO Royal</t>
  </si>
  <si>
    <t>Provide Sterling Guard+ 60"x34" shower bases ILO Kohler</t>
  </si>
  <si>
    <t>Provide Pelican PL3099 undermount lavs ILO Kohler</t>
  </si>
  <si>
    <t>Provide Pelican PLHA109 Zero radius undermount  ILO Kohler</t>
  </si>
  <si>
    <t xml:space="preserve">Sterling Ensemble 60 x 30 Tub ILO Royal Harlan 60x32 </t>
  </si>
  <si>
    <t>Royal Bath Acrylic Shower Pan ILO Kohler Bellweather  (6 or 7)</t>
  </si>
  <si>
    <t>Royal Bath Acrylic Roll In Shower Pan ILO Kohler Bellweather (6 or7)</t>
  </si>
  <si>
    <t>Mansfield 3013-4118 VX2 1.28 gpf toilet ILO Sterling Windham (8 or 9)</t>
  </si>
  <si>
    <t>Centoco 1600BP8-001 Elongated Toilet Seat ILO Sterling Windham (8 or 9)</t>
  </si>
  <si>
    <t>CFG Moen 48003CGR Chrome Slate T/S trim + 45311 CFG Valve w/ stops (Tub Trim)ILO Delta Alta do</t>
  </si>
  <si>
    <t>CFG Moen 48002CGR Chrome Slate Shower trim + 45311 CFG Valve w/ stops (Shower Trim)ILO Delta Altado</t>
  </si>
  <si>
    <t>Pelican Int’l PL-VS3218 18g Stainless Steel Undermount Kitchen Sink ILO Kphler Verticyl</t>
  </si>
  <si>
    <t xml:space="preserve">CFG Moen 76162 Chrome Slate Kitchen Faucet ILO Delta </t>
  </si>
  <si>
    <t>Provide Royal MFG Acrylic 60x38 Shoer Pan SingleThreshold</t>
  </si>
  <si>
    <t>50% CD</t>
  </si>
  <si>
    <t>100% CD</t>
  </si>
  <si>
    <t>Bidder7</t>
  </si>
  <si>
    <t xml:space="preserve"> Strada R1</t>
  </si>
  <si>
    <t>Armstrong</t>
  </si>
  <si>
    <t>Armstrong R1</t>
  </si>
  <si>
    <t xml:space="preserve"> Strada R2</t>
  </si>
  <si>
    <t>StatewideR1</t>
  </si>
  <si>
    <t>Triad</t>
  </si>
  <si>
    <t>TriadR1</t>
  </si>
  <si>
    <t>ABH</t>
  </si>
  <si>
    <t>ABHR1</t>
  </si>
  <si>
    <t>Blueline</t>
  </si>
  <si>
    <t xml:space="preserve">JR Hobbs </t>
  </si>
  <si>
    <t>JR Hobbs R1</t>
  </si>
  <si>
    <t>K Komfort</t>
  </si>
  <si>
    <t xml:space="preserve">Power design </t>
  </si>
  <si>
    <t>Smart Air</t>
  </si>
  <si>
    <t>Southeast</t>
  </si>
  <si>
    <t>Medic air</t>
  </si>
  <si>
    <t>Master Mechanical</t>
  </si>
  <si>
    <t>Brandon Tewksbury</t>
  </si>
  <si>
    <t>Daniel Barrers</t>
  </si>
  <si>
    <t>Leila C Petit</t>
  </si>
  <si>
    <t>Mitchell Graham</t>
  </si>
  <si>
    <t>Maria Lucini</t>
  </si>
  <si>
    <t>Bill Brown</t>
  </si>
  <si>
    <t>Marco Gomez</t>
  </si>
  <si>
    <t>Vishal Singh</t>
  </si>
  <si>
    <t>Yuriy Indman</t>
  </si>
  <si>
    <t>Jim Burgasser</t>
  </si>
  <si>
    <t>Scott Watson213</t>
  </si>
  <si>
    <t>George Schmidt</t>
  </si>
  <si>
    <t>Michael Vander Ploeg</t>
  </si>
  <si>
    <t>Sean Pinna</t>
  </si>
  <si>
    <t>(678) 414-1487</t>
  </si>
  <si>
    <t>btewksbury@stradaservices.com</t>
  </si>
  <si>
    <t>dbarrera@armstrongairinc.com</t>
  </si>
  <si>
    <t>LeilaCP@swecinc.com</t>
  </si>
  <si>
    <t>mitchell@triadmechanical.com</t>
  </si>
  <si>
    <t>maria@abhcooling.com</t>
  </si>
  <si>
    <t>bill@bluelinemechanical.com</t>
  </si>
  <si>
    <t>mgomez@jrhobbs.com</t>
  </si>
  <si>
    <t>vsingh@wrightbrotherscs.com</t>
  </si>
  <si>
    <t>yuriy.indman@kkomfort.com</t>
  </si>
  <si>
    <t>jburgasser@powerdesigninc.us</t>
  </si>
  <si>
    <t>swatson@smartairsystems.com</t>
  </si>
  <si>
    <t>gschmidt.sms@gmail.com</t>
  </si>
  <si>
    <t>george@medicairsystems.com</t>
  </si>
  <si>
    <t>info@mastermechanicalservices.com</t>
  </si>
  <si>
    <t>Architectural Drawings  by Gensler dated 03-24-2023</t>
  </si>
  <si>
    <t>Structural Drawings by DeSimone Consulting Eng. dated</t>
  </si>
  <si>
    <t>MEP FA FP Drawings by Setty &amp; Associates</t>
  </si>
  <si>
    <t>Civil Drawings by Kimley Horn</t>
  </si>
  <si>
    <t xml:space="preserve">Land scape Drawings by </t>
  </si>
  <si>
    <t xml:space="preserve">Lighting Designer Studio 321 </t>
  </si>
  <si>
    <t>Geotech report by GFA International dated 08-31-2020</t>
  </si>
  <si>
    <t>Specifications</t>
  </si>
  <si>
    <t>Not Ass. (4Y)</t>
  </si>
  <si>
    <t>Equpment</t>
  </si>
  <si>
    <t>Split A/C unit systems Carrier AHU/CU 1,2,3,4 as per schedule</t>
  </si>
  <si>
    <t>M.0.1.2</t>
  </si>
  <si>
    <t>Unit bathrooms exhaust fans EF-1Broan LP510R</t>
  </si>
  <si>
    <t>Trash room exhaust fans EF-2</t>
  </si>
  <si>
    <t>7-day programmable thermostat</t>
  </si>
  <si>
    <t>Unit shall be provided with corrosion resistance coating on all coils</t>
  </si>
  <si>
    <t>Furnish and install fresh air systems at living units with manual volume damper</t>
  </si>
  <si>
    <t>M.3.1.3</t>
  </si>
  <si>
    <t>All required XVent wall caps as per drawings</t>
  </si>
  <si>
    <t>Ducts and Pipes</t>
  </si>
  <si>
    <t xml:space="preserve">Diffusers, Registers and Grilles </t>
  </si>
  <si>
    <t>Exhaust, Supply, Outside, Return Ductwork</t>
  </si>
  <si>
    <t>Rigid fiber-glass duct to be  1" (R-4.2)  standard duty foil reinforced fiberglass</t>
  </si>
  <si>
    <t>M.0.1.1</t>
  </si>
  <si>
    <t>Galvanized sheet metal ductfor  outside air, amenity area and exhaust ducts insulated with R-6 MIN insulation</t>
  </si>
  <si>
    <t>All outside air ducts or intakes shall have dampers</t>
  </si>
  <si>
    <t>Spiral galvanized sheet steel duct</t>
  </si>
  <si>
    <t>Insulated, round duct with R-6 insulation</t>
  </si>
  <si>
    <t>Manual volume dampers/ collar dampers</t>
  </si>
  <si>
    <t xml:space="preserve">All required copper refrigerant piping with Armaflex or equal insulation 3/4" </t>
  </si>
  <si>
    <t>Dryers Vents</t>
  </si>
  <si>
    <t>General Scope</t>
  </si>
  <si>
    <t>Shop Drawings and Submittals</t>
  </si>
  <si>
    <t>Air Filters</t>
  </si>
  <si>
    <t>Temp. Construction Filters</t>
  </si>
  <si>
    <t>Certified Test and Balance</t>
  </si>
  <si>
    <t>Assistance with Commissioning of HVAC System</t>
  </si>
  <si>
    <t>Equipment, crane and Labor Warranties per Specifications</t>
  </si>
  <si>
    <t>Roof curbs</t>
  </si>
  <si>
    <t>1/M502</t>
  </si>
  <si>
    <t>Refrigerant pipe cowling and support</t>
  </si>
  <si>
    <t>2/M502,4/M502</t>
  </si>
  <si>
    <t>Rooftop stands</t>
  </si>
  <si>
    <t>3/M502</t>
  </si>
  <si>
    <t>Fire/Smoke dampers</t>
  </si>
  <si>
    <t>1/M503</t>
  </si>
  <si>
    <t>Ceiling access doors</t>
  </si>
  <si>
    <t>Start-up and operational check</t>
  </si>
  <si>
    <t>Low voltage wiring</t>
  </si>
  <si>
    <t>Fire proof all penetrations</t>
  </si>
  <si>
    <t>Access panels</t>
  </si>
  <si>
    <t xml:space="preserve">HVAC BU1 </t>
  </si>
  <si>
    <t xml:space="preserve">HVAC BU2 </t>
  </si>
  <si>
    <t xml:space="preserve">HVAC BU3 </t>
  </si>
  <si>
    <t>HVAC Clubhouse</t>
  </si>
  <si>
    <t xml:space="preserve">Maintenance </t>
  </si>
  <si>
    <t>Permits</t>
  </si>
  <si>
    <t>Furnish and install fresh air systems at living units (per detail 2, 10 M5).10 add</t>
  </si>
  <si>
    <t xml:space="preserve">To Use Goodman ILO Carrier equipment </t>
  </si>
  <si>
    <t xml:space="preserve">Add for Corrosion -resistance coating </t>
  </si>
  <si>
    <t>With LF</t>
  </si>
  <si>
    <t>W/OLF</t>
  </si>
  <si>
    <t>StatewideR4</t>
  </si>
  <si>
    <t>StatewideR5</t>
  </si>
  <si>
    <t>KnR</t>
  </si>
  <si>
    <t>Power Design</t>
  </si>
  <si>
    <t>Power DesignR2</t>
  </si>
  <si>
    <t>SCE</t>
  </si>
  <si>
    <t>Andru &amp; Associates</t>
  </si>
  <si>
    <t>Blyco</t>
  </si>
  <si>
    <t>Dade</t>
  </si>
  <si>
    <t xml:space="preserve">AP Electronics </t>
  </si>
  <si>
    <t>i-Luminosity</t>
  </si>
  <si>
    <t xml:space="preserve"> Van kirk </t>
  </si>
  <si>
    <t>Electraserve</t>
  </si>
  <si>
    <t>Electrical</t>
  </si>
  <si>
    <t>Austin Shoemaker 1</t>
  </si>
  <si>
    <t>Joshua Komis</t>
  </si>
  <si>
    <t>William Hernandez</t>
  </si>
  <si>
    <t>Walter A Perrone</t>
  </si>
  <si>
    <t>John Markham</t>
  </si>
  <si>
    <t>Bernardo Gonzalez</t>
  </si>
  <si>
    <t xml:space="preserve">Alphonso Paul </t>
  </si>
  <si>
    <t>David Cohen 4744</t>
  </si>
  <si>
    <t>Nick Stevensen</t>
  </si>
  <si>
    <t>David Nelson 5025</t>
  </si>
  <si>
    <t>(770) 940-7237</t>
  </si>
  <si>
    <t>austins@knrelectric.com</t>
  </si>
  <si>
    <t>gannis@powerdesigninc.us</t>
  </si>
  <si>
    <t>whernandez@scepowerplus.com</t>
  </si>
  <si>
    <t>wperrone@andreuassoc.com</t>
  </si>
  <si>
    <t>jmarkham@blycoelectric.com</t>
  </si>
  <si>
    <t>bgonzalez@dadeelectric.com</t>
  </si>
  <si>
    <t>apelectronics561@gmail.com</t>
  </si>
  <si>
    <t>david@i-luminosity.com</t>
  </si>
  <si>
    <t>nstevenson@vankirkelectric.com</t>
  </si>
  <si>
    <t>dnelson@electraserve.net</t>
  </si>
  <si>
    <t>Not Ass. (6R)</t>
  </si>
  <si>
    <t>Expired (3.3G)</t>
  </si>
  <si>
    <t>Light fixtures</t>
  </si>
  <si>
    <t>Light fixtures for sites include th light poles (FPL light poles are excluded)</t>
  </si>
  <si>
    <t>Residential buildings</t>
  </si>
  <si>
    <t xml:space="preserve">Interior/Exterior Light Fixture Package </t>
  </si>
  <si>
    <t>Handling  and installation</t>
  </si>
  <si>
    <t>Site Lighting incl.concrete poles/bases</t>
  </si>
  <si>
    <t>Landscape Lighting</t>
  </si>
  <si>
    <t>Lighting control Panel</t>
  </si>
  <si>
    <t>Cables, Conduits and Wirings</t>
  </si>
  <si>
    <t>Electrical Service - Primary (Conduit Install/Concrete Encasement)</t>
  </si>
  <si>
    <t>Electrical Service - Secondary (Conduit/Wire)</t>
  </si>
  <si>
    <t>Surge protection</t>
  </si>
  <si>
    <t>MC cable</t>
  </si>
  <si>
    <t>Branch Circuitry</t>
  </si>
  <si>
    <t>Emergency Generator</t>
  </si>
  <si>
    <t>Electrical Connections to  HVAC, Plumbing, &amp; Other Equipment</t>
  </si>
  <si>
    <t>Bonding of pool shell. and power wiring for the pool panel</t>
  </si>
  <si>
    <t>Conduits Roughed-in for Low Voltage Systems</t>
  </si>
  <si>
    <t>BDA empty Conduits</t>
  </si>
  <si>
    <t>2" undergorund conduits betwwen the building for BDA included in BDA price</t>
  </si>
  <si>
    <t>Install FPL conduits</t>
  </si>
  <si>
    <t xml:space="preserve">P </t>
  </si>
  <si>
    <t>Electrical power to main site gates</t>
  </si>
  <si>
    <t>Electrical power to Car chargers</t>
  </si>
  <si>
    <t>Unit smoke detectors</t>
  </si>
  <si>
    <t>Unit Thermostat wiring</t>
  </si>
  <si>
    <t xml:space="preserve">Switchgears, </t>
  </si>
  <si>
    <t>All unit panels as shown in the drawings</t>
  </si>
  <si>
    <t xml:space="preserve">All panels and switchgears </t>
  </si>
  <si>
    <t xml:space="preserve">Feeders (aluminum) for all panels MC cables </t>
  </si>
  <si>
    <t>Receptacles</t>
  </si>
  <si>
    <t>Receptaclesfor future radon Fans</t>
  </si>
  <si>
    <t>Lightning Protection System</t>
  </si>
  <si>
    <t xml:space="preserve">Site  </t>
  </si>
  <si>
    <t>Site -Courtyard lighting</t>
  </si>
  <si>
    <t>Trash compactor Power</t>
  </si>
  <si>
    <t>Car entry exit gates Power</t>
  </si>
  <si>
    <t xml:space="preserve">Pool bond </t>
  </si>
  <si>
    <t>Fire alarm site monitoring</t>
  </si>
  <si>
    <t>Car Charging Stations (12) Dual</t>
  </si>
  <si>
    <t xml:space="preserve">Conduit betwwen the building </t>
  </si>
  <si>
    <t>Fire Alarm provide and install</t>
  </si>
  <si>
    <t>Utilized Low Frequency Sounder Bases for dwelling unit some detectors  to be tied into the Fire Alarm system and produce 520HZ Low Frequency Alarms</t>
  </si>
  <si>
    <t>Control Panel</t>
  </si>
  <si>
    <t>All required Annunciator, wall mount horn/strobes</t>
  </si>
  <si>
    <t>Smoke detectors installations</t>
  </si>
  <si>
    <t xml:space="preserve">Addressable pull station </t>
  </si>
  <si>
    <t>Addressable duct detectors, Sampling tube and remote set</t>
  </si>
  <si>
    <t>shop drawings, wiring programming, and certification</t>
  </si>
  <si>
    <t>Area of Rescue System</t>
  </si>
  <si>
    <t>Provide access panels</t>
  </si>
  <si>
    <t>Low Voltage provide and install</t>
  </si>
  <si>
    <t>Media Panels inside each  residential unit - minimum of 30" H x 14" W x 5" D.</t>
  </si>
  <si>
    <t>E.</t>
  </si>
  <si>
    <t>Entry point telecom Room (MDF) CH</t>
  </si>
  <si>
    <t>Outside Distribution Conduit - minimum of one (1) 4" schedule 40 PVC conduit with three foot sweeps (one for provider).and (1 spare)</t>
  </si>
  <si>
    <t>E</t>
  </si>
  <si>
    <t xml:space="preserve">Street Entry Point to Main Telecom Room (MDF) and from MDF to each additional building (if applicable) (includes conduit materials and pull boxes and pull string) </t>
  </si>
  <si>
    <t>Entrance Conduit - minimum of two 4" conduits.</t>
  </si>
  <si>
    <t>Entrance to building(s) to IDF closets -  Must be in the slab and stubbed out 18 inches minimum.</t>
  </si>
  <si>
    <t>4'x8'x3/4" fire rated -Plywood backboard</t>
  </si>
  <si>
    <t>Grounding / Ground Bus Bar; telecommunications ground bar: 10" inches wide, 4" inches in height and 1/4" inch thick. MDF and IDF rooms</t>
  </si>
  <si>
    <t>MDF - one 20 AMP NEMA 20R AC Duplex outlet dedicated outlet within 3' feet of network rack location.  IF ATT need two 20 AMP NEMA 20 R AC Duplex outlets. IDF needs on 15 AMP NEMA 50=-15P AC Duplex dedicated outlet within 3 feet of network rack location.  See spec tab below.</t>
  </si>
  <si>
    <t>MDF to IDF`s</t>
  </si>
  <si>
    <t xml:space="preserve">Conduit from MDF to second floor  IDF (minimum two (2) 4 sleeves or " conduit </t>
  </si>
  <si>
    <t>IDF`s to in Unit Media Panel</t>
  </si>
  <si>
    <t xml:space="preserve">Power at Media Panel (15 AMP AC duplex outlet inside the bottom portion of the panel in each residential unit.  </t>
  </si>
  <si>
    <t>Conduit from serving telecom or IDF to units</t>
  </si>
  <si>
    <t>High wall location requires single gang box for termination of CAT6 cable for inspection. Needs to be attached to stud or anchored securely to support the access point ~ 2 lbs.</t>
  </si>
  <si>
    <t>Option</t>
  </si>
  <si>
    <t>All work installed in conformance with the local, N.E.C. &amp; N.F.P.A Code. All U.L. material</t>
  </si>
  <si>
    <t>Provide labor to assist with testing and commissioning.</t>
  </si>
  <si>
    <t>Provide submittals, close-out documents, and training as required.</t>
  </si>
  <si>
    <t>Fire stopping and caulking for all electrical penetration</t>
  </si>
  <si>
    <t>Temporary lighting / power</t>
  </si>
  <si>
    <t xml:space="preserve">POWER DISTRIBUTION BU1 </t>
  </si>
  <si>
    <t>POWER DISTRIBUTION BU2</t>
  </si>
  <si>
    <t>POWER DISTRIBUTION BU3</t>
  </si>
  <si>
    <t>POWER DISTRIBUTION Clubhouse</t>
  </si>
  <si>
    <t>POWER DISTRIBUTION Garage</t>
  </si>
  <si>
    <t>POWER DISTRIBUTION Maintenance</t>
  </si>
  <si>
    <t>POWER DISTRIBUTION Pool Pavilion</t>
  </si>
  <si>
    <t>LV Scope</t>
  </si>
  <si>
    <t>MDF &amp; IDF Set UP</t>
  </si>
  <si>
    <t>MDF  room min of 75 SF</t>
  </si>
  <si>
    <t>IDF 1/building</t>
  </si>
  <si>
    <t>In Unit Wiring</t>
  </si>
  <si>
    <t>In-Unit Wiring - CAT-6 Data Cabling- living room outlet next to TV location 18" inches from floor</t>
  </si>
  <si>
    <t>LV</t>
  </si>
  <si>
    <t>CAT-6 In-Unit Cabling - Tag, Termination, Testing Connection types should be 568B Units</t>
  </si>
  <si>
    <t>Wall plates, CAT-6 Connectors (Living room and bedroom outlets)</t>
  </si>
  <si>
    <t>Amenity / Common Area</t>
  </si>
  <si>
    <t>Wireless Access Point CAT-6 wiring for common area access points In amenity</t>
  </si>
  <si>
    <t>Garage - Wiring for AP's (CAT-6) Floors one through seven</t>
  </si>
  <si>
    <t>Garage Conduit</t>
  </si>
  <si>
    <t>One CAT-6 Homerun to each TV location  back to the closest MDF or IDF closet.  Samsung Series 8000 TV's and TCL Series 6 TV's recommended for streaming services.</t>
  </si>
  <si>
    <t>Business lines for staff and auxiliary equipment</t>
  </si>
  <si>
    <r>
      <t xml:space="preserve">Install CAT-6 Homerun to life safety lines (pool, elevator, fire alarm, entry access and cameras.) </t>
    </r>
    <r>
      <rPr>
        <b/>
        <sz val="9"/>
        <color rgb="FF000000"/>
        <rFont val="Arial"/>
        <family val="2"/>
      </rPr>
      <t xml:space="preserve">
BBCG Recommends looping the fire alarm system.</t>
    </r>
    <r>
      <rPr>
        <sz val="9"/>
        <color rgb="FF000000"/>
        <rFont val="Arial"/>
        <family val="2"/>
      </rPr>
      <t xml:space="preserve"> Three options for a looped fire alarm systems: 
1) Fiber between the buildings to avoid lightening damage
2) CAT-6 between buildings. Cannot exceed 300ft.
3) Wireless radio on each building to send signal back to the leasing office building. 
During construction, BBCG strongly recommends the use of Cellular/Radio dialers for Elevators and Fire alarms.  </t>
    </r>
  </si>
  <si>
    <t>Termination, testing and turn up of all life safety lines.</t>
  </si>
  <si>
    <t>3/4" Conduit to outdoor common area WAP locations (if necessary)</t>
  </si>
  <si>
    <t>Install CAT-6 Homeruns to the fitness equipment in the gym.  BBCG doesn't recommend traditional TV but rather streaming services.</t>
  </si>
  <si>
    <t>Punch down, connections, and trim out for all phone lines and internet connections listed in Amenity /Common Areas.</t>
  </si>
  <si>
    <t>Two - CAT-6 Homeruns to each office desk location for duplex outlet: phone and data</t>
  </si>
  <si>
    <t>Punch down, connections, and trim out for all phone lines and internet connections listed in leasing office areas.</t>
  </si>
  <si>
    <t>Manin gates Access control (4 entrances and 4 Exits)</t>
  </si>
  <si>
    <t xml:space="preserve">Unit Access control </t>
  </si>
  <si>
    <t>Amenity Access Control</t>
  </si>
  <si>
    <t>Unit security</t>
  </si>
  <si>
    <t>Back boxes and stub ups to accessible ceiling</t>
  </si>
  <si>
    <t>Provider</t>
  </si>
  <si>
    <t>Backbone distribution - wiring, racks, patch panels and equipment</t>
  </si>
  <si>
    <t>Site LF</t>
  </si>
  <si>
    <t>FA</t>
  </si>
  <si>
    <t>Notifier 3030</t>
  </si>
  <si>
    <t>Gamewell FCI-S3</t>
  </si>
  <si>
    <t>Century Fire Protection</t>
  </si>
  <si>
    <t xml:space="preserve">Fire Alarm   </t>
  </si>
  <si>
    <t>Rochard Mennona</t>
  </si>
  <si>
    <t>rmennona@centuryfp.com</t>
  </si>
  <si>
    <t>PALM BEACH COUNTY LOCAL BUSINESS TAX RECEIPT</t>
  </si>
  <si>
    <t>Fire allarm system</t>
  </si>
  <si>
    <t>FIRE ALARM Bu Type 1 (4,5,6)</t>
  </si>
  <si>
    <t>FIRE ALARM s Bu Type 2 ((2,3)</t>
  </si>
  <si>
    <t>FIRE ALARM  Bu Type 3 (1)</t>
  </si>
  <si>
    <t>FIRE ALARM  Clubhouse</t>
  </si>
  <si>
    <t>Garage type 1 (1) ADA</t>
  </si>
  <si>
    <t>Garage type 2 (2)</t>
  </si>
  <si>
    <t>Textura Fee 0.22%</t>
  </si>
  <si>
    <t>2 systems for all buildings Required underground Conduits</t>
  </si>
  <si>
    <t>CTS</t>
  </si>
  <si>
    <t>Nautilus RF</t>
  </si>
  <si>
    <t>ASINET</t>
  </si>
  <si>
    <t>ASINETR2</t>
  </si>
  <si>
    <t>Advanced Telecom</t>
  </si>
  <si>
    <t>Teleco</t>
  </si>
  <si>
    <t>BDA</t>
  </si>
  <si>
    <t xml:space="preserve">Michael Vines </t>
  </si>
  <si>
    <t>Jimmy Bradford</t>
  </si>
  <si>
    <t>Beymar Sabogal</t>
  </si>
  <si>
    <t>James Nicholson</t>
  </si>
  <si>
    <t>Stephen Hunter</t>
  </si>
  <si>
    <t>mvines@cts1.com</t>
  </si>
  <si>
    <t>jbradford@nautilusrf.com</t>
  </si>
  <si>
    <t>beymars@asinet.com</t>
  </si>
  <si>
    <t>jnicholson@advancedtelecom.us</t>
  </si>
  <si>
    <t>stephen.hunter@teleco.com</t>
  </si>
  <si>
    <t>BDA System for 6 buildings</t>
  </si>
  <si>
    <t xml:space="preserve">Design </t>
  </si>
  <si>
    <t xml:space="preserve">NFPA Compliant BDA system </t>
  </si>
  <si>
    <t>Conduits between building (in electrical Scope)</t>
  </si>
  <si>
    <t>Taxs</t>
  </si>
  <si>
    <t>Permit Fess</t>
  </si>
  <si>
    <t>Sallto</t>
  </si>
  <si>
    <t>Salto</t>
  </si>
  <si>
    <t>Joy Communications</t>
  </si>
  <si>
    <t>Joy CommunicationsR2</t>
  </si>
  <si>
    <t>CNS</t>
  </si>
  <si>
    <t>PCS</t>
  </si>
  <si>
    <t xml:space="preserve">Bluewave </t>
  </si>
  <si>
    <t>Peerson AVL Pro</t>
  </si>
  <si>
    <t>Peter Engle</t>
  </si>
  <si>
    <t>Richard McDevitt</t>
  </si>
  <si>
    <t>Ronel Ruiz</t>
  </si>
  <si>
    <t>Luis Yanes</t>
  </si>
  <si>
    <t>pengle@joycomm.com</t>
  </si>
  <si>
    <t>richard@capitalns.com</t>
  </si>
  <si>
    <t>ronelr@preferredcabling.com</t>
  </si>
  <si>
    <t>lyanes@bluewavemiami.com</t>
  </si>
  <si>
    <t>BUilding  type 1 (4,5,6)</t>
  </si>
  <si>
    <t>BUilding type 2 (2,3)</t>
  </si>
  <si>
    <t>BUilding Type 3 (1)</t>
  </si>
  <si>
    <t>Fiber backbone between buildings by Provider</t>
  </si>
  <si>
    <t>Central System &amp; Operations</t>
  </si>
  <si>
    <t>Audio Visual System</t>
  </si>
  <si>
    <t>Access Control System Common area and Clubhouse</t>
  </si>
  <si>
    <t>Access acontrol for the unts and Unit Locks</t>
  </si>
  <si>
    <t xml:space="preserve">Fobs </t>
  </si>
  <si>
    <t>Pool Barrier Access Control</t>
  </si>
  <si>
    <t>Main gates Access control (4 entrances and 4 Exits) including metal work, motor system, CCTV and design</t>
  </si>
  <si>
    <t>CCTV</t>
  </si>
  <si>
    <t>Wi-Fi CH excluded by provider</t>
  </si>
  <si>
    <t>Audio  speakers for CH and pool pavilion</t>
  </si>
  <si>
    <t>Bike Storage Unit Lock</t>
  </si>
  <si>
    <t>LV, sound, Cameras Clubhouse</t>
  </si>
  <si>
    <t>Media Panels inside each  residential unit - minimum of 30" H x 14" W x 5" D.(empty Panel)</t>
  </si>
  <si>
    <t>Design and plans / General conditions</t>
  </si>
  <si>
    <t xml:space="preserve">Battery backups UPS </t>
  </si>
  <si>
    <t>Wireless Access Point CAT-6 wiring for common area access points In amenity Provider</t>
  </si>
  <si>
    <t>CCTV for CH</t>
  </si>
  <si>
    <t>TVS at clubhouse and pool arae (6)</t>
  </si>
  <si>
    <t>All Cat-6 drops for data,  phone including home run conduits and cables</t>
  </si>
  <si>
    <t>Phone line for each elevator</t>
  </si>
  <si>
    <t>Structured Data Cabling including termination, testing and labeling</t>
  </si>
  <si>
    <r>
      <rPr>
        <sz val="9"/>
        <color rgb="FF000000"/>
        <rFont val="Arial"/>
        <family val="2"/>
      </rPr>
      <t xml:space="preserve">Install CAT-6 Homerun to life safety lines (pool, elevator, fire alarm, entry access and cameras.) 
</t>
    </r>
    <r>
      <rPr>
        <b/>
        <sz val="9"/>
        <color rgb="FF000000"/>
        <rFont val="Arial"/>
        <family val="2"/>
      </rPr>
      <t>BBCG Recommends looping the fire alarm system.</t>
    </r>
    <r>
      <rPr>
        <sz val="9"/>
        <color rgb="FF000000"/>
        <rFont val="Arial"/>
        <family val="2"/>
      </rPr>
      <t xml:space="preserve"> Three options for a looped fire alarm systems: 
1) Fiber between the buildings to avoid lightening damage
2) CAT-6 between buildings. Cannot exceed 300ft.
3) Wireless radio on each building to send signal back to the leasing office building. 
During construction, BBCG strongly recommends the use of Cellular/Radio dialers for Elevators and Fire alarms.  </t>
    </r>
  </si>
  <si>
    <t>WAP  (Excluded)</t>
  </si>
  <si>
    <t>Changing all 360 degree cameras for 180 degree cameras and changing the NVR from a 32 channel to 16 channel in the residential buildings</t>
  </si>
  <si>
    <t>305 393 7893</t>
  </si>
  <si>
    <t>Utilities Only</t>
  </si>
  <si>
    <t>Smith Company</t>
  </si>
  <si>
    <t>Smith CompanyR1</t>
  </si>
  <si>
    <t>Redland</t>
  </si>
  <si>
    <t>Redland R1</t>
  </si>
  <si>
    <t>Redland R2</t>
  </si>
  <si>
    <t>H &amp; J Contracting</t>
  </si>
  <si>
    <t>American engineeringR2</t>
  </si>
  <si>
    <t>American engineeringR4</t>
  </si>
  <si>
    <t>FerreiraR1</t>
  </si>
  <si>
    <t xml:space="preserve">Ranger </t>
  </si>
  <si>
    <t>Center Line</t>
  </si>
  <si>
    <t>Rockpower</t>
  </si>
  <si>
    <t>Sunline</t>
  </si>
  <si>
    <t>Steve Smith</t>
  </si>
  <si>
    <t>David Carmona</t>
  </si>
  <si>
    <t>Ryan Till</t>
  </si>
  <si>
    <t>Darrin Tunhill</t>
  </si>
  <si>
    <t>Eric Willenbers</t>
  </si>
  <si>
    <t>Jim Hager</t>
  </si>
  <si>
    <t>Evan Kobida</t>
  </si>
  <si>
    <t>Marco Garcia</t>
  </si>
  <si>
    <t>Angel Hernandez</t>
  </si>
  <si>
    <t>ssmith@smithcoinc.net</t>
  </si>
  <si>
    <t>david.carmona@redlandcompany.com</t>
  </si>
  <si>
    <t>Rtill@HJContracting.com</t>
  </si>
  <si>
    <t>dtuthill@aedcorp.com</t>
  </si>
  <si>
    <t>FerreiraConstruction.com</t>
  </si>
  <si>
    <t>James.Hager@rangerconstruction.com</t>
  </si>
  <si>
    <t>estimating@centerlineinc.com</t>
  </si>
  <si>
    <t>marco@rockpowerpaving.com</t>
  </si>
  <si>
    <t>Estimating@sunlineinc.com</t>
  </si>
  <si>
    <t>ACRES</t>
  </si>
  <si>
    <t>Complete sitework</t>
  </si>
  <si>
    <t>Acre</t>
  </si>
  <si>
    <t xml:space="preserve">Mucking  6' under all buildings </t>
  </si>
  <si>
    <t>CY</t>
  </si>
  <si>
    <t>Crane roads</t>
  </si>
  <si>
    <t>MOT</t>
  </si>
  <si>
    <t>Survey/ As-Built</t>
  </si>
  <si>
    <t>Demolition of all existing concrete paving, utilities, visitations, and structures</t>
  </si>
  <si>
    <t>C2.01-09</t>
  </si>
  <si>
    <t>Demolition for easement of east side</t>
  </si>
  <si>
    <t>Offsite scope -Congress Ave demolition</t>
  </si>
  <si>
    <t>Offsite underground utility</t>
  </si>
  <si>
    <t>Modify existing drainage structure</t>
  </si>
  <si>
    <t>C2.01</t>
  </si>
  <si>
    <t>Cut and cap existing gravity main</t>
  </si>
  <si>
    <t>C2.02, 03</t>
  </si>
  <si>
    <t>Cut and cap existing sewer force main</t>
  </si>
  <si>
    <t>C2.04</t>
  </si>
  <si>
    <t>Remove Type F curbs</t>
  </si>
  <si>
    <t>C2.06</t>
  </si>
  <si>
    <t>Remove existing electrical box</t>
  </si>
  <si>
    <t>C2.04, 07</t>
  </si>
  <si>
    <t>Remove existing fire Hydrant</t>
  </si>
  <si>
    <t>C2.04, 06, 07, 08</t>
  </si>
  <si>
    <t>Remove Forcemain</t>
  </si>
  <si>
    <t>Remove Metered End Section</t>
  </si>
  <si>
    <t>Remove Sanitary Line</t>
  </si>
  <si>
    <t>Remove SS Manhole</t>
  </si>
  <si>
    <t>Remove Storm Line</t>
  </si>
  <si>
    <t>Remove Utility Box</t>
  </si>
  <si>
    <t>Remove Water Line</t>
  </si>
  <si>
    <t>EROSION CONTROL</t>
  </si>
  <si>
    <t xml:space="preserve">SWPP Silt Fence and silt fence maintenance </t>
  </si>
  <si>
    <t>C2.50</t>
  </si>
  <si>
    <t>Aggregate Construction Entrance</t>
  </si>
  <si>
    <t>Construction Entrance Maintenance</t>
  </si>
  <si>
    <t>Truck washdown detention</t>
  </si>
  <si>
    <t>Inlet Protection</t>
  </si>
  <si>
    <t>Turbidity Barrier</t>
  </si>
  <si>
    <t xml:space="preserve">SITE PREP and MASS GRADING </t>
  </si>
  <si>
    <t>Clear/Grub/Disk Site</t>
  </si>
  <si>
    <t>remove 6" of top soil</t>
  </si>
  <si>
    <t>Remove organic soil for the Vibro eplacement as per Geotech-Report</t>
  </si>
  <si>
    <t>Existing linear ditch to be filled</t>
  </si>
  <si>
    <t>C2.02, 03, 04, 06</t>
  </si>
  <si>
    <t>Site Cut To Fill</t>
  </si>
  <si>
    <t>Import Fill, Place And Compact</t>
  </si>
  <si>
    <t>Machine Grade Rough</t>
  </si>
  <si>
    <t>Machine Grade Fine</t>
  </si>
  <si>
    <t>8" baserock for Vehicular pavers</t>
  </si>
  <si>
    <t>4" baserock for Pedestrian pavrs</t>
  </si>
  <si>
    <t>Compacted subgrade</t>
  </si>
  <si>
    <t>Site Grade Final (Pre-Landscape)</t>
  </si>
  <si>
    <t>Sod Dry Retention Areas</t>
  </si>
  <si>
    <t>Underground Utility</t>
  </si>
  <si>
    <t>STORM DRAINAGE</t>
  </si>
  <si>
    <t>4" HDPE RWL (Includes All Fittings)</t>
  </si>
  <si>
    <t>6" HDPE RWL (Includes All Fittings)</t>
  </si>
  <si>
    <t>8" HDPE RWL (Includes All Fittings)</t>
  </si>
  <si>
    <t>10"HDPE</t>
  </si>
  <si>
    <t>12" HDPE</t>
  </si>
  <si>
    <t>C4.12.13</t>
  </si>
  <si>
    <t>15" HDPE</t>
  </si>
  <si>
    <t>18" HDPE</t>
  </si>
  <si>
    <t>24" HDPE</t>
  </si>
  <si>
    <t>36" HDPE</t>
  </si>
  <si>
    <t>24" Cap</t>
  </si>
  <si>
    <t>12" HDPE Perforated W/2'x2' Under Drain</t>
  </si>
  <si>
    <t xml:space="preserve">Exfiltration Trench 6'x4' </t>
  </si>
  <si>
    <t>Cleanout With Concrete Collar</t>
  </si>
  <si>
    <t>Yard Drain</t>
  </si>
  <si>
    <t>Type C Catch Basin W/USF 6212</t>
  </si>
  <si>
    <t>Type C Water Control Structure W/USF 6611</t>
  </si>
  <si>
    <t>Type E Structure W/USF 6290</t>
  </si>
  <si>
    <t>5' X 6' Control Structure</t>
  </si>
  <si>
    <t>4' Round PC Catch Basin W/USF 4155-6209</t>
  </si>
  <si>
    <t>4' Round PG Curb Inlet W/USF 5130-6168</t>
  </si>
  <si>
    <t>4' Round PV Valley Inlet W/USF 5113-6194</t>
  </si>
  <si>
    <t>4' Manhole W/USF 170-F</t>
  </si>
  <si>
    <t>3"PVC storm pipe</t>
  </si>
  <si>
    <t>4"PVC storm pipe</t>
  </si>
  <si>
    <t>C4.12</t>
  </si>
  <si>
    <t>8"PVC storm pipe</t>
  </si>
  <si>
    <t>10" PVC storm pipe</t>
  </si>
  <si>
    <t>Roof Drain</t>
  </si>
  <si>
    <t>Modify SD Structure to Grade</t>
  </si>
  <si>
    <t>Modify MH to Grade</t>
  </si>
  <si>
    <t>Modify existing manole rim</t>
  </si>
  <si>
    <t>C4.10</t>
  </si>
  <si>
    <t>Drench Drain</t>
  </si>
  <si>
    <t>Connect to Existing MH</t>
  </si>
  <si>
    <t>Flushing, Testing and Inspection</t>
  </si>
  <si>
    <t>SANITARY SEWER</t>
  </si>
  <si>
    <t>All required 4", 6" &amp; 8" PVC pipes</t>
  </si>
  <si>
    <t>All required Tees 8"x4", &amp; 8"x6" Wye</t>
  </si>
  <si>
    <t>All required 4" , &amp;6" cleanouts</t>
  </si>
  <si>
    <t>Sanitary Sewer Dewatering</t>
  </si>
  <si>
    <t>Test/Final Sanitary Sewer</t>
  </si>
  <si>
    <t>FORCE MAIN AND LIFT STATION</t>
  </si>
  <si>
    <t>8" FM C-900 Force Main</t>
  </si>
  <si>
    <t>MJ Fittings</t>
  </si>
  <si>
    <t>Lift Station</t>
  </si>
  <si>
    <t>Test/Final Force Main</t>
  </si>
  <si>
    <t>Agru lined sewer manholes (offsite) Excluded</t>
  </si>
  <si>
    <t xml:space="preserve">Agru lined sewer manholes (onsite) </t>
  </si>
  <si>
    <t>POTABLE WATER MAIN</t>
  </si>
  <si>
    <t>All required 3/4", 2", 3", 4", &amp; 8" PVC pipes</t>
  </si>
  <si>
    <t>All required Tees 8"x2", 8"x3", *'x4", &amp; 8"x8"</t>
  </si>
  <si>
    <t>All required 8", 16"  Gate valves</t>
  </si>
  <si>
    <t>All required 8"x8", 16"x8"  tapping</t>
  </si>
  <si>
    <t>All required Sample Points</t>
  </si>
  <si>
    <t xml:space="preserve">8" domestic water meter </t>
  </si>
  <si>
    <t xml:space="preserve"> 8" C900 DR18 Water Main</t>
  </si>
  <si>
    <t>Lift Station Water Service</t>
  </si>
  <si>
    <t>Test/Final Water Main</t>
  </si>
  <si>
    <t>FIRE MAIN</t>
  </si>
  <si>
    <t>All required 3", 4", 6", &amp; 8" Ductile Iron Water pipes</t>
  </si>
  <si>
    <t>8" DDCV</t>
  </si>
  <si>
    <t>Building stip-up</t>
  </si>
  <si>
    <t>All required 3", 4", 6",&amp; 8" Gate Valve Assembly</t>
  </si>
  <si>
    <t>4" Single Water Service W/RPZ</t>
  </si>
  <si>
    <t>6" Fire Hydrant Assembly W/Gate Valve</t>
  </si>
  <si>
    <t>4" Fire Department Connection</t>
  </si>
  <si>
    <t xml:space="preserve"> Final/Test Fire Main</t>
  </si>
  <si>
    <t>PAVING (ONSITE)</t>
  </si>
  <si>
    <t>12" Stabilized Subgrade, LBR40</t>
  </si>
  <si>
    <t>6-1/2" FDOT Rock Base, LBR100</t>
  </si>
  <si>
    <t>3/4" Asphalt Bottom Lift, Type S</t>
  </si>
  <si>
    <t>3/4" Asphalt Top Lift, Type S</t>
  </si>
  <si>
    <t>Fire truck paving</t>
  </si>
  <si>
    <t>12" Stabilized Subgrade, for vehicular pavers</t>
  </si>
  <si>
    <t xml:space="preserve">Vehicular Brick Pavers (Standard Size/Color/Pattern) </t>
  </si>
  <si>
    <t>Concrete Pavement 5" &amp; 6"</t>
  </si>
  <si>
    <t>Type D Curb (Machined)</t>
  </si>
  <si>
    <t>Type D Curb (Hand Formed)</t>
  </si>
  <si>
    <t>2' Valley Gutter Curb</t>
  </si>
  <si>
    <t>Header Curb</t>
  </si>
  <si>
    <t>Concrete Sidewalk 4"</t>
  </si>
  <si>
    <t>Concrete Bike Rack 4"</t>
  </si>
  <si>
    <t>ADA Ramp</t>
  </si>
  <si>
    <t xml:space="preserve">Guardrail (Includes TL-3 Guardrail And TL-2 End Sections)  </t>
  </si>
  <si>
    <t>Pavement markings  &amp; SgnageStriping</t>
  </si>
  <si>
    <t>Congress Crossing</t>
  </si>
  <si>
    <t>Clearing and grubbing</t>
  </si>
  <si>
    <t>C4</t>
  </si>
  <si>
    <t>SY</t>
  </si>
  <si>
    <t>Type P-8 Manhole (12'-14') deep</t>
  </si>
  <si>
    <t>Sanitary manhole (12'-14') deep</t>
  </si>
  <si>
    <t>Sanitary manhole (16'-18') deep</t>
  </si>
  <si>
    <t>8" PVC C900 sanitary pipe</t>
  </si>
  <si>
    <t>18" water pipe</t>
  </si>
  <si>
    <t>Storm drainage Off site</t>
  </si>
  <si>
    <t xml:space="preserve">Asphalt  concrete traffic level </t>
  </si>
  <si>
    <t>TN</t>
  </si>
  <si>
    <t>Asphalt bottom lift friction course</t>
  </si>
  <si>
    <t>Concrete curb and gutter  type F</t>
  </si>
  <si>
    <t>Concrete side walk 4" thick</t>
  </si>
  <si>
    <t>Detectable warning</t>
  </si>
  <si>
    <t>Striping</t>
  </si>
  <si>
    <t>Sodding</t>
  </si>
  <si>
    <t>Hauing off material excavated from roadway</t>
  </si>
  <si>
    <t>Instal drainang structures</t>
  </si>
  <si>
    <t xml:space="preserve">Adjustement </t>
  </si>
  <si>
    <t>Off-Site Scope</t>
  </si>
  <si>
    <t>EXCLUDE THE 8" BASEROCK UNDER SIDEWALKS</t>
  </si>
  <si>
    <t>Dewatering</t>
  </si>
  <si>
    <t>31B</t>
  </si>
  <si>
    <t>Vibro Replacement</t>
  </si>
  <si>
    <t>Vibro Compaction</t>
  </si>
  <si>
    <t>Menard</t>
  </si>
  <si>
    <t>Keller</t>
  </si>
  <si>
    <t>Geotek</t>
  </si>
  <si>
    <t>Daniel Coxe</t>
  </si>
  <si>
    <t>Marcus Alexis</t>
  </si>
  <si>
    <t>Michael Simpson</t>
  </si>
  <si>
    <t>daniel.coxe@menardusa.com</t>
  </si>
  <si>
    <t>Marcus.Alexis@keller-na.com</t>
  </si>
  <si>
    <t>msimpson@geotek-co.com</t>
  </si>
  <si>
    <t>Vibro replacement for all buildingsas per Geotchnical report</t>
  </si>
  <si>
    <t xml:space="preserve">Provide an allowable bearing capacity of 6000 PSF </t>
  </si>
  <si>
    <t>Sheet Piling</t>
  </si>
  <si>
    <t>31F</t>
  </si>
  <si>
    <t>Auger Cast Piles</t>
  </si>
  <si>
    <t>31G</t>
  </si>
  <si>
    <t>Old Drawigs</t>
  </si>
  <si>
    <t>CSE Paving</t>
  </si>
  <si>
    <t>US. Brick &amp; Block</t>
  </si>
  <si>
    <t>US. Brick &amp; BlockR3</t>
  </si>
  <si>
    <t>Paverscape</t>
  </si>
  <si>
    <t>Cross Roads</t>
  </si>
  <si>
    <t>Pup Pavers</t>
  </si>
  <si>
    <t>ACP Pavers</t>
  </si>
  <si>
    <t>Richard Sandy</t>
  </si>
  <si>
    <t>Lexi Gardner</t>
  </si>
  <si>
    <t>Chad Love</t>
  </si>
  <si>
    <t>Walter Jones</t>
  </si>
  <si>
    <t>Alec Gable</t>
  </si>
  <si>
    <t>Jeff Oxley</t>
  </si>
  <si>
    <t>sales@csepaving.com</t>
  </si>
  <si>
    <t>lexi@usbrickandblock.com</t>
  </si>
  <si>
    <t>Chad.paverscape@gmail.com</t>
  </si>
  <si>
    <t>walter@crossroadspaving.net</t>
  </si>
  <si>
    <t>agable@puppaversinc.com</t>
  </si>
  <si>
    <t>joxley@acpfl.com</t>
  </si>
  <si>
    <t>{3.1}</t>
  </si>
  <si>
    <t>Updated drawings dated 01/09/26</t>
  </si>
  <si>
    <t xml:space="preserve">Pavers A Cross walks </t>
  </si>
  <si>
    <t>LS1of 10</t>
  </si>
  <si>
    <t>A1- Camel color, 3"x12"x80MM staggered running bond Belgrad</t>
  </si>
  <si>
    <t>A2- Camel 4"x8"x80mm Soldier course border Belgrad</t>
  </si>
  <si>
    <t xml:space="preserve">Pavers B  Vehicular areas </t>
  </si>
  <si>
    <t>B1- Napoli color 6"x6"x80 mm Running Bond 3 PC Set Belgrad</t>
  </si>
  <si>
    <t>B1- Napoli color 6"x9"x80 mm Running Bond 3 PC Set Belgrad</t>
  </si>
  <si>
    <t>B2- Slate color 4"x8"x80 mm Soldier Course Border</t>
  </si>
  <si>
    <t>Pavers E Directional areas</t>
  </si>
  <si>
    <t>E1- Slate color 6"x12"x80 mm Running bond battern</t>
  </si>
  <si>
    <t>E2- White color 6"x12"x60 mm Running bond battern</t>
  </si>
  <si>
    <t>Pavers F Turncated dome detectable warning paver</t>
  </si>
  <si>
    <t>F1- Slate color 4"x8"x80 mm Turncated dome paver Belgrad</t>
  </si>
  <si>
    <t xml:space="preserve">Turfstone </t>
  </si>
  <si>
    <t>LS 5of10</t>
  </si>
  <si>
    <t>Turfstone 16"x24"x3" Grey open lattice for turf in-Fill</t>
  </si>
  <si>
    <t>Turf In-Fill</t>
  </si>
  <si>
    <t>Arttificial Turf</t>
  </si>
  <si>
    <t>1" sand leveling course</t>
  </si>
  <si>
    <t>Clean up</t>
  </si>
  <si>
    <t>Pressure wash and seal</t>
  </si>
  <si>
    <t>Pavers Site</t>
  </si>
  <si>
    <t>Pavers Garage</t>
  </si>
  <si>
    <t>Pavers C Vehicular areas (Clubhouse Parking) Removed in updating drawings</t>
  </si>
  <si>
    <t>LS1of 7</t>
  </si>
  <si>
    <t>C1- Titanium color 4"x8"x80 mm Ashlar battern 3 PC Set Belgrad</t>
  </si>
  <si>
    <t>C1- Titanium color 8"x8"x80 mm Ashlar battern 3 PC Set Belgrad</t>
  </si>
  <si>
    <t>C1- Titanium color 8"x12"x80 mm Ashlar battern 3 PC Set Belgrad</t>
  </si>
  <si>
    <t>C2- Titanium color 4"x8"x80 mm Ashlar battern 3 PC Set Belgrad</t>
  </si>
  <si>
    <t>Pavers D Directional areas Removed in updating drawings</t>
  </si>
  <si>
    <t>D1- Slate color 6"x12"x80 mm Runningbond Belgrad</t>
  </si>
  <si>
    <t>D2- White color 6"x12"x80 mm Runningbond Belgrad</t>
  </si>
  <si>
    <t>D3- Blue and White color 6"x12"x80 mm Runningbond Belgrad</t>
  </si>
  <si>
    <t>D4- White color 4"x8"x80 mm Runningbond Belgrad</t>
  </si>
  <si>
    <t>E1- Titanium color 18"x18"x60 mm Ashlar battern 3 PC Set Belgrad</t>
  </si>
  <si>
    <t>E1- Titanium color 18"x27"x60 mm Ashlar battern 3 PC Set Belgrad</t>
  </si>
  <si>
    <t>I 1 Artificial Tirf Field Green / Lime South east Greens</t>
  </si>
  <si>
    <t>F1- Scandina Grey color 18"x18"x60 mm Ashlar battern 3 PC Set Belgrad</t>
  </si>
  <si>
    <t>F1- Scandena Grey color 18"x27"x60 mm Ashlar battern 3 PC Set Belgrad</t>
  </si>
  <si>
    <t>F2- Scandena Grey color 12"x12"x60 mm Soldier course border Belgrad</t>
  </si>
  <si>
    <t>F3- Belgian Cobblecolor variablex2-3/4" random battern w/crushed Granite Joints</t>
  </si>
  <si>
    <t>Pavers G Seating Areas</t>
  </si>
  <si>
    <t>G1 Grey Turfstone pavers 16"x24"x3" Belgrade</t>
  </si>
  <si>
    <t>Pavers H Turncated dome, detectable warning paver</t>
  </si>
  <si>
    <t>H1 Slate color 4"x8"x80mm Belgrade</t>
  </si>
  <si>
    <t xml:space="preserve">Add sealer for all pavers </t>
  </si>
  <si>
    <t>Use RR Plush Artifocail Turf in ILO Southwest Greens 1395 SW Leisure Turf 50 Spring Green</t>
  </si>
  <si>
    <t xml:space="preserve">credit for seal all pavers </t>
  </si>
  <si>
    <t>Adventure Playground Systems</t>
  </si>
  <si>
    <t>Rep Services</t>
  </si>
  <si>
    <t>Paul Bravo</t>
  </si>
  <si>
    <t xml:space="preserve">561-573-3470 </t>
  </si>
  <si>
    <t>&lt;pbravo@repservices.com&gt;</t>
  </si>
  <si>
    <t>Bike Racks (The Park Catalog, surface mount, black grey color, 9 bikes)</t>
  </si>
  <si>
    <t>Shipping, handling and Installation</t>
  </si>
  <si>
    <r>
      <rPr>
        <b/>
        <sz val="10"/>
        <color rgb="FF000000"/>
        <rFont val="Arial"/>
        <family val="2"/>
      </rPr>
      <t xml:space="preserve">Landscape Forms </t>
    </r>
    <r>
      <rPr>
        <b/>
        <i/>
        <sz val="10"/>
        <color rgb="FFFF0000"/>
        <rFont val="Arial"/>
        <family val="2"/>
      </rPr>
      <t>- see by Landscape Forms Quotes 448582 &amp; 448578</t>
    </r>
  </si>
  <si>
    <t>Benches on concrete pad (Landscape forms, scarborough bench, gloss white)</t>
  </si>
  <si>
    <t>Sheet 9 of 10 Siteplan</t>
  </si>
  <si>
    <t>Starfish bench (Landscape forms, white)</t>
  </si>
  <si>
    <t>Twig bench (Landscape forms, white)</t>
  </si>
  <si>
    <t>Picnic bench (Landscape forms, gretchen picnic bench, gloss white)</t>
  </si>
  <si>
    <t>Trash Receptacle (Streetscape Collection, SC-2633 GRN)</t>
  </si>
  <si>
    <t>Dog Park Furnishings</t>
  </si>
  <si>
    <t>Dog Fountain (The Park Catalog, Item #513-1018)</t>
  </si>
  <si>
    <t>Sheet 7 of 10 Siteplan</t>
  </si>
  <si>
    <t>Dog Waste (The Park Catalog, Dogipot , Item 1351027, green color)</t>
  </si>
  <si>
    <r>
      <rPr>
        <sz val="10"/>
        <color rgb="FF000000"/>
        <rFont val="Arial"/>
        <family val="2"/>
      </rPr>
      <t xml:space="preserve">Dog Park Sun shelter (Poligon, Hip Roof Sunshelter, Metallic Metal Roof, SSH-12x12-55318) </t>
    </r>
    <r>
      <rPr>
        <i/>
        <sz val="10"/>
        <color rgb="FFFF0000"/>
        <rFont val="Arial"/>
        <family val="2"/>
      </rPr>
      <t>- see quote by Furniture Leisure</t>
    </r>
  </si>
  <si>
    <r>
      <rPr>
        <b/>
        <sz val="10"/>
        <color rgb="FF000000"/>
        <rFont val="Arial"/>
        <family val="2"/>
      </rPr>
      <t xml:space="preserve">Playground Equipment </t>
    </r>
    <r>
      <rPr>
        <b/>
        <i/>
        <sz val="10"/>
        <color rgb="FFFF0000"/>
        <rFont val="Arial"/>
        <family val="2"/>
      </rPr>
      <t>- see Gametime quote</t>
    </r>
  </si>
  <si>
    <t>by Gametime</t>
  </si>
  <si>
    <t>Gametime equipment (Wilowbrook play system, powerscape swing frame, rectangular hip shade, little river play system, turtle spinner, dragonfly)</t>
  </si>
  <si>
    <t>turnkey</t>
  </si>
  <si>
    <r>
      <rPr>
        <sz val="10"/>
        <color rgb="FF000000"/>
        <rFont val="Arial"/>
        <family val="2"/>
      </rPr>
      <t xml:space="preserve">Corkeen surfacing - </t>
    </r>
    <r>
      <rPr>
        <i/>
        <sz val="10"/>
        <color rgb="FFFF0000"/>
        <rFont val="Arial"/>
        <family val="2"/>
      </rPr>
      <t>see CorkNMore quote</t>
    </r>
  </si>
  <si>
    <t>Pool Cabanas by Pogessi</t>
  </si>
  <si>
    <t>Pool Cabana installation</t>
  </si>
  <si>
    <t>Allowance for Trex composite wood deck at lawn</t>
  </si>
  <si>
    <t>BBQ grills  - See KAST RFI  PRECON 48 for specs</t>
  </si>
  <si>
    <t>Add faux wood grid panels to Pogessi cabana on one side</t>
  </si>
  <si>
    <t>Surfacing to be poured rubber ilo corkeen poured</t>
  </si>
  <si>
    <t>Surfacing to be wood fiber ilo corkeen</t>
  </si>
  <si>
    <t>Surfacing to be wood fiber ilo poured rubber</t>
  </si>
  <si>
    <t>Coastal cabanna ilo Poggesi</t>
  </si>
  <si>
    <t>General Landscaping</t>
  </si>
  <si>
    <t>Matthews Landscaping</t>
  </si>
  <si>
    <t>Florida Exotic</t>
  </si>
  <si>
    <t>Down 2 Earth</t>
  </si>
  <si>
    <t>Down 2 EarthR1</t>
  </si>
  <si>
    <t>A Cut Above</t>
  </si>
  <si>
    <t>Morano Group</t>
  </si>
  <si>
    <t>Greentec</t>
  </si>
  <si>
    <t>Hernan Guerrero 1002</t>
  </si>
  <si>
    <t>Erin</t>
  </si>
  <si>
    <t>Laura Holt</t>
  </si>
  <si>
    <t>Anna Buttenschon</t>
  </si>
  <si>
    <t>Damon Rockett</t>
  </si>
  <si>
    <t>Steven Deleo</t>
  </si>
  <si>
    <t>estimating@glsplants.com</t>
  </si>
  <si>
    <t>erin@matthewslandscapingflorida.com</t>
  </si>
  <si>
    <t>laura@florida-exotic.com</t>
  </si>
  <si>
    <t>• anna.buckhold@down2earthinc.com</t>
  </si>
  <si>
    <t>damon@acalandscape.net</t>
  </si>
  <si>
    <t>Steven@moranogroup.com</t>
  </si>
  <si>
    <t>{1.4}</t>
  </si>
  <si>
    <t>{$3,871,446}</t>
  </si>
  <si>
    <t>{$1,355,123}</t>
  </si>
  <si>
    <t xml:space="preserve">Land scaping </t>
  </si>
  <si>
    <t>acres</t>
  </si>
  <si>
    <t>Relocate of Trees and Sabal Palms</t>
  </si>
  <si>
    <t>Irrigation</t>
  </si>
  <si>
    <t>Landscaping</t>
  </si>
  <si>
    <t>Plants as per drawings Florida #1 grade</t>
  </si>
  <si>
    <t>Native Plant species as per drawiings</t>
  </si>
  <si>
    <t>9 of 9</t>
  </si>
  <si>
    <t>Planting Soil</t>
  </si>
  <si>
    <t>All islands and beds will be excavated to a depth of 30" or to clean, native and filled with the specicfied replacement soil (Excluded)</t>
  </si>
  <si>
    <t>8 of 9</t>
  </si>
  <si>
    <t>Mulch 3" type B or better</t>
  </si>
  <si>
    <t>Fertilize &amp; Preventative pest control</t>
  </si>
  <si>
    <t>Tree stacking as per drawings</t>
  </si>
  <si>
    <t>Adjustment</t>
  </si>
  <si>
    <t>SOD</t>
  </si>
  <si>
    <t>Tree protections</t>
  </si>
  <si>
    <t>Root barriers</t>
  </si>
  <si>
    <t>Relocate  live oaks (5), and Sabal palms (86)</t>
  </si>
  <si>
    <t>Irrigations</t>
  </si>
  <si>
    <t xml:space="preserve">Complete irrigation system </t>
  </si>
  <si>
    <t xml:space="preserve">Escalation </t>
  </si>
  <si>
    <t>General condition</t>
  </si>
  <si>
    <t>All islands and beds will be excavated to a depth of 30" or to clean, native and filled with the specicfied replacement soil</t>
  </si>
  <si>
    <t>Tropic Fence</t>
  </si>
  <si>
    <t>Chancey Metals</t>
  </si>
  <si>
    <t>Instatech</t>
  </si>
  <si>
    <t>Jo Vilarino</t>
  </si>
  <si>
    <t>Daniel Johnson</t>
  </si>
  <si>
    <t>904-260-6880</t>
  </si>
  <si>
    <t>tropicjov@gmail.com</t>
  </si>
  <si>
    <t>djohnson@chanceymetals.com</t>
  </si>
  <si>
    <t>{Qual w/ exc}</t>
  </si>
  <si>
    <t>{609,211}</t>
  </si>
  <si>
    <t xml:space="preserve">6' high black vinyl chainlink fence </t>
  </si>
  <si>
    <t>Sheet 3 of 10</t>
  </si>
  <si>
    <r>
      <rPr>
        <sz val="10"/>
        <color rgb="FF000000"/>
        <rFont val="Arial"/>
        <family val="2"/>
      </rPr>
      <t xml:space="preserve">6' high concrete fence </t>
    </r>
    <r>
      <rPr>
        <i/>
        <sz val="10"/>
        <color rgb="FFFF0000"/>
        <rFont val="Arial"/>
        <family val="2"/>
      </rPr>
      <t>- in Architectural Precast</t>
    </r>
  </si>
  <si>
    <t>6' commercial grade PVC privacy fence  @avocado lane</t>
  </si>
  <si>
    <t>6' PVC double gates @avocado lane (12LF)</t>
  </si>
  <si>
    <r>
      <rPr>
        <sz val="10"/>
        <color rgb="FF000000"/>
        <rFont val="Arial"/>
        <family val="2"/>
      </rPr>
      <t>6' high access double gate (40lf) @north -</t>
    </r>
    <r>
      <rPr>
        <sz val="10"/>
        <color rgb="FFFF0000"/>
        <rFont val="Arial"/>
        <family val="2"/>
      </rPr>
      <t xml:space="preserve"> see Low Voltage ASINET</t>
    </r>
  </si>
  <si>
    <r>
      <rPr>
        <sz val="10"/>
        <color rgb="FF000000"/>
        <rFont val="Arial"/>
        <family val="2"/>
      </rPr>
      <t xml:space="preserve">6' high access double gate (32lf) @ south </t>
    </r>
    <r>
      <rPr>
        <sz val="10"/>
        <color rgb="FFFF0000"/>
        <rFont val="Arial"/>
        <family val="2"/>
      </rPr>
      <t>- see Low Voltage ASINET</t>
    </r>
  </si>
  <si>
    <t>Sheet 4 of 10</t>
  </si>
  <si>
    <r>
      <rPr>
        <sz val="10"/>
        <color rgb="FF000000"/>
        <rFont val="Arial"/>
        <family val="2"/>
      </rPr>
      <t xml:space="preserve">6' high access double gate (24f) @ main entry </t>
    </r>
    <r>
      <rPr>
        <sz val="10"/>
        <color rgb="FFFF0000"/>
        <rFont val="Arial"/>
        <family val="2"/>
      </rPr>
      <t>- see Low Voltage ASINET</t>
    </r>
  </si>
  <si>
    <r>
      <rPr>
        <sz val="10"/>
        <color rgb="FF000000"/>
        <rFont val="Arial"/>
        <family val="2"/>
      </rPr>
      <t xml:space="preserve">6' high access double gate (20f) @ main entry </t>
    </r>
    <r>
      <rPr>
        <sz val="10"/>
        <color rgb="FFFF0000"/>
        <rFont val="Arial"/>
        <family val="2"/>
      </rPr>
      <t>- see Low Voltage ASINET</t>
    </r>
  </si>
  <si>
    <r>
      <rPr>
        <sz val="10"/>
        <color rgb="FF000000"/>
        <rFont val="Arial"/>
        <family val="2"/>
      </rPr>
      <t>6' high access double gate (16f) @ main entry</t>
    </r>
    <r>
      <rPr>
        <sz val="10"/>
        <color rgb="FFFF0000"/>
        <rFont val="Arial"/>
        <family val="2"/>
      </rPr>
      <t xml:space="preserve"> - see Low Voltage ASINET</t>
    </r>
  </si>
  <si>
    <r>
      <rPr>
        <sz val="10"/>
        <color rgb="FF000000"/>
        <rFont val="Arial"/>
        <family val="2"/>
      </rPr>
      <t xml:space="preserve">6' high access single gate (13f) @ main entry </t>
    </r>
    <r>
      <rPr>
        <sz val="10"/>
        <color rgb="FFFF0000"/>
        <rFont val="Arial"/>
        <family val="2"/>
      </rPr>
      <t>- see Low Voltage ASINET</t>
    </r>
  </si>
  <si>
    <r>
      <rPr>
        <sz val="10"/>
        <color rgb="FF000000"/>
        <rFont val="Arial"/>
        <family val="2"/>
      </rPr>
      <t xml:space="preserve">MOTORS FOR ENTRY GATES </t>
    </r>
    <r>
      <rPr>
        <sz val="10"/>
        <color rgb="FFFF0000"/>
        <rFont val="Arial"/>
        <family val="2"/>
      </rPr>
      <t>- see Low Voltage ASINET</t>
    </r>
  </si>
  <si>
    <r>
      <rPr>
        <sz val="10"/>
        <color rgb="FF000000"/>
        <rFont val="Arial"/>
        <family val="2"/>
      </rPr>
      <t xml:space="preserve">CONTROL ARMS FOR ENTRY GATES  </t>
    </r>
    <r>
      <rPr>
        <sz val="10"/>
        <color rgb="FFFF0000"/>
        <rFont val="Arial"/>
        <family val="2"/>
      </rPr>
      <t>- see Low Voltage ASINET</t>
    </r>
  </si>
  <si>
    <t>5' high green picket fence @ site</t>
  </si>
  <si>
    <t>5' high green picket gate @ site</t>
  </si>
  <si>
    <t>5' high green picket fence @ playground</t>
  </si>
  <si>
    <t>Sheet 5,9 of 10</t>
  </si>
  <si>
    <t>5' high green picket gate @ playground</t>
  </si>
  <si>
    <t>5' high green picket double gate @ dog park</t>
  </si>
  <si>
    <t>5' high green picket single gate @ dog park</t>
  </si>
  <si>
    <t>6' high green picket fence @ site</t>
  </si>
  <si>
    <t>6' high green picket gates @ site</t>
  </si>
  <si>
    <t>4' rolling gate @ site - to match existing</t>
  </si>
  <si>
    <t>4' high green picket fence @ pool</t>
  </si>
  <si>
    <t>4' high green picket double gates @ pool with self latching and self closing hdw</t>
  </si>
  <si>
    <t>4' high green picket  single gates @ pool with self latching and self closing hdw</t>
  </si>
  <si>
    <t>Pool Pavilion Fences</t>
  </si>
  <si>
    <t>Pool Pavilion gates</t>
  </si>
  <si>
    <t>Maintenance Building Dumpster Gates</t>
  </si>
  <si>
    <t>A2.M.1</t>
  </si>
  <si>
    <t>Engineering</t>
  </si>
  <si>
    <t>Picket entry gate design ilo custom</t>
  </si>
  <si>
    <t>Simplified gate design ilo custom</t>
  </si>
  <si>
    <t>Synthetic Fields</t>
  </si>
  <si>
    <t>32E</t>
  </si>
  <si>
    <t>Marine Work</t>
  </si>
  <si>
    <t>35A</t>
  </si>
  <si>
    <t>Architectural Drawings  by Asante Design dated 09/04/2020</t>
  </si>
  <si>
    <t>Structural Drawings by  ONM &amp; J INC., dated 09/04/2020</t>
  </si>
  <si>
    <t>MEP Drawings by Beacon Consulting Engineers dated 09/08/2020</t>
  </si>
  <si>
    <t>Fire Alarm Drawings by Beacon Consulting Engineers dated 09/08/2020</t>
  </si>
  <si>
    <t>Fire Protection Drawings by Beacon Consulting Engineers dated 09/08/2020</t>
  </si>
  <si>
    <t>Civil Drawings by Simmons &amp; White dated  09/04/2020</t>
  </si>
  <si>
    <t>Land scape Drawings by Majestic views dtaed 09/04/2020</t>
  </si>
  <si>
    <t>Geo-Technical report by Nutting Egineering of Florida, INC. dated 02/28 2020</t>
  </si>
  <si>
    <t>Addenda (1)</t>
  </si>
  <si>
    <t>Cranes and Hoist</t>
  </si>
  <si>
    <t xml:space="preserve">41 22 </t>
  </si>
  <si>
    <t>Crane and Hoist</t>
  </si>
  <si>
    <t>Crane SK405.20 by Maxim Crane Works 10/04/23</t>
  </si>
  <si>
    <t>mo</t>
  </si>
  <si>
    <t>Jib L05 (219 ft Max HR)</t>
  </si>
  <si>
    <t>Single Trolley</t>
  </si>
  <si>
    <t>Base S35 Anchor Stools</t>
  </si>
  <si>
    <t>Tip Capacity 10141 @219'</t>
  </si>
  <si>
    <t>Max capacity 22046 lbs @105'</t>
  </si>
  <si>
    <t>Init/Fin Hook Ht 99ft</t>
  </si>
  <si>
    <t>Base S32 Anchor Stools</t>
  </si>
  <si>
    <t>Init/Fin Hook Ht 137ft</t>
  </si>
  <si>
    <t>Jib L04 (199 ft Max HR)</t>
  </si>
  <si>
    <t>Base S60 Anchor Stools</t>
  </si>
  <si>
    <t>Tip Capacity 13007 @199'</t>
  </si>
  <si>
    <t>Max capacity 22046 lbs @123'</t>
  </si>
  <si>
    <t>Init/Fin Hook Ht 176ft</t>
  </si>
  <si>
    <t>Single Hoist by United Hoist Equipment 4/16/2024</t>
  </si>
  <si>
    <t>Tower Height 85ft</t>
  </si>
  <si>
    <t>No. of gates 6</t>
  </si>
  <si>
    <t>Capacity 6000</t>
  </si>
  <si>
    <t>Twin Hoist by United Hoist Equipment  4/16/2024</t>
  </si>
  <si>
    <t>No. of gates 12</t>
  </si>
  <si>
    <t>Crane</t>
  </si>
  <si>
    <t>Hoist</t>
  </si>
  <si>
    <t xml:space="preserve">General Conditions </t>
  </si>
  <si>
    <t>1.00LS</t>
  </si>
  <si>
    <t>Construction Layout And As-Built Survey</t>
  </si>
  <si>
    <t xml:space="preserve">Erosion Control </t>
  </si>
  <si>
    <t>Silt Fence</t>
  </si>
  <si>
    <t>2,600.00LF</t>
  </si>
  <si>
    <t>Silt Fence Maintenance</t>
  </si>
  <si>
    <t>6.00MO</t>
  </si>
  <si>
    <t>22.00EACH</t>
  </si>
  <si>
    <t>100.00LF</t>
  </si>
  <si>
    <t xml:space="preserve">Site Prep And Mass Grading </t>
  </si>
  <si>
    <t>600.00CY</t>
  </si>
  <si>
    <t>19,500.00CY</t>
  </si>
  <si>
    <t>28,300.00SY</t>
  </si>
  <si>
    <t>4,200.00SY</t>
  </si>
  <si>
    <t xml:space="preserve">Paving Onsite </t>
  </si>
  <si>
    <t>8,600.00SY</t>
  </si>
  <si>
    <t>8,100.00SY</t>
  </si>
  <si>
    <t>8,000.00SY</t>
  </si>
  <si>
    <t>85.00SY</t>
  </si>
  <si>
    <t>Concrete Pavement 6"</t>
  </si>
  <si>
    <t>1,500.00SF</t>
  </si>
  <si>
    <t>4,250.00LF</t>
  </si>
  <si>
    <t>110.00LF</t>
  </si>
  <si>
    <t>250.00LF</t>
  </si>
  <si>
    <t>145.00LF</t>
  </si>
  <si>
    <t>14,000.00SF</t>
  </si>
  <si>
    <t>120.00SF</t>
  </si>
  <si>
    <t>7.00EACH</t>
  </si>
  <si>
    <t xml:space="preserve">Guardrail (Includes TL-3 Guardrail And TL-2 End Sections) (Excludes Asphalt Mowing Strip) </t>
  </si>
  <si>
    <t>650.00LF</t>
  </si>
  <si>
    <t>Striping And Signage</t>
  </si>
  <si>
    <t xml:space="preserve">Storm Drainage </t>
  </si>
  <si>
    <t>55.00LF</t>
  </si>
  <si>
    <t>76.00LF</t>
  </si>
  <si>
    <t>271.00LF</t>
  </si>
  <si>
    <t>560.00LF</t>
  </si>
  <si>
    <t>467.00LF</t>
  </si>
  <si>
    <t>142.00LF</t>
  </si>
  <si>
    <t>1,775.00LF</t>
  </si>
  <si>
    <t>61.00LF</t>
  </si>
  <si>
    <t>153.00LF</t>
  </si>
  <si>
    <t>4.00EACH</t>
  </si>
  <si>
    <t>8.00EACH</t>
  </si>
  <si>
    <t>1.00EACH</t>
  </si>
  <si>
    <t>5.00EACH</t>
  </si>
  <si>
    <t>9.00EACH</t>
  </si>
  <si>
    <t>2.00EACH</t>
  </si>
  <si>
    <t>24" Concrete Headwall</t>
  </si>
  <si>
    <t>Storm Drainage Dewatering</t>
  </si>
  <si>
    <t>3,560.00LF</t>
  </si>
  <si>
    <t>Clean/Final Storm Drainage</t>
  </si>
  <si>
    <t xml:space="preserve">Sanitary Sewer </t>
  </si>
  <si>
    <t>8" SDR26 (6-8)</t>
  </si>
  <si>
    <t>30.00LF</t>
  </si>
  <si>
    <t>8" SDR26 (8-10)</t>
  </si>
  <si>
    <t>220.00LF</t>
  </si>
  <si>
    <t>4' Dia Manhole (6-8)</t>
  </si>
  <si>
    <t>4' Dia Manhole (8-10)</t>
  </si>
  <si>
    <t>6" SDR26-Sewer Services</t>
  </si>
  <si>
    <t>278.00LF</t>
  </si>
  <si>
    <t xml:space="preserve">4" PVC Sanitary Sewer-Grease Trap (Includes All Fittings And Cleanouts) </t>
  </si>
  <si>
    <t>Grease Trap</t>
  </si>
  <si>
    <t xml:space="preserve">Force Main And Lift Station </t>
  </si>
  <si>
    <t>4" C900 Force Main</t>
  </si>
  <si>
    <t>305.00LF</t>
  </si>
  <si>
    <t xml:space="preserve">Potable Water Main </t>
  </si>
  <si>
    <t>8" C900 DR18 Water Main</t>
  </si>
  <si>
    <t>1,343.00LF</t>
  </si>
  <si>
    <t>8" Ductile Iron Water Main</t>
  </si>
  <si>
    <t>50.00LF</t>
  </si>
  <si>
    <t>8" Gate Valve Assembly</t>
  </si>
  <si>
    <t>6" C900 DR18 Water Main</t>
  </si>
  <si>
    <t>6" Gate Valve Assembly</t>
  </si>
  <si>
    <t>Fire Hydrant Assembly W/Gate Valve</t>
  </si>
  <si>
    <t>4" Gate Valve Assembly</t>
  </si>
  <si>
    <t xml:space="preserve">Fire Main </t>
  </si>
  <si>
    <t>6" Ductile Iron Fire Main</t>
  </si>
  <si>
    <t>135.00LF</t>
  </si>
  <si>
    <t>6" DDCV</t>
  </si>
  <si>
    <t>4" Ductile Iron Fire Main</t>
  </si>
  <si>
    <t>15.00LF</t>
  </si>
  <si>
    <t>MJDI Fittings</t>
  </si>
  <si>
    <t>6" Fire Line Stub Out</t>
  </si>
  <si>
    <t>Final/Test Fire Main</t>
  </si>
  <si>
    <t>1,700.00LF</t>
  </si>
  <si>
    <t>12.00MO</t>
  </si>
  <si>
    <t>Demo Existing Asphalt</t>
  </si>
  <si>
    <t>900.00SY</t>
  </si>
  <si>
    <t>Remove Existing Guardrail</t>
  </si>
  <si>
    <t>700.00CY</t>
  </si>
  <si>
    <t>11,500.00CY</t>
  </si>
  <si>
    <t>11,600.00SY</t>
  </si>
  <si>
    <t>3,800.00SY</t>
  </si>
  <si>
    <t>2,400.00SY</t>
  </si>
  <si>
    <t>2,300.00SY</t>
  </si>
  <si>
    <t>8" FDOT Base Rock, LBR40</t>
  </si>
  <si>
    <t>150.00SY</t>
  </si>
  <si>
    <t>2,200.00SY</t>
  </si>
  <si>
    <t>Vehicular Brick Pavers (Standard</t>
  </si>
  <si>
    <t>65.00SY</t>
  </si>
  <si>
    <t xml:space="preserve">Size/Color/Pattern) </t>
  </si>
  <si>
    <t>700.00LF</t>
  </si>
  <si>
    <t>320.00LF</t>
  </si>
  <si>
    <t>650.00SF</t>
  </si>
  <si>
    <t xml:space="preserve">Paving Offsite </t>
  </si>
  <si>
    <t>210.00SY</t>
  </si>
  <si>
    <t>13-1/2" FDOT Rock Base, LBR100</t>
  </si>
  <si>
    <t>200.00SY</t>
  </si>
  <si>
    <t>1-1/2" Asphalt Bottom Lift, Type S</t>
  </si>
  <si>
    <t>1" Asphalt Top Lift, Type S</t>
  </si>
  <si>
    <t>Type D Curb</t>
  </si>
  <si>
    <r>
      <t>Storm Drainage</t>
    </r>
    <r>
      <rPr>
        <sz val="8"/>
        <color theme="1"/>
        <rFont val="Times New Roman"/>
        <family val="1"/>
      </rPr>
      <t xml:space="preserve"> </t>
    </r>
  </si>
  <si>
    <t>EACH</t>
  </si>
  <si>
    <t>Sanitary Sewer</t>
  </si>
  <si>
    <t>4" PVC Sanitary Sewer-Grease Trap (Includes All Fittings And Cleanouts)</t>
  </si>
  <si>
    <t>Force Main And Lift Station</t>
  </si>
  <si>
    <t>Potable Water Main</t>
  </si>
  <si>
    <t>Fire Main</t>
  </si>
  <si>
    <t xml:space="preserve">Final/Test Fire Main </t>
  </si>
  <si>
    <t>Unit AL-1a</t>
  </si>
  <si>
    <t>Unit AL-0a</t>
  </si>
  <si>
    <t>Unit A1-da</t>
  </si>
  <si>
    <t>Unit AL-1b</t>
  </si>
  <si>
    <t>Unit A1-db</t>
  </si>
  <si>
    <t>Unit MC-0a</t>
  </si>
  <si>
    <t>Unit MC-0c</t>
  </si>
  <si>
    <t>Unit MC-0b</t>
  </si>
  <si>
    <t>Unit MC-2b</t>
  </si>
  <si>
    <t>Unit MC-2a</t>
  </si>
  <si>
    <t>Unit MC-0d</t>
  </si>
  <si>
    <t>Unit MC-1a</t>
  </si>
  <si>
    <t>drywall</t>
  </si>
  <si>
    <t>ceiling height</t>
  </si>
  <si>
    <t>demsing - full height 1/2</t>
  </si>
  <si>
    <t>exterior wall furring with insulation</t>
  </si>
  <si>
    <t>drywall ceiling</t>
  </si>
  <si>
    <t>green board</t>
  </si>
  <si>
    <t>millwork</t>
  </si>
  <si>
    <t>kitchenette base cabinet</t>
  </si>
  <si>
    <t>ft</t>
  </si>
  <si>
    <t>kitchenette upper cabinet</t>
  </si>
  <si>
    <t>bath base cabinet</t>
  </si>
  <si>
    <t>16x20 shelves - 5</t>
  </si>
  <si>
    <t>wood base</t>
  </si>
  <si>
    <t>shelf &amp; pole</t>
  </si>
  <si>
    <t>DFH</t>
  </si>
  <si>
    <t>sliding closet  pr 4-0x7-0</t>
  </si>
  <si>
    <t>3-0x7-0 slider privacy set</t>
  </si>
  <si>
    <t>3-0x7-0 privacy set</t>
  </si>
  <si>
    <t>3-0x7-0 passage set</t>
  </si>
  <si>
    <t>3-0x7-0 electronic lock, closer</t>
  </si>
  <si>
    <t>Finishes</t>
  </si>
  <si>
    <t>flooring - LVT</t>
  </si>
  <si>
    <t>flooring - tile</t>
  </si>
  <si>
    <t>flooring - tile base</t>
  </si>
  <si>
    <t>paint walls</t>
  </si>
  <si>
    <t>paint ceilings</t>
  </si>
  <si>
    <t>paint base</t>
  </si>
  <si>
    <t>paint doors &amp; frames</t>
  </si>
  <si>
    <t>paint shelves</t>
  </si>
  <si>
    <t>paint shelf &amp; pole</t>
  </si>
  <si>
    <t>Accessories</t>
  </si>
  <si>
    <t>36" grab bar</t>
  </si>
  <si>
    <t>42" grab bar</t>
  </si>
  <si>
    <t>TP holder</t>
  </si>
  <si>
    <t>mirror</t>
  </si>
  <si>
    <t>Window treatment</t>
  </si>
  <si>
    <t>window blinds</t>
  </si>
  <si>
    <t>Equipment</t>
  </si>
  <si>
    <t>stove top</t>
  </si>
  <si>
    <t>refrigerator</t>
  </si>
  <si>
    <t>plumbing</t>
  </si>
  <si>
    <t>kitchen sink</t>
  </si>
  <si>
    <t>lav</t>
  </si>
  <si>
    <t>toilet</t>
  </si>
  <si>
    <t>HC shower assembly</t>
  </si>
  <si>
    <t>Trash Rooms, Pump Rooms - per plans (Euclid Eucopoxy Tufcoat)</t>
  </si>
  <si>
    <t>Elevated Balconies - per plans (Euclid Stain Sealer)</t>
  </si>
  <si>
    <t>Creative Mailbox Design</t>
  </si>
  <si>
    <t>South Florida Mailbox</t>
  </si>
  <si>
    <t>407-801-5124</t>
  </si>
  <si>
    <t xml:space="preserve"> &lt;estimatingtjcustomcabinets@gmail.com&gt;</t>
  </si>
  <si>
    <t>Kemal Demir</t>
  </si>
  <si>
    <r>
      <rPr>
        <sz val="10"/>
        <color rgb="FF000000"/>
        <rFont val="Arial"/>
      </rPr>
      <t>Custom Mirrors with MTL-1&amp;RAT-1 -</t>
    </r>
    <r>
      <rPr>
        <i/>
        <sz val="10"/>
        <color rgb="FFFF0000"/>
        <rFont val="Arial"/>
      </rPr>
      <t xml:space="preserve"> to check</t>
    </r>
  </si>
  <si>
    <t>Banquette Terrace 231</t>
  </si>
  <si>
    <t>Fitness 237</t>
  </si>
  <si>
    <t>Makers Studio 204</t>
  </si>
  <si>
    <t>Conference 214</t>
  </si>
  <si>
    <t>remove sills</t>
  </si>
  <si>
    <t>no custom frame</t>
  </si>
  <si>
    <t>to deduct</t>
  </si>
  <si>
    <t>to include</t>
  </si>
  <si>
    <t>ISQ Interior</t>
  </si>
  <si>
    <t>sergey@isqinteriors.com</t>
  </si>
  <si>
    <t>561-623-4932</t>
  </si>
  <si>
    <t>Sergey Momotok</t>
  </si>
  <si>
    <t>Certified pools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</si>
</sst>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quot;$&quot;#,##0.00"/>
    <numFmt numFmtId="166" formatCode="mm/dd/yy;@"/>
    <numFmt numFmtId="167" formatCode="_(&quot;$&quot;* #,##0_);_(&quot;$&quot;* \(#,##0\);_(&quot;$&quot;* &quot;-&quot;??_);_(@_)"/>
    <numFmt numFmtId="168" formatCode="m/d/yy;@"/>
    <numFmt numFmtId="169" formatCode="[&lt;=9999999]###\-####;\(###\)\ ###\-####"/>
    <numFmt numFmtId="170" formatCode="&quot;$&quot;#,##0"/>
    <numFmt numFmtId="171" formatCode="\$#,##0.00"/>
    <numFmt numFmtId="172" formatCode="_(* #,##0.000000_);_(* \(#,##0.000000\);_(* &quot;-&quot;??_);_(@_)"/>
    <numFmt numFmtId="173" formatCode="_(* #,##0.00000_);_(* \(#,##0.00000\);_(* &quot;-&quot;??_);_(@_)"/>
    <numFmt numFmtId="174" formatCode="0\)"/>
    <numFmt numFmtId="175" formatCode="[$-409]mmmm\ d\,\ yyyy;@"/>
    <numFmt numFmtId="176" formatCode="#,##0.0"/>
    <numFmt numFmtId="177" formatCode="00\ 00\ 00"/>
    <numFmt numFmtId="178" formatCode="0.0%"/>
    <numFmt numFmtId="179" formatCode="_([$$-409]* #,##0.00_);_([$$-409]* \(#,##0.00\);_([$$-409]* &quot;-&quot;??_);_(@_)"/>
    <numFmt numFmtId="180" formatCode="_(&quot;$&quot;* #,##0.0_);_(&quot;$&quot;* \(#,##0.0\);_(&quot;$&quot;* &quot;-&quot;?_);_(@_)"/>
    <numFmt numFmtId="181" formatCode="#,##0.00;[Red]#,##0.00"/>
  </numFmts>
  <fonts count="125" x14ac:knownFonts="1">
    <font>
      <sz val="11"/>
      <color theme="1"/>
      <name val="Calibri"/>
      <family val="2"/>
      <scheme val="minor"/>
    </font>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Wingdings 2"/>
      <family val="1"/>
      <charset val="2"/>
    </font>
    <font>
      <sz val="11"/>
      <name val="Calibri"/>
      <family val="2"/>
      <scheme val="minor"/>
    </font>
    <font>
      <sz val="11"/>
      <color indexed="8"/>
      <name val="Calibri"/>
      <family val="2"/>
      <scheme val="minor"/>
    </font>
    <font>
      <b/>
      <sz val="11"/>
      <color theme="1"/>
      <name val="Calibri Light"/>
      <family val="2"/>
      <scheme val="major"/>
    </font>
    <font>
      <sz val="12"/>
      <name val="Arial"/>
      <family val="2"/>
    </font>
    <font>
      <sz val="11"/>
      <color rgb="FF2919FB"/>
      <name val="Calibri"/>
      <family val="2"/>
      <scheme val="minor"/>
    </font>
    <font>
      <sz val="11"/>
      <color rgb="FF0000FF"/>
      <name val="Calibri"/>
      <family val="2"/>
      <scheme val="minor"/>
    </font>
    <font>
      <sz val="10"/>
      <color theme="1"/>
      <name val="Calibri"/>
      <family val="2"/>
      <scheme val="minor"/>
    </font>
    <font>
      <b/>
      <sz val="14"/>
      <color theme="1"/>
      <name val="Calibri"/>
      <family val="2"/>
      <scheme val="minor"/>
    </font>
    <font>
      <sz val="8"/>
      <color theme="1"/>
      <name val="Calibri"/>
      <family val="2"/>
      <scheme val="minor"/>
    </font>
    <font>
      <sz val="10"/>
      <color theme="1"/>
      <name val="Abadi"/>
      <family val="2"/>
    </font>
    <font>
      <sz val="12"/>
      <color theme="1"/>
      <name val="Calibri"/>
      <family val="2"/>
      <scheme val="minor"/>
    </font>
    <font>
      <b/>
      <sz val="8"/>
      <color rgb="FFFF0000"/>
      <name val="Calibri"/>
      <family val="2"/>
      <scheme val="minor"/>
    </font>
    <font>
      <i/>
      <sz val="12"/>
      <color theme="1"/>
      <name val="Calibri"/>
      <family val="2"/>
      <scheme val="minor"/>
    </font>
    <font>
      <b/>
      <sz val="10"/>
      <color rgb="FFFF0000"/>
      <name val="Calibri"/>
      <family val="2"/>
      <scheme val="minor"/>
    </font>
    <font>
      <b/>
      <sz val="12"/>
      <color theme="0"/>
      <name val="Calibri"/>
      <family val="2"/>
      <scheme val="minor"/>
    </font>
    <font>
      <i/>
      <sz val="10"/>
      <color theme="1"/>
      <name val="Calibri"/>
      <family val="2"/>
      <scheme val="minor"/>
    </font>
    <font>
      <b/>
      <sz val="12"/>
      <color theme="1"/>
      <name val="Calibri"/>
      <family val="2"/>
      <scheme val="minor"/>
    </font>
    <font>
      <b/>
      <sz val="16"/>
      <color theme="0" tint="-0.499984740745262"/>
      <name val="Calibri"/>
      <family val="2"/>
      <scheme val="minor"/>
    </font>
    <font>
      <sz val="12"/>
      <color rgb="FFFFFFFF"/>
      <name val="Arial"/>
      <family val="2"/>
    </font>
    <font>
      <b/>
      <sz val="12"/>
      <color rgb="FF0070C0"/>
      <name val="Calibri"/>
      <family val="2"/>
      <scheme val="minor"/>
    </font>
    <font>
      <b/>
      <sz val="10"/>
      <color theme="0"/>
      <name val="Calibri"/>
      <family val="2"/>
      <scheme val="minor"/>
    </font>
    <font>
      <sz val="9"/>
      <color theme="1"/>
      <name val="Calibri"/>
      <family val="2"/>
      <scheme val="minor"/>
    </font>
    <font>
      <b/>
      <sz val="10"/>
      <color theme="1"/>
      <name val="Calibri"/>
      <family val="2"/>
      <scheme val="minor"/>
    </font>
    <font>
      <sz val="10"/>
      <name val="Arial"/>
      <family val="2"/>
    </font>
    <font>
      <b/>
      <sz val="10"/>
      <name val="Arial"/>
      <family val="2"/>
    </font>
    <font>
      <sz val="9"/>
      <color indexed="81"/>
      <name val="Tahoma"/>
      <family val="2"/>
    </font>
    <font>
      <b/>
      <sz val="9"/>
      <color indexed="81"/>
      <name val="Tahoma"/>
      <family val="2"/>
    </font>
    <font>
      <sz val="8"/>
      <name val="Calibri"/>
      <family val="2"/>
      <scheme val="minor"/>
    </font>
    <font>
      <b/>
      <sz val="11"/>
      <name val="Calibri"/>
      <family val="2"/>
      <scheme val="minor"/>
    </font>
    <font>
      <b/>
      <u/>
      <sz val="12"/>
      <color theme="1"/>
      <name val="Calibri"/>
      <family val="2"/>
      <scheme val="minor"/>
    </font>
    <font>
      <b/>
      <u/>
      <sz val="12"/>
      <name val="Calibri"/>
      <family val="2"/>
      <scheme val="minor"/>
    </font>
    <font>
      <sz val="11"/>
      <name val="Wingdings 2"/>
      <family val="1"/>
      <charset val="2"/>
    </font>
    <font>
      <sz val="12"/>
      <name val="Calibri"/>
      <family val="2"/>
      <scheme val="minor"/>
    </font>
    <font>
      <u/>
      <sz val="11"/>
      <name val="Calibri"/>
      <family val="2"/>
      <scheme val="minor"/>
    </font>
    <font>
      <b/>
      <u/>
      <sz val="11"/>
      <name val="Calibri"/>
      <family val="2"/>
      <scheme val="minor"/>
    </font>
    <font>
      <sz val="12"/>
      <color rgb="FF000000"/>
      <name val="Times New Roman"/>
      <family val="2"/>
    </font>
    <font>
      <sz val="11"/>
      <name val="Arial"/>
      <family val="2"/>
    </font>
    <font>
      <sz val="10"/>
      <color rgb="FF000000"/>
      <name val="Helvetica"/>
      <charset val="1"/>
    </font>
    <font>
      <sz val="11"/>
      <color rgb="FF3C3C3C"/>
      <name val="Calibri"/>
      <family val="2"/>
      <scheme val="minor"/>
    </font>
    <font>
      <sz val="12"/>
      <color theme="1"/>
      <name val="Arial"/>
      <family val="2"/>
    </font>
    <font>
      <sz val="11"/>
      <color theme="1"/>
      <name val="Century Gothic"/>
      <family val="2"/>
    </font>
    <font>
      <sz val="10"/>
      <color theme="1"/>
      <name val="Century Gothic"/>
      <family val="2"/>
    </font>
    <font>
      <sz val="21"/>
      <color theme="1"/>
      <name val="Century Gothic"/>
      <family val="2"/>
    </font>
    <font>
      <sz val="20"/>
      <color rgb="FF3F70AB"/>
      <name val="Century Gothic"/>
      <family val="2"/>
    </font>
    <font>
      <sz val="10"/>
      <color rgb="FF3F70AB"/>
      <name val="Century Gothic"/>
      <family val="2"/>
    </font>
    <font>
      <b/>
      <sz val="11"/>
      <name val="Century Gothic"/>
      <family val="2"/>
    </font>
    <font>
      <b/>
      <sz val="12"/>
      <color rgb="FF3F70AB"/>
      <name val="Century Gothic"/>
      <family val="2"/>
    </font>
    <font>
      <sz val="9"/>
      <color rgb="FF3F70AB"/>
      <name val="Century Gothic"/>
      <family val="2"/>
    </font>
    <font>
      <b/>
      <sz val="9"/>
      <color theme="0"/>
      <name val="Century Gothic"/>
      <family val="2"/>
    </font>
    <font>
      <sz val="9"/>
      <color theme="1"/>
      <name val="Century Gothic"/>
      <family val="2"/>
    </font>
    <font>
      <b/>
      <sz val="11"/>
      <color rgb="FFFF0000"/>
      <name val="Century Gothic"/>
      <family val="2"/>
    </font>
    <font>
      <i/>
      <sz val="10"/>
      <name val="Arial"/>
      <family val="2"/>
    </font>
    <font>
      <b/>
      <u/>
      <sz val="14"/>
      <color theme="4" tint="-0.499984740745262"/>
      <name val="Calibri"/>
      <family val="2"/>
      <scheme val="minor"/>
    </font>
    <font>
      <sz val="10"/>
      <color theme="1"/>
      <name val="Arial"/>
      <family val="2"/>
    </font>
    <font>
      <b/>
      <u/>
      <sz val="16"/>
      <color theme="4" tint="-0.249977111117893"/>
      <name val="Century Gothic"/>
      <family val="2"/>
    </font>
    <font>
      <sz val="8"/>
      <color theme="1"/>
      <name val="Times New Roman"/>
      <family val="1"/>
    </font>
    <font>
      <b/>
      <sz val="12"/>
      <name val="Arial"/>
      <family val="2"/>
    </font>
    <font>
      <b/>
      <sz val="11"/>
      <color rgb="FFFF0000"/>
      <name val="Calibri"/>
      <family val="2"/>
      <scheme val="minor"/>
    </font>
    <font>
      <sz val="11"/>
      <color rgb="FF000000"/>
      <name val="Calibri"/>
      <family val="2"/>
      <scheme val="minor"/>
    </font>
    <font>
      <b/>
      <sz val="11"/>
      <color theme="0"/>
      <name val="Calibri"/>
      <family val="2"/>
      <scheme val="minor"/>
    </font>
    <font>
      <b/>
      <sz val="11"/>
      <color theme="0"/>
      <name val="Century Gothic"/>
      <family val="2"/>
    </font>
    <font>
      <b/>
      <sz val="11"/>
      <color theme="0" tint="-0.499984740745262"/>
      <name val="Arial"/>
      <family val="2"/>
    </font>
    <font>
      <b/>
      <sz val="11"/>
      <color rgb="FF0070C0"/>
      <name val="Calibri"/>
      <family val="2"/>
      <scheme val="minor"/>
    </font>
    <font>
      <b/>
      <i/>
      <sz val="11"/>
      <color rgb="FFFF0000"/>
      <name val="Calibri"/>
      <family val="2"/>
      <scheme val="minor"/>
    </font>
    <font>
      <i/>
      <sz val="11"/>
      <color theme="1"/>
      <name val="Calibri"/>
      <family val="2"/>
      <scheme val="minor"/>
    </font>
    <font>
      <i/>
      <sz val="11"/>
      <name val="Arial"/>
      <family val="2"/>
    </font>
    <font>
      <sz val="14"/>
      <color rgb="FF3F70AB"/>
      <name val="Century Gothic"/>
      <family val="2"/>
    </font>
    <font>
      <b/>
      <sz val="10"/>
      <color theme="1"/>
      <name val="Arial"/>
      <family val="2"/>
    </font>
    <font>
      <sz val="12"/>
      <color rgb="FF3F70AB"/>
      <name val="Century Gothic"/>
      <family val="2"/>
    </font>
    <font>
      <sz val="14"/>
      <color theme="1"/>
      <name val="Calibri"/>
      <family val="2"/>
      <scheme val="minor"/>
    </font>
    <font>
      <sz val="14"/>
      <color theme="4"/>
      <name val="Calibri"/>
      <family val="2"/>
      <scheme val="minor"/>
    </font>
    <font>
      <b/>
      <sz val="10"/>
      <color rgb="FF0070C0"/>
      <name val="Calibri"/>
      <family val="2"/>
      <scheme val="minor"/>
    </font>
    <font>
      <sz val="8"/>
      <color theme="0"/>
      <name val="Calibri"/>
      <family val="2"/>
      <scheme val="minor"/>
    </font>
    <font>
      <sz val="12"/>
      <color theme="0"/>
      <name val="Calibri"/>
      <family val="2"/>
      <scheme val="minor"/>
    </font>
    <font>
      <b/>
      <sz val="9"/>
      <color theme="0"/>
      <name val="Calibri"/>
      <family val="2"/>
      <scheme val="minor"/>
    </font>
    <font>
      <sz val="11"/>
      <color theme="0"/>
      <name val="Century Gothic"/>
      <family val="2"/>
    </font>
    <font>
      <sz val="10"/>
      <color theme="0"/>
      <name val="Century Gothic"/>
      <family val="2"/>
    </font>
    <font>
      <sz val="11"/>
      <color rgb="FF000000"/>
      <name val="Calibri"/>
      <family val="2"/>
    </font>
    <font>
      <b/>
      <sz val="11"/>
      <color rgb="FF000000"/>
      <name val="Calibri"/>
      <family val="2"/>
    </font>
    <font>
      <b/>
      <sz val="11"/>
      <color rgb="FFFF0000"/>
      <name val="Calibri"/>
      <family val="2"/>
    </font>
    <font>
      <sz val="11"/>
      <name val="Calibri"/>
      <family val="2"/>
    </font>
    <font>
      <sz val="11"/>
      <color rgb="FFFFFFFF"/>
      <name val="Calibri"/>
      <family val="2"/>
    </font>
    <font>
      <sz val="10"/>
      <color rgb="FF000000"/>
      <name val="Abadi"/>
      <family val="2"/>
    </font>
    <font>
      <b/>
      <sz val="10"/>
      <color rgb="FF0070C0"/>
      <name val="Calibri"/>
      <family val="2"/>
    </font>
    <font>
      <b/>
      <sz val="10"/>
      <color rgb="FFFFFFFF"/>
      <name val="Century Gothic"/>
      <family val="2"/>
    </font>
    <font>
      <sz val="10"/>
      <name val="Calibri"/>
      <family val="2"/>
      <scheme val="minor"/>
    </font>
    <font>
      <sz val="10"/>
      <color rgb="FF000000"/>
      <name val="Arial"/>
      <family val="2"/>
    </font>
    <font>
      <i/>
      <sz val="10"/>
      <color rgb="FFFF0000"/>
      <name val="Arial"/>
      <family val="2"/>
    </font>
    <font>
      <i/>
      <sz val="11"/>
      <color rgb="FFFF0000"/>
      <name val="Calibri"/>
      <family val="2"/>
      <scheme val="minor"/>
    </font>
    <font>
      <sz val="10"/>
      <color rgb="FFFF0000"/>
      <name val="Arial"/>
      <family val="2"/>
    </font>
    <font>
      <b/>
      <sz val="10"/>
      <color rgb="FF000000"/>
      <name val="Arial"/>
      <family val="2"/>
    </font>
    <font>
      <sz val="12"/>
      <color theme="1"/>
      <name val="Aptos"/>
      <family val="2"/>
    </font>
    <font>
      <sz val="11"/>
      <color theme="1"/>
      <name val="Aptos"/>
      <family val="2"/>
    </font>
    <font>
      <sz val="11"/>
      <color theme="1"/>
      <name val="Calibri Light"/>
      <family val="2"/>
      <scheme val="major"/>
    </font>
    <font>
      <sz val="9"/>
      <name val="Calibri"/>
      <family val="2"/>
      <scheme val="minor"/>
    </font>
    <font>
      <b/>
      <sz val="11"/>
      <color rgb="FF000000"/>
      <name val="Calibri"/>
      <family val="2"/>
      <scheme val="minor"/>
    </font>
    <font>
      <sz val="10"/>
      <color theme="1"/>
      <name val="Times New Roman"/>
      <family val="1"/>
      <charset val="1"/>
    </font>
    <font>
      <b/>
      <i/>
      <sz val="10"/>
      <color rgb="FFFF0000"/>
      <name val="Arial"/>
      <family val="2"/>
    </font>
    <font>
      <sz val="9"/>
      <color rgb="FF000000"/>
      <name val="Arial"/>
      <family val="2"/>
    </font>
    <font>
      <b/>
      <sz val="9"/>
      <color rgb="FF000000"/>
      <name val="Arial"/>
      <family val="2"/>
    </font>
    <font>
      <i/>
      <sz val="10"/>
      <name val="Calibri"/>
      <family val="2"/>
      <scheme val="minor"/>
    </font>
    <font>
      <u/>
      <sz val="12"/>
      <color theme="10"/>
      <name val="Aptos"/>
      <family val="2"/>
      <charset val="1"/>
    </font>
    <font>
      <u/>
      <sz val="11"/>
      <color rgb="FF0563C1"/>
      <name val="Calibri"/>
      <family val="2"/>
      <scheme val="minor"/>
    </font>
    <font>
      <sz val="9"/>
      <name val="Arial"/>
      <family val="2"/>
    </font>
    <font>
      <sz val="9"/>
      <color theme="1"/>
      <name val="Wingdings 2"/>
      <family val="1"/>
      <charset val="2"/>
    </font>
    <font>
      <b/>
      <sz val="9"/>
      <name val="Arial"/>
      <family val="2"/>
    </font>
    <font>
      <sz val="10"/>
      <color rgb="FF000001"/>
      <name val="Arial"/>
      <family val="2"/>
      <charset val="1"/>
    </font>
    <font>
      <sz val="11"/>
      <color theme="0"/>
      <name val="Calibri"/>
      <family val="2"/>
      <scheme val="minor"/>
    </font>
    <font>
      <i/>
      <sz val="10"/>
      <color rgb="FF000000"/>
      <name val="Arial"/>
      <family val="2"/>
    </font>
    <font>
      <b/>
      <sz val="16"/>
      <name val="Century Gothic"/>
      <family val="2"/>
    </font>
    <font>
      <sz val="16"/>
      <name val="Century Gothic"/>
      <family val="2"/>
    </font>
    <font>
      <sz val="18"/>
      <color rgb="FF000000"/>
      <name val="Calibri"/>
      <family val="2"/>
    </font>
    <font>
      <b/>
      <sz val="12"/>
      <color rgb="FFFFFFFF"/>
      <name val="Century Gothic"/>
      <family val="2"/>
    </font>
    <font>
      <sz val="11"/>
      <color rgb="FF000000"/>
      <name val="Calibri"/>
      <scheme val="minor"/>
    </font>
    <font>
      <sz val="11"/>
      <color rgb="FFFF0000"/>
      <name val="Calibri"/>
      <scheme val="minor"/>
    </font>
    <font>
      <sz val="10"/>
      <name val="Arial"/>
    </font>
    <font>
      <sz val="10"/>
      <color rgb="FF000000"/>
      <name val="Arial"/>
    </font>
    <font>
      <i/>
      <sz val="10"/>
      <color rgb="FFFF0000"/>
      <name val="Arial"/>
    </font>
  </fonts>
  <fills count="43">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0" tint="-0.14996795556505021"/>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rgb="FFF47710"/>
        <bgColor indexed="64"/>
      </patternFill>
    </fill>
    <fill>
      <patternFill patternType="solid">
        <fgColor rgb="FF3F70B3"/>
        <bgColor indexed="64"/>
      </patternFill>
    </fill>
    <fill>
      <patternFill patternType="solid">
        <fgColor rgb="FF2F75B5"/>
        <bgColor indexed="64"/>
      </patternFill>
    </fill>
    <fill>
      <patternFill patternType="solid">
        <fgColor indexed="22"/>
        <bgColor indexed="64"/>
      </patternFill>
    </fill>
    <fill>
      <patternFill patternType="solid">
        <fgColor theme="0"/>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rgb="FF000000"/>
      </patternFill>
    </fill>
    <fill>
      <patternFill patternType="solid">
        <fgColor theme="5"/>
        <bgColor indexed="64"/>
      </patternFill>
    </fill>
    <fill>
      <patternFill patternType="solid">
        <fgColor theme="9"/>
        <bgColor indexed="64"/>
      </patternFill>
    </fill>
    <fill>
      <patternFill patternType="solid">
        <fgColor rgb="FFFFFFFF"/>
        <bgColor rgb="FF000000"/>
      </patternFill>
    </fill>
    <fill>
      <patternFill patternType="solid">
        <fgColor rgb="FFC6E0B4"/>
        <bgColor rgb="FF000000"/>
      </patternFill>
    </fill>
    <fill>
      <patternFill patternType="solid">
        <fgColor rgb="FFFFC000"/>
        <bgColor rgb="FF000000"/>
      </patternFill>
    </fill>
    <fill>
      <patternFill patternType="solid">
        <fgColor rgb="FFD9D9D9"/>
        <bgColor rgb="FF000000"/>
      </patternFill>
    </fill>
    <fill>
      <patternFill patternType="solid">
        <fgColor rgb="FFFFFF99"/>
        <bgColor rgb="FF000000"/>
      </patternFill>
    </fill>
    <fill>
      <patternFill patternType="solid">
        <fgColor rgb="FF2F75B5"/>
        <bgColor rgb="FF000000"/>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rgb="FFFFFFFF"/>
        <bgColor indexed="64"/>
      </patternFill>
    </fill>
    <fill>
      <patternFill patternType="solid">
        <fgColor rgb="FFFFFF99"/>
        <bgColor indexed="64"/>
      </patternFill>
    </fill>
    <fill>
      <patternFill patternType="solid">
        <fgColor rgb="FFED7D31"/>
        <bgColor rgb="FF000000"/>
      </patternFill>
    </fill>
    <fill>
      <patternFill patternType="solid">
        <fgColor rgb="FF00B050"/>
        <bgColor indexed="64"/>
      </patternFill>
    </fill>
  </fills>
  <borders count="835">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right/>
      <top/>
      <bottom style="thin">
        <color auto="1"/>
      </bottom>
      <diagonal/>
    </border>
    <border>
      <left style="thin">
        <color indexed="64"/>
      </left>
      <right/>
      <top/>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style="medium">
        <color auto="1"/>
      </left>
      <right/>
      <top/>
      <bottom/>
      <diagonal/>
    </border>
    <border>
      <left/>
      <right style="medium">
        <color auto="1"/>
      </right>
      <top/>
      <bottom/>
      <diagonal/>
    </border>
    <border>
      <left/>
      <right/>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bottom/>
      <diagonal/>
    </border>
    <border>
      <left/>
      <right/>
      <top style="medium">
        <color indexed="64"/>
      </top>
      <bottom style="thick">
        <color auto="1"/>
      </bottom>
      <diagonal/>
    </border>
    <border>
      <left/>
      <right style="thick">
        <color auto="1"/>
      </right>
      <top style="thick">
        <color auto="1"/>
      </top>
      <bottom style="thick">
        <color auto="1"/>
      </bottom>
      <diagonal/>
    </border>
    <border>
      <left style="thin">
        <color auto="1"/>
      </left>
      <right style="double">
        <color auto="1"/>
      </right>
      <top style="thick">
        <color auto="1"/>
      </top>
      <bottom style="thick">
        <color auto="1"/>
      </bottom>
      <diagonal/>
    </border>
    <border>
      <left/>
      <right/>
      <top style="thick">
        <color auto="1"/>
      </top>
      <bottom style="thin">
        <color auto="1"/>
      </bottom>
      <diagonal/>
    </border>
    <border>
      <left style="thick">
        <color auto="1"/>
      </left>
      <right style="thin">
        <color auto="1"/>
      </right>
      <top/>
      <bottom/>
      <diagonal/>
    </border>
    <border>
      <left style="thin">
        <color auto="1"/>
      </left>
      <right style="thin">
        <color auto="1"/>
      </right>
      <top/>
      <bottom/>
      <diagonal/>
    </border>
    <border>
      <left/>
      <right style="thick">
        <color auto="1"/>
      </right>
      <top/>
      <bottom/>
      <diagonal/>
    </border>
    <border>
      <left style="double">
        <color auto="1"/>
      </left>
      <right/>
      <top style="thick">
        <color auto="1"/>
      </top>
      <bottom style="thin">
        <color auto="1"/>
      </bottom>
      <diagonal/>
    </border>
    <border>
      <left style="thick">
        <color auto="1"/>
      </left>
      <right/>
      <top style="thick">
        <color auto="1"/>
      </top>
      <bottom/>
      <diagonal/>
    </border>
    <border>
      <left style="thick">
        <color auto="1"/>
      </left>
      <right/>
      <top/>
      <bottom/>
      <diagonal/>
    </border>
    <border>
      <left style="thin">
        <color rgb="FF000000"/>
      </left>
      <right style="thin">
        <color rgb="FF000000"/>
      </right>
      <top style="thin">
        <color rgb="FF000000"/>
      </top>
      <bottom style="thin">
        <color rgb="FF000000"/>
      </bottom>
      <diagonal/>
    </border>
    <border>
      <left/>
      <right style="double">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rgb="FFC1CD23"/>
      </bottom>
      <diagonal/>
    </border>
    <border>
      <left style="thin">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thin">
        <color indexed="64"/>
      </left>
      <right style="dashed">
        <color indexed="64"/>
      </right>
      <top style="hair">
        <color indexed="64"/>
      </top>
      <bottom/>
      <diagonal/>
    </border>
    <border>
      <left style="dashed">
        <color indexed="64"/>
      </left>
      <right style="dashed">
        <color indexed="64"/>
      </right>
      <top style="hair">
        <color indexed="64"/>
      </top>
      <bottom/>
      <diagonal/>
    </border>
    <border>
      <left style="dashed">
        <color indexed="64"/>
      </left>
      <right style="thin">
        <color indexed="64"/>
      </right>
      <top style="hair">
        <color indexed="64"/>
      </top>
      <bottom/>
      <diagonal/>
    </border>
    <border>
      <left style="thin">
        <color indexed="64"/>
      </left>
      <right style="dashed">
        <color indexed="64"/>
      </right>
      <top style="hair">
        <color indexed="64"/>
      </top>
      <bottom style="thin">
        <color indexed="64"/>
      </bottom>
      <diagonal/>
    </border>
    <border>
      <left style="dashed">
        <color indexed="64"/>
      </left>
      <right style="dashed">
        <color indexed="64"/>
      </right>
      <top style="hair">
        <color indexed="64"/>
      </top>
      <bottom style="thin">
        <color indexed="64"/>
      </bottom>
      <diagonal/>
    </border>
    <border>
      <left style="dashed">
        <color indexed="64"/>
      </left>
      <right style="thin">
        <color indexed="64"/>
      </right>
      <top style="hair">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double">
        <color auto="1"/>
      </left>
      <right/>
      <top style="medium">
        <color indexed="64"/>
      </top>
      <bottom style="thick">
        <color auto="1"/>
      </bottom>
      <diagonal/>
    </border>
    <border>
      <left style="thick">
        <color auto="1"/>
      </left>
      <right/>
      <top style="thick">
        <color auto="1"/>
      </top>
      <bottom style="thick">
        <color auto="1"/>
      </bottom>
      <diagonal/>
    </border>
    <border>
      <left/>
      <right style="thin">
        <color auto="1"/>
      </right>
      <top style="thick">
        <color auto="1"/>
      </top>
      <bottom style="thick">
        <color auto="1"/>
      </bottom>
      <diagonal/>
    </border>
    <border>
      <left/>
      <right style="medium">
        <color indexed="64"/>
      </right>
      <top style="thick">
        <color auto="1"/>
      </top>
      <bottom style="thick">
        <color indexed="64"/>
      </bottom>
      <diagonal/>
    </border>
    <border>
      <left/>
      <right style="thin">
        <color auto="1"/>
      </right>
      <top/>
      <bottom/>
      <diagonal/>
    </border>
    <border>
      <left style="thin">
        <color theme="3"/>
      </left>
      <right style="thin">
        <color theme="3"/>
      </right>
      <top style="thin">
        <color theme="3"/>
      </top>
      <bottom style="thin">
        <color theme="3"/>
      </bottom>
      <diagonal/>
    </border>
    <border>
      <left/>
      <right style="thin">
        <color theme="3"/>
      </right>
      <top style="thin">
        <color theme="3"/>
      </top>
      <bottom style="thin">
        <color theme="3"/>
      </bottom>
      <diagonal/>
    </border>
    <border>
      <left/>
      <right/>
      <top style="thin">
        <color theme="3"/>
      </top>
      <bottom style="thin">
        <color theme="3"/>
      </bottom>
      <diagonal/>
    </border>
    <border>
      <left/>
      <right/>
      <top style="thin">
        <color theme="3"/>
      </top>
      <bottom/>
      <diagonal/>
    </border>
    <border>
      <left/>
      <right/>
      <top style="hair">
        <color auto="1"/>
      </top>
      <bottom style="hair">
        <color auto="1"/>
      </bottom>
      <diagonal/>
    </border>
    <border>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medium">
        <color indexed="64"/>
      </left>
      <right style="medium">
        <color auto="1"/>
      </right>
      <top/>
      <bottom style="thick">
        <color auto="1"/>
      </bottom>
      <diagonal/>
    </border>
    <border>
      <left/>
      <right/>
      <top/>
      <bottom style="thick">
        <color auto="1"/>
      </bottom>
      <diagonal/>
    </border>
    <border>
      <left/>
      <right style="medium">
        <color rgb="FF000000"/>
      </right>
      <top/>
      <bottom/>
      <diagonal/>
    </border>
    <border>
      <left style="medium">
        <color rgb="FF000000"/>
      </left>
      <right style="medium">
        <color rgb="FF000000"/>
      </right>
      <top/>
      <bottom/>
      <diagonal/>
    </border>
    <border>
      <left style="medium">
        <color indexed="64"/>
      </left>
      <right style="thin">
        <color indexed="64"/>
      </right>
      <top/>
      <bottom style="medium">
        <color rgb="FF000000"/>
      </bottom>
      <diagonal/>
    </border>
    <border>
      <left style="thin">
        <color indexed="64"/>
      </left>
      <right style="medium">
        <color indexed="64"/>
      </right>
      <top/>
      <bottom style="medium">
        <color rgb="FF000000"/>
      </bottom>
      <diagonal/>
    </border>
    <border>
      <left style="medium">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rgb="FF000000"/>
      </bottom>
      <diagonal/>
    </border>
    <border>
      <left/>
      <right style="thin">
        <color indexed="64"/>
      </right>
      <top/>
      <bottom style="medium">
        <color indexed="64"/>
      </bottom>
      <diagonal/>
    </border>
    <border>
      <left style="medium">
        <color indexed="64"/>
      </left>
      <right/>
      <top/>
      <bottom style="thin">
        <color rgb="FF000000"/>
      </bottom>
      <diagonal/>
    </border>
    <border>
      <left/>
      <right style="medium">
        <color rgb="FF000000"/>
      </right>
      <top/>
      <bottom style="thin">
        <color rgb="FF000000"/>
      </bottom>
      <diagonal/>
    </border>
    <border>
      <left/>
      <right style="medium">
        <color rgb="FF000000"/>
      </right>
      <top style="hair">
        <color indexed="64"/>
      </top>
      <bottom style="hair">
        <color indexed="64"/>
      </bottom>
      <diagonal/>
    </border>
    <border>
      <left style="medium">
        <color rgb="FF000000"/>
      </left>
      <right style="thick">
        <color auto="1"/>
      </right>
      <top style="thick">
        <color auto="1"/>
      </top>
      <bottom style="thick">
        <color auto="1"/>
      </bottom>
      <diagonal/>
    </border>
    <border>
      <left style="thick">
        <color rgb="FF000000"/>
      </left>
      <right style="thick">
        <color auto="1"/>
      </right>
      <top style="thick">
        <color auto="1"/>
      </top>
      <bottom style="thick">
        <color auto="1"/>
      </bottom>
      <diagonal/>
    </border>
    <border>
      <left style="thin">
        <color rgb="FFA6A6A6"/>
      </left>
      <right style="thin">
        <color rgb="FFA6A6A6"/>
      </right>
      <top style="thin">
        <color rgb="FFA6A6A6"/>
      </top>
      <bottom style="thin">
        <color rgb="FFA6A6A6"/>
      </bottom>
      <diagonal/>
    </border>
    <border>
      <left/>
      <right/>
      <top style="thin">
        <color auto="1"/>
      </top>
      <bottom/>
      <diagonal/>
    </border>
    <border>
      <left/>
      <right style="medium">
        <color indexed="64"/>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indexed="64"/>
      </bottom>
      <diagonal/>
    </border>
    <border>
      <left style="medium">
        <color rgb="FF000000"/>
      </left>
      <right style="medium">
        <color rgb="FF000000"/>
      </right>
      <top style="medium">
        <color rgb="FF000000"/>
      </top>
      <bottom style="thin">
        <color auto="1"/>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dotted">
        <color rgb="FF000000"/>
      </left>
      <right style="dotted">
        <color rgb="FF000000"/>
      </right>
      <top style="dotted">
        <color rgb="FF000000"/>
      </top>
      <bottom style="dotted">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8"/>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indexed="8"/>
      </bottom>
      <diagonal/>
    </border>
    <border>
      <left/>
      <right style="thin">
        <color rgb="FF000000"/>
      </right>
      <top/>
      <bottom style="thin">
        <color rgb="FF000000"/>
      </bottom>
      <diagonal/>
    </border>
    <border>
      <left/>
      <right style="thick">
        <color rgb="FF000000"/>
      </right>
      <top/>
      <bottom/>
      <diagonal/>
    </border>
    <border>
      <left style="thin">
        <color rgb="FFABABAB"/>
      </left>
      <right style="thin">
        <color rgb="FFABABAB"/>
      </right>
      <top style="thin">
        <color rgb="FFABABAB"/>
      </top>
      <bottom style="thin">
        <color rgb="FFABABAB"/>
      </bottom>
      <diagonal/>
    </border>
    <border>
      <left/>
      <right style="medium">
        <color rgb="FF000000"/>
      </right>
      <top style="thin">
        <color rgb="FF000000"/>
      </top>
      <bottom/>
      <diagonal/>
    </border>
    <border>
      <left style="medium">
        <color rgb="FF000000"/>
      </left>
      <right style="thin">
        <color indexed="64"/>
      </right>
      <top style="medium">
        <color rgb="FF000000"/>
      </top>
      <bottom style="thin">
        <color indexed="64"/>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style="thin">
        <color auto="1"/>
      </right>
      <top style="medium">
        <color rgb="FF000000"/>
      </top>
      <bottom style="thin">
        <color auto="1"/>
      </bottom>
      <diagonal/>
    </border>
    <border>
      <left style="medium">
        <color indexed="64"/>
      </left>
      <right/>
      <top style="medium">
        <color rgb="FF000000"/>
      </top>
      <bottom/>
      <diagonal/>
    </border>
    <border>
      <left style="thin">
        <color indexed="64"/>
      </left>
      <right style="medium">
        <color indexed="64"/>
      </right>
      <top style="medium">
        <color rgb="FF000000"/>
      </top>
      <bottom style="thin">
        <color indexed="64"/>
      </bottom>
      <diagonal/>
    </border>
    <border>
      <left style="medium">
        <color rgb="FF000000"/>
      </left>
      <right/>
      <top/>
      <bottom/>
      <diagonal/>
    </border>
    <border>
      <left style="medium">
        <color rgb="FF000000"/>
      </left>
      <right style="dotted">
        <color indexed="64"/>
      </right>
      <top style="hair">
        <color indexed="64"/>
      </top>
      <bottom style="hair">
        <color indexed="64"/>
      </bottom>
      <diagonal/>
    </border>
    <border>
      <left style="medium">
        <color rgb="FF000000"/>
      </left>
      <right style="thin">
        <color indexed="64"/>
      </right>
      <top style="hair">
        <color indexed="64"/>
      </top>
      <bottom style="hair">
        <color indexed="64"/>
      </bottom>
      <diagonal/>
    </border>
    <border>
      <left style="medium">
        <color rgb="FF000000"/>
      </left>
      <right/>
      <top style="hair">
        <color indexed="64"/>
      </top>
      <bottom style="hair">
        <color indexed="64"/>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indexed="64"/>
      </bottom>
      <diagonal/>
    </border>
    <border>
      <left/>
      <right/>
      <top style="thin">
        <color indexed="64"/>
      </top>
      <bottom style="hair">
        <color indexed="64"/>
      </bottom>
      <diagonal/>
    </border>
    <border>
      <left style="medium">
        <color rgb="FF000000"/>
      </left>
      <right style="medium">
        <color rgb="FF000000"/>
      </right>
      <top/>
      <bottom style="medium">
        <color rgb="FF000000"/>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hair">
        <color indexed="64"/>
      </top>
      <bottom style="hair">
        <color indexed="64"/>
      </bottom>
      <diagonal/>
    </border>
    <border>
      <left style="medium">
        <color indexed="8"/>
      </left>
      <right style="medium">
        <color indexed="8"/>
      </right>
      <top style="thin">
        <color rgb="FF000000"/>
      </top>
      <bottom style="thin">
        <color indexed="8"/>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ck">
        <color auto="1"/>
      </left>
      <right/>
      <top/>
      <bottom style="thick">
        <color auto="1"/>
      </bottom>
      <diagonal/>
    </border>
    <border>
      <left/>
      <right style="thick">
        <color auto="1"/>
      </right>
      <top/>
      <bottom style="thick">
        <color auto="1"/>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rgb="FF000000"/>
      </right>
      <top style="medium">
        <color indexed="64"/>
      </top>
      <bottom/>
      <diagonal/>
    </border>
    <border>
      <left/>
      <right style="medium">
        <color rgb="FF000000"/>
      </right>
      <top style="medium">
        <color indexed="64"/>
      </top>
      <bottom style="thin">
        <color indexed="64"/>
      </bottom>
      <diagonal/>
    </border>
    <border>
      <left style="medium">
        <color indexed="64"/>
      </left>
      <right style="medium">
        <color indexed="64"/>
      </right>
      <top style="medium">
        <color auto="1"/>
      </top>
      <bottom style="medium">
        <color indexed="8"/>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style="medium">
        <color indexed="8"/>
      </top>
      <bottom style="thin">
        <color indexed="8"/>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style="medium">
        <color indexed="64"/>
      </left>
      <right style="medium">
        <color indexed="64"/>
      </right>
      <top style="medium">
        <color indexed="64"/>
      </top>
      <bottom style="medium">
        <color indexed="64"/>
      </bottom>
      <diagonal/>
    </border>
    <border>
      <left/>
      <right style="thick">
        <color auto="1"/>
      </right>
      <top/>
      <bottom style="thin">
        <color indexed="64"/>
      </bottom>
      <diagonal/>
    </border>
    <border>
      <left/>
      <right/>
      <top/>
      <bottom style="thin">
        <color indexed="64"/>
      </bottom>
      <diagonal/>
    </border>
    <border>
      <left style="medium">
        <color auto="1"/>
      </left>
      <right style="medium">
        <color indexed="64"/>
      </right>
      <top style="thin">
        <color indexed="8"/>
      </top>
      <bottom style="thin">
        <color auto="1"/>
      </bottom>
      <diagonal/>
    </border>
    <border>
      <left style="medium">
        <color indexed="64"/>
      </left>
      <right style="medium">
        <color indexed="64"/>
      </right>
      <top style="thin">
        <color indexed="8"/>
      </top>
      <bottom style="thin">
        <color indexed="8"/>
      </bottom>
      <diagonal/>
    </border>
    <border>
      <left style="thick">
        <color auto="1"/>
      </left>
      <right style="thick">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ck">
        <color rgb="FF000000"/>
      </left>
      <right style="thick">
        <color auto="1"/>
      </right>
      <top style="thin">
        <color auto="1"/>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ck">
        <color auto="1"/>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ck">
        <color auto="1"/>
      </left>
      <right/>
      <top style="thin">
        <color auto="1"/>
      </top>
      <bottom style="thin">
        <color auto="1"/>
      </bottom>
      <diagonal/>
    </border>
    <border>
      <left/>
      <right/>
      <top/>
      <bottom style="thin">
        <color indexed="64"/>
      </bottom>
      <diagonal/>
    </border>
    <border>
      <left/>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medium">
        <color theme="3" tint="0.39994506668294322"/>
      </bottom>
      <diagonal/>
    </border>
    <border>
      <left/>
      <right/>
      <top style="medium">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indexed="64"/>
      </bottom>
      <diagonal/>
    </border>
    <border>
      <left/>
      <right style="medium">
        <color rgb="FF000000"/>
      </right>
      <top style="medium">
        <color indexed="64"/>
      </top>
      <bottom style="medium">
        <color indexed="64"/>
      </bottom>
      <diagonal/>
    </border>
    <border>
      <left/>
      <right style="thin">
        <color auto="1"/>
      </right>
      <top/>
      <bottom style="thin">
        <color auto="1"/>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medium">
        <color rgb="FF000000"/>
      </right>
      <top style="thin">
        <color indexed="64"/>
      </top>
      <bottom/>
      <diagonal/>
    </border>
    <border>
      <left/>
      <right style="thin">
        <color indexed="64"/>
      </right>
      <top style="medium">
        <color indexed="64"/>
      </top>
      <bottom style="medium">
        <color indexed="64"/>
      </bottom>
      <diagonal/>
    </border>
    <border>
      <left style="medium">
        <color rgb="FF000000"/>
      </left>
      <right/>
      <top style="thin">
        <color auto="1"/>
      </top>
      <bottom style="thin">
        <color auto="1"/>
      </bottom>
      <diagonal/>
    </border>
    <border>
      <left style="medium">
        <color rgb="FF000000"/>
      </left>
      <right style="medium">
        <color rgb="FF000000"/>
      </right>
      <top style="thin">
        <color indexed="64"/>
      </top>
      <bottom style="thin">
        <color indexed="64"/>
      </bottom>
      <diagonal/>
    </border>
    <border>
      <left style="medium">
        <color rgb="FF000000"/>
      </left>
      <right/>
      <top style="thin">
        <color auto="1"/>
      </top>
      <bottom/>
      <diagonal/>
    </border>
    <border>
      <left style="medium">
        <color rgb="FF000000"/>
      </left>
      <right style="medium">
        <color rgb="FF000000"/>
      </right>
      <top style="thin">
        <color indexed="64"/>
      </top>
      <bottom/>
      <diagonal/>
    </border>
    <border>
      <left style="medium">
        <color rgb="FF000000"/>
      </left>
      <right/>
      <top style="thin">
        <color indexed="64"/>
      </top>
      <bottom style="medium">
        <color rgb="FF000000"/>
      </bottom>
      <diagonal/>
    </border>
    <border>
      <left style="medium">
        <color rgb="FF000000"/>
      </left>
      <right style="medium">
        <color rgb="FF000000"/>
      </right>
      <top style="thin">
        <color indexed="64"/>
      </top>
      <bottom style="medium">
        <color rgb="FF000000"/>
      </bottom>
      <diagonal/>
    </border>
    <border>
      <left style="thick">
        <color auto="1"/>
      </left>
      <right style="double">
        <color auto="1"/>
      </right>
      <top style="thin">
        <color auto="1"/>
      </top>
      <bottom/>
      <diagonal/>
    </border>
    <border>
      <left style="thin">
        <color indexed="64"/>
      </left>
      <right style="thin">
        <color indexed="64"/>
      </right>
      <top style="thin">
        <color indexed="64"/>
      </top>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ck">
        <color auto="1"/>
      </right>
      <top style="thin">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diagonal/>
    </border>
    <border>
      <left style="thin">
        <color auto="1"/>
      </left>
      <right style="double">
        <color auto="1"/>
      </right>
      <top style="thin">
        <color auto="1"/>
      </top>
      <bottom/>
      <diagonal/>
    </border>
    <border>
      <left/>
      <right style="thick">
        <color auto="1"/>
      </right>
      <top style="thin">
        <color auto="1"/>
      </top>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style="thick">
        <color indexed="64"/>
      </left>
      <right style="thick">
        <color indexed="64"/>
      </right>
      <top style="thin">
        <color auto="1"/>
      </top>
      <bottom style="thick">
        <color indexed="64"/>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top style="thin">
        <color auto="1"/>
      </top>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indexed="64"/>
      </left>
      <right/>
      <top/>
      <bottom style="thin">
        <color indexed="64"/>
      </bottom>
      <diagonal/>
    </border>
    <border>
      <left style="thin">
        <color auto="1"/>
      </left>
      <right/>
      <top style="thin">
        <color auto="1"/>
      </top>
      <bottom style="thick">
        <color auto="1"/>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64"/>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thick">
        <color indexed="64"/>
      </left>
      <right style="thick">
        <color indexed="64"/>
      </right>
      <top style="medium">
        <color auto="1"/>
      </top>
      <bottom style="medium">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8"/>
      </bottom>
      <diagonal/>
    </border>
    <border>
      <left style="thick">
        <color auto="1"/>
      </left>
      <right style="thin">
        <color auto="1"/>
      </right>
      <top style="thin">
        <color auto="1"/>
      </top>
      <bottom style="medium">
        <color auto="1"/>
      </bottom>
      <diagonal/>
    </border>
    <border>
      <left style="thin">
        <color indexed="64"/>
      </left>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ck">
        <color auto="1"/>
      </right>
      <top style="thin">
        <color auto="1"/>
      </top>
      <bottom style="medium">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double">
        <color auto="1"/>
      </left>
      <right style="thick">
        <color auto="1"/>
      </right>
      <top style="thin">
        <color auto="1"/>
      </top>
      <bottom style="thick">
        <color auto="1"/>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right/>
      <top/>
      <bottom style="thin">
        <color indexed="64"/>
      </bottom>
      <diagonal/>
    </border>
    <border>
      <left/>
      <right/>
      <top style="thin">
        <color auto="1"/>
      </top>
      <bottom style="thick">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style="thin">
        <color indexed="8"/>
      </top>
      <bottom style="thin">
        <color indexed="8"/>
      </bottom>
      <diagonal/>
    </border>
    <border>
      <left style="thick">
        <color auto="1"/>
      </left>
      <right style="thick">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thin">
        <color indexed="8"/>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style="medium">
        <color indexed="64"/>
      </left>
      <right style="medium">
        <color indexed="64"/>
      </right>
      <top/>
      <bottom style="thin">
        <color indexed="8"/>
      </bottom>
      <diagonal/>
    </border>
    <border>
      <left style="medium">
        <color indexed="8"/>
      </left>
      <right style="medium">
        <color indexed="8"/>
      </right>
      <top/>
      <bottom style="thin">
        <color indexed="8"/>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medium">
        <color indexed="8"/>
      </left>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bottom style="thin">
        <color indexed="8"/>
      </bottom>
      <diagonal/>
    </border>
    <border>
      <left/>
      <right/>
      <top/>
      <bottom style="thin">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thick">
        <color auto="1"/>
      </bottom>
      <diagonal/>
    </border>
    <border>
      <left style="thick">
        <color auto="1"/>
      </left>
      <right style="medium">
        <color indexed="64"/>
      </right>
      <top style="thin">
        <color indexed="64"/>
      </top>
      <bottom style="thin">
        <color auto="1"/>
      </bottom>
      <diagonal/>
    </border>
    <border>
      <left style="medium">
        <color indexed="64"/>
      </left>
      <right style="medium">
        <color indexed="64"/>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8"/>
      </top>
      <bottom/>
      <diagonal/>
    </border>
    <border>
      <left style="medium">
        <color auto="1"/>
      </left>
      <right style="medium">
        <color indexed="64"/>
      </right>
      <top style="thin">
        <color indexed="8"/>
      </top>
      <bottom style="thin">
        <color auto="1"/>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8"/>
      </top>
      <bottom style="thin">
        <color indexed="8"/>
      </bottom>
      <diagonal/>
    </border>
    <border>
      <left style="thick">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medium">
        <color indexed="64"/>
      </left>
      <right style="medium">
        <color indexed="64"/>
      </right>
      <top style="thin">
        <color indexed="8"/>
      </top>
      <bottom style="thin">
        <color indexed="8"/>
      </bottom>
      <diagonal/>
    </border>
    <border>
      <left style="thick">
        <color auto="1"/>
      </left>
      <right style="thick">
        <color auto="1"/>
      </right>
      <top style="thin">
        <color auto="1"/>
      </top>
      <bottom style="thin">
        <color auto="1"/>
      </bottom>
      <diagonal/>
    </border>
    <border>
      <left style="medium">
        <color auto="1"/>
      </left>
      <right style="medium">
        <color indexed="64"/>
      </right>
      <top style="thin">
        <color indexed="8"/>
      </top>
      <bottom style="thin">
        <color auto="1"/>
      </bottom>
      <diagonal/>
    </border>
    <border>
      <left style="medium">
        <color indexed="64"/>
      </left>
      <right style="medium">
        <color indexed="64"/>
      </right>
      <top style="thin">
        <color indexed="8"/>
      </top>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medium">
        <color auto="1"/>
      </left>
      <right style="medium">
        <color indexed="64"/>
      </right>
      <top style="thin">
        <color indexed="8"/>
      </top>
      <bottom style="thin">
        <color auto="1"/>
      </bottom>
      <diagonal/>
    </border>
    <border>
      <left/>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medium">
        <color indexed="64"/>
      </right>
      <top style="thin">
        <color indexed="8"/>
      </top>
      <bottom style="thin">
        <color indexed="8"/>
      </bottom>
      <diagonal/>
    </border>
    <border>
      <left style="medium">
        <color auto="1"/>
      </left>
      <right style="medium">
        <color indexed="64"/>
      </right>
      <top style="thin">
        <color indexed="8"/>
      </top>
      <bottom style="thin">
        <color auto="1"/>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ck">
        <color auto="1"/>
      </left>
      <right style="thick">
        <color auto="1"/>
      </right>
      <top/>
      <bottom style="thin">
        <color auto="1"/>
      </bottom>
      <diagonal/>
    </border>
    <border>
      <left/>
      <right style="thick">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thick">
        <color auto="1"/>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medium">
        <color auto="1"/>
      </left>
      <right style="medium">
        <color indexed="64"/>
      </right>
      <top style="thin">
        <color indexed="8"/>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ck">
        <color auto="1"/>
      </left>
      <right style="thick">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auto="1"/>
      </left>
      <right style="medium">
        <color indexed="64"/>
      </right>
      <top style="thin">
        <color indexed="8"/>
      </top>
      <bottom style="thin">
        <color auto="1"/>
      </bottom>
      <diagonal/>
    </border>
    <border>
      <left style="medium">
        <color indexed="64"/>
      </left>
      <right style="medium">
        <color indexed="64"/>
      </right>
      <top style="thin">
        <color indexed="8"/>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style="medium">
        <color auto="1"/>
      </left>
      <right style="medium">
        <color indexed="64"/>
      </right>
      <top style="thin">
        <color indexed="8"/>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style="thick">
        <color auto="1"/>
      </right>
      <top/>
      <bottom style="thin">
        <color auto="1"/>
      </bottom>
      <diagonal/>
    </border>
    <border>
      <left style="thin">
        <color auto="1"/>
      </left>
      <right style="thick">
        <color auto="1"/>
      </right>
      <top style="thin">
        <color auto="1"/>
      </top>
      <bottom style="thin">
        <color auto="1"/>
      </bottom>
      <diagonal/>
    </border>
    <border>
      <left style="thick">
        <color auto="1"/>
      </left>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right/>
      <top/>
      <bottom style="thin">
        <color indexed="8"/>
      </bottom>
      <diagonal/>
    </border>
    <border>
      <left style="thin">
        <color auto="1"/>
      </left>
      <right/>
      <top/>
      <bottom style="thin">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medium">
        <color indexed="8"/>
      </left>
      <right style="medium">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ck">
        <color auto="1"/>
      </left>
      <right/>
      <top/>
      <bottom style="thin">
        <color auto="1"/>
      </bottom>
      <diagonal/>
    </border>
    <border>
      <left style="medium">
        <color indexed="64"/>
      </left>
      <right style="medium">
        <color indexed="64"/>
      </right>
      <top style="thin">
        <color indexed="8"/>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n">
        <color auto="1"/>
      </left>
      <right/>
      <top style="thin">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style="thick">
        <color auto="1"/>
      </left>
      <right style="thick">
        <color auto="1"/>
      </right>
      <top style="thin">
        <color auto="1"/>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top/>
      <bottom style="thin">
        <color auto="1"/>
      </bottom>
      <diagonal/>
    </border>
    <border>
      <left/>
      <right/>
      <top style="thin">
        <color auto="1"/>
      </top>
      <bottom style="thick">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double">
        <color auto="1"/>
      </left>
      <right/>
      <top style="thin">
        <color auto="1"/>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style="thin">
        <color auto="1"/>
      </right>
      <top style="thin">
        <color auto="1"/>
      </top>
      <bottom style="thin">
        <color auto="1"/>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thick">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thin">
        <color auto="1"/>
      </left>
      <right style="double">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right/>
      <top/>
      <bottom style="thin">
        <color indexed="64"/>
      </bottom>
      <diagonal/>
    </border>
    <border>
      <left/>
      <right style="thin">
        <color indexed="64"/>
      </right>
      <top style="thin">
        <color indexed="64"/>
      </top>
      <bottom/>
      <diagonal/>
    </border>
    <border>
      <left style="medium">
        <color indexed="64"/>
      </left>
      <right/>
      <top/>
      <bottom style="thin">
        <color indexed="8"/>
      </bottom>
      <diagonal/>
    </border>
    <border>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n">
        <color auto="1"/>
      </left>
      <right style="double">
        <color auto="1"/>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medium">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n">
        <color rgb="FF000000"/>
      </left>
      <right/>
      <top/>
      <bottom style="thin">
        <color indexed="8"/>
      </bottom>
      <diagonal/>
    </border>
    <border>
      <left style="medium">
        <color indexed="64"/>
      </left>
      <right/>
      <top/>
      <bottom style="thin">
        <color indexed="8"/>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style="thin">
        <color indexed="8"/>
      </top>
      <bottom style="thin">
        <color indexed="8"/>
      </bottom>
      <diagonal/>
    </border>
    <border>
      <left style="thick">
        <color auto="1"/>
      </left>
      <right style="thick">
        <color auto="1"/>
      </right>
      <top style="thin">
        <color auto="1"/>
      </top>
      <bottom style="thin">
        <color auto="1"/>
      </bottom>
      <diagonal/>
    </border>
    <border>
      <left style="medium">
        <color indexed="8"/>
      </left>
      <right style="medium">
        <color indexed="8"/>
      </right>
      <top/>
      <bottom style="thin">
        <color indexed="8"/>
      </bottom>
      <diagonal/>
    </border>
    <border>
      <left/>
      <right/>
      <top/>
      <bottom style="thin">
        <color indexed="8"/>
      </bottom>
      <diagonal/>
    </border>
    <border>
      <left style="thin">
        <color indexed="64"/>
      </left>
      <right/>
      <top/>
      <bottom style="thin">
        <color indexed="64"/>
      </bottom>
      <diagonal/>
    </border>
    <border>
      <left style="thick">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thick">
        <color rgb="FF000000"/>
      </left>
      <right style="thick">
        <color auto="1"/>
      </right>
      <top/>
      <bottom style="thin">
        <color auto="1"/>
      </bottom>
      <diagonal/>
    </border>
    <border>
      <left style="thick">
        <color rgb="FF000000"/>
      </left>
      <right style="thick">
        <color auto="1"/>
      </right>
      <top style="thin">
        <color auto="1"/>
      </top>
      <bottom style="thin">
        <color auto="1"/>
      </bottom>
      <diagonal/>
    </border>
    <border>
      <left style="medium">
        <color rgb="FF000000"/>
      </left>
      <right style="thick">
        <color auto="1"/>
      </right>
      <top/>
      <bottom style="thin">
        <color indexed="64"/>
      </bottom>
      <diagonal/>
    </border>
    <border>
      <left style="medium">
        <color rgb="FF000000"/>
      </left>
      <right style="thick">
        <color auto="1"/>
      </right>
      <top style="thin">
        <color auto="1"/>
      </top>
      <bottom style="thin">
        <color auto="1"/>
      </bottom>
      <diagonal/>
    </border>
    <border>
      <left style="medium">
        <color rgb="FF000000"/>
      </left>
      <right style="thick">
        <color auto="1"/>
      </right>
      <top style="thin">
        <color auto="1"/>
      </top>
      <bottom style="thick">
        <color auto="1"/>
      </bottom>
      <diagonal/>
    </border>
    <border>
      <left style="thick">
        <color auto="1"/>
      </left>
      <right/>
      <top style="thin">
        <color auto="1"/>
      </top>
      <bottom style="thin">
        <color auto="1"/>
      </bottom>
      <diagonal/>
    </border>
    <border>
      <left/>
      <right style="thin">
        <color rgb="FF000000"/>
      </right>
      <top style="thin">
        <color indexed="64"/>
      </top>
      <bottom style="thin">
        <color indexed="64"/>
      </bottom>
      <diagonal/>
    </border>
    <border>
      <left style="medium">
        <color indexed="64"/>
      </left>
      <right/>
      <top style="thin">
        <color indexed="64"/>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top/>
      <bottom style="thin">
        <color auto="1"/>
      </bottom>
      <diagonal/>
    </border>
    <border>
      <left style="medium">
        <color indexed="64"/>
      </left>
      <right style="medium">
        <color indexed="64"/>
      </right>
      <top style="thin">
        <color indexed="8"/>
      </top>
      <bottom style="thin">
        <color indexed="8"/>
      </bottom>
      <diagonal/>
    </border>
    <border>
      <left style="medium">
        <color auto="1"/>
      </left>
      <right style="medium">
        <color indexed="64"/>
      </right>
      <top style="thin">
        <color indexed="8"/>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n">
        <color auto="1"/>
      </left>
      <right/>
      <top style="thin">
        <color auto="1"/>
      </top>
      <bottom style="thick">
        <color auto="1"/>
      </bottom>
      <diagonal/>
    </border>
    <border>
      <left/>
      <right/>
      <top style="thin">
        <color auto="1"/>
      </top>
      <bottom style="thick">
        <color auto="1"/>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ck">
        <color auto="1"/>
      </left>
      <right style="thin">
        <color auto="1"/>
      </right>
      <top/>
      <bottom style="thin">
        <color auto="1"/>
      </bottom>
      <diagonal/>
    </border>
    <border>
      <left style="thin">
        <color indexed="64"/>
      </left>
      <right/>
      <top/>
      <bottom style="thin">
        <color indexed="64"/>
      </bottom>
      <diagonal/>
    </border>
    <border>
      <left style="thick">
        <color auto="1"/>
      </left>
      <right/>
      <top/>
      <bottom style="thin">
        <color auto="1"/>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right style="thin">
        <color auto="1"/>
      </right>
      <top/>
      <bottom style="thin">
        <color auto="1"/>
      </bottom>
      <diagonal/>
    </border>
    <border>
      <left style="thick">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n">
        <color auto="1"/>
      </bottom>
      <diagonal/>
    </border>
    <border>
      <left style="thick">
        <color auto="1"/>
      </left>
      <right/>
      <top style="thin">
        <color auto="1"/>
      </top>
      <bottom style="thin">
        <color auto="1"/>
      </bottom>
      <diagonal/>
    </border>
    <border>
      <left style="thick">
        <color rgb="FF000000"/>
      </left>
      <right style="thick">
        <color auto="1"/>
      </right>
      <top/>
      <bottom style="thin">
        <color auto="1"/>
      </bottom>
      <diagonal/>
    </border>
    <border>
      <left style="medium">
        <color indexed="8"/>
      </left>
      <right style="medium">
        <color indexed="8"/>
      </right>
      <top/>
      <bottom style="thin">
        <color indexed="8"/>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s>
  <cellStyleXfs count="13">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5" fillId="0" borderId="0" applyNumberFormat="0" applyFill="0" applyBorder="0" applyAlignment="0" applyProtection="0"/>
    <xf numFmtId="0" fontId="10" fillId="0" borderId="0">
      <alignment vertical="top"/>
    </xf>
    <xf numFmtId="0" fontId="2" fillId="0" borderId="0"/>
    <xf numFmtId="44"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49" fillId="0" borderId="36"/>
    <xf numFmtId="5" fontId="43" fillId="0" borderId="0"/>
    <xf numFmtId="0" fontId="30" fillId="0" borderId="0"/>
  </cellStyleXfs>
  <cellXfs count="4100">
    <xf numFmtId="0" fontId="0" fillId="0" borderId="0" xfId="0"/>
    <xf numFmtId="0" fontId="0" fillId="0" borderId="0" xfId="0" applyAlignment="1">
      <alignment wrapText="1"/>
    </xf>
    <xf numFmtId="0" fontId="0" fillId="0" borderId="0" xfId="0" applyProtection="1">
      <protection locked="0"/>
    </xf>
    <xf numFmtId="0" fontId="0" fillId="0" borderId="2" xfId="0" applyBorder="1" applyAlignment="1">
      <alignment horizontal="right"/>
    </xf>
    <xf numFmtId="0" fontId="0" fillId="0" borderId="3" xfId="0" applyBorder="1" applyAlignment="1">
      <alignment wrapText="1"/>
    </xf>
    <xf numFmtId="0" fontId="0" fillId="0" borderId="3" xfId="0" applyBorder="1" applyProtection="1">
      <protection locked="0"/>
    </xf>
    <xf numFmtId="0" fontId="0" fillId="0" borderId="4" xfId="0" applyBorder="1" applyAlignment="1" applyProtection="1">
      <alignment horizontal="right"/>
      <protection locked="0"/>
    </xf>
    <xf numFmtId="0" fontId="4" fillId="2" borderId="6" xfId="0" applyFont="1" applyFill="1" applyBorder="1"/>
    <xf numFmtId="0" fontId="0" fillId="2" borderId="7" xfId="0" applyFill="1" applyBorder="1" applyAlignment="1">
      <alignment wrapText="1"/>
    </xf>
    <xf numFmtId="0" fontId="0" fillId="2" borderId="7"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5" fontId="0" fillId="2" borderId="1" xfId="2" applyNumberFormat="1" applyFont="1" applyFill="1" applyBorder="1" applyAlignment="1" applyProtection="1">
      <alignment horizontal="center"/>
      <protection locked="0"/>
    </xf>
    <xf numFmtId="0" fontId="0" fillId="2" borderId="7" xfId="0" applyFill="1" applyBorder="1" applyProtection="1">
      <protection locked="0"/>
    </xf>
    <xf numFmtId="0" fontId="0" fillId="2" borderId="8" xfId="0" applyFill="1" applyBorder="1" applyProtection="1">
      <protection locked="0"/>
    </xf>
    <xf numFmtId="0" fontId="0" fillId="6" borderId="2" xfId="0" applyFill="1" applyBorder="1"/>
    <xf numFmtId="0" fontId="0" fillId="6" borderId="3" xfId="0" applyFill="1" applyBorder="1" applyAlignment="1">
      <alignment wrapText="1"/>
    </xf>
    <xf numFmtId="0" fontId="0" fillId="6" borderId="3" xfId="0" applyFill="1" applyBorder="1" applyProtection="1">
      <protection locked="0"/>
    </xf>
    <xf numFmtId="0" fontId="0" fillId="6" borderId="3" xfId="0" applyFill="1" applyBorder="1" applyAlignment="1" applyProtection="1">
      <alignment vertical="center"/>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5" fontId="0" fillId="6" borderId="5" xfId="0" applyNumberFormat="1" applyFill="1" applyBorder="1" applyProtection="1">
      <protection locked="0"/>
    </xf>
    <xf numFmtId="0" fontId="0" fillId="2" borderId="1" xfId="0" applyFill="1" applyBorder="1" applyProtection="1">
      <protection locked="0"/>
    </xf>
    <xf numFmtId="0" fontId="13" fillId="0" borderId="0" xfId="0" applyFont="1"/>
    <xf numFmtId="0" fontId="15" fillId="0" borderId="0" xfId="0" applyFont="1"/>
    <xf numFmtId="0" fontId="16" fillId="0" borderId="0" xfId="0" applyFont="1" applyAlignment="1">
      <alignment horizontal="right"/>
    </xf>
    <xf numFmtId="0" fontId="17" fillId="0" borderId="0" xfId="0" applyFont="1"/>
    <xf numFmtId="0" fontId="18" fillId="0" borderId="0" xfId="0" applyFont="1"/>
    <xf numFmtId="14" fontId="19" fillId="0" borderId="0" xfId="0" applyNumberFormat="1" applyFont="1" applyAlignment="1">
      <alignment horizontal="left" vertical="center"/>
    </xf>
    <xf numFmtId="164" fontId="21" fillId="0" borderId="0" xfId="1" applyNumberFormat="1" applyFont="1" applyAlignment="1">
      <alignment horizontal="center" vertical="center" wrapText="1"/>
    </xf>
    <xf numFmtId="0" fontId="2" fillId="0" borderId="0" xfId="0" applyFont="1"/>
    <xf numFmtId="0" fontId="3" fillId="7" borderId="0" xfId="0" applyFont="1" applyFill="1"/>
    <xf numFmtId="0" fontId="22" fillId="0" borderId="0" xfId="0" applyFont="1"/>
    <xf numFmtId="0" fontId="25" fillId="0" borderId="0" xfId="0" applyFont="1"/>
    <xf numFmtId="168" fontId="22" fillId="0" borderId="0" xfId="0" applyNumberFormat="1" applyFont="1" applyAlignment="1">
      <alignment horizontal="left"/>
    </xf>
    <xf numFmtId="14" fontId="22" fillId="0" borderId="0" xfId="0" applyNumberFormat="1" applyFont="1" applyAlignment="1">
      <alignment horizontal="left" vertical="center"/>
    </xf>
    <xf numFmtId="164" fontId="26" fillId="0" borderId="0" xfId="1" applyNumberFormat="1" applyFont="1" applyAlignment="1">
      <alignment horizontal="center" vertical="center" wrapText="1"/>
    </xf>
    <xf numFmtId="0" fontId="28" fillId="0" borderId="0" xfId="0" applyFont="1"/>
    <xf numFmtId="10" fontId="28" fillId="0" borderId="14" xfId="0" applyNumberFormat="1" applyFont="1" applyBorder="1"/>
    <xf numFmtId="0" fontId="0" fillId="0" borderId="13" xfId="0" applyBorder="1" applyAlignment="1">
      <alignment horizontal="right"/>
    </xf>
    <xf numFmtId="164" fontId="0" fillId="0" borderId="0" xfId="0" applyNumberFormat="1"/>
    <xf numFmtId="5" fontId="0" fillId="2" borderId="22" xfId="2" applyNumberFormat="1" applyFont="1" applyFill="1" applyBorder="1" applyAlignment="1" applyProtection="1">
      <alignment horizontal="center"/>
      <protection locked="0"/>
    </xf>
    <xf numFmtId="5" fontId="0" fillId="6" borderId="19" xfId="0" applyNumberFormat="1" applyFill="1" applyBorder="1" applyProtection="1">
      <protection locked="0"/>
    </xf>
    <xf numFmtId="0" fontId="0" fillId="2" borderId="22" xfId="0" applyFill="1" applyBorder="1" applyProtection="1">
      <protection locked="0"/>
    </xf>
    <xf numFmtId="0" fontId="0" fillId="2" borderId="23" xfId="0" applyFill="1" applyBorder="1" applyProtection="1">
      <protection locked="0"/>
    </xf>
    <xf numFmtId="0" fontId="0" fillId="0" borderId="26" xfId="0" applyBorder="1" applyAlignment="1">
      <alignment wrapText="1"/>
    </xf>
    <xf numFmtId="0" fontId="6" fillId="0" borderId="26" xfId="0" applyFont="1" applyBorder="1" applyProtection="1">
      <protection locked="0"/>
    </xf>
    <xf numFmtId="0" fontId="0" fillId="0" borderId="26" xfId="0" applyBorder="1" applyProtection="1">
      <protection locked="0"/>
    </xf>
    <xf numFmtId="5" fontId="0" fillId="0" borderId="20" xfId="2" applyNumberFormat="1" applyFont="1" applyBorder="1" applyProtection="1">
      <protection locked="0"/>
    </xf>
    <xf numFmtId="0" fontId="0" fillId="0" borderId="25" xfId="0" applyBorder="1"/>
    <xf numFmtId="5" fontId="0" fillId="2" borderId="1" xfId="2" applyNumberFormat="1" applyFont="1" applyFill="1" applyBorder="1" applyAlignment="1" applyProtection="1">
      <alignment horizontal="left"/>
      <protection locked="0"/>
    </xf>
    <xf numFmtId="5" fontId="0" fillId="6" borderId="5" xfId="0" applyNumberFormat="1" applyFill="1" applyBorder="1" applyAlignment="1" applyProtection="1">
      <alignment horizontal="left"/>
      <protection locked="0"/>
    </xf>
    <xf numFmtId="0" fontId="0" fillId="0" borderId="0" xfId="0" applyAlignment="1" applyProtection="1">
      <alignment horizontal="left"/>
      <protection locked="0"/>
    </xf>
    <xf numFmtId="0" fontId="0" fillId="0" borderId="10" xfId="0" applyBorder="1" applyProtection="1">
      <protection locked="0"/>
    </xf>
    <xf numFmtId="170" fontId="0" fillId="6" borderId="5" xfId="0" applyNumberFormat="1" applyFill="1" applyBorder="1" applyAlignment="1" applyProtection="1">
      <alignment horizontal="left"/>
      <protection locked="0"/>
    </xf>
    <xf numFmtId="0" fontId="0" fillId="0" borderId="5" xfId="0" applyBorder="1" applyProtection="1">
      <protection locked="0"/>
    </xf>
    <xf numFmtId="0" fontId="7" fillId="0" borderId="0" xfId="0" applyFont="1"/>
    <xf numFmtId="0" fontId="7" fillId="0" borderId="0" xfId="0" applyFont="1" applyAlignment="1">
      <alignment wrapText="1"/>
    </xf>
    <xf numFmtId="0" fontId="7" fillId="0" borderId="0" xfId="0" applyFont="1" applyProtection="1">
      <protection locked="0"/>
    </xf>
    <xf numFmtId="0" fontId="7" fillId="0" borderId="2" xfId="0" applyFont="1" applyBorder="1" applyAlignment="1">
      <alignment horizontal="right"/>
    </xf>
    <xf numFmtId="0" fontId="7" fillId="0" borderId="3" xfId="0" applyFont="1" applyBorder="1" applyProtection="1">
      <protection locked="0"/>
    </xf>
    <xf numFmtId="0" fontId="35" fillId="2" borderId="6" xfId="0" applyFont="1" applyFill="1" applyBorder="1"/>
    <xf numFmtId="0" fontId="7" fillId="2" borderId="7" xfId="0" applyFont="1" applyFill="1" applyBorder="1" applyAlignment="1">
      <alignment wrapText="1"/>
    </xf>
    <xf numFmtId="0" fontId="7" fillId="2" borderId="7" xfId="0" applyFont="1" applyFill="1" applyBorder="1" applyAlignment="1" applyProtection="1">
      <alignment horizontal="center" wrapText="1"/>
      <protection locked="0"/>
    </xf>
    <xf numFmtId="5" fontId="7" fillId="2" borderId="22" xfId="2" applyNumberFormat="1" applyFont="1" applyFill="1" applyBorder="1" applyAlignment="1" applyProtection="1">
      <alignment horizontal="center"/>
      <protection locked="0"/>
    </xf>
    <xf numFmtId="5" fontId="7" fillId="2" borderId="1" xfId="2" applyNumberFormat="1" applyFont="1" applyFill="1" applyBorder="1" applyAlignment="1" applyProtection="1">
      <alignment horizontal="center"/>
      <protection locked="0"/>
    </xf>
    <xf numFmtId="0" fontId="7" fillId="6" borderId="2" xfId="0" applyFont="1" applyFill="1" applyBorder="1"/>
    <xf numFmtId="0" fontId="7" fillId="6" borderId="3" xfId="0" applyFont="1" applyFill="1" applyBorder="1" applyAlignment="1">
      <alignment wrapText="1"/>
    </xf>
    <xf numFmtId="0" fontId="7" fillId="6" borderId="3" xfId="0" applyFont="1" applyFill="1" applyBorder="1" applyProtection="1">
      <protection locked="0"/>
    </xf>
    <xf numFmtId="0" fontId="7" fillId="6" borderId="3" xfId="0" applyFont="1" applyFill="1" applyBorder="1" applyAlignment="1" applyProtection="1">
      <alignment vertical="center"/>
      <protection locked="0"/>
    </xf>
    <xf numFmtId="0" fontId="7" fillId="6" borderId="3" xfId="0" applyFont="1" applyFill="1" applyBorder="1" applyAlignment="1" applyProtection="1">
      <alignment horizontal="right"/>
      <protection locked="0"/>
    </xf>
    <xf numFmtId="5" fontId="7" fillId="6" borderId="19" xfId="0" applyNumberFormat="1" applyFont="1" applyFill="1" applyBorder="1" applyProtection="1">
      <protection locked="0"/>
    </xf>
    <xf numFmtId="5" fontId="7" fillId="6" borderId="5" xfId="0" applyNumberFormat="1" applyFont="1" applyFill="1" applyBorder="1" applyAlignment="1" applyProtection="1">
      <alignment horizontal="left"/>
      <protection locked="0"/>
    </xf>
    <xf numFmtId="5" fontId="7" fillId="6" borderId="5" xfId="0" applyNumberFormat="1" applyFont="1" applyFill="1" applyBorder="1" applyProtection="1">
      <protection locked="0"/>
    </xf>
    <xf numFmtId="0" fontId="0" fillId="0" borderId="0" xfId="0" applyAlignment="1">
      <alignment horizontal="left"/>
    </xf>
    <xf numFmtId="0" fontId="7" fillId="0" borderId="4" xfId="0" applyFont="1" applyBorder="1" applyAlignment="1" applyProtection="1">
      <alignment horizontal="right"/>
      <protection locked="0"/>
    </xf>
    <xf numFmtId="0" fontId="7" fillId="2" borderId="8" xfId="0" applyFont="1" applyFill="1" applyBorder="1" applyAlignment="1" applyProtection="1">
      <alignment horizontal="center" wrapText="1"/>
      <protection locked="0"/>
    </xf>
    <xf numFmtId="0" fontId="7" fillId="6" borderId="4" xfId="0" applyFont="1" applyFill="1" applyBorder="1" applyAlignment="1" applyProtection="1">
      <alignment horizontal="right"/>
      <protection locked="0"/>
    </xf>
    <xf numFmtId="44" fontId="0" fillId="0" borderId="0" xfId="2" applyFont="1"/>
    <xf numFmtId="0" fontId="4" fillId="0" borderId="29" xfId="0" applyFont="1" applyBorder="1" applyAlignment="1" applyProtection="1">
      <alignment horizontal="right"/>
      <protection locked="0"/>
    </xf>
    <xf numFmtId="0" fontId="4" fillId="0" borderId="18" xfId="0" applyFont="1" applyBorder="1" applyAlignment="1" applyProtection="1">
      <alignment horizontal="right"/>
      <protection locked="0"/>
    </xf>
    <xf numFmtId="0" fontId="0" fillId="0" borderId="1" xfId="0" applyBorder="1" applyProtection="1">
      <protection locked="0"/>
    </xf>
    <xf numFmtId="0" fontId="0" fillId="7" borderId="0" xfId="0" applyFill="1"/>
    <xf numFmtId="0" fontId="0" fillId="11" borderId="0" xfId="0" applyFill="1"/>
    <xf numFmtId="171" fontId="42" fillId="0" borderId="31" xfId="0" applyNumberFormat="1" applyFont="1" applyBorder="1" applyAlignment="1">
      <alignment horizontal="left" vertical="top" shrinkToFit="1"/>
    </xf>
    <xf numFmtId="10" fontId="29" fillId="0" borderId="0" xfId="0" applyNumberFormat="1" applyFont="1"/>
    <xf numFmtId="0" fontId="0" fillId="6" borderId="33" xfId="0" applyFill="1" applyBorder="1" applyAlignment="1" applyProtection="1">
      <alignment horizontal="right"/>
      <protection locked="0"/>
    </xf>
    <xf numFmtId="0" fontId="0" fillId="0" borderId="9" xfId="0" applyBorder="1"/>
    <xf numFmtId="0" fontId="6" fillId="0" borderId="0" xfId="0" applyFont="1" applyProtection="1">
      <protection locked="0"/>
    </xf>
    <xf numFmtId="0" fontId="46" fillId="0" borderId="0" xfId="0" applyFont="1"/>
    <xf numFmtId="170" fontId="46" fillId="0" borderId="0" xfId="0" applyNumberFormat="1" applyFont="1"/>
    <xf numFmtId="44" fontId="46" fillId="0" borderId="0" xfId="2" applyFont="1"/>
    <xf numFmtId="173" fontId="46" fillId="0" borderId="0" xfId="1" applyNumberFormat="1" applyFont="1"/>
    <xf numFmtId="44" fontId="46" fillId="0" borderId="0" xfId="2" applyFont="1" applyAlignment="1">
      <alignment horizontal="right"/>
    </xf>
    <xf numFmtId="0" fontId="46" fillId="0" borderId="0" xfId="0" applyFont="1" applyAlignment="1">
      <alignment horizontal="right"/>
    </xf>
    <xf numFmtId="170" fontId="46" fillId="0" borderId="0" xfId="0" applyNumberFormat="1" applyFont="1" applyAlignment="1">
      <alignment horizontal="right"/>
    </xf>
    <xf numFmtId="165" fontId="46" fillId="0" borderId="0" xfId="0" applyNumberFormat="1" applyFont="1"/>
    <xf numFmtId="174" fontId="47" fillId="0" borderId="0" xfId="0" applyNumberFormat="1" applyFont="1" applyAlignment="1">
      <alignment horizontal="center" vertical="top"/>
    </xf>
    <xf numFmtId="0" fontId="48" fillId="0" borderId="0" xfId="0" applyFont="1" applyAlignment="1">
      <alignment horizontal="left" vertical="top"/>
    </xf>
    <xf numFmtId="0" fontId="47" fillId="0" borderId="0" xfId="0" applyFont="1" applyAlignment="1">
      <alignment horizontal="left" vertical="top"/>
    </xf>
    <xf numFmtId="0" fontId="52" fillId="0" borderId="0" xfId="0" applyFont="1"/>
    <xf numFmtId="0" fontId="52" fillId="0" borderId="0" xfId="0" applyFont="1" applyAlignment="1">
      <alignment horizontal="center" vertical="center"/>
    </xf>
    <xf numFmtId="167" fontId="0" fillId="0" borderId="0" xfId="2" applyNumberFormat="1" applyFont="1"/>
    <xf numFmtId="167" fontId="15" fillId="0" borderId="0" xfId="2" applyNumberFormat="1" applyFont="1"/>
    <xf numFmtId="167" fontId="54" fillId="0" borderId="0" xfId="2" applyNumberFormat="1" applyFont="1" applyAlignment="1">
      <alignment horizontal="left"/>
    </xf>
    <xf numFmtId="0" fontId="47" fillId="0" borderId="0" xfId="0" applyFont="1"/>
    <xf numFmtId="174" fontId="56" fillId="0" borderId="37" xfId="0" applyNumberFormat="1" applyFont="1" applyBorder="1" applyAlignment="1">
      <alignment horizontal="center" vertical="center"/>
    </xf>
    <xf numFmtId="44" fontId="56" fillId="0" borderId="38" xfId="2" applyFont="1" applyBorder="1" applyAlignment="1">
      <alignment horizontal="left" vertical="center"/>
    </xf>
    <xf numFmtId="0" fontId="56" fillId="0" borderId="0" xfId="0" applyFont="1" applyAlignment="1">
      <alignment horizontal="left" vertical="center"/>
    </xf>
    <xf numFmtId="174" fontId="56" fillId="0" borderId="39" xfId="0" applyNumberFormat="1" applyFont="1" applyBorder="1" applyAlignment="1">
      <alignment horizontal="center" vertical="center"/>
    </xf>
    <xf numFmtId="0" fontId="56" fillId="0" borderId="40" xfId="0" applyFont="1" applyBorder="1" applyAlignment="1">
      <alignment horizontal="left" vertical="center" wrapText="1"/>
    </xf>
    <xf numFmtId="44" fontId="56" fillId="0" borderId="41" xfId="2" applyFont="1" applyBorder="1" applyAlignment="1">
      <alignment horizontal="left" vertical="center"/>
    </xf>
    <xf numFmtId="174" fontId="56" fillId="0" borderId="42" xfId="0" applyNumberFormat="1" applyFont="1" applyBorder="1" applyAlignment="1">
      <alignment horizontal="center" vertical="center"/>
    </xf>
    <xf numFmtId="0" fontId="56" fillId="0" borderId="43" xfId="0" applyFont="1" applyBorder="1" applyAlignment="1">
      <alignment horizontal="left" vertical="center" wrapText="1"/>
    </xf>
    <xf numFmtId="174" fontId="56" fillId="0" borderId="45" xfId="0" applyNumberFormat="1" applyFont="1" applyBorder="1" applyAlignment="1">
      <alignment horizontal="center" vertical="center"/>
    </xf>
    <xf numFmtId="0" fontId="56" fillId="0" borderId="46" xfId="0" applyFont="1" applyBorder="1" applyAlignment="1">
      <alignment horizontal="left" vertical="center" wrapText="1"/>
    </xf>
    <xf numFmtId="44" fontId="56" fillId="0" borderId="47" xfId="2" applyFont="1" applyBorder="1" applyAlignment="1">
      <alignment horizontal="left" vertical="center"/>
    </xf>
    <xf numFmtId="174" fontId="47" fillId="0" borderId="0" xfId="0" applyNumberFormat="1" applyFont="1" applyAlignment="1">
      <alignment horizontal="right" vertical="top"/>
    </xf>
    <xf numFmtId="0" fontId="47" fillId="0" borderId="0" xfId="0" applyFont="1" applyAlignment="1">
      <alignment wrapText="1"/>
    </xf>
    <xf numFmtId="44" fontId="47" fillId="0" borderId="0" xfId="0" applyNumberFormat="1" applyFont="1" applyAlignment="1">
      <alignment vertical="top"/>
    </xf>
    <xf numFmtId="174" fontId="47" fillId="0" borderId="0" xfId="0" applyNumberFormat="1" applyFont="1" applyAlignment="1">
      <alignment horizontal="right"/>
    </xf>
    <xf numFmtId="0" fontId="57" fillId="0" borderId="0" xfId="0" applyFont="1" applyAlignment="1">
      <alignment wrapText="1"/>
    </xf>
    <xf numFmtId="0" fontId="30" fillId="9" borderId="50" xfId="0" applyFont="1" applyFill="1" applyBorder="1" applyAlignment="1">
      <alignment horizontal="left" vertical="center" wrapText="1"/>
    </xf>
    <xf numFmtId="0" fontId="30" fillId="14" borderId="0" xfId="0" applyFont="1" applyFill="1" applyAlignment="1">
      <alignment horizontal="center"/>
    </xf>
    <xf numFmtId="0" fontId="30" fillId="0" borderId="0" xfId="0" applyFont="1"/>
    <xf numFmtId="0" fontId="30" fillId="11" borderId="0" xfId="0" applyFont="1" applyFill="1" applyAlignment="1">
      <alignment horizontal="center"/>
    </xf>
    <xf numFmtId="0" fontId="30" fillId="7" borderId="0" xfId="0" applyFont="1" applyFill="1" applyAlignment="1">
      <alignment horizontal="center"/>
    </xf>
    <xf numFmtId="0" fontId="59" fillId="0" borderId="0" xfId="4" applyFont="1"/>
    <xf numFmtId="0" fontId="30" fillId="9" borderId="50" xfId="0" applyFont="1" applyFill="1" applyBorder="1" applyAlignment="1">
      <alignment horizontal="left"/>
    </xf>
    <xf numFmtId="0" fontId="31" fillId="9" borderId="50" xfId="0" applyFont="1" applyFill="1" applyBorder="1" applyAlignment="1">
      <alignment horizontal="left" vertical="center" wrapText="1"/>
    </xf>
    <xf numFmtId="0" fontId="0" fillId="0" borderId="25" xfId="0" applyBorder="1" applyAlignment="1">
      <alignment vertical="top"/>
    </xf>
    <xf numFmtId="0" fontId="0" fillId="0" borderId="0" xfId="0" applyAlignment="1" applyProtection="1">
      <alignment horizontal="center"/>
      <protection locked="0"/>
    </xf>
    <xf numFmtId="0" fontId="30" fillId="19" borderId="50" xfId="0" applyFont="1" applyFill="1" applyBorder="1" applyAlignment="1">
      <alignment horizontal="center"/>
    </xf>
    <xf numFmtId="0" fontId="4" fillId="2" borderId="55" xfId="0" applyFont="1" applyFill="1" applyBorder="1"/>
    <xf numFmtId="0" fontId="0" fillId="2" borderId="56" xfId="0" applyFill="1" applyBorder="1" applyAlignment="1" applyProtection="1">
      <alignment horizontal="center" wrapText="1"/>
      <protection locked="0"/>
    </xf>
    <xf numFmtId="0" fontId="0" fillId="2" borderId="57" xfId="0" applyFill="1" applyBorder="1" applyAlignment="1" applyProtection="1">
      <alignment horizontal="center" wrapText="1"/>
      <protection locked="0"/>
    </xf>
    <xf numFmtId="0" fontId="0" fillId="2" borderId="1" xfId="0" applyFill="1" applyBorder="1" applyAlignment="1">
      <alignment wrapText="1"/>
    </xf>
    <xf numFmtId="3" fontId="0" fillId="0" borderId="20" xfId="0" applyNumberFormat="1" applyBorder="1" applyAlignment="1" applyProtection="1">
      <alignment horizontal="left"/>
      <protection locked="0"/>
    </xf>
    <xf numFmtId="0" fontId="61" fillId="0" borderId="0" xfId="4" applyFont="1"/>
    <xf numFmtId="0" fontId="4" fillId="0" borderId="25" xfId="0" applyFont="1" applyBorder="1"/>
    <xf numFmtId="0" fontId="0" fillId="0" borderId="26"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30" fillId="0" borderId="13" xfId="0" quotePrefix="1" applyFont="1" applyBorder="1"/>
    <xf numFmtId="164" fontId="60" fillId="0" borderId="0" xfId="1" applyNumberFormat="1" applyFont="1"/>
    <xf numFmtId="0" fontId="60" fillId="0" borderId="0" xfId="0" applyFont="1"/>
    <xf numFmtId="43" fontId="60" fillId="0" borderId="0" xfId="1" applyFont="1"/>
    <xf numFmtId="44" fontId="60" fillId="0" borderId="0" xfId="2" applyFont="1"/>
    <xf numFmtId="8" fontId="60" fillId="0" borderId="0" xfId="0" applyNumberFormat="1" applyFont="1"/>
    <xf numFmtId="43" fontId="60" fillId="0" borderId="0" xfId="0" applyNumberFormat="1" applyFont="1"/>
    <xf numFmtId="164" fontId="60" fillId="0" borderId="0" xfId="1" applyNumberFormat="1" applyFont="1" applyAlignment="1">
      <alignment horizontal="left"/>
    </xf>
    <xf numFmtId="8" fontId="0" fillId="0" borderId="0" xfId="0" applyNumberFormat="1"/>
    <xf numFmtId="164" fontId="0" fillId="0" borderId="0" xfId="1" applyNumberFormat="1" applyFont="1"/>
    <xf numFmtId="164" fontId="0" fillId="11" borderId="0" xfId="1" applyNumberFormat="1" applyFont="1" applyFill="1"/>
    <xf numFmtId="0" fontId="30" fillId="0" borderId="0" xfId="0" applyFont="1" applyAlignment="1">
      <alignment horizontal="center"/>
    </xf>
    <xf numFmtId="0" fontId="0" fillId="6" borderId="30" xfId="0" applyFill="1" applyBorder="1"/>
    <xf numFmtId="0" fontId="0" fillId="6" borderId="58" xfId="0" applyFill="1" applyBorder="1" applyAlignment="1">
      <alignment wrapText="1"/>
    </xf>
    <xf numFmtId="0" fontId="0" fillId="6" borderId="26" xfId="0" applyFill="1" applyBorder="1" applyProtection="1">
      <protection locked="0"/>
    </xf>
    <xf numFmtId="0" fontId="0" fillId="6" borderId="26" xfId="0" applyFill="1" applyBorder="1" applyAlignment="1" applyProtection="1">
      <alignment vertical="center"/>
      <protection locked="0"/>
    </xf>
    <xf numFmtId="0" fontId="11" fillId="6" borderId="26" xfId="0" applyFont="1" applyFill="1" applyBorder="1" applyAlignment="1" applyProtection="1">
      <alignment horizontal="right" vertical="center"/>
      <protection locked="0"/>
    </xf>
    <xf numFmtId="165" fontId="12" fillId="6" borderId="27" xfId="0" applyNumberFormat="1" applyFont="1" applyFill="1" applyBorder="1" applyAlignment="1" applyProtection="1">
      <alignment horizontal="center"/>
      <protection locked="0"/>
    </xf>
    <xf numFmtId="165" fontId="12" fillId="6" borderId="20" xfId="0" applyNumberFormat="1" applyFont="1" applyFill="1" applyBorder="1" applyAlignment="1" applyProtection="1">
      <alignment horizontal="left"/>
      <protection locked="0"/>
    </xf>
    <xf numFmtId="165" fontId="12" fillId="6" borderId="20" xfId="0" applyNumberFormat="1" applyFont="1" applyFill="1" applyBorder="1" applyAlignment="1" applyProtection="1">
      <alignment horizontal="center"/>
      <protection locked="0"/>
    </xf>
    <xf numFmtId="44" fontId="0" fillId="0" borderId="0" xfId="2" applyFont="1" applyFill="1"/>
    <xf numFmtId="0" fontId="30" fillId="22" borderId="50" xfId="0" applyFont="1" applyFill="1" applyBorder="1" applyAlignment="1">
      <alignment horizontal="left"/>
    </xf>
    <xf numFmtId="0" fontId="0" fillId="22" borderId="0" xfId="0" applyFill="1"/>
    <xf numFmtId="165" fontId="0" fillId="0" borderId="3" xfId="0" applyNumberFormat="1" applyBorder="1" applyProtection="1">
      <protection locked="0"/>
    </xf>
    <xf numFmtId="165" fontId="0" fillId="2" borderId="7" xfId="0" applyNumberFormat="1" applyFill="1" applyBorder="1" applyAlignment="1" applyProtection="1">
      <alignment horizontal="center" wrapText="1"/>
      <protection locked="0"/>
    </xf>
    <xf numFmtId="165" fontId="0" fillId="0" borderId="26" xfId="0" applyNumberFormat="1" applyBorder="1" applyProtection="1">
      <protection locked="0"/>
    </xf>
    <xf numFmtId="165" fontId="0" fillId="6" borderId="3" xfId="0" applyNumberFormat="1" applyFill="1" applyBorder="1" applyAlignment="1" applyProtection="1">
      <alignment horizontal="right"/>
      <protection locked="0"/>
    </xf>
    <xf numFmtId="165" fontId="0" fillId="2" borderId="7" xfId="0" applyNumberFormat="1" applyFill="1" applyBorder="1" applyProtection="1">
      <protection locked="0"/>
    </xf>
    <xf numFmtId="165" fontId="0" fillId="0" borderId="0" xfId="0" applyNumberFormat="1" applyProtection="1">
      <protection locked="0"/>
    </xf>
    <xf numFmtId="5" fontId="0" fillId="6" borderId="5"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0" fontId="64" fillId="0" borderId="0" xfId="0" applyFont="1"/>
    <xf numFmtId="5" fontId="0" fillId="0" borderId="0" xfId="0" applyNumberFormat="1" applyAlignment="1">
      <alignment wrapText="1"/>
    </xf>
    <xf numFmtId="8" fontId="0" fillId="0" borderId="0" xfId="0" applyNumberFormat="1" applyProtection="1">
      <protection locked="0"/>
    </xf>
    <xf numFmtId="0" fontId="68" fillId="0" borderId="0" xfId="0" applyFont="1" applyAlignment="1">
      <alignment horizontal="left" vertical="center"/>
    </xf>
    <xf numFmtId="0" fontId="0" fillId="16" borderId="60" xfId="0" applyFill="1" applyBorder="1" applyAlignment="1">
      <alignment horizontal="center"/>
    </xf>
    <xf numFmtId="0" fontId="0" fillId="0" borderId="61" xfId="0" applyBorder="1"/>
    <xf numFmtId="0" fontId="43" fillId="0" borderId="0" xfId="0" applyFont="1"/>
    <xf numFmtId="0" fontId="4" fillId="0" borderId="0" xfId="0" applyFont="1" applyAlignment="1">
      <alignment vertical="center"/>
    </xf>
    <xf numFmtId="14" fontId="0" fillId="0" borderId="0" xfId="0" applyNumberFormat="1" applyAlignment="1">
      <alignment horizontal="left" vertical="center"/>
    </xf>
    <xf numFmtId="0" fontId="70" fillId="0" borderId="0" xfId="0" applyFont="1"/>
    <xf numFmtId="164" fontId="66" fillId="0" borderId="0" xfId="1" applyNumberFormat="1" applyFont="1" applyAlignment="1">
      <alignment horizontal="center" vertical="center" wrapText="1"/>
    </xf>
    <xf numFmtId="164" fontId="0" fillId="3" borderId="0" xfId="1" applyNumberFormat="1" applyFont="1" applyFill="1" applyBorder="1" applyAlignment="1">
      <alignment horizontal="center"/>
    </xf>
    <xf numFmtId="42" fontId="0" fillId="23" borderId="63" xfId="1" applyNumberFormat="1" applyFont="1" applyFill="1" applyBorder="1" applyAlignment="1"/>
    <xf numFmtId="44" fontId="0" fillId="23" borderId="63" xfId="1" applyNumberFormat="1" applyFont="1" applyFill="1" applyBorder="1" applyAlignment="1"/>
    <xf numFmtId="0" fontId="0" fillId="0" borderId="63" xfId="0" applyBorder="1"/>
    <xf numFmtId="42" fontId="0" fillId="0" borderId="63" xfId="1" applyNumberFormat="1" applyFont="1" applyFill="1" applyBorder="1" applyAlignment="1"/>
    <xf numFmtId="44" fontId="0" fillId="0" borderId="63" xfId="1" applyNumberFormat="1" applyFont="1" applyFill="1" applyBorder="1" applyAlignment="1"/>
    <xf numFmtId="0" fontId="71" fillId="23" borderId="63" xfId="0" applyFont="1" applyFill="1" applyBorder="1" applyAlignment="1">
      <alignment horizontal="right"/>
    </xf>
    <xf numFmtId="0" fontId="71" fillId="0" borderId="63" xfId="0" applyFont="1" applyBorder="1" applyAlignment="1">
      <alignment horizontal="right"/>
    </xf>
    <xf numFmtId="44" fontId="0" fillId="0" borderId="63" xfId="2" applyFont="1" applyBorder="1" applyAlignment="1">
      <alignment horizontal="center"/>
    </xf>
    <xf numFmtId="0" fontId="0" fillId="0" borderId="0" xfId="0" applyAlignment="1">
      <alignment vertical="center"/>
    </xf>
    <xf numFmtId="10" fontId="0" fillId="23" borderId="63" xfId="0" applyNumberFormat="1" applyFill="1" applyBorder="1" applyAlignment="1">
      <alignment horizontal="center"/>
    </xf>
    <xf numFmtId="10" fontId="0" fillId="0" borderId="63" xfId="0" applyNumberFormat="1" applyBorder="1" applyAlignment="1">
      <alignment horizontal="center"/>
    </xf>
    <xf numFmtId="42" fontId="67" fillId="18" borderId="67" xfId="0" applyNumberFormat="1" applyFont="1" applyFill="1" applyBorder="1" applyAlignment="1">
      <alignment horizontal="center" vertical="center"/>
    </xf>
    <xf numFmtId="0" fontId="0" fillId="0" borderId="0" xfId="0" applyAlignment="1">
      <alignment horizontal="center"/>
    </xf>
    <xf numFmtId="10" fontId="64" fillId="7" borderId="0" xfId="0" applyNumberFormat="1" applyFont="1" applyFill="1" applyAlignment="1">
      <alignment horizontal="left"/>
    </xf>
    <xf numFmtId="0" fontId="64" fillId="7" borderId="0" xfId="0" applyFont="1" applyFill="1" applyAlignment="1">
      <alignment horizontal="left"/>
    </xf>
    <xf numFmtId="10" fontId="67" fillId="18" borderId="67" xfId="0" applyNumberFormat="1" applyFont="1" applyFill="1" applyBorder="1" applyAlignment="1">
      <alignment horizontal="center" vertical="center"/>
    </xf>
    <xf numFmtId="174" fontId="56" fillId="0" borderId="0" xfId="0" applyNumberFormat="1" applyFont="1" applyAlignment="1">
      <alignment horizontal="center" vertical="center"/>
    </xf>
    <xf numFmtId="0" fontId="56" fillId="0" borderId="0" xfId="0" applyFont="1" applyAlignment="1">
      <alignment horizontal="left" vertical="center" wrapText="1"/>
    </xf>
    <xf numFmtId="44" fontId="56" fillId="0" borderId="0" xfId="2" applyFont="1" applyBorder="1" applyAlignment="1">
      <alignment horizontal="left" vertical="center"/>
    </xf>
    <xf numFmtId="42" fontId="56" fillId="0" borderId="41" xfId="2" applyNumberFormat="1" applyFont="1" applyBorder="1" applyAlignment="1">
      <alignment horizontal="left" vertical="center"/>
    </xf>
    <xf numFmtId="42" fontId="56" fillId="0" borderId="44" xfId="2" applyNumberFormat="1" applyFont="1" applyBorder="1" applyAlignment="1">
      <alignment horizontal="left" vertical="center"/>
    </xf>
    <xf numFmtId="42" fontId="56" fillId="0" borderId="47" xfId="2" applyNumberFormat="1" applyFont="1" applyBorder="1" applyAlignment="1">
      <alignment horizontal="left" vertical="center"/>
    </xf>
    <xf numFmtId="0" fontId="73" fillId="0" borderId="62" xfId="10" applyFont="1" applyBorder="1" applyAlignment="1">
      <alignment vertical="center" wrapText="1"/>
    </xf>
    <xf numFmtId="0" fontId="30" fillId="0" borderId="50" xfId="0" applyFont="1" applyBorder="1" applyAlignment="1">
      <alignment vertical="top" wrapText="1"/>
    </xf>
    <xf numFmtId="0" fontId="30" fillId="9" borderId="50" xfId="0" applyFont="1" applyFill="1" applyBorder="1" applyAlignment="1">
      <alignment horizontal="left" vertical="center"/>
    </xf>
    <xf numFmtId="0" fontId="30" fillId="9" borderId="68" xfId="0" applyFont="1" applyFill="1" applyBorder="1" applyAlignment="1">
      <alignment horizontal="left" vertical="center"/>
    </xf>
    <xf numFmtId="0" fontId="75" fillId="0" borderId="0" xfId="10" applyFont="1" applyBorder="1" applyAlignment="1">
      <alignment vertical="center" wrapText="1"/>
    </xf>
    <xf numFmtId="0" fontId="11" fillId="6" borderId="10" xfId="0" applyFont="1" applyFill="1" applyBorder="1" applyAlignment="1" applyProtection="1">
      <alignment horizontal="right"/>
      <protection locked="0"/>
    </xf>
    <xf numFmtId="0" fontId="30" fillId="0" borderId="69" xfId="0" applyFont="1" applyBorder="1" applyAlignment="1">
      <alignment horizontal="center"/>
    </xf>
    <xf numFmtId="0" fontId="4" fillId="0" borderId="0" xfId="0" applyFont="1" applyAlignment="1">
      <alignment horizontal="center"/>
    </xf>
    <xf numFmtId="0" fontId="4" fillId="0" borderId="0" xfId="0" applyFont="1"/>
    <xf numFmtId="0" fontId="0" fillId="9" borderId="0" xfId="0" applyFill="1"/>
    <xf numFmtId="176" fontId="4" fillId="0" borderId="0" xfId="1" applyNumberFormat="1" applyFont="1"/>
    <xf numFmtId="167" fontId="4" fillId="0" borderId="0" xfId="2" applyNumberFormat="1" applyFont="1"/>
    <xf numFmtId="176" fontId="0" fillId="0" borderId="0" xfId="1" applyNumberFormat="1" applyFont="1"/>
    <xf numFmtId="0" fontId="30" fillId="0" borderId="0" xfId="0" quotePrefix="1" applyFont="1"/>
    <xf numFmtId="0" fontId="30" fillId="0" borderId="50" xfId="0" quotePrefix="1" applyFont="1" applyBorder="1"/>
    <xf numFmtId="0" fontId="30" fillId="9" borderId="50" xfId="0" applyFont="1" applyFill="1" applyBorder="1" applyAlignment="1">
      <alignment horizontal="left" vertical="center" wrapText="1" indent="1"/>
    </xf>
    <xf numFmtId="42" fontId="0" fillId="6" borderId="5" xfId="0" applyNumberFormat="1" applyFill="1" applyBorder="1" applyAlignment="1" applyProtection="1">
      <alignment horizontal="left"/>
      <protection locked="0"/>
    </xf>
    <xf numFmtId="164" fontId="69" fillId="0" borderId="0" xfId="1" applyNumberFormat="1" applyFont="1" applyBorder="1" applyAlignment="1">
      <alignment horizontal="right"/>
    </xf>
    <xf numFmtId="0" fontId="76" fillId="25" borderId="0" xfId="0" applyFont="1" applyFill="1" applyAlignment="1">
      <alignment horizontal="center"/>
    </xf>
    <xf numFmtId="0" fontId="76" fillId="0" borderId="0" xfId="0" applyFont="1" applyAlignment="1">
      <alignment horizontal="center"/>
    </xf>
    <xf numFmtId="0" fontId="76" fillId="26" borderId="0" xfId="0" applyFont="1" applyFill="1" applyAlignment="1">
      <alignment horizontal="center"/>
    </xf>
    <xf numFmtId="0" fontId="77" fillId="0" borderId="0" xfId="0" applyFont="1" applyAlignment="1">
      <alignment vertical="top"/>
    </xf>
    <xf numFmtId="10" fontId="4" fillId="0" borderId="0" xfId="0" applyNumberFormat="1" applyFont="1"/>
    <xf numFmtId="0" fontId="66" fillId="0" borderId="0" xfId="0" applyFont="1"/>
    <xf numFmtId="10" fontId="66" fillId="0" borderId="0" xfId="0" applyNumberFormat="1" applyFont="1"/>
    <xf numFmtId="0" fontId="29" fillId="0" borderId="0" xfId="0" applyFont="1"/>
    <xf numFmtId="0" fontId="14" fillId="0" borderId="0" xfId="0" applyFont="1" applyAlignment="1">
      <alignment vertical="top"/>
    </xf>
    <xf numFmtId="164" fontId="27" fillId="0" borderId="0" xfId="1" applyNumberFormat="1" applyFont="1" applyBorder="1" applyAlignment="1">
      <alignment vertical="center"/>
    </xf>
    <xf numFmtId="0" fontId="79" fillId="0" borderId="0" xfId="0" applyFont="1"/>
    <xf numFmtId="10" fontId="0" fillId="0" borderId="0" xfId="0" applyNumberFormat="1"/>
    <xf numFmtId="0" fontId="80" fillId="0" borderId="0" xfId="0" applyFont="1"/>
    <xf numFmtId="0" fontId="20" fillId="0" borderId="0" xfId="0" applyFont="1" applyAlignment="1">
      <alignment horizontal="center"/>
    </xf>
    <xf numFmtId="0" fontId="17" fillId="0" borderId="0" xfId="0" applyFont="1" applyAlignment="1">
      <alignment horizontal="left"/>
    </xf>
    <xf numFmtId="164" fontId="28" fillId="0" borderId="0" xfId="0" applyNumberFormat="1" applyFont="1"/>
    <xf numFmtId="0" fontId="28" fillId="0" borderId="13" xfId="0" applyFont="1" applyBorder="1" applyAlignment="1">
      <alignment horizontal="right"/>
    </xf>
    <xf numFmtId="0" fontId="0" fillId="23" borderId="0" xfId="0" applyFill="1"/>
    <xf numFmtId="164" fontId="29" fillId="0" borderId="0" xfId="0" applyNumberFormat="1" applyFont="1" applyAlignment="1">
      <alignment horizontal="right"/>
    </xf>
    <xf numFmtId="164" fontId="29" fillId="0" borderId="0" xfId="0" applyNumberFormat="1" applyFont="1"/>
    <xf numFmtId="164" fontId="29" fillId="0" borderId="0" xfId="1" applyNumberFormat="1" applyFont="1" applyFill="1" applyBorder="1"/>
    <xf numFmtId="0" fontId="3" fillId="0" borderId="0" xfId="0" applyFont="1"/>
    <xf numFmtId="164" fontId="69" fillId="0" borderId="0" xfId="1" applyNumberFormat="1" applyFont="1" applyFill="1" applyBorder="1" applyAlignment="1">
      <alignment horizontal="right"/>
    </xf>
    <xf numFmtId="0" fontId="0" fillId="16" borderId="61" xfId="0" applyFill="1" applyBorder="1"/>
    <xf numFmtId="0" fontId="0" fillId="16" borderId="61" xfId="0" applyFill="1" applyBorder="1" applyAlignment="1">
      <alignment horizontal="center"/>
    </xf>
    <xf numFmtId="0" fontId="83" fillId="0" borderId="71" xfId="0" applyFont="1" applyBorder="1" applyAlignment="1">
      <alignment horizontal="center" vertical="center"/>
    </xf>
    <xf numFmtId="164" fontId="0" fillId="0" borderId="71" xfId="1" applyNumberFormat="1" applyFont="1" applyFill="1" applyBorder="1" applyAlignment="1">
      <alignment horizontal="center"/>
    </xf>
    <xf numFmtId="44" fontId="0" fillId="0" borderId="71" xfId="1" applyNumberFormat="1" applyFont="1" applyFill="1" applyBorder="1" applyAlignment="1"/>
    <xf numFmtId="165" fontId="67" fillId="0" borderId="71" xfId="0" applyNumberFormat="1" applyFont="1" applyBorder="1" applyAlignment="1">
      <alignment horizontal="center" vertical="center"/>
    </xf>
    <xf numFmtId="44" fontId="0" fillId="0" borderId="71" xfId="2" applyFont="1" applyFill="1" applyBorder="1" applyAlignment="1">
      <alignment horizontal="center"/>
    </xf>
    <xf numFmtId="0" fontId="0" fillId="0" borderId="71" xfId="0" applyBorder="1"/>
    <xf numFmtId="42" fontId="67" fillId="18" borderId="66" xfId="0" applyNumberFormat="1" applyFont="1" applyFill="1" applyBorder="1" applyAlignment="1">
      <alignment horizontal="center" vertical="center"/>
    </xf>
    <xf numFmtId="44" fontId="67" fillId="18" borderId="67" xfId="0" applyNumberFormat="1" applyFont="1" applyFill="1" applyBorder="1" applyAlignment="1">
      <alignment horizontal="center" vertical="center"/>
    </xf>
    <xf numFmtId="0" fontId="84" fillId="0" borderId="0" xfId="0" applyFont="1"/>
    <xf numFmtId="0" fontId="85" fillId="28" borderId="14" xfId="0" applyFont="1" applyFill="1" applyBorder="1"/>
    <xf numFmtId="0" fontId="85" fillId="0" borderId="0" xfId="0" applyFont="1"/>
    <xf numFmtId="0" fontId="85" fillId="28" borderId="35" xfId="0" applyFont="1" applyFill="1" applyBorder="1"/>
    <xf numFmtId="14" fontId="85" fillId="28" borderId="35" xfId="0" applyNumberFormat="1" applyFont="1" applyFill="1" applyBorder="1"/>
    <xf numFmtId="0" fontId="85" fillId="28" borderId="48" xfId="0" applyFont="1" applyFill="1" applyBorder="1"/>
    <xf numFmtId="0" fontId="85" fillId="28" borderId="58" xfId="0" applyFont="1" applyFill="1" applyBorder="1"/>
    <xf numFmtId="0" fontId="85" fillId="28" borderId="78" xfId="0" applyFont="1" applyFill="1" applyBorder="1"/>
    <xf numFmtId="0" fontId="85" fillId="29" borderId="34" xfId="0" applyFont="1" applyFill="1" applyBorder="1"/>
    <xf numFmtId="0" fontId="85" fillId="29" borderId="15" xfId="0" applyFont="1" applyFill="1" applyBorder="1"/>
    <xf numFmtId="0" fontId="84" fillId="0" borderId="14" xfId="0" applyFont="1" applyBorder="1"/>
    <xf numFmtId="0" fontId="84" fillId="0" borderId="48" xfId="0" applyFont="1" applyBorder="1"/>
    <xf numFmtId="6" fontId="84" fillId="0" borderId="48" xfId="0" applyNumberFormat="1" applyFont="1" applyBorder="1"/>
    <xf numFmtId="0" fontId="84" fillId="0" borderId="50" xfId="0" applyFont="1" applyBorder="1"/>
    <xf numFmtId="0" fontId="84" fillId="27" borderId="0" xfId="0" applyFont="1" applyFill="1"/>
    <xf numFmtId="0" fontId="84" fillId="0" borderId="49" xfId="0" applyFont="1" applyBorder="1"/>
    <xf numFmtId="0" fontId="85" fillId="0" borderId="35" xfId="0" applyFont="1" applyBorder="1"/>
    <xf numFmtId="6" fontId="85" fillId="0" borderId="35" xfId="0" applyNumberFormat="1" applyFont="1" applyBorder="1"/>
    <xf numFmtId="0" fontId="85" fillId="0" borderId="53" xfId="0" applyFont="1" applyBorder="1"/>
    <xf numFmtId="6" fontId="85" fillId="0" borderId="53" xfId="0" applyNumberFormat="1" applyFont="1" applyBorder="1"/>
    <xf numFmtId="3" fontId="85" fillId="29" borderId="53" xfId="0" applyNumberFormat="1" applyFont="1" applyFill="1" applyBorder="1"/>
    <xf numFmtId="0" fontId="84" fillId="0" borderId="51" xfId="0" applyFont="1" applyBorder="1"/>
    <xf numFmtId="0" fontId="84" fillId="27" borderId="35" xfId="0" applyFont="1" applyFill="1" applyBorder="1"/>
    <xf numFmtId="6" fontId="84" fillId="0" borderId="51" xfId="0" applyNumberFormat="1" applyFont="1" applyBorder="1"/>
    <xf numFmtId="0" fontId="85" fillId="0" borderId="52" xfId="0" applyFont="1" applyBorder="1"/>
    <xf numFmtId="6" fontId="85" fillId="0" borderId="52" xfId="0" applyNumberFormat="1" applyFont="1" applyBorder="1"/>
    <xf numFmtId="9" fontId="84" fillId="27" borderId="35" xfId="0" applyNumberFormat="1" applyFont="1" applyFill="1" applyBorder="1"/>
    <xf numFmtId="0" fontId="84" fillId="0" borderId="53" xfId="0" applyFont="1" applyBorder="1"/>
    <xf numFmtId="8" fontId="84" fillId="0" borderId="53" xfId="0" applyNumberFormat="1" applyFont="1" applyBorder="1"/>
    <xf numFmtId="0" fontId="84" fillId="31" borderId="34" xfId="0" applyFont="1" applyFill="1" applyBorder="1"/>
    <xf numFmtId="0" fontId="84" fillId="31" borderId="15" xfId="0" applyFont="1" applyFill="1" applyBorder="1"/>
    <xf numFmtId="3" fontId="84" fillId="31" borderId="53" xfId="0" applyNumberFormat="1" applyFont="1" applyFill="1" applyBorder="1"/>
    <xf numFmtId="0" fontId="84" fillId="31" borderId="35" xfId="0" applyFont="1" applyFill="1" applyBorder="1"/>
    <xf numFmtId="0" fontId="84" fillId="27" borderId="51" xfId="0" applyFont="1" applyFill="1" applyBorder="1"/>
    <xf numFmtId="0" fontId="84" fillId="0" borderId="35" xfId="0" applyFont="1" applyBorder="1"/>
    <xf numFmtId="0" fontId="84" fillId="0" borderId="78" xfId="0" applyFont="1" applyBorder="1"/>
    <xf numFmtId="6" fontId="84" fillId="0" borderId="78" xfId="0" applyNumberFormat="1" applyFont="1" applyBorder="1"/>
    <xf numFmtId="0" fontId="88" fillId="0" borderId="53" xfId="0" applyFont="1" applyBorder="1"/>
    <xf numFmtId="0" fontId="84" fillId="0" borderId="58" xfId="0" applyFont="1" applyBorder="1"/>
    <xf numFmtId="6" fontId="84" fillId="0" borderId="58" xfId="0" applyNumberFormat="1" applyFont="1" applyBorder="1"/>
    <xf numFmtId="6" fontId="85" fillId="0" borderId="49" xfId="0" applyNumberFormat="1" applyFont="1" applyBorder="1"/>
    <xf numFmtId="0" fontId="85" fillId="0" borderId="50" xfId="0" applyFont="1" applyBorder="1"/>
    <xf numFmtId="6" fontId="85" fillId="0" borderId="50" xfId="0" applyNumberFormat="1" applyFont="1" applyBorder="1"/>
    <xf numFmtId="0" fontId="84" fillId="0" borderId="52" xfId="0" applyFont="1" applyBorder="1"/>
    <xf numFmtId="6" fontId="84" fillId="31" borderId="53" xfId="0" applyNumberFormat="1" applyFont="1" applyFill="1" applyBorder="1"/>
    <xf numFmtId="0" fontId="85" fillId="0" borderId="14" xfId="0" applyFont="1" applyBorder="1"/>
    <xf numFmtId="0" fontId="88" fillId="27" borderId="50" xfId="0" applyFont="1" applyFill="1" applyBorder="1"/>
    <xf numFmtId="8" fontId="84" fillId="0" borderId="51" xfId="0" applyNumberFormat="1" applyFont="1" applyBorder="1"/>
    <xf numFmtId="0" fontId="84" fillId="27" borderId="53" xfId="0" applyFont="1" applyFill="1" applyBorder="1"/>
    <xf numFmtId="0" fontId="84" fillId="27" borderId="50" xfId="0" applyFont="1" applyFill="1" applyBorder="1"/>
    <xf numFmtId="6" fontId="85" fillId="0" borderId="14" xfId="0" applyNumberFormat="1" applyFont="1" applyBorder="1"/>
    <xf numFmtId="0" fontId="84" fillId="27" borderId="48" xfId="0" applyFont="1" applyFill="1" applyBorder="1"/>
    <xf numFmtId="0" fontId="88" fillId="27" borderId="53" xfId="0" applyFont="1" applyFill="1" applyBorder="1"/>
    <xf numFmtId="0" fontId="85" fillId="30" borderId="78" xfId="0" applyFont="1" applyFill="1" applyBorder="1"/>
    <xf numFmtId="0" fontId="85" fillId="30" borderId="35" xfId="0" applyFont="1" applyFill="1" applyBorder="1"/>
    <xf numFmtId="0" fontId="85" fillId="30" borderId="15" xfId="0" applyFont="1" applyFill="1" applyBorder="1"/>
    <xf numFmtId="0" fontId="85" fillId="30" borderId="34" xfId="0" applyFont="1" applyFill="1" applyBorder="1"/>
    <xf numFmtId="6" fontId="84" fillId="0" borderId="0" xfId="0" applyNumberFormat="1" applyFont="1"/>
    <xf numFmtId="6" fontId="85" fillId="31" borderId="35" xfId="0" applyNumberFormat="1" applyFont="1" applyFill="1" applyBorder="1"/>
    <xf numFmtId="8" fontId="84" fillId="0" borderId="0" xfId="0" applyNumberFormat="1" applyFont="1"/>
    <xf numFmtId="42" fontId="0" fillId="0" borderId="63" xfId="2" applyNumberFormat="1" applyFont="1" applyBorder="1" applyAlignment="1">
      <alignment horizontal="center"/>
    </xf>
    <xf numFmtId="0" fontId="89" fillId="0" borderId="0" xfId="0" applyFont="1" applyAlignment="1">
      <alignment horizontal="right"/>
    </xf>
    <xf numFmtId="42" fontId="71" fillId="23" borderId="63" xfId="1" applyNumberFormat="1" applyFont="1" applyFill="1" applyBorder="1" applyAlignment="1">
      <alignment horizontal="left"/>
    </xf>
    <xf numFmtId="42" fontId="71" fillId="0" borderId="63" xfId="2" applyNumberFormat="1" applyFont="1" applyBorder="1" applyAlignment="1">
      <alignment horizontal="left"/>
    </xf>
    <xf numFmtId="6" fontId="0" fillId="0" borderId="63" xfId="1" applyNumberFormat="1" applyFont="1" applyFill="1" applyBorder="1" applyAlignment="1"/>
    <xf numFmtId="6" fontId="0" fillId="23" borderId="63" xfId="1" applyNumberFormat="1" applyFont="1" applyFill="1" applyBorder="1" applyAlignment="1"/>
    <xf numFmtId="42" fontId="0" fillId="0" borderId="0" xfId="0" applyNumberFormat="1"/>
    <xf numFmtId="44" fontId="0" fillId="6" borderId="4" xfId="0" applyNumberFormat="1" applyFill="1" applyBorder="1" applyAlignment="1" applyProtection="1">
      <alignment horizontal="right"/>
      <protection locked="0"/>
    </xf>
    <xf numFmtId="5" fontId="0" fillId="0" borderId="0" xfId="0" applyNumberFormat="1" applyProtection="1">
      <protection locked="0"/>
    </xf>
    <xf numFmtId="42" fontId="0" fillId="0" borderId="0" xfId="0" applyNumberFormat="1" applyProtection="1">
      <protection locked="0"/>
    </xf>
    <xf numFmtId="6" fontId="0" fillId="6" borderId="4" xfId="0" applyNumberFormat="1" applyFill="1" applyBorder="1" applyAlignment="1" applyProtection="1">
      <alignment horizontal="right"/>
      <protection locked="0"/>
    </xf>
    <xf numFmtId="165" fontId="0" fillId="6" borderId="4" xfId="0" applyNumberFormat="1" applyFill="1" applyBorder="1" applyAlignment="1" applyProtection="1">
      <alignment horizontal="right"/>
      <protection locked="0"/>
    </xf>
    <xf numFmtId="165" fontId="0" fillId="0" borderId="20" xfId="0" applyNumberFormat="1" applyBorder="1" applyProtection="1">
      <protection locked="0"/>
    </xf>
    <xf numFmtId="3" fontId="0" fillId="6" borderId="5" xfId="0" applyNumberFormat="1" applyFill="1" applyBorder="1" applyAlignment="1" applyProtection="1">
      <alignment horizontal="left"/>
      <protection locked="0"/>
    </xf>
    <xf numFmtId="44" fontId="0" fillId="6" borderId="5" xfId="0" applyNumberFormat="1" applyFill="1" applyBorder="1" applyAlignment="1" applyProtection="1">
      <alignment horizontal="left"/>
      <protection locked="0"/>
    </xf>
    <xf numFmtId="44" fontId="0" fillId="0" borderId="0" xfId="0" applyNumberFormat="1" applyProtection="1">
      <protection locked="0"/>
    </xf>
    <xf numFmtId="3" fontId="0" fillId="0" borderId="0" xfId="0" applyNumberFormat="1" applyProtection="1">
      <protection locked="0"/>
    </xf>
    <xf numFmtId="0" fontId="0" fillId="23" borderId="63" xfId="0" applyFill="1" applyBorder="1"/>
    <xf numFmtId="44" fontId="0" fillId="23" borderId="71" xfId="1" applyNumberFormat="1" applyFont="1" applyFill="1" applyBorder="1" applyAlignment="1"/>
    <xf numFmtId="5" fontId="0" fillId="23" borderId="63" xfId="1" applyNumberFormat="1" applyFont="1" applyFill="1" applyBorder="1" applyAlignment="1"/>
    <xf numFmtId="0" fontId="0" fillId="0" borderId="31" xfId="0" applyBorder="1" applyProtection="1">
      <protection locked="0"/>
    </xf>
    <xf numFmtId="10" fontId="67" fillId="7" borderId="0" xfId="0" applyNumberFormat="1" applyFont="1" applyFill="1" applyAlignment="1">
      <alignment horizontal="left" vertical="center"/>
    </xf>
    <xf numFmtId="0" fontId="0" fillId="7" borderId="0" xfId="0" applyFill="1" applyAlignment="1">
      <alignment horizontal="left" vertical="center"/>
    </xf>
    <xf numFmtId="0" fontId="0" fillId="7" borderId="0" xfId="0" applyFill="1" applyAlignment="1">
      <alignment horizontal="left"/>
    </xf>
    <xf numFmtId="0" fontId="0" fillId="2" borderId="82" xfId="0" applyFill="1" applyBorder="1" applyProtection="1">
      <protection locked="0"/>
    </xf>
    <xf numFmtId="0" fontId="0" fillId="2" borderId="83" xfId="0" applyFill="1" applyBorder="1" applyProtection="1">
      <protection locked="0"/>
    </xf>
    <xf numFmtId="0" fontId="30" fillId="0" borderId="84" xfId="0" applyFont="1" applyBorder="1" applyAlignment="1">
      <alignment wrapText="1"/>
    </xf>
    <xf numFmtId="170" fontId="0" fillId="0" borderId="0" xfId="0" applyNumberFormat="1" applyProtection="1">
      <protection locked="0"/>
    </xf>
    <xf numFmtId="44" fontId="0" fillId="0" borderId="85" xfId="2" applyFont="1" applyBorder="1" applyProtection="1">
      <protection locked="0"/>
    </xf>
    <xf numFmtId="0" fontId="98" fillId="0" borderId="0" xfId="0" applyFont="1"/>
    <xf numFmtId="0" fontId="0" fillId="23" borderId="71" xfId="0" applyFill="1" applyBorder="1"/>
    <xf numFmtId="44" fontId="0" fillId="23" borderId="71" xfId="2" applyFont="1" applyFill="1" applyBorder="1" applyAlignment="1">
      <alignment horizontal="center"/>
    </xf>
    <xf numFmtId="0" fontId="0" fillId="23" borderId="0" xfId="0" applyFill="1" applyAlignment="1">
      <alignment horizontal="left"/>
    </xf>
    <xf numFmtId="10" fontId="0" fillId="0" borderId="0" xfId="0" applyNumberFormat="1" applyAlignment="1">
      <alignment horizontal="left"/>
    </xf>
    <xf numFmtId="10" fontId="0" fillId="7" borderId="0" xfId="0" applyNumberFormat="1" applyFill="1" applyAlignment="1">
      <alignment horizontal="left"/>
    </xf>
    <xf numFmtId="16" fontId="0" fillId="0" borderId="0" xfId="0" applyNumberFormat="1" applyProtection="1">
      <protection locked="0"/>
    </xf>
    <xf numFmtId="5" fontId="0" fillId="0" borderId="63" xfId="1" applyNumberFormat="1" applyFont="1" applyFill="1" applyBorder="1" applyAlignment="1"/>
    <xf numFmtId="5" fontId="0" fillId="7" borderId="0" xfId="0" applyNumberFormat="1" applyFill="1" applyProtection="1">
      <protection locked="0"/>
    </xf>
    <xf numFmtId="0" fontId="85" fillId="28" borderId="50" xfId="0" applyFont="1" applyFill="1" applyBorder="1" applyAlignment="1">
      <alignment wrapText="1"/>
    </xf>
    <xf numFmtId="0" fontId="85" fillId="28" borderId="50" xfId="0" applyFont="1" applyFill="1" applyBorder="1"/>
    <xf numFmtId="164" fontId="0" fillId="3" borderId="14" xfId="1" applyNumberFormat="1" applyFont="1" applyFill="1" applyBorder="1" applyAlignment="1">
      <alignment horizontal="center"/>
    </xf>
    <xf numFmtId="6" fontId="0" fillId="0" borderId="64" xfId="0" applyNumberFormat="1" applyBorder="1"/>
    <xf numFmtId="6" fontId="0" fillId="23" borderId="64" xfId="0" applyNumberFormat="1" applyFill="1" applyBorder="1"/>
    <xf numFmtId="42" fontId="0" fillId="0" borderId="64" xfId="0" applyNumberFormat="1" applyBorder="1"/>
    <xf numFmtId="42" fontId="0" fillId="23" borderId="64" xfId="0" applyNumberFormat="1" applyFill="1" applyBorder="1"/>
    <xf numFmtId="0" fontId="0" fillId="23" borderId="14" xfId="0" applyFill="1" applyBorder="1"/>
    <xf numFmtId="0" fontId="0" fillId="0" borderId="14" xfId="0" applyBorder="1"/>
    <xf numFmtId="0" fontId="84" fillId="31" borderId="53" xfId="0" applyFont="1" applyFill="1" applyBorder="1"/>
    <xf numFmtId="0" fontId="85" fillId="28" borderId="53" xfId="0" applyFont="1" applyFill="1" applyBorder="1"/>
    <xf numFmtId="0" fontId="85" fillId="31" borderId="35" xfId="0" applyFont="1" applyFill="1" applyBorder="1"/>
    <xf numFmtId="0" fontId="99" fillId="0" borderId="0" xfId="0" applyFont="1"/>
    <xf numFmtId="0" fontId="28" fillId="7" borderId="0" xfId="0" applyFont="1" applyFill="1"/>
    <xf numFmtId="0" fontId="4" fillId="0" borderId="87" xfId="0" applyFont="1" applyBorder="1" applyAlignment="1">
      <alignment horizontal="center"/>
    </xf>
    <xf numFmtId="42" fontId="4" fillId="0" borderId="87" xfId="0" applyNumberFormat="1" applyFont="1" applyBorder="1" applyAlignment="1">
      <alignment horizontal="center"/>
    </xf>
    <xf numFmtId="42" fontId="4" fillId="0" borderId="90" xfId="0" applyNumberFormat="1" applyFont="1" applyBorder="1" applyAlignment="1">
      <alignment horizontal="center"/>
    </xf>
    <xf numFmtId="42" fontId="4" fillId="0" borderId="89" xfId="0" applyNumberFormat="1" applyFont="1" applyBorder="1" applyAlignment="1">
      <alignment horizontal="center"/>
    </xf>
    <xf numFmtId="0" fontId="4" fillId="0" borderId="0" xfId="0" applyFont="1" applyAlignment="1">
      <alignment horizontal="right"/>
    </xf>
    <xf numFmtId="0" fontId="0" fillId="0" borderId="91" xfId="0" applyBorder="1" applyAlignment="1">
      <alignment horizontal="left"/>
    </xf>
    <xf numFmtId="42" fontId="0" fillId="0" borderId="91" xfId="0" applyNumberFormat="1" applyBorder="1" applyAlignment="1">
      <alignment horizontal="left"/>
    </xf>
    <xf numFmtId="42" fontId="0" fillId="0" borderId="92" xfId="0" applyNumberFormat="1" applyBorder="1" applyAlignment="1">
      <alignment horizontal="left"/>
    </xf>
    <xf numFmtId="0" fontId="0" fillId="0" borderId="93" xfId="0" applyBorder="1"/>
    <xf numFmtId="42" fontId="0" fillId="0" borderId="94" xfId="0" applyNumberFormat="1" applyBorder="1"/>
    <xf numFmtId="42" fontId="0" fillId="0" borderId="95" xfId="0" applyNumberFormat="1" applyBorder="1"/>
    <xf numFmtId="0" fontId="71" fillId="0" borderId="0" xfId="0" applyFont="1"/>
    <xf numFmtId="179" fontId="0" fillId="0" borderId="0" xfId="0" applyNumberFormat="1"/>
    <xf numFmtId="10" fontId="4" fillId="7" borderId="96" xfId="0" applyNumberFormat="1" applyFont="1" applyFill="1" applyBorder="1"/>
    <xf numFmtId="42" fontId="0" fillId="0" borderId="0" xfId="0" applyNumberFormat="1" applyAlignment="1">
      <alignment wrapText="1"/>
    </xf>
    <xf numFmtId="0" fontId="0" fillId="0" borderId="0" xfId="0" applyAlignment="1" applyProtection="1">
      <alignment horizontal="center" wrapText="1"/>
      <protection locked="0"/>
    </xf>
    <xf numFmtId="42" fontId="85" fillId="0" borderId="0" xfId="0" applyNumberFormat="1" applyFont="1"/>
    <xf numFmtId="6" fontId="85" fillId="0" borderId="0" xfId="0" applyNumberFormat="1" applyFont="1"/>
    <xf numFmtId="44" fontId="0" fillId="0" borderId="97" xfId="2" applyFont="1" applyBorder="1" applyProtection="1">
      <protection locked="0"/>
    </xf>
    <xf numFmtId="0" fontId="28" fillId="11" borderId="0" xfId="0" applyFont="1" applyFill="1"/>
    <xf numFmtId="164" fontId="0" fillId="7" borderId="0" xfId="0" applyNumberFormat="1" applyFill="1"/>
    <xf numFmtId="164" fontId="0" fillId="11" borderId="0" xfId="0" applyNumberFormat="1" applyFill="1"/>
    <xf numFmtId="0" fontId="0" fillId="0" borderId="15" xfId="0" applyBorder="1" applyAlignment="1" applyProtection="1">
      <alignment horizontal="center"/>
      <protection locked="0"/>
    </xf>
    <xf numFmtId="0" fontId="30" fillId="9" borderId="50" xfId="0" applyFont="1" applyFill="1" applyBorder="1" applyAlignment="1">
      <alignment vertical="top" wrapText="1"/>
    </xf>
    <xf numFmtId="0" fontId="0" fillId="0" borderId="104" xfId="0" applyBorder="1" applyProtection="1">
      <protection locked="0"/>
    </xf>
    <xf numFmtId="0" fontId="31" fillId="9" borderId="50" xfId="0" applyFont="1" applyFill="1" applyBorder="1" applyAlignment="1">
      <alignment horizontal="left"/>
    </xf>
    <xf numFmtId="0" fontId="30" fillId="9" borderId="0" xfId="0" applyFont="1" applyFill="1" applyAlignment="1">
      <alignment horizontal="left" vertical="center" wrapText="1"/>
    </xf>
    <xf numFmtId="0" fontId="103" fillId="0" borderId="105" xfId="0" applyFont="1" applyBorder="1"/>
    <xf numFmtId="4" fontId="0" fillId="0" borderId="0" xfId="0" applyNumberFormat="1" applyProtection="1">
      <protection locked="0"/>
    </xf>
    <xf numFmtId="44" fontId="7" fillId="0" borderId="15" xfId="0" applyNumberFormat="1" applyFont="1" applyBorder="1" applyAlignment="1" applyProtection="1">
      <alignment horizontal="center"/>
      <protection locked="0"/>
    </xf>
    <xf numFmtId="0" fontId="0" fillId="0" borderId="0" xfId="0" applyAlignment="1">
      <alignment vertical="top"/>
    </xf>
    <xf numFmtId="0" fontId="110" fillId="9" borderId="0" xfId="0" applyFont="1" applyFill="1" applyAlignment="1">
      <alignment horizontal="left" vertical="center" wrapText="1"/>
    </xf>
    <xf numFmtId="0" fontId="111" fillId="0" borderId="0" xfId="0" applyFont="1" applyProtection="1">
      <protection locked="0"/>
    </xf>
    <xf numFmtId="44" fontId="85" fillId="0" borderId="0" xfId="0" applyNumberFormat="1" applyFont="1"/>
    <xf numFmtId="6" fontId="84" fillId="0" borderId="53" xfId="0" applyNumberFormat="1" applyFont="1" applyBorder="1"/>
    <xf numFmtId="0" fontId="4" fillId="37" borderId="50" xfId="0" applyFont="1" applyFill="1" applyBorder="1" applyAlignment="1">
      <alignment horizontal="center" vertical="center"/>
    </xf>
    <xf numFmtId="0" fontId="4" fillId="37" borderId="50" xfId="0" applyFont="1" applyFill="1" applyBorder="1" applyAlignment="1">
      <alignment horizontal="center" vertical="center" wrapText="1"/>
    </xf>
    <xf numFmtId="0" fontId="4" fillId="0" borderId="0" xfId="0" applyFont="1" applyAlignment="1">
      <alignment horizontal="left"/>
    </xf>
    <xf numFmtId="167" fontId="4" fillId="37" borderId="48" xfId="2" applyNumberFormat="1" applyFont="1" applyFill="1" applyBorder="1" applyAlignment="1">
      <alignment horizontal="center"/>
    </xf>
    <xf numFmtId="167" fontId="4" fillId="37" borderId="14" xfId="2" applyNumberFormat="1" applyFont="1" applyFill="1" applyBorder="1" applyAlignment="1">
      <alignment horizontal="center"/>
    </xf>
    <xf numFmtId="0" fontId="4" fillId="37" borderId="50" xfId="0" applyFont="1" applyFill="1" applyBorder="1" applyAlignment="1">
      <alignment horizontal="center" vertical="top" wrapText="1"/>
    </xf>
    <xf numFmtId="0" fontId="4" fillId="37" borderId="53" xfId="0" applyFont="1" applyFill="1" applyBorder="1" applyAlignment="1">
      <alignment horizontal="center" vertical="center"/>
    </xf>
    <xf numFmtId="167" fontId="4" fillId="37" borderId="51" xfId="2" applyNumberFormat="1" applyFont="1" applyFill="1" applyBorder="1" applyAlignment="1">
      <alignment horizontal="center"/>
    </xf>
    <xf numFmtId="167" fontId="4" fillId="37" borderId="35" xfId="2" applyNumberFormat="1" applyFont="1" applyFill="1" applyBorder="1" applyAlignment="1">
      <alignment horizontal="center"/>
    </xf>
    <xf numFmtId="0" fontId="4" fillId="37" borderId="53" xfId="0" applyFont="1" applyFill="1" applyBorder="1" applyAlignment="1">
      <alignment horizontal="center" vertical="center" wrapText="1"/>
    </xf>
    <xf numFmtId="167" fontId="0" fillId="0" borderId="48" xfId="2" applyNumberFormat="1" applyFont="1" applyBorder="1"/>
    <xf numFmtId="176" fontId="0" fillId="0" borderId="48" xfId="1" applyNumberFormat="1" applyFont="1" applyBorder="1"/>
    <xf numFmtId="44" fontId="0" fillId="0" borderId="50" xfId="2" applyFont="1" applyBorder="1"/>
    <xf numFmtId="176" fontId="0" fillId="0" borderId="51" xfId="1" applyNumberFormat="1" applyFont="1" applyBorder="1"/>
    <xf numFmtId="167" fontId="4" fillId="0" borderId="52" xfId="2" applyNumberFormat="1" applyFont="1" applyBorder="1"/>
    <xf numFmtId="176" fontId="0" fillId="9" borderId="51" xfId="1" applyNumberFormat="1" applyFont="1" applyFill="1" applyBorder="1"/>
    <xf numFmtId="167" fontId="0" fillId="0" borderId="51" xfId="2" applyNumberFormat="1" applyFont="1" applyBorder="1"/>
    <xf numFmtId="167" fontId="4" fillId="0" borderId="53" xfId="2" applyNumberFormat="1" applyFont="1" applyBorder="1"/>
    <xf numFmtId="167" fontId="0" fillId="0" borderId="53" xfId="2" applyNumberFormat="1" applyFont="1" applyBorder="1"/>
    <xf numFmtId="0" fontId="0" fillId="0" borderId="50" xfId="0" applyBorder="1"/>
    <xf numFmtId="167" fontId="4" fillId="0" borderId="49" xfId="2" applyNumberFormat="1" applyFont="1" applyBorder="1"/>
    <xf numFmtId="167" fontId="4" fillId="0" borderId="50" xfId="2" applyNumberFormat="1" applyFont="1" applyBorder="1"/>
    <xf numFmtId="167" fontId="0" fillId="0" borderId="50" xfId="2" applyNumberFormat="1" applyFont="1" applyBorder="1"/>
    <xf numFmtId="176" fontId="0" fillId="9" borderId="48" xfId="1" applyNumberFormat="1" applyFont="1" applyFill="1" applyBorder="1"/>
    <xf numFmtId="0" fontId="0" fillId="0" borderId="49" xfId="0" applyBorder="1" applyAlignment="1">
      <alignment horizontal="center"/>
    </xf>
    <xf numFmtId="0" fontId="4" fillId="0" borderId="53" xfId="0" applyFont="1" applyBorder="1" applyAlignment="1">
      <alignment horizontal="center"/>
    </xf>
    <xf numFmtId="176" fontId="4" fillId="3" borderId="51" xfId="1" applyNumberFormat="1" applyFont="1" applyFill="1" applyBorder="1"/>
    <xf numFmtId="0" fontId="4" fillId="3" borderId="52" xfId="0" applyFont="1" applyFill="1" applyBorder="1" applyAlignment="1">
      <alignment horizontal="center"/>
    </xf>
    <xf numFmtId="167" fontId="4" fillId="3" borderId="34" xfId="2" applyNumberFormat="1" applyFont="1" applyFill="1" applyBorder="1"/>
    <xf numFmtId="0" fontId="0" fillId="0" borderId="0" xfId="0" applyAlignment="1">
      <alignment horizontal="right"/>
    </xf>
    <xf numFmtId="6" fontId="0" fillId="0" borderId="106" xfId="0" applyNumberFormat="1" applyBorder="1"/>
    <xf numFmtId="44" fontId="0" fillId="0" borderId="64" xfId="0" applyNumberFormat="1" applyBorder="1"/>
    <xf numFmtId="6" fontId="67" fillId="18" borderId="67" xfId="0" applyNumberFormat="1" applyFont="1" applyFill="1" applyBorder="1" applyAlignment="1">
      <alignment horizontal="center" vertical="center"/>
    </xf>
    <xf numFmtId="0" fontId="91" fillId="32" borderId="31" xfId="0" applyFont="1" applyFill="1" applyBorder="1"/>
    <xf numFmtId="0" fontId="91" fillId="32" borderId="31" xfId="0" applyFont="1" applyFill="1" applyBorder="1" applyAlignment="1">
      <alignment horizontal="center"/>
    </xf>
    <xf numFmtId="0" fontId="0" fillId="0" borderId="31" xfId="0" applyBorder="1"/>
    <xf numFmtId="44" fontId="0" fillId="0" borderId="31" xfId="2" applyFont="1" applyFill="1" applyBorder="1" applyAlignment="1">
      <alignment horizontal="center"/>
    </xf>
    <xf numFmtId="42" fontId="91" fillId="32" borderId="31" xfId="0" applyNumberFormat="1" applyFont="1" applyFill="1" applyBorder="1"/>
    <xf numFmtId="44" fontId="67" fillId="18" borderId="31" xfId="0" applyNumberFormat="1" applyFont="1" applyFill="1" applyBorder="1" applyAlignment="1">
      <alignment horizontal="center" vertical="center"/>
    </xf>
    <xf numFmtId="42" fontId="67" fillId="18" borderId="31" xfId="0" applyNumberFormat="1" applyFont="1" applyFill="1" applyBorder="1" applyAlignment="1">
      <alignment horizontal="center" vertical="center"/>
    </xf>
    <xf numFmtId="0" fontId="82" fillId="18" borderId="107" xfId="0" applyFont="1" applyFill="1" applyBorder="1" applyAlignment="1">
      <alignment horizontal="center" vertical="center"/>
    </xf>
    <xf numFmtId="0" fontId="82" fillId="18" borderId="109" xfId="0" applyFont="1" applyFill="1" applyBorder="1" applyAlignment="1">
      <alignment horizontal="left" vertical="center"/>
    </xf>
    <xf numFmtId="0" fontId="83" fillId="0" borderId="90" xfId="0" applyFont="1" applyBorder="1" applyAlignment="1">
      <alignment horizontal="center" vertical="center"/>
    </xf>
    <xf numFmtId="0" fontId="83" fillId="18" borderId="110" xfId="0" applyFont="1" applyFill="1" applyBorder="1" applyAlignment="1">
      <alignment horizontal="center" vertical="center"/>
    </xf>
    <xf numFmtId="0" fontId="83" fillId="18" borderId="108" xfId="0" applyFont="1" applyFill="1" applyBorder="1" applyAlignment="1">
      <alignment horizontal="center" vertical="center"/>
    </xf>
    <xf numFmtId="164" fontId="0" fillId="0" borderId="90" xfId="1" applyNumberFormat="1" applyFont="1" applyFill="1" applyBorder="1" applyAlignment="1">
      <alignment horizontal="center"/>
    </xf>
    <xf numFmtId="0" fontId="83" fillId="18" borderId="111" xfId="0" applyFont="1" applyFill="1" applyBorder="1" applyAlignment="1">
      <alignment horizontal="center" vertical="center"/>
    </xf>
    <xf numFmtId="0" fontId="83" fillId="18" borderId="112" xfId="0" applyFont="1" applyFill="1" applyBorder="1" applyAlignment="1">
      <alignment horizontal="center" vertical="center" wrapText="1"/>
    </xf>
    <xf numFmtId="0" fontId="83" fillId="18" borderId="112" xfId="0" applyFont="1" applyFill="1" applyBorder="1" applyAlignment="1">
      <alignment horizontal="center" vertical="center"/>
    </xf>
    <xf numFmtId="164" fontId="0" fillId="3" borderId="113" xfId="1" applyNumberFormat="1" applyFont="1" applyFill="1" applyBorder="1"/>
    <xf numFmtId="0" fontId="5" fillId="0" borderId="114" xfId="4" quotePrefix="1" applyFill="1" applyBorder="1" applyAlignment="1">
      <alignment horizontal="center"/>
    </xf>
    <xf numFmtId="0" fontId="0" fillId="0" borderId="81" xfId="0" applyBorder="1" applyAlignment="1">
      <alignment wrapText="1"/>
    </xf>
    <xf numFmtId="0" fontId="5" fillId="23" borderId="114" xfId="4" quotePrefix="1" applyFill="1" applyBorder="1" applyAlignment="1">
      <alignment horizontal="center"/>
    </xf>
    <xf numFmtId="0" fontId="0" fillId="23" borderId="81" xfId="0" applyFill="1" applyBorder="1" applyAlignment="1">
      <alignment wrapText="1"/>
    </xf>
    <xf numFmtId="0" fontId="67" fillId="18" borderId="115" xfId="0" applyFont="1" applyFill="1" applyBorder="1" applyAlignment="1">
      <alignment horizontal="center" vertical="center"/>
    </xf>
    <xf numFmtId="42" fontId="67" fillId="18" borderId="81" xfId="0" applyNumberFormat="1" applyFont="1" applyFill="1" applyBorder="1" applyAlignment="1">
      <alignment horizontal="center" vertical="center"/>
    </xf>
    <xf numFmtId="0" fontId="28" fillId="23" borderId="81" xfId="0" applyFont="1" applyFill="1" applyBorder="1" applyAlignment="1">
      <alignment wrapText="1"/>
    </xf>
    <xf numFmtId="177" fontId="72" fillId="0" borderId="116" xfId="1" applyNumberFormat="1" applyFont="1" applyBorder="1" applyAlignment="1">
      <alignment horizontal="center"/>
    </xf>
    <xf numFmtId="0" fontId="5" fillId="23" borderId="114" xfId="4" quotePrefix="1" applyFill="1" applyBorder="1"/>
    <xf numFmtId="0" fontId="0" fillId="0" borderId="113" xfId="0" applyBorder="1"/>
    <xf numFmtId="0" fontId="0" fillId="0" borderId="70" xfId="0" applyBorder="1" applyAlignment="1">
      <alignment wrapText="1"/>
    </xf>
    <xf numFmtId="0" fontId="0" fillId="23" borderId="113" xfId="0" applyFill="1" applyBorder="1"/>
    <xf numFmtId="0" fontId="0" fillId="23" borderId="70" xfId="0" applyFill="1" applyBorder="1" applyAlignment="1">
      <alignment wrapText="1"/>
    </xf>
    <xf numFmtId="0" fontId="91" fillId="32" borderId="117" xfId="0" applyFont="1" applyFill="1" applyBorder="1"/>
    <xf numFmtId="0" fontId="91" fillId="32" borderId="118" xfId="0" applyFont="1" applyFill="1" applyBorder="1"/>
    <xf numFmtId="177" fontId="72" fillId="23" borderId="119" xfId="1" applyNumberFormat="1" applyFont="1" applyFill="1" applyBorder="1" applyAlignment="1">
      <alignment horizontal="center"/>
    </xf>
    <xf numFmtId="0" fontId="71" fillId="23" borderId="120" xfId="0" applyFont="1" applyFill="1" applyBorder="1" applyAlignment="1">
      <alignment horizontal="right"/>
    </xf>
    <xf numFmtId="44" fontId="0" fillId="0" borderId="120" xfId="2" applyFont="1" applyFill="1" applyBorder="1" applyAlignment="1">
      <alignment horizontal="center"/>
    </xf>
    <xf numFmtId="42" fontId="0" fillId="23" borderId="120" xfId="2" applyNumberFormat="1" applyFont="1" applyFill="1" applyBorder="1" applyAlignment="1">
      <alignment horizontal="center"/>
    </xf>
    <xf numFmtId="44" fontId="0" fillId="23" borderId="120" xfId="2" applyFont="1" applyFill="1" applyBorder="1" applyAlignment="1">
      <alignment horizontal="center"/>
    </xf>
    <xf numFmtId="0" fontId="83" fillId="0" borderId="120" xfId="0" applyFont="1" applyBorder="1" applyAlignment="1">
      <alignment horizontal="center" vertical="center"/>
    </xf>
    <xf numFmtId="10" fontId="0" fillId="23" borderId="120" xfId="2" applyNumberFormat="1" applyFont="1" applyFill="1" applyBorder="1" applyAlignment="1">
      <alignment horizontal="center"/>
    </xf>
    <xf numFmtId="170" fontId="0" fillId="23" borderId="120" xfId="0" applyNumberFormat="1" applyFill="1" applyBorder="1" applyAlignment="1">
      <alignment horizontal="center"/>
    </xf>
    <xf numFmtId="10" fontId="0" fillId="23" borderId="120" xfId="0" applyNumberFormat="1" applyFill="1" applyBorder="1" applyAlignment="1">
      <alignment horizontal="center"/>
    </xf>
    <xf numFmtId="10" fontId="0" fillId="23" borderId="121" xfId="0" applyNumberFormat="1" applyFill="1" applyBorder="1" applyAlignment="1">
      <alignment horizontal="center"/>
    </xf>
    <xf numFmtId="10" fontId="15" fillId="0" borderId="0" xfId="0" applyNumberFormat="1" applyFont="1"/>
    <xf numFmtId="0" fontId="83" fillId="18" borderId="122" xfId="0" applyFont="1" applyFill="1" applyBorder="1" applyAlignment="1">
      <alignment horizontal="left" vertical="center" wrapText="1"/>
    </xf>
    <xf numFmtId="164" fontId="0" fillId="3" borderId="123" xfId="1" applyNumberFormat="1" applyFont="1" applyFill="1" applyBorder="1" applyAlignment="1">
      <alignment horizontal="center"/>
    </xf>
    <xf numFmtId="0" fontId="0" fillId="0" borderId="63" xfId="0" applyBorder="1" applyAlignment="1">
      <alignment wrapText="1"/>
    </xf>
    <xf numFmtId="0" fontId="0" fillId="23" borderId="63" xfId="0" applyFill="1" applyBorder="1" applyAlignment="1">
      <alignment wrapText="1"/>
    </xf>
    <xf numFmtId="42" fontId="67" fillId="18" borderId="63" xfId="0" applyNumberFormat="1" applyFont="1" applyFill="1" applyBorder="1" applyAlignment="1">
      <alignment horizontal="center" vertical="center"/>
    </xf>
    <xf numFmtId="0" fontId="83" fillId="18" borderId="92" xfId="0" applyFont="1" applyFill="1" applyBorder="1" applyAlignment="1">
      <alignment horizontal="left" vertical="center" wrapText="1"/>
    </xf>
    <xf numFmtId="0" fontId="0" fillId="0" borderId="71" xfId="0" applyBorder="1" applyAlignment="1">
      <alignment horizontal="left"/>
    </xf>
    <xf numFmtId="0" fontId="0" fillId="0" borderId="124" xfId="0" applyBorder="1" applyAlignment="1">
      <alignment horizontal="left"/>
    </xf>
    <xf numFmtId="0" fontId="4" fillId="36" borderId="0" xfId="0" applyFont="1" applyFill="1" applyAlignment="1">
      <alignment horizontal="center" wrapText="1"/>
    </xf>
    <xf numFmtId="42" fontId="4" fillId="0" borderId="0" xfId="0" applyNumberFormat="1" applyFont="1" applyAlignment="1">
      <alignment horizontal="center"/>
    </xf>
    <xf numFmtId="6" fontId="0" fillId="0" borderId="0" xfId="0" applyNumberFormat="1"/>
    <xf numFmtId="0" fontId="82" fillId="18" borderId="107" xfId="0" applyFont="1" applyFill="1" applyBorder="1" applyAlignment="1">
      <alignment horizontal="left" vertical="center"/>
    </xf>
    <xf numFmtId="0" fontId="83" fillId="18" borderId="125" xfId="0" applyFont="1" applyFill="1" applyBorder="1" applyAlignment="1">
      <alignment horizontal="center" vertical="center" wrapText="1"/>
    </xf>
    <xf numFmtId="164" fontId="0" fillId="3" borderId="113" xfId="1" applyNumberFormat="1" applyFont="1" applyFill="1" applyBorder="1" applyAlignment="1">
      <alignment horizontal="center"/>
    </xf>
    <xf numFmtId="164" fontId="0" fillId="3" borderId="70" xfId="1" applyNumberFormat="1" applyFont="1" applyFill="1" applyBorder="1" applyAlignment="1">
      <alignment horizontal="center"/>
    </xf>
    <xf numFmtId="0" fontId="84" fillId="0" borderId="116" xfId="0" applyFont="1" applyBorder="1"/>
    <xf numFmtId="2" fontId="0" fillId="0" borderId="81" xfId="0" applyNumberFormat="1" applyBorder="1" applyAlignment="1">
      <alignment horizontal="center"/>
    </xf>
    <xf numFmtId="0" fontId="0" fillId="23" borderId="116" xfId="0" applyFill="1" applyBorder="1" applyAlignment="1">
      <alignment horizontal="left"/>
    </xf>
    <xf numFmtId="2" fontId="0" fillId="23" borderId="81" xfId="0" applyNumberFormat="1" applyFill="1" applyBorder="1" applyAlignment="1">
      <alignment horizontal="center"/>
    </xf>
    <xf numFmtId="2" fontId="67" fillId="18" borderId="126" xfId="0" applyNumberFormat="1" applyFont="1" applyFill="1" applyBorder="1" applyAlignment="1">
      <alignment horizontal="center" vertical="center"/>
    </xf>
    <xf numFmtId="10" fontId="0" fillId="0" borderId="81" xfId="0" applyNumberFormat="1" applyBorder="1" applyAlignment="1">
      <alignment horizontal="center"/>
    </xf>
    <xf numFmtId="10" fontId="0" fillId="23" borderId="81" xfId="0" applyNumberFormat="1" applyFill="1" applyBorder="1" applyAlignment="1">
      <alignment horizontal="center"/>
    </xf>
    <xf numFmtId="10" fontId="67" fillId="18" borderId="126" xfId="0" applyNumberFormat="1" applyFont="1" applyFill="1" applyBorder="1" applyAlignment="1">
      <alignment horizontal="center" vertical="center"/>
    </xf>
    <xf numFmtId="0" fontId="0" fillId="0" borderId="116" xfId="0" applyBorder="1" applyAlignment="1">
      <alignment horizontal="right"/>
    </xf>
    <xf numFmtId="0" fontId="71" fillId="0" borderId="116" xfId="0" applyFont="1" applyBorder="1" applyAlignment="1">
      <alignment horizontal="right"/>
    </xf>
    <xf numFmtId="0" fontId="64" fillId="0" borderId="113" xfId="0" applyFont="1" applyBorder="1"/>
    <xf numFmtId="0" fontId="0" fillId="0" borderId="70" xfId="0" applyBorder="1"/>
    <xf numFmtId="0" fontId="64" fillId="23" borderId="113" xfId="0" applyFont="1" applyFill="1" applyBorder="1"/>
    <xf numFmtId="8" fontId="0" fillId="23" borderId="0" xfId="0" applyNumberFormat="1" applyFill="1"/>
    <xf numFmtId="0" fontId="0" fillId="23" borderId="70" xfId="0" applyFill="1" applyBorder="1"/>
    <xf numFmtId="0" fontId="0" fillId="23" borderId="119" xfId="0" applyFill="1" applyBorder="1" applyAlignment="1">
      <alignment horizontal="right"/>
    </xf>
    <xf numFmtId="10" fontId="0" fillId="23" borderId="121" xfId="2" applyNumberFormat="1" applyFont="1" applyFill="1" applyBorder="1" applyAlignment="1">
      <alignment horizontal="center"/>
    </xf>
    <xf numFmtId="0" fontId="83" fillId="0" borderId="113" xfId="0" applyFont="1" applyBorder="1" applyAlignment="1">
      <alignment horizontal="center" vertical="center"/>
    </xf>
    <xf numFmtId="0" fontId="76" fillId="0" borderId="75" xfId="0" applyFont="1" applyBorder="1" applyAlignment="1">
      <alignment horizontal="center"/>
    </xf>
    <xf numFmtId="169" fontId="28" fillId="0" borderId="15" xfId="0" applyNumberFormat="1" applyFont="1" applyBorder="1" applyAlignment="1" applyProtection="1">
      <alignment horizontal="center"/>
      <protection locked="0"/>
    </xf>
    <xf numFmtId="0" fontId="116" fillId="9" borderId="62" xfId="10" applyFont="1" applyFill="1" applyBorder="1" applyAlignment="1">
      <alignment vertical="center"/>
    </xf>
    <xf numFmtId="0" fontId="117" fillId="9" borderId="62" xfId="10" applyFont="1" applyFill="1" applyBorder="1" applyAlignment="1">
      <alignment vertical="center" wrapText="1"/>
    </xf>
    <xf numFmtId="0" fontId="116" fillId="9" borderId="0" xfId="10" applyFont="1" applyFill="1" applyBorder="1" applyAlignment="1">
      <alignment vertical="center"/>
    </xf>
    <xf numFmtId="0" fontId="117" fillId="9" borderId="0" xfId="10" applyFont="1" applyFill="1" applyBorder="1" applyAlignment="1">
      <alignment vertical="center" wrapText="1"/>
    </xf>
    <xf numFmtId="0" fontId="35" fillId="0" borderId="0" xfId="0" applyFont="1" applyAlignment="1">
      <alignment vertical="center"/>
    </xf>
    <xf numFmtId="167" fontId="85" fillId="0" borderId="0" xfId="0" applyNumberFormat="1" applyFont="1"/>
    <xf numFmtId="4" fontId="99" fillId="0" borderId="105" xfId="0" applyNumberFormat="1" applyFont="1" applyBorder="1"/>
    <xf numFmtId="0" fontId="30" fillId="9" borderId="98" xfId="0" applyFont="1" applyFill="1" applyBorder="1" applyAlignment="1">
      <alignment horizontal="left" vertical="center" wrapText="1"/>
    </xf>
    <xf numFmtId="0" fontId="30" fillId="9" borderId="99" xfId="0" applyFont="1" applyFill="1" applyBorder="1" applyAlignment="1">
      <alignment horizontal="left" vertical="center" wrapText="1"/>
    </xf>
    <xf numFmtId="0" fontId="30" fillId="9" borderId="100" xfId="0" applyFont="1" applyFill="1" applyBorder="1" applyAlignment="1">
      <alignment horizontal="left" vertical="center"/>
    </xf>
    <xf numFmtId="0" fontId="30" fillId="9" borderId="102" xfId="0" applyFont="1" applyFill="1" applyBorder="1" applyAlignment="1">
      <alignment horizontal="left" vertical="center"/>
    </xf>
    <xf numFmtId="0" fontId="30" fillId="9" borderId="101" xfId="0" applyFont="1" applyFill="1" applyBorder="1" applyAlignment="1">
      <alignment horizontal="left" vertical="center"/>
    </xf>
    <xf numFmtId="0" fontId="30" fillId="9" borderId="103" xfId="0" applyFont="1" applyFill="1" applyBorder="1" applyAlignment="1">
      <alignment horizontal="left" vertical="center"/>
    </xf>
    <xf numFmtId="0" fontId="0" fillId="0" borderId="24" xfId="0" applyBorder="1" applyAlignment="1">
      <alignment wrapText="1"/>
    </xf>
    <xf numFmtId="14" fontId="0" fillId="0" borderId="85" xfId="0" applyNumberFormat="1" applyBorder="1" applyAlignment="1">
      <alignment horizontal="left" wrapText="1"/>
    </xf>
    <xf numFmtId="0" fontId="0" fillId="0" borderId="85" xfId="0" applyBorder="1" applyAlignment="1">
      <alignment wrapText="1"/>
    </xf>
    <xf numFmtId="169" fontId="0" fillId="0" borderId="0" xfId="0" applyNumberFormat="1" applyAlignment="1" applyProtection="1">
      <alignment horizontal="center"/>
      <protection locked="0"/>
    </xf>
    <xf numFmtId="0" fontId="5" fillId="0" borderId="0" xfId="4" applyBorder="1" applyAlignment="1" applyProtection="1">
      <alignment horizontal="center" vertical="center"/>
      <protection locked="0"/>
    </xf>
    <xf numFmtId="5" fontId="0" fillId="0" borderId="0" xfId="2" applyNumberFormat="1" applyFont="1" applyBorder="1" applyAlignment="1" applyProtection="1">
      <alignment horizontal="center"/>
      <protection locked="0"/>
    </xf>
    <xf numFmtId="44" fontId="0" fillId="0" borderId="0" xfId="2" applyFont="1" applyAlignment="1">
      <alignment wrapText="1"/>
    </xf>
    <xf numFmtId="0" fontId="0" fillId="0" borderId="0" xfId="0" applyAlignment="1" applyProtection="1">
      <alignment wrapText="1"/>
      <protection locked="0"/>
    </xf>
    <xf numFmtId="0" fontId="31" fillId="9" borderId="127" xfId="0" applyFont="1" applyFill="1" applyBorder="1" applyAlignment="1">
      <alignment horizontal="left" vertical="center" wrapText="1"/>
    </xf>
    <xf numFmtId="0" fontId="84" fillId="41" borderId="0" xfId="0" applyFont="1" applyFill="1"/>
    <xf numFmtId="0" fontId="30" fillId="0" borderId="50" xfId="0" applyFont="1" applyBorder="1"/>
    <xf numFmtId="169" fontId="7" fillId="0" borderId="15" xfId="0" applyNumberFormat="1" applyFont="1" applyBorder="1" applyAlignment="1" applyProtection="1">
      <alignment horizontal="center"/>
      <protection locked="0"/>
    </xf>
    <xf numFmtId="169" fontId="92" fillId="0" borderId="15" xfId="0" applyNumberFormat="1" applyFont="1" applyBorder="1" applyAlignment="1" applyProtection="1">
      <alignment horizontal="center" wrapText="1"/>
      <protection locked="0"/>
    </xf>
    <xf numFmtId="0" fontId="118" fillId="0" borderId="0" xfId="0" applyFont="1" applyAlignment="1" applyProtection="1">
      <alignment horizontal="center"/>
      <protection locked="0"/>
    </xf>
    <xf numFmtId="44" fontId="0" fillId="0" borderId="0" xfId="0" applyNumberFormat="1"/>
    <xf numFmtId="42" fontId="119" fillId="32" borderId="31" xfId="0" applyNumberFormat="1" applyFont="1" applyFill="1" applyBorder="1"/>
    <xf numFmtId="44" fontId="30" fillId="0" borderId="0" xfId="2" applyFont="1" applyBorder="1" applyAlignment="1">
      <alignment horizontal="center" vertical="center"/>
    </xf>
    <xf numFmtId="0" fontId="0" fillId="42" borderId="0" xfId="0" applyFill="1" applyProtection="1">
      <protection locked="0"/>
    </xf>
    <xf numFmtId="6" fontId="0" fillId="42" borderId="0" xfId="0" applyNumberFormat="1" applyFill="1" applyProtection="1">
      <protection locked="0"/>
    </xf>
    <xf numFmtId="9" fontId="0" fillId="0" borderId="0" xfId="0" applyNumberFormat="1" applyProtection="1">
      <protection locked="0"/>
    </xf>
    <xf numFmtId="0" fontId="0" fillId="38" borderId="0" xfId="0" applyFill="1" applyProtection="1">
      <protection locked="0"/>
    </xf>
    <xf numFmtId="0" fontId="0" fillId="33" borderId="0" xfId="0" applyFill="1" applyProtection="1">
      <protection locked="0"/>
    </xf>
    <xf numFmtId="0" fontId="30" fillId="9" borderId="0" xfId="0" applyFont="1" applyFill="1" applyAlignment="1">
      <alignment horizontal="left" wrapText="1"/>
    </xf>
    <xf numFmtId="0" fontId="83" fillId="18" borderId="109" xfId="0" applyFont="1" applyFill="1" applyBorder="1" applyAlignment="1">
      <alignment horizontal="center" vertical="center" wrapText="1"/>
    </xf>
    <xf numFmtId="10" fontId="67" fillId="18" borderId="65" xfId="0" applyNumberFormat="1" applyFont="1" applyFill="1" applyBorder="1" applyAlignment="1">
      <alignment horizontal="center" vertical="center"/>
    </xf>
    <xf numFmtId="10" fontId="0" fillId="23" borderId="0" xfId="0" applyNumberFormat="1" applyFill="1" applyAlignment="1">
      <alignment horizontal="center"/>
    </xf>
    <xf numFmtId="0" fontId="91" fillId="32" borderId="128" xfId="0" applyFont="1" applyFill="1" applyBorder="1"/>
    <xf numFmtId="10" fontId="0" fillId="23" borderId="129" xfId="2" applyNumberFormat="1" applyFont="1" applyFill="1" applyBorder="1" applyAlignment="1">
      <alignment horizontal="center"/>
    </xf>
    <xf numFmtId="42" fontId="0" fillId="0" borderId="63" xfId="0" applyNumberFormat="1" applyBorder="1" applyAlignment="1">
      <alignment horizontal="center"/>
    </xf>
    <xf numFmtId="42" fontId="0" fillId="23" borderId="63" xfId="0" applyNumberFormat="1" applyFill="1" applyBorder="1" applyAlignment="1">
      <alignment horizontal="center"/>
    </xf>
    <xf numFmtId="0" fontId="7" fillId="0" borderId="30" xfId="0" applyFont="1" applyBorder="1" applyAlignment="1" applyProtection="1">
      <alignment horizontal="right"/>
      <protection locked="0"/>
    </xf>
    <xf numFmtId="0" fontId="7" fillId="0" borderId="0" xfId="0" applyFont="1" applyAlignment="1" applyProtection="1">
      <alignment horizontal="right"/>
      <protection locked="0"/>
    </xf>
    <xf numFmtId="5" fontId="0" fillId="0" borderId="130" xfId="2" applyNumberFormat="1" applyFont="1" applyBorder="1" applyAlignment="1" applyProtection="1">
      <alignment horizontal="center"/>
      <protection locked="0"/>
    </xf>
    <xf numFmtId="5" fontId="0" fillId="0" borderId="131" xfId="2" applyNumberFormat="1" applyFont="1" applyBorder="1" applyAlignment="1" applyProtection="1">
      <alignment horizontal="center"/>
      <protection locked="0"/>
    </xf>
    <xf numFmtId="7" fontId="0" fillId="0" borderId="0" xfId="0" applyNumberFormat="1" applyProtection="1">
      <protection locked="0"/>
    </xf>
    <xf numFmtId="0" fontId="30" fillId="0" borderId="0" xfId="0" applyFont="1" applyAlignment="1">
      <alignment vertical="center" wrapText="1"/>
    </xf>
    <xf numFmtId="5" fontId="0" fillId="0" borderId="63" xfId="0" applyNumberFormat="1" applyBorder="1" applyAlignment="1">
      <alignment horizontal="center"/>
    </xf>
    <xf numFmtId="0" fontId="1" fillId="23" borderId="0" xfId="0" applyFont="1" applyFill="1"/>
    <xf numFmtId="4" fontId="1" fillId="23" borderId="0" xfId="0" applyNumberFormat="1" applyFont="1" applyFill="1"/>
    <xf numFmtId="0" fontId="1" fillId="0" borderId="0" xfId="0" applyFont="1"/>
    <xf numFmtId="4" fontId="1" fillId="0" borderId="0" xfId="0" applyNumberFormat="1" applyFont="1"/>
    <xf numFmtId="42" fontId="1" fillId="23" borderId="63" xfId="1" applyNumberFormat="1" applyFont="1" applyFill="1" applyBorder="1" applyAlignment="1">
      <alignment horizontal="left"/>
    </xf>
    <xf numFmtId="42" fontId="1" fillId="0" borderId="63" xfId="2" applyNumberFormat="1" applyFont="1" applyBorder="1" applyAlignment="1">
      <alignment horizontal="left"/>
    </xf>
    <xf numFmtId="7" fontId="0" fillId="0" borderId="0" xfId="0" applyNumberFormat="1"/>
    <xf numFmtId="167" fontId="4" fillId="37" borderId="139" xfId="2" applyNumberFormat="1" applyFont="1" applyFill="1" applyBorder="1" applyAlignment="1">
      <alignment horizontal="center" vertical="center"/>
    </xf>
    <xf numFmtId="167" fontId="4" fillId="37" borderId="140" xfId="2" applyNumberFormat="1" applyFont="1" applyFill="1" applyBorder="1" applyAlignment="1">
      <alignment horizontal="center" vertical="center"/>
    </xf>
    <xf numFmtId="0" fontId="0" fillId="0" borderId="142" xfId="0" applyBorder="1" applyAlignment="1">
      <alignment horizontal="center"/>
    </xf>
    <xf numFmtId="0" fontId="0" fillId="0" borderId="143" xfId="0" applyBorder="1" applyAlignment="1">
      <alignment horizontal="center"/>
    </xf>
    <xf numFmtId="167" fontId="0" fillId="0" borderId="142" xfId="2" applyNumberFormat="1" applyFont="1" applyBorder="1"/>
    <xf numFmtId="167" fontId="4" fillId="0" borderId="143" xfId="2" applyNumberFormat="1" applyFont="1" applyBorder="1"/>
    <xf numFmtId="167" fontId="4" fillId="0" borderId="140" xfId="2" applyNumberFormat="1" applyFont="1" applyBorder="1"/>
    <xf numFmtId="44" fontId="0" fillId="0" borderId="141" xfId="2" applyFont="1" applyBorder="1"/>
    <xf numFmtId="44" fontId="0" fillId="0" borderId="140" xfId="2" applyFont="1" applyBorder="1"/>
    <xf numFmtId="0" fontId="0" fillId="0" borderId="140" xfId="0" applyBorder="1"/>
    <xf numFmtId="176" fontId="0" fillId="0" borderId="142" xfId="1" applyNumberFormat="1" applyFont="1" applyBorder="1"/>
    <xf numFmtId="44" fontId="0" fillId="0" borderId="140" xfId="0" applyNumberFormat="1" applyBorder="1"/>
    <xf numFmtId="167" fontId="0" fillId="0" borderId="140" xfId="2" applyNumberFormat="1" applyFont="1" applyBorder="1"/>
    <xf numFmtId="167" fontId="114" fillId="9" borderId="140" xfId="2" applyNumberFormat="1" applyFont="1" applyFill="1" applyBorder="1"/>
    <xf numFmtId="0" fontId="0" fillId="0" borderId="134" xfId="0" applyBorder="1" applyAlignment="1">
      <alignment horizontal="center"/>
    </xf>
    <xf numFmtId="0" fontId="0" fillId="0" borderId="133" xfId="0" applyBorder="1" applyAlignment="1">
      <alignment horizontal="center"/>
    </xf>
    <xf numFmtId="0" fontId="0" fillId="0" borderId="141" xfId="0" applyBorder="1"/>
    <xf numFmtId="167" fontId="0" fillId="0" borderId="133" xfId="2" applyNumberFormat="1" applyFont="1" applyBorder="1"/>
    <xf numFmtId="167" fontId="4" fillId="0" borderId="134" xfId="2" applyNumberFormat="1" applyFont="1" applyBorder="1"/>
    <xf numFmtId="167" fontId="4" fillId="0" borderId="141" xfId="2" applyNumberFormat="1" applyFont="1" applyBorder="1"/>
    <xf numFmtId="167" fontId="114" fillId="9" borderId="141" xfId="2" applyNumberFormat="1" applyFont="1" applyFill="1" applyBorder="1"/>
    <xf numFmtId="176" fontId="0" fillId="9" borderId="142" xfId="1" applyNumberFormat="1" applyFont="1" applyFill="1" applyBorder="1"/>
    <xf numFmtId="167" fontId="0" fillId="9" borderId="140" xfId="2" applyNumberFormat="1" applyFont="1" applyFill="1" applyBorder="1"/>
    <xf numFmtId="0" fontId="85" fillId="28" borderId="140" xfId="0" applyFont="1" applyFill="1" applyBorder="1"/>
    <xf numFmtId="0" fontId="85" fillId="28" borderId="139" xfId="0" applyFont="1" applyFill="1" applyBorder="1"/>
    <xf numFmtId="0" fontId="85" fillId="28" borderId="141" xfId="0" applyFont="1" applyFill="1" applyBorder="1"/>
    <xf numFmtId="9" fontId="84" fillId="0" borderId="139" xfId="0" applyNumberFormat="1" applyFont="1" applyBorder="1"/>
    <xf numFmtId="0" fontId="84" fillId="0" borderId="139" xfId="0" applyFont="1" applyBorder="1"/>
    <xf numFmtId="0" fontId="84" fillId="0" borderId="140" xfId="0" applyFont="1" applyBorder="1"/>
    <xf numFmtId="0" fontId="14" fillId="0" borderId="141" xfId="0" applyFont="1" applyBorder="1" applyAlignment="1">
      <alignment horizontal="center"/>
    </xf>
    <xf numFmtId="0" fontId="30" fillId="19" borderId="146" xfId="0" applyFont="1" applyFill="1" applyBorder="1" applyAlignment="1">
      <alignment horizontal="center" vertical="center"/>
    </xf>
    <xf numFmtId="0" fontId="30" fillId="0" borderId="147" xfId="0" applyFont="1" applyBorder="1" applyAlignment="1">
      <alignment vertical="center"/>
    </xf>
    <xf numFmtId="0" fontId="30" fillId="19" borderId="136" xfId="0" applyFont="1" applyFill="1" applyBorder="1" applyAlignment="1">
      <alignment horizontal="center" vertical="center"/>
    </xf>
    <xf numFmtId="0" fontId="30" fillId="19" borderId="141" xfId="0" applyFont="1" applyFill="1" applyBorder="1" applyAlignment="1">
      <alignment horizontal="center" vertical="center"/>
    </xf>
    <xf numFmtId="0" fontId="30" fillId="19" borderId="147" xfId="0" applyFont="1" applyFill="1" applyBorder="1" applyAlignment="1">
      <alignment horizontal="center" vertical="center"/>
    </xf>
    <xf numFmtId="0" fontId="30" fillId="0" borderId="149" xfId="0" applyFont="1" applyBorder="1" applyAlignment="1">
      <alignment vertical="center"/>
    </xf>
    <xf numFmtId="164" fontId="81" fillId="8" borderId="135" xfId="1" applyNumberFormat="1" applyFont="1" applyFill="1" applyBorder="1" applyAlignment="1">
      <alignment horizontal="center" vertical="center"/>
    </xf>
    <xf numFmtId="164" fontId="81" fillId="8" borderId="136" xfId="1" applyNumberFormat="1" applyFont="1" applyFill="1" applyBorder="1" applyAlignment="1">
      <alignment horizontal="center" vertical="center" wrapText="1"/>
    </xf>
    <xf numFmtId="164" fontId="81" fillId="8" borderId="137" xfId="1" applyNumberFormat="1" applyFont="1" applyFill="1" applyBorder="1" applyAlignment="1">
      <alignment horizontal="center" vertical="center" wrapText="1"/>
    </xf>
    <xf numFmtId="44" fontId="46" fillId="0" borderId="143" xfId="2" applyFont="1" applyBorder="1"/>
    <xf numFmtId="0" fontId="46" fillId="0" borderId="150" xfId="0" applyFont="1" applyBorder="1"/>
    <xf numFmtId="44" fontId="46" fillId="0" borderId="148" xfId="2" applyFont="1" applyBorder="1"/>
    <xf numFmtId="44" fontId="46" fillId="0" borderId="151" xfId="2" applyFont="1" applyBorder="1" applyAlignment="1">
      <alignment horizontal="center"/>
    </xf>
    <xf numFmtId="44" fontId="46" fillId="0" borderId="152" xfId="2" applyFont="1" applyBorder="1" applyAlignment="1">
      <alignment horizontal="right"/>
    </xf>
    <xf numFmtId="170" fontId="46" fillId="0" borderId="148" xfId="0" applyNumberFormat="1" applyFont="1" applyBorder="1"/>
    <xf numFmtId="173" fontId="46" fillId="0" borderId="151" xfId="1" applyNumberFormat="1" applyFont="1" applyBorder="1" applyAlignment="1">
      <alignment horizontal="center"/>
    </xf>
    <xf numFmtId="170" fontId="46" fillId="0" borderId="152" xfId="0" applyNumberFormat="1" applyFont="1" applyBorder="1" applyAlignment="1">
      <alignment horizontal="right"/>
    </xf>
    <xf numFmtId="165" fontId="46" fillId="0" borderId="150" xfId="0" applyNumberFormat="1" applyFont="1" applyBorder="1"/>
    <xf numFmtId="44" fontId="46" fillId="0" borderId="148" xfId="2" applyFont="1" applyBorder="1" applyAlignment="1">
      <alignment horizontal="right"/>
    </xf>
    <xf numFmtId="0" fontId="46" fillId="0" borderId="148" xfId="0" applyFont="1" applyBorder="1" applyAlignment="1">
      <alignment horizontal="right"/>
    </xf>
    <xf numFmtId="0" fontId="4" fillId="14" borderId="148" xfId="0" applyFont="1" applyFill="1" applyBorder="1" applyAlignment="1">
      <alignment horizontal="center"/>
    </xf>
    <xf numFmtId="164" fontId="4" fillId="14" borderId="150" xfId="1" applyNumberFormat="1" applyFont="1" applyFill="1" applyBorder="1"/>
    <xf numFmtId="0" fontId="0" fillId="0" borderId="154" xfId="0" applyBorder="1" applyProtection="1">
      <protection locked="0"/>
    </xf>
    <xf numFmtId="0" fontId="0" fillId="0" borderId="155" xfId="0" applyBorder="1" applyAlignment="1">
      <alignment vertical="top"/>
    </xf>
    <xf numFmtId="0" fontId="30" fillId="9" borderId="157" xfId="0" applyFont="1" applyFill="1" applyBorder="1" applyAlignment="1">
      <alignment horizontal="left" wrapText="1"/>
    </xf>
    <xf numFmtId="0" fontId="31" fillId="9" borderId="157" xfId="0" applyFont="1" applyFill="1" applyBorder="1" applyAlignment="1">
      <alignment horizontal="left" vertical="center" wrapText="1"/>
    </xf>
    <xf numFmtId="0" fontId="0" fillId="0" borderId="156" xfId="0" applyBorder="1" applyProtection="1">
      <protection locked="0"/>
    </xf>
    <xf numFmtId="0" fontId="30" fillId="0" borderId="158" xfId="0" quotePrefix="1" applyFont="1" applyBorder="1"/>
    <xf numFmtId="3" fontId="0" fillId="0" borderId="160" xfId="0" applyNumberFormat="1" applyBorder="1" applyAlignment="1" applyProtection="1">
      <alignment horizontal="left"/>
      <protection locked="0"/>
    </xf>
    <xf numFmtId="3" fontId="0" fillId="22" borderId="160" xfId="0" applyNumberFormat="1" applyFill="1" applyBorder="1" applyAlignment="1" applyProtection="1">
      <alignment horizontal="left"/>
      <protection locked="0"/>
    </xf>
    <xf numFmtId="0" fontId="0" fillId="0" borderId="160" xfId="0" applyBorder="1" applyProtection="1">
      <protection locked="0"/>
    </xf>
    <xf numFmtId="0" fontId="30" fillId="9" borderId="162" xfId="0" applyFont="1" applyFill="1" applyBorder="1" applyAlignment="1">
      <alignment horizontal="left" vertical="center" wrapText="1"/>
    </xf>
    <xf numFmtId="0" fontId="30" fillId="9" borderId="162" xfId="0" applyFont="1" applyFill="1" applyBorder="1" applyAlignment="1">
      <alignment horizontal="left" wrapText="1"/>
    </xf>
    <xf numFmtId="0" fontId="30" fillId="22" borderId="163" xfId="0" applyFont="1" applyFill="1" applyBorder="1" applyAlignment="1">
      <alignment horizontal="left"/>
    </xf>
    <xf numFmtId="0" fontId="6" fillId="22" borderId="164" xfId="0" applyFont="1" applyFill="1" applyBorder="1" applyProtection="1">
      <protection locked="0"/>
    </xf>
    <xf numFmtId="0" fontId="30" fillId="9" borderId="154" xfId="0" applyFont="1" applyFill="1" applyBorder="1" applyAlignment="1">
      <alignment horizontal="center" vertical="center"/>
    </xf>
    <xf numFmtId="0" fontId="0" fillId="0" borderId="154" xfId="0" applyBorder="1" applyAlignment="1" applyProtection="1">
      <alignment horizontal="left" vertical="top"/>
      <protection locked="0"/>
    </xf>
    <xf numFmtId="2" fontId="0" fillId="0" borderId="154" xfId="0" applyNumberFormat="1" applyBorder="1" applyProtection="1">
      <protection locked="0"/>
    </xf>
    <xf numFmtId="165" fontId="0" fillId="0" borderId="167" xfId="0" applyNumberFormat="1" applyBorder="1" applyProtection="1">
      <protection locked="0"/>
    </xf>
    <xf numFmtId="0" fontId="0" fillId="0" borderId="168" xfId="0" applyBorder="1" applyAlignment="1">
      <alignment wrapText="1"/>
    </xf>
    <xf numFmtId="0" fontId="0" fillId="0" borderId="168" xfId="0" applyBorder="1" applyProtection="1">
      <protection locked="0"/>
    </xf>
    <xf numFmtId="0" fontId="0" fillId="0" borderId="169" xfId="0" applyBorder="1" applyAlignment="1" applyProtection="1">
      <alignment horizontal="right"/>
      <protection locked="0"/>
    </xf>
    <xf numFmtId="0" fontId="0" fillId="0" borderId="168" xfId="0" applyBorder="1" applyAlignment="1">
      <alignment horizontal="left" wrapText="1"/>
    </xf>
    <xf numFmtId="14" fontId="0" fillId="0" borderId="168" xfId="0" applyNumberFormat="1" applyBorder="1" applyAlignment="1">
      <alignment horizontal="left" wrapText="1"/>
    </xf>
    <xf numFmtId="0" fontId="0" fillId="0" borderId="169" xfId="0" applyBorder="1" applyProtection="1">
      <protection locked="0"/>
    </xf>
    <xf numFmtId="0" fontId="6" fillId="0" borderId="168" xfId="0" applyFont="1" applyBorder="1" applyProtection="1">
      <protection locked="0"/>
    </xf>
    <xf numFmtId="0" fontId="4" fillId="3" borderId="168" xfId="0" applyFont="1" applyFill="1" applyBorder="1" applyAlignment="1">
      <alignment horizontal="center" wrapText="1"/>
    </xf>
    <xf numFmtId="0" fontId="6" fillId="22" borderId="168" xfId="0" applyFont="1" applyFill="1" applyBorder="1" applyProtection="1">
      <protection locked="0"/>
    </xf>
    <xf numFmtId="0" fontId="0" fillId="22" borderId="168" xfId="0" applyFill="1" applyBorder="1" applyProtection="1">
      <protection locked="0"/>
    </xf>
    <xf numFmtId="165" fontId="0" fillId="22" borderId="169" xfId="0" applyNumberFormat="1" applyFill="1" applyBorder="1" applyProtection="1">
      <protection locked="0"/>
    </xf>
    <xf numFmtId="165" fontId="0" fillId="0" borderId="169" xfId="0" applyNumberFormat="1" applyBorder="1" applyProtection="1">
      <protection locked="0"/>
    </xf>
    <xf numFmtId="2" fontId="0" fillId="0" borderId="168" xfId="0" applyNumberFormat="1" applyBorder="1" applyProtection="1">
      <protection locked="0"/>
    </xf>
    <xf numFmtId="165" fontId="0" fillId="0" borderId="168" xfId="0" applyNumberFormat="1" applyBorder="1" applyProtection="1">
      <protection locked="0"/>
    </xf>
    <xf numFmtId="0" fontId="0" fillId="6" borderId="168" xfId="0" applyFill="1" applyBorder="1" applyAlignment="1">
      <alignment wrapText="1"/>
    </xf>
    <xf numFmtId="0" fontId="0" fillId="6" borderId="168" xfId="0" applyFill="1" applyBorder="1" applyProtection="1">
      <protection locked="0"/>
    </xf>
    <xf numFmtId="0" fontId="0" fillId="6" borderId="168" xfId="0" applyFill="1" applyBorder="1" applyAlignment="1" applyProtection="1">
      <alignment vertical="center"/>
      <protection locked="0"/>
    </xf>
    <xf numFmtId="0" fontId="0" fillId="6" borderId="168" xfId="0" applyFill="1" applyBorder="1" applyAlignment="1" applyProtection="1">
      <alignment horizontal="right" vertical="center"/>
      <protection locked="0"/>
    </xf>
    <xf numFmtId="0" fontId="0" fillId="6" borderId="169" xfId="0" applyFill="1" applyBorder="1" applyAlignment="1" applyProtection="1">
      <alignment horizontal="right"/>
      <protection locked="0"/>
    </xf>
    <xf numFmtId="0" fontId="11" fillId="6" borderId="168" xfId="0" applyFont="1" applyFill="1" applyBorder="1" applyAlignment="1" applyProtection="1">
      <alignment horizontal="right" vertical="center"/>
      <protection locked="0"/>
    </xf>
    <xf numFmtId="164" fontId="11" fillId="6" borderId="169" xfId="1" applyNumberFormat="1" applyFont="1" applyFill="1" applyBorder="1" applyAlignment="1" applyProtection="1">
      <alignment horizontal="right"/>
      <protection locked="0"/>
    </xf>
    <xf numFmtId="0" fontId="11" fillId="6" borderId="169" xfId="0" applyFont="1" applyFill="1" applyBorder="1" applyAlignment="1" applyProtection="1">
      <alignment horizontal="right"/>
      <protection locked="0"/>
    </xf>
    <xf numFmtId="10" fontId="0" fillId="6" borderId="169" xfId="0" applyNumberFormat="1" applyFill="1" applyBorder="1" applyAlignment="1" applyProtection="1">
      <alignment horizontal="right"/>
      <protection locked="0"/>
    </xf>
    <xf numFmtId="165" fontId="0" fillId="0" borderId="170" xfId="0" applyNumberFormat="1" applyBorder="1" applyAlignment="1" applyProtection="1">
      <alignment horizontal="right"/>
      <protection locked="0"/>
    </xf>
    <xf numFmtId="0" fontId="0" fillId="0" borderId="168" xfId="0" applyBorder="1" applyAlignment="1" applyProtection="1">
      <alignment wrapText="1"/>
      <protection locked="0"/>
    </xf>
    <xf numFmtId="44" fontId="0" fillId="0" borderId="170" xfId="0" applyNumberFormat="1" applyBorder="1" applyProtection="1">
      <protection locked="0"/>
    </xf>
    <xf numFmtId="165" fontId="0" fillId="0" borderId="170" xfId="0" applyNumberFormat="1" applyBorder="1" applyProtection="1">
      <protection locked="0"/>
    </xf>
    <xf numFmtId="0" fontId="0" fillId="0" borderId="170" xfId="0" applyBorder="1" applyProtection="1">
      <protection locked="0"/>
    </xf>
    <xf numFmtId="0" fontId="7" fillId="0" borderId="168" xfId="0" applyFont="1" applyBorder="1" applyAlignment="1">
      <alignment horizontal="left" vertical="center" wrapText="1"/>
    </xf>
    <xf numFmtId="0" fontId="8" fillId="0" borderId="168" xfId="5" applyFont="1" applyBorder="1" applyAlignment="1">
      <alignment horizontal="left" vertical="top" wrapText="1"/>
    </xf>
    <xf numFmtId="165" fontId="0" fillId="22" borderId="168" xfId="0" applyNumberFormat="1" applyFill="1" applyBorder="1" applyProtection="1">
      <protection locked="0"/>
    </xf>
    <xf numFmtId="3" fontId="0" fillId="0" borderId="168" xfId="0" applyNumberFormat="1" applyBorder="1" applyProtection="1">
      <protection locked="0"/>
    </xf>
    <xf numFmtId="9" fontId="0" fillId="6" borderId="170" xfId="3" applyFont="1" applyFill="1" applyBorder="1" applyProtection="1">
      <protection locked="0"/>
    </xf>
    <xf numFmtId="44" fontId="0" fillId="6" borderId="170" xfId="2" applyFont="1" applyFill="1" applyBorder="1" applyProtection="1">
      <protection locked="0"/>
    </xf>
    <xf numFmtId="44" fontId="0" fillId="6" borderId="170" xfId="0" applyNumberFormat="1" applyFill="1" applyBorder="1" applyProtection="1">
      <protection locked="0"/>
    </xf>
    <xf numFmtId="165" fontId="12" fillId="6" borderId="170" xfId="0" applyNumberFormat="1" applyFont="1" applyFill="1" applyBorder="1" applyAlignment="1" applyProtection="1">
      <alignment horizontal="center"/>
      <protection locked="0"/>
    </xf>
    <xf numFmtId="3" fontId="0" fillId="0" borderId="170" xfId="0" applyNumberFormat="1" applyBorder="1" applyAlignment="1" applyProtection="1">
      <alignment horizontal="left"/>
      <protection locked="0"/>
    </xf>
    <xf numFmtId="0" fontId="38" fillId="0" borderId="168" xfId="0" applyFont="1" applyBorder="1" applyProtection="1">
      <protection locked="0"/>
    </xf>
    <xf numFmtId="0" fontId="7" fillId="0" borderId="168" xfId="0" applyFont="1" applyBorder="1" applyProtection="1">
      <protection locked="0"/>
    </xf>
    <xf numFmtId="0" fontId="0" fillId="0" borderId="173" xfId="0" applyBorder="1" applyAlignment="1" applyProtection="1">
      <alignment horizontal="right"/>
      <protection locked="0"/>
    </xf>
    <xf numFmtId="0" fontId="6" fillId="0" borderId="172" xfId="0" applyFont="1" applyBorder="1" applyProtection="1">
      <protection locked="0"/>
    </xf>
    <xf numFmtId="0" fontId="0" fillId="0" borderId="172" xfId="0" applyBorder="1" applyProtection="1">
      <protection locked="0"/>
    </xf>
    <xf numFmtId="0" fontId="0" fillId="0" borderId="175" xfId="0" applyBorder="1" applyAlignment="1">
      <alignment vertical="top"/>
    </xf>
    <xf numFmtId="0" fontId="0" fillId="6" borderId="175" xfId="0" applyFill="1" applyBorder="1"/>
    <xf numFmtId="0" fontId="0" fillId="0" borderId="176" xfId="0" applyBorder="1" applyProtection="1">
      <protection locked="0"/>
    </xf>
    <xf numFmtId="0" fontId="0" fillId="0" borderId="175" xfId="0" applyBorder="1" applyProtection="1">
      <protection locked="0"/>
    </xf>
    <xf numFmtId="0" fontId="4" fillId="0" borderId="177" xfId="0" applyFont="1" applyBorder="1" applyAlignment="1" applyProtection="1">
      <alignment horizontal="right"/>
      <protection locked="0"/>
    </xf>
    <xf numFmtId="0" fontId="0" fillId="0" borderId="175" xfId="0" applyBorder="1" applyAlignment="1">
      <alignment horizontal="right"/>
    </xf>
    <xf numFmtId="0" fontId="0" fillId="0" borderId="175" xfId="0" applyBorder="1"/>
    <xf numFmtId="44" fontId="0" fillId="0" borderId="169" xfId="0" applyNumberFormat="1" applyBorder="1" applyProtection="1">
      <protection locked="0"/>
    </xf>
    <xf numFmtId="0" fontId="38" fillId="0" borderId="169" xfId="0" applyFont="1" applyBorder="1" applyProtection="1">
      <protection locked="0"/>
    </xf>
    <xf numFmtId="0" fontId="0" fillId="3" borderId="169" xfId="0" applyFill="1" applyBorder="1" applyProtection="1">
      <protection locked="0"/>
    </xf>
    <xf numFmtId="0" fontId="0" fillId="0" borderId="172" xfId="0" applyBorder="1" applyAlignment="1" applyProtection="1">
      <alignment wrapText="1"/>
      <protection locked="0"/>
    </xf>
    <xf numFmtId="0" fontId="7" fillId="0" borderId="175" xfId="0" applyFont="1" applyBorder="1" applyAlignment="1">
      <alignment horizontal="right"/>
    </xf>
    <xf numFmtId="0" fontId="7" fillId="0" borderId="169" xfId="0" applyFont="1" applyBorder="1" applyAlignment="1" applyProtection="1">
      <alignment horizontal="right"/>
      <protection locked="0"/>
    </xf>
    <xf numFmtId="0" fontId="7" fillId="0" borderId="175" xfId="0" applyFont="1" applyBorder="1"/>
    <xf numFmtId="0" fontId="7" fillId="0" borderId="169" xfId="0" applyFont="1" applyBorder="1" applyProtection="1">
      <protection locked="0"/>
    </xf>
    <xf numFmtId="0" fontId="7" fillId="6" borderId="175" xfId="0" applyFont="1" applyFill="1" applyBorder="1"/>
    <xf numFmtId="0" fontId="7" fillId="6" borderId="169" xfId="0" applyFont="1" applyFill="1" applyBorder="1" applyAlignment="1" applyProtection="1">
      <alignment horizontal="right"/>
      <protection locked="0"/>
    </xf>
    <xf numFmtId="9" fontId="7" fillId="6" borderId="170" xfId="3" applyFont="1" applyFill="1" applyBorder="1" applyProtection="1">
      <protection locked="0"/>
    </xf>
    <xf numFmtId="44" fontId="7" fillId="6" borderId="170" xfId="2" applyFont="1" applyFill="1" applyBorder="1" applyProtection="1">
      <protection locked="0"/>
    </xf>
    <xf numFmtId="44" fontId="7" fillId="6" borderId="170" xfId="0" applyNumberFormat="1" applyFont="1" applyFill="1" applyBorder="1" applyProtection="1">
      <protection locked="0"/>
    </xf>
    <xf numFmtId="164" fontId="7" fillId="6" borderId="169" xfId="1" applyNumberFormat="1" applyFont="1" applyFill="1" applyBorder="1" applyAlignment="1" applyProtection="1">
      <alignment horizontal="right"/>
      <protection locked="0"/>
    </xf>
    <xf numFmtId="165" fontId="7" fillId="6" borderId="170" xfId="0" applyNumberFormat="1" applyFont="1" applyFill="1" applyBorder="1" applyAlignment="1" applyProtection="1">
      <alignment horizontal="center"/>
      <protection locked="0"/>
    </xf>
    <xf numFmtId="0" fontId="30" fillId="9" borderId="174" xfId="0" applyFont="1" applyFill="1" applyBorder="1" applyAlignment="1">
      <alignment vertical="center" wrapText="1"/>
    </xf>
    <xf numFmtId="0" fontId="30" fillId="9" borderId="174" xfId="0" applyFont="1" applyFill="1" applyBorder="1" applyAlignment="1">
      <alignment horizontal="left" vertical="center" wrapText="1"/>
    </xf>
    <xf numFmtId="0" fontId="0" fillId="0" borderId="181" xfId="0" applyBorder="1" applyProtection="1">
      <protection locked="0"/>
    </xf>
    <xf numFmtId="0" fontId="0" fillId="0" borderId="181" xfId="0" applyBorder="1" applyAlignment="1" applyProtection="1">
      <alignment wrapText="1"/>
      <protection locked="0"/>
    </xf>
    <xf numFmtId="0" fontId="0" fillId="0" borderId="181" xfId="0" applyBorder="1" applyAlignment="1">
      <alignment wrapText="1"/>
    </xf>
    <xf numFmtId="0" fontId="0" fillId="0" borderId="24" xfId="0" applyBorder="1" applyAlignment="1" applyProtection="1">
      <alignment horizontal="center"/>
      <protection locked="0"/>
    </xf>
    <xf numFmtId="0" fontId="0" fillId="0" borderId="21" xfId="0" applyBorder="1" applyAlignment="1" applyProtection="1">
      <alignment horizontal="center"/>
      <protection locked="0"/>
    </xf>
    <xf numFmtId="164" fontId="78" fillId="0" borderId="179" xfId="1" applyNumberFormat="1" applyFont="1" applyBorder="1" applyAlignment="1">
      <alignment vertical="center"/>
    </xf>
    <xf numFmtId="39" fontId="78" fillId="0" borderId="179" xfId="1" applyNumberFormat="1" applyFont="1" applyBorder="1" applyAlignment="1">
      <alignment vertical="center"/>
    </xf>
    <xf numFmtId="164" fontId="78" fillId="0" borderId="179" xfId="0" applyNumberFormat="1" applyFont="1" applyBorder="1" applyAlignment="1">
      <alignment horizontal="right"/>
    </xf>
    <xf numFmtId="0" fontId="29" fillId="10" borderId="182" xfId="0" applyFont="1" applyFill="1" applyBorder="1"/>
    <xf numFmtId="0" fontId="29" fillId="10" borderId="183" xfId="0" applyFont="1" applyFill="1" applyBorder="1"/>
    <xf numFmtId="164" fontId="29" fillId="10" borderId="183" xfId="0" applyNumberFormat="1" applyFont="1" applyFill="1" applyBorder="1"/>
    <xf numFmtId="164" fontId="29" fillId="10" borderId="183" xfId="0" applyNumberFormat="1" applyFont="1" applyFill="1" applyBorder="1" applyAlignment="1">
      <alignment horizontal="right"/>
    </xf>
    <xf numFmtId="164" fontId="29" fillId="10" borderId="183" xfId="1" applyNumberFormat="1" applyFont="1" applyFill="1" applyBorder="1"/>
    <xf numFmtId="10" fontId="29" fillId="10" borderId="184" xfId="0" applyNumberFormat="1" applyFont="1" applyFill="1" applyBorder="1"/>
    <xf numFmtId="0" fontId="0" fillId="0" borderId="168" xfId="0" applyBorder="1"/>
    <xf numFmtId="42" fontId="0" fillId="0" borderId="168" xfId="0" applyNumberFormat="1" applyBorder="1"/>
    <xf numFmtId="6" fontId="0" fillId="0" borderId="168" xfId="0" applyNumberFormat="1" applyBorder="1"/>
    <xf numFmtId="44" fontId="46" fillId="0" borderId="186" xfId="2" applyFont="1" applyBorder="1"/>
    <xf numFmtId="172" fontId="46" fillId="0" borderId="187" xfId="1" applyNumberFormat="1" applyFont="1" applyBorder="1" applyAlignment="1">
      <alignment horizontal="center"/>
    </xf>
    <xf numFmtId="170" fontId="46" fillId="0" borderId="186" xfId="0" applyNumberFormat="1" applyFont="1" applyBorder="1"/>
    <xf numFmtId="173" fontId="46" fillId="0" borderId="187" xfId="1" applyNumberFormat="1" applyFont="1" applyBorder="1"/>
    <xf numFmtId="170" fontId="46" fillId="0" borderId="188" xfId="0" applyNumberFormat="1" applyFont="1" applyBorder="1" applyAlignment="1">
      <alignment horizontal="right"/>
    </xf>
    <xf numFmtId="44" fontId="46" fillId="0" borderId="174" xfId="2" applyFont="1" applyBorder="1"/>
    <xf numFmtId="172" fontId="46" fillId="0" borderId="165" xfId="1" applyNumberFormat="1" applyFont="1" applyBorder="1" applyAlignment="1">
      <alignment horizontal="center"/>
    </xf>
    <xf numFmtId="44" fontId="46" fillId="0" borderId="189" xfId="2" applyFont="1" applyBorder="1"/>
    <xf numFmtId="170" fontId="46" fillId="0" borderId="174" xfId="0" applyNumberFormat="1" applyFont="1" applyBorder="1"/>
    <xf numFmtId="173" fontId="46" fillId="0" borderId="165" xfId="1" applyNumberFormat="1" applyFont="1" applyBorder="1"/>
    <xf numFmtId="170" fontId="46" fillId="0" borderId="189" xfId="0" applyNumberFormat="1" applyFont="1" applyBorder="1" applyAlignment="1">
      <alignment horizontal="right"/>
    </xf>
    <xf numFmtId="172" fontId="46" fillId="9" borderId="165" xfId="1" applyNumberFormat="1" applyFont="1" applyFill="1" applyBorder="1" applyAlignment="1">
      <alignment horizontal="center"/>
    </xf>
    <xf numFmtId="173" fontId="46" fillId="9" borderId="165" xfId="1" applyNumberFormat="1" applyFont="1" applyFill="1" applyBorder="1" applyAlignment="1">
      <alignment horizontal="center"/>
    </xf>
    <xf numFmtId="170" fontId="46" fillId="9" borderId="190" xfId="0" applyNumberFormat="1" applyFont="1" applyFill="1" applyBorder="1" applyAlignment="1">
      <alignment horizontal="right"/>
    </xf>
    <xf numFmtId="44" fontId="46" fillId="0" borderId="191" xfId="2" applyFont="1" applyBorder="1"/>
    <xf numFmtId="44" fontId="46" fillId="9" borderId="192" xfId="2" applyFont="1" applyFill="1" applyBorder="1" applyAlignment="1">
      <alignment horizontal="center"/>
    </xf>
    <xf numFmtId="44" fontId="46" fillId="0" borderId="193" xfId="2" applyFont="1" applyBorder="1"/>
    <xf numFmtId="170" fontId="46" fillId="0" borderId="191" xfId="0" applyNumberFormat="1" applyFont="1" applyBorder="1"/>
    <xf numFmtId="173" fontId="46" fillId="9" borderId="192" xfId="1" applyNumberFormat="1" applyFont="1" applyFill="1" applyBorder="1" applyAlignment="1">
      <alignment horizontal="center"/>
    </xf>
    <xf numFmtId="170" fontId="46" fillId="9" borderId="184" xfId="0" applyNumberFormat="1" applyFont="1" applyFill="1" applyBorder="1" applyAlignment="1">
      <alignment horizontal="right"/>
    </xf>
    <xf numFmtId="0" fontId="0" fillId="16" borderId="171" xfId="0" applyFill="1" applyBorder="1"/>
    <xf numFmtId="167" fontId="0" fillId="16" borderId="171" xfId="0" applyNumberFormat="1" applyFill="1" applyBorder="1"/>
    <xf numFmtId="0" fontId="51" fillId="0" borderId="194" xfId="10" applyFont="1" applyBorder="1" applyAlignment="1">
      <alignment vertical="center" wrapText="1"/>
    </xf>
    <xf numFmtId="0" fontId="55" fillId="17" borderId="168" xfId="0" quotePrefix="1" applyFont="1" applyFill="1" applyBorder="1" applyAlignment="1">
      <alignment vertical="center"/>
    </xf>
    <xf numFmtId="0" fontId="55" fillId="17" borderId="168" xfId="0" applyFont="1" applyFill="1" applyBorder="1" applyAlignment="1">
      <alignment vertical="center"/>
    </xf>
    <xf numFmtId="167" fontId="55" fillId="17" borderId="168" xfId="2" applyNumberFormat="1" applyFont="1" applyFill="1" applyBorder="1" applyAlignment="1">
      <alignment horizontal="center" vertical="center" wrapText="1"/>
    </xf>
    <xf numFmtId="166" fontId="4" fillId="37" borderId="174" xfId="1" applyNumberFormat="1" applyFont="1" applyFill="1" applyBorder="1" applyAlignment="1">
      <alignment horizontal="center" vertical="center"/>
    </xf>
    <xf numFmtId="43" fontId="4" fillId="37" borderId="174" xfId="1" applyFont="1" applyFill="1" applyBorder="1" applyAlignment="1">
      <alignment horizontal="center" vertical="center"/>
    </xf>
    <xf numFmtId="43" fontId="4" fillId="37" borderId="190" xfId="1" applyFont="1" applyFill="1" applyBorder="1" applyAlignment="1">
      <alignment horizontal="center" vertical="center"/>
    </xf>
    <xf numFmtId="166" fontId="4" fillId="37" borderId="191" xfId="1" applyNumberFormat="1" applyFont="1" applyFill="1" applyBorder="1" applyAlignment="1">
      <alignment horizontal="center" vertical="center"/>
    </xf>
    <xf numFmtId="43" fontId="4" fillId="37" borderId="191" xfId="1" applyFont="1" applyFill="1" applyBorder="1" applyAlignment="1">
      <alignment horizontal="center" vertical="center"/>
    </xf>
    <xf numFmtId="43" fontId="4" fillId="37" borderId="184" xfId="1" applyFont="1" applyFill="1" applyBorder="1" applyAlignment="1">
      <alignment horizontal="center" vertical="center"/>
    </xf>
    <xf numFmtId="164" fontId="4" fillId="14" borderId="195" xfId="1" applyNumberFormat="1" applyFont="1" applyFill="1" applyBorder="1"/>
    <xf numFmtId="164" fontId="4" fillId="14" borderId="159" xfId="1" applyNumberFormat="1" applyFont="1" applyFill="1" applyBorder="1"/>
    <xf numFmtId="167" fontId="0" fillId="14" borderId="159" xfId="2" applyNumberFormat="1" applyFont="1" applyFill="1" applyBorder="1"/>
    <xf numFmtId="170" fontId="0" fillId="14" borderId="159" xfId="0" applyNumberFormat="1" applyFill="1" applyBorder="1"/>
    <xf numFmtId="0" fontId="0" fillId="0" borderId="186" xfId="0" applyBorder="1"/>
    <xf numFmtId="176" fontId="0" fillId="0" borderId="187" xfId="1" applyNumberFormat="1" applyFont="1" applyBorder="1"/>
    <xf numFmtId="0" fontId="0" fillId="0" borderId="196" xfId="0" applyBorder="1" applyAlignment="1">
      <alignment horizontal="center"/>
    </xf>
    <xf numFmtId="9" fontId="0" fillId="0" borderId="197" xfId="3" applyFont="1" applyBorder="1" applyAlignment="1">
      <alignment horizontal="left"/>
    </xf>
    <xf numFmtId="167" fontId="0" fillId="0" borderId="186" xfId="2" applyNumberFormat="1" applyFont="1" applyBorder="1"/>
    <xf numFmtId="0" fontId="0" fillId="0" borderId="187" xfId="0" applyBorder="1" applyAlignment="1">
      <alignment horizontal="center"/>
    </xf>
    <xf numFmtId="0" fontId="0" fillId="0" borderId="188" xfId="0" applyBorder="1" applyAlignment="1">
      <alignment horizontal="center"/>
    </xf>
    <xf numFmtId="167" fontId="0" fillId="0" borderId="165" xfId="2" applyNumberFormat="1" applyFont="1" applyBorder="1"/>
    <xf numFmtId="167" fontId="4" fillId="0" borderId="189" xfId="2" applyNumberFormat="1" applyFont="1" applyBorder="1"/>
    <xf numFmtId="167" fontId="4" fillId="0" borderId="174" xfId="2" applyNumberFormat="1" applyFont="1" applyBorder="1"/>
    <xf numFmtId="44" fontId="0" fillId="0" borderId="174" xfId="2" applyFont="1" applyBorder="1"/>
    <xf numFmtId="44" fontId="0" fillId="0" borderId="186" xfId="2" applyFont="1" applyBorder="1"/>
    <xf numFmtId="167" fontId="4" fillId="0" borderId="188" xfId="2" applyNumberFormat="1" applyFont="1" applyBorder="1"/>
    <xf numFmtId="0" fontId="0" fillId="0" borderId="165" xfId="0" applyBorder="1" applyAlignment="1">
      <alignment horizontal="center"/>
    </xf>
    <xf numFmtId="0" fontId="0" fillId="0" borderId="189" xfId="0" applyBorder="1" applyAlignment="1">
      <alignment horizontal="center"/>
    </xf>
    <xf numFmtId="0" fontId="0" fillId="0" borderId="174" xfId="0" applyBorder="1"/>
    <xf numFmtId="167" fontId="0" fillId="0" borderId="172" xfId="2" applyNumberFormat="1" applyFont="1" applyBorder="1"/>
    <xf numFmtId="9" fontId="0" fillId="0" borderId="190" xfId="3" applyFont="1" applyBorder="1" applyAlignment="1">
      <alignment horizontal="left"/>
    </xf>
    <xf numFmtId="167" fontId="0" fillId="0" borderId="174" xfId="2" applyNumberFormat="1" applyFont="1" applyBorder="1"/>
    <xf numFmtId="167" fontId="4" fillId="0" borderId="186" xfId="2" applyNumberFormat="1" applyFont="1" applyBorder="1"/>
    <xf numFmtId="0" fontId="0" fillId="0" borderId="198" xfId="0" applyBorder="1"/>
    <xf numFmtId="0" fontId="0" fillId="0" borderId="199" xfId="0" applyBorder="1" applyAlignment="1">
      <alignment horizontal="center"/>
    </xf>
    <xf numFmtId="9" fontId="0" fillId="0" borderId="174" xfId="3" applyFont="1" applyBorder="1" applyAlignment="1">
      <alignment horizontal="left"/>
    </xf>
    <xf numFmtId="9" fontId="0" fillId="0" borderId="200" xfId="3" applyFont="1" applyBorder="1" applyAlignment="1">
      <alignment horizontal="left"/>
    </xf>
    <xf numFmtId="44" fontId="0" fillId="0" borderId="198" xfId="2" applyFont="1" applyBorder="1"/>
    <xf numFmtId="0" fontId="0" fillId="0" borderId="201" xfId="0" applyBorder="1" applyAlignment="1">
      <alignment horizontal="center"/>
    </xf>
    <xf numFmtId="0" fontId="0" fillId="0" borderId="202" xfId="0" applyBorder="1" applyAlignment="1">
      <alignment horizontal="center"/>
    </xf>
    <xf numFmtId="167" fontId="0" fillId="0" borderId="187" xfId="2" applyNumberFormat="1" applyFont="1" applyBorder="1"/>
    <xf numFmtId="167" fontId="4" fillId="0" borderId="193" xfId="2" applyNumberFormat="1" applyFont="1" applyBorder="1"/>
    <xf numFmtId="167" fontId="4" fillId="0" borderId="191" xfId="2" applyNumberFormat="1" applyFont="1" applyBorder="1"/>
    <xf numFmtId="44" fontId="0" fillId="0" borderId="174" xfId="0" applyNumberFormat="1" applyBorder="1"/>
    <xf numFmtId="0" fontId="0" fillId="0" borderId="192" xfId="0" applyBorder="1" applyAlignment="1">
      <alignment horizontal="center"/>
    </xf>
    <xf numFmtId="0" fontId="0" fillId="0" borderId="193" xfId="0" applyBorder="1" applyAlignment="1">
      <alignment horizontal="center"/>
    </xf>
    <xf numFmtId="0" fontId="0" fillId="9" borderId="191" xfId="0" applyFill="1" applyBorder="1"/>
    <xf numFmtId="0" fontId="0" fillId="9" borderId="193" xfId="0" applyFill="1" applyBorder="1" applyAlignment="1">
      <alignment horizontal="center"/>
    </xf>
    <xf numFmtId="167" fontId="0" fillId="0" borderId="192" xfId="2" applyNumberFormat="1" applyFont="1" applyBorder="1"/>
    <xf numFmtId="44" fontId="0" fillId="0" borderId="191" xfId="0" applyNumberFormat="1" applyBorder="1"/>
    <xf numFmtId="0" fontId="4" fillId="40" borderId="203" xfId="0" applyFont="1" applyFill="1" applyBorder="1" applyAlignment="1">
      <alignment horizontal="center"/>
    </xf>
    <xf numFmtId="164" fontId="0" fillId="40" borderId="203" xfId="1" applyNumberFormat="1" applyFont="1" applyFill="1" applyBorder="1"/>
    <xf numFmtId="164" fontId="0" fillId="40" borderId="195" xfId="1" applyNumberFormat="1" applyFont="1" applyFill="1" applyBorder="1"/>
    <xf numFmtId="164" fontId="0" fillId="40" borderId="159" xfId="1" applyNumberFormat="1" applyFont="1" applyFill="1" applyBorder="1"/>
    <xf numFmtId="167" fontId="0" fillId="40" borderId="159" xfId="2" applyNumberFormat="1" applyFont="1" applyFill="1" applyBorder="1"/>
    <xf numFmtId="167" fontId="114" fillId="0" borderId="174" xfId="2" applyNumberFormat="1" applyFont="1" applyBorder="1"/>
    <xf numFmtId="167" fontId="4" fillId="7" borderId="188" xfId="2" applyNumberFormat="1" applyFont="1" applyFill="1" applyBorder="1"/>
    <xf numFmtId="167" fontId="4" fillId="7" borderId="186" xfId="2" applyNumberFormat="1" applyFont="1" applyFill="1" applyBorder="1"/>
    <xf numFmtId="0" fontId="0" fillId="7" borderId="174" xfId="0" applyFill="1" applyBorder="1"/>
    <xf numFmtId="0" fontId="0" fillId="7" borderId="186" xfId="0" applyFill="1" applyBorder="1"/>
    <xf numFmtId="10" fontId="0" fillId="0" borderId="187" xfId="3" applyNumberFormat="1" applyFont="1" applyBorder="1"/>
    <xf numFmtId="167" fontId="114" fillId="9" borderId="174" xfId="2" applyNumberFormat="1" applyFont="1" applyFill="1" applyBorder="1"/>
    <xf numFmtId="176" fontId="0" fillId="9" borderId="187" xfId="1" applyNumberFormat="1" applyFont="1" applyFill="1" applyBorder="1"/>
    <xf numFmtId="0" fontId="0" fillId="0" borderId="191" xfId="0" applyBorder="1"/>
    <xf numFmtId="0" fontId="4" fillId="0" borderId="188" xfId="2" applyNumberFormat="1" applyFont="1" applyBorder="1"/>
    <xf numFmtId="167" fontId="114" fillId="0" borderId="191" xfId="2" applyNumberFormat="1" applyFont="1" applyBorder="1"/>
    <xf numFmtId="0" fontId="4" fillId="40" borderId="159" xfId="0" applyFont="1" applyFill="1" applyBorder="1" applyAlignment="1">
      <alignment horizontal="center"/>
    </xf>
    <xf numFmtId="164" fontId="0" fillId="40" borderId="204" xfId="1" applyNumberFormat="1" applyFont="1" applyFill="1" applyBorder="1" applyAlignment="1">
      <alignment horizontal="center"/>
    </xf>
    <xf numFmtId="167" fontId="0" fillId="9" borderId="174" xfId="2" applyNumberFormat="1" applyFont="1" applyFill="1" applyBorder="1"/>
    <xf numFmtId="167" fontId="114" fillId="9" borderId="186" xfId="2" applyNumberFormat="1" applyFont="1" applyFill="1" applyBorder="1"/>
    <xf numFmtId="167" fontId="0" fillId="9" borderId="191" xfId="2" applyNumberFormat="1" applyFont="1" applyFill="1" applyBorder="1"/>
    <xf numFmtId="176" fontId="0" fillId="0" borderId="192" xfId="1" applyNumberFormat="1" applyFont="1" applyBorder="1"/>
    <xf numFmtId="167" fontId="0" fillId="0" borderId="191" xfId="2" applyNumberFormat="1" applyFont="1" applyBorder="1"/>
    <xf numFmtId="167" fontId="114" fillId="0" borderId="186" xfId="2" applyNumberFormat="1" applyFont="1" applyBorder="1"/>
    <xf numFmtId="176" fontId="0" fillId="9" borderId="192" xfId="1" applyNumberFormat="1" applyFont="1" applyFill="1" applyBorder="1"/>
    <xf numFmtId="176" fontId="0" fillId="0" borderId="165" xfId="1" applyNumberFormat="1" applyFont="1" applyBorder="1"/>
    <xf numFmtId="167" fontId="114" fillId="9" borderId="198" xfId="2" applyNumberFormat="1" applyFont="1" applyFill="1" applyBorder="1"/>
    <xf numFmtId="44" fontId="0" fillId="0" borderId="192" xfId="2" applyFont="1" applyBorder="1"/>
    <xf numFmtId="167" fontId="114" fillId="0" borderId="174" xfId="2" applyNumberFormat="1" applyFont="1" applyBorder="1" applyAlignment="1">
      <alignment wrapText="1"/>
    </xf>
    <xf numFmtId="180" fontId="4" fillId="0" borderId="188" xfId="2" applyNumberFormat="1" applyFont="1" applyBorder="1"/>
    <xf numFmtId="167" fontId="0" fillId="9" borderId="198" xfId="2" applyNumberFormat="1" applyFont="1" applyFill="1" applyBorder="1"/>
    <xf numFmtId="167" fontId="0" fillId="0" borderId="198" xfId="2" applyNumberFormat="1" applyFont="1" applyBorder="1"/>
    <xf numFmtId="176" fontId="0" fillId="9" borderId="165" xfId="1" applyNumberFormat="1" applyFont="1" applyFill="1" applyBorder="1"/>
    <xf numFmtId="167" fontId="0" fillId="0" borderId="201" xfId="2" applyNumberFormat="1" applyFont="1" applyBorder="1"/>
    <xf numFmtId="167" fontId="114" fillId="9" borderId="191" xfId="2" applyNumberFormat="1" applyFont="1" applyFill="1" applyBorder="1"/>
    <xf numFmtId="0" fontId="0" fillId="7" borderId="191" xfId="0" applyFill="1" applyBorder="1"/>
    <xf numFmtId="167" fontId="0" fillId="9" borderId="186" xfId="2" applyNumberFormat="1" applyFont="1" applyFill="1" applyBorder="1"/>
    <xf numFmtId="167" fontId="4" fillId="0" borderId="159" xfId="2" applyNumberFormat="1" applyFont="1" applyBorder="1"/>
    <xf numFmtId="167" fontId="4" fillId="3" borderId="159" xfId="2" applyNumberFormat="1" applyFont="1" applyFill="1" applyBorder="1"/>
    <xf numFmtId="167" fontId="4" fillId="14" borderId="208" xfId="2" applyNumberFormat="1" applyFont="1" applyFill="1" applyBorder="1"/>
    <xf numFmtId="167" fontId="4" fillId="40" borderId="208" xfId="2" applyNumberFormat="1" applyFont="1" applyFill="1" applyBorder="1"/>
    <xf numFmtId="167" fontId="4" fillId="0" borderId="208" xfId="2" applyNumberFormat="1" applyFont="1" applyBorder="1"/>
    <xf numFmtId="0" fontId="4" fillId="14" borderId="159" xfId="0" applyFont="1" applyFill="1" applyBorder="1" applyAlignment="1">
      <alignment horizontal="center"/>
    </xf>
    <xf numFmtId="164" fontId="4" fillId="14" borderId="203" xfId="1" applyNumberFormat="1" applyFont="1" applyFill="1" applyBorder="1"/>
    <xf numFmtId="0" fontId="85" fillId="28" borderId="197" xfId="0" applyFont="1" applyFill="1" applyBorder="1"/>
    <xf numFmtId="14" fontId="85" fillId="28" borderId="197" xfId="0" applyNumberFormat="1" applyFont="1" applyFill="1" applyBorder="1"/>
    <xf numFmtId="0" fontId="85" fillId="28" borderId="190" xfId="0" applyFont="1" applyFill="1" applyBorder="1"/>
    <xf numFmtId="0" fontId="85" fillId="29" borderId="204" xfId="0" applyFont="1" applyFill="1" applyBorder="1"/>
    <xf numFmtId="3" fontId="85" fillId="29" borderId="159" xfId="0" applyNumberFormat="1" applyFont="1" applyFill="1" applyBorder="1"/>
    <xf numFmtId="0" fontId="84" fillId="29" borderId="195" xfId="0" applyFont="1" applyFill="1" applyBorder="1"/>
    <xf numFmtId="0" fontId="84" fillId="29" borderId="159" xfId="0" applyFont="1" applyFill="1" applyBorder="1"/>
    <xf numFmtId="0" fontId="84" fillId="0" borderId="187" xfId="0" applyFont="1" applyBorder="1"/>
    <xf numFmtId="0" fontId="84" fillId="0" borderId="188" xfId="0" applyFont="1" applyBorder="1"/>
    <xf numFmtId="0" fontId="84" fillId="0" borderId="197" xfId="0" applyFont="1" applyBorder="1"/>
    <xf numFmtId="0" fontId="84" fillId="0" borderId="178" xfId="0" applyFont="1" applyBorder="1"/>
    <xf numFmtId="6" fontId="84" fillId="0" borderId="187" xfId="0" applyNumberFormat="1" applyFont="1" applyBorder="1"/>
    <xf numFmtId="6" fontId="84" fillId="0" borderId="188" xfId="0" applyNumberFormat="1" applyFont="1" applyBorder="1"/>
    <xf numFmtId="6" fontId="84" fillId="0" borderId="186" xfId="0" applyNumberFormat="1" applyFont="1" applyBorder="1"/>
    <xf numFmtId="9" fontId="84" fillId="0" borderId="197" xfId="0" applyNumberFormat="1" applyFont="1" applyBorder="1"/>
    <xf numFmtId="8" fontId="84" fillId="0" borderId="186" xfId="0" applyNumberFormat="1" applyFont="1" applyBorder="1"/>
    <xf numFmtId="0" fontId="84" fillId="0" borderId="186" xfId="0" applyFont="1" applyBorder="1"/>
    <xf numFmtId="0" fontId="84" fillId="0" borderId="165" xfId="0" applyFont="1" applyBorder="1"/>
    <xf numFmtId="0" fontId="84" fillId="0" borderId="200" xfId="0" applyFont="1" applyBorder="1"/>
    <xf numFmtId="0" fontId="84" fillId="0" borderId="190" xfId="0" applyFont="1" applyBorder="1"/>
    <xf numFmtId="9" fontId="84" fillId="0" borderId="200" xfId="0" applyNumberFormat="1" applyFont="1" applyBorder="1"/>
    <xf numFmtId="0" fontId="84" fillId="0" borderId="185" xfId="0" applyFont="1" applyBorder="1"/>
    <xf numFmtId="0" fontId="84" fillId="0" borderId="202" xfId="0" applyFont="1" applyBorder="1"/>
    <xf numFmtId="0" fontId="85" fillId="29" borderId="203" xfId="0" applyFont="1" applyFill="1" applyBorder="1"/>
    <xf numFmtId="0" fontId="85" fillId="29" borderId="195" xfId="0" applyFont="1" applyFill="1" applyBorder="1"/>
    <xf numFmtId="0" fontId="84" fillId="0" borderId="212" xfId="0" applyFont="1" applyBorder="1"/>
    <xf numFmtId="6" fontId="84" fillId="0" borderId="212" xfId="0" applyNumberFormat="1" applyFont="1" applyBorder="1"/>
    <xf numFmtId="6" fontId="85" fillId="0" borderId="188" xfId="0" applyNumberFormat="1" applyFont="1" applyBorder="1"/>
    <xf numFmtId="6" fontId="85" fillId="0" borderId="186" xfId="0" applyNumberFormat="1" applyFont="1" applyBorder="1"/>
    <xf numFmtId="9" fontId="84" fillId="0" borderId="190" xfId="0" applyNumberFormat="1" applyFont="1" applyBorder="1"/>
    <xf numFmtId="0" fontId="85" fillId="0" borderId="188" xfId="0" applyFont="1" applyBorder="1"/>
    <xf numFmtId="0" fontId="85" fillId="0" borderId="186" xfId="0" applyFont="1" applyBorder="1"/>
    <xf numFmtId="0" fontId="84" fillId="0" borderId="201" xfId="0" applyFont="1" applyBorder="1"/>
    <xf numFmtId="0" fontId="84" fillId="0" borderId="199" xfId="0" applyFont="1" applyBorder="1"/>
    <xf numFmtId="0" fontId="84" fillId="0" borderId="192" xfId="0" applyFont="1" applyBorder="1"/>
    <xf numFmtId="0" fontId="84" fillId="0" borderId="193" xfId="0" applyFont="1" applyBorder="1"/>
    <xf numFmtId="0" fontId="84" fillId="27" borderId="184" xfId="0" applyFont="1" applyFill="1" applyBorder="1"/>
    <xf numFmtId="0" fontId="84" fillId="31" borderId="203" xfId="0" applyFont="1" applyFill="1" applyBorder="1"/>
    <xf numFmtId="0" fontId="84" fillId="31" borderId="204" xfId="0" applyFont="1" applyFill="1" applyBorder="1"/>
    <xf numFmtId="0" fontId="85" fillId="31" borderId="195" xfId="0" applyFont="1" applyFill="1" applyBorder="1"/>
    <xf numFmtId="0" fontId="84" fillId="31" borderId="195" xfId="0" applyFont="1" applyFill="1" applyBorder="1"/>
    <xf numFmtId="6" fontId="85" fillId="0" borderId="213" xfId="0" applyNumberFormat="1" applyFont="1" applyBorder="1"/>
    <xf numFmtId="0" fontId="88" fillId="0" borderId="186" xfId="0" applyFont="1" applyBorder="1"/>
    <xf numFmtId="0" fontId="85" fillId="0" borderId="213" xfId="0" applyFont="1" applyBorder="1"/>
    <xf numFmtId="10" fontId="84" fillId="0" borderId="187" xfId="0" applyNumberFormat="1" applyFont="1" applyBorder="1"/>
    <xf numFmtId="0" fontId="88" fillId="27" borderId="186" xfId="0" applyFont="1" applyFill="1" applyBorder="1"/>
    <xf numFmtId="0" fontId="84" fillId="27" borderId="187" xfId="0" applyFont="1" applyFill="1" applyBorder="1"/>
    <xf numFmtId="6" fontId="84" fillId="0" borderId="165" xfId="0" applyNumberFormat="1" applyFont="1" applyBorder="1"/>
    <xf numFmtId="3" fontId="84" fillId="31" borderId="159" xfId="0" applyNumberFormat="1" applyFont="1" applyFill="1" applyBorder="1"/>
    <xf numFmtId="0" fontId="84" fillId="31" borderId="159" xfId="0" applyFont="1" applyFill="1" applyBorder="1"/>
    <xf numFmtId="0" fontId="84" fillId="0" borderId="189" xfId="0" applyFont="1" applyBorder="1"/>
    <xf numFmtId="0" fontId="84" fillId="27" borderId="186" xfId="0" applyFont="1" applyFill="1" applyBorder="1"/>
    <xf numFmtId="0" fontId="84" fillId="0" borderId="172" xfId="0" applyFont="1" applyBorder="1"/>
    <xf numFmtId="0" fontId="85" fillId="31" borderId="204" xfId="0" applyFont="1" applyFill="1" applyBorder="1"/>
    <xf numFmtId="6" fontId="84" fillId="31" borderId="159" xfId="0" applyNumberFormat="1" applyFont="1" applyFill="1" applyBorder="1"/>
    <xf numFmtId="0" fontId="84" fillId="0" borderId="184" xfId="0" applyFont="1" applyBorder="1"/>
    <xf numFmtId="0" fontId="84" fillId="0" borderId="214" xfId="0" applyFont="1" applyBorder="1"/>
    <xf numFmtId="6" fontId="84" fillId="0" borderId="192" xfId="0" applyNumberFormat="1" applyFont="1" applyBorder="1"/>
    <xf numFmtId="0" fontId="85" fillId="0" borderId="193" xfId="0" applyFont="1" applyBorder="1"/>
    <xf numFmtId="0" fontId="85" fillId="0" borderId="191" xfId="0" applyFont="1" applyBorder="1"/>
    <xf numFmtId="0" fontId="84" fillId="0" borderId="191" xfId="0" applyFont="1" applyBorder="1"/>
    <xf numFmtId="0" fontId="84" fillId="27" borderId="214" xfId="0" applyFont="1" applyFill="1" applyBorder="1"/>
    <xf numFmtId="0" fontId="85" fillId="0" borderId="189" xfId="0" applyFont="1" applyBorder="1"/>
    <xf numFmtId="0" fontId="85" fillId="0" borderId="174" xfId="0" applyFont="1" applyBorder="1"/>
    <xf numFmtId="0" fontId="88" fillId="27" borderId="198" xfId="0" applyFont="1" applyFill="1" applyBorder="1"/>
    <xf numFmtId="0" fontId="88" fillId="27" borderId="174" xfId="0" applyFont="1" applyFill="1" applyBorder="1"/>
    <xf numFmtId="0" fontId="88" fillId="0" borderId="174" xfId="0" applyFont="1" applyBorder="1" applyAlignment="1">
      <alignment wrapText="1"/>
    </xf>
    <xf numFmtId="8" fontId="85" fillId="0" borderId="188" xfId="0" applyNumberFormat="1" applyFont="1" applyBorder="1"/>
    <xf numFmtId="0" fontId="88" fillId="0" borderId="186" xfId="0" applyFont="1" applyBorder="1" applyAlignment="1">
      <alignment wrapText="1"/>
    </xf>
    <xf numFmtId="0" fontId="84" fillId="27" borderId="198" xfId="0" applyFont="1" applyFill="1" applyBorder="1"/>
    <xf numFmtId="6" fontId="84" fillId="0" borderId="172" xfId="0" applyNumberFormat="1" applyFont="1" applyBorder="1"/>
    <xf numFmtId="0" fontId="84" fillId="27" borderId="172" xfId="0" applyFont="1" applyFill="1" applyBorder="1"/>
    <xf numFmtId="0" fontId="84" fillId="27" borderId="212" xfId="0" applyFont="1" applyFill="1" applyBorder="1"/>
    <xf numFmtId="6" fontId="85" fillId="0" borderId="159" xfId="0" applyNumberFormat="1" applyFont="1" applyBorder="1"/>
    <xf numFmtId="0" fontId="85" fillId="30" borderId="159" xfId="0" applyFont="1" applyFill="1" applyBorder="1"/>
    <xf numFmtId="6" fontId="85" fillId="29" borderId="204" xfId="0" applyNumberFormat="1" applyFont="1" applyFill="1" applyBorder="1"/>
    <xf numFmtId="9" fontId="84" fillId="24" borderId="159" xfId="0" applyNumberFormat="1" applyFont="1" applyFill="1" applyBorder="1"/>
    <xf numFmtId="0" fontId="84" fillId="0" borderId="168" xfId="0" applyFont="1" applyBorder="1" applyAlignment="1">
      <alignment wrapText="1"/>
    </xf>
    <xf numFmtId="0" fontId="84" fillId="0" borderId="212" xfId="0" applyFont="1" applyBorder="1" applyAlignment="1">
      <alignment wrapText="1"/>
    </xf>
    <xf numFmtId="0" fontId="84" fillId="0" borderId="172" xfId="0" applyFont="1" applyBorder="1" applyAlignment="1">
      <alignment wrapText="1"/>
    </xf>
    <xf numFmtId="164" fontId="78" fillId="0" borderId="161" xfId="1" applyNumberFormat="1" applyFont="1" applyBorder="1" applyAlignment="1">
      <alignment horizontal="right"/>
    </xf>
    <xf numFmtId="3" fontId="90" fillId="0" borderId="161" xfId="0" applyNumberFormat="1" applyFont="1" applyBorder="1"/>
    <xf numFmtId="39" fontId="90" fillId="0" borderId="161" xfId="0" applyNumberFormat="1" applyFont="1" applyBorder="1"/>
    <xf numFmtId="0" fontId="90" fillId="0" borderId="161" xfId="0" applyFont="1" applyBorder="1"/>
    <xf numFmtId="0" fontId="0" fillId="0" borderId="217" xfId="0" applyBorder="1" applyAlignment="1">
      <alignment horizontal="left"/>
    </xf>
    <xf numFmtId="42" fontId="0" fillId="0" borderId="217" xfId="0" applyNumberFormat="1" applyBorder="1" applyAlignment="1">
      <alignment horizontal="left"/>
    </xf>
    <xf numFmtId="42" fontId="0" fillId="0" borderId="218" xfId="0" applyNumberFormat="1" applyBorder="1" applyAlignment="1">
      <alignment horizontal="left"/>
    </xf>
    <xf numFmtId="10" fontId="0" fillId="0" borderId="217" xfId="0" applyNumberFormat="1" applyBorder="1" applyAlignment="1">
      <alignment horizontal="center"/>
    </xf>
    <xf numFmtId="10" fontId="0" fillId="0" borderId="219" xfId="0" applyNumberFormat="1" applyBorder="1" applyAlignment="1">
      <alignment horizontal="center"/>
    </xf>
    <xf numFmtId="42" fontId="0" fillId="0" borderId="219" xfId="0" applyNumberFormat="1" applyBorder="1" applyAlignment="1">
      <alignment horizontal="left"/>
    </xf>
    <xf numFmtId="42" fontId="0" fillId="0" borderId="220" xfId="0" applyNumberFormat="1" applyBorder="1" applyAlignment="1">
      <alignment horizontal="left"/>
    </xf>
    <xf numFmtId="0" fontId="0" fillId="0" borderId="221" xfId="0" applyBorder="1" applyAlignment="1">
      <alignment horizontal="left"/>
    </xf>
    <xf numFmtId="42" fontId="0" fillId="0" borderId="221" xfId="0" applyNumberFormat="1" applyBorder="1" applyAlignment="1">
      <alignment horizontal="left"/>
    </xf>
    <xf numFmtId="42" fontId="0" fillId="0" borderId="222" xfId="0" applyNumberFormat="1" applyBorder="1" applyAlignment="1">
      <alignment horizontal="left"/>
    </xf>
    <xf numFmtId="0" fontId="4" fillId="0" borderId="203" xfId="0" applyFont="1" applyBorder="1"/>
    <xf numFmtId="0" fontId="4" fillId="0" borderId="195" xfId="0" applyFont="1" applyBorder="1"/>
    <xf numFmtId="44" fontId="4" fillId="0" borderId="204" xfId="0" applyNumberFormat="1" applyFont="1" applyBorder="1"/>
    <xf numFmtId="0" fontId="7" fillId="0" borderId="223" xfId="0" applyFont="1" applyBorder="1" applyAlignment="1" applyProtection="1">
      <alignment horizontal="right"/>
      <protection locked="0"/>
    </xf>
    <xf numFmtId="0" fontId="0" fillId="0" borderId="224" xfId="0" applyBorder="1" applyAlignment="1">
      <alignment wrapText="1"/>
    </xf>
    <xf numFmtId="0" fontId="0" fillId="0" borderId="224" xfId="0" applyBorder="1" applyProtection="1">
      <protection locked="0"/>
    </xf>
    <xf numFmtId="0" fontId="4" fillId="0" borderId="181" xfId="0" applyFont="1" applyBorder="1" applyAlignment="1">
      <alignment wrapText="1"/>
    </xf>
    <xf numFmtId="5" fontId="0" fillId="0" borderId="164" xfId="2" applyNumberFormat="1" applyFont="1" applyBorder="1" applyProtection="1">
      <protection locked="0"/>
    </xf>
    <xf numFmtId="44" fontId="30" fillId="0" borderId="164" xfId="2" applyFont="1" applyBorder="1" applyAlignment="1">
      <alignment horizontal="center" vertical="center"/>
    </xf>
    <xf numFmtId="0" fontId="0" fillId="0" borderId="180" xfId="0" applyBorder="1" applyAlignment="1">
      <alignment vertical="top"/>
    </xf>
    <xf numFmtId="0" fontId="36" fillId="0" borderId="181" xfId="0" applyFont="1" applyBorder="1" applyAlignment="1">
      <alignment horizontal="left" wrapText="1"/>
    </xf>
    <xf numFmtId="0" fontId="0" fillId="0" borderId="227" xfId="0" applyBorder="1" applyAlignment="1">
      <alignment vertical="top"/>
    </xf>
    <xf numFmtId="0" fontId="30" fillId="0" borderId="228" xfId="0" applyFont="1" applyBorder="1" applyAlignment="1">
      <alignment vertical="center"/>
    </xf>
    <xf numFmtId="0" fontId="30" fillId="0" borderId="229" xfId="0" applyFont="1" applyBorder="1" applyAlignment="1">
      <alignment vertical="center"/>
    </xf>
    <xf numFmtId="0" fontId="30" fillId="0" borderId="229" xfId="0" quotePrefix="1" applyFont="1" applyBorder="1"/>
    <xf numFmtId="0" fontId="30" fillId="19" borderId="229" xfId="0" applyFont="1" applyFill="1" applyBorder="1" applyAlignment="1">
      <alignment horizontal="center"/>
    </xf>
    <xf numFmtId="0" fontId="30" fillId="22" borderId="229" xfId="0" applyFont="1" applyFill="1" applyBorder="1" applyAlignment="1">
      <alignment horizontal="left"/>
    </xf>
    <xf numFmtId="0" fontId="0" fillId="22" borderId="169" xfId="0" applyFill="1" applyBorder="1" applyProtection="1">
      <protection locked="0"/>
    </xf>
    <xf numFmtId="42" fontId="0" fillId="22" borderId="230" xfId="0" applyNumberFormat="1" applyFill="1" applyBorder="1" applyAlignment="1" applyProtection="1">
      <alignment horizontal="left"/>
      <protection locked="0"/>
    </xf>
    <xf numFmtId="0" fontId="0" fillId="22" borderId="230" xfId="0" applyFill="1" applyBorder="1" applyProtection="1">
      <protection locked="0"/>
    </xf>
    <xf numFmtId="0" fontId="30" fillId="9" borderId="229" xfId="0" applyFont="1" applyFill="1" applyBorder="1" applyAlignment="1">
      <alignment horizontal="left"/>
    </xf>
    <xf numFmtId="0" fontId="31" fillId="23" borderId="229" xfId="0" applyFont="1" applyFill="1" applyBorder="1" applyAlignment="1">
      <alignment horizontal="left"/>
    </xf>
    <xf numFmtId="0" fontId="30" fillId="9" borderId="229" xfId="0" applyFont="1" applyFill="1" applyBorder="1" applyAlignment="1">
      <alignment horizontal="left" indent="1"/>
    </xf>
    <xf numFmtId="0" fontId="30" fillId="9" borderId="174" xfId="0" applyFont="1" applyFill="1" applyBorder="1" applyAlignment="1">
      <alignment horizontal="left" vertical="center" wrapText="1" indent="1"/>
    </xf>
    <xf numFmtId="9" fontId="0" fillId="6" borderId="164" xfId="3" applyFont="1" applyFill="1" applyBorder="1" applyProtection="1">
      <protection locked="0"/>
    </xf>
    <xf numFmtId="9" fontId="0" fillId="6" borderId="231" xfId="3" applyFont="1" applyFill="1" applyBorder="1" applyAlignment="1" applyProtection="1">
      <alignment horizontal="left"/>
      <protection locked="0"/>
    </xf>
    <xf numFmtId="44" fontId="0" fillId="6" borderId="164" xfId="2" applyFont="1" applyFill="1" applyBorder="1" applyProtection="1">
      <protection locked="0"/>
    </xf>
    <xf numFmtId="5" fontId="0" fillId="6" borderId="164" xfId="0" applyNumberFormat="1" applyFill="1" applyBorder="1" applyAlignment="1" applyProtection="1">
      <alignment horizontal="left"/>
      <protection locked="0"/>
    </xf>
    <xf numFmtId="44" fontId="0" fillId="6" borderId="164" xfId="2" applyFont="1" applyFill="1" applyBorder="1" applyAlignment="1" applyProtection="1">
      <alignment horizontal="left"/>
      <protection locked="0"/>
    </xf>
    <xf numFmtId="44" fontId="0" fillId="6" borderId="164" xfId="0" applyNumberFormat="1" applyFill="1" applyBorder="1" applyProtection="1">
      <protection locked="0"/>
    </xf>
    <xf numFmtId="165" fontId="12" fillId="6" borderId="164" xfId="0" applyNumberFormat="1" applyFont="1" applyFill="1" applyBorder="1" applyAlignment="1" applyProtection="1">
      <alignment horizontal="center"/>
      <protection locked="0"/>
    </xf>
    <xf numFmtId="165" fontId="12" fillId="6" borderId="164" xfId="0" applyNumberFormat="1" applyFont="1" applyFill="1" applyBorder="1" applyAlignment="1" applyProtection="1">
      <alignment horizontal="left"/>
      <protection locked="0"/>
    </xf>
    <xf numFmtId="0" fontId="0" fillId="6" borderId="164" xfId="0" applyFill="1" applyBorder="1" applyAlignment="1" applyProtection="1">
      <alignment horizontal="center"/>
      <protection locked="0"/>
    </xf>
    <xf numFmtId="0" fontId="0" fillId="0" borderId="232" xfId="0" applyBorder="1"/>
    <xf numFmtId="0" fontId="0" fillId="0" borderId="233" xfId="0" applyBorder="1" applyProtection="1">
      <protection locked="0"/>
    </xf>
    <xf numFmtId="0" fontId="0" fillId="0" borderId="234" xfId="0" applyBorder="1" applyProtection="1">
      <protection locked="0"/>
    </xf>
    <xf numFmtId="165" fontId="0" fillId="0" borderId="230" xfId="0" applyNumberFormat="1" applyBorder="1" applyProtection="1">
      <protection locked="0"/>
    </xf>
    <xf numFmtId="165" fontId="0" fillId="0" borderId="235" xfId="0" applyNumberFormat="1" applyBorder="1" applyProtection="1">
      <protection locked="0"/>
    </xf>
    <xf numFmtId="165" fontId="0" fillId="0" borderId="164" xfId="0" applyNumberFormat="1" applyBorder="1" applyAlignment="1" applyProtection="1">
      <alignment horizontal="right"/>
      <protection locked="0"/>
    </xf>
    <xf numFmtId="44" fontId="0" fillId="0" borderId="164" xfId="0" applyNumberFormat="1" applyBorder="1" applyProtection="1">
      <protection locked="0"/>
    </xf>
    <xf numFmtId="0" fontId="0" fillId="0" borderId="232" xfId="0" applyBorder="1" applyProtection="1">
      <protection locked="0"/>
    </xf>
    <xf numFmtId="0" fontId="0" fillId="0" borderId="233" xfId="0" applyBorder="1" applyAlignment="1" applyProtection="1">
      <alignment wrapText="1"/>
      <protection locked="0"/>
    </xf>
    <xf numFmtId="165" fontId="0" fillId="0" borderId="164" xfId="0" applyNumberFormat="1" applyBorder="1" applyProtection="1">
      <protection locked="0"/>
    </xf>
    <xf numFmtId="0" fontId="0" fillId="0" borderId="236" xfId="0" applyBorder="1"/>
    <xf numFmtId="0" fontId="0" fillId="0" borderId="237" xfId="0" applyBorder="1" applyProtection="1">
      <protection locked="0"/>
    </xf>
    <xf numFmtId="165" fontId="0" fillId="0" borderId="238" xfId="0" applyNumberFormat="1" applyBorder="1" applyProtection="1">
      <protection locked="0"/>
    </xf>
    <xf numFmtId="165" fontId="0" fillId="0" borderId="231" xfId="0" applyNumberFormat="1" applyBorder="1" applyProtection="1">
      <protection locked="0"/>
    </xf>
    <xf numFmtId="0" fontId="0" fillId="0" borderId="233" xfId="0" applyBorder="1" applyAlignment="1">
      <alignment wrapText="1"/>
    </xf>
    <xf numFmtId="0" fontId="0" fillId="0" borderId="235" xfId="0" applyBorder="1" applyProtection="1">
      <protection locked="0"/>
    </xf>
    <xf numFmtId="0" fontId="0" fillId="0" borderId="164" xfId="0" applyBorder="1" applyProtection="1">
      <protection locked="0"/>
    </xf>
    <xf numFmtId="0" fontId="0" fillId="0" borderId="239" xfId="0" applyBorder="1"/>
    <xf numFmtId="0" fontId="0" fillId="0" borderId="240" xfId="0" applyBorder="1" applyAlignment="1">
      <alignment wrapText="1"/>
    </xf>
    <xf numFmtId="0" fontId="0" fillId="0" borderId="240" xfId="0" applyBorder="1" applyProtection="1">
      <protection locked="0"/>
    </xf>
    <xf numFmtId="0" fontId="0" fillId="0" borderId="241" xfId="0" applyBorder="1" applyProtection="1">
      <protection locked="0"/>
    </xf>
    <xf numFmtId="0" fontId="0" fillId="0" borderId="226" xfId="0" applyBorder="1" applyProtection="1">
      <protection locked="0"/>
    </xf>
    <xf numFmtId="0" fontId="0" fillId="0" borderId="242" xfId="0" applyBorder="1" applyProtection="1">
      <protection locked="0"/>
    </xf>
    <xf numFmtId="0" fontId="0" fillId="0" borderId="164" xfId="0" applyBorder="1" applyAlignment="1" applyProtection="1">
      <alignment horizontal="center"/>
      <protection locked="0"/>
    </xf>
    <xf numFmtId="0" fontId="4" fillId="0" borderId="164" xfId="0" applyFont="1" applyBorder="1" applyAlignment="1" applyProtection="1">
      <alignment horizontal="right"/>
      <protection locked="0"/>
    </xf>
    <xf numFmtId="169" fontId="0" fillId="0" borderId="164" xfId="0" applyNumberFormat="1" applyBorder="1" applyAlignment="1" applyProtection="1">
      <alignment horizontal="center"/>
      <protection locked="0"/>
    </xf>
    <xf numFmtId="0" fontId="5" fillId="0" borderId="164" xfId="4" applyBorder="1" applyAlignment="1" applyProtection="1">
      <alignment horizontal="center" vertical="center"/>
      <protection locked="0"/>
    </xf>
    <xf numFmtId="0" fontId="4" fillId="0" borderId="239" xfId="0" applyFont="1" applyBorder="1" applyAlignment="1" applyProtection="1">
      <alignment horizontal="right"/>
      <protection locked="0"/>
    </xf>
    <xf numFmtId="5" fontId="0" fillId="0" borderId="242" xfId="2" applyNumberFormat="1" applyFont="1" applyBorder="1" applyAlignment="1" applyProtection="1">
      <alignment horizontal="center"/>
      <protection locked="0"/>
    </xf>
    <xf numFmtId="0" fontId="4" fillId="0" borderId="233" xfId="0" applyFont="1" applyBorder="1" applyAlignment="1">
      <alignment wrapText="1"/>
    </xf>
    <xf numFmtId="0" fontId="0" fillId="0" borderId="232" xfId="0" applyBorder="1" applyAlignment="1">
      <alignment vertical="top"/>
    </xf>
    <xf numFmtId="3" fontId="0" fillId="0" borderId="230" xfId="0" applyNumberFormat="1" applyBorder="1" applyAlignment="1" applyProtection="1">
      <alignment horizontal="left"/>
      <protection locked="0"/>
    </xf>
    <xf numFmtId="0" fontId="0" fillId="0" borderId="230" xfId="0" applyBorder="1" applyProtection="1">
      <protection locked="0"/>
    </xf>
    <xf numFmtId="0" fontId="36" fillId="0" borderId="233" xfId="0" applyFont="1" applyBorder="1" applyAlignment="1">
      <alignment horizontal="left" wrapText="1"/>
    </xf>
    <xf numFmtId="0" fontId="0" fillId="0" borderId="243" xfId="0" applyBorder="1" applyAlignment="1">
      <alignment vertical="top"/>
    </xf>
    <xf numFmtId="0" fontId="30" fillId="0" borderId="244" xfId="0" applyFont="1" applyBorder="1" applyAlignment="1">
      <alignment vertical="center"/>
    </xf>
    <xf numFmtId="0" fontId="30" fillId="0" borderId="244" xfId="0" quotePrefix="1" applyFont="1" applyBorder="1"/>
    <xf numFmtId="3" fontId="0" fillId="0" borderId="245" xfId="0" applyNumberFormat="1" applyBorder="1" applyAlignment="1" applyProtection="1">
      <alignment horizontal="left"/>
      <protection locked="0"/>
    </xf>
    <xf numFmtId="0" fontId="0" fillId="0" borderId="245" xfId="0" applyBorder="1" applyProtection="1">
      <protection locked="0"/>
    </xf>
    <xf numFmtId="0" fontId="30" fillId="19" borderId="244" xfId="0" applyFont="1" applyFill="1" applyBorder="1" applyAlignment="1">
      <alignment horizontal="center"/>
    </xf>
    <xf numFmtId="0" fontId="30" fillId="22" borderId="244" xfId="0" applyFont="1" applyFill="1" applyBorder="1" applyAlignment="1">
      <alignment horizontal="left"/>
    </xf>
    <xf numFmtId="3" fontId="0" fillId="22" borderId="245" xfId="0" applyNumberFormat="1" applyFill="1" applyBorder="1" applyAlignment="1" applyProtection="1">
      <alignment horizontal="left"/>
      <protection locked="0"/>
    </xf>
    <xf numFmtId="0" fontId="0" fillId="22" borderId="245" xfId="0" applyFill="1" applyBorder="1" applyProtection="1">
      <protection locked="0"/>
    </xf>
    <xf numFmtId="0" fontId="30" fillId="9" borderId="244" xfId="0" applyFont="1" applyFill="1" applyBorder="1" applyAlignment="1">
      <alignment horizontal="left"/>
    </xf>
    <xf numFmtId="44" fontId="0" fillId="0" borderId="168" xfId="0" applyNumberFormat="1" applyBorder="1" applyProtection="1">
      <protection locked="0"/>
    </xf>
    <xf numFmtId="42" fontId="0" fillId="0" borderId="245" xfId="0" applyNumberFormat="1" applyBorder="1" applyAlignment="1" applyProtection="1">
      <alignment horizontal="left"/>
      <protection locked="0"/>
    </xf>
    <xf numFmtId="0" fontId="30" fillId="20" borderId="174" xfId="0" applyFont="1" applyFill="1" applyBorder="1" applyAlignment="1">
      <alignment vertical="center" wrapText="1"/>
    </xf>
    <xf numFmtId="0" fontId="0" fillId="0" borderId="246" xfId="0" applyBorder="1"/>
    <xf numFmtId="0" fontId="0" fillId="0" borderId="247" xfId="0" applyBorder="1" applyProtection="1">
      <protection locked="0"/>
    </xf>
    <xf numFmtId="0" fontId="0" fillId="0" borderId="248" xfId="0" applyBorder="1" applyProtection="1">
      <protection locked="0"/>
    </xf>
    <xf numFmtId="165" fontId="0" fillId="0" borderId="245" xfId="0" applyNumberFormat="1" applyBorder="1" applyProtection="1">
      <protection locked="0"/>
    </xf>
    <xf numFmtId="165" fontId="0" fillId="0" borderId="249" xfId="0" applyNumberFormat="1" applyBorder="1" applyProtection="1">
      <protection locked="0"/>
    </xf>
    <xf numFmtId="0" fontId="0" fillId="0" borderId="246" xfId="0" applyBorder="1" applyProtection="1">
      <protection locked="0"/>
    </xf>
    <xf numFmtId="0" fontId="0" fillId="0" borderId="247" xfId="0" applyBorder="1" applyAlignment="1" applyProtection="1">
      <alignment wrapText="1"/>
      <protection locked="0"/>
    </xf>
    <xf numFmtId="0" fontId="0" fillId="0" borderId="247" xfId="0" applyBorder="1" applyAlignment="1">
      <alignment wrapText="1"/>
    </xf>
    <xf numFmtId="0" fontId="0" fillId="0" borderId="249" xfId="0" applyBorder="1" applyProtection="1">
      <protection locked="0"/>
    </xf>
    <xf numFmtId="0" fontId="7" fillId="0" borderId="250" xfId="0" applyFont="1" applyBorder="1" applyAlignment="1" applyProtection="1">
      <alignment horizontal="right"/>
      <protection locked="0"/>
    </xf>
    <xf numFmtId="0" fontId="4" fillId="0" borderId="247" xfId="0" applyFont="1" applyBorder="1" applyAlignment="1">
      <alignment wrapText="1"/>
    </xf>
    <xf numFmtId="0" fontId="0" fillId="0" borderId="246" xfId="0" applyBorder="1" applyAlignment="1">
      <alignment vertical="top"/>
    </xf>
    <xf numFmtId="0" fontId="0" fillId="0" borderId="251" xfId="0" applyBorder="1" applyAlignment="1">
      <alignment vertical="top"/>
    </xf>
    <xf numFmtId="0" fontId="30" fillId="0" borderId="252" xfId="0" applyFont="1" applyBorder="1" applyAlignment="1">
      <alignment vertical="center"/>
    </xf>
    <xf numFmtId="0" fontId="30" fillId="0" borderId="252" xfId="0" quotePrefix="1" applyFont="1" applyBorder="1"/>
    <xf numFmtId="3" fontId="0" fillId="0" borderId="253" xfId="0" applyNumberFormat="1" applyBorder="1" applyAlignment="1" applyProtection="1">
      <alignment horizontal="left"/>
      <protection locked="0"/>
    </xf>
    <xf numFmtId="0" fontId="0" fillId="0" borderId="253" xfId="0" applyBorder="1" applyProtection="1">
      <protection locked="0"/>
    </xf>
    <xf numFmtId="0" fontId="30" fillId="19" borderId="252" xfId="0" applyFont="1" applyFill="1" applyBorder="1" applyAlignment="1">
      <alignment horizontal="center"/>
    </xf>
    <xf numFmtId="0" fontId="30" fillId="22" borderId="252" xfId="0" applyFont="1" applyFill="1" applyBorder="1" applyAlignment="1">
      <alignment horizontal="left"/>
    </xf>
    <xf numFmtId="3" fontId="0" fillId="22" borderId="253" xfId="0" applyNumberFormat="1" applyFill="1" applyBorder="1" applyAlignment="1" applyProtection="1">
      <alignment horizontal="left"/>
      <protection locked="0"/>
    </xf>
    <xf numFmtId="0" fontId="0" fillId="22" borderId="253" xfId="0" applyFill="1" applyBorder="1" applyProtection="1">
      <protection locked="0"/>
    </xf>
    <xf numFmtId="0" fontId="30" fillId="9" borderId="252" xfId="0" applyFont="1" applyFill="1" applyBorder="1" applyAlignment="1">
      <alignment horizontal="left"/>
    </xf>
    <xf numFmtId="0" fontId="31" fillId="9" borderId="174" xfId="0" applyFont="1" applyFill="1" applyBorder="1" applyAlignment="1">
      <alignment horizontal="center" vertical="center" wrapText="1"/>
    </xf>
    <xf numFmtId="0" fontId="0" fillId="0" borderId="254" xfId="0" applyBorder="1" applyProtection="1">
      <protection locked="0"/>
    </xf>
    <xf numFmtId="0" fontId="0" fillId="0" borderId="202" xfId="0" applyBorder="1" applyProtection="1">
      <protection locked="0"/>
    </xf>
    <xf numFmtId="0" fontId="0" fillId="0" borderId="255" xfId="0" applyBorder="1" applyProtection="1">
      <protection locked="0"/>
    </xf>
    <xf numFmtId="170" fontId="0" fillId="22" borderId="169" xfId="0" applyNumberFormat="1" applyFill="1" applyBorder="1" applyProtection="1">
      <protection locked="0"/>
    </xf>
    <xf numFmtId="3" fontId="7" fillId="0" borderId="168" xfId="0" applyNumberFormat="1" applyFont="1" applyBorder="1" applyAlignment="1">
      <alignment horizontal="left" vertical="center" wrapText="1"/>
    </xf>
    <xf numFmtId="170" fontId="0" fillId="0" borderId="168" xfId="0" applyNumberFormat="1" applyBorder="1" applyProtection="1">
      <protection locked="0"/>
    </xf>
    <xf numFmtId="170" fontId="0" fillId="0" borderId="169" xfId="0" applyNumberFormat="1" applyBorder="1" applyProtection="1">
      <protection locked="0"/>
    </xf>
    <xf numFmtId="0" fontId="0" fillId="0" borderId="177" xfId="0" applyBorder="1"/>
    <xf numFmtId="0" fontId="0" fillId="0" borderId="198" xfId="0" applyBorder="1" applyAlignment="1">
      <alignment wrapText="1"/>
    </xf>
    <xf numFmtId="0" fontId="4" fillId="3" borderId="174" xfId="0" applyFont="1" applyFill="1" applyBorder="1" applyAlignment="1">
      <alignment horizontal="center" wrapText="1"/>
    </xf>
    <xf numFmtId="0" fontId="36" fillId="0" borderId="256" xfId="0" applyFont="1" applyBorder="1" applyAlignment="1">
      <alignment horizontal="left" wrapText="1"/>
    </xf>
    <xf numFmtId="0" fontId="0" fillId="0" borderId="257" xfId="0" applyBorder="1" applyProtection="1">
      <protection locked="0"/>
    </xf>
    <xf numFmtId="165" fontId="0" fillId="0" borderId="258" xfId="0" applyNumberFormat="1" applyBorder="1" applyProtection="1">
      <protection locked="0"/>
    </xf>
    <xf numFmtId="0" fontId="0" fillId="0" borderId="259" xfId="0" applyBorder="1" applyProtection="1">
      <protection locked="0"/>
    </xf>
    <xf numFmtId="0" fontId="0" fillId="0" borderId="260" xfId="0" applyBorder="1" applyAlignment="1" applyProtection="1">
      <alignment wrapText="1"/>
      <protection locked="0"/>
    </xf>
    <xf numFmtId="0" fontId="0" fillId="0" borderId="260" xfId="0" applyBorder="1" applyAlignment="1">
      <alignment wrapText="1"/>
    </xf>
    <xf numFmtId="0" fontId="0" fillId="0" borderId="258" xfId="0" applyBorder="1" applyProtection="1">
      <protection locked="0"/>
    </xf>
    <xf numFmtId="0" fontId="0" fillId="0" borderId="259" xfId="0" applyBorder="1"/>
    <xf numFmtId="0" fontId="4" fillId="0" borderId="260" xfId="0" applyFont="1" applyBorder="1" applyAlignment="1">
      <alignment wrapText="1"/>
    </xf>
    <xf numFmtId="0" fontId="0" fillId="0" borderId="260" xfId="0" applyBorder="1" applyProtection="1">
      <protection locked="0"/>
    </xf>
    <xf numFmtId="0" fontId="0" fillId="0" borderId="261" xfId="0" applyBorder="1" applyAlignment="1">
      <alignment vertical="top"/>
    </xf>
    <xf numFmtId="0" fontId="36" fillId="0" borderId="262" xfId="0" applyFont="1" applyBorder="1" applyAlignment="1">
      <alignment horizontal="left" wrapText="1"/>
    </xf>
    <xf numFmtId="0" fontId="0" fillId="0" borderId="259" xfId="0" applyBorder="1" applyAlignment="1">
      <alignment vertical="top"/>
    </xf>
    <xf numFmtId="0" fontId="30" fillId="0" borderId="263" xfId="0" applyFont="1" applyBorder="1" applyAlignment="1">
      <alignment vertical="center"/>
    </xf>
    <xf numFmtId="0" fontId="30" fillId="0" borderId="263" xfId="0" quotePrefix="1" applyFont="1" applyBorder="1"/>
    <xf numFmtId="3" fontId="0" fillId="0" borderId="264" xfId="0" applyNumberFormat="1" applyBorder="1" applyAlignment="1" applyProtection="1">
      <alignment horizontal="left"/>
      <protection locked="0"/>
    </xf>
    <xf numFmtId="0" fontId="0" fillId="0" borderId="264" xfId="0" applyBorder="1" applyProtection="1">
      <protection locked="0"/>
    </xf>
    <xf numFmtId="0" fontId="30" fillId="19" borderId="263" xfId="0" applyFont="1" applyFill="1" applyBorder="1" applyAlignment="1">
      <alignment horizontal="center"/>
    </xf>
    <xf numFmtId="0" fontId="30" fillId="22" borderId="263" xfId="0" applyFont="1" applyFill="1" applyBorder="1" applyAlignment="1">
      <alignment horizontal="left"/>
    </xf>
    <xf numFmtId="3" fontId="0" fillId="22" borderId="264" xfId="0" applyNumberFormat="1" applyFill="1" applyBorder="1" applyAlignment="1" applyProtection="1">
      <alignment horizontal="left"/>
      <protection locked="0"/>
    </xf>
    <xf numFmtId="0" fontId="0" fillId="22" borderId="264" xfId="0" applyFill="1" applyBorder="1" applyProtection="1">
      <protection locked="0"/>
    </xf>
    <xf numFmtId="0" fontId="30" fillId="9" borderId="263" xfId="0" applyFont="1" applyFill="1" applyBorder="1" applyAlignment="1">
      <alignment horizontal="left"/>
    </xf>
    <xf numFmtId="0" fontId="0" fillId="0" borderId="265" xfId="0" applyBorder="1" applyProtection="1">
      <protection locked="0"/>
    </xf>
    <xf numFmtId="165" fontId="0" fillId="0" borderId="266" xfId="0" applyNumberFormat="1" applyBorder="1" applyProtection="1">
      <protection locked="0"/>
    </xf>
    <xf numFmtId="0" fontId="0" fillId="0" borderId="267" xfId="0" applyBorder="1" applyProtection="1">
      <protection locked="0"/>
    </xf>
    <xf numFmtId="0" fontId="0" fillId="0" borderId="268" xfId="0" applyBorder="1" applyAlignment="1" applyProtection="1">
      <alignment wrapText="1"/>
      <protection locked="0"/>
    </xf>
    <xf numFmtId="0" fontId="0" fillId="0" borderId="268" xfId="0" applyBorder="1" applyAlignment="1">
      <alignment wrapText="1"/>
    </xf>
    <xf numFmtId="0" fontId="0" fillId="0" borderId="266" xfId="0" applyBorder="1" applyProtection="1">
      <protection locked="0"/>
    </xf>
    <xf numFmtId="0" fontId="0" fillId="0" borderId="223" xfId="0" applyBorder="1" applyAlignment="1" applyProtection="1">
      <alignment horizontal="right"/>
      <protection locked="0"/>
    </xf>
    <xf numFmtId="0" fontId="0" fillId="0" borderId="250" xfId="0" applyBorder="1" applyAlignment="1" applyProtection="1">
      <alignment horizontal="right"/>
      <protection locked="0"/>
    </xf>
    <xf numFmtId="0" fontId="4" fillId="0" borderId="268" xfId="0" applyFont="1" applyBorder="1" applyAlignment="1">
      <alignment wrapText="1"/>
    </xf>
    <xf numFmtId="0" fontId="0" fillId="0" borderId="267" xfId="0" applyBorder="1" applyAlignment="1">
      <alignment vertical="top"/>
    </xf>
    <xf numFmtId="0" fontId="23" fillId="0" borderId="269" xfId="0" applyFont="1" applyBorder="1" applyAlignment="1">
      <alignment vertical="top"/>
    </xf>
    <xf numFmtId="0" fontId="30" fillId="19" borderId="270" xfId="0" applyFont="1" applyFill="1" applyBorder="1" applyAlignment="1">
      <alignment horizontal="center" vertical="center"/>
    </xf>
    <xf numFmtId="0" fontId="0" fillId="0" borderId="264" xfId="0" applyBorder="1" applyAlignment="1" applyProtection="1">
      <alignment horizontal="left"/>
      <protection locked="0"/>
    </xf>
    <xf numFmtId="0" fontId="30" fillId="0" borderId="271" xfId="0" applyFont="1" applyBorder="1" applyAlignment="1">
      <alignment vertical="center"/>
    </xf>
    <xf numFmtId="3" fontId="0" fillId="0" borderId="272" xfId="0" applyNumberFormat="1" applyBorder="1" applyAlignment="1" applyProtection="1">
      <alignment horizontal="left"/>
      <protection locked="0"/>
    </xf>
    <xf numFmtId="0" fontId="30" fillId="0" borderId="271" xfId="0" quotePrefix="1" applyFont="1" applyBorder="1"/>
    <xf numFmtId="0" fontId="0" fillId="0" borderId="168" xfId="0" applyBorder="1" applyAlignment="1" applyProtection="1">
      <alignment vertical="top"/>
      <protection locked="0"/>
    </xf>
    <xf numFmtId="0" fontId="30" fillId="19" borderId="271" xfId="0" applyFont="1" applyFill="1" applyBorder="1" applyAlignment="1">
      <alignment horizontal="center"/>
    </xf>
    <xf numFmtId="0" fontId="0" fillId="21" borderId="267" xfId="0" applyFill="1" applyBorder="1" applyAlignment="1">
      <alignment vertical="top"/>
    </xf>
    <xf numFmtId="0" fontId="31" fillId="21" borderId="271" xfId="0" applyFont="1" applyFill="1" applyBorder="1" applyAlignment="1">
      <alignment horizontal="left"/>
    </xf>
    <xf numFmtId="0" fontId="0" fillId="21" borderId="168" xfId="0" applyFill="1" applyBorder="1" applyAlignment="1" applyProtection="1">
      <alignment vertical="top"/>
      <protection locked="0"/>
    </xf>
    <xf numFmtId="0" fontId="0" fillId="21" borderId="172" xfId="0" applyFill="1" applyBorder="1" applyProtection="1">
      <protection locked="0"/>
    </xf>
    <xf numFmtId="0" fontId="0" fillId="21" borderId="168" xfId="0" applyFill="1" applyBorder="1" applyProtection="1">
      <protection locked="0"/>
    </xf>
    <xf numFmtId="6" fontId="0" fillId="21" borderId="169" xfId="0" applyNumberFormat="1" applyFill="1" applyBorder="1" applyProtection="1">
      <protection locked="0"/>
    </xf>
    <xf numFmtId="0" fontId="6" fillId="21" borderId="164" xfId="0" applyFont="1" applyFill="1" applyBorder="1" applyProtection="1">
      <protection locked="0"/>
    </xf>
    <xf numFmtId="0" fontId="0" fillId="21" borderId="272" xfId="0" applyFill="1" applyBorder="1" applyProtection="1">
      <protection locked="0"/>
    </xf>
    <xf numFmtId="3" fontId="0" fillId="21" borderId="272" xfId="0" applyNumberFormat="1" applyFill="1" applyBorder="1" applyAlignment="1" applyProtection="1">
      <alignment horizontal="left"/>
      <protection locked="0"/>
    </xf>
    <xf numFmtId="0" fontId="31" fillId="9" borderId="273" xfId="0" applyFont="1" applyFill="1" applyBorder="1" applyAlignment="1">
      <alignment horizontal="left"/>
    </xf>
    <xf numFmtId="0" fontId="31" fillId="0" borderId="198" xfId="0" applyFont="1" applyBorder="1" applyAlignment="1">
      <alignment vertical="center" wrapText="1"/>
    </xf>
    <xf numFmtId="4" fontId="0" fillId="0" borderId="172" xfId="0" applyNumberFormat="1" applyBorder="1" applyProtection="1">
      <protection locked="0"/>
    </xf>
    <xf numFmtId="44" fontId="0" fillId="0" borderId="272" xfId="0" applyNumberFormat="1" applyBorder="1" applyProtection="1">
      <protection locked="0"/>
    </xf>
    <xf numFmtId="44" fontId="30" fillId="7" borderId="164" xfId="2" applyFont="1" applyFill="1" applyBorder="1" applyAlignment="1">
      <alignment horizontal="center" vertical="center"/>
    </xf>
    <xf numFmtId="0" fontId="30" fillId="0" borderId="198" xfId="0" applyFont="1" applyBorder="1" applyAlignment="1">
      <alignment vertical="center" wrapText="1"/>
    </xf>
    <xf numFmtId="0" fontId="30" fillId="7" borderId="198" xfId="0" applyFont="1" applyFill="1" applyBorder="1" applyAlignment="1">
      <alignment vertical="center" wrapText="1"/>
    </xf>
    <xf numFmtId="0" fontId="30" fillId="0" borderId="198" xfId="0" applyFont="1" applyBorder="1" applyAlignment="1">
      <alignment horizontal="left" vertical="center" wrapText="1"/>
    </xf>
    <xf numFmtId="0" fontId="30" fillId="0" borderId="174" xfId="0" applyFont="1" applyBorder="1" applyAlignment="1">
      <alignment horizontal="left" vertical="center" wrapText="1"/>
    </xf>
    <xf numFmtId="0" fontId="15" fillId="0" borderId="168" xfId="0" applyFont="1" applyBorder="1" applyAlignment="1" applyProtection="1">
      <alignment vertical="top"/>
      <protection locked="0"/>
    </xf>
    <xf numFmtId="0" fontId="15" fillId="0" borderId="168" xfId="0" applyFont="1" applyBorder="1" applyAlignment="1" applyProtection="1">
      <alignment vertical="top" wrapText="1"/>
      <protection locked="0"/>
    </xf>
    <xf numFmtId="0" fontId="30" fillId="0" borderId="198" xfId="0" applyFont="1" applyBorder="1" applyAlignment="1">
      <alignment horizontal="left" wrapText="1"/>
    </xf>
    <xf numFmtId="0" fontId="30" fillId="0" borderId="174" xfId="0" applyFont="1" applyBorder="1"/>
    <xf numFmtId="0" fontId="30" fillId="0" borderId="198" xfId="0" applyFont="1" applyBorder="1"/>
    <xf numFmtId="0" fontId="0" fillId="7" borderId="272" xfId="0" applyFill="1" applyBorder="1" applyProtection="1">
      <protection locked="0"/>
    </xf>
    <xf numFmtId="0" fontId="30" fillId="0" borderId="174" xfId="0" applyFont="1" applyBorder="1" applyAlignment="1">
      <alignment vertical="center" wrapText="1"/>
    </xf>
    <xf numFmtId="2" fontId="0" fillId="0" borderId="172" xfId="0" applyNumberFormat="1" applyBorder="1" applyProtection="1">
      <protection locked="0"/>
    </xf>
    <xf numFmtId="44" fontId="0" fillId="7" borderId="272" xfId="0" applyNumberFormat="1" applyFill="1" applyBorder="1" applyProtection="1">
      <protection locked="0"/>
    </xf>
    <xf numFmtId="0" fontId="96" fillId="0" borderId="198" xfId="0" applyFont="1" applyBorder="1" applyAlignment="1">
      <alignment vertical="center" wrapText="1"/>
    </xf>
    <xf numFmtId="0" fontId="0" fillId="0" borderId="274" xfId="0" applyBorder="1" applyAlignment="1">
      <alignment vertical="top"/>
    </xf>
    <xf numFmtId="0" fontId="0" fillId="0" borderId="275" xfId="0" applyBorder="1" applyProtection="1">
      <protection locked="0"/>
    </xf>
    <xf numFmtId="0" fontId="0" fillId="0" borderId="276" xfId="0" applyBorder="1" applyProtection="1">
      <protection locked="0"/>
    </xf>
    <xf numFmtId="3" fontId="0" fillId="0" borderId="277" xfId="0" applyNumberFormat="1" applyBorder="1" applyAlignment="1" applyProtection="1">
      <alignment horizontal="left"/>
      <protection locked="0"/>
    </xf>
    <xf numFmtId="38" fontId="0" fillId="0" borderId="277" xfId="0" applyNumberFormat="1" applyBorder="1" applyAlignment="1" applyProtection="1">
      <alignment horizontal="left"/>
      <protection locked="0"/>
    </xf>
    <xf numFmtId="9" fontId="0" fillId="6" borderId="164" xfId="3" applyFont="1" applyFill="1" applyBorder="1" applyAlignment="1" applyProtection="1">
      <alignment horizontal="left"/>
      <protection locked="0"/>
    </xf>
    <xf numFmtId="5" fontId="0" fillId="6" borderId="164" xfId="2" applyNumberFormat="1" applyFont="1" applyFill="1" applyBorder="1" applyAlignment="1" applyProtection="1">
      <alignment horizontal="left"/>
      <protection locked="0"/>
    </xf>
    <xf numFmtId="10" fontId="0" fillId="6" borderId="164" xfId="2" applyNumberFormat="1" applyFont="1" applyFill="1" applyBorder="1" applyProtection="1">
      <protection locked="0"/>
    </xf>
    <xf numFmtId="0" fontId="0" fillId="0" borderId="278" xfId="0" applyBorder="1"/>
    <xf numFmtId="0" fontId="0" fillId="0" borderId="279" xfId="0" applyBorder="1" applyProtection="1">
      <protection locked="0"/>
    </xf>
    <xf numFmtId="0" fontId="0" fillId="0" borderId="280" xfId="0" applyBorder="1" applyProtection="1">
      <protection locked="0"/>
    </xf>
    <xf numFmtId="165" fontId="0" fillId="0" borderId="281" xfId="0" applyNumberFormat="1" applyBorder="1" applyProtection="1">
      <protection locked="0"/>
    </xf>
    <xf numFmtId="165" fontId="0" fillId="0" borderId="272" xfId="0" applyNumberFormat="1" applyBorder="1" applyProtection="1">
      <protection locked="0"/>
    </xf>
    <xf numFmtId="0" fontId="0" fillId="0" borderId="278" xfId="0" applyBorder="1" applyProtection="1">
      <protection locked="0"/>
    </xf>
    <xf numFmtId="0" fontId="0" fillId="0" borderId="279" xfId="0" applyBorder="1" applyAlignment="1" applyProtection="1">
      <alignment wrapText="1"/>
      <protection locked="0"/>
    </xf>
    <xf numFmtId="0" fontId="0" fillId="2" borderId="164" xfId="0" applyFill="1" applyBorder="1" applyProtection="1">
      <protection locked="0"/>
    </xf>
    <xf numFmtId="0" fontId="0" fillId="0" borderId="279" xfId="0" applyBorder="1" applyAlignment="1">
      <alignment wrapText="1"/>
    </xf>
    <xf numFmtId="0" fontId="0" fillId="0" borderId="281" xfId="0" applyBorder="1" applyProtection="1">
      <protection locked="0"/>
    </xf>
    <xf numFmtId="44" fontId="0" fillId="0" borderId="242" xfId="2" applyFont="1" applyBorder="1" applyAlignment="1" applyProtection="1">
      <alignment horizontal="center"/>
      <protection locked="0"/>
    </xf>
    <xf numFmtId="0" fontId="4" fillId="0" borderId="279" xfId="0" applyFont="1" applyBorder="1" applyAlignment="1">
      <alignment wrapText="1"/>
    </xf>
    <xf numFmtId="0" fontId="0" fillId="0" borderId="278" xfId="0" applyBorder="1" applyAlignment="1">
      <alignment vertical="top"/>
    </xf>
    <xf numFmtId="0" fontId="0" fillId="0" borderId="272" xfId="0" applyBorder="1" applyProtection="1">
      <protection locked="0"/>
    </xf>
    <xf numFmtId="0" fontId="23" fillId="0" borderId="282" xfId="0" applyFont="1" applyBorder="1" applyAlignment="1">
      <alignment vertical="top"/>
    </xf>
    <xf numFmtId="0" fontId="0" fillId="0" borderId="272" xfId="0" applyBorder="1" applyAlignment="1" applyProtection="1">
      <alignment horizontal="left"/>
      <protection locked="0"/>
    </xf>
    <xf numFmtId="3" fontId="0" fillId="0" borderId="164" xfId="0" applyNumberFormat="1" applyBorder="1" applyAlignment="1" applyProtection="1">
      <alignment horizontal="left"/>
      <protection locked="0"/>
    </xf>
    <xf numFmtId="0" fontId="30" fillId="22" borderId="271" xfId="0" applyFont="1" applyFill="1" applyBorder="1" applyAlignment="1">
      <alignment horizontal="left"/>
    </xf>
    <xf numFmtId="0" fontId="0" fillId="22" borderId="168" xfId="0" applyFill="1" applyBorder="1" applyAlignment="1" applyProtection="1">
      <alignment vertical="top"/>
      <protection locked="0"/>
    </xf>
    <xf numFmtId="0" fontId="0" fillId="22" borderId="172" xfId="0" applyFill="1" applyBorder="1" applyProtection="1">
      <protection locked="0"/>
    </xf>
    <xf numFmtId="3" fontId="0" fillId="22" borderId="272" xfId="0" applyNumberFormat="1" applyFill="1" applyBorder="1" applyAlignment="1" applyProtection="1">
      <alignment horizontal="left"/>
      <protection locked="0"/>
    </xf>
    <xf numFmtId="0" fontId="0" fillId="22" borderId="272" xfId="0" applyFill="1" applyBorder="1" applyProtection="1">
      <protection locked="0"/>
    </xf>
    <xf numFmtId="0" fontId="6" fillId="22" borderId="177" xfId="0" applyFont="1" applyFill="1" applyBorder="1" applyProtection="1">
      <protection locked="0"/>
    </xf>
    <xf numFmtId="0" fontId="0" fillId="22" borderId="164" xfId="0" applyFill="1" applyBorder="1" applyProtection="1">
      <protection locked="0"/>
    </xf>
    <xf numFmtId="0" fontId="6" fillId="22" borderId="170" xfId="0" applyFont="1" applyFill="1" applyBorder="1" applyProtection="1">
      <protection locked="0"/>
    </xf>
    <xf numFmtId="0" fontId="31" fillId="9" borderId="283" xfId="0" applyFont="1" applyFill="1" applyBorder="1" applyAlignment="1">
      <alignment horizontal="left" wrapText="1"/>
    </xf>
    <xf numFmtId="0" fontId="31" fillId="0" borderId="174" xfId="0" applyFont="1" applyBorder="1" applyAlignment="1">
      <alignment vertical="center" wrapText="1"/>
    </xf>
    <xf numFmtId="0" fontId="31" fillId="0" borderId="174" xfId="0" applyFont="1" applyBorder="1"/>
    <xf numFmtId="3" fontId="0" fillId="0" borderId="242" xfId="0" applyNumberFormat="1" applyBorder="1" applyAlignment="1" applyProtection="1">
      <alignment horizontal="left"/>
      <protection locked="0"/>
    </xf>
    <xf numFmtId="10" fontId="0" fillId="6" borderId="164" xfId="3" applyNumberFormat="1" applyFont="1" applyFill="1" applyBorder="1" applyProtection="1">
      <protection locked="0"/>
    </xf>
    <xf numFmtId="0" fontId="0" fillId="0" borderId="267" xfId="0" applyBorder="1"/>
    <xf numFmtId="0" fontId="23" fillId="0" borderId="261" xfId="0" applyFont="1" applyBorder="1" applyAlignment="1">
      <alignment vertical="top"/>
    </xf>
    <xf numFmtId="0" fontId="0" fillId="0" borderId="253" xfId="0" applyBorder="1" applyAlignment="1" applyProtection="1">
      <alignment horizontal="left"/>
      <protection locked="0"/>
    </xf>
    <xf numFmtId="0" fontId="30" fillId="0" borderId="284" xfId="0" applyFont="1" applyBorder="1" applyAlignment="1">
      <alignment vertical="center"/>
    </xf>
    <xf numFmtId="3" fontId="0" fillId="0" borderId="285" xfId="0" applyNumberFormat="1" applyBorder="1" applyAlignment="1" applyProtection="1">
      <alignment horizontal="left"/>
      <protection locked="0"/>
    </xf>
    <xf numFmtId="0" fontId="30" fillId="0" borderId="284" xfId="0" quotePrefix="1" applyFont="1" applyBorder="1"/>
    <xf numFmtId="0" fontId="30" fillId="19" borderId="284" xfId="0" applyFont="1" applyFill="1" applyBorder="1" applyAlignment="1">
      <alignment horizontal="center"/>
    </xf>
    <xf numFmtId="0" fontId="30" fillId="22" borderId="284" xfId="0" applyFont="1" applyFill="1" applyBorder="1" applyAlignment="1">
      <alignment horizontal="left"/>
    </xf>
    <xf numFmtId="3" fontId="0" fillId="22" borderId="285" xfId="0" applyNumberFormat="1" applyFill="1" applyBorder="1" applyAlignment="1" applyProtection="1">
      <alignment horizontal="left"/>
      <protection locked="0"/>
    </xf>
    <xf numFmtId="0" fontId="0" fillId="22" borderId="285" xfId="0" applyFill="1" applyBorder="1" applyProtection="1">
      <protection locked="0"/>
    </xf>
    <xf numFmtId="0" fontId="31" fillId="9" borderId="286" xfId="0" applyFont="1" applyFill="1" applyBorder="1" applyAlignment="1">
      <alignment horizontal="left" wrapText="1"/>
    </xf>
    <xf numFmtId="0" fontId="23" fillId="0" borderId="267" xfId="0" applyFont="1" applyBorder="1" applyAlignment="1">
      <alignment vertical="top"/>
    </xf>
    <xf numFmtId="0" fontId="30" fillId="0" borderId="287" xfId="0" applyFont="1" applyBorder="1" applyAlignment="1">
      <alignment vertical="center"/>
    </xf>
    <xf numFmtId="0" fontId="30" fillId="0" borderId="287" xfId="0" quotePrefix="1" applyFont="1" applyBorder="1"/>
    <xf numFmtId="0" fontId="0" fillId="6" borderId="242" xfId="0" applyFill="1" applyBorder="1" applyAlignment="1" applyProtection="1">
      <alignment horizontal="center"/>
      <protection locked="0"/>
    </xf>
    <xf numFmtId="7" fontId="0" fillId="6" borderId="164" xfId="0" applyNumberFormat="1" applyFill="1" applyBorder="1" applyAlignment="1" applyProtection="1">
      <alignment horizontal="center"/>
      <protection locked="0"/>
    </xf>
    <xf numFmtId="0" fontId="0" fillId="0" borderId="288" xfId="0" applyBorder="1"/>
    <xf numFmtId="0" fontId="0" fillId="0" borderId="289" xfId="0" applyBorder="1" applyProtection="1">
      <protection locked="0"/>
    </xf>
    <xf numFmtId="0" fontId="0" fillId="0" borderId="290" xfId="0" applyBorder="1" applyProtection="1">
      <protection locked="0"/>
    </xf>
    <xf numFmtId="165" fontId="0" fillId="0" borderId="291" xfId="0" applyNumberFormat="1" applyBorder="1" applyProtection="1">
      <protection locked="0"/>
    </xf>
    <xf numFmtId="0" fontId="0" fillId="0" borderId="288" xfId="0" applyBorder="1" applyProtection="1">
      <protection locked="0"/>
    </xf>
    <xf numFmtId="0" fontId="0" fillId="0" borderId="289" xfId="0" applyBorder="1" applyAlignment="1" applyProtection="1">
      <alignment wrapText="1"/>
      <protection locked="0"/>
    </xf>
    <xf numFmtId="0" fontId="0" fillId="0" borderId="289" xfId="0" applyBorder="1" applyAlignment="1">
      <alignment wrapText="1"/>
    </xf>
    <xf numFmtId="0" fontId="0" fillId="0" borderId="291" xfId="0" applyBorder="1" applyProtection="1">
      <protection locked="0"/>
    </xf>
    <xf numFmtId="0" fontId="4" fillId="0" borderId="289" xfId="0" applyFont="1" applyBorder="1" applyAlignment="1">
      <alignment wrapText="1"/>
    </xf>
    <xf numFmtId="0" fontId="0" fillId="0" borderId="288" xfId="0" applyBorder="1" applyAlignment="1">
      <alignment vertical="top"/>
    </xf>
    <xf numFmtId="0" fontId="0" fillId="0" borderId="285" xfId="0" applyBorder="1" applyProtection="1">
      <protection locked="0"/>
    </xf>
    <xf numFmtId="0" fontId="23" fillId="0" borderId="288" xfId="0" applyFont="1" applyBorder="1" applyAlignment="1">
      <alignment vertical="top"/>
    </xf>
    <xf numFmtId="0" fontId="0" fillId="0" borderId="285" xfId="0" applyBorder="1" applyAlignment="1" applyProtection="1">
      <alignment horizontal="left"/>
      <protection locked="0"/>
    </xf>
    <xf numFmtId="0" fontId="30" fillId="0" borderId="292" xfId="0" applyFont="1" applyBorder="1" applyAlignment="1">
      <alignment vertical="center"/>
    </xf>
    <xf numFmtId="3" fontId="0" fillId="0" borderId="293" xfId="0" applyNumberFormat="1" applyBorder="1" applyAlignment="1" applyProtection="1">
      <alignment horizontal="left"/>
      <protection locked="0"/>
    </xf>
    <xf numFmtId="0" fontId="30" fillId="0" borderId="292" xfId="0" quotePrefix="1" applyFont="1" applyBorder="1"/>
    <xf numFmtId="0" fontId="30" fillId="19" borderId="292" xfId="0" applyFont="1" applyFill="1" applyBorder="1" applyAlignment="1">
      <alignment horizontal="center"/>
    </xf>
    <xf numFmtId="0" fontId="30" fillId="22" borderId="292" xfId="0" applyFont="1" applyFill="1" applyBorder="1" applyAlignment="1">
      <alignment horizontal="left"/>
    </xf>
    <xf numFmtId="3" fontId="0" fillId="22" borderId="293" xfId="0" applyNumberFormat="1" applyFill="1" applyBorder="1" applyAlignment="1" applyProtection="1">
      <alignment horizontal="left"/>
      <protection locked="0"/>
    </xf>
    <xf numFmtId="0" fontId="0" fillId="22" borderId="293" xfId="0" applyFill="1" applyBorder="1" applyProtection="1">
      <protection locked="0"/>
    </xf>
    <xf numFmtId="0" fontId="31" fillId="9" borderId="294" xfId="0" applyFont="1" applyFill="1" applyBorder="1" applyAlignment="1">
      <alignment horizontal="left" wrapText="1"/>
    </xf>
    <xf numFmtId="5" fontId="0" fillId="0" borderId="285" xfId="2" applyNumberFormat="1" applyFont="1" applyBorder="1" applyProtection="1">
      <protection locked="0"/>
    </xf>
    <xf numFmtId="0" fontId="31" fillId="0" borderId="174" xfId="0" applyFont="1" applyBorder="1" applyAlignment="1">
      <alignment wrapText="1"/>
    </xf>
    <xf numFmtId="0" fontId="30" fillId="0" borderId="174" xfId="0" applyFont="1" applyBorder="1" applyAlignment="1">
      <alignment wrapText="1"/>
    </xf>
    <xf numFmtId="0" fontId="30" fillId="0" borderId="174" xfId="0" applyFont="1" applyBorder="1" applyAlignment="1">
      <alignment horizontal="left" wrapText="1"/>
    </xf>
    <xf numFmtId="0" fontId="0" fillId="0" borderId="196" xfId="0" applyBorder="1" applyProtection="1">
      <protection locked="0"/>
    </xf>
    <xf numFmtId="0" fontId="23" fillId="0" borderId="232" xfId="0" applyFont="1" applyBorder="1" applyAlignment="1">
      <alignment vertical="top"/>
    </xf>
    <xf numFmtId="0" fontId="0" fillId="0" borderId="160" xfId="0" applyBorder="1" applyAlignment="1" applyProtection="1">
      <alignment horizontal="left"/>
      <protection locked="0"/>
    </xf>
    <xf numFmtId="0" fontId="30" fillId="0" borderId="295" xfId="0" applyFont="1" applyBorder="1" applyAlignment="1">
      <alignment vertical="center"/>
    </xf>
    <xf numFmtId="0" fontId="30" fillId="0" borderId="295" xfId="0" quotePrefix="1" applyFont="1" applyBorder="1"/>
    <xf numFmtId="0" fontId="30" fillId="19" borderId="295" xfId="0" applyFont="1" applyFill="1" applyBorder="1" applyAlignment="1">
      <alignment horizontal="center"/>
    </xf>
    <xf numFmtId="0" fontId="30" fillId="22" borderId="295" xfId="0" applyFont="1" applyFill="1" applyBorder="1" applyAlignment="1">
      <alignment horizontal="left"/>
    </xf>
    <xf numFmtId="44" fontId="0" fillId="22" borderId="160" xfId="0" applyNumberFormat="1" applyFill="1" applyBorder="1" applyProtection="1">
      <protection locked="0"/>
    </xf>
    <xf numFmtId="8" fontId="0" fillId="22" borderId="164" xfId="0" applyNumberFormat="1" applyFill="1" applyBorder="1" applyProtection="1">
      <protection locked="0"/>
    </xf>
    <xf numFmtId="0" fontId="0" fillId="22" borderId="160" xfId="0" applyFill="1" applyBorder="1" applyProtection="1">
      <protection locked="0"/>
    </xf>
    <xf numFmtId="0" fontId="31" fillId="9" borderId="296" xfId="0" applyFont="1" applyFill="1" applyBorder="1" applyAlignment="1">
      <alignment horizontal="left" wrapText="1"/>
    </xf>
    <xf numFmtId="0" fontId="122" fillId="0" borderId="174" xfId="0" applyFont="1" applyBorder="1" applyAlignment="1">
      <alignment vertical="center" wrapText="1"/>
    </xf>
    <xf numFmtId="44" fontId="0" fillId="7" borderId="164" xfId="0" applyNumberFormat="1" applyFill="1" applyBorder="1" applyProtection="1">
      <protection locked="0"/>
    </xf>
    <xf numFmtId="44" fontId="0" fillId="7" borderId="160" xfId="0" applyNumberFormat="1" applyFill="1" applyBorder="1" applyProtection="1">
      <protection locked="0"/>
    </xf>
    <xf numFmtId="0" fontId="6" fillId="0" borderId="277" xfId="0" applyFont="1" applyBorder="1" applyProtection="1">
      <protection locked="0"/>
    </xf>
    <xf numFmtId="165" fontId="0" fillId="14" borderId="164" xfId="0" applyNumberFormat="1" applyFill="1" applyBorder="1" applyAlignment="1" applyProtection="1">
      <alignment horizontal="center"/>
      <protection locked="0"/>
    </xf>
    <xf numFmtId="44" fontId="122" fillId="0" borderId="164" xfId="2" applyFont="1" applyBorder="1" applyAlignment="1">
      <alignment horizontal="center" vertical="center"/>
    </xf>
    <xf numFmtId="5" fontId="0" fillId="0" borderId="164" xfId="2" applyNumberFormat="1" applyFont="1" applyBorder="1" applyAlignment="1" applyProtection="1">
      <alignment horizontal="left"/>
      <protection locked="0"/>
    </xf>
    <xf numFmtId="0" fontId="6" fillId="0" borderId="164" xfId="0" applyFont="1" applyBorder="1" applyProtection="1">
      <protection locked="0"/>
    </xf>
    <xf numFmtId="5" fontId="0" fillId="0" borderId="160" xfId="2" applyNumberFormat="1" applyFont="1" applyBorder="1" applyProtection="1">
      <protection locked="0"/>
    </xf>
    <xf numFmtId="0" fontId="0" fillId="0" borderId="161" xfId="0" applyBorder="1" applyProtection="1">
      <protection locked="0"/>
    </xf>
    <xf numFmtId="0" fontId="30" fillId="19" borderId="158" xfId="0" applyFont="1" applyFill="1" applyBorder="1" applyAlignment="1">
      <alignment horizontal="center"/>
    </xf>
    <xf numFmtId="0" fontId="0" fillId="22" borderId="297" xfId="0" applyFill="1" applyBorder="1" applyAlignment="1">
      <alignment wrapText="1"/>
    </xf>
    <xf numFmtId="0" fontId="0" fillId="22" borderId="9" xfId="0" applyFill="1" applyBorder="1" applyProtection="1">
      <protection locked="0"/>
    </xf>
    <xf numFmtId="0" fontId="0" fillId="22" borderId="224" xfId="0" applyFill="1" applyBorder="1" applyProtection="1">
      <protection locked="0"/>
    </xf>
    <xf numFmtId="0" fontId="0" fillId="22" borderId="202" xfId="0" applyFill="1" applyBorder="1" applyProtection="1">
      <protection locked="0"/>
    </xf>
    <xf numFmtId="42" fontId="0" fillId="22" borderId="160" xfId="0" applyNumberFormat="1" applyFill="1" applyBorder="1" applyAlignment="1" applyProtection="1">
      <alignment horizontal="left"/>
      <protection locked="0"/>
    </xf>
    <xf numFmtId="42" fontId="0" fillId="0" borderId="160" xfId="0" applyNumberFormat="1" applyBorder="1" applyAlignment="1" applyProtection="1">
      <alignment horizontal="left"/>
      <protection locked="0"/>
    </xf>
    <xf numFmtId="0" fontId="0" fillId="0" borderId="181" xfId="0" applyBorder="1" applyAlignment="1">
      <alignment horizontal="left" wrapText="1" indent="1"/>
    </xf>
    <xf numFmtId="44" fontId="0" fillId="0" borderId="224" xfId="0" applyNumberFormat="1" applyBorder="1" applyProtection="1">
      <protection locked="0"/>
    </xf>
    <xf numFmtId="44" fontId="0" fillId="0" borderId="202" xfId="0" applyNumberFormat="1" applyBorder="1" applyProtection="1">
      <protection locked="0"/>
    </xf>
    <xf numFmtId="0" fontId="15" fillId="0" borderId="232" xfId="0" applyFont="1" applyBorder="1" applyAlignment="1">
      <alignment vertical="top"/>
    </xf>
    <xf numFmtId="0" fontId="1" fillId="0" borderId="181" xfId="0" applyFont="1" applyBorder="1" applyAlignment="1">
      <alignment wrapText="1"/>
    </xf>
    <xf numFmtId="42" fontId="0" fillId="7" borderId="160" xfId="0" applyNumberFormat="1" applyFill="1" applyBorder="1" applyAlignment="1" applyProtection="1">
      <alignment horizontal="left"/>
      <protection locked="0"/>
    </xf>
    <xf numFmtId="0" fontId="1" fillId="0" borderId="181" xfId="0" applyFont="1" applyBorder="1" applyAlignment="1">
      <alignment horizontal="left" wrapText="1"/>
    </xf>
    <xf numFmtId="0" fontId="0" fillId="0" borderId="181" xfId="0" applyBorder="1" applyAlignment="1">
      <alignment horizontal="left" wrapText="1"/>
    </xf>
    <xf numFmtId="44" fontId="30" fillId="0" borderId="160" xfId="2" applyFont="1" applyBorder="1" applyAlignment="1">
      <alignment horizontal="center" vertical="center"/>
    </xf>
    <xf numFmtId="0" fontId="0" fillId="6" borderId="298" xfId="0" applyFill="1" applyBorder="1" applyAlignment="1" applyProtection="1">
      <alignment horizontal="center"/>
      <protection locked="0"/>
    </xf>
    <xf numFmtId="0" fontId="6" fillId="3" borderId="168" xfId="0" applyFont="1" applyFill="1" applyBorder="1" applyProtection="1">
      <protection locked="0"/>
    </xf>
    <xf numFmtId="3" fontId="0" fillId="22" borderId="230" xfId="0" applyNumberFormat="1" applyFill="1" applyBorder="1" applyAlignment="1" applyProtection="1">
      <alignment horizontal="left"/>
      <protection locked="0"/>
    </xf>
    <xf numFmtId="0" fontId="31" fillId="9" borderId="229" xfId="0" applyFont="1" applyFill="1" applyBorder="1" applyAlignment="1">
      <alignment horizontal="left" vertical="center" wrapText="1"/>
    </xf>
    <xf numFmtId="0" fontId="30" fillId="9" borderId="229" xfId="0" applyFont="1" applyFill="1" applyBorder="1" applyAlignment="1">
      <alignment horizontal="left" wrapText="1"/>
    </xf>
    <xf numFmtId="0" fontId="30" fillId="0" borderId="229" xfId="0" applyFont="1" applyBorder="1" applyAlignment="1">
      <alignment horizontal="left" vertical="center" wrapText="1"/>
    </xf>
    <xf numFmtId="0" fontId="30" fillId="9" borderId="229" xfId="0" applyFont="1" applyFill="1" applyBorder="1" applyAlignment="1">
      <alignment horizontal="left" vertical="center" wrapText="1"/>
    </xf>
    <xf numFmtId="0" fontId="0" fillId="0" borderId="230" xfId="0" applyBorder="1" applyAlignment="1" applyProtection="1">
      <alignment horizontal="left"/>
      <protection locked="0"/>
    </xf>
    <xf numFmtId="7" fontId="0" fillId="6" borderId="242" xfId="0" applyNumberFormat="1" applyFill="1" applyBorder="1" applyAlignment="1" applyProtection="1">
      <alignment horizontal="center"/>
      <protection locked="0"/>
    </xf>
    <xf numFmtId="0" fontId="0" fillId="6" borderId="226" xfId="0" applyFill="1" applyBorder="1" applyAlignment="1" applyProtection="1">
      <alignment horizontal="center"/>
      <protection locked="0"/>
    </xf>
    <xf numFmtId="0" fontId="0" fillId="0" borderId="299" xfId="0" applyBorder="1" applyProtection="1">
      <protection locked="0"/>
    </xf>
    <xf numFmtId="5" fontId="0" fillId="0" borderId="230" xfId="2" applyNumberFormat="1" applyFont="1" applyBorder="1" applyProtection="1">
      <protection locked="0"/>
    </xf>
    <xf numFmtId="0" fontId="30" fillId="0" borderId="300" xfId="0" quotePrefix="1" applyFont="1" applyBorder="1"/>
    <xf numFmtId="44" fontId="0" fillId="22" borderId="230" xfId="0" applyNumberFormat="1" applyFill="1" applyBorder="1" applyProtection="1">
      <protection locked="0"/>
    </xf>
    <xf numFmtId="42" fontId="0" fillId="0" borderId="230" xfId="0" applyNumberFormat="1" applyBorder="1" applyAlignment="1" applyProtection="1">
      <alignment horizontal="left"/>
      <protection locked="0"/>
    </xf>
    <xf numFmtId="44" fontId="0" fillId="0" borderId="230" xfId="0" applyNumberFormat="1" applyBorder="1" applyProtection="1">
      <protection locked="0"/>
    </xf>
    <xf numFmtId="42" fontId="0" fillId="7" borderId="230" xfId="0" applyNumberFormat="1" applyFill="1" applyBorder="1" applyProtection="1">
      <protection locked="0"/>
    </xf>
    <xf numFmtId="42" fontId="0" fillId="7" borderId="230" xfId="0" applyNumberFormat="1" applyFill="1" applyBorder="1" applyAlignment="1" applyProtection="1">
      <alignment horizontal="left"/>
      <protection locked="0"/>
    </xf>
    <xf numFmtId="0" fontId="0" fillId="7" borderId="230" xfId="0" applyFill="1" applyBorder="1" applyProtection="1">
      <protection locked="0"/>
    </xf>
    <xf numFmtId="44" fontId="30" fillId="0" borderId="230" xfId="2" applyFont="1" applyBorder="1" applyAlignment="1">
      <alignment horizontal="center" vertical="center"/>
    </xf>
    <xf numFmtId="178" fontId="0" fillId="6" borderId="164" xfId="3" applyNumberFormat="1" applyFont="1" applyFill="1" applyBorder="1" applyProtection="1">
      <protection locked="0"/>
    </xf>
    <xf numFmtId="0" fontId="30" fillId="0" borderId="286" xfId="0" applyFont="1" applyBorder="1" applyAlignment="1">
      <alignment vertical="center"/>
    </xf>
    <xf numFmtId="0" fontId="30" fillId="0" borderId="286" xfId="0" quotePrefix="1" applyFont="1" applyBorder="1"/>
    <xf numFmtId="0" fontId="30" fillId="19" borderId="286" xfId="0" applyFont="1" applyFill="1" applyBorder="1" applyAlignment="1">
      <alignment horizontal="center"/>
    </xf>
    <xf numFmtId="0" fontId="30" fillId="22" borderId="286" xfId="0" applyFont="1" applyFill="1" applyBorder="1" applyAlignment="1">
      <alignment horizontal="left"/>
    </xf>
    <xf numFmtId="0" fontId="31" fillId="9" borderId="286" xfId="0" applyFont="1" applyFill="1" applyBorder="1" applyAlignment="1">
      <alignment horizontal="left" vertical="center" wrapText="1"/>
    </xf>
    <xf numFmtId="0" fontId="30" fillId="0" borderId="286" xfId="0" applyFont="1" applyBorder="1" applyAlignment="1">
      <alignment horizontal="left" wrapText="1"/>
    </xf>
    <xf numFmtId="0" fontId="30" fillId="0" borderId="286" xfId="0" applyFont="1" applyBorder="1" applyAlignment="1">
      <alignment horizontal="left" vertical="center" wrapText="1"/>
    </xf>
    <xf numFmtId="0" fontId="30" fillId="9" borderId="286" xfId="0" applyFont="1" applyFill="1" applyBorder="1" applyAlignment="1">
      <alignment horizontal="left" vertical="center" wrapText="1"/>
    </xf>
    <xf numFmtId="42" fontId="0" fillId="0" borderId="285" xfId="0" applyNumberFormat="1" applyBorder="1" applyAlignment="1" applyProtection="1">
      <alignment horizontal="left"/>
      <protection locked="0"/>
    </xf>
    <xf numFmtId="0" fontId="30" fillId="22" borderId="174" xfId="0" applyFont="1" applyFill="1" applyBorder="1" applyAlignment="1">
      <alignment horizontal="left" vertical="center"/>
    </xf>
    <xf numFmtId="0" fontId="30" fillId="9" borderId="174" xfId="0" applyFont="1" applyFill="1" applyBorder="1" applyAlignment="1">
      <alignment horizontal="left" vertical="center"/>
    </xf>
    <xf numFmtId="44" fontId="0" fillId="0" borderId="285" xfId="0" applyNumberFormat="1" applyBorder="1" applyAlignment="1" applyProtection="1">
      <alignment horizontal="left"/>
      <protection locked="0"/>
    </xf>
    <xf numFmtId="0" fontId="30" fillId="9" borderId="286" xfId="0" applyFont="1" applyFill="1" applyBorder="1" applyAlignment="1">
      <alignment horizontal="left" vertical="center" wrapText="1" indent="1"/>
    </xf>
    <xf numFmtId="44" fontId="0" fillId="0" borderId="285" xfId="0" applyNumberFormat="1" applyBorder="1" applyProtection="1">
      <protection locked="0"/>
    </xf>
    <xf numFmtId="0" fontId="0" fillId="0" borderId="302" xfId="0" applyBorder="1" applyAlignment="1">
      <alignment wrapText="1"/>
    </xf>
    <xf numFmtId="0" fontId="0" fillId="0" borderId="171" xfId="0" applyBorder="1" applyAlignment="1">
      <alignment horizontal="left" wrapText="1"/>
    </xf>
    <xf numFmtId="0" fontId="4" fillId="0" borderId="302" xfId="0" applyFont="1" applyBorder="1" applyAlignment="1">
      <alignment wrapText="1"/>
    </xf>
    <xf numFmtId="0" fontId="0" fillId="0" borderId="171" xfId="0" applyBorder="1" applyAlignment="1">
      <alignment wrapText="1"/>
    </xf>
    <xf numFmtId="44" fontId="0" fillId="0" borderId="285" xfId="2" applyFont="1" applyBorder="1" applyProtection="1">
      <protection locked="0"/>
    </xf>
    <xf numFmtId="42" fontId="0" fillId="22" borderId="285" xfId="0" applyNumberFormat="1" applyFill="1" applyBorder="1" applyAlignment="1" applyProtection="1">
      <alignment horizontal="left"/>
      <protection locked="0"/>
    </xf>
    <xf numFmtId="3" fontId="13" fillId="0" borderId="285" xfId="0" applyNumberFormat="1" applyFont="1" applyBorder="1" applyAlignment="1" applyProtection="1">
      <alignment horizontal="left"/>
      <protection locked="0"/>
    </xf>
    <xf numFmtId="3" fontId="0" fillId="7" borderId="285" xfId="0" applyNumberFormat="1" applyFill="1" applyBorder="1" applyAlignment="1" applyProtection="1">
      <alignment horizontal="left"/>
      <protection locked="0"/>
    </xf>
    <xf numFmtId="42" fontId="0" fillId="7" borderId="285" xfId="0" applyNumberFormat="1" applyFill="1" applyBorder="1" applyAlignment="1" applyProtection="1">
      <alignment horizontal="left"/>
      <protection locked="0"/>
    </xf>
    <xf numFmtId="165" fontId="0" fillId="0" borderId="181" xfId="0" applyNumberFormat="1" applyBorder="1" applyProtection="1">
      <protection locked="0"/>
    </xf>
    <xf numFmtId="165" fontId="0" fillId="0" borderId="196" xfId="0" applyNumberFormat="1" applyBorder="1" applyProtection="1">
      <protection locked="0"/>
    </xf>
    <xf numFmtId="44" fontId="30" fillId="0" borderId="235" xfId="2" applyFont="1" applyBorder="1" applyAlignment="1">
      <alignment horizontal="center" vertical="center"/>
    </xf>
    <xf numFmtId="0" fontId="30" fillId="0" borderId="157" xfId="0" applyFont="1" applyBorder="1" applyAlignment="1">
      <alignment vertical="center"/>
    </xf>
    <xf numFmtId="0" fontId="30" fillId="0" borderId="157" xfId="0" quotePrefix="1" applyFont="1" applyBorder="1"/>
    <xf numFmtId="0" fontId="30" fillId="19" borderId="157" xfId="0" applyFont="1" applyFill="1" applyBorder="1" applyAlignment="1">
      <alignment horizontal="center"/>
    </xf>
    <xf numFmtId="44" fontId="0" fillId="0" borderId="160" xfId="0" applyNumberFormat="1" applyBorder="1" applyAlignment="1" applyProtection="1">
      <alignment horizontal="left"/>
      <protection locked="0"/>
    </xf>
    <xf numFmtId="44" fontId="0" fillId="0" borderId="160" xfId="0" applyNumberFormat="1" applyBorder="1" applyProtection="1">
      <protection locked="0"/>
    </xf>
    <xf numFmtId="44" fontId="0" fillId="7" borderId="160" xfId="0" applyNumberFormat="1" applyFill="1" applyBorder="1" applyAlignment="1" applyProtection="1">
      <alignment horizontal="left"/>
      <protection locked="0"/>
    </xf>
    <xf numFmtId="7" fontId="0" fillId="6" borderId="231" xfId="0" applyNumberFormat="1" applyFill="1" applyBorder="1" applyAlignment="1" applyProtection="1">
      <alignment horizontal="center"/>
      <protection locked="0"/>
    </xf>
    <xf numFmtId="169" fontId="5" fillId="0" borderId="164" xfId="4" applyNumberFormat="1" applyBorder="1" applyAlignment="1" applyProtection="1">
      <alignment horizontal="center" vertical="center"/>
      <protection locked="0"/>
    </xf>
    <xf numFmtId="0" fontId="30" fillId="9" borderId="157" xfId="0" applyFont="1" applyFill="1" applyBorder="1" applyAlignment="1">
      <alignment horizontal="left" vertical="center" wrapText="1" indent="1"/>
    </xf>
    <xf numFmtId="3" fontId="0" fillId="0" borderId="168" xfId="0" applyNumberFormat="1" applyBorder="1" applyAlignment="1" applyProtection="1">
      <alignment wrapText="1"/>
      <protection locked="0"/>
    </xf>
    <xf numFmtId="0" fontId="30" fillId="22" borderId="157" xfId="0" applyFont="1" applyFill="1" applyBorder="1" applyAlignment="1">
      <alignment horizontal="left"/>
    </xf>
    <xf numFmtId="0" fontId="30" fillId="9" borderId="157" xfId="0" applyFont="1" applyFill="1" applyBorder="1" applyAlignment="1">
      <alignment horizontal="left"/>
    </xf>
    <xf numFmtId="0" fontId="7" fillId="0" borderId="168" xfId="0" applyFont="1" applyBorder="1" applyAlignment="1">
      <alignment wrapText="1"/>
    </xf>
    <xf numFmtId="0" fontId="7" fillId="0" borderId="168" xfId="0" applyFont="1" applyBorder="1" applyAlignment="1">
      <alignment horizontal="left" wrapText="1"/>
    </xf>
    <xf numFmtId="14" fontId="7" fillId="0" borderId="168" xfId="0" applyNumberFormat="1" applyFont="1" applyBorder="1" applyAlignment="1">
      <alignment horizontal="left" wrapText="1"/>
    </xf>
    <xf numFmtId="0" fontId="7" fillId="0" borderId="224" xfId="0" applyFont="1" applyBorder="1" applyAlignment="1">
      <alignment wrapText="1"/>
    </xf>
    <xf numFmtId="0" fontId="7" fillId="0" borderId="224" xfId="0" applyFont="1" applyBorder="1" applyProtection="1">
      <protection locked="0"/>
    </xf>
    <xf numFmtId="5" fontId="7" fillId="0" borderId="164" xfId="2" applyNumberFormat="1" applyFont="1" applyBorder="1" applyProtection="1">
      <protection locked="0"/>
    </xf>
    <xf numFmtId="3" fontId="7" fillId="0" borderId="164" xfId="2" applyNumberFormat="1" applyFont="1" applyBorder="1" applyProtection="1">
      <protection locked="0"/>
    </xf>
    <xf numFmtId="5" fontId="7" fillId="0" borderId="170" xfId="2" applyNumberFormat="1" applyFont="1" applyBorder="1" applyProtection="1">
      <protection locked="0"/>
    </xf>
    <xf numFmtId="0" fontId="7" fillId="0" borderId="232" xfId="0" applyFont="1" applyBorder="1" applyAlignment="1">
      <alignment vertical="top"/>
    </xf>
    <xf numFmtId="3" fontId="7" fillId="0" borderId="160" xfId="0" applyNumberFormat="1" applyFont="1" applyBorder="1" applyProtection="1">
      <protection locked="0"/>
    </xf>
    <xf numFmtId="0" fontId="7" fillId="0" borderId="160" xfId="0" applyFont="1" applyBorder="1" applyProtection="1">
      <protection locked="0"/>
    </xf>
    <xf numFmtId="3" fontId="7" fillId="0" borderId="160" xfId="0" applyNumberFormat="1" applyFont="1" applyBorder="1" applyAlignment="1" applyProtection="1">
      <alignment horizontal="left"/>
      <protection locked="0"/>
    </xf>
    <xf numFmtId="0" fontId="7" fillId="0" borderId="168" xfId="0" applyFont="1" applyBorder="1" applyAlignment="1" applyProtection="1">
      <alignment horizontal="left"/>
      <protection locked="0"/>
    </xf>
    <xf numFmtId="6" fontId="7" fillId="0" borderId="168" xfId="0" applyNumberFormat="1" applyFont="1" applyBorder="1" applyAlignment="1" applyProtection="1">
      <alignment horizontal="left"/>
      <protection locked="0"/>
    </xf>
    <xf numFmtId="6" fontId="7" fillId="0" borderId="169" xfId="0" applyNumberFormat="1" applyFont="1" applyBorder="1" applyAlignment="1" applyProtection="1">
      <alignment horizontal="left"/>
      <protection locked="0"/>
    </xf>
    <xf numFmtId="0" fontId="7" fillId="22" borderId="169" xfId="0" applyFont="1" applyFill="1" applyBorder="1" applyProtection="1">
      <protection locked="0"/>
    </xf>
    <xf numFmtId="0" fontId="7" fillId="22" borderId="168" xfId="0" applyFont="1" applyFill="1" applyBorder="1" applyAlignment="1" applyProtection="1">
      <alignment horizontal="left"/>
      <protection locked="0"/>
    </xf>
    <xf numFmtId="0" fontId="7" fillId="22" borderId="168" xfId="0" applyFont="1" applyFill="1" applyBorder="1" applyProtection="1">
      <protection locked="0"/>
    </xf>
    <xf numFmtId="0" fontId="38" fillId="22" borderId="164" xfId="0" applyFont="1" applyFill="1" applyBorder="1" applyProtection="1">
      <protection locked="0"/>
    </xf>
    <xf numFmtId="3" fontId="7" fillId="22" borderId="160" xfId="0" applyNumberFormat="1" applyFont="1" applyFill="1" applyBorder="1" applyProtection="1">
      <protection locked="0"/>
    </xf>
    <xf numFmtId="0" fontId="38" fillId="22" borderId="170" xfId="0" applyFont="1" applyFill="1" applyBorder="1" applyProtection="1">
      <protection locked="0"/>
    </xf>
    <xf numFmtId="3" fontId="7" fillId="22" borderId="160" xfId="0" applyNumberFormat="1" applyFont="1" applyFill="1" applyBorder="1" applyAlignment="1" applyProtection="1">
      <alignment horizontal="left"/>
      <protection locked="0"/>
    </xf>
    <xf numFmtId="0" fontId="7" fillId="22" borderId="160" xfId="0" applyFont="1" applyFill="1" applyBorder="1" applyProtection="1">
      <protection locked="0"/>
    </xf>
    <xf numFmtId="0" fontId="7" fillId="6" borderId="168" xfId="0" applyFont="1" applyFill="1" applyBorder="1" applyAlignment="1">
      <alignment wrapText="1"/>
    </xf>
    <xf numFmtId="0" fontId="7" fillId="6" borderId="168" xfId="0" applyFont="1" applyFill="1" applyBorder="1" applyProtection="1">
      <protection locked="0"/>
    </xf>
    <xf numFmtId="0" fontId="7" fillId="6" borderId="168" xfId="0" applyFont="1" applyFill="1" applyBorder="1" applyAlignment="1" applyProtection="1">
      <alignment vertical="center"/>
      <protection locked="0"/>
    </xf>
    <xf numFmtId="0" fontId="7" fillId="6" borderId="168" xfId="0" applyFont="1" applyFill="1" applyBorder="1" applyAlignment="1" applyProtection="1">
      <alignment horizontal="right" vertical="center"/>
      <protection locked="0"/>
    </xf>
    <xf numFmtId="9" fontId="7" fillId="6" borderId="164" xfId="3" applyFont="1" applyFill="1" applyBorder="1" applyProtection="1">
      <protection locked="0"/>
    </xf>
    <xf numFmtId="9" fontId="7" fillId="6" borderId="164" xfId="3" applyFont="1" applyFill="1" applyBorder="1" applyAlignment="1" applyProtection="1">
      <alignment horizontal="left"/>
      <protection locked="0"/>
    </xf>
    <xf numFmtId="44" fontId="7" fillId="6" borderId="164" xfId="2" applyFont="1" applyFill="1" applyBorder="1" applyProtection="1">
      <protection locked="0"/>
    </xf>
    <xf numFmtId="5" fontId="7" fillId="6" borderId="164" xfId="2" applyNumberFormat="1" applyFont="1" applyFill="1" applyBorder="1" applyAlignment="1" applyProtection="1">
      <alignment horizontal="left"/>
      <protection locked="0"/>
    </xf>
    <xf numFmtId="44" fontId="7" fillId="6" borderId="164" xfId="2" applyFont="1" applyFill="1" applyBorder="1" applyAlignment="1" applyProtection="1">
      <alignment horizontal="left"/>
      <protection locked="0"/>
    </xf>
    <xf numFmtId="44" fontId="7" fillId="6" borderId="164" xfId="0" applyNumberFormat="1" applyFont="1" applyFill="1" applyBorder="1" applyProtection="1">
      <protection locked="0"/>
    </xf>
    <xf numFmtId="5" fontId="7" fillId="6" borderId="164" xfId="0" applyNumberFormat="1" applyFont="1" applyFill="1" applyBorder="1" applyAlignment="1" applyProtection="1">
      <alignment horizontal="left"/>
      <protection locked="0"/>
    </xf>
    <xf numFmtId="165" fontId="7" fillId="6" borderId="164" xfId="0" applyNumberFormat="1" applyFont="1" applyFill="1" applyBorder="1" applyAlignment="1" applyProtection="1">
      <alignment horizontal="center"/>
      <protection locked="0"/>
    </xf>
    <xf numFmtId="0" fontId="0" fillId="0" borderId="155" xfId="0" applyBorder="1"/>
    <xf numFmtId="0" fontId="0" fillId="0" borderId="297" xfId="0" applyBorder="1" applyProtection="1">
      <protection locked="0"/>
    </xf>
    <xf numFmtId="0" fontId="0" fillId="0" borderId="304" xfId="0" applyBorder="1" applyProtection="1">
      <protection locked="0"/>
    </xf>
    <xf numFmtId="165" fontId="0" fillId="0" borderId="305" xfId="0" applyNumberFormat="1" applyBorder="1" applyProtection="1">
      <protection locked="0"/>
    </xf>
    <xf numFmtId="165" fontId="0" fillId="0" borderId="306" xfId="0" applyNumberFormat="1" applyBorder="1" applyProtection="1">
      <protection locked="0"/>
    </xf>
    <xf numFmtId="0" fontId="0" fillId="0" borderId="297" xfId="0" applyBorder="1" applyAlignment="1" applyProtection="1">
      <alignment wrapText="1"/>
      <protection locked="0"/>
    </xf>
    <xf numFmtId="0" fontId="0" fillId="0" borderId="297" xfId="0" applyBorder="1" applyAlignment="1">
      <alignment wrapText="1"/>
    </xf>
    <xf numFmtId="0" fontId="0" fillId="0" borderId="306" xfId="0" applyBorder="1" applyProtection="1">
      <protection locked="0"/>
    </xf>
    <xf numFmtId="0" fontId="4" fillId="0" borderId="297" xfId="0" applyFont="1" applyBorder="1" applyAlignment="1">
      <alignment wrapText="1"/>
    </xf>
    <xf numFmtId="3" fontId="7" fillId="0" borderId="306" xfId="0" applyNumberFormat="1" applyFont="1" applyBorder="1" applyProtection="1">
      <protection locked="0"/>
    </xf>
    <xf numFmtId="0" fontId="7" fillId="0" borderId="306" xfId="0" applyFont="1" applyBorder="1" applyProtection="1">
      <protection locked="0"/>
    </xf>
    <xf numFmtId="3" fontId="7" fillId="0" borderId="306" xfId="0" applyNumberFormat="1" applyFont="1" applyBorder="1" applyAlignment="1" applyProtection="1">
      <alignment horizontal="left"/>
      <protection locked="0"/>
    </xf>
    <xf numFmtId="0" fontId="30" fillId="0" borderId="307" xfId="0" applyFont="1" applyBorder="1" applyAlignment="1">
      <alignment vertical="center"/>
    </xf>
    <xf numFmtId="0" fontId="30" fillId="0" borderId="307" xfId="0" quotePrefix="1" applyFont="1" applyBorder="1"/>
    <xf numFmtId="0" fontId="30" fillId="19" borderId="307" xfId="0" applyFont="1" applyFill="1" applyBorder="1" applyAlignment="1">
      <alignment horizontal="center"/>
    </xf>
    <xf numFmtId="4" fontId="7" fillId="0" borderId="168" xfId="0" applyNumberFormat="1" applyFont="1" applyBorder="1" applyAlignment="1" applyProtection="1">
      <alignment horizontal="left"/>
      <protection locked="0"/>
    </xf>
    <xf numFmtId="4" fontId="7" fillId="0" borderId="169" xfId="0" applyNumberFormat="1" applyFont="1" applyBorder="1" applyProtection="1">
      <protection locked="0"/>
    </xf>
    <xf numFmtId="0" fontId="30" fillId="22" borderId="307" xfId="0" applyFont="1" applyFill="1" applyBorder="1" applyAlignment="1">
      <alignment horizontal="left"/>
    </xf>
    <xf numFmtId="4" fontId="7" fillId="22" borderId="168" xfId="0" applyNumberFormat="1" applyFont="1" applyFill="1" applyBorder="1" applyProtection="1">
      <protection locked="0"/>
    </xf>
    <xf numFmtId="42" fontId="7" fillId="22" borderId="285" xfId="0" applyNumberFormat="1" applyFont="1" applyFill="1" applyBorder="1" applyProtection="1">
      <protection locked="0"/>
    </xf>
    <xf numFmtId="0" fontId="7" fillId="22" borderId="285" xfId="0" applyFont="1" applyFill="1" applyBorder="1" applyProtection="1">
      <protection locked="0"/>
    </xf>
    <xf numFmtId="0" fontId="30" fillId="9" borderId="307" xfId="0" applyFont="1" applyFill="1" applyBorder="1" applyAlignment="1">
      <alignment horizontal="left"/>
    </xf>
    <xf numFmtId="4" fontId="7" fillId="0" borderId="169" xfId="0" applyNumberFormat="1" applyFont="1" applyBorder="1" applyAlignment="1" applyProtection="1">
      <alignment horizontal="left"/>
      <protection locked="0"/>
    </xf>
    <xf numFmtId="0" fontId="0" fillId="0" borderId="308" xfId="0" applyBorder="1" applyAlignment="1">
      <alignment vertical="top"/>
    </xf>
    <xf numFmtId="0" fontId="31" fillId="33" borderId="307" xfId="0" applyFont="1" applyFill="1" applyBorder="1" applyAlignment="1">
      <alignment horizontal="left"/>
    </xf>
    <xf numFmtId="2" fontId="7" fillId="0" borderId="168" xfId="0" applyNumberFormat="1" applyFont="1" applyBorder="1" applyAlignment="1" applyProtection="1">
      <alignment horizontal="left"/>
      <protection locked="0"/>
    </xf>
    <xf numFmtId="0" fontId="30" fillId="0" borderId="307" xfId="0" applyFont="1" applyBorder="1" applyAlignment="1">
      <alignment horizontal="left" wrapText="1"/>
    </xf>
    <xf numFmtId="0" fontId="30" fillId="0" borderId="307" xfId="0" applyFont="1" applyBorder="1" applyAlignment="1">
      <alignment horizontal="left"/>
    </xf>
    <xf numFmtId="42" fontId="7" fillId="7" borderId="285" xfId="0" applyNumberFormat="1" applyFont="1" applyFill="1" applyBorder="1" applyAlignment="1" applyProtection="1">
      <alignment horizontal="left"/>
      <protection locked="0"/>
    </xf>
    <xf numFmtId="42" fontId="7" fillId="0" borderId="285" xfId="0" applyNumberFormat="1" applyFont="1" applyBorder="1" applyAlignment="1" applyProtection="1">
      <alignment horizontal="left"/>
      <protection locked="0"/>
    </xf>
    <xf numFmtId="0" fontId="7" fillId="0" borderId="169" xfId="0" applyFont="1" applyBorder="1" applyAlignment="1" applyProtection="1">
      <alignment wrapText="1"/>
      <protection locked="0"/>
    </xf>
    <xf numFmtId="4" fontId="7" fillId="0" borderId="168" xfId="0" applyNumberFormat="1" applyFont="1" applyBorder="1" applyProtection="1">
      <protection locked="0"/>
    </xf>
    <xf numFmtId="0" fontId="101" fillId="0" borderId="169" xfId="0" applyFont="1" applyBorder="1" applyAlignment="1" applyProtection="1">
      <alignment wrapText="1"/>
      <protection locked="0"/>
    </xf>
    <xf numFmtId="0" fontId="30" fillId="35" borderId="307" xfId="0" applyFont="1" applyFill="1" applyBorder="1" applyAlignment="1">
      <alignment horizontal="left"/>
    </xf>
    <xf numFmtId="3" fontId="7" fillId="7" borderId="285" xfId="0" applyNumberFormat="1" applyFont="1" applyFill="1" applyBorder="1" applyAlignment="1" applyProtection="1">
      <alignment horizontal="left"/>
      <protection locked="0"/>
    </xf>
    <xf numFmtId="3" fontId="7" fillId="7" borderId="285" xfId="0" applyNumberFormat="1" applyFont="1" applyFill="1" applyBorder="1" applyProtection="1">
      <protection locked="0"/>
    </xf>
    <xf numFmtId="0" fontId="60" fillId="35" borderId="307" xfId="0" applyFont="1" applyFill="1" applyBorder="1" applyAlignment="1">
      <alignment horizontal="left"/>
    </xf>
    <xf numFmtId="3" fontId="107" fillId="0" borderId="285" xfId="0" applyNumberFormat="1" applyFont="1" applyBorder="1" applyAlignment="1" applyProtection="1">
      <alignment horizontal="left"/>
      <protection locked="0"/>
    </xf>
    <xf numFmtId="0" fontId="31" fillId="33" borderId="294" xfId="0" applyFont="1" applyFill="1" applyBorder="1" applyAlignment="1">
      <alignment horizontal="left"/>
    </xf>
    <xf numFmtId="3" fontId="7" fillId="0" borderId="293" xfId="0" applyNumberFormat="1" applyFont="1" applyBorder="1" applyProtection="1">
      <protection locked="0"/>
    </xf>
    <xf numFmtId="3" fontId="7" fillId="0" borderId="293" xfId="0" applyNumberFormat="1" applyFont="1" applyBorder="1" applyAlignment="1" applyProtection="1">
      <alignment horizontal="left"/>
      <protection locked="0"/>
    </xf>
    <xf numFmtId="0" fontId="30" fillId="9" borderId="294" xfId="0" applyFont="1" applyFill="1" applyBorder="1" applyAlignment="1">
      <alignment horizontal="left" wrapText="1"/>
    </xf>
    <xf numFmtId="0" fontId="30" fillId="0" borderId="294" xfId="0" applyFont="1" applyBorder="1" applyAlignment="1">
      <alignment horizontal="left"/>
    </xf>
    <xf numFmtId="0" fontId="30" fillId="9" borderId="294" xfId="0" applyFont="1" applyFill="1" applyBorder="1" applyAlignment="1">
      <alignment horizontal="left"/>
    </xf>
    <xf numFmtId="42" fontId="7" fillId="0" borderId="293" xfId="0" applyNumberFormat="1" applyFont="1" applyBorder="1" applyAlignment="1" applyProtection="1">
      <alignment horizontal="left"/>
      <protection locked="0"/>
    </xf>
    <xf numFmtId="42" fontId="7" fillId="7" borderId="293" xfId="0" applyNumberFormat="1" applyFont="1" applyFill="1" applyBorder="1" applyAlignment="1" applyProtection="1">
      <alignment horizontal="left"/>
      <protection locked="0"/>
    </xf>
    <xf numFmtId="0" fontId="0" fillId="0" borderId="309" xfId="0" applyBorder="1" applyAlignment="1">
      <alignment vertical="top"/>
    </xf>
    <xf numFmtId="0" fontId="30" fillId="9" borderId="310" xfId="0" applyFont="1" applyFill="1" applyBorder="1" applyAlignment="1">
      <alignment horizontal="left"/>
    </xf>
    <xf numFmtId="3" fontId="7" fillId="0" borderId="311" xfId="0" applyNumberFormat="1" applyFont="1" applyBorder="1" applyProtection="1">
      <protection locked="0"/>
    </xf>
    <xf numFmtId="3" fontId="7" fillId="0" borderId="311" xfId="0" applyNumberFormat="1" applyFont="1" applyBorder="1" applyAlignment="1" applyProtection="1">
      <alignment horizontal="left"/>
      <protection locked="0"/>
    </xf>
    <xf numFmtId="0" fontId="0" fillId="0" borderId="312" xfId="0" applyBorder="1" applyAlignment="1">
      <alignment vertical="top"/>
    </xf>
    <xf numFmtId="0" fontId="30" fillId="9" borderId="313" xfId="0" applyFont="1" applyFill="1" applyBorder="1" applyAlignment="1">
      <alignment horizontal="left"/>
    </xf>
    <xf numFmtId="3" fontId="7" fillId="0" borderId="314" xfId="0" applyNumberFormat="1" applyFont="1" applyBorder="1" applyProtection="1">
      <protection locked="0"/>
    </xf>
    <xf numFmtId="3" fontId="7" fillId="0" borderId="314" xfId="0" applyNumberFormat="1" applyFont="1" applyBorder="1" applyAlignment="1" applyProtection="1">
      <alignment horizontal="left"/>
      <protection locked="0"/>
    </xf>
    <xf numFmtId="10" fontId="7" fillId="6" borderId="164" xfId="2" applyNumberFormat="1" applyFont="1" applyFill="1" applyBorder="1" applyProtection="1">
      <protection locked="0"/>
    </xf>
    <xf numFmtId="0" fontId="7" fillId="6" borderId="164" xfId="0" applyFont="1" applyFill="1" applyBorder="1" applyAlignment="1" applyProtection="1">
      <alignment horizontal="center"/>
      <protection locked="0"/>
    </xf>
    <xf numFmtId="0" fontId="0" fillId="0" borderId="315" xfId="0" applyBorder="1"/>
    <xf numFmtId="0" fontId="0" fillId="0" borderId="316" xfId="0" applyBorder="1" applyProtection="1">
      <protection locked="0"/>
    </xf>
    <xf numFmtId="0" fontId="0" fillId="0" borderId="317" xfId="0" applyBorder="1" applyProtection="1">
      <protection locked="0"/>
    </xf>
    <xf numFmtId="165" fontId="0" fillId="0" borderId="318" xfId="0" applyNumberFormat="1" applyBorder="1" applyProtection="1">
      <protection locked="0"/>
    </xf>
    <xf numFmtId="0" fontId="0" fillId="0" borderId="315" xfId="0" applyBorder="1" applyProtection="1">
      <protection locked="0"/>
    </xf>
    <xf numFmtId="0" fontId="0" fillId="0" borderId="316" xfId="0" applyBorder="1" applyAlignment="1" applyProtection="1">
      <alignment wrapText="1"/>
      <protection locked="0"/>
    </xf>
    <xf numFmtId="0" fontId="0" fillId="0" borderId="316" xfId="0" applyBorder="1" applyAlignment="1">
      <alignment wrapText="1"/>
    </xf>
    <xf numFmtId="0" fontId="0" fillId="0" borderId="318" xfId="0" applyBorder="1" applyProtection="1">
      <protection locked="0"/>
    </xf>
    <xf numFmtId="0" fontId="4" fillId="0" borderId="316" xfId="0" applyFont="1" applyBorder="1" applyAlignment="1">
      <alignment wrapText="1"/>
    </xf>
    <xf numFmtId="0" fontId="0" fillId="0" borderId="315" xfId="0" applyBorder="1" applyAlignment="1">
      <alignment vertical="top"/>
    </xf>
    <xf numFmtId="0" fontId="0" fillId="0" borderId="314" xfId="0" applyBorder="1" applyProtection="1">
      <protection locked="0"/>
    </xf>
    <xf numFmtId="3" fontId="0" fillId="0" borderId="314" xfId="0" applyNumberFormat="1" applyBorder="1" applyAlignment="1" applyProtection="1">
      <alignment horizontal="left"/>
      <protection locked="0"/>
    </xf>
    <xf numFmtId="0" fontId="30" fillId="0" borderId="313" xfId="0" applyFont="1" applyBorder="1" applyAlignment="1">
      <alignment vertical="center"/>
    </xf>
    <xf numFmtId="0" fontId="30" fillId="0" borderId="313" xfId="0" quotePrefix="1" applyFont="1" applyBorder="1"/>
    <xf numFmtId="0" fontId="30" fillId="19" borderId="313" xfId="0" applyFont="1" applyFill="1" applyBorder="1" applyAlignment="1">
      <alignment horizontal="center"/>
    </xf>
    <xf numFmtId="0" fontId="30" fillId="22" borderId="313" xfId="0" applyFont="1" applyFill="1" applyBorder="1" applyAlignment="1">
      <alignment horizontal="left"/>
    </xf>
    <xf numFmtId="3" fontId="0" fillId="22" borderId="314" xfId="0" applyNumberFormat="1" applyFill="1" applyBorder="1" applyAlignment="1" applyProtection="1">
      <alignment horizontal="left"/>
      <protection locked="0"/>
    </xf>
    <xf numFmtId="0" fontId="0" fillId="22" borderId="314" xfId="0" applyFill="1" applyBorder="1" applyProtection="1">
      <protection locked="0"/>
    </xf>
    <xf numFmtId="0" fontId="30" fillId="9" borderId="320" xfId="0" applyFont="1" applyFill="1" applyBorder="1" applyAlignment="1">
      <alignment horizontal="left"/>
    </xf>
    <xf numFmtId="9" fontId="0" fillId="6" borderId="321" xfId="3" applyFont="1" applyFill="1" applyBorder="1" applyProtection="1">
      <protection locked="0"/>
    </xf>
    <xf numFmtId="9" fontId="0" fillId="6" borderId="321" xfId="3" applyFont="1" applyFill="1" applyBorder="1" applyAlignment="1" applyProtection="1">
      <alignment horizontal="left"/>
      <protection locked="0"/>
    </xf>
    <xf numFmtId="44" fontId="0" fillId="6" borderId="321" xfId="2" applyFont="1" applyFill="1" applyBorder="1" applyProtection="1">
      <protection locked="0"/>
    </xf>
    <xf numFmtId="5" fontId="0" fillId="6" borderId="321" xfId="2" applyNumberFormat="1" applyFont="1" applyFill="1" applyBorder="1" applyAlignment="1" applyProtection="1">
      <alignment horizontal="left"/>
      <protection locked="0"/>
    </xf>
    <xf numFmtId="10" fontId="0" fillId="6" borderId="321" xfId="2" applyNumberFormat="1" applyFont="1" applyFill="1" applyBorder="1" applyProtection="1">
      <protection locked="0"/>
    </xf>
    <xf numFmtId="5" fontId="0" fillId="6" borderId="321" xfId="0" applyNumberFormat="1" applyFill="1" applyBorder="1" applyAlignment="1" applyProtection="1">
      <alignment horizontal="left"/>
      <protection locked="0"/>
    </xf>
    <xf numFmtId="44" fontId="0" fillId="6" borderId="321" xfId="2" applyFont="1" applyFill="1" applyBorder="1" applyAlignment="1" applyProtection="1">
      <alignment horizontal="left"/>
      <protection locked="0"/>
    </xf>
    <xf numFmtId="44" fontId="0" fillId="6" borderId="321" xfId="0" applyNumberFormat="1" applyFill="1" applyBorder="1" applyProtection="1">
      <protection locked="0"/>
    </xf>
    <xf numFmtId="0" fontId="11" fillId="6" borderId="322" xfId="0" applyFont="1" applyFill="1" applyBorder="1" applyAlignment="1" applyProtection="1">
      <alignment horizontal="right" vertical="center"/>
      <protection locked="0"/>
    </xf>
    <xf numFmtId="165" fontId="12" fillId="6" borderId="321" xfId="0" applyNumberFormat="1" applyFont="1" applyFill="1" applyBorder="1" applyAlignment="1" applyProtection="1">
      <alignment horizontal="center"/>
      <protection locked="0"/>
    </xf>
    <xf numFmtId="165" fontId="12" fillId="6" borderId="321" xfId="0" applyNumberFormat="1" applyFont="1" applyFill="1" applyBorder="1" applyAlignment="1" applyProtection="1">
      <alignment horizontal="left"/>
      <protection locked="0"/>
    </xf>
    <xf numFmtId="0" fontId="0" fillId="6" borderId="323" xfId="0" applyFill="1" applyBorder="1" applyAlignment="1" applyProtection="1">
      <alignment horizontal="center"/>
      <protection locked="0"/>
    </xf>
    <xf numFmtId="7" fontId="0" fillId="6" borderId="321" xfId="0" applyNumberFormat="1" applyFill="1" applyBorder="1" applyAlignment="1" applyProtection="1">
      <alignment horizontal="center"/>
      <protection locked="0"/>
    </xf>
    <xf numFmtId="0" fontId="0" fillId="6" borderId="321" xfId="0" applyFill="1" applyBorder="1" applyAlignment="1" applyProtection="1">
      <alignment horizontal="center"/>
      <protection locked="0"/>
    </xf>
    <xf numFmtId="165" fontId="0" fillId="0" borderId="321" xfId="0" applyNumberFormat="1" applyBorder="1" applyAlignment="1" applyProtection="1">
      <alignment horizontal="right"/>
      <protection locked="0"/>
    </xf>
    <xf numFmtId="0" fontId="0" fillId="0" borderId="324" xfId="0" applyBorder="1" applyProtection="1">
      <protection locked="0"/>
    </xf>
    <xf numFmtId="0" fontId="0" fillId="0" borderId="322" xfId="0" applyBorder="1" applyAlignment="1" applyProtection="1">
      <alignment wrapText="1"/>
      <protection locked="0"/>
    </xf>
    <xf numFmtId="44" fontId="0" fillId="0" borderId="321" xfId="0" applyNumberFormat="1" applyBorder="1" applyProtection="1">
      <protection locked="0"/>
    </xf>
    <xf numFmtId="165" fontId="0" fillId="0" borderId="321" xfId="0" applyNumberFormat="1" applyBorder="1" applyProtection="1">
      <protection locked="0"/>
    </xf>
    <xf numFmtId="0" fontId="0" fillId="0" borderId="321" xfId="0" applyBorder="1" applyProtection="1">
      <protection locked="0"/>
    </xf>
    <xf numFmtId="0" fontId="0" fillId="0" borderId="324" xfId="0" applyBorder="1" applyAlignment="1">
      <alignment horizontal="right"/>
    </xf>
    <xf numFmtId="0" fontId="0" fillId="0" borderId="322" xfId="0" applyBorder="1" applyAlignment="1">
      <alignment wrapText="1"/>
    </xf>
    <xf numFmtId="0" fontId="0" fillId="0" borderId="322" xfId="0" applyBorder="1" applyProtection="1">
      <protection locked="0"/>
    </xf>
    <xf numFmtId="0" fontId="0" fillId="0" borderId="322" xfId="0" applyBorder="1" applyAlignment="1">
      <alignment horizontal="left" wrapText="1"/>
    </xf>
    <xf numFmtId="14" fontId="0" fillId="0" borderId="322" xfId="0" applyNumberFormat="1" applyBorder="1" applyAlignment="1">
      <alignment horizontal="left" wrapText="1"/>
    </xf>
    <xf numFmtId="0" fontId="0" fillId="0" borderId="324" xfId="0" applyBorder="1"/>
    <xf numFmtId="0" fontId="6" fillId="0" borderId="322" xfId="0" applyFont="1" applyBorder="1" applyProtection="1">
      <protection locked="0"/>
    </xf>
    <xf numFmtId="0" fontId="4" fillId="3" borderId="322" xfId="0" applyFont="1" applyFill="1" applyBorder="1" applyAlignment="1">
      <alignment horizontal="center" wrapText="1"/>
    </xf>
    <xf numFmtId="0" fontId="30" fillId="0" borderId="326" xfId="0" quotePrefix="1" applyFont="1" applyBorder="1"/>
    <xf numFmtId="6" fontId="0" fillId="0" borderId="314" xfId="0" applyNumberFormat="1" applyBorder="1" applyProtection="1">
      <protection locked="0"/>
    </xf>
    <xf numFmtId="0" fontId="0" fillId="22" borderId="322" xfId="0" applyFill="1" applyBorder="1" applyProtection="1">
      <protection locked="0"/>
    </xf>
    <xf numFmtId="44" fontId="0" fillId="22" borderId="314" xfId="0" applyNumberFormat="1" applyFill="1" applyBorder="1" applyProtection="1">
      <protection locked="0"/>
    </xf>
    <xf numFmtId="0" fontId="0" fillId="22" borderId="314" xfId="0" applyFill="1" applyBorder="1" applyAlignment="1" applyProtection="1">
      <alignment horizontal="left"/>
      <protection locked="0"/>
    </xf>
    <xf numFmtId="0" fontId="31" fillId="9" borderId="313" xfId="0" applyFont="1" applyFill="1" applyBorder="1" applyAlignment="1">
      <alignment horizontal="left" vertical="center" wrapText="1"/>
    </xf>
    <xf numFmtId="0" fontId="0" fillId="0" borderId="314" xfId="0" applyBorder="1" applyAlignment="1" applyProtection="1">
      <alignment horizontal="left"/>
      <protection locked="0"/>
    </xf>
    <xf numFmtId="44" fontId="0" fillId="0" borderId="314" xfId="0" applyNumberFormat="1" applyBorder="1" applyAlignment="1" applyProtection="1">
      <alignment horizontal="left"/>
      <protection locked="0"/>
    </xf>
    <xf numFmtId="44" fontId="0" fillId="0" borderId="314" xfId="0" applyNumberFormat="1" applyBorder="1" applyProtection="1">
      <protection locked="0"/>
    </xf>
    <xf numFmtId="44" fontId="0" fillId="0" borderId="314" xfId="0" applyNumberFormat="1" applyBorder="1" applyAlignment="1" applyProtection="1">
      <alignment wrapText="1"/>
      <protection locked="0"/>
    </xf>
    <xf numFmtId="0" fontId="30" fillId="9" borderId="313" xfId="0" applyFont="1" applyFill="1" applyBorder="1" applyAlignment="1">
      <alignment horizontal="left" vertical="center" wrapText="1"/>
    </xf>
    <xf numFmtId="0" fontId="96" fillId="9" borderId="313" xfId="0" applyFont="1" applyFill="1" applyBorder="1" applyAlignment="1">
      <alignment horizontal="left" vertical="center" wrapText="1"/>
    </xf>
    <xf numFmtId="0" fontId="0" fillId="0" borderId="314" xfId="0" applyBorder="1" applyAlignment="1" applyProtection="1">
      <alignment wrapText="1"/>
      <protection locked="0"/>
    </xf>
    <xf numFmtId="44" fontId="0" fillId="7" borderId="314" xfId="0" applyNumberFormat="1" applyFill="1" applyBorder="1" applyProtection="1">
      <protection locked="0"/>
    </xf>
    <xf numFmtId="0" fontId="0" fillId="11" borderId="314" xfId="0" applyFill="1" applyBorder="1" applyProtection="1">
      <protection locked="0"/>
    </xf>
    <xf numFmtId="0" fontId="0" fillId="0" borderId="169" xfId="0" applyBorder="1" applyAlignment="1" applyProtection="1">
      <alignment wrapText="1"/>
      <protection locked="0"/>
    </xf>
    <xf numFmtId="3" fontId="0" fillId="0" borderId="322" xfId="0" applyNumberFormat="1" applyBorder="1" applyProtection="1">
      <protection locked="0"/>
    </xf>
    <xf numFmtId="44" fontId="0" fillId="0" borderId="322" xfId="0" applyNumberFormat="1" applyBorder="1" applyProtection="1">
      <protection locked="0"/>
    </xf>
    <xf numFmtId="0" fontId="30" fillId="9" borderId="313" xfId="0" applyFont="1" applyFill="1" applyBorder="1" applyAlignment="1">
      <alignment horizontal="left" wrapText="1"/>
    </xf>
    <xf numFmtId="3" fontId="0" fillId="0" borderId="314" xfId="0" applyNumberFormat="1" applyBorder="1" applyProtection="1">
      <protection locked="0"/>
    </xf>
    <xf numFmtId="0" fontId="31" fillId="9" borderId="313" xfId="0" applyFont="1" applyFill="1" applyBorder="1" applyAlignment="1">
      <alignment horizontal="left" wrapText="1"/>
    </xf>
    <xf numFmtId="0" fontId="0" fillId="0" borderId="324" xfId="0" applyBorder="1" applyAlignment="1">
      <alignment vertical="top"/>
    </xf>
    <xf numFmtId="0" fontId="8" fillId="0" borderId="322" xfId="5" applyFont="1" applyBorder="1" applyAlignment="1">
      <alignment horizontal="left" vertical="top" wrapText="1"/>
    </xf>
    <xf numFmtId="0" fontId="0" fillId="6" borderId="324" xfId="0" applyFill="1" applyBorder="1"/>
    <xf numFmtId="0" fontId="0" fillId="6" borderId="322" xfId="0" applyFill="1" applyBorder="1" applyAlignment="1">
      <alignment wrapText="1"/>
    </xf>
    <xf numFmtId="0" fontId="0" fillId="6" borderId="322" xfId="0" applyFill="1" applyBorder="1" applyProtection="1">
      <protection locked="0"/>
    </xf>
    <xf numFmtId="0" fontId="0" fillId="6" borderId="322" xfId="0" applyFill="1" applyBorder="1" applyAlignment="1" applyProtection="1">
      <alignment vertical="center"/>
      <protection locked="0"/>
    </xf>
    <xf numFmtId="0" fontId="0" fillId="6" borderId="322" xfId="0" applyFill="1" applyBorder="1" applyAlignment="1" applyProtection="1">
      <alignment horizontal="right" vertical="center"/>
      <protection locked="0"/>
    </xf>
    <xf numFmtId="0" fontId="0" fillId="0" borderId="312" xfId="0" applyBorder="1"/>
    <xf numFmtId="0" fontId="0" fillId="0" borderId="327" xfId="0" applyBorder="1" applyProtection="1">
      <protection locked="0"/>
    </xf>
    <xf numFmtId="0" fontId="0" fillId="0" borderId="328" xfId="0" applyBorder="1" applyProtection="1">
      <protection locked="0"/>
    </xf>
    <xf numFmtId="165" fontId="0" fillId="0" borderId="329" xfId="0" applyNumberFormat="1" applyBorder="1" applyProtection="1">
      <protection locked="0"/>
    </xf>
    <xf numFmtId="0" fontId="0" fillId="0" borderId="312" xfId="0" applyBorder="1" applyProtection="1">
      <protection locked="0"/>
    </xf>
    <xf numFmtId="0" fontId="0" fillId="0" borderId="327" xfId="0" applyBorder="1" applyAlignment="1" applyProtection="1">
      <alignment wrapText="1"/>
      <protection locked="0"/>
    </xf>
    <xf numFmtId="0" fontId="0" fillId="0" borderId="327" xfId="0" applyBorder="1" applyAlignment="1">
      <alignment wrapText="1"/>
    </xf>
    <xf numFmtId="0" fontId="0" fillId="0" borderId="329" xfId="0" applyBorder="1" applyProtection="1">
      <protection locked="0"/>
    </xf>
    <xf numFmtId="0" fontId="4" fillId="0" borderId="325" xfId="0" applyFont="1" applyBorder="1" applyAlignment="1" applyProtection="1">
      <alignment horizontal="right"/>
      <protection locked="0"/>
    </xf>
    <xf numFmtId="0" fontId="4" fillId="0" borderId="327" xfId="0" applyFont="1" applyBorder="1" applyAlignment="1">
      <alignment wrapText="1"/>
    </xf>
    <xf numFmtId="0" fontId="0" fillId="3" borderId="312" xfId="0" applyFill="1" applyBorder="1" applyAlignment="1">
      <alignment vertical="top"/>
    </xf>
    <xf numFmtId="0" fontId="6" fillId="3" borderId="322" xfId="0" applyFont="1" applyFill="1" applyBorder="1" applyProtection="1">
      <protection locked="0"/>
    </xf>
    <xf numFmtId="0" fontId="0" fillId="3" borderId="322" xfId="0" applyFill="1" applyBorder="1" applyProtection="1">
      <protection locked="0"/>
    </xf>
    <xf numFmtId="0" fontId="0" fillId="0" borderId="311" xfId="0" applyBorder="1" applyProtection="1">
      <protection locked="0"/>
    </xf>
    <xf numFmtId="3" fontId="0" fillId="0" borderId="311" xfId="0" applyNumberFormat="1" applyBorder="1" applyAlignment="1" applyProtection="1">
      <alignment horizontal="left"/>
      <protection locked="0"/>
    </xf>
    <xf numFmtId="0" fontId="30" fillId="0" borderId="310" xfId="0" applyFont="1" applyBorder="1" applyAlignment="1">
      <alignment vertical="center"/>
    </xf>
    <xf numFmtId="0" fontId="30" fillId="0" borderId="310" xfId="0" quotePrefix="1" applyFont="1" applyBorder="1"/>
    <xf numFmtId="0" fontId="0" fillId="0" borderId="311" xfId="0" applyBorder="1" applyAlignment="1" applyProtection="1">
      <alignment horizontal="left"/>
      <protection locked="0"/>
    </xf>
    <xf numFmtId="0" fontId="30" fillId="0" borderId="330" xfId="0" quotePrefix="1" applyFont="1" applyBorder="1"/>
    <xf numFmtId="0" fontId="0" fillId="0" borderId="293" xfId="0" applyBorder="1" applyAlignment="1" applyProtection="1">
      <alignment horizontal="left"/>
      <protection locked="0"/>
    </xf>
    <xf numFmtId="0" fontId="30" fillId="19" borderId="294" xfId="0" applyFont="1" applyFill="1" applyBorder="1" applyAlignment="1">
      <alignment horizontal="center"/>
    </xf>
    <xf numFmtId="0" fontId="30" fillId="22" borderId="294" xfId="0" applyFont="1" applyFill="1" applyBorder="1" applyAlignment="1">
      <alignment horizontal="left"/>
    </xf>
    <xf numFmtId="0" fontId="6" fillId="22" borderId="322" xfId="0" applyFont="1" applyFill="1" applyBorder="1" applyProtection="1">
      <protection locked="0"/>
    </xf>
    <xf numFmtId="44" fontId="0" fillId="22" borderId="293" xfId="0" applyNumberFormat="1" applyFill="1" applyBorder="1" applyProtection="1">
      <protection locked="0"/>
    </xf>
    <xf numFmtId="0" fontId="0" fillId="22" borderId="293" xfId="0" applyFill="1" applyBorder="1" applyAlignment="1" applyProtection="1">
      <alignment horizontal="left"/>
      <protection locked="0"/>
    </xf>
    <xf numFmtId="0" fontId="30" fillId="9" borderId="294" xfId="0" applyFont="1" applyFill="1" applyBorder="1" applyAlignment="1">
      <alignment horizontal="left" vertical="center" wrapText="1"/>
    </xf>
    <xf numFmtId="0" fontId="31" fillId="9" borderId="294" xfId="0" applyFont="1" applyFill="1" applyBorder="1" applyAlignment="1">
      <alignment horizontal="left"/>
    </xf>
    <xf numFmtId="165" fontId="0" fillId="0" borderId="322" xfId="0" applyNumberFormat="1" applyBorder="1" applyProtection="1">
      <protection locked="0"/>
    </xf>
    <xf numFmtId="165" fontId="0" fillId="0" borderId="293" xfId="0" applyNumberFormat="1" applyBorder="1" applyAlignment="1" applyProtection="1">
      <alignment horizontal="left"/>
      <protection locked="0"/>
    </xf>
    <xf numFmtId="0" fontId="1" fillId="0" borderId="322" xfId="0" applyFont="1" applyBorder="1" applyProtection="1">
      <protection locked="0"/>
    </xf>
    <xf numFmtId="42" fontId="0" fillId="0" borderId="293" xfId="0" applyNumberFormat="1" applyBorder="1" applyAlignment="1" applyProtection="1">
      <alignment horizontal="left"/>
      <protection locked="0"/>
    </xf>
    <xf numFmtId="42" fontId="0" fillId="7" borderId="293" xfId="0" applyNumberFormat="1" applyFill="1" applyBorder="1" applyAlignment="1" applyProtection="1">
      <alignment horizontal="left"/>
      <protection locked="0"/>
    </xf>
    <xf numFmtId="44" fontId="30" fillId="0" borderId="293" xfId="2" applyFont="1" applyBorder="1" applyAlignment="1">
      <alignment horizontal="center" vertical="center"/>
    </xf>
    <xf numFmtId="44" fontId="30" fillId="0" borderId="329" xfId="2" applyFont="1" applyBorder="1" applyAlignment="1">
      <alignment horizontal="center" vertical="center"/>
    </xf>
    <xf numFmtId="44" fontId="30" fillId="0" borderId="314" xfId="2" applyFont="1" applyBorder="1" applyAlignment="1">
      <alignment horizontal="center" vertical="center"/>
    </xf>
    <xf numFmtId="44" fontId="30" fillId="0" borderId="318" xfId="2" applyFont="1" applyBorder="1" applyAlignment="1">
      <alignment horizontal="center" vertical="center"/>
    </xf>
    <xf numFmtId="5" fontId="0" fillId="0" borderId="314" xfId="2" applyNumberFormat="1" applyFont="1" applyBorder="1" applyProtection="1">
      <protection locked="0"/>
    </xf>
    <xf numFmtId="0" fontId="30" fillId="0" borderId="322" xfId="0" applyFont="1" applyBorder="1" applyAlignment="1">
      <alignment horizontal="left" vertical="center"/>
    </xf>
    <xf numFmtId="0" fontId="0" fillId="0" borderId="231" xfId="0" applyBorder="1" applyProtection="1">
      <protection locked="0"/>
    </xf>
    <xf numFmtId="0" fontId="30" fillId="0" borderId="316" xfId="0" applyFont="1" applyBorder="1" applyAlignment="1">
      <alignment horizontal="left" vertical="center"/>
    </xf>
    <xf numFmtId="0" fontId="30" fillId="0" borderId="331" xfId="0" quotePrefix="1" applyFont="1" applyBorder="1"/>
    <xf numFmtId="0" fontId="30" fillId="19" borderId="332" xfId="0" applyFont="1" applyFill="1" applyBorder="1" applyAlignment="1">
      <alignment horizontal="center"/>
    </xf>
    <xf numFmtId="0" fontId="30" fillId="22" borderId="332" xfId="0" applyFont="1" applyFill="1" applyBorder="1" applyAlignment="1">
      <alignment horizontal="left"/>
    </xf>
    <xf numFmtId="0" fontId="30" fillId="22" borderId="316" xfId="0" applyFont="1" applyFill="1" applyBorder="1" applyAlignment="1">
      <alignment horizontal="left" vertical="center"/>
    </xf>
    <xf numFmtId="165" fontId="0" fillId="22" borderId="322" xfId="0" applyNumberFormat="1" applyFill="1" applyBorder="1" applyProtection="1">
      <protection locked="0"/>
    </xf>
    <xf numFmtId="42" fontId="0" fillId="22" borderId="314" xfId="0" applyNumberFormat="1" applyFill="1" applyBorder="1" applyAlignment="1" applyProtection="1">
      <alignment horizontal="left"/>
      <protection locked="0"/>
    </xf>
    <xf numFmtId="0" fontId="0" fillId="22" borderId="318" xfId="0" applyFill="1" applyBorder="1" applyProtection="1">
      <protection locked="0"/>
    </xf>
    <xf numFmtId="44" fontId="0" fillId="0" borderId="319" xfId="2" applyFont="1" applyBorder="1" applyAlignment="1">
      <alignment vertical="top"/>
    </xf>
    <xf numFmtId="0" fontId="30" fillId="0" borderId="333" xfId="0" applyFont="1" applyBorder="1" applyAlignment="1">
      <alignment vertical="top"/>
    </xf>
    <xf numFmtId="44" fontId="0" fillId="0" borderId="171" xfId="2" applyFont="1" applyBorder="1" applyProtection="1">
      <protection locked="0"/>
    </xf>
    <xf numFmtId="44" fontId="0" fillId="0" borderId="322" xfId="2" applyFont="1" applyBorder="1" applyProtection="1">
      <protection locked="0"/>
    </xf>
    <xf numFmtId="44" fontId="0" fillId="0" borderId="169" xfId="2" applyFont="1" applyBorder="1" applyProtection="1">
      <protection locked="0"/>
    </xf>
    <xf numFmtId="44" fontId="0" fillId="0" borderId="314" xfId="2" applyFont="1" applyBorder="1" applyProtection="1">
      <protection locked="0"/>
    </xf>
    <xf numFmtId="0" fontId="1" fillId="14" borderId="164" xfId="0" applyFont="1" applyFill="1" applyBorder="1" applyAlignment="1" applyProtection="1">
      <alignment horizontal="center"/>
      <protection locked="0"/>
    </xf>
    <xf numFmtId="0" fontId="0" fillId="14" borderId="164" xfId="0" applyFill="1" applyBorder="1" applyAlignment="1" applyProtection="1">
      <alignment horizontal="center"/>
      <protection locked="0"/>
    </xf>
    <xf numFmtId="44" fontId="0" fillId="0" borderId="334" xfId="2" applyFont="1" applyBorder="1" applyProtection="1">
      <protection locked="0"/>
    </xf>
    <xf numFmtId="44" fontId="6" fillId="0" borderId="164" xfId="2" applyFont="1" applyBorder="1" applyProtection="1">
      <protection locked="0"/>
    </xf>
    <xf numFmtId="44" fontId="0" fillId="7" borderId="314" xfId="0" applyNumberFormat="1" applyFill="1" applyBorder="1" applyAlignment="1" applyProtection="1">
      <alignment horizontal="left"/>
      <protection locked="0"/>
    </xf>
    <xf numFmtId="42" fontId="0" fillId="7" borderId="314" xfId="0" applyNumberFormat="1" applyFill="1" applyBorder="1" applyProtection="1">
      <protection locked="0"/>
    </xf>
    <xf numFmtId="0" fontId="30" fillId="0" borderId="313" xfId="0" applyFont="1" applyBorder="1" applyAlignment="1">
      <alignment horizontal="left" vertical="center" wrapText="1"/>
    </xf>
    <xf numFmtId="0" fontId="0" fillId="0" borderId="314" xfId="0" applyBorder="1" applyAlignment="1" applyProtection="1">
      <alignment horizontal="left" wrapText="1"/>
      <protection locked="0"/>
    </xf>
    <xf numFmtId="42" fontId="0" fillId="0" borderId="314" xfId="0" applyNumberFormat="1" applyBorder="1" applyAlignment="1" applyProtection="1">
      <alignment horizontal="left"/>
      <protection locked="0"/>
    </xf>
    <xf numFmtId="42" fontId="0" fillId="0" borderId="314" xfId="0" applyNumberFormat="1" applyBorder="1" applyProtection="1">
      <protection locked="0"/>
    </xf>
    <xf numFmtId="42" fontId="0" fillId="7" borderId="314" xfId="0" applyNumberFormat="1" applyFill="1" applyBorder="1" applyAlignment="1" applyProtection="1">
      <alignment horizontal="left"/>
      <protection locked="0"/>
    </xf>
    <xf numFmtId="0" fontId="13" fillId="0" borderId="314" xfId="0" applyFont="1" applyBorder="1" applyAlignment="1" applyProtection="1">
      <alignment horizontal="left" wrapText="1"/>
      <protection locked="0"/>
    </xf>
    <xf numFmtId="3" fontId="0" fillId="11" borderId="314" xfId="0" applyNumberFormat="1" applyFill="1" applyBorder="1" applyAlignment="1" applyProtection="1">
      <alignment horizontal="left"/>
      <protection locked="0"/>
    </xf>
    <xf numFmtId="165" fontId="0" fillId="0" borderId="316" xfId="0" applyNumberFormat="1" applyBorder="1" applyProtection="1">
      <protection locked="0"/>
    </xf>
    <xf numFmtId="165" fontId="0" fillId="0" borderId="317" xfId="0" applyNumberFormat="1" applyBorder="1" applyProtection="1">
      <protection locked="0"/>
    </xf>
    <xf numFmtId="38" fontId="0" fillId="0" borderId="314" xfId="0" applyNumberFormat="1" applyBorder="1" applyAlignment="1" applyProtection="1">
      <alignment horizontal="left"/>
      <protection locked="0"/>
    </xf>
    <xf numFmtId="0" fontId="0" fillId="21" borderId="314" xfId="0" applyFill="1" applyBorder="1" applyProtection="1">
      <protection locked="0"/>
    </xf>
    <xf numFmtId="0" fontId="30" fillId="19" borderId="326" xfId="0" applyFont="1" applyFill="1" applyBorder="1" applyAlignment="1">
      <alignment horizontal="center"/>
    </xf>
    <xf numFmtId="0" fontId="30" fillId="9" borderId="313" xfId="0" applyFont="1" applyFill="1" applyBorder="1" applyAlignment="1">
      <alignment horizontal="center" wrapText="1"/>
    </xf>
    <xf numFmtId="0" fontId="30" fillId="0" borderId="333" xfId="0" applyFont="1" applyBorder="1" applyAlignment="1">
      <alignment horizontal="left" vertical="center" wrapText="1"/>
    </xf>
    <xf numFmtId="0" fontId="31" fillId="0" borderId="333" xfId="0" applyFont="1" applyBorder="1" applyAlignment="1">
      <alignment horizontal="left" vertical="center" wrapText="1"/>
    </xf>
    <xf numFmtId="0" fontId="28" fillId="0" borderId="315" xfId="0" applyFont="1" applyBorder="1" applyAlignment="1">
      <alignment vertical="top" wrapText="1"/>
    </xf>
    <xf numFmtId="0" fontId="30" fillId="9" borderId="332" xfId="0" applyFont="1" applyFill="1" applyBorder="1" applyAlignment="1">
      <alignment horizontal="left" wrapText="1"/>
    </xf>
    <xf numFmtId="42" fontId="0" fillId="0" borderId="335" xfId="0" applyNumberFormat="1" applyBorder="1" applyAlignment="1" applyProtection="1">
      <alignment horizontal="left"/>
      <protection locked="0"/>
    </xf>
    <xf numFmtId="44" fontId="0" fillId="7" borderId="335" xfId="0" applyNumberFormat="1" applyFill="1" applyBorder="1" applyProtection="1">
      <protection locked="0"/>
    </xf>
    <xf numFmtId="44" fontId="0" fillId="35" borderId="335" xfId="0" applyNumberFormat="1" applyFill="1" applyBorder="1" applyProtection="1">
      <protection locked="0"/>
    </xf>
    <xf numFmtId="3" fontId="0" fillId="0" borderId="335" xfId="0" applyNumberFormat="1" applyBorder="1" applyAlignment="1" applyProtection="1">
      <alignment horizontal="left"/>
      <protection locked="0"/>
    </xf>
    <xf numFmtId="44" fontId="0" fillId="0" borderId="335" xfId="0" applyNumberFormat="1" applyBorder="1" applyProtection="1">
      <protection locked="0"/>
    </xf>
    <xf numFmtId="0" fontId="0" fillId="0" borderId="336" xfId="0" applyBorder="1" applyAlignment="1">
      <alignment vertical="top"/>
    </xf>
    <xf numFmtId="0" fontId="30" fillId="9" borderId="337" xfId="0" applyFont="1" applyFill="1" applyBorder="1" applyAlignment="1">
      <alignment horizontal="left" wrapText="1"/>
    </xf>
    <xf numFmtId="44" fontId="0" fillId="0" borderId="338" xfId="0" applyNumberFormat="1" applyBorder="1" applyProtection="1">
      <protection locked="0"/>
    </xf>
    <xf numFmtId="44" fontId="0" fillId="35" borderId="338" xfId="0" applyNumberFormat="1" applyFill="1" applyBorder="1" applyProtection="1">
      <protection locked="0"/>
    </xf>
    <xf numFmtId="0" fontId="0" fillId="0" borderId="338" xfId="0" applyBorder="1" applyProtection="1">
      <protection locked="0"/>
    </xf>
    <xf numFmtId="3" fontId="0" fillId="0" borderId="338" xfId="0" applyNumberFormat="1" applyBorder="1" applyAlignment="1" applyProtection="1">
      <alignment horizontal="left"/>
      <protection locked="0"/>
    </xf>
    <xf numFmtId="42" fontId="0" fillId="0" borderId="338" xfId="0" applyNumberFormat="1" applyBorder="1" applyAlignment="1" applyProtection="1">
      <alignment horizontal="left"/>
      <protection locked="0"/>
    </xf>
    <xf numFmtId="42" fontId="0" fillId="7" borderId="338" xfId="0" applyNumberFormat="1" applyFill="1" applyBorder="1" applyAlignment="1" applyProtection="1">
      <alignment horizontal="left"/>
      <protection locked="0"/>
    </xf>
    <xf numFmtId="0" fontId="0" fillId="0" borderId="339" xfId="0" applyBorder="1" applyAlignment="1">
      <alignment vertical="top"/>
    </xf>
    <xf numFmtId="0" fontId="30" fillId="9" borderId="340" xfId="0" applyFont="1" applyFill="1" applyBorder="1" applyAlignment="1">
      <alignment horizontal="left" wrapText="1"/>
    </xf>
    <xf numFmtId="44" fontId="0" fillId="0" borderId="341" xfId="0" applyNumberFormat="1" applyBorder="1" applyProtection="1">
      <protection locked="0"/>
    </xf>
    <xf numFmtId="0" fontId="0" fillId="0" borderId="341" xfId="0" applyBorder="1" applyProtection="1">
      <protection locked="0"/>
    </xf>
    <xf numFmtId="0" fontId="0" fillId="0" borderId="342" xfId="0" applyBorder="1" applyAlignment="1">
      <alignment vertical="top"/>
    </xf>
    <xf numFmtId="0" fontId="30" fillId="9" borderId="343" xfId="0" applyFont="1" applyFill="1" applyBorder="1" applyAlignment="1">
      <alignment horizontal="left" wrapText="1"/>
    </xf>
    <xf numFmtId="44" fontId="0" fillId="0" borderId="344" xfId="0" applyNumberFormat="1" applyBorder="1" applyProtection="1">
      <protection locked="0"/>
    </xf>
    <xf numFmtId="0" fontId="0" fillId="0" borderId="344" xfId="0" applyBorder="1" applyProtection="1">
      <protection locked="0"/>
    </xf>
    <xf numFmtId="42" fontId="0" fillId="7" borderId="344" xfId="0" applyNumberFormat="1" applyFill="1" applyBorder="1" applyAlignment="1" applyProtection="1">
      <alignment horizontal="left"/>
      <protection locked="0"/>
    </xf>
    <xf numFmtId="0" fontId="0" fillId="0" borderId="345" xfId="0" applyBorder="1" applyAlignment="1">
      <alignment vertical="top"/>
    </xf>
    <xf numFmtId="0" fontId="30" fillId="9" borderId="346" xfId="0" applyFont="1" applyFill="1" applyBorder="1" applyAlignment="1">
      <alignment horizontal="left" wrapText="1"/>
    </xf>
    <xf numFmtId="44" fontId="0" fillId="0" borderId="347" xfId="0" applyNumberFormat="1" applyBorder="1" applyProtection="1">
      <protection locked="0"/>
    </xf>
    <xf numFmtId="0" fontId="0" fillId="0" borderId="347" xfId="0" applyBorder="1" applyProtection="1">
      <protection locked="0"/>
    </xf>
    <xf numFmtId="42" fontId="0" fillId="7" borderId="347" xfId="0" applyNumberFormat="1" applyFill="1" applyBorder="1" applyAlignment="1" applyProtection="1">
      <alignment horizontal="left"/>
      <protection locked="0"/>
    </xf>
    <xf numFmtId="0" fontId="0" fillId="0" borderId="348" xfId="0" applyBorder="1" applyAlignment="1">
      <alignment vertical="top"/>
    </xf>
    <xf numFmtId="0" fontId="30" fillId="9" borderId="349" xfId="0" applyFont="1" applyFill="1" applyBorder="1" applyAlignment="1">
      <alignment horizontal="left" wrapText="1"/>
    </xf>
    <xf numFmtId="44" fontId="0" fillId="0" borderId="350" xfId="0" applyNumberFormat="1" applyBorder="1" applyProtection="1">
      <protection locked="0"/>
    </xf>
    <xf numFmtId="0" fontId="0" fillId="0" borderId="350" xfId="0" applyBorder="1" applyProtection="1">
      <protection locked="0"/>
    </xf>
    <xf numFmtId="3" fontId="0" fillId="0" borderId="350" xfId="0" applyNumberFormat="1" applyBorder="1" applyAlignment="1" applyProtection="1">
      <alignment horizontal="left"/>
      <protection locked="0"/>
    </xf>
    <xf numFmtId="42" fontId="0" fillId="7" borderId="350" xfId="0" applyNumberFormat="1" applyFill="1" applyBorder="1" applyAlignment="1" applyProtection="1">
      <alignment horizontal="left"/>
      <protection locked="0"/>
    </xf>
    <xf numFmtId="44" fontId="1" fillId="7" borderId="350" xfId="0" applyNumberFormat="1" applyFont="1" applyFill="1" applyBorder="1" applyProtection="1">
      <protection locked="0"/>
    </xf>
    <xf numFmtId="0" fontId="30" fillId="9" borderId="351" xfId="0" applyFont="1" applyFill="1" applyBorder="1" applyAlignment="1">
      <alignment horizontal="left" wrapText="1"/>
    </xf>
    <xf numFmtId="0" fontId="30" fillId="9" borderId="322" xfId="0" applyFont="1" applyFill="1" applyBorder="1" applyAlignment="1">
      <alignment horizontal="left" wrapText="1"/>
    </xf>
    <xf numFmtId="0" fontId="0" fillId="0" borderId="348" xfId="0" applyBorder="1"/>
    <xf numFmtId="0" fontId="0" fillId="0" borderId="352" xfId="0" applyBorder="1" applyProtection="1">
      <protection locked="0"/>
    </xf>
    <xf numFmtId="0" fontId="0" fillId="0" borderId="353" xfId="0" applyBorder="1" applyProtection="1">
      <protection locked="0"/>
    </xf>
    <xf numFmtId="165" fontId="0" fillId="0" borderId="354" xfId="0" applyNumberFormat="1" applyBorder="1" applyProtection="1">
      <protection locked="0"/>
    </xf>
    <xf numFmtId="0" fontId="0" fillId="0" borderId="348" xfId="0" applyBorder="1" applyProtection="1">
      <protection locked="0"/>
    </xf>
    <xf numFmtId="0" fontId="0" fillId="0" borderId="352" xfId="0" applyBorder="1" applyAlignment="1" applyProtection="1">
      <alignment wrapText="1"/>
      <protection locked="0"/>
    </xf>
    <xf numFmtId="0" fontId="0" fillId="0" borderId="352" xfId="0" applyBorder="1" applyAlignment="1">
      <alignment wrapText="1"/>
    </xf>
    <xf numFmtId="0" fontId="0" fillId="0" borderId="354" xfId="0" applyBorder="1" applyProtection="1">
      <protection locked="0"/>
    </xf>
    <xf numFmtId="0" fontId="0" fillId="0" borderId="202" xfId="0" applyBorder="1" applyAlignment="1" applyProtection="1">
      <alignment horizontal="right"/>
      <protection locked="0"/>
    </xf>
    <xf numFmtId="0" fontId="4" fillId="0" borderId="352" xfId="0" applyFont="1" applyBorder="1" applyAlignment="1">
      <alignment wrapText="1"/>
    </xf>
    <xf numFmtId="0" fontId="0" fillId="0" borderId="347" xfId="0" applyBorder="1" applyAlignment="1" applyProtection="1">
      <alignment horizontal="left"/>
      <protection locked="0"/>
    </xf>
    <xf numFmtId="3" fontId="0" fillId="0" borderId="347" xfId="0" applyNumberFormat="1" applyBorder="1" applyAlignment="1" applyProtection="1">
      <alignment horizontal="left"/>
      <protection locked="0"/>
    </xf>
    <xf numFmtId="0" fontId="30" fillId="0" borderId="346" xfId="0" applyFont="1" applyBorder="1" applyAlignment="1">
      <alignment vertical="center"/>
    </xf>
    <xf numFmtId="0" fontId="30" fillId="0" borderId="346" xfId="0" quotePrefix="1" applyFont="1" applyBorder="1"/>
    <xf numFmtId="0" fontId="30" fillId="0" borderId="356" xfId="0" applyFont="1" applyBorder="1" applyAlignment="1">
      <alignment horizontal="left" vertical="center"/>
    </xf>
    <xf numFmtId="0" fontId="30" fillId="19" borderId="346" xfId="0" applyFont="1" applyFill="1" applyBorder="1" applyAlignment="1">
      <alignment horizontal="center"/>
    </xf>
    <xf numFmtId="0" fontId="30" fillId="22" borderId="346" xfId="0" applyFont="1" applyFill="1" applyBorder="1" applyAlignment="1">
      <alignment horizontal="left"/>
    </xf>
    <xf numFmtId="0" fontId="30" fillId="22" borderId="356" xfId="0" applyFont="1" applyFill="1" applyBorder="1" applyAlignment="1">
      <alignment horizontal="left" vertical="center"/>
    </xf>
    <xf numFmtId="8" fontId="0" fillId="22" borderId="169" xfId="0" applyNumberFormat="1" applyFill="1" applyBorder="1" applyProtection="1">
      <protection locked="0"/>
    </xf>
    <xf numFmtId="0" fontId="0" fillId="22" borderId="357" xfId="0" applyFill="1" applyBorder="1" applyProtection="1">
      <protection locked="0"/>
    </xf>
    <xf numFmtId="3" fontId="0" fillId="22" borderId="344" xfId="0" applyNumberFormat="1" applyFill="1" applyBorder="1" applyAlignment="1" applyProtection="1">
      <alignment horizontal="left"/>
      <protection locked="0"/>
    </xf>
    <xf numFmtId="0" fontId="0" fillId="22" borderId="344" xfId="0" applyFill="1" applyBorder="1" applyProtection="1">
      <protection locked="0"/>
    </xf>
    <xf numFmtId="0" fontId="31" fillId="9" borderId="343" xfId="0" applyFont="1" applyFill="1" applyBorder="1" applyAlignment="1">
      <alignment horizontal="left" vertical="center" wrapText="1"/>
    </xf>
    <xf numFmtId="0" fontId="30" fillId="9" borderId="343" xfId="0" applyFont="1" applyFill="1" applyBorder="1" applyAlignment="1">
      <alignment horizontal="left" vertical="center" wrapText="1"/>
    </xf>
    <xf numFmtId="4" fontId="30" fillId="0" borderId="358" xfId="0" applyNumberFormat="1" applyFont="1" applyBorder="1" applyAlignment="1">
      <alignment horizontal="left" vertical="center"/>
    </xf>
    <xf numFmtId="8" fontId="0" fillId="0" borderId="322" xfId="0" applyNumberFormat="1" applyBorder="1" applyProtection="1">
      <protection locked="0"/>
    </xf>
    <xf numFmtId="8" fontId="0" fillId="0" borderId="169" xfId="0" applyNumberFormat="1" applyBorder="1" applyProtection="1">
      <protection locked="0"/>
    </xf>
    <xf numFmtId="0" fontId="0" fillId="6" borderId="164" xfId="0" applyFill="1" applyBorder="1" applyAlignment="1" applyProtection="1">
      <alignment horizontal="left"/>
      <protection locked="0"/>
    </xf>
    <xf numFmtId="0" fontId="0" fillId="0" borderId="342" xfId="0" applyBorder="1"/>
    <xf numFmtId="0" fontId="0" fillId="0" borderId="358" xfId="0" applyBorder="1" applyProtection="1">
      <protection locked="0"/>
    </xf>
    <xf numFmtId="0" fontId="0" fillId="0" borderId="359" xfId="0" applyBorder="1" applyProtection="1">
      <protection locked="0"/>
    </xf>
    <xf numFmtId="165" fontId="0" fillId="0" borderId="360" xfId="0" applyNumberFormat="1" applyBorder="1" applyProtection="1">
      <protection locked="0"/>
    </xf>
    <xf numFmtId="0" fontId="0" fillId="0" borderId="342" xfId="0" applyBorder="1" applyProtection="1">
      <protection locked="0"/>
    </xf>
    <xf numFmtId="0" fontId="0" fillId="0" borderId="358" xfId="0" applyBorder="1" applyAlignment="1" applyProtection="1">
      <alignment wrapText="1"/>
      <protection locked="0"/>
    </xf>
    <xf numFmtId="0" fontId="0" fillId="0" borderId="358" xfId="0" applyBorder="1" applyAlignment="1">
      <alignment wrapText="1"/>
    </xf>
    <xf numFmtId="0" fontId="0" fillId="0" borderId="360" xfId="0" applyBorder="1" applyProtection="1">
      <protection locked="0"/>
    </xf>
    <xf numFmtId="0" fontId="4" fillId="0" borderId="358" xfId="0" applyFont="1" applyBorder="1" applyAlignment="1">
      <alignment wrapText="1"/>
    </xf>
    <xf numFmtId="0" fontId="0" fillId="0" borderId="341" xfId="0" applyBorder="1" applyAlignment="1" applyProtection="1">
      <alignment horizontal="left"/>
      <protection locked="0"/>
    </xf>
    <xf numFmtId="3" fontId="0" fillId="0" borderId="341" xfId="0" applyNumberFormat="1" applyBorder="1" applyAlignment="1" applyProtection="1">
      <alignment horizontal="left"/>
      <protection locked="0"/>
    </xf>
    <xf numFmtId="0" fontId="30" fillId="0" borderId="340" xfId="0" applyFont="1" applyBorder="1" applyAlignment="1">
      <alignment vertical="center"/>
    </xf>
    <xf numFmtId="0" fontId="30" fillId="0" borderId="340" xfId="0" quotePrefix="1" applyFont="1" applyBorder="1"/>
    <xf numFmtId="0" fontId="30" fillId="0" borderId="362" xfId="0" applyFont="1" applyBorder="1" applyAlignment="1">
      <alignment horizontal="left" vertical="center"/>
    </xf>
    <xf numFmtId="0" fontId="30" fillId="19" borderId="340" xfId="0" applyFont="1" applyFill="1" applyBorder="1" applyAlignment="1">
      <alignment horizontal="center"/>
    </xf>
    <xf numFmtId="0" fontId="30" fillId="22" borderId="340" xfId="0" applyFont="1" applyFill="1" applyBorder="1" applyAlignment="1">
      <alignment horizontal="left"/>
    </xf>
    <xf numFmtId="0" fontId="30" fillId="22" borderId="362" xfId="0" applyFont="1" applyFill="1" applyBorder="1" applyAlignment="1">
      <alignment horizontal="left" vertical="center"/>
    </xf>
    <xf numFmtId="0" fontId="0" fillId="22" borderId="363" xfId="0" applyFill="1" applyBorder="1" applyProtection="1">
      <protection locked="0"/>
    </xf>
    <xf numFmtId="3" fontId="0" fillId="22" borderId="338" xfId="0" applyNumberFormat="1" applyFill="1" applyBorder="1" applyAlignment="1" applyProtection="1">
      <alignment horizontal="left"/>
      <protection locked="0"/>
    </xf>
    <xf numFmtId="0" fontId="0" fillId="22" borderId="338" xfId="0" applyFill="1" applyBorder="1" applyProtection="1">
      <protection locked="0"/>
    </xf>
    <xf numFmtId="0" fontId="31" fillId="9" borderId="337" xfId="0" applyFont="1" applyFill="1" applyBorder="1" applyAlignment="1">
      <alignment horizontal="left" vertical="center" wrapText="1"/>
    </xf>
    <xf numFmtId="9" fontId="0" fillId="6" borderId="231" xfId="3" applyFont="1" applyFill="1" applyBorder="1" applyProtection="1">
      <protection locked="0"/>
    </xf>
    <xf numFmtId="0" fontId="0" fillId="0" borderId="336" xfId="0" applyBorder="1"/>
    <xf numFmtId="0" fontId="0" fillId="0" borderId="364" xfId="0" applyBorder="1" applyProtection="1">
      <protection locked="0"/>
    </xf>
    <xf numFmtId="0" fontId="0" fillId="0" borderId="365" xfId="0" applyBorder="1" applyProtection="1">
      <protection locked="0"/>
    </xf>
    <xf numFmtId="165" fontId="0" fillId="0" borderId="366" xfId="0" applyNumberFormat="1" applyBorder="1" applyProtection="1">
      <protection locked="0"/>
    </xf>
    <xf numFmtId="0" fontId="0" fillId="0" borderId="336" xfId="0" applyBorder="1" applyProtection="1">
      <protection locked="0"/>
    </xf>
    <xf numFmtId="0" fontId="0" fillId="0" borderId="364" xfId="0" applyBorder="1" applyAlignment="1" applyProtection="1">
      <alignment wrapText="1"/>
      <protection locked="0"/>
    </xf>
    <xf numFmtId="0" fontId="0" fillId="0" borderId="364" xfId="0" applyBorder="1" applyAlignment="1">
      <alignment wrapText="1"/>
    </xf>
    <xf numFmtId="0" fontId="0" fillId="0" borderId="366" xfId="0" applyBorder="1" applyProtection="1">
      <protection locked="0"/>
    </xf>
    <xf numFmtId="0" fontId="92" fillId="0" borderId="250" xfId="0" applyFont="1" applyBorder="1" applyAlignment="1" applyProtection="1">
      <alignment horizontal="right" wrapText="1"/>
      <protection locked="0"/>
    </xf>
    <xf numFmtId="0" fontId="4" fillId="0" borderId="364" xfId="0" applyFont="1" applyBorder="1" applyAlignment="1">
      <alignment wrapText="1"/>
    </xf>
    <xf numFmtId="0" fontId="0" fillId="0" borderId="335" xfId="0" applyBorder="1" applyProtection="1">
      <protection locked="0"/>
    </xf>
    <xf numFmtId="0" fontId="30" fillId="0" borderId="331" xfId="0" applyFont="1" applyBorder="1" applyAlignment="1">
      <alignment vertical="center"/>
    </xf>
    <xf numFmtId="0" fontId="0" fillId="0" borderId="322" xfId="0" applyBorder="1" applyAlignment="1" applyProtection="1">
      <alignment horizontal="left"/>
      <protection locked="0"/>
    </xf>
    <xf numFmtId="0" fontId="0" fillId="0" borderId="335" xfId="0" applyBorder="1" applyAlignment="1" applyProtection="1">
      <alignment horizontal="left"/>
      <protection locked="0"/>
    </xf>
    <xf numFmtId="0" fontId="30" fillId="19" borderId="331" xfId="0" applyFont="1" applyFill="1" applyBorder="1" applyAlignment="1">
      <alignment horizontal="center"/>
    </xf>
    <xf numFmtId="0" fontId="30" fillId="22" borderId="331" xfId="0" applyFont="1" applyFill="1" applyBorder="1" applyAlignment="1">
      <alignment horizontal="left"/>
    </xf>
    <xf numFmtId="42" fontId="0" fillId="22" borderId="335" xfId="0" applyNumberFormat="1" applyFill="1" applyBorder="1" applyAlignment="1" applyProtection="1">
      <alignment horizontal="left"/>
      <protection locked="0"/>
    </xf>
    <xf numFmtId="44" fontId="0" fillId="22" borderId="335" xfId="0" applyNumberFormat="1" applyFill="1" applyBorder="1" applyAlignment="1" applyProtection="1">
      <alignment horizontal="left"/>
      <protection locked="0"/>
    </xf>
    <xf numFmtId="0" fontId="0" fillId="22" borderId="335" xfId="0" applyFill="1" applyBorder="1" applyProtection="1">
      <protection locked="0"/>
    </xf>
    <xf numFmtId="44" fontId="0" fillId="22" borderId="335" xfId="0" applyNumberFormat="1" applyFill="1" applyBorder="1" applyProtection="1">
      <protection locked="0"/>
    </xf>
    <xf numFmtId="0" fontId="0" fillId="0" borderId="367" xfId="0" applyBorder="1" applyAlignment="1">
      <alignment vertical="top"/>
    </xf>
    <xf numFmtId="0" fontId="0" fillId="0" borderId="162" xfId="0" applyBorder="1" applyProtection="1">
      <protection locked="0"/>
    </xf>
    <xf numFmtId="0" fontId="0" fillId="0" borderId="368" xfId="0" applyBorder="1" applyProtection="1">
      <protection locked="0"/>
    </xf>
    <xf numFmtId="165" fontId="0" fillId="0" borderId="369" xfId="0" applyNumberFormat="1" applyBorder="1" applyProtection="1">
      <protection locked="0"/>
    </xf>
    <xf numFmtId="165" fontId="0" fillId="0" borderId="370" xfId="0" applyNumberFormat="1" applyBorder="1" applyProtection="1">
      <protection locked="0"/>
    </xf>
    <xf numFmtId="0" fontId="0" fillId="0" borderId="371" xfId="0" applyBorder="1" applyProtection="1">
      <protection locked="0"/>
    </xf>
    <xf numFmtId="165" fontId="0" fillId="0" borderId="372" xfId="0" applyNumberFormat="1" applyBorder="1" applyProtection="1">
      <protection locked="0"/>
    </xf>
    <xf numFmtId="0" fontId="4" fillId="0" borderId="371" xfId="0" applyFont="1" applyBorder="1" applyProtection="1">
      <protection locked="0"/>
    </xf>
    <xf numFmtId="0" fontId="13" fillId="0" borderId="367" xfId="0" applyFont="1" applyBorder="1" applyAlignment="1">
      <alignment vertical="top"/>
    </xf>
    <xf numFmtId="4" fontId="0" fillId="0" borderId="335" xfId="0" applyNumberFormat="1" applyBorder="1" applyAlignment="1" applyProtection="1">
      <alignment wrapText="1"/>
      <protection locked="0"/>
    </xf>
    <xf numFmtId="0" fontId="0" fillId="0" borderId="335" xfId="0" applyBorder="1" applyAlignment="1" applyProtection="1">
      <alignment wrapText="1"/>
      <protection locked="0"/>
    </xf>
    <xf numFmtId="0" fontId="1" fillId="0" borderId="335" xfId="0" applyFont="1" applyBorder="1" applyAlignment="1" applyProtection="1">
      <alignment wrapText="1"/>
      <protection locked="0"/>
    </xf>
    <xf numFmtId="0" fontId="0" fillId="7" borderId="335" xfId="0" applyFill="1" applyBorder="1" applyProtection="1">
      <protection locked="0"/>
    </xf>
    <xf numFmtId="44" fontId="30" fillId="0" borderId="373" xfId="2" applyFont="1" applyFill="1" applyBorder="1" applyAlignment="1">
      <alignment horizontal="center" vertical="center"/>
    </xf>
    <xf numFmtId="0" fontId="0" fillId="0" borderId="371" xfId="0" applyBorder="1" applyAlignment="1" applyProtection="1">
      <alignment wrapText="1"/>
      <protection locked="0"/>
    </xf>
    <xf numFmtId="165" fontId="0" fillId="0" borderId="335" xfId="0" applyNumberFormat="1" applyBorder="1" applyProtection="1">
      <protection locked="0"/>
    </xf>
    <xf numFmtId="42" fontId="0" fillId="0" borderId="335" xfId="0" applyNumberFormat="1" applyBorder="1" applyProtection="1">
      <protection locked="0"/>
    </xf>
    <xf numFmtId="0" fontId="1" fillId="0" borderId="371" xfId="0" applyFont="1" applyBorder="1" applyProtection="1">
      <protection locked="0"/>
    </xf>
    <xf numFmtId="0" fontId="13" fillId="0" borderId="335" xfId="0" applyFont="1" applyBorder="1" applyProtection="1">
      <protection locked="0"/>
    </xf>
    <xf numFmtId="0" fontId="28" fillId="0" borderId="335" xfId="0" applyFont="1" applyBorder="1" applyProtection="1">
      <protection locked="0"/>
    </xf>
    <xf numFmtId="44" fontId="30" fillId="7" borderId="373" xfId="2" applyFont="1" applyFill="1" applyBorder="1" applyAlignment="1">
      <alignment horizontal="center" vertical="center"/>
    </xf>
    <xf numFmtId="42" fontId="0" fillId="7" borderId="335" xfId="0" applyNumberFormat="1" applyFill="1" applyBorder="1" applyAlignment="1" applyProtection="1">
      <alignment horizontal="left"/>
      <protection locked="0"/>
    </xf>
    <xf numFmtId="44" fontId="122" fillId="7" borderId="373" xfId="2" applyFont="1" applyFill="1" applyBorder="1" applyAlignment="1">
      <alignment horizontal="center" vertical="center"/>
    </xf>
    <xf numFmtId="0" fontId="0" fillId="6" borderId="374" xfId="0" applyFill="1" applyBorder="1"/>
    <xf numFmtId="0" fontId="0" fillId="6" borderId="369" xfId="0" applyFill="1" applyBorder="1" applyAlignment="1">
      <alignment wrapText="1"/>
    </xf>
    <xf numFmtId="0" fontId="0" fillId="6" borderId="369" xfId="0" applyFill="1" applyBorder="1" applyProtection="1">
      <protection locked="0"/>
    </xf>
    <xf numFmtId="0" fontId="0" fillId="6" borderId="369" xfId="0" applyFill="1" applyBorder="1" applyAlignment="1" applyProtection="1">
      <alignment vertical="center"/>
      <protection locked="0"/>
    </xf>
    <xf numFmtId="0" fontId="0" fillId="6" borderId="369" xfId="0" applyFill="1" applyBorder="1" applyAlignment="1" applyProtection="1">
      <alignment horizontal="right" vertical="center"/>
      <protection locked="0"/>
    </xf>
    <xf numFmtId="9" fontId="0" fillId="6" borderId="373" xfId="3" applyFont="1" applyFill="1" applyBorder="1" applyProtection="1">
      <protection locked="0"/>
    </xf>
    <xf numFmtId="170" fontId="0" fillId="6" borderId="373" xfId="3" applyNumberFormat="1" applyFont="1" applyFill="1" applyBorder="1" applyAlignment="1" applyProtection="1">
      <alignment horizontal="left"/>
      <protection locked="0"/>
    </xf>
    <xf numFmtId="44" fontId="0" fillId="6" borderId="373" xfId="2" applyFont="1" applyFill="1" applyBorder="1" applyProtection="1">
      <protection locked="0"/>
    </xf>
    <xf numFmtId="170" fontId="0" fillId="6" borderId="373" xfId="2" applyNumberFormat="1" applyFont="1" applyFill="1" applyBorder="1" applyAlignment="1" applyProtection="1">
      <alignment horizontal="left"/>
      <protection locked="0"/>
    </xf>
    <xf numFmtId="44" fontId="0" fillId="6" borderId="373" xfId="0" applyNumberFormat="1" applyFill="1" applyBorder="1" applyProtection="1">
      <protection locked="0"/>
    </xf>
    <xf numFmtId="170" fontId="0" fillId="6" borderId="373" xfId="0" applyNumberFormat="1" applyFill="1" applyBorder="1" applyAlignment="1" applyProtection="1">
      <alignment horizontal="left"/>
      <protection locked="0"/>
    </xf>
    <xf numFmtId="0" fontId="11" fillId="6" borderId="369" xfId="0" applyFont="1" applyFill="1" applyBorder="1" applyAlignment="1" applyProtection="1">
      <alignment horizontal="right" vertical="center"/>
      <protection locked="0"/>
    </xf>
    <xf numFmtId="165" fontId="12" fillId="6" borderId="373" xfId="0" applyNumberFormat="1" applyFont="1" applyFill="1" applyBorder="1" applyAlignment="1" applyProtection="1">
      <alignment horizontal="center"/>
      <protection locked="0"/>
    </xf>
    <xf numFmtId="165" fontId="12" fillId="6" borderId="373" xfId="0" applyNumberFormat="1" applyFont="1" applyFill="1" applyBorder="1" applyAlignment="1" applyProtection="1">
      <alignment horizontal="left"/>
      <protection locked="0"/>
    </xf>
    <xf numFmtId="0" fontId="0" fillId="6" borderId="373" xfId="0" applyFill="1" applyBorder="1" applyAlignment="1" applyProtection="1">
      <alignment horizontal="center"/>
      <protection locked="0"/>
    </xf>
    <xf numFmtId="0" fontId="0" fillId="6" borderId="375" xfId="0" applyFill="1" applyBorder="1" applyAlignment="1" applyProtection="1">
      <alignment horizontal="center"/>
      <protection locked="0"/>
    </xf>
    <xf numFmtId="7" fontId="0" fillId="6" borderId="373" xfId="0" applyNumberFormat="1" applyFill="1" applyBorder="1" applyAlignment="1" applyProtection="1">
      <alignment horizontal="center"/>
      <protection locked="0"/>
    </xf>
    <xf numFmtId="165" fontId="0" fillId="0" borderId="373" xfId="0" applyNumberFormat="1" applyBorder="1" applyAlignment="1" applyProtection="1">
      <alignment horizontal="right"/>
      <protection locked="0"/>
    </xf>
    <xf numFmtId="0" fontId="0" fillId="0" borderId="374" xfId="0" applyBorder="1" applyProtection="1">
      <protection locked="0"/>
    </xf>
    <xf numFmtId="0" fontId="0" fillId="0" borderId="369" xfId="0" applyBorder="1" applyAlignment="1" applyProtection="1">
      <alignment wrapText="1"/>
      <protection locked="0"/>
    </xf>
    <xf numFmtId="44" fontId="0" fillId="0" borderId="373" xfId="0" applyNumberFormat="1" applyBorder="1" applyProtection="1">
      <protection locked="0"/>
    </xf>
    <xf numFmtId="165" fontId="0" fillId="0" borderId="373" xfId="0" applyNumberFormat="1" applyBorder="1" applyProtection="1">
      <protection locked="0"/>
    </xf>
    <xf numFmtId="0" fontId="0" fillId="0" borderId="373" xfId="0" applyBorder="1" applyProtection="1">
      <protection locked="0"/>
    </xf>
    <xf numFmtId="0" fontId="0" fillId="0" borderId="376" xfId="0" applyBorder="1"/>
    <xf numFmtId="0" fontId="0" fillId="0" borderId="377" xfId="0" applyBorder="1" applyAlignment="1">
      <alignment wrapText="1"/>
    </xf>
    <xf numFmtId="0" fontId="0" fillId="0" borderId="377" xfId="0" applyBorder="1" applyProtection="1">
      <protection locked="0"/>
    </xf>
    <xf numFmtId="0" fontId="0" fillId="0" borderId="378" xfId="0" applyBorder="1" applyProtection="1">
      <protection locked="0"/>
    </xf>
    <xf numFmtId="0" fontId="0" fillId="0" borderId="375" xfId="0" applyBorder="1" applyProtection="1">
      <protection locked="0"/>
    </xf>
    <xf numFmtId="0" fontId="4" fillId="0" borderId="379" xfId="0" applyFont="1" applyBorder="1" applyAlignment="1" applyProtection="1">
      <alignment horizontal="right"/>
      <protection locked="0"/>
    </xf>
    <xf numFmtId="0" fontId="0" fillId="0" borderId="373" xfId="0" applyBorder="1" applyAlignment="1" applyProtection="1">
      <alignment horizontal="center"/>
      <protection locked="0"/>
    </xf>
    <xf numFmtId="0" fontId="4" fillId="0" borderId="373" xfId="0" applyFont="1" applyBorder="1" applyAlignment="1" applyProtection="1">
      <alignment horizontal="right"/>
      <protection locked="0"/>
    </xf>
    <xf numFmtId="169" fontId="0" fillId="0" borderId="373" xfId="0" applyNumberFormat="1" applyBorder="1" applyAlignment="1" applyProtection="1">
      <alignment horizontal="center"/>
      <protection locked="0"/>
    </xf>
    <xf numFmtId="0" fontId="5" fillId="0" borderId="373" xfId="4" applyBorder="1" applyAlignment="1" applyProtection="1">
      <alignment horizontal="center" vertical="center"/>
      <protection locked="0"/>
    </xf>
    <xf numFmtId="0" fontId="4" fillId="0" borderId="376" xfId="0" applyFont="1" applyBorder="1" applyAlignment="1" applyProtection="1">
      <alignment horizontal="right"/>
      <protection locked="0"/>
    </xf>
    <xf numFmtId="5" fontId="0" fillId="0" borderId="375" xfId="2" applyNumberFormat="1" applyFont="1" applyBorder="1" applyAlignment="1" applyProtection="1">
      <alignment horizontal="center"/>
      <protection locked="0"/>
    </xf>
    <xf numFmtId="0" fontId="0" fillId="0" borderId="374" xfId="0" applyBorder="1" applyAlignment="1">
      <alignment horizontal="right"/>
    </xf>
    <xf numFmtId="0" fontId="0" fillId="0" borderId="369" xfId="0" applyBorder="1" applyAlignment="1">
      <alignment wrapText="1"/>
    </xf>
    <xf numFmtId="0" fontId="0" fillId="0" borderId="369" xfId="0" applyBorder="1" applyProtection="1">
      <protection locked="0"/>
    </xf>
    <xf numFmtId="0" fontId="0" fillId="0" borderId="369" xfId="0" applyBorder="1" applyAlignment="1">
      <alignment horizontal="left" wrapText="1"/>
    </xf>
    <xf numFmtId="0" fontId="0" fillId="0" borderId="372" xfId="0" applyBorder="1" applyAlignment="1" applyProtection="1">
      <alignment horizontal="right"/>
      <protection locked="0"/>
    </xf>
    <xf numFmtId="14" fontId="0" fillId="0" borderId="369" xfId="0" applyNumberFormat="1" applyBorder="1" applyAlignment="1">
      <alignment horizontal="left" wrapText="1"/>
    </xf>
    <xf numFmtId="0" fontId="0" fillId="0" borderId="374" xfId="0" applyBorder="1"/>
    <xf numFmtId="5" fontId="0" fillId="0" borderId="373" xfId="2" applyNumberFormat="1" applyFont="1" applyBorder="1" applyProtection="1">
      <protection locked="0"/>
    </xf>
    <xf numFmtId="0" fontId="6" fillId="0" borderId="369" xfId="0" applyFont="1" applyBorder="1" applyProtection="1">
      <protection locked="0"/>
    </xf>
    <xf numFmtId="0" fontId="4" fillId="3" borderId="369" xfId="0" applyFont="1" applyFill="1" applyBorder="1" applyAlignment="1">
      <alignment horizontal="center" wrapText="1"/>
    </xf>
    <xf numFmtId="0" fontId="6" fillId="0" borderId="366" xfId="0" applyFont="1" applyBorder="1" applyProtection="1">
      <protection locked="0"/>
    </xf>
    <xf numFmtId="0" fontId="30" fillId="0" borderId="382" xfId="0" applyFont="1" applyBorder="1" applyAlignment="1">
      <alignment vertical="center"/>
    </xf>
    <xf numFmtId="0" fontId="0" fillId="0" borderId="369" xfId="0" applyBorder="1" applyAlignment="1" applyProtection="1">
      <alignment horizontal="left"/>
      <protection locked="0"/>
    </xf>
    <xf numFmtId="0" fontId="30" fillId="0" borderId="382" xfId="0" quotePrefix="1" applyFont="1" applyBorder="1"/>
    <xf numFmtId="0" fontId="30" fillId="19" borderId="382" xfId="0" applyFont="1" applyFill="1" applyBorder="1" applyAlignment="1">
      <alignment horizontal="center"/>
    </xf>
    <xf numFmtId="0" fontId="30" fillId="22" borderId="382" xfId="0" applyFont="1" applyFill="1" applyBorder="1" applyAlignment="1">
      <alignment horizontal="left"/>
    </xf>
    <xf numFmtId="0" fontId="0" fillId="22" borderId="369" xfId="0" applyFill="1" applyBorder="1" applyProtection="1">
      <protection locked="0"/>
    </xf>
    <xf numFmtId="0" fontId="6" fillId="22" borderId="354" xfId="0" applyFont="1" applyFill="1" applyBorder="1" applyProtection="1">
      <protection locked="0"/>
    </xf>
    <xf numFmtId="3" fontId="0" fillId="22" borderId="335" xfId="0" applyNumberFormat="1" applyFill="1" applyBorder="1" applyAlignment="1" applyProtection="1">
      <alignment horizontal="left"/>
      <protection locked="0"/>
    </xf>
    <xf numFmtId="0" fontId="7" fillId="0" borderId="369" xfId="0" applyFont="1" applyBorder="1" applyAlignment="1">
      <alignment horizontal="left" vertical="top" wrapText="1"/>
    </xf>
    <xf numFmtId="0" fontId="30" fillId="0" borderId="369" xfId="0" applyFont="1" applyBorder="1" applyAlignment="1">
      <alignment horizontal="left" vertical="center"/>
    </xf>
    <xf numFmtId="3" fontId="0" fillId="0" borderId="373" xfId="0" applyNumberFormat="1" applyBorder="1" applyProtection="1">
      <protection locked="0"/>
    </xf>
    <xf numFmtId="3" fontId="0" fillId="0" borderId="231" xfId="0" applyNumberFormat="1" applyBorder="1" applyProtection="1">
      <protection locked="0"/>
    </xf>
    <xf numFmtId="3" fontId="0" fillId="0" borderId="354" xfId="0" applyNumberFormat="1" applyBorder="1" applyProtection="1">
      <protection locked="0"/>
    </xf>
    <xf numFmtId="0" fontId="30" fillId="0" borderId="383" xfId="0" applyFont="1" applyBorder="1" applyAlignment="1">
      <alignment horizontal="left" vertical="center"/>
    </xf>
    <xf numFmtId="0" fontId="0" fillId="0" borderId="384" xfId="0" applyBorder="1" applyProtection="1">
      <protection locked="0"/>
    </xf>
    <xf numFmtId="0" fontId="0" fillId="0" borderId="385" xfId="0" applyBorder="1" applyProtection="1">
      <protection locked="0"/>
    </xf>
    <xf numFmtId="0" fontId="0" fillId="0" borderId="386" xfId="0" applyBorder="1" applyProtection="1">
      <protection locked="0"/>
    </xf>
    <xf numFmtId="0" fontId="0" fillId="0" borderId="381" xfId="0" applyBorder="1" applyProtection="1">
      <protection locked="0"/>
    </xf>
    <xf numFmtId="44" fontId="30" fillId="0" borderId="373" xfId="2" applyFont="1" applyBorder="1" applyAlignment="1">
      <alignment horizontal="center" vertical="center"/>
    </xf>
    <xf numFmtId="0" fontId="0" fillId="0" borderId="387" xfId="0" applyBorder="1" applyAlignment="1">
      <alignment vertical="top"/>
    </xf>
    <xf numFmtId="0" fontId="0" fillId="0" borderId="374" xfId="0" applyBorder="1" applyAlignment="1">
      <alignment vertical="top"/>
    </xf>
    <xf numFmtId="0" fontId="0" fillId="0" borderId="372" xfId="0" applyBorder="1" applyProtection="1">
      <protection locked="0"/>
    </xf>
    <xf numFmtId="0" fontId="6" fillId="22" borderId="369" xfId="0" applyFont="1" applyFill="1" applyBorder="1" applyProtection="1">
      <protection locked="0"/>
    </xf>
    <xf numFmtId="165" fontId="0" fillId="22" borderId="369" xfId="0" applyNumberFormat="1" applyFill="1" applyBorder="1" applyProtection="1">
      <protection locked="0"/>
    </xf>
    <xf numFmtId="0" fontId="6" fillId="22" borderId="373" xfId="0" applyFont="1" applyFill="1" applyBorder="1" applyProtection="1">
      <protection locked="0"/>
    </xf>
    <xf numFmtId="0" fontId="31" fillId="0" borderId="331" xfId="0" quotePrefix="1" applyFont="1" applyBorder="1"/>
    <xf numFmtId="3" fontId="0" fillId="0" borderId="335" xfId="0" applyNumberFormat="1" applyBorder="1" applyAlignment="1" applyProtection="1">
      <alignment horizontal="left" wrapText="1"/>
      <protection locked="0"/>
    </xf>
    <xf numFmtId="0" fontId="1" fillId="0" borderId="369" xfId="0" applyFont="1" applyBorder="1" applyProtection="1">
      <protection locked="0"/>
    </xf>
    <xf numFmtId="10" fontId="0" fillId="6" borderId="373" xfId="3" applyNumberFormat="1" applyFont="1" applyFill="1" applyBorder="1" applyProtection="1">
      <protection locked="0"/>
    </xf>
    <xf numFmtId="9" fontId="0" fillId="6" borderId="373" xfId="3" applyFont="1" applyFill="1" applyBorder="1" applyAlignment="1" applyProtection="1">
      <alignment horizontal="left"/>
      <protection locked="0"/>
    </xf>
    <xf numFmtId="5" fontId="0" fillId="6" borderId="373" xfId="2" applyNumberFormat="1" applyFont="1" applyFill="1" applyBorder="1" applyAlignment="1" applyProtection="1">
      <alignment horizontal="left"/>
      <protection locked="0"/>
    </xf>
    <xf numFmtId="44" fontId="0" fillId="6" borderId="373" xfId="2" applyFont="1" applyFill="1" applyBorder="1" applyAlignment="1" applyProtection="1">
      <alignment horizontal="left"/>
      <protection locked="0"/>
    </xf>
    <xf numFmtId="5" fontId="0" fillId="6" borderId="373" xfId="0" applyNumberFormat="1" applyFill="1" applyBorder="1" applyAlignment="1" applyProtection="1">
      <alignment horizontal="left"/>
      <protection locked="0"/>
    </xf>
    <xf numFmtId="0" fontId="7" fillId="0" borderId="369" xfId="0" applyFont="1" applyBorder="1" applyAlignment="1">
      <alignment horizontal="left" vertical="center" wrapText="1"/>
    </xf>
    <xf numFmtId="0" fontId="0" fillId="11" borderId="373" xfId="0" applyFill="1" applyBorder="1" applyAlignment="1" applyProtection="1">
      <alignment horizontal="center"/>
      <protection locked="0"/>
    </xf>
    <xf numFmtId="44" fontId="0" fillId="0" borderId="335" xfId="2" applyFont="1" applyBorder="1" applyProtection="1">
      <protection locked="0"/>
    </xf>
    <xf numFmtId="0" fontId="30" fillId="22" borderId="388" xfId="0" applyFont="1" applyFill="1" applyBorder="1" applyAlignment="1">
      <alignment horizontal="left"/>
    </xf>
    <xf numFmtId="8" fontId="0" fillId="22" borderId="335" xfId="0" applyNumberFormat="1" applyFill="1" applyBorder="1" applyAlignment="1" applyProtection="1">
      <alignment horizontal="left"/>
      <protection locked="0"/>
    </xf>
    <xf numFmtId="44" fontId="0" fillId="22" borderId="335" xfId="2" applyFont="1" applyFill="1" applyBorder="1" applyProtection="1">
      <protection locked="0"/>
    </xf>
    <xf numFmtId="0" fontId="30" fillId="9" borderId="388" xfId="0" applyFont="1" applyFill="1" applyBorder="1" applyAlignment="1">
      <alignment horizontal="left"/>
    </xf>
    <xf numFmtId="165" fontId="0" fillId="0" borderId="389" xfId="0" applyNumberFormat="1" applyBorder="1" applyProtection="1">
      <protection locked="0"/>
    </xf>
    <xf numFmtId="0" fontId="30" fillId="0" borderId="388" xfId="0" applyFont="1" applyBorder="1" applyAlignment="1">
      <alignment horizontal="left"/>
    </xf>
    <xf numFmtId="0" fontId="31" fillId="9" borderId="388" xfId="0" applyFont="1" applyFill="1" applyBorder="1" applyAlignment="1">
      <alignment horizontal="left" wrapText="1"/>
    </xf>
    <xf numFmtId="0" fontId="31" fillId="9" borderId="390" xfId="0" applyFont="1" applyFill="1" applyBorder="1" applyAlignment="1">
      <alignment horizontal="left" wrapText="1"/>
    </xf>
    <xf numFmtId="0" fontId="30" fillId="9" borderId="390" xfId="0" applyFont="1" applyFill="1" applyBorder="1" applyAlignment="1">
      <alignment horizontal="left" wrapText="1"/>
    </xf>
    <xf numFmtId="0" fontId="30" fillId="9" borderId="391" xfId="0" applyFont="1" applyFill="1" applyBorder="1" applyAlignment="1">
      <alignment horizontal="left" wrapText="1"/>
    </xf>
    <xf numFmtId="3" fontId="13" fillId="0" borderId="335" xfId="0" applyNumberFormat="1" applyFont="1" applyBorder="1" applyAlignment="1" applyProtection="1">
      <alignment horizontal="left"/>
      <protection locked="0"/>
    </xf>
    <xf numFmtId="0" fontId="0" fillId="7" borderId="336" xfId="0" applyFill="1" applyBorder="1" applyAlignment="1">
      <alignment vertical="top"/>
    </xf>
    <xf numFmtId="0" fontId="30" fillId="9" borderId="388" xfId="0" applyFont="1" applyFill="1" applyBorder="1" applyAlignment="1">
      <alignment horizontal="left" wrapText="1"/>
    </xf>
    <xf numFmtId="0" fontId="30" fillId="9" borderId="390" xfId="0" applyFont="1" applyFill="1" applyBorder="1" applyAlignment="1">
      <alignment horizontal="left" vertical="center" wrapText="1"/>
    </xf>
    <xf numFmtId="0" fontId="31" fillId="9" borderId="388" xfId="0" applyFont="1" applyFill="1" applyBorder="1" applyAlignment="1">
      <alignment horizontal="left" vertical="center" wrapText="1"/>
    </xf>
    <xf numFmtId="0" fontId="30" fillId="9" borderId="388" xfId="0" applyFont="1" applyFill="1" applyBorder="1" applyAlignment="1">
      <alignment horizontal="left" vertical="center" wrapText="1"/>
    </xf>
    <xf numFmtId="3" fontId="0" fillId="7" borderId="335" xfId="0" applyNumberFormat="1" applyFill="1" applyBorder="1" applyAlignment="1" applyProtection="1">
      <alignment horizontal="left"/>
      <protection locked="0"/>
    </xf>
    <xf numFmtId="0" fontId="58" fillId="9" borderId="390" xfId="0" applyFont="1" applyFill="1" applyBorder="1" applyAlignment="1">
      <alignment horizontal="left" wrapText="1"/>
    </xf>
    <xf numFmtId="42" fontId="0" fillId="35" borderId="335" xfId="0" applyNumberFormat="1" applyFill="1" applyBorder="1" applyAlignment="1" applyProtection="1">
      <alignment horizontal="left"/>
      <protection locked="0"/>
    </xf>
    <xf numFmtId="44" fontId="30" fillId="0" borderId="335" xfId="2" applyFont="1" applyBorder="1" applyAlignment="1">
      <alignment horizontal="center" vertical="center"/>
    </xf>
    <xf numFmtId="8" fontId="0" fillId="0" borderId="335" xfId="0" applyNumberFormat="1" applyBorder="1" applyProtection="1">
      <protection locked="0"/>
    </xf>
    <xf numFmtId="178" fontId="0" fillId="6" borderId="373" xfId="3" applyNumberFormat="1" applyFont="1" applyFill="1" applyBorder="1" applyProtection="1">
      <protection locked="0"/>
    </xf>
    <xf numFmtId="0" fontId="0" fillId="6" borderId="373" xfId="0" applyFill="1" applyBorder="1" applyAlignment="1" applyProtection="1">
      <alignment horizontal="left"/>
      <protection locked="0"/>
    </xf>
    <xf numFmtId="0" fontId="30" fillId="9" borderId="163" xfId="0" applyFont="1" applyFill="1" applyBorder="1" applyAlignment="1">
      <alignment horizontal="left"/>
    </xf>
    <xf numFmtId="0" fontId="30" fillId="9" borderId="371" xfId="0" applyFont="1" applyFill="1" applyBorder="1" applyAlignment="1">
      <alignment horizontal="left" wrapText="1"/>
    </xf>
    <xf numFmtId="0" fontId="31" fillId="9" borderId="163" xfId="0" applyFont="1" applyFill="1" applyBorder="1" applyAlignment="1">
      <alignment horizontal="left" wrapText="1"/>
    </xf>
    <xf numFmtId="0" fontId="30" fillId="9" borderId="392" xfId="0" applyFont="1" applyFill="1" applyBorder="1" applyAlignment="1">
      <alignment horizontal="left" wrapText="1"/>
    </xf>
    <xf numFmtId="0" fontId="30" fillId="9" borderId="393" xfId="0" applyFont="1" applyFill="1" applyBorder="1" applyAlignment="1">
      <alignment horizontal="left" wrapText="1"/>
    </xf>
    <xf numFmtId="0" fontId="30" fillId="9" borderId="393" xfId="0" applyFont="1" applyFill="1" applyBorder="1" applyAlignment="1">
      <alignment horizontal="left" vertical="center" wrapText="1"/>
    </xf>
    <xf numFmtId="0" fontId="0" fillId="6" borderId="394" xfId="0" applyFill="1" applyBorder="1"/>
    <xf numFmtId="0" fontId="0" fillId="6" borderId="395" xfId="0" applyFill="1" applyBorder="1" applyAlignment="1">
      <alignment wrapText="1"/>
    </xf>
    <xf numFmtId="0" fontId="0" fillId="6" borderId="395" xfId="0" applyFill="1" applyBorder="1" applyProtection="1">
      <protection locked="0"/>
    </xf>
    <xf numFmtId="0" fontId="0" fillId="6" borderId="395" xfId="0" applyFill="1" applyBorder="1" applyAlignment="1" applyProtection="1">
      <alignment vertical="center"/>
      <protection locked="0"/>
    </xf>
    <xf numFmtId="0" fontId="0" fillId="6" borderId="395" xfId="0" applyFill="1" applyBorder="1" applyAlignment="1" applyProtection="1">
      <alignment horizontal="right" vertical="center"/>
      <protection locked="0"/>
    </xf>
    <xf numFmtId="0" fontId="0" fillId="6" borderId="370" xfId="0" applyFill="1" applyBorder="1" applyAlignment="1" applyProtection="1">
      <alignment horizontal="right"/>
      <protection locked="0"/>
    </xf>
    <xf numFmtId="10" fontId="0" fillId="6" borderId="396" xfId="3" applyNumberFormat="1" applyFont="1" applyFill="1" applyBorder="1" applyProtection="1">
      <protection locked="0"/>
    </xf>
    <xf numFmtId="9" fontId="0" fillId="6" borderId="396" xfId="3" applyFont="1" applyFill="1" applyBorder="1" applyAlignment="1" applyProtection="1">
      <alignment horizontal="left"/>
      <protection locked="0"/>
    </xf>
    <xf numFmtId="9" fontId="0" fillId="6" borderId="396" xfId="3" applyFont="1" applyFill="1" applyBorder="1" applyProtection="1">
      <protection locked="0"/>
    </xf>
    <xf numFmtId="44" fontId="0" fillId="6" borderId="396" xfId="2" applyFont="1" applyFill="1" applyBorder="1" applyProtection="1">
      <protection locked="0"/>
    </xf>
    <xf numFmtId="5" fontId="0" fillId="6" borderId="396" xfId="2" applyNumberFormat="1" applyFont="1" applyFill="1" applyBorder="1" applyAlignment="1" applyProtection="1">
      <alignment horizontal="left"/>
      <protection locked="0"/>
    </xf>
    <xf numFmtId="44" fontId="0" fillId="6" borderId="396" xfId="2" applyFont="1" applyFill="1" applyBorder="1" applyAlignment="1" applyProtection="1">
      <alignment horizontal="left"/>
      <protection locked="0"/>
    </xf>
    <xf numFmtId="44" fontId="0" fillId="6" borderId="396" xfId="0" applyNumberFormat="1" applyFill="1" applyBorder="1" applyProtection="1">
      <protection locked="0"/>
    </xf>
    <xf numFmtId="5" fontId="0" fillId="6" borderId="396" xfId="0" applyNumberFormat="1" applyFill="1" applyBorder="1" applyAlignment="1" applyProtection="1">
      <alignment horizontal="left"/>
      <protection locked="0"/>
    </xf>
    <xf numFmtId="0" fontId="11" fillId="6" borderId="395" xfId="0" applyFont="1" applyFill="1" applyBorder="1" applyAlignment="1" applyProtection="1">
      <alignment horizontal="right" vertical="center"/>
      <protection locked="0"/>
    </xf>
    <xf numFmtId="164" fontId="11" fillId="6" borderId="370" xfId="1" applyNumberFormat="1" applyFont="1" applyFill="1" applyBorder="1" applyAlignment="1" applyProtection="1">
      <alignment horizontal="right"/>
      <protection locked="0"/>
    </xf>
    <xf numFmtId="165" fontId="12" fillId="6" borderId="396" xfId="0" applyNumberFormat="1" applyFont="1" applyFill="1" applyBorder="1" applyAlignment="1" applyProtection="1">
      <alignment horizontal="center"/>
      <protection locked="0"/>
    </xf>
    <xf numFmtId="165" fontId="12" fillId="6" borderId="396" xfId="0" applyNumberFormat="1" applyFont="1" applyFill="1" applyBorder="1" applyAlignment="1" applyProtection="1">
      <alignment horizontal="left"/>
      <protection locked="0"/>
    </xf>
    <xf numFmtId="0" fontId="11" fillId="6" borderId="370" xfId="0" applyFont="1" applyFill="1" applyBorder="1" applyAlignment="1" applyProtection="1">
      <alignment horizontal="right"/>
      <protection locked="0"/>
    </xf>
    <xf numFmtId="10" fontId="0" fillId="6" borderId="370" xfId="0" applyNumberFormat="1" applyFill="1" applyBorder="1" applyAlignment="1" applyProtection="1">
      <alignment horizontal="right"/>
      <protection locked="0"/>
    </xf>
    <xf numFmtId="0" fontId="0" fillId="6" borderId="397" xfId="0" applyFill="1" applyBorder="1" applyAlignment="1" applyProtection="1">
      <alignment horizontal="center"/>
      <protection locked="0"/>
    </xf>
    <xf numFmtId="7" fontId="0" fillId="6" borderId="396" xfId="0" applyNumberFormat="1" applyFill="1" applyBorder="1" applyAlignment="1" applyProtection="1">
      <alignment horizontal="center"/>
      <protection locked="0"/>
    </xf>
    <xf numFmtId="0" fontId="0" fillId="6" borderId="396" xfId="0" applyFill="1" applyBorder="1" applyAlignment="1" applyProtection="1">
      <alignment horizontal="center"/>
      <protection locked="0"/>
    </xf>
    <xf numFmtId="0" fontId="0" fillId="6" borderId="396" xfId="0" applyFill="1" applyBorder="1" applyAlignment="1" applyProtection="1">
      <alignment horizontal="left"/>
      <protection locked="0"/>
    </xf>
    <xf numFmtId="0" fontId="7" fillId="0" borderId="322" xfId="0" applyFont="1" applyBorder="1" applyAlignment="1">
      <alignment horizontal="left" vertical="center" wrapText="1"/>
    </xf>
    <xf numFmtId="0" fontId="30" fillId="22" borderId="398" xfId="0" applyFont="1" applyFill="1" applyBorder="1" applyAlignment="1">
      <alignment horizontal="left"/>
    </xf>
    <xf numFmtId="0" fontId="6" fillId="22" borderId="399" xfId="0" applyFont="1" applyFill="1" applyBorder="1" applyProtection="1">
      <protection locked="0"/>
    </xf>
    <xf numFmtId="0" fontId="30" fillId="9" borderId="398" xfId="0" applyFont="1" applyFill="1" applyBorder="1" applyAlignment="1">
      <alignment horizontal="left"/>
    </xf>
    <xf numFmtId="0" fontId="30" fillId="9" borderId="400" xfId="0" applyFont="1" applyFill="1" applyBorder="1" applyAlignment="1">
      <alignment horizontal="left" vertical="center" wrapText="1"/>
    </xf>
    <xf numFmtId="0" fontId="31" fillId="9" borderId="333" xfId="0" applyFont="1" applyFill="1" applyBorder="1" applyAlignment="1">
      <alignment horizontal="left" wrapText="1"/>
    </xf>
    <xf numFmtId="0" fontId="30" fillId="9" borderId="400" xfId="0" applyFont="1" applyFill="1" applyBorder="1" applyAlignment="1">
      <alignment horizontal="left" wrapText="1"/>
    </xf>
    <xf numFmtId="3" fontId="28" fillId="0" borderId="314" xfId="0" applyNumberFormat="1" applyFont="1" applyBorder="1" applyAlignment="1" applyProtection="1">
      <alignment horizontal="left" wrapText="1"/>
      <protection locked="0"/>
    </xf>
    <xf numFmtId="0" fontId="30" fillId="9" borderId="401" xfId="0" applyFont="1" applyFill="1" applyBorder="1" applyAlignment="1">
      <alignment horizontal="left" wrapText="1"/>
    </xf>
    <xf numFmtId="0" fontId="30" fillId="9" borderId="333" xfId="0" applyFont="1" applyFill="1" applyBorder="1" applyAlignment="1">
      <alignment horizontal="left" wrapText="1"/>
    </xf>
    <xf numFmtId="165" fontId="0" fillId="7" borderId="314" xfId="0" applyNumberFormat="1" applyFill="1" applyBorder="1" applyAlignment="1" applyProtection="1">
      <alignment horizontal="left"/>
      <protection locked="0"/>
    </xf>
    <xf numFmtId="0" fontId="0" fillId="0" borderId="402" xfId="0" applyBorder="1" applyAlignment="1">
      <alignment vertical="top"/>
    </xf>
    <xf numFmtId="0" fontId="30" fillId="0" borderId="403" xfId="0" quotePrefix="1" applyFont="1" applyBorder="1"/>
    <xf numFmtId="3" fontId="0" fillId="0" borderId="404" xfId="0" applyNumberFormat="1" applyBorder="1" applyAlignment="1" applyProtection="1">
      <alignment horizontal="left"/>
      <protection locked="0"/>
    </xf>
    <xf numFmtId="0" fontId="0" fillId="0" borderId="405" xfId="0" applyBorder="1" applyAlignment="1">
      <alignment vertical="top"/>
    </xf>
    <xf numFmtId="0" fontId="30" fillId="0" borderId="406" xfId="0" quotePrefix="1" applyFont="1" applyBorder="1"/>
    <xf numFmtId="3" fontId="0" fillId="0" borderId="407" xfId="0" applyNumberFormat="1" applyBorder="1" applyAlignment="1" applyProtection="1">
      <alignment horizontal="left"/>
      <protection locked="0"/>
    </xf>
    <xf numFmtId="0" fontId="30" fillId="19" borderId="406" xfId="0" applyFont="1" applyFill="1" applyBorder="1" applyAlignment="1">
      <alignment horizontal="center"/>
    </xf>
    <xf numFmtId="3" fontId="0" fillId="22" borderId="407" xfId="0" applyNumberFormat="1" applyFill="1" applyBorder="1" applyAlignment="1" applyProtection="1">
      <alignment horizontal="left"/>
      <protection locked="0"/>
    </xf>
    <xf numFmtId="0" fontId="30" fillId="9" borderId="398" xfId="0" applyFont="1" applyFill="1" applyBorder="1" applyAlignment="1">
      <alignment horizontal="center" vertical="center" wrapText="1"/>
    </xf>
    <xf numFmtId="0" fontId="0" fillId="0" borderId="408" xfId="0" applyBorder="1" applyAlignment="1">
      <alignment vertical="top"/>
    </xf>
    <xf numFmtId="0" fontId="30" fillId="0" borderId="333" xfId="0" applyFont="1" applyBorder="1"/>
    <xf numFmtId="4" fontId="0" fillId="0" borderId="322" xfId="0" applyNumberFormat="1" applyBorder="1" applyProtection="1">
      <protection locked="0"/>
    </xf>
    <xf numFmtId="0" fontId="30" fillId="7" borderId="333" xfId="0" applyFont="1" applyFill="1" applyBorder="1"/>
    <xf numFmtId="0" fontId="30" fillId="0" borderId="333" xfId="0" applyFont="1" applyBorder="1" applyAlignment="1">
      <alignment wrapText="1"/>
    </xf>
    <xf numFmtId="0" fontId="31" fillId="0" borderId="333" xfId="0" applyFont="1" applyBorder="1"/>
    <xf numFmtId="0" fontId="31" fillId="9" borderId="409" xfId="0" applyFont="1" applyFill="1" applyBorder="1" applyAlignment="1">
      <alignment horizontal="left" wrapText="1"/>
    </xf>
    <xf numFmtId="0" fontId="0" fillId="0" borderId="407" xfId="0" applyBorder="1" applyAlignment="1" applyProtection="1">
      <alignment horizontal="left"/>
      <protection locked="0"/>
    </xf>
    <xf numFmtId="0" fontId="0" fillId="0" borderId="407" xfId="0" applyBorder="1" applyProtection="1">
      <protection locked="0"/>
    </xf>
    <xf numFmtId="44" fontId="30" fillId="7" borderId="399" xfId="2" applyFont="1" applyFill="1" applyBorder="1" applyAlignment="1">
      <alignment horizontal="center" vertical="center"/>
    </xf>
    <xf numFmtId="0" fontId="30" fillId="0" borderId="410" xfId="0" applyFont="1" applyBorder="1"/>
    <xf numFmtId="165" fontId="0" fillId="0" borderId="411" xfId="0" applyNumberFormat="1" applyBorder="1" applyProtection="1">
      <protection locked="0"/>
    </xf>
    <xf numFmtId="0" fontId="0" fillId="14" borderId="407" xfId="0" applyFill="1" applyBorder="1" applyAlignment="1" applyProtection="1">
      <alignment horizontal="left"/>
      <protection locked="0"/>
    </xf>
    <xf numFmtId="44" fontId="0" fillId="0" borderId="407" xfId="0" applyNumberFormat="1" applyBorder="1" applyAlignment="1" applyProtection="1">
      <alignment horizontal="left"/>
      <protection locked="0"/>
    </xf>
    <xf numFmtId="44" fontId="30" fillId="0" borderId="399" xfId="2" applyFont="1" applyFill="1" applyBorder="1" applyAlignment="1">
      <alignment horizontal="center" vertical="center"/>
    </xf>
    <xf numFmtId="0" fontId="30" fillId="9" borderId="398" xfId="0" applyFont="1" applyFill="1" applyBorder="1" applyAlignment="1">
      <alignment horizontal="left" wrapText="1"/>
    </xf>
    <xf numFmtId="0" fontId="0" fillId="0" borderId="412" xfId="0" applyBorder="1" applyProtection="1">
      <protection locked="0"/>
    </xf>
    <xf numFmtId="165" fontId="0" fillId="0" borderId="412" xfId="0" applyNumberFormat="1" applyBorder="1" applyProtection="1">
      <protection locked="0"/>
    </xf>
    <xf numFmtId="165" fontId="0" fillId="0" borderId="413" xfId="0" applyNumberFormat="1" applyBorder="1" applyProtection="1">
      <protection locked="0"/>
    </xf>
    <xf numFmtId="44" fontId="30" fillId="0" borderId="414" xfId="2" applyFont="1" applyBorder="1" applyAlignment="1">
      <alignment horizontal="center" vertical="center"/>
    </xf>
    <xf numFmtId="8" fontId="0" fillId="0" borderId="407" xfId="0" applyNumberFormat="1" applyBorder="1" applyAlignment="1" applyProtection="1">
      <alignment horizontal="left"/>
      <protection locked="0"/>
    </xf>
    <xf numFmtId="0" fontId="0" fillId="6" borderId="415" xfId="0" applyFill="1" applyBorder="1"/>
    <xf numFmtId="0" fontId="0" fillId="6" borderId="411" xfId="0" applyFill="1" applyBorder="1" applyAlignment="1">
      <alignment wrapText="1"/>
    </xf>
    <xf numFmtId="0" fontId="0" fillId="6" borderId="411" xfId="0" applyFill="1" applyBorder="1" applyProtection="1">
      <protection locked="0"/>
    </xf>
    <xf numFmtId="0" fontId="0" fillId="6" borderId="411" xfId="0" applyFill="1" applyBorder="1" applyAlignment="1" applyProtection="1">
      <alignment vertical="center"/>
      <protection locked="0"/>
    </xf>
    <xf numFmtId="0" fontId="0" fillId="6" borderId="411" xfId="0" applyFill="1" applyBorder="1" applyAlignment="1" applyProtection="1">
      <alignment horizontal="right" vertical="center"/>
      <protection locked="0"/>
    </xf>
    <xf numFmtId="9" fontId="0" fillId="6" borderId="399" xfId="3" applyFont="1" applyFill="1" applyBorder="1" applyProtection="1">
      <protection locked="0"/>
    </xf>
    <xf numFmtId="9" fontId="0" fillId="6" borderId="399" xfId="3" applyFont="1" applyFill="1" applyBorder="1" applyAlignment="1" applyProtection="1">
      <alignment horizontal="left"/>
      <protection locked="0"/>
    </xf>
    <xf numFmtId="44" fontId="0" fillId="6" borderId="399" xfId="2" applyFont="1" applyFill="1" applyBorder="1" applyProtection="1">
      <protection locked="0"/>
    </xf>
    <xf numFmtId="5" fontId="0" fillId="6" borderId="399" xfId="2" applyNumberFormat="1" applyFont="1" applyFill="1" applyBorder="1" applyAlignment="1" applyProtection="1">
      <alignment horizontal="left"/>
      <protection locked="0"/>
    </xf>
    <xf numFmtId="44" fontId="0" fillId="6" borderId="399" xfId="2" applyFont="1" applyFill="1" applyBorder="1" applyAlignment="1" applyProtection="1">
      <alignment horizontal="left"/>
      <protection locked="0"/>
    </xf>
    <xf numFmtId="44" fontId="0" fillId="6" borderId="399" xfId="0" applyNumberFormat="1" applyFill="1" applyBorder="1" applyProtection="1">
      <protection locked="0"/>
    </xf>
    <xf numFmtId="5" fontId="0" fillId="6" borderId="399" xfId="0" applyNumberFormat="1" applyFill="1" applyBorder="1" applyAlignment="1" applyProtection="1">
      <alignment horizontal="left"/>
      <protection locked="0"/>
    </xf>
    <xf numFmtId="0" fontId="11" fillId="6" borderId="411" xfId="0" applyFont="1" applyFill="1" applyBorder="1" applyAlignment="1" applyProtection="1">
      <alignment horizontal="right" vertical="center"/>
      <protection locked="0"/>
    </xf>
    <xf numFmtId="165" fontId="12" fillId="6" borderId="399" xfId="0" applyNumberFormat="1" applyFont="1" applyFill="1" applyBorder="1" applyAlignment="1" applyProtection="1">
      <alignment horizontal="center"/>
      <protection locked="0"/>
    </xf>
    <xf numFmtId="165" fontId="12" fillId="6" borderId="399" xfId="0" applyNumberFormat="1" applyFont="1" applyFill="1" applyBorder="1" applyAlignment="1" applyProtection="1">
      <alignment horizontal="left"/>
      <protection locked="0"/>
    </xf>
    <xf numFmtId="0" fontId="0" fillId="6" borderId="416" xfId="0" applyFill="1" applyBorder="1" applyAlignment="1" applyProtection="1">
      <alignment horizontal="center"/>
      <protection locked="0"/>
    </xf>
    <xf numFmtId="7" fontId="0" fillId="6" borderId="399" xfId="0" applyNumberFormat="1" applyFill="1" applyBorder="1" applyAlignment="1" applyProtection="1">
      <alignment horizontal="center"/>
      <protection locked="0"/>
    </xf>
    <xf numFmtId="0" fontId="0" fillId="6" borderId="399" xfId="0" applyFill="1" applyBorder="1" applyAlignment="1" applyProtection="1">
      <alignment horizontal="center"/>
      <protection locked="0"/>
    </xf>
    <xf numFmtId="0" fontId="0" fillId="6" borderId="399" xfId="0" applyFill="1" applyBorder="1" applyAlignment="1" applyProtection="1">
      <alignment horizontal="left"/>
      <protection locked="0"/>
    </xf>
    <xf numFmtId="0" fontId="0" fillId="0" borderId="408" xfId="0" applyBorder="1"/>
    <xf numFmtId="0" fontId="0" fillId="0" borderId="413" xfId="0" applyBorder="1" applyProtection="1">
      <protection locked="0"/>
    </xf>
    <xf numFmtId="165" fontId="0" fillId="0" borderId="407" xfId="0" applyNumberFormat="1" applyBorder="1" applyProtection="1">
      <protection locked="0"/>
    </xf>
    <xf numFmtId="165" fontId="0" fillId="0" borderId="414" xfId="0" applyNumberFormat="1" applyBorder="1" applyProtection="1">
      <protection locked="0"/>
    </xf>
    <xf numFmtId="165" fontId="0" fillId="0" borderId="399" xfId="0" applyNumberFormat="1" applyBorder="1" applyAlignment="1" applyProtection="1">
      <alignment horizontal="right"/>
      <protection locked="0"/>
    </xf>
    <xf numFmtId="0" fontId="0" fillId="0" borderId="415" xfId="0" applyBorder="1" applyProtection="1">
      <protection locked="0"/>
    </xf>
    <xf numFmtId="0" fontId="0" fillId="0" borderId="411" xfId="0" applyBorder="1" applyAlignment="1" applyProtection="1">
      <alignment wrapText="1"/>
      <protection locked="0"/>
    </xf>
    <xf numFmtId="44" fontId="0" fillId="0" borderId="399" xfId="0" applyNumberFormat="1" applyBorder="1" applyProtection="1">
      <protection locked="0"/>
    </xf>
    <xf numFmtId="0" fontId="0" fillId="0" borderId="408" xfId="0" applyBorder="1" applyProtection="1">
      <protection locked="0"/>
    </xf>
    <xf numFmtId="0" fontId="0" fillId="0" borderId="412" xfId="0" applyBorder="1" applyAlignment="1" applyProtection="1">
      <alignment wrapText="1"/>
      <protection locked="0"/>
    </xf>
    <xf numFmtId="165" fontId="0" fillId="0" borderId="399" xfId="0" applyNumberFormat="1" applyBorder="1" applyProtection="1">
      <protection locked="0"/>
    </xf>
    <xf numFmtId="0" fontId="0" fillId="0" borderId="412" xfId="0" applyBorder="1" applyAlignment="1">
      <alignment wrapText="1"/>
    </xf>
    <xf numFmtId="0" fontId="0" fillId="0" borderId="414" xfId="0" applyBorder="1" applyProtection="1">
      <protection locked="0"/>
    </xf>
    <xf numFmtId="0" fontId="0" fillId="0" borderId="399" xfId="0" applyBorder="1" applyProtection="1">
      <protection locked="0"/>
    </xf>
    <xf numFmtId="0" fontId="0" fillId="0" borderId="417" xfId="0" applyBorder="1"/>
    <xf numFmtId="0" fontId="0" fillId="0" borderId="418" xfId="0" applyBorder="1" applyAlignment="1">
      <alignment wrapText="1"/>
    </xf>
    <xf numFmtId="0" fontId="0" fillId="0" borderId="418" xfId="0" applyBorder="1" applyProtection="1">
      <protection locked="0"/>
    </xf>
    <xf numFmtId="0" fontId="0" fillId="0" borderId="419" xfId="0" applyBorder="1" applyProtection="1">
      <protection locked="0"/>
    </xf>
    <xf numFmtId="0" fontId="0" fillId="0" borderId="420" xfId="0" applyBorder="1" applyProtection="1">
      <protection locked="0"/>
    </xf>
    <xf numFmtId="0" fontId="0" fillId="0" borderId="416" xfId="0" applyBorder="1" applyProtection="1">
      <protection locked="0"/>
    </xf>
    <xf numFmtId="0" fontId="0" fillId="0" borderId="399" xfId="0" applyBorder="1" applyAlignment="1" applyProtection="1">
      <alignment horizontal="center"/>
      <protection locked="0"/>
    </xf>
    <xf numFmtId="0" fontId="4" fillId="0" borderId="421" xfId="0" applyFont="1" applyBorder="1" applyAlignment="1" applyProtection="1">
      <alignment horizontal="right"/>
      <protection locked="0"/>
    </xf>
    <xf numFmtId="0" fontId="4" fillId="0" borderId="399" xfId="0" applyFont="1" applyBorder="1" applyAlignment="1" applyProtection="1">
      <alignment horizontal="right"/>
      <protection locked="0"/>
    </xf>
    <xf numFmtId="169" fontId="0" fillId="0" borderId="399" xfId="0" applyNumberFormat="1" applyBorder="1" applyAlignment="1" applyProtection="1">
      <alignment horizontal="center"/>
      <protection locked="0"/>
    </xf>
    <xf numFmtId="169" fontId="5" fillId="0" borderId="399" xfId="4" applyNumberFormat="1" applyBorder="1" applyAlignment="1" applyProtection="1">
      <alignment horizontal="center" vertical="center"/>
      <protection locked="0"/>
    </xf>
    <xf numFmtId="0" fontId="4" fillId="0" borderId="417" xfId="0" applyFont="1" applyBorder="1" applyAlignment="1" applyProtection="1">
      <alignment horizontal="right"/>
      <protection locked="0"/>
    </xf>
    <xf numFmtId="5" fontId="0" fillId="0" borderId="416" xfId="2" applyNumberFormat="1" applyFont="1" applyBorder="1" applyAlignment="1" applyProtection="1">
      <alignment horizontal="center"/>
      <protection locked="0"/>
    </xf>
    <xf numFmtId="0" fontId="0" fillId="0" borderId="415" xfId="0" applyBorder="1" applyAlignment="1">
      <alignment horizontal="right"/>
    </xf>
    <xf numFmtId="0" fontId="0" fillId="0" borderId="411" xfId="0" applyBorder="1" applyAlignment="1">
      <alignment wrapText="1"/>
    </xf>
    <xf numFmtId="0" fontId="0" fillId="0" borderId="411" xfId="0" applyBorder="1" applyProtection="1">
      <protection locked="0"/>
    </xf>
    <xf numFmtId="0" fontId="0" fillId="0" borderId="411" xfId="0" applyBorder="1" applyAlignment="1">
      <alignment horizontal="left" wrapText="1"/>
    </xf>
    <xf numFmtId="14" fontId="0" fillId="0" borderId="411" xfId="0" applyNumberFormat="1" applyBorder="1" applyAlignment="1">
      <alignment horizontal="left" wrapText="1"/>
    </xf>
    <xf numFmtId="0" fontId="0" fillId="0" borderId="415" xfId="0" applyBorder="1"/>
    <xf numFmtId="0" fontId="4" fillId="0" borderId="412" xfId="0" applyFont="1" applyBorder="1" applyAlignment="1">
      <alignment wrapText="1"/>
    </xf>
    <xf numFmtId="5" fontId="0" fillId="0" borderId="399" xfId="2" applyNumberFormat="1" applyFont="1" applyBorder="1" applyProtection="1">
      <protection locked="0"/>
    </xf>
    <xf numFmtId="0" fontId="6" fillId="0" borderId="411" xfId="0" applyFont="1" applyBorder="1" applyProtection="1">
      <protection locked="0"/>
    </xf>
    <xf numFmtId="44" fontId="30" fillId="0" borderId="399" xfId="2" applyFont="1" applyBorder="1" applyAlignment="1">
      <alignment horizontal="center" vertical="center"/>
    </xf>
    <xf numFmtId="0" fontId="4" fillId="3" borderId="411" xfId="0" applyFont="1" applyFill="1" applyBorder="1" applyAlignment="1">
      <alignment horizontal="center" wrapText="1"/>
    </xf>
    <xf numFmtId="0" fontId="7" fillId="0" borderId="411" xfId="0" applyFont="1" applyBorder="1" applyAlignment="1">
      <alignment horizontal="left" vertical="center" wrapText="1"/>
    </xf>
    <xf numFmtId="0" fontId="30" fillId="0" borderId="406" xfId="0" applyFont="1" applyBorder="1" applyAlignment="1">
      <alignment vertical="center"/>
    </xf>
    <xf numFmtId="0" fontId="30" fillId="22" borderId="423" xfId="0" applyFont="1" applyFill="1" applyBorder="1" applyAlignment="1">
      <alignment horizontal="left"/>
    </xf>
    <xf numFmtId="0" fontId="0" fillId="22" borderId="411" xfId="0" applyFill="1" applyBorder="1" applyProtection="1">
      <protection locked="0"/>
    </xf>
    <xf numFmtId="0" fontId="30" fillId="9" borderId="423" xfId="0" applyFont="1" applyFill="1" applyBorder="1" applyAlignment="1">
      <alignment horizontal="center" vertical="center" wrapText="1"/>
    </xf>
    <xf numFmtId="0" fontId="30" fillId="9" borderId="424" xfId="0" applyFont="1" applyFill="1" applyBorder="1" applyAlignment="1">
      <alignment horizontal="left" vertical="center" wrapText="1"/>
    </xf>
    <xf numFmtId="0" fontId="31" fillId="0" borderId="410" xfId="0" applyFont="1" applyBorder="1" applyAlignment="1">
      <alignment vertical="top"/>
    </xf>
    <xf numFmtId="0" fontId="30" fillId="0" borderId="410" xfId="0" applyFont="1" applyBorder="1" applyAlignment="1">
      <alignment vertical="top" wrapText="1"/>
    </xf>
    <xf numFmtId="0" fontId="0" fillId="0" borderId="425" xfId="0" applyBorder="1" applyProtection="1">
      <protection locked="0"/>
    </xf>
    <xf numFmtId="0" fontId="0" fillId="6" borderId="426" xfId="0" applyFill="1" applyBorder="1" applyAlignment="1" applyProtection="1">
      <alignment horizontal="right"/>
      <protection locked="0"/>
    </xf>
    <xf numFmtId="10" fontId="0" fillId="6" borderId="399" xfId="3" applyNumberFormat="1" applyFont="1" applyFill="1" applyBorder="1" applyProtection="1">
      <protection locked="0"/>
    </xf>
    <xf numFmtId="164" fontId="11" fillId="6" borderId="426" xfId="1" applyNumberFormat="1" applyFont="1" applyFill="1" applyBorder="1" applyAlignment="1" applyProtection="1">
      <alignment horizontal="right"/>
      <protection locked="0"/>
    </xf>
    <xf numFmtId="0" fontId="11" fillId="6" borderId="426" xfId="0" applyFont="1" applyFill="1" applyBorder="1" applyAlignment="1" applyProtection="1">
      <alignment horizontal="right"/>
      <protection locked="0"/>
    </xf>
    <xf numFmtId="10" fontId="0" fillId="6" borderId="426" xfId="0" applyNumberFormat="1" applyFill="1" applyBorder="1" applyAlignment="1" applyProtection="1">
      <alignment horizontal="right"/>
      <protection locked="0"/>
    </xf>
    <xf numFmtId="0" fontId="5" fillId="0" borderId="399" xfId="4" applyBorder="1" applyAlignment="1" applyProtection="1">
      <alignment horizontal="center" vertical="center"/>
      <protection locked="0"/>
    </xf>
    <xf numFmtId="0" fontId="30" fillId="22" borderId="427" xfId="0" applyFont="1" applyFill="1" applyBorder="1" applyAlignment="1">
      <alignment horizontal="left"/>
    </xf>
    <xf numFmtId="0" fontId="0" fillId="22" borderId="426" xfId="0" applyFill="1" applyBorder="1" applyProtection="1">
      <protection locked="0"/>
    </xf>
    <xf numFmtId="0" fontId="30" fillId="9" borderId="427" xfId="0" applyFont="1" applyFill="1" applyBorder="1" applyAlignment="1">
      <alignment horizontal="center" vertical="center" wrapText="1"/>
    </xf>
    <xf numFmtId="0" fontId="30" fillId="9" borderId="428" xfId="0" applyFont="1" applyFill="1" applyBorder="1" applyAlignment="1">
      <alignment horizontal="left" vertical="center" wrapText="1"/>
    </xf>
    <xf numFmtId="0" fontId="0" fillId="0" borderId="319" xfId="0" applyBorder="1" applyAlignment="1">
      <alignment vertical="top"/>
    </xf>
    <xf numFmtId="0" fontId="30" fillId="9" borderId="429" xfId="0" applyFont="1" applyFill="1" applyBorder="1" applyAlignment="1">
      <alignment horizontal="left" vertical="center"/>
    </xf>
    <xf numFmtId="0" fontId="0" fillId="0" borderId="430" xfId="0" applyBorder="1" applyProtection="1">
      <protection locked="0"/>
    </xf>
    <xf numFmtId="0" fontId="30" fillId="9" borderId="406" xfId="0" applyFont="1" applyFill="1" applyBorder="1" applyAlignment="1">
      <alignment horizontal="left" vertical="center"/>
    </xf>
    <xf numFmtId="0" fontId="30" fillId="0" borderId="429" xfId="0" applyFont="1" applyBorder="1" applyAlignment="1">
      <alignment vertical="top" wrapText="1"/>
    </xf>
    <xf numFmtId="0" fontId="0" fillId="6" borderId="431" xfId="0" applyFill="1" applyBorder="1" applyAlignment="1" applyProtection="1">
      <alignment horizontal="right"/>
      <protection locked="0"/>
    </xf>
    <xf numFmtId="164" fontId="11" fillId="6" borderId="431" xfId="1" applyNumberFormat="1" applyFont="1" applyFill="1" applyBorder="1" applyAlignment="1" applyProtection="1">
      <alignment horizontal="right"/>
      <protection locked="0"/>
    </xf>
    <xf numFmtId="0" fontId="11" fillId="6" borderId="431" xfId="0" applyFont="1" applyFill="1" applyBorder="1" applyAlignment="1" applyProtection="1">
      <alignment horizontal="right"/>
      <protection locked="0"/>
    </xf>
    <xf numFmtId="10" fontId="0" fillId="6" borderId="431" xfId="0" applyNumberFormat="1" applyFill="1" applyBorder="1" applyAlignment="1" applyProtection="1">
      <alignment horizontal="right"/>
      <protection locked="0"/>
    </xf>
    <xf numFmtId="0" fontId="0" fillId="0" borderId="402" xfId="0" applyBorder="1"/>
    <xf numFmtId="165" fontId="0" fillId="0" borderId="432" xfId="0" applyNumberFormat="1" applyBorder="1" applyProtection="1">
      <protection locked="0"/>
    </xf>
    <xf numFmtId="0" fontId="0" fillId="0" borderId="405" xfId="0" applyBorder="1" applyProtection="1">
      <protection locked="0"/>
    </xf>
    <xf numFmtId="0" fontId="0" fillId="0" borderId="432" xfId="0" applyBorder="1" applyProtection="1">
      <protection locked="0"/>
    </xf>
    <xf numFmtId="0" fontId="0" fillId="0" borderId="431" xfId="0" applyBorder="1" applyAlignment="1" applyProtection="1">
      <alignment horizontal="right"/>
      <protection locked="0"/>
    </xf>
    <xf numFmtId="0" fontId="0" fillId="0" borderId="431" xfId="0" applyBorder="1" applyProtection="1">
      <protection locked="0"/>
    </xf>
    <xf numFmtId="0" fontId="30" fillId="19" borderId="434" xfId="0" applyFont="1" applyFill="1" applyBorder="1" applyAlignment="1">
      <alignment horizontal="center" vertical="center"/>
    </xf>
    <xf numFmtId="0" fontId="30" fillId="0" borderId="326" xfId="0" applyFont="1" applyBorder="1" applyAlignment="1">
      <alignment vertical="center"/>
    </xf>
    <xf numFmtId="0" fontId="0" fillId="0" borderId="415" xfId="0" applyBorder="1" applyAlignment="1">
      <alignment vertical="top"/>
    </xf>
    <xf numFmtId="0" fontId="30" fillId="22" borderId="326" xfId="0" applyFont="1" applyFill="1" applyBorder="1" applyAlignment="1">
      <alignment horizontal="left"/>
    </xf>
    <xf numFmtId="8" fontId="0" fillId="22" borderId="431" xfId="0" applyNumberFormat="1" applyFill="1" applyBorder="1" applyProtection="1">
      <protection locked="0"/>
    </xf>
    <xf numFmtId="0" fontId="30" fillId="9" borderId="398" xfId="0" applyFont="1" applyFill="1" applyBorder="1" applyAlignment="1">
      <alignment horizontal="left" vertical="center" wrapText="1"/>
    </xf>
    <xf numFmtId="0" fontId="0" fillId="0" borderId="334" xfId="0" applyBorder="1"/>
    <xf numFmtId="0" fontId="30" fillId="0" borderId="333" xfId="0" applyFont="1" applyBorder="1" applyAlignment="1">
      <alignment vertical="top" wrapText="1"/>
    </xf>
    <xf numFmtId="0" fontId="31" fillId="0" borderId="333" xfId="0" applyFont="1" applyBorder="1" applyAlignment="1">
      <alignment vertical="top"/>
    </xf>
    <xf numFmtId="8" fontId="0" fillId="0" borderId="431" xfId="0" applyNumberFormat="1" applyBorder="1" applyProtection="1">
      <protection locked="0"/>
    </xf>
    <xf numFmtId="0" fontId="31" fillId="0" borderId="333" xfId="0" applyFont="1" applyBorder="1" applyAlignment="1">
      <alignment vertical="top" wrapText="1"/>
    </xf>
    <xf numFmtId="0" fontId="30" fillId="38" borderId="333" xfId="0" applyFont="1" applyFill="1" applyBorder="1" applyAlignment="1">
      <alignment vertical="top" wrapText="1"/>
    </xf>
    <xf numFmtId="3" fontId="0" fillId="7" borderId="314" xfId="0" applyNumberFormat="1" applyFill="1" applyBorder="1" applyAlignment="1" applyProtection="1">
      <alignment horizontal="left"/>
      <protection locked="0"/>
    </xf>
    <xf numFmtId="0" fontId="0" fillId="0" borderId="405" xfId="0" applyBorder="1"/>
    <xf numFmtId="8" fontId="0" fillId="0" borderId="432" xfId="0" applyNumberFormat="1" applyBorder="1" applyProtection="1">
      <protection locked="0"/>
    </xf>
    <xf numFmtId="0" fontId="0" fillId="0" borderId="433" xfId="0" applyBorder="1" applyProtection="1">
      <protection locked="0"/>
    </xf>
    <xf numFmtId="0" fontId="0" fillId="0" borderId="435" xfId="0" applyBorder="1" applyProtection="1">
      <protection locked="0"/>
    </xf>
    <xf numFmtId="6" fontId="0" fillId="22" borderId="426" xfId="0" applyNumberFormat="1" applyFill="1" applyBorder="1" applyProtection="1">
      <protection locked="0"/>
    </xf>
    <xf numFmtId="0" fontId="30" fillId="0" borderId="371" xfId="0" applyFont="1" applyBorder="1" applyAlignment="1">
      <alignment vertical="top"/>
    </xf>
    <xf numFmtId="4" fontId="0" fillId="0" borderId="426" xfId="0" applyNumberFormat="1" applyBorder="1" applyProtection="1">
      <protection locked="0"/>
    </xf>
    <xf numFmtId="8" fontId="0" fillId="0" borderId="369" xfId="0" applyNumberFormat="1" applyBorder="1" applyProtection="1">
      <protection locked="0"/>
    </xf>
    <xf numFmtId="6" fontId="0" fillId="0" borderId="426" xfId="0" applyNumberFormat="1" applyBorder="1" applyProtection="1">
      <protection locked="0"/>
    </xf>
    <xf numFmtId="0" fontId="30" fillId="0" borderId="371" xfId="0" applyFont="1" applyBorder="1" applyAlignment="1">
      <alignment vertical="top" wrapText="1"/>
    </xf>
    <xf numFmtId="0" fontId="30" fillId="9" borderId="326" xfId="0" applyFont="1" applyFill="1" applyBorder="1" applyAlignment="1">
      <alignment horizontal="left" vertical="center"/>
    </xf>
    <xf numFmtId="0" fontId="31" fillId="9" borderId="393" xfId="0" applyFont="1" applyFill="1" applyBorder="1" applyAlignment="1">
      <alignment horizontal="left" wrapText="1"/>
    </xf>
    <xf numFmtId="0" fontId="7" fillId="0" borderId="426" xfId="0" applyFont="1" applyBorder="1" applyAlignment="1">
      <alignment horizontal="left" vertical="center" wrapText="1"/>
    </xf>
    <xf numFmtId="0" fontId="0" fillId="0" borderId="426" xfId="0" applyBorder="1" applyAlignment="1" applyProtection="1">
      <alignment horizontal="right"/>
      <protection locked="0"/>
    </xf>
    <xf numFmtId="0" fontId="0" fillId="0" borderId="426" xfId="0" applyBorder="1" applyProtection="1">
      <protection locked="0"/>
    </xf>
    <xf numFmtId="0" fontId="0" fillId="3" borderId="288" xfId="0" applyFill="1" applyBorder="1" applyAlignment="1">
      <alignment vertical="top"/>
    </xf>
    <xf numFmtId="0" fontId="30" fillId="9" borderId="393" xfId="0" applyFont="1" applyFill="1" applyBorder="1" applyAlignment="1">
      <alignment horizontal="center" vertical="center" wrapText="1"/>
    </xf>
    <xf numFmtId="0" fontId="31" fillId="9" borderId="392" xfId="0" applyFont="1" applyFill="1" applyBorder="1" applyAlignment="1">
      <alignment horizontal="left" vertical="center" wrapText="1"/>
    </xf>
    <xf numFmtId="0" fontId="31" fillId="0" borderId="371" xfId="0" applyFont="1" applyBorder="1" applyAlignment="1">
      <alignment vertical="top"/>
    </xf>
    <xf numFmtId="0" fontId="30" fillId="9" borderId="284" xfId="0" applyFont="1" applyFill="1" applyBorder="1" applyAlignment="1">
      <alignment horizontal="left" vertical="center"/>
    </xf>
    <xf numFmtId="0" fontId="30" fillId="9" borderId="392" xfId="0" applyFont="1" applyFill="1" applyBorder="1" applyAlignment="1">
      <alignment horizontal="left" vertical="center" wrapText="1"/>
    </xf>
    <xf numFmtId="0" fontId="0" fillId="0" borderId="436" xfId="0" applyBorder="1" applyAlignment="1">
      <alignment vertical="top"/>
    </xf>
    <xf numFmtId="0" fontId="0" fillId="6" borderId="436" xfId="0" applyFill="1" applyBorder="1"/>
    <xf numFmtId="0" fontId="0" fillId="6" borderId="437" xfId="0" applyFill="1" applyBorder="1" applyAlignment="1">
      <alignment wrapText="1"/>
    </xf>
    <xf numFmtId="0" fontId="0" fillId="6" borderId="437" xfId="0" applyFill="1" applyBorder="1" applyProtection="1">
      <protection locked="0"/>
    </xf>
    <xf numFmtId="0" fontId="0" fillId="6" borderId="437" xfId="0" applyFill="1" applyBorder="1" applyAlignment="1" applyProtection="1">
      <alignment vertical="center"/>
      <protection locked="0"/>
    </xf>
    <xf numFmtId="0" fontId="0" fillId="6" borderId="437" xfId="0" applyFill="1" applyBorder="1" applyAlignment="1" applyProtection="1">
      <alignment horizontal="right" vertical="center"/>
      <protection locked="0"/>
    </xf>
    <xf numFmtId="10" fontId="0" fillId="6" borderId="438" xfId="3" applyNumberFormat="1" applyFont="1" applyFill="1" applyBorder="1" applyProtection="1">
      <protection locked="0"/>
    </xf>
    <xf numFmtId="9" fontId="0" fillId="6" borderId="438" xfId="3" applyFont="1" applyFill="1" applyBorder="1" applyAlignment="1" applyProtection="1">
      <alignment horizontal="left"/>
      <protection locked="0"/>
    </xf>
    <xf numFmtId="9" fontId="0" fillId="6" borderId="438" xfId="3" applyFont="1" applyFill="1" applyBorder="1" applyProtection="1">
      <protection locked="0"/>
    </xf>
    <xf numFmtId="44" fontId="0" fillId="6" borderId="438" xfId="2" applyFont="1" applyFill="1" applyBorder="1" applyProtection="1">
      <protection locked="0"/>
    </xf>
    <xf numFmtId="5" fontId="0" fillId="6" borderId="438" xfId="2" applyNumberFormat="1" applyFont="1" applyFill="1" applyBorder="1" applyAlignment="1" applyProtection="1">
      <alignment horizontal="left"/>
      <protection locked="0"/>
    </xf>
    <xf numFmtId="44" fontId="0" fillId="6" borderId="438" xfId="2" applyFont="1" applyFill="1" applyBorder="1" applyAlignment="1" applyProtection="1">
      <alignment horizontal="left"/>
      <protection locked="0"/>
    </xf>
    <xf numFmtId="44" fontId="0" fillId="6" borderId="438" xfId="0" applyNumberFormat="1" applyFill="1" applyBorder="1" applyProtection="1">
      <protection locked="0"/>
    </xf>
    <xf numFmtId="5" fontId="0" fillId="6" borderId="438" xfId="0" applyNumberFormat="1" applyFill="1" applyBorder="1" applyAlignment="1" applyProtection="1">
      <alignment horizontal="left"/>
      <protection locked="0"/>
    </xf>
    <xf numFmtId="0" fontId="11" fillId="6" borderId="437" xfId="0" applyFont="1" applyFill="1" applyBorder="1" applyAlignment="1" applyProtection="1">
      <alignment horizontal="right" vertical="center"/>
      <protection locked="0"/>
    </xf>
    <xf numFmtId="165" fontId="12" fillId="6" borderId="438" xfId="0" applyNumberFormat="1" applyFont="1" applyFill="1" applyBorder="1" applyAlignment="1" applyProtection="1">
      <alignment horizontal="center"/>
      <protection locked="0"/>
    </xf>
    <xf numFmtId="165" fontId="12" fillId="6" borderId="438" xfId="0" applyNumberFormat="1" applyFont="1" applyFill="1" applyBorder="1" applyAlignment="1" applyProtection="1">
      <alignment horizontal="left"/>
      <protection locked="0"/>
    </xf>
    <xf numFmtId="0" fontId="0" fillId="6" borderId="439" xfId="0" applyFill="1" applyBorder="1" applyAlignment="1" applyProtection="1">
      <alignment horizontal="center"/>
      <protection locked="0"/>
    </xf>
    <xf numFmtId="7" fontId="0" fillId="6" borderId="438" xfId="0" applyNumberFormat="1" applyFill="1" applyBorder="1" applyAlignment="1" applyProtection="1">
      <alignment horizontal="center"/>
      <protection locked="0"/>
    </xf>
    <xf numFmtId="0" fontId="0" fillId="6" borderId="438" xfId="0" applyFill="1" applyBorder="1" applyAlignment="1" applyProtection="1">
      <alignment horizontal="center"/>
      <protection locked="0"/>
    </xf>
    <xf numFmtId="0" fontId="0" fillId="6" borderId="438" xfId="0" applyFill="1" applyBorder="1" applyAlignment="1" applyProtection="1">
      <alignment horizontal="left"/>
      <protection locked="0"/>
    </xf>
    <xf numFmtId="165" fontId="0" fillId="0" borderId="438" xfId="0" applyNumberFormat="1" applyBorder="1" applyAlignment="1" applyProtection="1">
      <alignment horizontal="right"/>
      <protection locked="0"/>
    </xf>
    <xf numFmtId="0" fontId="0" fillId="0" borderId="436" xfId="0" applyBorder="1" applyProtection="1">
      <protection locked="0"/>
    </xf>
    <xf numFmtId="0" fontId="0" fillId="0" borderId="437" xfId="0" applyBorder="1" applyAlignment="1" applyProtection="1">
      <alignment wrapText="1"/>
      <protection locked="0"/>
    </xf>
    <xf numFmtId="44" fontId="0" fillId="0" borderId="438" xfId="0" applyNumberFormat="1" applyBorder="1" applyProtection="1">
      <protection locked="0"/>
    </xf>
    <xf numFmtId="165" fontId="0" fillId="0" borderId="438" xfId="0" applyNumberFormat="1" applyBorder="1" applyProtection="1">
      <protection locked="0"/>
    </xf>
    <xf numFmtId="0" fontId="0" fillId="0" borderId="438" xfId="0" applyBorder="1" applyProtection="1">
      <protection locked="0"/>
    </xf>
    <xf numFmtId="0" fontId="0" fillId="0" borderId="440" xfId="0" applyBorder="1"/>
    <xf numFmtId="0" fontId="0" fillId="0" borderId="441" xfId="0" applyBorder="1" applyAlignment="1">
      <alignment wrapText="1"/>
    </xf>
    <xf numFmtId="0" fontId="0" fillId="0" borderId="441" xfId="0" applyBorder="1" applyProtection="1">
      <protection locked="0"/>
    </xf>
    <xf numFmtId="0" fontId="0" fillId="0" borderId="442" xfId="0" applyBorder="1" applyProtection="1">
      <protection locked="0"/>
    </xf>
    <xf numFmtId="0" fontId="0" fillId="0" borderId="439" xfId="0" applyBorder="1" applyProtection="1">
      <protection locked="0"/>
    </xf>
    <xf numFmtId="0" fontId="0" fillId="0" borderId="438" xfId="0" applyBorder="1" applyAlignment="1" applyProtection="1">
      <alignment horizontal="center"/>
      <protection locked="0"/>
    </xf>
    <xf numFmtId="0" fontId="4" fillId="0" borderId="443" xfId="0" applyFont="1" applyBorder="1" applyAlignment="1" applyProtection="1">
      <alignment horizontal="right"/>
      <protection locked="0"/>
    </xf>
    <xf numFmtId="0" fontId="4" fillId="0" borderId="438" xfId="0" applyFont="1" applyBorder="1" applyAlignment="1" applyProtection="1">
      <alignment horizontal="right"/>
      <protection locked="0"/>
    </xf>
    <xf numFmtId="169" fontId="0" fillId="0" borderId="438" xfId="0" applyNumberFormat="1" applyBorder="1" applyAlignment="1" applyProtection="1">
      <alignment horizontal="center"/>
      <protection locked="0"/>
    </xf>
    <xf numFmtId="0" fontId="5" fillId="0" borderId="438" xfId="4" applyBorder="1" applyAlignment="1" applyProtection="1">
      <alignment horizontal="center" vertical="center"/>
      <protection locked="0"/>
    </xf>
    <xf numFmtId="0" fontId="4" fillId="0" borderId="440" xfId="0" applyFont="1" applyBorder="1" applyAlignment="1" applyProtection="1">
      <alignment horizontal="right"/>
      <protection locked="0"/>
    </xf>
    <xf numFmtId="5" fontId="0" fillId="0" borderId="439" xfId="2" applyNumberFormat="1" applyFont="1" applyBorder="1" applyAlignment="1" applyProtection="1">
      <alignment horizontal="center"/>
      <protection locked="0"/>
    </xf>
    <xf numFmtId="0" fontId="0" fillId="0" borderId="436" xfId="0" applyBorder="1" applyAlignment="1">
      <alignment horizontal="right"/>
    </xf>
    <xf numFmtId="0" fontId="0" fillId="0" borderId="437" xfId="0" applyBorder="1" applyAlignment="1">
      <alignment wrapText="1"/>
    </xf>
    <xf numFmtId="0" fontId="0" fillId="0" borderId="437" xfId="0" applyBorder="1" applyProtection="1">
      <protection locked="0"/>
    </xf>
    <xf numFmtId="0" fontId="0" fillId="0" borderId="437" xfId="0" applyBorder="1" applyAlignment="1">
      <alignment horizontal="left" wrapText="1"/>
    </xf>
    <xf numFmtId="14" fontId="0" fillId="0" borderId="437" xfId="0" applyNumberFormat="1" applyBorder="1" applyAlignment="1">
      <alignment horizontal="left" wrapText="1"/>
    </xf>
    <xf numFmtId="0" fontId="0" fillId="0" borderId="436" xfId="0" applyBorder="1"/>
    <xf numFmtId="5" fontId="0" fillId="0" borderId="438" xfId="2" applyNumberFormat="1" applyFont="1" applyBorder="1" applyProtection="1">
      <protection locked="0"/>
    </xf>
    <xf numFmtId="0" fontId="6" fillId="0" borderId="437" xfId="0" applyFont="1" applyBorder="1" applyProtection="1">
      <protection locked="0"/>
    </xf>
    <xf numFmtId="44" fontId="30" fillId="0" borderId="438" xfId="2" applyFont="1" applyBorder="1" applyAlignment="1">
      <alignment horizontal="center" vertical="center"/>
    </xf>
    <xf numFmtId="0" fontId="4" fillId="3" borderId="437" xfId="0" applyFont="1" applyFill="1" applyBorder="1" applyAlignment="1">
      <alignment horizontal="center" wrapText="1"/>
    </xf>
    <xf numFmtId="0" fontId="7" fillId="0" borderId="437" xfId="0" applyFont="1" applyBorder="1" applyAlignment="1">
      <alignment horizontal="left" vertical="center" wrapText="1"/>
    </xf>
    <xf numFmtId="3" fontId="0" fillId="0" borderId="438" xfId="0" applyNumberFormat="1" applyBorder="1" applyAlignment="1" applyProtection="1">
      <alignment horizontal="left"/>
      <protection locked="0"/>
    </xf>
    <xf numFmtId="0" fontId="30" fillId="9" borderId="391" xfId="0" applyFont="1" applyFill="1" applyBorder="1" applyAlignment="1">
      <alignment horizontal="left" vertical="center" wrapText="1"/>
    </xf>
    <xf numFmtId="0" fontId="30" fillId="9" borderId="406" xfId="0" applyFont="1" applyFill="1" applyBorder="1" applyAlignment="1">
      <alignment horizontal="left" wrapText="1"/>
    </xf>
    <xf numFmtId="0" fontId="30" fillId="9" borderId="428" xfId="0" applyFont="1" applyFill="1" applyBorder="1" applyAlignment="1">
      <alignment horizontal="left" wrapText="1"/>
    </xf>
    <xf numFmtId="0" fontId="30" fillId="9" borderId="427" xfId="0" applyFont="1" applyFill="1" applyBorder="1" applyAlignment="1">
      <alignment horizontal="left" wrapText="1"/>
    </xf>
    <xf numFmtId="0" fontId="31" fillId="9" borderId="427" xfId="0" applyFont="1" applyFill="1" applyBorder="1" applyAlignment="1">
      <alignment horizontal="left" wrapText="1"/>
    </xf>
    <xf numFmtId="0" fontId="7" fillId="0" borderId="437" xfId="0" applyFont="1" applyBorder="1" applyAlignment="1">
      <alignment horizontal="left" vertical="top" wrapText="1"/>
    </xf>
    <xf numFmtId="0" fontId="8" fillId="0" borderId="437" xfId="5" applyFont="1" applyBorder="1" applyAlignment="1">
      <alignment horizontal="left" vertical="top" wrapText="1"/>
    </xf>
    <xf numFmtId="4" fontId="0" fillId="0" borderId="285" xfId="0" applyNumberFormat="1" applyBorder="1" applyAlignment="1" applyProtection="1">
      <alignment horizontal="left"/>
      <protection locked="0"/>
    </xf>
    <xf numFmtId="0" fontId="30" fillId="22" borderId="446" xfId="0" applyFont="1" applyFill="1" applyBorder="1" applyAlignment="1">
      <alignment horizontal="left"/>
    </xf>
    <xf numFmtId="0" fontId="0" fillId="22" borderId="437" xfId="0" applyFill="1" applyBorder="1" applyProtection="1">
      <protection locked="0"/>
    </xf>
    <xf numFmtId="0" fontId="6" fillId="22" borderId="447" xfId="0" applyFont="1" applyFill="1" applyBorder="1" applyProtection="1">
      <protection locked="0"/>
    </xf>
    <xf numFmtId="6" fontId="0" fillId="22" borderId="448" xfId="0" applyNumberFormat="1" applyFill="1" applyBorder="1" applyProtection="1">
      <protection locked="0"/>
    </xf>
    <xf numFmtId="0" fontId="30" fillId="9" borderId="446" xfId="0" applyFont="1" applyFill="1" applyBorder="1" applyAlignment="1">
      <alignment horizontal="left" vertical="center" wrapText="1"/>
    </xf>
    <xf numFmtId="0" fontId="30" fillId="0" borderId="449" xfId="0" applyFont="1" applyBorder="1" applyAlignment="1">
      <alignment vertical="top" wrapText="1"/>
    </xf>
    <xf numFmtId="8" fontId="0" fillId="0" borderId="437" xfId="0" applyNumberFormat="1" applyBorder="1" applyProtection="1">
      <protection locked="0"/>
    </xf>
    <xf numFmtId="6" fontId="0" fillId="0" borderId="450" xfId="0" applyNumberFormat="1" applyBorder="1" applyProtection="1">
      <protection locked="0"/>
    </xf>
    <xf numFmtId="0" fontId="31" fillId="9" borderId="451" xfId="0" applyFont="1" applyFill="1" applyBorder="1" applyAlignment="1">
      <alignment horizontal="left" wrapText="1"/>
    </xf>
    <xf numFmtId="0" fontId="31" fillId="0" borderId="449" xfId="0" applyFont="1" applyBorder="1"/>
    <xf numFmtId="0" fontId="31" fillId="9" borderId="307" xfId="0" applyFont="1" applyFill="1" applyBorder="1" applyAlignment="1">
      <alignment horizontal="left" vertical="center" wrapText="1"/>
    </xf>
    <xf numFmtId="0" fontId="31" fillId="0" borderId="449" xfId="0" applyFont="1" applyBorder="1" applyAlignment="1">
      <alignment horizontal="left" vertical="top" wrapText="1"/>
    </xf>
    <xf numFmtId="0" fontId="0" fillId="0" borderId="452" xfId="0" applyBorder="1" applyAlignment="1" applyProtection="1">
      <alignment wrapText="1"/>
      <protection locked="0"/>
    </xf>
    <xf numFmtId="0" fontId="30" fillId="0" borderId="390" xfId="0" applyFont="1" applyBorder="1" applyAlignment="1">
      <alignment horizontal="left" vertical="center" wrapText="1"/>
    </xf>
    <xf numFmtId="0" fontId="0" fillId="0" borderId="389" xfId="0" applyBorder="1" applyAlignment="1" applyProtection="1">
      <alignment horizontal="left"/>
      <protection locked="0"/>
    </xf>
    <xf numFmtId="0" fontId="0" fillId="0" borderId="453" xfId="0" applyBorder="1" applyProtection="1">
      <protection locked="0"/>
    </xf>
    <xf numFmtId="44" fontId="30" fillId="7" borderId="454" xfId="2" applyFont="1" applyFill="1" applyBorder="1" applyAlignment="1">
      <alignment horizontal="center" vertical="center"/>
    </xf>
    <xf numFmtId="6" fontId="0" fillId="0" borderId="389" xfId="0" applyNumberFormat="1" applyBorder="1" applyProtection="1">
      <protection locked="0"/>
    </xf>
    <xf numFmtId="0" fontId="0" fillId="0" borderId="455" xfId="0" applyBorder="1" applyProtection="1">
      <protection locked="0"/>
    </xf>
    <xf numFmtId="6" fontId="0" fillId="0" borderId="285" xfId="0" applyNumberFormat="1" applyBorder="1" applyProtection="1">
      <protection locked="0"/>
    </xf>
    <xf numFmtId="3" fontId="0" fillId="0" borderId="302" xfId="0" applyNumberFormat="1" applyBorder="1" applyAlignment="1" applyProtection="1">
      <alignment horizontal="left"/>
      <protection locked="0"/>
    </xf>
    <xf numFmtId="0" fontId="30" fillId="7" borderId="456" xfId="0" applyFont="1" applyFill="1" applyBorder="1" applyAlignment="1">
      <alignment vertical="top" wrapText="1"/>
    </xf>
    <xf numFmtId="0" fontId="31" fillId="9" borderId="457" xfId="0" applyFont="1" applyFill="1" applyBorder="1" applyAlignment="1">
      <alignment horizontal="left" vertical="center" wrapText="1"/>
    </xf>
    <xf numFmtId="0" fontId="30" fillId="9" borderId="458" xfId="0" applyFont="1" applyFill="1" applyBorder="1" applyAlignment="1">
      <alignment horizontal="left" vertical="center" wrapText="1"/>
    </xf>
    <xf numFmtId="0" fontId="30" fillId="9" borderId="457" xfId="0" applyFont="1" applyFill="1" applyBorder="1" applyAlignment="1">
      <alignment horizontal="left" vertical="center" wrapText="1"/>
    </xf>
    <xf numFmtId="0" fontId="0" fillId="0" borderId="459" xfId="0" applyBorder="1" applyAlignment="1" applyProtection="1">
      <alignment horizontal="left"/>
      <protection locked="0"/>
    </xf>
    <xf numFmtId="0" fontId="7" fillId="0" borderId="460" xfId="0" applyFont="1" applyBorder="1" applyAlignment="1">
      <alignment horizontal="left" vertical="center" wrapText="1"/>
    </xf>
    <xf numFmtId="0" fontId="31" fillId="9" borderId="461" xfId="0" applyFont="1" applyFill="1" applyBorder="1" applyAlignment="1">
      <alignment horizontal="left" vertical="center" wrapText="1"/>
    </xf>
    <xf numFmtId="0" fontId="30" fillId="9" borderId="461" xfId="0" applyFont="1" applyFill="1" applyBorder="1" applyAlignment="1">
      <alignment horizontal="left" wrapText="1"/>
    </xf>
    <xf numFmtId="0" fontId="31" fillId="9" borderId="462" xfId="0" applyFont="1" applyFill="1" applyBorder="1" applyAlignment="1">
      <alignment horizontal="left" wrapText="1"/>
    </xf>
    <xf numFmtId="0" fontId="30" fillId="9" borderId="462" xfId="0" applyFont="1" applyFill="1" applyBorder="1" applyAlignment="1">
      <alignment horizontal="left" wrapText="1"/>
    </xf>
    <xf numFmtId="0" fontId="30" fillId="0" borderId="462" xfId="0" applyFont="1" applyBorder="1" applyAlignment="1">
      <alignment horizontal="left" wrapText="1"/>
    </xf>
    <xf numFmtId="0" fontId="30" fillId="9" borderId="463" xfId="0" applyFont="1" applyFill="1" applyBorder="1" applyAlignment="1">
      <alignment horizontal="left" wrapText="1"/>
    </xf>
    <xf numFmtId="0" fontId="0" fillId="0" borderId="464" xfId="0" applyBorder="1" applyAlignment="1">
      <alignment vertical="top"/>
    </xf>
    <xf numFmtId="38" fontId="0" fillId="0" borderId="285" xfId="0" applyNumberFormat="1" applyBorder="1" applyAlignment="1" applyProtection="1">
      <alignment horizontal="left"/>
      <protection locked="0"/>
    </xf>
    <xf numFmtId="0" fontId="0" fillId="6" borderId="465" xfId="0" applyFill="1" applyBorder="1"/>
    <xf numFmtId="0" fontId="0" fillId="6" borderId="389" xfId="0" applyFill="1" applyBorder="1" applyAlignment="1">
      <alignment wrapText="1"/>
    </xf>
    <xf numFmtId="0" fontId="0" fillId="6" borderId="389" xfId="0" applyFill="1" applyBorder="1" applyProtection="1">
      <protection locked="0"/>
    </xf>
    <xf numFmtId="0" fontId="0" fillId="6" borderId="389" xfId="0" applyFill="1" applyBorder="1" applyAlignment="1" applyProtection="1">
      <alignment vertical="center"/>
      <protection locked="0"/>
    </xf>
    <xf numFmtId="0" fontId="0" fillId="6" borderId="389" xfId="0" applyFill="1" applyBorder="1" applyAlignment="1" applyProtection="1">
      <alignment horizontal="right" vertical="center"/>
      <protection locked="0"/>
    </xf>
    <xf numFmtId="0" fontId="0" fillId="6" borderId="460" xfId="0" applyFill="1" applyBorder="1" applyAlignment="1" applyProtection="1">
      <alignment horizontal="right"/>
      <protection locked="0"/>
    </xf>
    <xf numFmtId="10" fontId="0" fillId="6" borderId="454" xfId="3" applyNumberFormat="1" applyFont="1" applyFill="1" applyBorder="1" applyProtection="1">
      <protection locked="0"/>
    </xf>
    <xf numFmtId="9" fontId="0" fillId="6" borderId="454" xfId="3" applyFont="1" applyFill="1" applyBorder="1" applyAlignment="1" applyProtection="1">
      <alignment horizontal="left"/>
      <protection locked="0"/>
    </xf>
    <xf numFmtId="9" fontId="0" fillId="6" borderId="454" xfId="3" applyFont="1" applyFill="1" applyBorder="1" applyProtection="1">
      <protection locked="0"/>
    </xf>
    <xf numFmtId="44" fontId="0" fillId="6" borderId="454" xfId="2" applyFont="1" applyFill="1" applyBorder="1" applyProtection="1">
      <protection locked="0"/>
    </xf>
    <xf numFmtId="5" fontId="0" fillId="6" borderId="454" xfId="2" applyNumberFormat="1" applyFont="1" applyFill="1" applyBorder="1" applyAlignment="1" applyProtection="1">
      <alignment horizontal="left"/>
      <protection locked="0"/>
    </xf>
    <xf numFmtId="44" fontId="0" fillId="6" borderId="454" xfId="2" applyFont="1" applyFill="1" applyBorder="1" applyAlignment="1" applyProtection="1">
      <alignment horizontal="left"/>
      <protection locked="0"/>
    </xf>
    <xf numFmtId="44" fontId="0" fillId="6" borderId="454" xfId="0" applyNumberFormat="1" applyFill="1" applyBorder="1" applyProtection="1">
      <protection locked="0"/>
    </xf>
    <xf numFmtId="5" fontId="0" fillId="6" borderId="454" xfId="0" applyNumberFormat="1" applyFill="1" applyBorder="1" applyAlignment="1" applyProtection="1">
      <alignment horizontal="left"/>
      <protection locked="0"/>
    </xf>
    <xf numFmtId="0" fontId="11" fillId="6" borderId="389" xfId="0" applyFont="1" applyFill="1" applyBorder="1" applyAlignment="1" applyProtection="1">
      <alignment horizontal="right" vertical="center"/>
      <protection locked="0"/>
    </xf>
    <xf numFmtId="164" fontId="11" fillId="6" borderId="460" xfId="1" applyNumberFormat="1" applyFont="1" applyFill="1" applyBorder="1" applyAlignment="1" applyProtection="1">
      <alignment horizontal="right"/>
      <protection locked="0"/>
    </xf>
    <xf numFmtId="165" fontId="12" fillId="6" borderId="454" xfId="0" applyNumberFormat="1" applyFont="1" applyFill="1" applyBorder="1" applyAlignment="1" applyProtection="1">
      <alignment horizontal="center"/>
      <protection locked="0"/>
    </xf>
    <xf numFmtId="165" fontId="12" fillId="6" borderId="454" xfId="0" applyNumberFormat="1" applyFont="1" applyFill="1" applyBorder="1" applyAlignment="1" applyProtection="1">
      <alignment horizontal="left"/>
      <protection locked="0"/>
    </xf>
    <xf numFmtId="0" fontId="11" fillId="6" borderId="460" xfId="0" applyFont="1" applyFill="1" applyBorder="1" applyAlignment="1" applyProtection="1">
      <alignment horizontal="right"/>
      <protection locked="0"/>
    </xf>
    <xf numFmtId="10" fontId="0" fillId="6" borderId="460" xfId="0" applyNumberFormat="1" applyFill="1" applyBorder="1" applyAlignment="1" applyProtection="1">
      <alignment horizontal="right"/>
      <protection locked="0"/>
    </xf>
    <xf numFmtId="0" fontId="0" fillId="6" borderId="466" xfId="0" applyFill="1" applyBorder="1" applyAlignment="1" applyProtection="1">
      <alignment horizontal="center"/>
      <protection locked="0"/>
    </xf>
    <xf numFmtId="7" fontId="0" fillId="6" borderId="454" xfId="0" applyNumberFormat="1" applyFill="1" applyBorder="1" applyAlignment="1" applyProtection="1">
      <alignment horizontal="center"/>
      <protection locked="0"/>
    </xf>
    <xf numFmtId="0" fontId="0" fillId="6" borderId="454" xfId="0" applyFill="1" applyBorder="1" applyAlignment="1" applyProtection="1">
      <alignment horizontal="center"/>
      <protection locked="0"/>
    </xf>
    <xf numFmtId="0" fontId="0" fillId="6" borderId="454" xfId="0" applyFill="1" applyBorder="1" applyAlignment="1" applyProtection="1">
      <alignment horizontal="left"/>
      <protection locked="0"/>
    </xf>
    <xf numFmtId="165" fontId="0" fillId="0" borderId="454" xfId="0" applyNumberFormat="1" applyBorder="1" applyAlignment="1" applyProtection="1">
      <alignment horizontal="right"/>
      <protection locked="0"/>
    </xf>
    <xf numFmtId="0" fontId="0" fillId="0" borderId="465" xfId="0" applyBorder="1" applyProtection="1">
      <protection locked="0"/>
    </xf>
    <xf numFmtId="0" fontId="0" fillId="0" borderId="389" xfId="0" applyBorder="1" applyAlignment="1" applyProtection="1">
      <alignment wrapText="1"/>
      <protection locked="0"/>
    </xf>
    <xf numFmtId="44" fontId="0" fillId="0" borderId="454" xfId="0" applyNumberFormat="1" applyBorder="1" applyProtection="1">
      <protection locked="0"/>
    </xf>
    <xf numFmtId="8" fontId="0" fillId="0" borderId="414" xfId="0" applyNumberFormat="1" applyBorder="1" applyProtection="1">
      <protection locked="0"/>
    </xf>
    <xf numFmtId="8" fontId="0" fillId="0" borderId="454" xfId="0" applyNumberFormat="1" applyBorder="1" applyProtection="1">
      <protection locked="0"/>
    </xf>
    <xf numFmtId="165" fontId="0" fillId="0" borderId="454" xfId="0" applyNumberFormat="1" applyBorder="1" applyProtection="1">
      <protection locked="0"/>
    </xf>
    <xf numFmtId="44" fontId="30" fillId="0" borderId="454" xfId="2" applyFont="1" applyFill="1" applyBorder="1" applyAlignment="1">
      <alignment horizontal="center" vertical="center"/>
    </xf>
    <xf numFmtId="0" fontId="0" fillId="0" borderId="467" xfId="0" applyBorder="1"/>
    <xf numFmtId="0" fontId="0" fillId="0" borderId="468" xfId="0" applyBorder="1" applyAlignment="1">
      <alignment wrapText="1"/>
    </xf>
    <xf numFmtId="0" fontId="0" fillId="0" borderId="468" xfId="0" applyBorder="1" applyProtection="1">
      <protection locked="0"/>
    </xf>
    <xf numFmtId="0" fontId="0" fillId="0" borderId="469" xfId="0" applyBorder="1" applyProtection="1">
      <protection locked="0"/>
    </xf>
    <xf numFmtId="0" fontId="0" fillId="0" borderId="466" xfId="0" applyBorder="1" applyProtection="1">
      <protection locked="0"/>
    </xf>
    <xf numFmtId="0" fontId="0" fillId="0" borderId="454" xfId="0" applyBorder="1" applyAlignment="1" applyProtection="1">
      <alignment horizontal="center"/>
      <protection locked="0"/>
    </xf>
    <xf numFmtId="0" fontId="4" fillId="0" borderId="470" xfId="0" applyFont="1" applyBorder="1" applyAlignment="1" applyProtection="1">
      <alignment horizontal="right"/>
      <protection locked="0"/>
    </xf>
    <xf numFmtId="0" fontId="4" fillId="0" borderId="454" xfId="0" applyFont="1" applyBorder="1" applyAlignment="1" applyProtection="1">
      <alignment horizontal="right"/>
      <protection locked="0"/>
    </xf>
    <xf numFmtId="169" fontId="0" fillId="0" borderId="454" xfId="0" applyNumberFormat="1" applyBorder="1" applyAlignment="1" applyProtection="1">
      <alignment horizontal="center"/>
      <protection locked="0"/>
    </xf>
    <xf numFmtId="169" fontId="5" fillId="0" borderId="454" xfId="4" applyNumberFormat="1" applyBorder="1" applyAlignment="1" applyProtection="1">
      <alignment horizontal="center" vertical="center"/>
      <protection locked="0"/>
    </xf>
    <xf numFmtId="0" fontId="4" fillId="0" borderId="467" xfId="0" applyFont="1" applyBorder="1" applyAlignment="1" applyProtection="1">
      <alignment horizontal="right"/>
      <protection locked="0"/>
    </xf>
    <xf numFmtId="5" fontId="0" fillId="0" borderId="466" xfId="2" applyNumberFormat="1" applyFont="1" applyBorder="1" applyAlignment="1" applyProtection="1">
      <alignment horizontal="center"/>
      <protection locked="0"/>
    </xf>
    <xf numFmtId="0" fontId="0" fillId="0" borderId="465" xfId="0" applyBorder="1" applyAlignment="1">
      <alignment horizontal="right"/>
    </xf>
    <xf numFmtId="0" fontId="0" fillId="0" borderId="389" xfId="0" applyBorder="1" applyAlignment="1">
      <alignment wrapText="1"/>
    </xf>
    <xf numFmtId="0" fontId="0" fillId="0" borderId="389" xfId="0" applyBorder="1" applyProtection="1">
      <protection locked="0"/>
    </xf>
    <xf numFmtId="0" fontId="0" fillId="0" borderId="389" xfId="0" applyBorder="1" applyAlignment="1">
      <alignment horizontal="left" wrapText="1"/>
    </xf>
    <xf numFmtId="14" fontId="0" fillId="0" borderId="389" xfId="0" applyNumberFormat="1" applyBorder="1" applyAlignment="1">
      <alignment horizontal="left" wrapText="1"/>
    </xf>
    <xf numFmtId="0" fontId="0" fillId="0" borderId="465" xfId="0" applyBorder="1"/>
    <xf numFmtId="5" fontId="0" fillId="0" borderId="454" xfId="2" applyNumberFormat="1" applyFont="1" applyBorder="1" applyProtection="1">
      <protection locked="0"/>
    </xf>
    <xf numFmtId="0" fontId="6" fillId="0" borderId="389" xfId="0" applyFont="1" applyBorder="1" applyProtection="1">
      <protection locked="0"/>
    </xf>
    <xf numFmtId="44" fontId="30" fillId="0" borderId="454" xfId="2" applyFont="1" applyBorder="1" applyAlignment="1">
      <alignment horizontal="center" vertical="center"/>
    </xf>
    <xf numFmtId="0" fontId="4" fillId="3" borderId="389" xfId="0" applyFont="1" applyFill="1" applyBorder="1" applyAlignment="1">
      <alignment horizontal="center" wrapText="1"/>
    </xf>
    <xf numFmtId="0" fontId="6" fillId="22" borderId="389" xfId="0" applyFont="1" applyFill="1" applyBorder="1" applyProtection="1">
      <protection locked="0"/>
    </xf>
    <xf numFmtId="0" fontId="0" fillId="22" borderId="389" xfId="0" applyFill="1" applyBorder="1" applyProtection="1">
      <protection locked="0"/>
    </xf>
    <xf numFmtId="165" fontId="0" fillId="22" borderId="389" xfId="0" applyNumberFormat="1" applyFill="1" applyBorder="1" applyProtection="1">
      <protection locked="0"/>
    </xf>
    <xf numFmtId="165" fontId="0" fillId="22" borderId="426" xfId="0" applyNumberFormat="1" applyFill="1" applyBorder="1" applyProtection="1">
      <protection locked="0"/>
    </xf>
    <xf numFmtId="0" fontId="6" fillId="22" borderId="473" xfId="0" applyFont="1" applyFill="1" applyBorder="1" applyProtection="1">
      <protection locked="0"/>
    </xf>
    <xf numFmtId="165" fontId="0" fillId="22" borderId="474" xfId="0" applyNumberFormat="1" applyFill="1" applyBorder="1" applyProtection="1">
      <protection locked="0"/>
    </xf>
    <xf numFmtId="165" fontId="0" fillId="0" borderId="426" xfId="0" applyNumberFormat="1" applyBorder="1" applyProtection="1">
      <protection locked="0"/>
    </xf>
    <xf numFmtId="0" fontId="30" fillId="9" borderId="284" xfId="0" applyFont="1" applyFill="1" applyBorder="1" applyAlignment="1">
      <alignment horizontal="left" vertical="center" wrapText="1"/>
    </xf>
    <xf numFmtId="0" fontId="31" fillId="0" borderId="456" xfId="0" applyFont="1" applyBorder="1" applyAlignment="1">
      <alignment horizontal="left" vertical="center" wrapText="1"/>
    </xf>
    <xf numFmtId="0" fontId="93" fillId="0" borderId="456" xfId="0" applyFont="1" applyBorder="1" applyAlignment="1">
      <alignment horizontal="left" vertical="center" wrapText="1"/>
    </xf>
    <xf numFmtId="0" fontId="0" fillId="0" borderId="475" xfId="0" applyBorder="1" applyAlignment="1">
      <alignment vertical="top"/>
    </xf>
    <xf numFmtId="0" fontId="0" fillId="0" borderId="171" xfId="0" applyBorder="1" applyProtection="1">
      <protection locked="0"/>
    </xf>
    <xf numFmtId="3" fontId="0" fillId="0" borderId="476" xfId="0" applyNumberFormat="1" applyBorder="1" applyProtection="1">
      <protection locked="0"/>
    </xf>
    <xf numFmtId="0" fontId="93" fillId="7" borderId="456" xfId="0" applyFont="1" applyFill="1" applyBorder="1" applyAlignment="1">
      <alignment horizontal="left" vertical="center" wrapText="1"/>
    </xf>
    <xf numFmtId="0" fontId="30" fillId="0" borderId="456" xfId="0" applyFont="1" applyBorder="1" applyAlignment="1">
      <alignment horizontal="left" vertical="center" wrapText="1"/>
    </xf>
    <xf numFmtId="0" fontId="30" fillId="7" borderId="456" xfId="0" applyFont="1" applyFill="1" applyBorder="1" applyAlignment="1">
      <alignment horizontal="left" vertical="center" wrapText="1"/>
    </xf>
    <xf numFmtId="0" fontId="31" fillId="9" borderId="477" xfId="0" applyFont="1" applyFill="1" applyBorder="1" applyAlignment="1">
      <alignment horizontal="left" vertical="center" wrapText="1"/>
    </xf>
    <xf numFmtId="0" fontId="30" fillId="9" borderId="478" xfId="0" applyFont="1" applyFill="1" applyBorder="1" applyAlignment="1">
      <alignment horizontal="left" vertical="center" wrapText="1"/>
    </xf>
    <xf numFmtId="0" fontId="0" fillId="0" borderId="479" xfId="0" applyBorder="1" applyProtection="1">
      <protection locked="0"/>
    </xf>
    <xf numFmtId="0" fontId="0" fillId="0" borderId="480" xfId="0" applyBorder="1" applyProtection="1">
      <protection locked="0"/>
    </xf>
    <xf numFmtId="165" fontId="0" fillId="0" borderId="480" xfId="0" applyNumberFormat="1" applyBorder="1" applyProtection="1">
      <protection locked="0"/>
    </xf>
    <xf numFmtId="165" fontId="0" fillId="0" borderId="479" xfId="0" applyNumberFormat="1" applyBorder="1" applyProtection="1">
      <protection locked="0"/>
    </xf>
    <xf numFmtId="44" fontId="30" fillId="0" borderId="481" xfId="2" applyFont="1" applyBorder="1" applyAlignment="1">
      <alignment horizontal="center" vertical="center"/>
    </xf>
    <xf numFmtId="0" fontId="31" fillId="9" borderId="457" xfId="0" applyFont="1" applyFill="1" applyBorder="1" applyAlignment="1">
      <alignment horizontal="left" wrapText="1"/>
    </xf>
    <xf numFmtId="0" fontId="6" fillId="0" borderId="480" xfId="0" applyFont="1" applyBorder="1" applyProtection="1">
      <protection locked="0"/>
    </xf>
    <xf numFmtId="0" fontId="31" fillId="0" borderId="456" xfId="0" applyFont="1" applyBorder="1"/>
    <xf numFmtId="44" fontId="30" fillId="7" borderId="481" xfId="2" applyFont="1" applyFill="1" applyBorder="1" applyAlignment="1">
      <alignment horizontal="center" vertical="center"/>
    </xf>
    <xf numFmtId="0" fontId="30" fillId="9" borderId="482" xfId="0" applyFont="1" applyFill="1" applyBorder="1" applyAlignment="1">
      <alignment horizontal="left" vertical="center" wrapText="1"/>
    </xf>
    <xf numFmtId="6" fontId="0" fillId="0" borderId="476" xfId="0" applyNumberFormat="1" applyBorder="1" applyAlignment="1" applyProtection="1">
      <alignment horizontal="left"/>
      <protection locked="0"/>
    </xf>
    <xf numFmtId="0" fontId="0" fillId="6" borderId="483" xfId="0" applyFill="1" applyBorder="1" applyAlignment="1">
      <alignment wrapText="1"/>
    </xf>
    <xf numFmtId="0" fontId="0" fillId="6" borderId="483" xfId="0" applyFill="1" applyBorder="1" applyProtection="1">
      <protection locked="0"/>
    </xf>
    <xf numFmtId="0" fontId="0" fillId="6" borderId="483" xfId="0" applyFill="1" applyBorder="1" applyAlignment="1" applyProtection="1">
      <alignment vertical="center"/>
      <protection locked="0"/>
    </xf>
    <xf numFmtId="0" fontId="0" fillId="6" borderId="483" xfId="0" applyFill="1" applyBorder="1" applyAlignment="1" applyProtection="1">
      <alignment horizontal="right" vertical="center"/>
      <protection locked="0"/>
    </xf>
    <xf numFmtId="170" fontId="0" fillId="6" borderId="454" xfId="3" applyNumberFormat="1" applyFont="1" applyFill="1" applyBorder="1" applyAlignment="1" applyProtection="1">
      <alignment horizontal="left"/>
      <protection locked="0"/>
    </xf>
    <xf numFmtId="9" fontId="65" fillId="25" borderId="454" xfId="3" applyFont="1" applyFill="1" applyBorder="1" applyProtection="1">
      <protection locked="0"/>
    </xf>
    <xf numFmtId="9" fontId="0" fillId="25" borderId="454" xfId="3" applyFont="1" applyFill="1" applyBorder="1" applyProtection="1">
      <protection locked="0"/>
    </xf>
    <xf numFmtId="170" fontId="0" fillId="6" borderId="454" xfId="2" applyNumberFormat="1" applyFont="1" applyFill="1" applyBorder="1" applyAlignment="1" applyProtection="1">
      <alignment horizontal="left"/>
      <protection locked="0"/>
    </xf>
    <xf numFmtId="170" fontId="0" fillId="6" borderId="454" xfId="0" applyNumberFormat="1" applyFill="1" applyBorder="1" applyAlignment="1" applyProtection="1">
      <alignment horizontal="left"/>
      <protection locked="0"/>
    </xf>
    <xf numFmtId="0" fontId="11" fillId="6" borderId="483" xfId="0" applyFont="1" applyFill="1" applyBorder="1" applyAlignment="1" applyProtection="1">
      <alignment horizontal="right" vertical="center"/>
      <protection locked="0"/>
    </xf>
    <xf numFmtId="0" fontId="0" fillId="0" borderId="308" xfId="0" applyBorder="1"/>
    <xf numFmtId="165" fontId="0" fillId="0" borderId="473" xfId="0" applyNumberFormat="1" applyBorder="1" applyProtection="1">
      <protection locked="0"/>
    </xf>
    <xf numFmtId="0" fontId="0" fillId="0" borderId="483" xfId="0" applyBorder="1" applyAlignment="1" applyProtection="1">
      <alignment wrapText="1"/>
      <protection locked="0"/>
    </xf>
    <xf numFmtId="42" fontId="0" fillId="0" borderId="454" xfId="0" applyNumberFormat="1" applyBorder="1" applyProtection="1">
      <protection locked="0"/>
    </xf>
    <xf numFmtId="0" fontId="0" fillId="0" borderId="308" xfId="0" applyBorder="1" applyProtection="1">
      <protection locked="0"/>
    </xf>
    <xf numFmtId="8" fontId="0" fillId="0" borderId="473" xfId="0" applyNumberFormat="1" applyBorder="1" applyProtection="1">
      <protection locked="0"/>
    </xf>
    <xf numFmtId="0" fontId="0" fillId="0" borderId="452" xfId="0" applyBorder="1" applyAlignment="1">
      <alignment wrapText="1"/>
    </xf>
    <xf numFmtId="0" fontId="0" fillId="0" borderId="473" xfId="0" applyBorder="1" applyProtection="1">
      <protection locked="0"/>
    </xf>
    <xf numFmtId="0" fontId="0" fillId="0" borderId="454" xfId="0" applyBorder="1" applyProtection="1">
      <protection locked="0"/>
    </xf>
    <xf numFmtId="0" fontId="5" fillId="0" borderId="454" xfId="4" applyBorder="1" applyAlignment="1" applyProtection="1">
      <alignment horizontal="center" vertical="center"/>
      <protection locked="0"/>
    </xf>
    <xf numFmtId="0" fontId="0" fillId="0" borderId="483" xfId="0" applyBorder="1" applyAlignment="1">
      <alignment wrapText="1"/>
    </xf>
    <xf numFmtId="0" fontId="0" fillId="0" borderId="483" xfId="0" applyBorder="1" applyProtection="1">
      <protection locked="0"/>
    </xf>
    <xf numFmtId="0" fontId="0" fillId="0" borderId="483" xfId="0" applyBorder="1" applyAlignment="1">
      <alignment horizontal="left" wrapText="1"/>
    </xf>
    <xf numFmtId="14" fontId="0" fillId="0" borderId="483" xfId="0" applyNumberFormat="1" applyBorder="1" applyAlignment="1">
      <alignment horizontal="left" wrapText="1"/>
    </xf>
    <xf numFmtId="0" fontId="4" fillId="0" borderId="452" xfId="0" applyFont="1" applyBorder="1" applyAlignment="1">
      <alignment wrapText="1"/>
    </xf>
    <xf numFmtId="0" fontId="6" fillId="0" borderId="483" xfId="0" applyFont="1" applyBorder="1" applyProtection="1">
      <protection locked="0"/>
    </xf>
    <xf numFmtId="0" fontId="4" fillId="3" borderId="483" xfId="0" applyFont="1" applyFill="1" applyBorder="1" applyAlignment="1">
      <alignment horizontal="center" wrapText="1"/>
    </xf>
    <xf numFmtId="3" fontId="0" fillId="0" borderId="476" xfId="0" applyNumberFormat="1" applyBorder="1" applyAlignment="1" applyProtection="1">
      <alignment horizontal="left"/>
      <protection locked="0"/>
    </xf>
    <xf numFmtId="0" fontId="0" fillId="0" borderId="476" xfId="0" applyBorder="1" applyProtection="1">
      <protection locked="0"/>
    </xf>
    <xf numFmtId="0" fontId="30" fillId="0" borderId="477" xfId="0" applyFont="1" applyBorder="1" applyAlignment="1">
      <alignment vertical="center"/>
    </xf>
    <xf numFmtId="0" fontId="30" fillId="0" borderId="477" xfId="0" quotePrefix="1" applyFont="1" applyBorder="1"/>
    <xf numFmtId="0" fontId="30" fillId="19" borderId="477" xfId="0" applyFont="1" applyFill="1" applyBorder="1" applyAlignment="1">
      <alignment horizontal="center"/>
    </xf>
    <xf numFmtId="0" fontId="30" fillId="22" borderId="477" xfId="0" applyFont="1" applyFill="1" applyBorder="1" applyAlignment="1">
      <alignment horizontal="left"/>
    </xf>
    <xf numFmtId="0" fontId="6" fillId="22" borderId="483" xfId="0" applyFont="1" applyFill="1" applyBorder="1" applyProtection="1">
      <protection locked="0"/>
    </xf>
    <xf numFmtId="0" fontId="0" fillId="22" borderId="483" xfId="0" applyFill="1" applyBorder="1" applyProtection="1">
      <protection locked="0"/>
    </xf>
    <xf numFmtId="165" fontId="0" fillId="22" borderId="483" xfId="0" applyNumberFormat="1" applyFill="1" applyBorder="1" applyProtection="1">
      <protection locked="0"/>
    </xf>
    <xf numFmtId="0" fontId="6" fillId="22" borderId="481" xfId="0" applyFont="1" applyFill="1" applyBorder="1" applyProtection="1">
      <protection locked="0"/>
    </xf>
    <xf numFmtId="165" fontId="0" fillId="22" borderId="484" xfId="0" applyNumberFormat="1" applyFill="1" applyBorder="1" applyProtection="1">
      <protection locked="0"/>
    </xf>
    <xf numFmtId="0" fontId="0" fillId="22" borderId="485" xfId="0" applyFill="1" applyBorder="1" applyProtection="1">
      <protection locked="0"/>
    </xf>
    <xf numFmtId="0" fontId="31" fillId="9" borderId="486" xfId="0" applyFont="1" applyFill="1" applyBorder="1" applyAlignment="1">
      <alignment horizontal="left" vertical="center" wrapText="1"/>
    </xf>
    <xf numFmtId="165" fontId="0" fillId="0" borderId="483" xfId="0" applyNumberFormat="1" applyBorder="1" applyProtection="1">
      <protection locked="0"/>
    </xf>
    <xf numFmtId="0" fontId="30" fillId="9" borderId="477" xfId="0" applyFont="1" applyFill="1" applyBorder="1" applyAlignment="1">
      <alignment horizontal="left" vertical="center" wrapText="1"/>
    </xf>
    <xf numFmtId="0" fontId="0" fillId="0" borderId="487" xfId="0" applyBorder="1" applyAlignment="1">
      <alignment vertical="top"/>
    </xf>
    <xf numFmtId="0" fontId="74" fillId="0" borderId="488" xfId="0" applyFont="1" applyBorder="1" applyAlignment="1">
      <alignment horizontal="left" vertical="center" wrapText="1"/>
    </xf>
    <xf numFmtId="0" fontId="60" fillId="0" borderId="488" xfId="0" applyFont="1" applyBorder="1" applyAlignment="1">
      <alignment horizontal="left" vertical="center" wrapText="1"/>
    </xf>
    <xf numFmtId="0" fontId="30" fillId="9" borderId="486" xfId="0" applyFont="1" applyFill="1" applyBorder="1" applyAlignment="1">
      <alignment horizontal="left" vertical="center" wrapText="1"/>
    </xf>
    <xf numFmtId="0" fontId="0" fillId="0" borderId="489" xfId="0" applyBorder="1"/>
    <xf numFmtId="0" fontId="0" fillId="0" borderId="490" xfId="0" applyBorder="1" applyProtection="1">
      <protection locked="0"/>
    </xf>
    <xf numFmtId="0" fontId="0" fillId="0" borderId="491" xfId="0" applyBorder="1" applyProtection="1">
      <protection locked="0"/>
    </xf>
    <xf numFmtId="165" fontId="0" fillId="0" borderId="492" xfId="0" applyNumberFormat="1" applyBorder="1" applyProtection="1">
      <protection locked="0"/>
    </xf>
    <xf numFmtId="0" fontId="0" fillId="0" borderId="489" xfId="0" applyBorder="1" applyProtection="1">
      <protection locked="0"/>
    </xf>
    <xf numFmtId="0" fontId="0" fillId="0" borderId="490" xfId="0" applyBorder="1" applyAlignment="1" applyProtection="1">
      <alignment wrapText="1"/>
      <protection locked="0"/>
    </xf>
    <xf numFmtId="0" fontId="0" fillId="0" borderId="490" xfId="0" applyBorder="1" applyAlignment="1">
      <alignment wrapText="1"/>
    </xf>
    <xf numFmtId="0" fontId="0" fillId="0" borderId="492" xfId="0" applyBorder="1" applyProtection="1">
      <protection locked="0"/>
    </xf>
    <xf numFmtId="0" fontId="0" fillId="0" borderId="493" xfId="0" applyBorder="1" applyAlignment="1" applyProtection="1">
      <alignment horizontal="right"/>
      <protection locked="0"/>
    </xf>
    <xf numFmtId="0" fontId="0" fillId="0" borderId="497" xfId="0" applyBorder="1" applyAlignment="1">
      <alignment horizontal="left" wrapText="1"/>
    </xf>
    <xf numFmtId="14" fontId="0" fillId="0" borderId="497" xfId="0" applyNumberFormat="1" applyBorder="1" applyAlignment="1">
      <alignment horizontal="left" wrapText="1"/>
    </xf>
    <xf numFmtId="0" fontId="4" fillId="0" borderId="490" xfId="0" applyFont="1" applyBorder="1" applyAlignment="1">
      <alignment wrapText="1"/>
    </xf>
    <xf numFmtId="0" fontId="0" fillId="0" borderId="493" xfId="0" applyBorder="1" applyProtection="1">
      <protection locked="0"/>
    </xf>
    <xf numFmtId="5" fontId="0" fillId="0" borderId="501" xfId="2" applyNumberFormat="1" applyFont="1" applyBorder="1" applyProtection="1">
      <protection locked="0"/>
    </xf>
    <xf numFmtId="5" fontId="0" fillId="0" borderId="495" xfId="2" applyNumberFormat="1" applyFont="1" applyBorder="1" applyProtection="1">
      <protection locked="0"/>
    </xf>
    <xf numFmtId="0" fontId="6" fillId="0" borderId="497" xfId="0" applyFont="1" applyBorder="1" applyProtection="1">
      <protection locked="0"/>
    </xf>
    <xf numFmtId="44" fontId="30" fillId="0" borderId="501" xfId="2" applyFont="1" applyBorder="1" applyAlignment="1">
      <alignment horizontal="center" vertical="center"/>
    </xf>
    <xf numFmtId="0" fontId="4" fillId="3" borderId="497" xfId="0" applyFont="1" applyFill="1" applyBorder="1" applyAlignment="1">
      <alignment horizontal="center" wrapText="1"/>
    </xf>
    <xf numFmtId="0" fontId="0" fillId="0" borderId="489" xfId="0" applyBorder="1" applyAlignment="1">
      <alignment vertical="top"/>
    </xf>
    <xf numFmtId="0" fontId="0" fillId="0" borderId="502" xfId="0" applyBorder="1" applyProtection="1">
      <protection locked="0"/>
    </xf>
    <xf numFmtId="0" fontId="30" fillId="0" borderId="503" xfId="0" applyFont="1" applyBorder="1" applyAlignment="1">
      <alignment vertical="center"/>
    </xf>
    <xf numFmtId="3" fontId="0" fillId="0" borderId="502" xfId="0" applyNumberFormat="1" applyBorder="1" applyAlignment="1" applyProtection="1">
      <alignment horizontal="left"/>
      <protection locked="0"/>
    </xf>
    <xf numFmtId="0" fontId="6" fillId="0" borderId="493" xfId="0" applyFont="1" applyBorder="1" applyProtection="1">
      <protection locked="0"/>
    </xf>
    <xf numFmtId="0" fontId="30" fillId="0" borderId="503" xfId="0" quotePrefix="1" applyFont="1" applyBorder="1"/>
    <xf numFmtId="44" fontId="0" fillId="0" borderId="504" xfId="2" applyFont="1" applyBorder="1" applyAlignment="1">
      <alignment vertical="top"/>
    </xf>
    <xf numFmtId="44" fontId="0" fillId="0" borderId="493" xfId="2" applyFont="1" applyBorder="1" applyProtection="1">
      <protection locked="0"/>
    </xf>
    <xf numFmtId="44" fontId="0" fillId="0" borderId="497" xfId="2" applyFont="1" applyBorder="1" applyProtection="1">
      <protection locked="0"/>
    </xf>
    <xf numFmtId="44" fontId="0" fillId="0" borderId="505" xfId="2" applyFont="1" applyBorder="1" applyProtection="1">
      <protection locked="0"/>
    </xf>
    <xf numFmtId="0" fontId="30" fillId="19" borderId="506" xfId="0" applyFont="1" applyFill="1" applyBorder="1" applyAlignment="1">
      <alignment horizontal="center"/>
    </xf>
    <xf numFmtId="0" fontId="30" fillId="22" borderId="506" xfId="0" applyFont="1" applyFill="1" applyBorder="1" applyAlignment="1">
      <alignment horizontal="left"/>
    </xf>
    <xf numFmtId="44" fontId="0" fillId="22" borderId="493" xfId="2" applyFont="1" applyFill="1" applyBorder="1" applyProtection="1">
      <protection locked="0"/>
    </xf>
    <xf numFmtId="44" fontId="0" fillId="22" borderId="497" xfId="2" applyFont="1" applyFill="1" applyBorder="1" applyProtection="1">
      <protection locked="0"/>
    </xf>
    <xf numFmtId="165" fontId="0" fillId="22" borderId="497" xfId="2" applyNumberFormat="1" applyFont="1" applyFill="1" applyBorder="1" applyProtection="1">
      <protection locked="0"/>
    </xf>
    <xf numFmtId="165" fontId="0" fillId="22" borderId="493" xfId="2" applyNumberFormat="1" applyFont="1" applyFill="1" applyBorder="1" applyProtection="1">
      <protection locked="0"/>
    </xf>
    <xf numFmtId="0" fontId="6" fillId="22" borderId="501" xfId="0" applyFont="1" applyFill="1" applyBorder="1" applyProtection="1">
      <protection locked="0"/>
    </xf>
    <xf numFmtId="3" fontId="0" fillId="22" borderId="505" xfId="0" applyNumberFormat="1" applyFill="1" applyBorder="1" applyAlignment="1" applyProtection="1">
      <alignment horizontal="left"/>
      <protection locked="0"/>
    </xf>
    <xf numFmtId="44" fontId="6" fillId="22" borderId="495" xfId="2" applyFont="1" applyFill="1" applyBorder="1" applyProtection="1">
      <protection locked="0"/>
    </xf>
    <xf numFmtId="44" fontId="0" fillId="22" borderId="505" xfId="2" applyFont="1" applyFill="1" applyBorder="1" applyProtection="1">
      <protection locked="0"/>
    </xf>
    <xf numFmtId="44" fontId="6" fillId="22" borderId="501" xfId="2" applyFont="1" applyFill="1" applyBorder="1" applyProtection="1">
      <protection locked="0"/>
    </xf>
    <xf numFmtId="44" fontId="0" fillId="0" borderId="489" xfId="2" applyFont="1" applyFill="1" applyBorder="1" applyAlignment="1">
      <alignment vertical="top"/>
    </xf>
    <xf numFmtId="0" fontId="30" fillId="0" borderId="477" xfId="0" applyFont="1" applyBorder="1" applyAlignment="1">
      <alignment horizontal="left"/>
    </xf>
    <xf numFmtId="44" fontId="0" fillId="0" borderId="493" xfId="2" applyFont="1" applyFill="1" applyBorder="1" applyProtection="1">
      <protection locked="0"/>
    </xf>
    <xf numFmtId="44" fontId="0" fillId="0" borderId="497" xfId="2" applyFont="1" applyFill="1" applyBorder="1" applyProtection="1">
      <protection locked="0"/>
    </xf>
    <xf numFmtId="165" fontId="0" fillId="0" borderId="497" xfId="2" applyNumberFormat="1" applyFont="1" applyFill="1" applyBorder="1" applyProtection="1">
      <protection locked="0"/>
    </xf>
    <xf numFmtId="165" fontId="0" fillId="0" borderId="493" xfId="2" applyNumberFormat="1" applyFont="1" applyFill="1" applyBorder="1" applyProtection="1">
      <protection locked="0"/>
    </xf>
    <xf numFmtId="44" fontId="0" fillId="0" borderId="476" xfId="2" applyFont="1" applyFill="1" applyBorder="1" applyProtection="1">
      <protection locked="0"/>
    </xf>
    <xf numFmtId="165" fontId="0" fillId="0" borderId="497" xfId="0" applyNumberFormat="1" applyBorder="1" applyProtection="1">
      <protection locked="0"/>
    </xf>
    <xf numFmtId="165" fontId="0" fillId="0" borderId="493" xfId="0" applyNumberFormat="1" applyBorder="1" applyProtection="1">
      <protection locked="0"/>
    </xf>
    <xf numFmtId="0" fontId="31" fillId="0" borderId="507" xfId="0" applyFont="1" applyBorder="1" applyAlignment="1">
      <alignment vertical="top"/>
    </xf>
    <xf numFmtId="0" fontId="30" fillId="0" borderId="507" xfId="0" applyFont="1" applyBorder="1" applyAlignment="1">
      <alignment vertical="top"/>
    </xf>
    <xf numFmtId="44" fontId="0" fillId="0" borderId="496" xfId="2" applyFont="1" applyBorder="1" applyProtection="1">
      <protection locked="0"/>
    </xf>
    <xf numFmtId="42" fontId="0" fillId="0" borderId="476" xfId="0" applyNumberFormat="1" applyBorder="1" applyAlignment="1" applyProtection="1">
      <alignment horizontal="left"/>
      <protection locked="0"/>
    </xf>
    <xf numFmtId="44" fontId="0" fillId="0" borderId="496" xfId="2" applyFont="1" applyBorder="1" applyAlignment="1" applyProtection="1">
      <alignment wrapText="1"/>
      <protection locked="0"/>
    </xf>
    <xf numFmtId="0" fontId="0" fillId="6" borderId="508" xfId="0" applyFill="1" applyBorder="1"/>
    <xf numFmtId="0" fontId="0" fillId="6" borderId="497" xfId="0" applyFill="1" applyBorder="1" applyAlignment="1">
      <alignment wrapText="1"/>
    </xf>
    <xf numFmtId="0" fontId="0" fillId="6" borderId="497" xfId="0" applyFill="1" applyBorder="1" applyProtection="1">
      <protection locked="0"/>
    </xf>
    <xf numFmtId="0" fontId="0" fillId="6" borderId="497" xfId="0" applyFill="1" applyBorder="1" applyAlignment="1" applyProtection="1">
      <alignment vertical="center"/>
      <protection locked="0"/>
    </xf>
    <xf numFmtId="0" fontId="0" fillId="6" borderId="497" xfId="0" applyFill="1" applyBorder="1" applyAlignment="1" applyProtection="1">
      <alignment horizontal="right" vertical="center"/>
      <protection locked="0"/>
    </xf>
    <xf numFmtId="0" fontId="0" fillId="6" borderId="493" xfId="0" applyFill="1" applyBorder="1" applyAlignment="1" applyProtection="1">
      <alignment horizontal="right"/>
      <protection locked="0"/>
    </xf>
    <xf numFmtId="9" fontId="0" fillId="6" borderId="501" xfId="3" applyFont="1" applyFill="1" applyBorder="1" applyProtection="1">
      <protection locked="0"/>
    </xf>
    <xf numFmtId="9" fontId="0" fillId="6" borderId="501" xfId="3" applyFont="1" applyFill="1" applyBorder="1" applyAlignment="1" applyProtection="1">
      <alignment horizontal="left"/>
      <protection locked="0"/>
    </xf>
    <xf numFmtId="9" fontId="0" fillId="6" borderId="495" xfId="3" applyFont="1" applyFill="1" applyBorder="1" applyProtection="1">
      <protection locked="0"/>
    </xf>
    <xf numFmtId="44" fontId="0" fillId="6" borderId="501" xfId="2" applyFont="1" applyFill="1" applyBorder="1" applyProtection="1">
      <protection locked="0"/>
    </xf>
    <xf numFmtId="5" fontId="0" fillId="6" borderId="501" xfId="2" applyNumberFormat="1" applyFont="1" applyFill="1" applyBorder="1" applyAlignment="1" applyProtection="1">
      <alignment horizontal="left"/>
      <protection locked="0"/>
    </xf>
    <xf numFmtId="44" fontId="0" fillId="6" borderId="495" xfId="2" applyFont="1" applyFill="1" applyBorder="1" applyProtection="1">
      <protection locked="0"/>
    </xf>
    <xf numFmtId="44" fontId="0" fillId="6" borderId="501" xfId="2" applyFont="1" applyFill="1" applyBorder="1" applyAlignment="1" applyProtection="1">
      <alignment horizontal="left"/>
      <protection locked="0"/>
    </xf>
    <xf numFmtId="44" fontId="0" fillId="6" borderId="501" xfId="0" applyNumberFormat="1" applyFill="1" applyBorder="1" applyProtection="1">
      <protection locked="0"/>
    </xf>
    <xf numFmtId="5" fontId="0" fillId="6" borderId="501" xfId="0" applyNumberFormat="1" applyFill="1" applyBorder="1" applyAlignment="1" applyProtection="1">
      <alignment horizontal="left"/>
      <protection locked="0"/>
    </xf>
    <xf numFmtId="44" fontId="0" fillId="6" borderId="495" xfId="0" applyNumberFormat="1" applyFill="1" applyBorder="1" applyProtection="1">
      <protection locked="0"/>
    </xf>
    <xf numFmtId="0" fontId="11" fillId="6" borderId="497" xfId="0" applyFont="1" applyFill="1" applyBorder="1" applyAlignment="1" applyProtection="1">
      <alignment horizontal="right" vertical="center"/>
      <protection locked="0"/>
    </xf>
    <xf numFmtId="164" fontId="11" fillId="6" borderId="493" xfId="1" applyNumberFormat="1" applyFont="1" applyFill="1" applyBorder="1" applyAlignment="1" applyProtection="1">
      <alignment horizontal="right"/>
      <protection locked="0"/>
    </xf>
    <xf numFmtId="165" fontId="12" fillId="6" borderId="501" xfId="0" applyNumberFormat="1" applyFont="1" applyFill="1" applyBorder="1" applyAlignment="1" applyProtection="1">
      <alignment horizontal="center"/>
      <protection locked="0"/>
    </xf>
    <xf numFmtId="165" fontId="12" fillId="6" borderId="501" xfId="0" applyNumberFormat="1" applyFont="1" applyFill="1" applyBorder="1" applyAlignment="1" applyProtection="1">
      <alignment horizontal="left"/>
      <protection locked="0"/>
    </xf>
    <xf numFmtId="165" fontId="12" fillId="6" borderId="495" xfId="0" applyNumberFormat="1" applyFont="1" applyFill="1" applyBorder="1" applyAlignment="1" applyProtection="1">
      <alignment horizontal="center"/>
      <protection locked="0"/>
    </xf>
    <xf numFmtId="0" fontId="11" fillId="6" borderId="493" xfId="0" applyFont="1" applyFill="1" applyBorder="1" applyAlignment="1" applyProtection="1">
      <alignment horizontal="right"/>
      <protection locked="0"/>
    </xf>
    <xf numFmtId="10" fontId="0" fillId="6" borderId="493" xfId="0" applyNumberFormat="1" applyFill="1" applyBorder="1" applyAlignment="1" applyProtection="1">
      <alignment horizontal="right"/>
      <protection locked="0"/>
    </xf>
    <xf numFmtId="7" fontId="0" fillId="6" borderId="501" xfId="0" applyNumberFormat="1" applyFill="1" applyBorder="1" applyAlignment="1" applyProtection="1">
      <alignment horizontal="center"/>
      <protection locked="0"/>
    </xf>
    <xf numFmtId="0" fontId="0" fillId="6" borderId="472" xfId="0" applyFill="1" applyBorder="1" applyAlignment="1" applyProtection="1">
      <alignment horizontal="center"/>
      <protection locked="0"/>
    </xf>
    <xf numFmtId="0" fontId="0" fillId="0" borderId="452" xfId="0" applyBorder="1" applyProtection="1">
      <protection locked="0"/>
    </xf>
    <xf numFmtId="0" fontId="0" fillId="0" borderId="509" xfId="0" applyBorder="1" applyProtection="1">
      <protection locked="0"/>
    </xf>
    <xf numFmtId="165" fontId="0" fillId="0" borderId="476" xfId="0" applyNumberFormat="1" applyBorder="1" applyProtection="1">
      <protection locked="0"/>
    </xf>
    <xf numFmtId="165" fontId="0" fillId="0" borderId="501" xfId="0" applyNumberFormat="1" applyBorder="1" applyAlignment="1" applyProtection="1">
      <alignment horizontal="right"/>
      <protection locked="0"/>
    </xf>
    <xf numFmtId="165" fontId="0" fillId="0" borderId="495" xfId="0" applyNumberFormat="1" applyBorder="1" applyAlignment="1" applyProtection="1">
      <alignment horizontal="right"/>
      <protection locked="0"/>
    </xf>
    <xf numFmtId="0" fontId="0" fillId="0" borderId="508" xfId="0" applyBorder="1" applyProtection="1">
      <protection locked="0"/>
    </xf>
    <xf numFmtId="0" fontId="0" fillId="0" borderId="497" xfId="0" applyBorder="1" applyAlignment="1" applyProtection="1">
      <alignment wrapText="1"/>
      <protection locked="0"/>
    </xf>
    <xf numFmtId="44" fontId="0" fillId="0" borderId="501" xfId="0" applyNumberFormat="1" applyBorder="1" applyProtection="1">
      <protection locked="0"/>
    </xf>
    <xf numFmtId="44" fontId="0" fillId="0" borderId="495" xfId="0" applyNumberFormat="1" applyBorder="1" applyProtection="1">
      <protection locked="0"/>
    </xf>
    <xf numFmtId="165" fontId="0" fillId="0" borderId="501" xfId="0" applyNumberFormat="1" applyBorder="1" applyProtection="1">
      <protection locked="0"/>
    </xf>
    <xf numFmtId="165" fontId="0" fillId="0" borderId="495" xfId="0" applyNumberFormat="1" applyBorder="1" applyProtection="1">
      <protection locked="0"/>
    </xf>
    <xf numFmtId="0" fontId="0" fillId="0" borderId="501" xfId="0" applyBorder="1" applyProtection="1">
      <protection locked="0"/>
    </xf>
    <xf numFmtId="0" fontId="0" fillId="0" borderId="495" xfId="0" applyBorder="1" applyProtection="1">
      <protection locked="0"/>
    </xf>
    <xf numFmtId="0" fontId="0" fillId="0" borderId="472" xfId="0" applyBorder="1" applyProtection="1">
      <protection locked="0"/>
    </xf>
    <xf numFmtId="0" fontId="0" fillId="0" borderId="501" xfId="0" applyBorder="1" applyAlignment="1" applyProtection="1">
      <alignment horizontal="center"/>
      <protection locked="0"/>
    </xf>
    <xf numFmtId="0" fontId="4" fillId="0" borderId="494" xfId="0" applyFont="1" applyBorder="1" applyAlignment="1" applyProtection="1">
      <alignment horizontal="right"/>
      <protection locked="0"/>
    </xf>
    <xf numFmtId="0" fontId="4" fillId="0" borderId="501" xfId="0" applyFont="1" applyBorder="1" applyAlignment="1" applyProtection="1">
      <alignment horizontal="right"/>
      <protection locked="0"/>
    </xf>
    <xf numFmtId="169" fontId="0" fillId="0" borderId="501" xfId="0" applyNumberFormat="1" applyBorder="1" applyAlignment="1" applyProtection="1">
      <alignment horizontal="center"/>
      <protection locked="0"/>
    </xf>
    <xf numFmtId="0" fontId="5" fillId="0" borderId="501" xfId="4" applyBorder="1" applyAlignment="1" applyProtection="1">
      <alignment horizontal="center" vertical="center"/>
      <protection locked="0"/>
    </xf>
    <xf numFmtId="0" fontId="0" fillId="0" borderId="508" xfId="0" applyBorder="1" applyAlignment="1">
      <alignment horizontal="right"/>
    </xf>
    <xf numFmtId="0" fontId="0" fillId="0" borderId="497" xfId="0" applyBorder="1" applyAlignment="1">
      <alignment wrapText="1"/>
    </xf>
    <xf numFmtId="0" fontId="0" fillId="0" borderId="497" xfId="0" applyBorder="1" applyProtection="1">
      <protection locked="0"/>
    </xf>
    <xf numFmtId="0" fontId="0" fillId="0" borderId="508" xfId="0" applyBorder="1"/>
    <xf numFmtId="44" fontId="0" fillId="0" borderId="489" xfId="2" applyFont="1" applyBorder="1" applyAlignment="1">
      <alignment vertical="top"/>
    </xf>
    <xf numFmtId="0" fontId="6" fillId="22" borderId="454" xfId="0" applyFont="1" applyFill="1" applyBorder="1" applyProtection="1">
      <protection locked="0"/>
    </xf>
    <xf numFmtId="44" fontId="6" fillId="22" borderId="454" xfId="2" applyFont="1" applyFill="1" applyBorder="1" applyProtection="1">
      <protection locked="0"/>
    </xf>
    <xf numFmtId="0" fontId="30" fillId="0" borderId="511" xfId="0" applyFont="1" applyBorder="1" applyAlignment="1">
      <alignment horizontal="left"/>
    </xf>
    <xf numFmtId="44" fontId="0" fillId="0" borderId="512" xfId="2" applyFont="1" applyFill="1" applyBorder="1" applyProtection="1">
      <protection locked="0"/>
    </xf>
    <xf numFmtId="0" fontId="30" fillId="9" borderId="511" xfId="0" applyFont="1" applyFill="1" applyBorder="1" applyAlignment="1">
      <alignment horizontal="left" vertical="center" wrapText="1"/>
    </xf>
    <xf numFmtId="0" fontId="0" fillId="0" borderId="513" xfId="0" applyBorder="1"/>
    <xf numFmtId="0" fontId="0" fillId="0" borderId="514" xfId="0" applyBorder="1" applyProtection="1">
      <protection locked="0"/>
    </xf>
    <xf numFmtId="0" fontId="0" fillId="0" borderId="515" xfId="0" applyBorder="1" applyProtection="1">
      <protection locked="0"/>
    </xf>
    <xf numFmtId="165" fontId="0" fillId="0" borderId="516" xfId="0" applyNumberFormat="1" applyBorder="1" applyProtection="1">
      <protection locked="0"/>
    </xf>
    <xf numFmtId="165" fontId="0" fillId="0" borderId="512" xfId="0" applyNumberFormat="1" applyBorder="1" applyProtection="1">
      <protection locked="0"/>
    </xf>
    <xf numFmtId="0" fontId="0" fillId="0" borderId="513" xfId="0" applyBorder="1" applyProtection="1">
      <protection locked="0"/>
    </xf>
    <xf numFmtId="0" fontId="0" fillId="0" borderId="514" xfId="0" applyBorder="1" applyAlignment="1" applyProtection="1">
      <alignment wrapText="1"/>
      <protection locked="0"/>
    </xf>
    <xf numFmtId="0" fontId="0" fillId="0" borderId="514" xfId="0" applyBorder="1" applyAlignment="1">
      <alignment wrapText="1"/>
    </xf>
    <xf numFmtId="0" fontId="0" fillId="0" borderId="516" xfId="0" applyBorder="1" applyProtection="1">
      <protection locked="0"/>
    </xf>
    <xf numFmtId="0" fontId="4" fillId="0" borderId="514" xfId="0" applyFont="1" applyBorder="1" applyAlignment="1">
      <alignment wrapText="1"/>
    </xf>
    <xf numFmtId="3" fontId="0" fillId="0" borderId="512" xfId="0" applyNumberFormat="1" applyBorder="1" applyAlignment="1" applyProtection="1">
      <alignment horizontal="left"/>
      <protection locked="0"/>
    </xf>
    <xf numFmtId="0" fontId="0" fillId="0" borderId="513" xfId="0" applyBorder="1" applyAlignment="1">
      <alignment vertical="top"/>
    </xf>
    <xf numFmtId="0" fontId="30" fillId="0" borderId="517" xfId="0" applyFont="1" applyBorder="1" applyAlignment="1">
      <alignment vertical="center"/>
    </xf>
    <xf numFmtId="3" fontId="0" fillId="0" borderId="518" xfId="0" applyNumberFormat="1" applyBorder="1" applyAlignment="1" applyProtection="1">
      <alignment horizontal="left"/>
      <protection locked="0"/>
    </xf>
    <xf numFmtId="0" fontId="0" fillId="0" borderId="518" xfId="0" applyBorder="1" applyProtection="1">
      <protection locked="0"/>
    </xf>
    <xf numFmtId="0" fontId="30" fillId="0" borderId="517" xfId="0" quotePrefix="1" applyFont="1" applyBorder="1"/>
    <xf numFmtId="44" fontId="0" fillId="0" borderId="513" xfId="2" applyFont="1" applyBorder="1" applyAlignment="1">
      <alignment vertical="top"/>
    </xf>
    <xf numFmtId="44" fontId="0" fillId="0" borderId="512" xfId="2" applyFont="1" applyBorder="1" applyProtection="1">
      <protection locked="0"/>
    </xf>
    <xf numFmtId="0" fontId="30" fillId="19" borderId="511" xfId="0" applyFont="1" applyFill="1" applyBorder="1" applyAlignment="1">
      <alignment horizontal="center"/>
    </xf>
    <xf numFmtId="44" fontId="0" fillId="22" borderId="512" xfId="2" applyFont="1" applyFill="1" applyBorder="1" applyProtection="1">
      <protection locked="0"/>
    </xf>
    <xf numFmtId="3" fontId="0" fillId="22" borderId="512" xfId="0" applyNumberFormat="1" applyFill="1" applyBorder="1" applyAlignment="1" applyProtection="1">
      <alignment horizontal="left"/>
      <protection locked="0"/>
    </xf>
    <xf numFmtId="44" fontId="0" fillId="0" borderId="519" xfId="2" applyFont="1" applyBorder="1" applyAlignment="1">
      <alignment vertical="top"/>
    </xf>
    <xf numFmtId="0" fontId="30" fillId="9" borderId="507" xfId="0" applyFont="1" applyFill="1" applyBorder="1" applyAlignment="1">
      <alignment horizontal="left"/>
    </xf>
    <xf numFmtId="42" fontId="0" fillId="0" borderId="512" xfId="0" applyNumberFormat="1" applyBorder="1" applyAlignment="1" applyProtection="1">
      <alignment horizontal="left"/>
      <protection locked="0"/>
    </xf>
    <xf numFmtId="0" fontId="30" fillId="0" borderId="507" xfId="0" applyFont="1" applyBorder="1" applyAlignment="1">
      <alignment vertical="top" wrapText="1"/>
    </xf>
    <xf numFmtId="4" fontId="0" fillId="0" borderId="512" xfId="0" applyNumberFormat="1" applyBorder="1" applyProtection="1">
      <protection locked="0"/>
    </xf>
    <xf numFmtId="44" fontId="0" fillId="7" borderId="512" xfId="2" applyFont="1" applyFill="1" applyBorder="1" applyProtection="1">
      <protection locked="0"/>
    </xf>
    <xf numFmtId="42" fontId="0" fillId="7" borderId="512" xfId="0" applyNumberFormat="1" applyFill="1" applyBorder="1" applyAlignment="1" applyProtection="1">
      <alignment horizontal="left"/>
      <protection locked="0"/>
    </xf>
    <xf numFmtId="42" fontId="0" fillId="7" borderId="512" xfId="0" applyNumberFormat="1" applyFill="1" applyBorder="1" applyProtection="1">
      <protection locked="0"/>
    </xf>
    <xf numFmtId="0" fontId="0" fillId="0" borderId="512" xfId="0" applyBorder="1" applyProtection="1">
      <protection locked="0"/>
    </xf>
    <xf numFmtId="165" fontId="0" fillId="0" borderId="520" xfId="0" applyNumberFormat="1" applyBorder="1" applyProtection="1">
      <protection locked="0"/>
    </xf>
    <xf numFmtId="0" fontId="0" fillId="0" borderId="521" xfId="0" applyBorder="1" applyProtection="1">
      <protection locked="0"/>
    </xf>
    <xf numFmtId="0" fontId="0" fillId="0" borderId="522" xfId="0" applyBorder="1" applyAlignment="1" applyProtection="1">
      <alignment wrapText="1"/>
      <protection locked="0"/>
    </xf>
    <xf numFmtId="0" fontId="0" fillId="0" borderId="522" xfId="0" applyBorder="1" applyAlignment="1">
      <alignment wrapText="1"/>
    </xf>
    <xf numFmtId="0" fontId="0" fillId="0" borderId="520" xfId="0" applyBorder="1" applyProtection="1">
      <protection locked="0"/>
    </xf>
    <xf numFmtId="0" fontId="4" fillId="0" borderId="522" xfId="0" applyFont="1" applyBorder="1" applyAlignment="1">
      <alignment wrapText="1"/>
    </xf>
    <xf numFmtId="44" fontId="0" fillId="0" borderId="521" xfId="2" applyFont="1" applyBorder="1" applyAlignment="1">
      <alignment vertical="top"/>
    </xf>
    <xf numFmtId="44" fontId="0" fillId="0" borderId="524" xfId="2" applyFont="1" applyBorder="1" applyAlignment="1">
      <alignment vertical="top"/>
    </xf>
    <xf numFmtId="0" fontId="6" fillId="0" borderId="454" xfId="0" applyFont="1" applyBorder="1" applyProtection="1">
      <protection locked="0"/>
    </xf>
    <xf numFmtId="0" fontId="0" fillId="0" borderId="521" xfId="0" applyBorder="1" applyAlignment="1">
      <alignment vertical="top"/>
    </xf>
    <xf numFmtId="0" fontId="30" fillId="0" borderId="525" xfId="0" quotePrefix="1" applyFont="1" applyBorder="1"/>
    <xf numFmtId="44" fontId="6" fillId="0" borderId="454" xfId="2" applyFont="1" applyBorder="1" applyProtection="1">
      <protection locked="0"/>
    </xf>
    <xf numFmtId="44" fontId="0" fillId="0" borderId="526" xfId="2" applyFont="1" applyBorder="1" applyProtection="1">
      <protection locked="0"/>
    </xf>
    <xf numFmtId="0" fontId="30" fillId="19" borderId="525" xfId="0" applyFont="1" applyFill="1" applyBorder="1" applyAlignment="1">
      <alignment horizontal="center"/>
    </xf>
    <xf numFmtId="0" fontId="30" fillId="22" borderId="525" xfId="0" applyFont="1" applyFill="1" applyBorder="1" applyAlignment="1">
      <alignment horizontal="left"/>
    </xf>
    <xf numFmtId="3" fontId="0" fillId="22" borderId="526" xfId="0" applyNumberFormat="1" applyFill="1" applyBorder="1" applyAlignment="1" applyProtection="1">
      <alignment horizontal="left"/>
      <protection locked="0"/>
    </xf>
    <xf numFmtId="44" fontId="0" fillId="22" borderId="526" xfId="2" applyFont="1" applyFill="1" applyBorder="1" applyProtection="1">
      <protection locked="0"/>
    </xf>
    <xf numFmtId="0" fontId="30" fillId="20" borderId="507" xfId="0" applyFont="1" applyFill="1" applyBorder="1" applyAlignment="1">
      <alignment horizontal="left" vertical="center" wrapText="1"/>
    </xf>
    <xf numFmtId="0" fontId="30" fillId="9" borderId="527" xfId="0" applyFont="1" applyFill="1" applyBorder="1" applyAlignment="1">
      <alignment horizontal="center" vertical="center"/>
    </xf>
    <xf numFmtId="44" fontId="30" fillId="9" borderId="497" xfId="2" applyFont="1" applyFill="1" applyBorder="1" applyAlignment="1">
      <alignment horizontal="center" vertical="center"/>
    </xf>
    <xf numFmtId="0" fontId="30" fillId="9" borderId="525" xfId="0" applyFont="1" applyFill="1" applyBorder="1" applyAlignment="1">
      <alignment horizontal="left" vertical="center" wrapText="1"/>
    </xf>
    <xf numFmtId="0" fontId="30" fillId="9" borderId="525" xfId="0" applyFont="1" applyFill="1" applyBorder="1" applyAlignment="1">
      <alignment horizontal="left" vertical="center" wrapText="1" indent="1"/>
    </xf>
    <xf numFmtId="0" fontId="0" fillId="0" borderId="521" xfId="0" applyBorder="1"/>
    <xf numFmtId="0" fontId="0" fillId="0" borderId="522" xfId="0" applyBorder="1" applyProtection="1">
      <protection locked="0"/>
    </xf>
    <xf numFmtId="0" fontId="0" fillId="0" borderId="528" xfId="0" applyBorder="1" applyProtection="1">
      <protection locked="0"/>
    </xf>
    <xf numFmtId="165" fontId="0" fillId="0" borderId="518" xfId="0" applyNumberFormat="1" applyBorder="1" applyProtection="1">
      <protection locked="0"/>
    </xf>
    <xf numFmtId="0" fontId="0" fillId="0" borderId="529" xfId="0" applyBorder="1" applyProtection="1">
      <protection locked="0"/>
    </xf>
    <xf numFmtId="0" fontId="0" fillId="0" borderId="530" xfId="0" applyBorder="1" applyProtection="1">
      <protection locked="0"/>
    </xf>
    <xf numFmtId="0" fontId="30" fillId="0" borderId="525" xfId="0" applyFont="1" applyBorder="1" applyAlignment="1">
      <alignment vertical="center"/>
    </xf>
    <xf numFmtId="3" fontId="0" fillId="0" borderId="526" xfId="0" applyNumberFormat="1" applyBorder="1" applyAlignment="1" applyProtection="1">
      <alignment horizontal="left"/>
      <protection locked="0"/>
    </xf>
    <xf numFmtId="0" fontId="0" fillId="0" borderId="526" xfId="0" applyBorder="1" applyProtection="1">
      <protection locked="0"/>
    </xf>
    <xf numFmtId="42" fontId="0" fillId="22" borderId="526" xfId="0" applyNumberFormat="1" applyFill="1" applyBorder="1" applyAlignment="1" applyProtection="1">
      <alignment horizontal="left"/>
      <protection locked="0"/>
    </xf>
    <xf numFmtId="39" fontId="0" fillId="0" borderId="497" xfId="2" applyNumberFormat="1" applyFont="1" applyFill="1" applyBorder="1" applyProtection="1">
      <protection locked="0"/>
    </xf>
    <xf numFmtId="44" fontId="0" fillId="0" borderId="526" xfId="2" applyFont="1" applyFill="1" applyBorder="1" applyProtection="1">
      <protection locked="0"/>
    </xf>
    <xf numFmtId="39" fontId="0" fillId="0" borderId="497" xfId="2" applyNumberFormat="1" applyFont="1" applyBorder="1" applyProtection="1">
      <protection locked="0"/>
    </xf>
    <xf numFmtId="44" fontId="0" fillId="0" borderId="531" xfId="2" applyFont="1" applyBorder="1" applyAlignment="1">
      <alignment vertical="top"/>
    </xf>
    <xf numFmtId="0" fontId="31" fillId="20" borderId="507" xfId="0" applyFont="1" applyFill="1" applyBorder="1" applyAlignment="1">
      <alignment horizontal="left" vertical="center" wrapText="1"/>
    </xf>
    <xf numFmtId="0" fontId="30" fillId="9" borderId="532" xfId="0" applyFont="1" applyFill="1" applyBorder="1" applyAlignment="1">
      <alignment horizontal="left" vertical="center" wrapText="1" indent="1"/>
    </xf>
    <xf numFmtId="42" fontId="0" fillId="0" borderId="533" xfId="0" applyNumberFormat="1" applyBorder="1" applyAlignment="1" applyProtection="1">
      <alignment horizontal="left"/>
      <protection locked="0"/>
    </xf>
    <xf numFmtId="0" fontId="30" fillId="9" borderId="532" xfId="0" applyFont="1" applyFill="1" applyBorder="1" applyAlignment="1">
      <alignment horizontal="left" vertical="center" wrapText="1"/>
    </xf>
    <xf numFmtId="44" fontId="13" fillId="0" borderId="533" xfId="2" applyFont="1" applyBorder="1" applyAlignment="1" applyProtection="1">
      <alignment wrapText="1"/>
      <protection locked="0"/>
    </xf>
    <xf numFmtId="0" fontId="0" fillId="0" borderId="534" xfId="0" applyBorder="1"/>
    <xf numFmtId="0" fontId="0" fillId="0" borderId="535" xfId="0" applyBorder="1" applyProtection="1">
      <protection locked="0"/>
    </xf>
    <xf numFmtId="0" fontId="0" fillId="0" borderId="536" xfId="0" applyBorder="1" applyProtection="1">
      <protection locked="0"/>
    </xf>
    <xf numFmtId="165" fontId="0" fillId="0" borderId="537" xfId="0" applyNumberFormat="1" applyBorder="1" applyProtection="1">
      <protection locked="0"/>
    </xf>
    <xf numFmtId="0" fontId="0" fillId="0" borderId="534" xfId="0" applyBorder="1" applyProtection="1">
      <protection locked="0"/>
    </xf>
    <xf numFmtId="0" fontId="0" fillId="0" borderId="535" xfId="0" applyBorder="1" applyAlignment="1" applyProtection="1">
      <alignment wrapText="1"/>
      <protection locked="0"/>
    </xf>
    <xf numFmtId="0" fontId="0" fillId="0" borderId="535" xfId="0" applyBorder="1" applyAlignment="1">
      <alignment wrapText="1"/>
    </xf>
    <xf numFmtId="0" fontId="0" fillId="0" borderId="537" xfId="0" applyBorder="1" applyProtection="1">
      <protection locked="0"/>
    </xf>
    <xf numFmtId="7" fontId="0" fillId="0" borderId="466" xfId="2" applyNumberFormat="1" applyFont="1" applyBorder="1" applyAlignment="1" applyProtection="1">
      <alignment horizontal="center"/>
      <protection locked="0"/>
    </xf>
    <xf numFmtId="0" fontId="4" fillId="0" borderId="535" xfId="0" applyFont="1" applyBorder="1" applyAlignment="1">
      <alignment wrapText="1"/>
    </xf>
    <xf numFmtId="0" fontId="0" fillId="0" borderId="534" xfId="0" applyBorder="1" applyAlignment="1">
      <alignment vertical="top"/>
    </xf>
    <xf numFmtId="0" fontId="0" fillId="0" borderId="533" xfId="0" applyBorder="1" applyProtection="1">
      <protection locked="0"/>
    </xf>
    <xf numFmtId="0" fontId="30" fillId="0" borderId="538" xfId="0" applyFont="1" applyBorder="1" applyAlignment="1">
      <alignment vertical="center"/>
    </xf>
    <xf numFmtId="3" fontId="0" fillId="0" borderId="539" xfId="0" applyNumberFormat="1" applyBorder="1" applyAlignment="1" applyProtection="1">
      <alignment horizontal="left"/>
      <protection locked="0"/>
    </xf>
    <xf numFmtId="0" fontId="30" fillId="0" borderId="538" xfId="0" quotePrefix="1" applyFont="1" applyBorder="1"/>
    <xf numFmtId="44" fontId="0" fillId="0" borderId="534" xfId="2" applyFont="1" applyBorder="1" applyAlignment="1">
      <alignment vertical="top"/>
    </xf>
    <xf numFmtId="44" fontId="0" fillId="0" borderId="533" xfId="2" applyFont="1" applyBorder="1" applyProtection="1">
      <protection locked="0"/>
    </xf>
    <xf numFmtId="0" fontId="30" fillId="19" borderId="532" xfId="0" applyFont="1" applyFill="1" applyBorder="1" applyAlignment="1">
      <alignment horizontal="center"/>
    </xf>
    <xf numFmtId="0" fontId="30" fillId="22" borderId="532" xfId="0" applyFont="1" applyFill="1" applyBorder="1" applyAlignment="1">
      <alignment horizontal="left"/>
    </xf>
    <xf numFmtId="3" fontId="0" fillId="22" borderId="533" xfId="0" applyNumberFormat="1" applyFill="1" applyBorder="1" applyAlignment="1" applyProtection="1">
      <alignment horizontal="left"/>
      <protection locked="0"/>
    </xf>
    <xf numFmtId="44" fontId="0" fillId="22" borderId="533" xfId="2" applyFont="1" applyFill="1" applyBorder="1" applyProtection="1">
      <protection locked="0"/>
    </xf>
    <xf numFmtId="44" fontId="0" fillId="0" borderId="540" xfId="2" applyFont="1" applyBorder="1" applyAlignment="1">
      <alignment vertical="top"/>
    </xf>
    <xf numFmtId="0" fontId="30" fillId="9" borderId="538" xfId="0" applyFont="1" applyFill="1" applyBorder="1" applyAlignment="1">
      <alignment horizontal="left" vertical="center" wrapText="1"/>
    </xf>
    <xf numFmtId="0" fontId="30" fillId="9" borderId="538" xfId="0" applyFont="1" applyFill="1" applyBorder="1" applyAlignment="1">
      <alignment horizontal="left" vertical="center" wrapText="1" indent="1"/>
    </xf>
    <xf numFmtId="0" fontId="0" fillId="0" borderId="541" xfId="0" applyBorder="1" applyProtection="1">
      <protection locked="0"/>
    </xf>
    <xf numFmtId="165" fontId="0" fillId="0" borderId="533" xfId="0" applyNumberFormat="1" applyBorder="1" applyProtection="1">
      <protection locked="0"/>
    </xf>
    <xf numFmtId="44" fontId="0" fillId="0" borderId="539" xfId="2" applyFont="1" applyBorder="1" applyProtection="1">
      <protection locked="0"/>
    </xf>
    <xf numFmtId="0" fontId="30" fillId="19" borderId="538" xfId="0" applyFont="1" applyFill="1" applyBorder="1" applyAlignment="1">
      <alignment horizontal="center"/>
    </xf>
    <xf numFmtId="0" fontId="30" fillId="22" borderId="538" xfId="0" applyFont="1" applyFill="1" applyBorder="1" applyAlignment="1">
      <alignment horizontal="left"/>
    </xf>
    <xf numFmtId="3" fontId="0" fillId="22" borderId="539" xfId="0" applyNumberFormat="1" applyFill="1" applyBorder="1" applyAlignment="1" applyProtection="1">
      <alignment horizontal="left"/>
      <protection locked="0"/>
    </xf>
    <xf numFmtId="44" fontId="0" fillId="22" borderId="539" xfId="2" applyFont="1" applyFill="1" applyBorder="1" applyProtection="1">
      <protection locked="0"/>
    </xf>
    <xf numFmtId="44" fontId="0" fillId="0" borderId="542" xfId="2" applyFont="1" applyBorder="1" applyAlignment="1">
      <alignment vertical="top"/>
    </xf>
    <xf numFmtId="0" fontId="30" fillId="9" borderId="543" xfId="0" applyFont="1" applyFill="1" applyBorder="1" applyAlignment="1">
      <alignment horizontal="left" vertical="center" wrapText="1"/>
    </xf>
    <xf numFmtId="0" fontId="30" fillId="9" borderId="543" xfId="0" applyFont="1" applyFill="1" applyBorder="1" applyAlignment="1">
      <alignment horizontal="left" vertical="center" wrapText="1" indent="1"/>
    </xf>
    <xf numFmtId="0" fontId="0" fillId="0" borderId="544" xfId="0" applyBorder="1"/>
    <xf numFmtId="165" fontId="0" fillId="0" borderId="545" xfId="0" applyNumberFormat="1" applyBorder="1" applyProtection="1">
      <protection locked="0"/>
    </xf>
    <xf numFmtId="0" fontId="0" fillId="0" borderId="544" xfId="0" applyBorder="1" applyProtection="1">
      <protection locked="0"/>
    </xf>
    <xf numFmtId="0" fontId="0" fillId="0" borderId="545" xfId="0" applyBorder="1" applyProtection="1">
      <protection locked="0"/>
    </xf>
    <xf numFmtId="0" fontId="0" fillId="0" borderId="544" xfId="0" applyBorder="1" applyAlignment="1">
      <alignment vertical="top"/>
    </xf>
    <xf numFmtId="44" fontId="0" fillId="0" borderId="544" xfId="2" applyFont="1" applyBorder="1" applyAlignment="1">
      <alignment vertical="top"/>
    </xf>
    <xf numFmtId="0" fontId="30" fillId="0" borderId="532" xfId="0" applyFont="1" applyBorder="1" applyAlignment="1">
      <alignment vertical="center"/>
    </xf>
    <xf numFmtId="3" fontId="0" fillId="0" borderId="533" xfId="0" applyNumberFormat="1" applyBorder="1" applyAlignment="1" applyProtection="1">
      <alignment horizontal="left"/>
      <protection locked="0"/>
    </xf>
    <xf numFmtId="0" fontId="30" fillId="0" borderId="532" xfId="0" quotePrefix="1" applyFont="1" applyBorder="1"/>
    <xf numFmtId="0" fontId="0" fillId="0" borderId="546" xfId="0" applyBorder="1" applyProtection="1">
      <protection locked="0"/>
    </xf>
    <xf numFmtId="0" fontId="0" fillId="0" borderId="547" xfId="0" applyBorder="1" applyProtection="1">
      <protection locked="0"/>
    </xf>
    <xf numFmtId="0" fontId="0" fillId="0" borderId="546" xfId="0" applyBorder="1" applyAlignment="1" applyProtection="1">
      <alignment wrapText="1"/>
      <protection locked="0"/>
    </xf>
    <xf numFmtId="0" fontId="0" fillId="0" borderId="546" xfId="0" applyBorder="1" applyAlignment="1">
      <alignment wrapText="1"/>
    </xf>
    <xf numFmtId="0" fontId="4" fillId="0" borderId="546" xfId="0" applyFont="1" applyBorder="1" applyAlignment="1">
      <alignment wrapText="1"/>
    </xf>
    <xf numFmtId="0" fontId="30" fillId="0" borderId="511" xfId="0" applyFont="1" applyBorder="1" applyAlignment="1">
      <alignment vertical="center"/>
    </xf>
    <xf numFmtId="0" fontId="30" fillId="0" borderId="511" xfId="0" quotePrefix="1" applyFont="1" applyBorder="1"/>
    <xf numFmtId="0" fontId="30" fillId="22" borderId="511" xfId="0" applyFont="1" applyFill="1" applyBorder="1" applyAlignment="1">
      <alignment horizontal="left"/>
    </xf>
    <xf numFmtId="0" fontId="0" fillId="0" borderId="548" xfId="0" applyBorder="1" applyProtection="1">
      <protection locked="0"/>
    </xf>
    <xf numFmtId="0" fontId="0" fillId="0" borderId="549" xfId="0" applyBorder="1" applyProtection="1">
      <protection locked="0"/>
    </xf>
    <xf numFmtId="0" fontId="0" fillId="0" borderId="548" xfId="0" applyBorder="1" applyAlignment="1" applyProtection="1">
      <alignment wrapText="1"/>
      <protection locked="0"/>
    </xf>
    <xf numFmtId="0" fontId="0" fillId="0" borderId="548" xfId="0" applyBorder="1" applyAlignment="1">
      <alignment wrapText="1"/>
    </xf>
    <xf numFmtId="0" fontId="4" fillId="0" borderId="548" xfId="0" applyFont="1" applyBorder="1" applyAlignment="1">
      <alignment wrapText="1"/>
    </xf>
    <xf numFmtId="0" fontId="0" fillId="0" borderId="550" xfId="0" applyBorder="1" applyProtection="1">
      <protection locked="0"/>
    </xf>
    <xf numFmtId="0" fontId="30" fillId="0" borderId="551" xfId="0" applyFont="1" applyBorder="1" applyAlignment="1">
      <alignment vertical="center"/>
    </xf>
    <xf numFmtId="3" fontId="0" fillId="0" borderId="550" xfId="0" applyNumberFormat="1" applyBorder="1" applyAlignment="1" applyProtection="1">
      <alignment horizontal="left"/>
      <protection locked="0"/>
    </xf>
    <xf numFmtId="0" fontId="30" fillId="0" borderId="543" xfId="0" quotePrefix="1" applyFont="1" applyBorder="1"/>
    <xf numFmtId="44" fontId="0" fillId="0" borderId="552" xfId="2" applyFont="1" applyBorder="1" applyProtection="1">
      <protection locked="0"/>
    </xf>
    <xf numFmtId="0" fontId="30" fillId="19" borderId="543" xfId="0" applyFont="1" applyFill="1" applyBorder="1" applyAlignment="1">
      <alignment horizontal="center"/>
    </xf>
    <xf numFmtId="0" fontId="30" fillId="22" borderId="543" xfId="0" applyFont="1" applyFill="1" applyBorder="1" applyAlignment="1">
      <alignment horizontal="left"/>
    </xf>
    <xf numFmtId="3" fontId="0" fillId="22" borderId="552" xfId="0" applyNumberFormat="1" applyFill="1" applyBorder="1" applyAlignment="1" applyProtection="1">
      <alignment horizontal="left"/>
      <protection locked="0"/>
    </xf>
    <xf numFmtId="44" fontId="0" fillId="22" borderId="552" xfId="2" applyFont="1" applyFill="1" applyBorder="1" applyProtection="1">
      <protection locked="0"/>
    </xf>
    <xf numFmtId="44" fontId="0" fillId="0" borderId="553" xfId="2" applyFont="1" applyBorder="1" applyAlignment="1">
      <alignment vertical="top"/>
    </xf>
    <xf numFmtId="0" fontId="30" fillId="9" borderId="554" xfId="0" applyFont="1" applyFill="1" applyBorder="1" applyAlignment="1">
      <alignment horizontal="left" vertical="center" wrapText="1"/>
    </xf>
    <xf numFmtId="0" fontId="30" fillId="9" borderId="554" xfId="0" applyFont="1" applyFill="1" applyBorder="1" applyAlignment="1">
      <alignment horizontal="left" vertical="center" wrapText="1" indent="1"/>
    </xf>
    <xf numFmtId="0" fontId="0" fillId="0" borderId="555" xfId="0" applyBorder="1"/>
    <xf numFmtId="165" fontId="0" fillId="0" borderId="556" xfId="0" applyNumberFormat="1" applyBorder="1" applyProtection="1">
      <protection locked="0"/>
    </xf>
    <xf numFmtId="0" fontId="0" fillId="0" borderId="555" xfId="0" applyBorder="1" applyProtection="1">
      <protection locked="0"/>
    </xf>
    <xf numFmtId="0" fontId="0" fillId="0" borderId="556" xfId="0" applyBorder="1" applyProtection="1">
      <protection locked="0"/>
    </xf>
    <xf numFmtId="44" fontId="0" fillId="0" borderId="550" xfId="2" applyFont="1" applyBorder="1" applyProtection="1">
      <protection locked="0"/>
    </xf>
    <xf numFmtId="0" fontId="0" fillId="0" borderId="555" xfId="0" applyBorder="1" applyAlignment="1">
      <alignment vertical="top"/>
    </xf>
    <xf numFmtId="0" fontId="30" fillId="0" borderId="554" xfId="0" applyFont="1" applyBorder="1" applyAlignment="1">
      <alignment vertical="center"/>
    </xf>
    <xf numFmtId="0" fontId="0" fillId="0" borderId="557" xfId="0" applyBorder="1" applyProtection="1">
      <protection locked="0"/>
    </xf>
    <xf numFmtId="0" fontId="30" fillId="0" borderId="554" xfId="0" quotePrefix="1" applyFont="1" applyBorder="1"/>
    <xf numFmtId="44" fontId="0" fillId="0" borderId="555" xfId="2" applyFont="1" applyBorder="1" applyAlignment="1">
      <alignment vertical="top"/>
    </xf>
    <xf numFmtId="0" fontId="30" fillId="19" borderId="554" xfId="0" applyFont="1" applyFill="1" applyBorder="1" applyAlignment="1">
      <alignment horizontal="center"/>
    </xf>
    <xf numFmtId="0" fontId="30" fillId="22" borderId="554" xfId="0" applyFont="1" applyFill="1" applyBorder="1" applyAlignment="1">
      <alignment horizontal="left"/>
    </xf>
    <xf numFmtId="44" fontId="0" fillId="22" borderId="557" xfId="2" applyFont="1" applyFill="1" applyBorder="1" applyProtection="1">
      <protection locked="0"/>
    </xf>
    <xf numFmtId="44" fontId="0" fillId="0" borderId="558" xfId="2" applyFont="1" applyBorder="1" applyAlignment="1">
      <alignment vertical="top"/>
    </xf>
    <xf numFmtId="0" fontId="0" fillId="0" borderId="497" xfId="2" applyNumberFormat="1" applyFont="1" applyBorder="1" applyProtection="1">
      <protection locked="0"/>
    </xf>
    <xf numFmtId="8" fontId="0" fillId="0" borderId="497" xfId="2" applyNumberFormat="1" applyFont="1" applyBorder="1" applyProtection="1">
      <protection locked="0"/>
    </xf>
    <xf numFmtId="44" fontId="0" fillId="7" borderId="557" xfId="2" applyFont="1" applyFill="1" applyBorder="1" applyProtection="1">
      <protection locked="0"/>
    </xf>
    <xf numFmtId="42" fontId="0" fillId="0" borderId="557" xfId="0" applyNumberFormat="1" applyBorder="1" applyAlignment="1" applyProtection="1">
      <alignment horizontal="left"/>
      <protection locked="0"/>
    </xf>
    <xf numFmtId="44" fontId="0" fillId="0" borderId="527" xfId="2" applyFont="1" applyBorder="1" applyProtection="1">
      <protection locked="0"/>
    </xf>
    <xf numFmtId="0" fontId="30" fillId="9" borderId="559" xfId="0" applyFont="1" applyFill="1" applyBorder="1" applyAlignment="1">
      <alignment horizontal="left" vertical="center" wrapText="1" indent="1"/>
    </xf>
    <xf numFmtId="0" fontId="0" fillId="0" borderId="560" xfId="0" applyBorder="1"/>
    <xf numFmtId="0" fontId="0" fillId="0" borderId="561" xfId="0" applyBorder="1" applyProtection="1">
      <protection locked="0"/>
    </xf>
    <xf numFmtId="0" fontId="0" fillId="0" borderId="562" xfId="0" applyBorder="1" applyProtection="1">
      <protection locked="0"/>
    </xf>
    <xf numFmtId="165" fontId="0" fillId="0" borderId="563" xfId="0" applyNumberFormat="1" applyBorder="1" applyProtection="1">
      <protection locked="0"/>
    </xf>
    <xf numFmtId="0" fontId="0" fillId="0" borderId="560" xfId="0" applyBorder="1" applyProtection="1">
      <protection locked="0"/>
    </xf>
    <xf numFmtId="0" fontId="0" fillId="0" borderId="561" xfId="0" applyBorder="1" applyAlignment="1" applyProtection="1">
      <alignment wrapText="1"/>
      <protection locked="0"/>
    </xf>
    <xf numFmtId="0" fontId="0" fillId="0" borderId="561" xfId="0" applyBorder="1" applyAlignment="1">
      <alignment wrapText="1"/>
    </xf>
    <xf numFmtId="0" fontId="0" fillId="0" borderId="563" xfId="0" applyBorder="1" applyProtection="1">
      <protection locked="0"/>
    </xf>
    <xf numFmtId="170" fontId="0" fillId="0" borderId="466" xfId="2" applyNumberFormat="1" applyFont="1" applyBorder="1" applyAlignment="1" applyProtection="1">
      <alignment horizontal="center"/>
      <protection locked="0"/>
    </xf>
    <xf numFmtId="0" fontId="4" fillId="0" borderId="561" xfId="0" applyFont="1" applyBorder="1" applyAlignment="1">
      <alignment wrapText="1"/>
    </xf>
    <xf numFmtId="0" fontId="0" fillId="0" borderId="560" xfId="0" applyBorder="1" applyAlignment="1">
      <alignment vertical="top"/>
    </xf>
    <xf numFmtId="3" fontId="0" fillId="0" borderId="557" xfId="0" applyNumberFormat="1" applyBorder="1" applyAlignment="1" applyProtection="1">
      <alignment horizontal="left"/>
      <protection locked="0"/>
    </xf>
    <xf numFmtId="44" fontId="0" fillId="0" borderId="560" xfId="2" applyFont="1" applyBorder="1" applyAlignment="1">
      <alignment vertical="top"/>
    </xf>
    <xf numFmtId="0" fontId="30" fillId="0" borderId="559" xfId="0" applyFont="1" applyBorder="1" applyAlignment="1">
      <alignment vertical="center"/>
    </xf>
    <xf numFmtId="0" fontId="0" fillId="0" borderId="564" xfId="0" applyBorder="1" applyProtection="1">
      <protection locked="0"/>
    </xf>
    <xf numFmtId="0" fontId="30" fillId="0" borderId="559" xfId="0" quotePrefix="1" applyFont="1" applyBorder="1"/>
    <xf numFmtId="44" fontId="0" fillId="0" borderId="564" xfId="2" applyFont="1" applyBorder="1" applyProtection="1">
      <protection locked="0"/>
    </xf>
    <xf numFmtId="3" fontId="0" fillId="0" borderId="564" xfId="0" applyNumberFormat="1" applyBorder="1" applyAlignment="1" applyProtection="1">
      <alignment horizontal="left"/>
      <protection locked="0"/>
    </xf>
    <xf numFmtId="44" fontId="0" fillId="0" borderId="565" xfId="2" applyFont="1" applyBorder="1" applyAlignment="1">
      <alignment vertical="top"/>
    </xf>
    <xf numFmtId="0" fontId="30" fillId="19" borderId="566" xfId="0" applyFont="1" applyFill="1" applyBorder="1" applyAlignment="1">
      <alignment horizontal="center"/>
    </xf>
    <xf numFmtId="0" fontId="30" fillId="22" borderId="566" xfId="0" applyFont="1" applyFill="1" applyBorder="1" applyAlignment="1">
      <alignment horizontal="left"/>
    </xf>
    <xf numFmtId="44" fontId="0" fillId="22" borderId="567" xfId="2" applyFont="1" applyFill="1" applyBorder="1" applyProtection="1">
      <protection locked="0"/>
    </xf>
    <xf numFmtId="3" fontId="0" fillId="22" borderId="567" xfId="0" applyNumberFormat="1" applyFill="1" applyBorder="1" applyAlignment="1" applyProtection="1">
      <alignment horizontal="left"/>
      <protection locked="0"/>
    </xf>
    <xf numFmtId="41" fontId="0" fillId="0" borderId="497" xfId="2" applyNumberFormat="1" applyFont="1" applyBorder="1" applyProtection="1">
      <protection locked="0"/>
    </xf>
    <xf numFmtId="8" fontId="0" fillId="0" borderId="567" xfId="2" applyNumberFormat="1" applyFont="1" applyBorder="1" applyProtection="1">
      <protection locked="0"/>
    </xf>
    <xf numFmtId="44" fontId="0" fillId="0" borderId="568" xfId="2" applyFont="1" applyBorder="1" applyAlignment="1">
      <alignment vertical="top"/>
    </xf>
    <xf numFmtId="0" fontId="30" fillId="9" borderId="569" xfId="0" applyFont="1" applyFill="1" applyBorder="1" applyAlignment="1">
      <alignment horizontal="left" vertical="center" wrapText="1"/>
    </xf>
    <xf numFmtId="0" fontId="30" fillId="9" borderId="569" xfId="0" applyFont="1" applyFill="1" applyBorder="1" applyAlignment="1">
      <alignment horizontal="left" vertical="center" wrapText="1" indent="1"/>
    </xf>
    <xf numFmtId="0" fontId="0" fillId="0" borderId="570" xfId="0" applyBorder="1"/>
    <xf numFmtId="0" fontId="0" fillId="0" borderId="571" xfId="0" applyBorder="1" applyProtection="1">
      <protection locked="0"/>
    </xf>
    <xf numFmtId="0" fontId="0" fillId="0" borderId="572" xfId="0" applyBorder="1" applyProtection="1">
      <protection locked="0"/>
    </xf>
    <xf numFmtId="165" fontId="0" fillId="0" borderId="573" xfId="0" applyNumberFormat="1" applyBorder="1" applyProtection="1">
      <protection locked="0"/>
    </xf>
    <xf numFmtId="0" fontId="0" fillId="0" borderId="570" xfId="0" applyBorder="1" applyProtection="1">
      <protection locked="0"/>
    </xf>
    <xf numFmtId="0" fontId="0" fillId="0" borderId="571" xfId="0" applyBorder="1" applyAlignment="1" applyProtection="1">
      <alignment wrapText="1"/>
      <protection locked="0"/>
    </xf>
    <xf numFmtId="0" fontId="0" fillId="0" borderId="571" xfId="0" applyBorder="1" applyAlignment="1">
      <alignment wrapText="1"/>
    </xf>
    <xf numFmtId="0" fontId="0" fillId="0" borderId="573" xfId="0" applyBorder="1" applyProtection="1">
      <protection locked="0"/>
    </xf>
    <xf numFmtId="0" fontId="4" fillId="0" borderId="571" xfId="0" applyFont="1" applyBorder="1" applyAlignment="1">
      <alignment wrapText="1"/>
    </xf>
    <xf numFmtId="0" fontId="0" fillId="0" borderId="570" xfId="0" applyBorder="1" applyAlignment="1">
      <alignment vertical="top"/>
    </xf>
    <xf numFmtId="0" fontId="0" fillId="0" borderId="567" xfId="0" applyBorder="1" applyProtection="1">
      <protection locked="0"/>
    </xf>
    <xf numFmtId="3" fontId="0" fillId="0" borderId="567" xfId="0" applyNumberFormat="1" applyBorder="1" applyAlignment="1" applyProtection="1">
      <alignment horizontal="left"/>
      <protection locked="0"/>
    </xf>
    <xf numFmtId="44" fontId="0" fillId="0" borderId="570" xfId="2" applyFont="1" applyBorder="1" applyAlignment="1">
      <alignment vertical="top"/>
    </xf>
    <xf numFmtId="0" fontId="30" fillId="0" borderId="569" xfId="0" applyFont="1" applyBorder="1" applyAlignment="1">
      <alignment vertical="center"/>
    </xf>
    <xf numFmtId="0" fontId="30" fillId="0" borderId="569" xfId="0" quotePrefix="1" applyFont="1" applyBorder="1"/>
    <xf numFmtId="44" fontId="0" fillId="0" borderId="574" xfId="2" applyFont="1" applyBorder="1" applyProtection="1">
      <protection locked="0"/>
    </xf>
    <xf numFmtId="3" fontId="0" fillId="0" borderId="574" xfId="0" applyNumberFormat="1" applyBorder="1" applyAlignment="1" applyProtection="1">
      <alignment horizontal="left"/>
      <protection locked="0"/>
    </xf>
    <xf numFmtId="44" fontId="0" fillId="0" borderId="575" xfId="2" applyFont="1" applyBorder="1" applyAlignment="1">
      <alignment vertical="top"/>
    </xf>
    <xf numFmtId="0" fontId="30" fillId="19" borderId="576" xfId="0" applyFont="1" applyFill="1" applyBorder="1" applyAlignment="1">
      <alignment horizontal="center"/>
    </xf>
    <xf numFmtId="0" fontId="30" fillId="22" borderId="576" xfId="0" applyFont="1" applyFill="1" applyBorder="1" applyAlignment="1">
      <alignment horizontal="left"/>
    </xf>
    <xf numFmtId="44" fontId="0" fillId="22" borderId="577" xfId="2" applyFont="1" applyFill="1" applyBorder="1" applyProtection="1">
      <protection locked="0"/>
    </xf>
    <xf numFmtId="3" fontId="0" fillId="22" borderId="577" xfId="0" applyNumberFormat="1" applyFill="1" applyBorder="1" applyAlignment="1" applyProtection="1">
      <alignment horizontal="left"/>
      <protection locked="0"/>
    </xf>
    <xf numFmtId="44" fontId="0" fillId="0" borderId="578" xfId="2" applyFont="1" applyBorder="1" applyAlignment="1">
      <alignment vertical="top"/>
    </xf>
    <xf numFmtId="44" fontId="0" fillId="0" borderId="577" xfId="2" applyFont="1" applyBorder="1" applyProtection="1">
      <protection locked="0"/>
    </xf>
    <xf numFmtId="3" fontId="0" fillId="0" borderId="577" xfId="0" applyNumberFormat="1" applyBorder="1" applyAlignment="1" applyProtection="1">
      <alignment horizontal="left"/>
      <protection locked="0"/>
    </xf>
    <xf numFmtId="44" fontId="122" fillId="0" borderId="454" xfId="2" applyFont="1" applyBorder="1" applyAlignment="1">
      <alignment horizontal="center" vertical="center"/>
    </xf>
    <xf numFmtId="44" fontId="30" fillId="0" borderId="577" xfId="2" applyFont="1" applyBorder="1" applyAlignment="1">
      <alignment horizontal="center" vertical="center"/>
    </xf>
    <xf numFmtId="0" fontId="0" fillId="0" borderId="579" xfId="0" applyBorder="1"/>
    <xf numFmtId="0" fontId="0" fillId="0" borderId="580" xfId="0" applyBorder="1" applyProtection="1">
      <protection locked="0"/>
    </xf>
    <xf numFmtId="0" fontId="0" fillId="0" borderId="581" xfId="0" applyBorder="1" applyProtection="1">
      <protection locked="0"/>
    </xf>
    <xf numFmtId="165" fontId="0" fillId="0" borderId="582" xfId="0" applyNumberFormat="1" applyBorder="1" applyProtection="1">
      <protection locked="0"/>
    </xf>
    <xf numFmtId="0" fontId="0" fillId="0" borderId="579" xfId="0" applyBorder="1" applyProtection="1">
      <protection locked="0"/>
    </xf>
    <xf numFmtId="0" fontId="0" fillId="0" borderId="580" xfId="0" applyBorder="1" applyAlignment="1" applyProtection="1">
      <alignment wrapText="1"/>
      <protection locked="0"/>
    </xf>
    <xf numFmtId="0" fontId="0" fillId="0" borderId="580" xfId="0" applyBorder="1" applyAlignment="1">
      <alignment wrapText="1"/>
    </xf>
    <xf numFmtId="0" fontId="0" fillId="0" borderId="582" xfId="0" applyBorder="1" applyProtection="1">
      <protection locked="0"/>
    </xf>
    <xf numFmtId="0" fontId="4" fillId="0" borderId="580" xfId="0" applyFont="1" applyBorder="1" applyAlignment="1">
      <alignment wrapText="1"/>
    </xf>
    <xf numFmtId="44" fontId="0" fillId="0" borderId="579" xfId="2" applyFont="1" applyBorder="1" applyAlignment="1">
      <alignment vertical="top"/>
    </xf>
    <xf numFmtId="0" fontId="0" fillId="0" borderId="579" xfId="0" applyBorder="1" applyAlignment="1">
      <alignment vertical="top"/>
    </xf>
    <xf numFmtId="0" fontId="30" fillId="0" borderId="583" xfId="0" applyFont="1" applyBorder="1" applyAlignment="1">
      <alignment vertical="center"/>
    </xf>
    <xf numFmtId="3" fontId="0" fillId="0" borderId="584" xfId="0" applyNumberFormat="1" applyBorder="1" applyAlignment="1" applyProtection="1">
      <alignment horizontal="left"/>
      <protection locked="0"/>
    </xf>
    <xf numFmtId="0" fontId="30" fillId="0" borderId="583" xfId="0" quotePrefix="1" applyFont="1" applyBorder="1"/>
    <xf numFmtId="44" fontId="0" fillId="0" borderId="584" xfId="2" applyFont="1" applyBorder="1" applyProtection="1">
      <protection locked="0"/>
    </xf>
    <xf numFmtId="0" fontId="30" fillId="19" borderId="583" xfId="0" applyFont="1" applyFill="1" applyBorder="1" applyAlignment="1">
      <alignment horizontal="center"/>
    </xf>
    <xf numFmtId="0" fontId="30" fillId="22" borderId="583" xfId="0" applyFont="1" applyFill="1" applyBorder="1" applyAlignment="1">
      <alignment horizontal="left"/>
    </xf>
    <xf numFmtId="3" fontId="0" fillId="22" borderId="584" xfId="0" applyNumberFormat="1" applyFill="1" applyBorder="1" applyAlignment="1" applyProtection="1">
      <alignment horizontal="left"/>
      <protection locked="0"/>
    </xf>
    <xf numFmtId="44" fontId="0" fillId="22" borderId="584" xfId="2" applyFont="1" applyFill="1" applyBorder="1" applyProtection="1">
      <protection locked="0"/>
    </xf>
    <xf numFmtId="44" fontId="0" fillId="0" borderId="585" xfId="2" applyFont="1" applyBorder="1" applyAlignment="1">
      <alignment vertical="top"/>
    </xf>
    <xf numFmtId="0" fontId="30" fillId="9" borderId="586" xfId="0" applyFont="1" applyFill="1" applyBorder="1" applyAlignment="1">
      <alignment horizontal="left" vertical="center" wrapText="1"/>
    </xf>
    <xf numFmtId="0" fontId="30" fillId="9" borderId="586" xfId="0" applyFont="1" applyFill="1" applyBorder="1" applyAlignment="1">
      <alignment horizontal="left" vertical="center" wrapText="1" indent="1"/>
    </xf>
    <xf numFmtId="0" fontId="0" fillId="0" borderId="587" xfId="0" applyBorder="1"/>
    <xf numFmtId="0" fontId="0" fillId="0" borderId="588" xfId="0" applyBorder="1" applyProtection="1">
      <protection locked="0"/>
    </xf>
    <xf numFmtId="0" fontId="0" fillId="0" borderId="589" xfId="0" applyBorder="1" applyProtection="1">
      <protection locked="0"/>
    </xf>
    <xf numFmtId="165" fontId="0" fillId="0" borderId="584" xfId="0" applyNumberFormat="1" applyBorder="1" applyProtection="1">
      <protection locked="0"/>
    </xf>
    <xf numFmtId="165" fontId="0" fillId="0" borderId="590" xfId="0" applyNumberFormat="1" applyBorder="1" applyProtection="1">
      <protection locked="0"/>
    </xf>
    <xf numFmtId="0" fontId="0" fillId="0" borderId="587" xfId="0" applyBorder="1" applyProtection="1">
      <protection locked="0"/>
    </xf>
    <xf numFmtId="0" fontId="0" fillId="0" borderId="588" xfId="0" applyBorder="1" applyAlignment="1" applyProtection="1">
      <alignment wrapText="1"/>
      <protection locked="0"/>
    </xf>
    <xf numFmtId="0" fontId="0" fillId="0" borderId="588" xfId="0" applyBorder="1" applyAlignment="1">
      <alignment wrapText="1"/>
    </xf>
    <xf numFmtId="0" fontId="4" fillId="0" borderId="588" xfId="0" applyFont="1" applyBorder="1" applyAlignment="1">
      <alignment wrapText="1"/>
    </xf>
    <xf numFmtId="44" fontId="0" fillId="0" borderId="587" xfId="2" applyFont="1" applyBorder="1" applyAlignment="1">
      <alignment vertical="top"/>
    </xf>
    <xf numFmtId="0" fontId="0" fillId="0" borderId="584" xfId="0" applyBorder="1" applyProtection="1">
      <protection locked="0"/>
    </xf>
    <xf numFmtId="0" fontId="30" fillId="9" borderId="583" xfId="0" applyFont="1" applyFill="1" applyBorder="1" applyAlignment="1">
      <alignment horizontal="left" vertical="center" wrapText="1"/>
    </xf>
    <xf numFmtId="0" fontId="30" fillId="9" borderId="583" xfId="0" applyFont="1" applyFill="1" applyBorder="1" applyAlignment="1">
      <alignment horizontal="left" vertical="center" wrapText="1" indent="1"/>
    </xf>
    <xf numFmtId="0" fontId="0" fillId="0" borderId="508" xfId="0" applyBorder="1" applyAlignment="1">
      <alignment vertical="top"/>
    </xf>
    <xf numFmtId="0" fontId="8" fillId="0" borderId="497" xfId="5" applyFont="1" applyBorder="1" applyAlignment="1">
      <alignment horizontal="left" vertical="top" wrapText="1"/>
    </xf>
    <xf numFmtId="0" fontId="0" fillId="0" borderId="575" xfId="0" applyBorder="1"/>
    <xf numFmtId="0" fontId="0" fillId="0" borderId="575" xfId="0" applyBorder="1" applyProtection="1">
      <protection locked="0"/>
    </xf>
    <xf numFmtId="0" fontId="0" fillId="0" borderId="590" xfId="0" applyBorder="1" applyProtection="1">
      <protection locked="0"/>
    </xf>
    <xf numFmtId="0" fontId="0" fillId="0" borderId="575" xfId="0" applyBorder="1" applyAlignment="1">
      <alignment vertical="top"/>
    </xf>
    <xf numFmtId="44" fontId="0" fillId="0" borderId="567" xfId="2" applyFont="1" applyBorder="1" applyProtection="1">
      <protection locked="0"/>
    </xf>
    <xf numFmtId="0" fontId="30" fillId="19" borderId="559" xfId="0" applyFont="1" applyFill="1" applyBorder="1" applyAlignment="1">
      <alignment horizontal="center"/>
    </xf>
    <xf numFmtId="0" fontId="30" fillId="22" borderId="559" xfId="0" applyFont="1" applyFill="1" applyBorder="1" applyAlignment="1">
      <alignment horizontal="left"/>
    </xf>
    <xf numFmtId="0" fontId="30" fillId="9" borderId="559" xfId="0" applyFont="1" applyFill="1" applyBorder="1" applyAlignment="1">
      <alignment horizontal="left" vertical="center" wrapText="1"/>
    </xf>
    <xf numFmtId="0" fontId="30" fillId="0" borderId="586" xfId="0" applyFont="1" applyBorder="1" applyAlignment="1">
      <alignment vertical="center"/>
    </xf>
    <xf numFmtId="0" fontId="30" fillId="0" borderId="586" xfId="0" quotePrefix="1" applyFont="1" applyBorder="1"/>
    <xf numFmtId="44" fontId="0" fillId="0" borderId="591" xfId="2" applyFont="1" applyBorder="1" applyProtection="1">
      <protection locked="0"/>
    </xf>
    <xf numFmtId="0" fontId="30" fillId="19" borderId="586" xfId="0" applyFont="1" applyFill="1" applyBorder="1" applyAlignment="1">
      <alignment horizontal="center"/>
    </xf>
    <xf numFmtId="0" fontId="30" fillId="22" borderId="586" xfId="0" applyFont="1" applyFill="1" applyBorder="1" applyAlignment="1">
      <alignment horizontal="left"/>
    </xf>
    <xf numFmtId="42" fontId="0" fillId="22" borderId="493" xfId="2" applyNumberFormat="1" applyFont="1" applyFill="1" applyBorder="1" applyProtection="1">
      <protection locked="0"/>
    </xf>
    <xf numFmtId="3" fontId="0" fillId="22" borderId="591" xfId="0" applyNumberFormat="1" applyFill="1" applyBorder="1" applyAlignment="1" applyProtection="1">
      <alignment horizontal="left"/>
      <protection locked="0"/>
    </xf>
    <xf numFmtId="44" fontId="0" fillId="22" borderId="591" xfId="2" applyFont="1" applyFill="1" applyBorder="1" applyProtection="1">
      <protection locked="0"/>
    </xf>
    <xf numFmtId="44" fontId="0" fillId="0" borderId="592" xfId="2" applyFont="1" applyFill="1" applyBorder="1" applyAlignment="1">
      <alignment vertical="top"/>
    </xf>
    <xf numFmtId="0" fontId="31" fillId="0" borderId="593" xfId="0" applyFont="1" applyBorder="1" applyAlignment="1">
      <alignment horizontal="left"/>
    </xf>
    <xf numFmtId="42" fontId="0" fillId="0" borderId="493" xfId="2" applyNumberFormat="1" applyFont="1" applyFill="1" applyBorder="1" applyProtection="1">
      <protection locked="0"/>
    </xf>
    <xf numFmtId="3" fontId="0" fillId="0" borderId="594" xfId="0" applyNumberFormat="1" applyBorder="1" applyAlignment="1" applyProtection="1">
      <alignment horizontal="left"/>
      <protection locked="0"/>
    </xf>
    <xf numFmtId="44" fontId="6" fillId="0" borderId="454" xfId="2" applyFont="1" applyFill="1" applyBorder="1" applyProtection="1">
      <protection locked="0"/>
    </xf>
    <xf numFmtId="44" fontId="0" fillId="0" borderId="594" xfId="2" applyFont="1" applyFill="1" applyBorder="1" applyProtection="1">
      <protection locked="0"/>
    </xf>
    <xf numFmtId="0" fontId="30" fillId="9" borderId="593" xfId="0" applyFont="1" applyFill="1" applyBorder="1" applyAlignment="1">
      <alignment horizontal="left" vertical="center" wrapText="1"/>
    </xf>
    <xf numFmtId="44" fontId="0" fillId="0" borderId="595" xfId="2" applyFont="1" applyBorder="1" applyAlignment="1">
      <alignment vertical="top"/>
    </xf>
    <xf numFmtId="0" fontId="30" fillId="7" borderId="593" xfId="0" applyFont="1" applyFill="1" applyBorder="1" applyAlignment="1">
      <alignment horizontal="left" vertical="center" wrapText="1"/>
    </xf>
    <xf numFmtId="44" fontId="0" fillId="0" borderId="596" xfId="2" applyFont="1" applyBorder="1" applyProtection="1">
      <protection locked="0"/>
    </xf>
    <xf numFmtId="0" fontId="31" fillId="9" borderId="593" xfId="0" applyFont="1" applyFill="1" applyBorder="1" applyAlignment="1">
      <alignment horizontal="left" vertical="center" wrapText="1"/>
    </xf>
    <xf numFmtId="44" fontId="0" fillId="0" borderId="224" xfId="2" applyFont="1" applyBorder="1" applyProtection="1">
      <protection locked="0"/>
    </xf>
    <xf numFmtId="0" fontId="30" fillId="9" borderId="597" xfId="0" applyFont="1" applyFill="1" applyBorder="1" applyAlignment="1">
      <alignment horizontal="center" vertical="center"/>
    </xf>
    <xf numFmtId="44" fontId="30" fillId="9" borderId="224" xfId="2" applyFont="1" applyFill="1" applyBorder="1" applyAlignment="1">
      <alignment horizontal="center" vertical="center"/>
    </xf>
    <xf numFmtId="0" fontId="30" fillId="9" borderId="598" xfId="0" applyFont="1" applyFill="1" applyBorder="1" applyAlignment="1">
      <alignment horizontal="left" vertical="center" wrapText="1"/>
    </xf>
    <xf numFmtId="0" fontId="30" fillId="9" borderId="599" xfId="0" applyFont="1" applyFill="1" applyBorder="1" applyAlignment="1">
      <alignment horizontal="left" vertical="center" wrapText="1"/>
    </xf>
    <xf numFmtId="0" fontId="30" fillId="9" borderId="593" xfId="0" applyFont="1" applyFill="1" applyBorder="1" applyAlignment="1">
      <alignment horizontal="left" vertical="center"/>
    </xf>
    <xf numFmtId="0" fontId="30" fillId="9" borderId="598" xfId="0" applyFont="1" applyFill="1" applyBorder="1" applyAlignment="1">
      <alignment horizontal="left" vertical="center"/>
    </xf>
    <xf numFmtId="0" fontId="30" fillId="9" borderId="599" xfId="0" applyFont="1" applyFill="1" applyBorder="1" applyAlignment="1">
      <alignment horizontal="left" vertical="center"/>
    </xf>
    <xf numFmtId="44" fontId="30" fillId="9" borderId="548" xfId="2" applyFont="1" applyFill="1" applyBorder="1" applyAlignment="1">
      <alignment horizontal="center" vertical="center"/>
    </xf>
    <xf numFmtId="41" fontId="0" fillId="0" borderId="548" xfId="2" applyNumberFormat="1" applyFont="1" applyBorder="1" applyProtection="1">
      <protection locked="0"/>
    </xf>
    <xf numFmtId="44" fontId="0" fillId="0" borderId="548" xfId="2" applyFont="1" applyBorder="1" applyProtection="1">
      <protection locked="0"/>
    </xf>
    <xf numFmtId="44" fontId="0" fillId="0" borderId="550" xfId="2" applyFont="1" applyBorder="1" applyAlignment="1" applyProtection="1">
      <protection locked="0"/>
    </xf>
    <xf numFmtId="0" fontId="31" fillId="9" borderId="551" xfId="0" applyFont="1" applyFill="1" applyBorder="1" applyAlignment="1">
      <alignment horizontal="left" vertical="center" wrapText="1"/>
    </xf>
    <xf numFmtId="43" fontId="0" fillId="0" borderId="550" xfId="2" applyNumberFormat="1" applyFont="1" applyBorder="1" applyProtection="1">
      <protection locked="0"/>
    </xf>
    <xf numFmtId="41" fontId="0" fillId="0" borderId="550" xfId="2" applyNumberFormat="1" applyFont="1" applyBorder="1" applyAlignment="1" applyProtection="1">
      <protection locked="0"/>
    </xf>
    <xf numFmtId="3" fontId="0" fillId="0" borderId="550" xfId="2" applyNumberFormat="1" applyFont="1" applyBorder="1" applyAlignment="1" applyProtection="1">
      <alignment horizontal="left"/>
      <protection locked="0"/>
    </xf>
    <xf numFmtId="41" fontId="0" fillId="0" borderId="550" xfId="2" applyNumberFormat="1" applyFont="1" applyBorder="1" applyProtection="1">
      <protection locked="0"/>
    </xf>
    <xf numFmtId="42" fontId="30" fillId="9" borderId="497" xfId="2" applyNumberFormat="1" applyFont="1" applyFill="1" applyBorder="1" applyAlignment="1">
      <alignment horizontal="center" vertical="center"/>
    </xf>
    <xf numFmtId="42" fontId="0" fillId="0" borderId="493" xfId="2" applyNumberFormat="1" applyFont="1" applyBorder="1" applyProtection="1">
      <protection locked="0"/>
    </xf>
    <xf numFmtId="0" fontId="30" fillId="0" borderId="551" xfId="0" quotePrefix="1" applyFont="1" applyBorder="1"/>
    <xf numFmtId="44" fontId="0" fillId="0" borderId="600" xfId="2" applyFont="1" applyBorder="1" applyAlignment="1">
      <alignment vertical="top"/>
    </xf>
    <xf numFmtId="44" fontId="0" fillId="0" borderId="601" xfId="2" applyFont="1" applyBorder="1" applyProtection="1">
      <protection locked="0"/>
    </xf>
    <xf numFmtId="0" fontId="30" fillId="19" borderId="602" xfId="0" applyFont="1" applyFill="1" applyBorder="1" applyAlignment="1">
      <alignment horizontal="center"/>
    </xf>
    <xf numFmtId="0" fontId="30" fillId="22" borderId="602" xfId="0" applyFont="1" applyFill="1" applyBorder="1" applyAlignment="1">
      <alignment horizontal="left"/>
    </xf>
    <xf numFmtId="3" fontId="0" fillId="22" borderId="601" xfId="0" applyNumberFormat="1" applyFill="1" applyBorder="1" applyAlignment="1" applyProtection="1">
      <alignment horizontal="left"/>
      <protection locked="0"/>
    </xf>
    <xf numFmtId="44" fontId="0" fillId="22" borderId="601" xfId="2" applyFont="1" applyFill="1" applyBorder="1" applyProtection="1">
      <protection locked="0"/>
    </xf>
    <xf numFmtId="44" fontId="0" fillId="0" borderId="603" xfId="2" applyFont="1" applyBorder="1" applyAlignment="1">
      <alignment vertical="top"/>
    </xf>
    <xf numFmtId="0" fontId="30" fillId="9" borderId="551" xfId="0" applyFont="1" applyFill="1" applyBorder="1" applyAlignment="1">
      <alignment horizontal="left" vertical="center" wrapText="1"/>
    </xf>
    <xf numFmtId="0" fontId="30" fillId="9" borderId="551" xfId="0" applyFont="1" applyFill="1" applyBorder="1" applyAlignment="1">
      <alignment horizontal="left" vertical="center" wrapText="1" indent="1"/>
    </xf>
    <xf numFmtId="0" fontId="0" fillId="0" borderId="600" xfId="0" applyBorder="1"/>
    <xf numFmtId="0" fontId="0" fillId="0" borderId="604" xfId="0" applyBorder="1" applyProtection="1">
      <protection locked="0"/>
    </xf>
    <xf numFmtId="0" fontId="0" fillId="0" borderId="605" xfId="0" applyBorder="1" applyProtection="1">
      <protection locked="0"/>
    </xf>
    <xf numFmtId="165" fontId="0" fillId="0" borderId="601" xfId="0" applyNumberFormat="1" applyBorder="1" applyProtection="1">
      <protection locked="0"/>
    </xf>
    <xf numFmtId="165" fontId="0" fillId="0" borderId="606" xfId="0" applyNumberFormat="1" applyBorder="1" applyProtection="1">
      <protection locked="0"/>
    </xf>
    <xf numFmtId="0" fontId="0" fillId="0" borderId="600" xfId="0" applyBorder="1" applyProtection="1">
      <protection locked="0"/>
    </xf>
    <xf numFmtId="0" fontId="0" fillId="0" borderId="604" xfId="0" applyBorder="1" applyAlignment="1" applyProtection="1">
      <alignment wrapText="1"/>
      <protection locked="0"/>
    </xf>
    <xf numFmtId="0" fontId="0" fillId="0" borderId="604" xfId="0" applyBorder="1" applyAlignment="1">
      <alignment wrapText="1"/>
    </xf>
    <xf numFmtId="0" fontId="4" fillId="0" borderId="604" xfId="0" applyFont="1" applyBorder="1" applyAlignment="1">
      <alignment wrapText="1"/>
    </xf>
    <xf numFmtId="3" fontId="0" fillId="0" borderId="601" xfId="0" applyNumberFormat="1" applyBorder="1" applyAlignment="1" applyProtection="1">
      <alignment horizontal="left"/>
      <protection locked="0"/>
    </xf>
    <xf numFmtId="0" fontId="0" fillId="0" borderId="601" xfId="0" applyBorder="1" applyProtection="1">
      <protection locked="0"/>
    </xf>
    <xf numFmtId="0" fontId="30" fillId="0" borderId="602" xfId="0" applyFont="1" applyBorder="1" applyAlignment="1">
      <alignment vertical="center"/>
    </xf>
    <xf numFmtId="44" fontId="0" fillId="0" borderId="607" xfId="2" applyFont="1" applyBorder="1" applyAlignment="1">
      <alignment vertical="top"/>
    </xf>
    <xf numFmtId="0" fontId="30" fillId="0" borderId="602" xfId="0" quotePrefix="1" applyFont="1" applyBorder="1"/>
    <xf numFmtId="0" fontId="30" fillId="9" borderId="602" xfId="0" applyFont="1" applyFill="1" applyBorder="1" applyAlignment="1">
      <alignment horizontal="left" vertical="center" wrapText="1"/>
    </xf>
    <xf numFmtId="0" fontId="30" fillId="9" borderId="602" xfId="0" applyFont="1" applyFill="1" applyBorder="1" applyAlignment="1">
      <alignment horizontal="left" vertical="center" wrapText="1" indent="1"/>
    </xf>
    <xf numFmtId="0" fontId="0" fillId="0" borderId="608" xfId="0" applyBorder="1"/>
    <xf numFmtId="0" fontId="0" fillId="0" borderId="609" xfId="0" applyBorder="1" applyProtection="1">
      <protection locked="0"/>
    </xf>
    <xf numFmtId="0" fontId="0" fillId="0" borderId="610" xfId="0" applyBorder="1" applyProtection="1">
      <protection locked="0"/>
    </xf>
    <xf numFmtId="165" fontId="0" fillId="0" borderId="611" xfId="0" applyNumberFormat="1" applyBorder="1" applyProtection="1">
      <protection locked="0"/>
    </xf>
    <xf numFmtId="0" fontId="0" fillId="0" borderId="608" xfId="0" applyBorder="1" applyProtection="1">
      <protection locked="0"/>
    </xf>
    <xf numFmtId="0" fontId="0" fillId="0" borderId="609" xfId="0" applyBorder="1" applyAlignment="1" applyProtection="1">
      <alignment wrapText="1"/>
      <protection locked="0"/>
    </xf>
    <xf numFmtId="0" fontId="0" fillId="0" borderId="609" xfId="0" applyBorder="1" applyAlignment="1">
      <alignment wrapText="1"/>
    </xf>
    <xf numFmtId="0" fontId="4" fillId="0" borderId="609" xfId="0" applyFont="1" applyBorder="1" applyAlignment="1">
      <alignment wrapText="1"/>
    </xf>
    <xf numFmtId="44" fontId="0" fillId="0" borderId="608" xfId="2" applyFont="1" applyBorder="1" applyAlignment="1">
      <alignment vertical="top"/>
    </xf>
    <xf numFmtId="0" fontId="0" fillId="0" borderId="612" xfId="0" applyBorder="1" applyProtection="1">
      <protection locked="0"/>
    </xf>
    <xf numFmtId="3" fontId="0" fillId="0" borderId="612" xfId="0" applyNumberFormat="1" applyBorder="1" applyAlignment="1" applyProtection="1">
      <alignment horizontal="left"/>
      <protection locked="0"/>
    </xf>
    <xf numFmtId="0" fontId="30" fillId="0" borderId="613" xfId="0" applyFont="1" applyBorder="1" applyAlignment="1">
      <alignment vertical="center"/>
    </xf>
    <xf numFmtId="44" fontId="0" fillId="0" borderId="594" xfId="2" applyFont="1" applyBorder="1" applyProtection="1">
      <protection locked="0"/>
    </xf>
    <xf numFmtId="44" fontId="0" fillId="0" borderId="594" xfId="2" applyFont="1" applyBorder="1" applyAlignment="1" applyProtection="1">
      <protection locked="0"/>
    </xf>
    <xf numFmtId="44" fontId="0" fillId="22" borderId="594" xfId="2" applyFont="1" applyFill="1" applyBorder="1" applyProtection="1">
      <protection locked="0"/>
    </xf>
    <xf numFmtId="0" fontId="31" fillId="9" borderId="586" xfId="0" applyFont="1" applyFill="1" applyBorder="1" applyAlignment="1">
      <alignment horizontal="left" vertical="center" wrapText="1"/>
    </xf>
    <xf numFmtId="0" fontId="30" fillId="9" borderId="586" xfId="0" applyFont="1" applyFill="1" applyBorder="1" applyAlignment="1">
      <alignment vertical="top" wrapText="1"/>
    </xf>
    <xf numFmtId="0" fontId="0" fillId="0" borderId="608" xfId="0" applyBorder="1" applyAlignment="1">
      <alignment vertical="top"/>
    </xf>
    <xf numFmtId="0" fontId="1" fillId="11" borderId="454" xfId="0" applyFont="1" applyFill="1" applyBorder="1" applyAlignment="1" applyProtection="1">
      <alignment horizontal="center"/>
      <protection locked="0"/>
    </xf>
    <xf numFmtId="0" fontId="0" fillId="11" borderId="454" xfId="0" applyFill="1" applyBorder="1" applyAlignment="1" applyProtection="1">
      <alignment horizontal="center"/>
      <protection locked="0"/>
    </xf>
    <xf numFmtId="0" fontId="30" fillId="0" borderId="613" xfId="0" quotePrefix="1" applyFont="1" applyBorder="1"/>
    <xf numFmtId="44" fontId="0" fillId="0" borderId="612" xfId="2" applyFont="1" applyBorder="1" applyProtection="1">
      <protection locked="0"/>
    </xf>
    <xf numFmtId="0" fontId="0" fillId="22" borderId="612" xfId="0" applyFill="1" applyBorder="1" applyProtection="1">
      <protection locked="0"/>
    </xf>
    <xf numFmtId="42" fontId="0" fillId="22" borderId="594" xfId="0" applyNumberFormat="1" applyFill="1" applyBorder="1" applyAlignment="1" applyProtection="1">
      <alignment horizontal="left"/>
      <protection locked="0"/>
    </xf>
    <xf numFmtId="6" fontId="0" fillId="22" borderId="594" xfId="2" applyNumberFormat="1" applyFont="1" applyFill="1" applyBorder="1" applyProtection="1">
      <protection locked="0"/>
    </xf>
    <xf numFmtId="44" fontId="0" fillId="0" borderId="614" xfId="2" applyFont="1" applyBorder="1" applyAlignment="1">
      <alignment vertical="top"/>
    </xf>
    <xf numFmtId="0" fontId="1" fillId="14" borderId="454" xfId="0" applyFont="1" applyFill="1" applyBorder="1" applyAlignment="1" applyProtection="1">
      <alignment horizontal="center"/>
      <protection locked="0"/>
    </xf>
    <xf numFmtId="0" fontId="0" fillId="14" borderId="454" xfId="0" applyFill="1" applyBorder="1" applyAlignment="1" applyProtection="1">
      <alignment horizontal="center"/>
      <protection locked="0"/>
    </xf>
    <xf numFmtId="0" fontId="31" fillId="9" borderId="615" xfId="0" applyFont="1" applyFill="1" applyBorder="1" applyAlignment="1">
      <alignment horizontal="left" vertical="center" wrapText="1"/>
    </xf>
    <xf numFmtId="42" fontId="0" fillId="0" borderId="616" xfId="0" applyNumberFormat="1" applyBorder="1" applyAlignment="1" applyProtection="1">
      <alignment horizontal="left"/>
      <protection locked="0"/>
    </xf>
    <xf numFmtId="8" fontId="0" fillId="0" borderId="616" xfId="2" applyNumberFormat="1" applyFont="1" applyBorder="1" applyProtection="1">
      <protection locked="0"/>
    </xf>
    <xf numFmtId="0" fontId="1" fillId="0" borderId="454" xfId="0" applyFont="1" applyBorder="1" applyAlignment="1" applyProtection="1">
      <alignment horizontal="center"/>
      <protection locked="0"/>
    </xf>
    <xf numFmtId="44" fontId="0" fillId="0" borderId="617" xfId="2" applyFont="1" applyBorder="1" applyAlignment="1">
      <alignment vertical="top"/>
    </xf>
    <xf numFmtId="44" fontId="0" fillId="0" borderId="616" xfId="2" applyFont="1" applyBorder="1" applyProtection="1">
      <protection locked="0"/>
    </xf>
    <xf numFmtId="44" fontId="0" fillId="7" borderId="616" xfId="2" applyFont="1" applyFill="1" applyBorder="1" applyProtection="1">
      <protection locked="0"/>
    </xf>
    <xf numFmtId="44" fontId="28" fillId="0" borderId="616" xfId="2" applyFont="1" applyBorder="1" applyProtection="1">
      <protection locked="0"/>
    </xf>
    <xf numFmtId="3" fontId="0" fillId="0" borderId="616" xfId="0" applyNumberFormat="1" applyBorder="1" applyAlignment="1" applyProtection="1">
      <alignment horizontal="left" wrapText="1"/>
      <protection locked="0"/>
    </xf>
    <xf numFmtId="44" fontId="28" fillId="0" borderId="616" xfId="2" applyFont="1" applyFill="1" applyBorder="1" applyProtection="1">
      <protection locked="0"/>
    </xf>
    <xf numFmtId="42" fontId="0" fillId="0" borderId="616" xfId="0" applyNumberFormat="1" applyBorder="1" applyAlignment="1" applyProtection="1">
      <alignment horizontal="left" wrapText="1"/>
      <protection locked="0"/>
    </xf>
    <xf numFmtId="44" fontId="0" fillId="0" borderId="616" xfId="2" applyFont="1" applyFill="1" applyBorder="1" applyProtection="1">
      <protection locked="0"/>
    </xf>
    <xf numFmtId="0" fontId="93" fillId="0" borderId="507" xfId="0" applyFont="1" applyBorder="1" applyAlignment="1">
      <alignment vertical="top"/>
    </xf>
    <xf numFmtId="44" fontId="28" fillId="0" borderId="616" xfId="2" applyFont="1" applyBorder="1" applyAlignment="1" applyProtection="1">
      <alignment wrapText="1"/>
      <protection locked="0"/>
    </xf>
    <xf numFmtId="44" fontId="28" fillId="0" borderId="616" xfId="2" applyFont="1" applyFill="1" applyBorder="1" applyAlignment="1" applyProtection="1">
      <alignment wrapText="1"/>
      <protection locked="0"/>
    </xf>
    <xf numFmtId="3" fontId="0" fillId="0" borderId="616" xfId="0" applyNumberFormat="1" applyBorder="1" applyAlignment="1" applyProtection="1">
      <alignment horizontal="left"/>
      <protection locked="0"/>
    </xf>
    <xf numFmtId="0" fontId="0" fillId="7" borderId="454" xfId="0" applyFill="1" applyBorder="1" applyAlignment="1" applyProtection="1">
      <alignment horizontal="center"/>
      <protection locked="0"/>
    </xf>
    <xf numFmtId="0" fontId="1" fillId="7" borderId="454" xfId="0" applyFont="1" applyFill="1" applyBorder="1" applyAlignment="1" applyProtection="1">
      <alignment horizontal="center"/>
      <protection locked="0"/>
    </xf>
    <xf numFmtId="42" fontId="0" fillId="0" borderId="616" xfId="2" applyNumberFormat="1" applyFont="1" applyBorder="1" applyProtection="1">
      <protection locked="0"/>
    </xf>
    <xf numFmtId="44" fontId="0" fillId="11" borderId="616" xfId="2" applyFont="1" applyFill="1" applyBorder="1" applyProtection="1">
      <protection locked="0"/>
    </xf>
    <xf numFmtId="178" fontId="0" fillId="6" borderId="454" xfId="3" applyNumberFormat="1" applyFont="1" applyFill="1" applyBorder="1" applyProtection="1">
      <protection locked="0"/>
    </xf>
    <xf numFmtId="0" fontId="0" fillId="0" borderId="618" xfId="0" applyBorder="1"/>
    <xf numFmtId="0" fontId="0" fillId="0" borderId="619" xfId="0" applyBorder="1" applyProtection="1">
      <protection locked="0"/>
    </xf>
    <xf numFmtId="0" fontId="0" fillId="0" borderId="620" xfId="0" applyBorder="1" applyProtection="1">
      <protection locked="0"/>
    </xf>
    <xf numFmtId="165" fontId="0" fillId="0" borderId="621" xfId="0" applyNumberFormat="1" applyBorder="1" applyProtection="1">
      <protection locked="0"/>
    </xf>
    <xf numFmtId="0" fontId="0" fillId="0" borderId="619" xfId="0" applyBorder="1" applyAlignment="1" applyProtection="1">
      <alignment wrapText="1"/>
      <protection locked="0"/>
    </xf>
    <xf numFmtId="0" fontId="0" fillId="0" borderId="619" xfId="0" applyBorder="1" applyAlignment="1">
      <alignment wrapText="1"/>
    </xf>
    <xf numFmtId="0" fontId="0" fillId="0" borderId="621" xfId="0" applyBorder="1" applyProtection="1">
      <protection locked="0"/>
    </xf>
    <xf numFmtId="0" fontId="4" fillId="0" borderId="619" xfId="0" applyFont="1" applyBorder="1" applyAlignment="1">
      <alignment wrapText="1"/>
    </xf>
    <xf numFmtId="0" fontId="0" fillId="0" borderId="618" xfId="0" applyBorder="1" applyAlignment="1">
      <alignment vertical="top"/>
    </xf>
    <xf numFmtId="0" fontId="0" fillId="0" borderId="616" xfId="0" applyBorder="1" applyProtection="1">
      <protection locked="0"/>
    </xf>
    <xf numFmtId="0" fontId="30" fillId="19" borderId="613" xfId="0" applyFont="1" applyFill="1" applyBorder="1" applyAlignment="1">
      <alignment horizontal="center"/>
    </xf>
    <xf numFmtId="0" fontId="30" fillId="22" borderId="613" xfId="0" applyFont="1" applyFill="1" applyBorder="1" applyAlignment="1">
      <alignment horizontal="left"/>
    </xf>
    <xf numFmtId="44" fontId="0" fillId="22" borderId="612" xfId="2" applyFont="1" applyFill="1" applyBorder="1" applyProtection="1">
      <protection locked="0"/>
    </xf>
    <xf numFmtId="3" fontId="0" fillId="22" borderId="612" xfId="0" applyNumberFormat="1" applyFill="1" applyBorder="1" applyAlignment="1" applyProtection="1">
      <alignment horizontal="left"/>
      <protection locked="0"/>
    </xf>
    <xf numFmtId="3" fontId="0" fillId="22" borderId="612" xfId="2" applyNumberFormat="1" applyFont="1" applyFill="1" applyBorder="1" applyAlignment="1" applyProtection="1">
      <alignment horizontal="left"/>
      <protection locked="0"/>
    </xf>
    <xf numFmtId="165" fontId="0" fillId="0" borderId="612" xfId="2" applyNumberFormat="1" applyFont="1" applyBorder="1" applyProtection="1">
      <protection locked="0"/>
    </xf>
    <xf numFmtId="44" fontId="92" fillId="0" borderId="454" xfId="2" applyFont="1" applyBorder="1" applyAlignment="1">
      <alignment horizontal="center" vertical="center"/>
    </xf>
    <xf numFmtId="0" fontId="30" fillId="9" borderId="622" xfId="0" applyFont="1" applyFill="1" applyBorder="1" applyAlignment="1">
      <alignment horizontal="left" vertical="center" wrapText="1"/>
    </xf>
    <xf numFmtId="44" fontId="92" fillId="7" borderId="454" xfId="2" applyFont="1" applyFill="1" applyBorder="1" applyAlignment="1">
      <alignment horizontal="center" vertical="center"/>
    </xf>
    <xf numFmtId="0" fontId="0" fillId="0" borderId="618" xfId="0" applyBorder="1" applyProtection="1">
      <protection locked="0"/>
    </xf>
    <xf numFmtId="44" fontId="0" fillId="0" borderId="623" xfId="2" applyFont="1" applyBorder="1" applyAlignment="1">
      <alignment vertical="top"/>
    </xf>
    <xf numFmtId="44" fontId="0" fillId="0" borderId="624" xfId="2" applyFont="1" applyBorder="1" applyProtection="1">
      <protection locked="0"/>
    </xf>
    <xf numFmtId="0" fontId="30" fillId="19" borderId="625" xfId="0" applyFont="1" applyFill="1" applyBorder="1" applyAlignment="1">
      <alignment horizontal="center"/>
    </xf>
    <xf numFmtId="0" fontId="30" fillId="22" borderId="625" xfId="0" applyFont="1" applyFill="1" applyBorder="1" applyAlignment="1">
      <alignment horizontal="left"/>
    </xf>
    <xf numFmtId="44" fontId="0" fillId="22" borderId="624" xfId="2" applyFont="1" applyFill="1" applyBorder="1" applyProtection="1">
      <protection locked="0"/>
    </xf>
    <xf numFmtId="3" fontId="0" fillId="22" borderId="624" xfId="0" applyNumberFormat="1" applyFill="1" applyBorder="1" applyAlignment="1" applyProtection="1">
      <alignment horizontal="left"/>
      <protection locked="0"/>
    </xf>
    <xf numFmtId="5" fontId="0" fillId="22" borderId="624" xfId="2" applyNumberFormat="1" applyFont="1" applyFill="1" applyBorder="1" applyProtection="1">
      <protection locked="0"/>
    </xf>
    <xf numFmtId="44" fontId="0" fillId="0" borderId="626" xfId="2" applyFont="1" applyBorder="1" applyAlignment="1">
      <alignment vertical="top"/>
    </xf>
    <xf numFmtId="0" fontId="31" fillId="9" borderId="627" xfId="0" applyFont="1" applyFill="1" applyBorder="1" applyAlignment="1">
      <alignment horizontal="left" vertical="center" wrapText="1"/>
    </xf>
    <xf numFmtId="0" fontId="30" fillId="9" borderId="627" xfId="0" applyFont="1" applyFill="1" applyBorder="1" applyAlignment="1">
      <alignment horizontal="left" vertical="center" wrapText="1"/>
    </xf>
    <xf numFmtId="0" fontId="0" fillId="0" borderId="527" xfId="0" applyBorder="1" applyProtection="1">
      <protection locked="0"/>
    </xf>
    <xf numFmtId="44" fontId="0" fillId="0" borderId="612" xfId="0" applyNumberFormat="1" applyBorder="1" applyProtection="1">
      <protection locked="0"/>
    </xf>
    <xf numFmtId="0" fontId="0" fillId="0" borderId="617" xfId="0" applyBorder="1" applyAlignment="1">
      <alignment vertical="top"/>
    </xf>
    <xf numFmtId="0" fontId="0" fillId="0" borderId="496" xfId="0" applyBorder="1" applyProtection="1">
      <protection locked="0"/>
    </xf>
    <xf numFmtId="0" fontId="13" fillId="0" borderId="527" xfId="0" applyFont="1" applyBorder="1" applyAlignment="1" applyProtection="1">
      <alignment wrapText="1"/>
      <protection locked="0"/>
    </xf>
    <xf numFmtId="42" fontId="0" fillId="0" borderId="612" xfId="0" applyNumberFormat="1" applyBorder="1" applyAlignment="1" applyProtection="1">
      <alignment horizontal="left"/>
      <protection locked="0"/>
    </xf>
    <xf numFmtId="44" fontId="0" fillId="0" borderId="497" xfId="0" applyNumberFormat="1" applyBorder="1" applyProtection="1">
      <protection locked="0"/>
    </xf>
    <xf numFmtId="44" fontId="30" fillId="0" borderId="612" xfId="2" applyFont="1" applyBorder="1" applyAlignment="1">
      <alignment horizontal="center" vertical="center"/>
    </xf>
    <xf numFmtId="0" fontId="28" fillId="0" borderId="497" xfId="0" applyFont="1" applyBorder="1" applyAlignment="1" applyProtection="1">
      <alignment vertical="top" wrapText="1"/>
      <protection locked="0"/>
    </xf>
    <xf numFmtId="165" fontId="0" fillId="7" borderId="612" xfId="0" applyNumberFormat="1" applyFill="1" applyBorder="1" applyAlignment="1" applyProtection="1">
      <alignment horizontal="left"/>
      <protection locked="0"/>
    </xf>
    <xf numFmtId="0" fontId="30" fillId="9" borderId="613" xfId="0" applyFont="1" applyFill="1" applyBorder="1" applyAlignment="1">
      <alignment horizontal="left" vertical="center" wrapText="1"/>
    </xf>
    <xf numFmtId="0" fontId="30" fillId="9" borderId="613" xfId="0" applyFont="1" applyFill="1" applyBorder="1" applyAlignment="1">
      <alignment horizontal="left" vertical="center" wrapText="1" indent="1"/>
    </xf>
    <xf numFmtId="0" fontId="0" fillId="0" borderId="628" xfId="0" applyBorder="1" applyProtection="1">
      <protection locked="0"/>
    </xf>
    <xf numFmtId="0" fontId="0" fillId="0" borderId="623" xfId="0" applyBorder="1"/>
    <xf numFmtId="0" fontId="0" fillId="0" borderId="629" xfId="0" applyBorder="1" applyProtection="1">
      <protection locked="0"/>
    </xf>
    <xf numFmtId="0" fontId="0" fillId="0" borderId="630" xfId="0" applyBorder="1" applyProtection="1">
      <protection locked="0"/>
    </xf>
    <xf numFmtId="165" fontId="0" fillId="0" borderId="628" xfId="0" applyNumberFormat="1" applyBorder="1" applyProtection="1">
      <protection locked="0"/>
    </xf>
    <xf numFmtId="0" fontId="0" fillId="0" borderId="623" xfId="0" applyBorder="1" applyProtection="1">
      <protection locked="0"/>
    </xf>
    <xf numFmtId="0" fontId="0" fillId="0" borderId="629" xfId="0" applyBorder="1" applyAlignment="1" applyProtection="1">
      <alignment wrapText="1"/>
      <protection locked="0"/>
    </xf>
    <xf numFmtId="0" fontId="0" fillId="0" borderId="629" xfId="0" applyBorder="1" applyAlignment="1">
      <alignment wrapText="1"/>
    </xf>
    <xf numFmtId="0" fontId="4" fillId="0" borderId="629" xfId="0" applyFont="1" applyBorder="1" applyAlignment="1">
      <alignment wrapText="1"/>
    </xf>
    <xf numFmtId="0" fontId="0" fillId="0" borderId="623" xfId="0" applyBorder="1" applyAlignment="1">
      <alignment vertical="top"/>
    </xf>
    <xf numFmtId="0" fontId="0" fillId="0" borderId="624" xfId="0" applyBorder="1" applyProtection="1">
      <protection locked="0"/>
    </xf>
    <xf numFmtId="0" fontId="30" fillId="0" borderId="625" xfId="0" applyFont="1" applyBorder="1" applyAlignment="1">
      <alignment vertical="center"/>
    </xf>
    <xf numFmtId="3" fontId="0" fillId="0" borderId="624" xfId="0" applyNumberFormat="1" applyBorder="1" applyAlignment="1" applyProtection="1">
      <alignment horizontal="left"/>
      <protection locked="0"/>
    </xf>
    <xf numFmtId="0" fontId="30" fillId="0" borderId="625" xfId="0" quotePrefix="1" applyFont="1" applyBorder="1"/>
    <xf numFmtId="44" fontId="0" fillId="0" borderId="631" xfId="2" applyFont="1" applyBorder="1" applyAlignment="1">
      <alignment vertical="top"/>
    </xf>
    <xf numFmtId="44" fontId="0" fillId="0" borderId="632" xfId="2" applyFont="1" applyBorder="1" applyProtection="1">
      <protection locked="0"/>
    </xf>
    <xf numFmtId="0" fontId="30" fillId="19" borderId="633" xfId="0" applyFont="1" applyFill="1" applyBorder="1" applyAlignment="1">
      <alignment horizontal="center"/>
    </xf>
    <xf numFmtId="0" fontId="30" fillId="22" borderId="633" xfId="0" applyFont="1" applyFill="1" applyBorder="1" applyAlignment="1">
      <alignment horizontal="left"/>
    </xf>
    <xf numFmtId="3" fontId="0" fillId="22" borderId="632" xfId="0" applyNumberFormat="1" applyFill="1" applyBorder="1" applyAlignment="1" applyProtection="1">
      <alignment horizontal="left"/>
      <protection locked="0"/>
    </xf>
    <xf numFmtId="44" fontId="0" fillId="22" borderId="632" xfId="2" applyFont="1" applyFill="1" applyBorder="1" applyProtection="1">
      <protection locked="0"/>
    </xf>
    <xf numFmtId="44" fontId="0" fillId="0" borderId="634" xfId="2" applyFont="1" applyBorder="1" applyAlignment="1">
      <alignment vertical="top"/>
    </xf>
    <xf numFmtId="0" fontId="30" fillId="9" borderId="625" xfId="0" applyFont="1" applyFill="1" applyBorder="1" applyAlignment="1">
      <alignment horizontal="left" vertical="center" wrapText="1"/>
    </xf>
    <xf numFmtId="0" fontId="30" fillId="9" borderId="625" xfId="0" applyFont="1" applyFill="1" applyBorder="1" applyAlignment="1">
      <alignment horizontal="left" vertical="center" wrapText="1" indent="1"/>
    </xf>
    <xf numFmtId="0" fontId="0" fillId="0" borderId="635" xfId="0" applyBorder="1" applyProtection="1">
      <protection locked="0"/>
    </xf>
    <xf numFmtId="0" fontId="0" fillId="0" borderId="631" xfId="0" applyBorder="1"/>
    <xf numFmtId="0" fontId="0" fillId="0" borderId="636" xfId="0" applyBorder="1" applyProtection="1">
      <protection locked="0"/>
    </xf>
    <xf numFmtId="0" fontId="0" fillId="0" borderId="637" xfId="0" applyBorder="1" applyProtection="1">
      <protection locked="0"/>
    </xf>
    <xf numFmtId="165" fontId="0" fillId="0" borderId="635" xfId="0" applyNumberFormat="1" applyBorder="1" applyProtection="1">
      <protection locked="0"/>
    </xf>
    <xf numFmtId="0" fontId="0" fillId="0" borderId="631" xfId="0" applyBorder="1" applyProtection="1">
      <protection locked="0"/>
    </xf>
    <xf numFmtId="0" fontId="0" fillId="0" borderId="636" xfId="0" applyBorder="1" applyAlignment="1" applyProtection="1">
      <alignment wrapText="1"/>
      <protection locked="0"/>
    </xf>
    <xf numFmtId="0" fontId="0" fillId="0" borderId="636" xfId="0" applyBorder="1" applyAlignment="1">
      <alignment wrapText="1"/>
    </xf>
    <xf numFmtId="0" fontId="4" fillId="0" borderId="636" xfId="0" applyFont="1" applyBorder="1" applyAlignment="1">
      <alignment wrapText="1"/>
    </xf>
    <xf numFmtId="0" fontId="0" fillId="0" borderId="631" xfId="0" applyBorder="1" applyAlignment="1">
      <alignment vertical="top"/>
    </xf>
    <xf numFmtId="0" fontId="0" fillId="0" borderId="632" xfId="0" applyBorder="1" applyProtection="1">
      <protection locked="0"/>
    </xf>
    <xf numFmtId="0" fontId="30" fillId="0" borderId="633" xfId="0" applyFont="1" applyBorder="1" applyAlignment="1">
      <alignment vertical="center"/>
    </xf>
    <xf numFmtId="3" fontId="0" fillId="0" borderId="632" xfId="0" applyNumberFormat="1" applyBorder="1" applyAlignment="1" applyProtection="1">
      <alignment horizontal="left"/>
      <protection locked="0"/>
    </xf>
    <xf numFmtId="0" fontId="30" fillId="0" borderId="633" xfId="0" quotePrefix="1" applyFont="1" applyBorder="1"/>
    <xf numFmtId="44" fontId="0" fillId="0" borderId="638" xfId="2" applyFont="1" applyBorder="1" applyAlignment="1">
      <alignment vertical="top"/>
    </xf>
    <xf numFmtId="44" fontId="0" fillId="0" borderId="639" xfId="2" applyFont="1" applyBorder="1" applyProtection="1">
      <protection locked="0"/>
    </xf>
    <xf numFmtId="0" fontId="30" fillId="19" borderId="640" xfId="0" applyFont="1" applyFill="1" applyBorder="1" applyAlignment="1">
      <alignment horizontal="center"/>
    </xf>
    <xf numFmtId="0" fontId="30" fillId="22" borderId="640" xfId="0" applyFont="1" applyFill="1" applyBorder="1" applyAlignment="1">
      <alignment horizontal="left"/>
    </xf>
    <xf numFmtId="3" fontId="0" fillId="22" borderId="639" xfId="0" applyNumberFormat="1" applyFill="1" applyBorder="1" applyAlignment="1" applyProtection="1">
      <alignment horizontal="left"/>
      <protection locked="0"/>
    </xf>
    <xf numFmtId="44" fontId="0" fillId="22" borderId="639" xfId="2" applyFont="1" applyFill="1" applyBorder="1" applyProtection="1">
      <protection locked="0"/>
    </xf>
    <xf numFmtId="44" fontId="0" fillId="0" borderId="641" xfId="2" applyFont="1" applyBorder="1" applyAlignment="1">
      <alignment vertical="top"/>
    </xf>
    <xf numFmtId="0" fontId="30" fillId="9" borderId="633" xfId="0" applyFont="1" applyFill="1" applyBorder="1" applyAlignment="1">
      <alignment horizontal="left" vertical="center" wrapText="1"/>
    </xf>
    <xf numFmtId="0" fontId="30" fillId="9" borderId="633" xfId="0" applyFont="1" applyFill="1" applyBorder="1" applyAlignment="1">
      <alignment horizontal="left" vertical="center" wrapText="1" indent="1"/>
    </xf>
    <xf numFmtId="0" fontId="0" fillId="0" borderId="642" xfId="0" applyBorder="1" applyProtection="1">
      <protection locked="0"/>
    </xf>
    <xf numFmtId="0" fontId="0" fillId="0" borderId="638" xfId="0" applyBorder="1"/>
    <xf numFmtId="0" fontId="0" fillId="0" borderId="643" xfId="0" applyBorder="1" applyProtection="1">
      <protection locked="0"/>
    </xf>
    <xf numFmtId="0" fontId="0" fillId="0" borderId="644" xfId="0" applyBorder="1" applyProtection="1">
      <protection locked="0"/>
    </xf>
    <xf numFmtId="165" fontId="0" fillId="0" borderId="642" xfId="0" applyNumberFormat="1" applyBorder="1" applyProtection="1">
      <protection locked="0"/>
    </xf>
    <xf numFmtId="0" fontId="0" fillId="0" borderId="638" xfId="0" applyBorder="1" applyProtection="1">
      <protection locked="0"/>
    </xf>
    <xf numFmtId="0" fontId="0" fillId="0" borderId="643" xfId="0" applyBorder="1" applyAlignment="1" applyProtection="1">
      <alignment wrapText="1"/>
      <protection locked="0"/>
    </xf>
    <xf numFmtId="0" fontId="0" fillId="0" borderId="643" xfId="0" applyBorder="1" applyAlignment="1">
      <alignment wrapText="1"/>
    </xf>
    <xf numFmtId="0" fontId="4" fillId="0" borderId="643" xfId="0" applyFont="1" applyBorder="1" applyAlignment="1">
      <alignment wrapText="1"/>
    </xf>
    <xf numFmtId="0" fontId="0" fillId="0" borderId="638" xfId="0" applyBorder="1" applyAlignment="1">
      <alignment vertical="top"/>
    </xf>
    <xf numFmtId="0" fontId="0" fillId="0" borderId="639" xfId="0" applyBorder="1" applyProtection="1">
      <protection locked="0"/>
    </xf>
    <xf numFmtId="0" fontId="30" fillId="0" borderId="640" xfId="0" applyFont="1" applyBorder="1" applyAlignment="1">
      <alignment vertical="center"/>
    </xf>
    <xf numFmtId="3" fontId="0" fillId="0" borderId="639" xfId="0" applyNumberFormat="1" applyBorder="1" applyAlignment="1" applyProtection="1">
      <alignment horizontal="left"/>
      <protection locked="0"/>
    </xf>
    <xf numFmtId="39" fontId="0" fillId="22" borderId="497" xfId="2" applyNumberFormat="1" applyFont="1" applyFill="1" applyBorder="1" applyProtection="1">
      <protection locked="0"/>
    </xf>
    <xf numFmtId="7" fontId="0" fillId="22" borderId="497" xfId="2" applyNumberFormat="1" applyFont="1" applyFill="1" applyBorder="1" applyProtection="1">
      <protection locked="0"/>
    </xf>
    <xf numFmtId="7" fontId="0" fillId="22" borderId="493" xfId="2" applyNumberFormat="1" applyFont="1" applyFill="1" applyBorder="1" applyProtection="1">
      <protection locked="0"/>
    </xf>
    <xf numFmtId="7" fontId="0" fillId="0" borderId="497" xfId="2" applyNumberFormat="1" applyFont="1" applyBorder="1" applyProtection="1">
      <protection locked="0"/>
    </xf>
    <xf numFmtId="7" fontId="0" fillId="0" borderId="493" xfId="2" applyNumberFormat="1" applyFont="1" applyBorder="1" applyProtection="1">
      <protection locked="0"/>
    </xf>
    <xf numFmtId="0" fontId="31" fillId="0" borderId="507" xfId="0" applyFont="1" applyBorder="1" applyAlignment="1">
      <alignment vertical="center" wrapText="1"/>
    </xf>
    <xf numFmtId="0" fontId="30" fillId="0" borderId="507" xfId="0" applyFont="1" applyBorder="1" applyAlignment="1">
      <alignment vertical="center" wrapText="1"/>
    </xf>
    <xf numFmtId="7" fontId="30" fillId="9" borderId="497" xfId="2" applyNumberFormat="1" applyFont="1" applyFill="1" applyBorder="1" applyAlignment="1">
      <alignment horizontal="center" vertical="center"/>
    </xf>
    <xf numFmtId="3" fontId="0" fillId="0" borderId="632" xfId="2" applyNumberFormat="1" applyFont="1" applyBorder="1" applyAlignment="1" applyProtection="1">
      <alignment horizontal="left"/>
      <protection locked="0"/>
    </xf>
    <xf numFmtId="44" fontId="0" fillId="0" borderId="9" xfId="2" applyFont="1" applyBorder="1" applyProtection="1">
      <protection locked="0"/>
    </xf>
    <xf numFmtId="39" fontId="0" fillId="0" borderId="636" xfId="2" applyNumberFormat="1" applyFont="1" applyBorder="1" applyProtection="1">
      <protection locked="0"/>
    </xf>
    <xf numFmtId="7" fontId="30" fillId="9" borderId="636" xfId="2" applyNumberFormat="1" applyFont="1" applyFill="1" applyBorder="1" applyAlignment="1">
      <alignment horizontal="center" vertical="center"/>
    </xf>
    <xf numFmtId="7" fontId="0" fillId="0" borderId="637" xfId="2" applyNumberFormat="1" applyFont="1" applyBorder="1" applyProtection="1">
      <protection locked="0"/>
    </xf>
    <xf numFmtId="44" fontId="30" fillId="0" borderId="635" xfId="2" applyFont="1" applyBorder="1" applyAlignment="1">
      <alignment horizontal="center" vertical="center"/>
    </xf>
    <xf numFmtId="44" fontId="30" fillId="7" borderId="635" xfId="2" applyFont="1" applyFill="1" applyBorder="1" applyAlignment="1">
      <alignment horizontal="center" vertical="center"/>
    </xf>
    <xf numFmtId="0" fontId="30" fillId="0" borderId="640" xfId="0" quotePrefix="1" applyFont="1" applyBorder="1"/>
    <xf numFmtId="44" fontId="0" fillId="0" borderId="645" xfId="2" applyFont="1" applyBorder="1" applyAlignment="1">
      <alignment vertical="top"/>
    </xf>
    <xf numFmtId="44" fontId="0" fillId="0" borderId="646" xfId="2" applyFont="1" applyBorder="1" applyAlignment="1">
      <alignment vertical="top"/>
    </xf>
    <xf numFmtId="0" fontId="0" fillId="0" borderId="645" xfId="0" applyBorder="1"/>
    <xf numFmtId="0" fontId="0" fillId="0" borderId="647" xfId="0" applyBorder="1" applyProtection="1">
      <protection locked="0"/>
    </xf>
    <xf numFmtId="0" fontId="0" fillId="0" borderId="648" xfId="0" applyBorder="1" applyProtection="1">
      <protection locked="0"/>
    </xf>
    <xf numFmtId="0" fontId="0" fillId="0" borderId="645" xfId="0" applyBorder="1" applyProtection="1">
      <protection locked="0"/>
    </xf>
    <xf numFmtId="0" fontId="0" fillId="0" borderId="647" xfId="0" applyBorder="1" applyAlignment="1" applyProtection="1">
      <alignment wrapText="1"/>
      <protection locked="0"/>
    </xf>
    <xf numFmtId="0" fontId="0" fillId="0" borderId="647" xfId="0" applyBorder="1" applyAlignment="1">
      <alignment wrapText="1"/>
    </xf>
    <xf numFmtId="0" fontId="4" fillId="0" borderId="647" xfId="0" applyFont="1" applyBorder="1" applyAlignment="1">
      <alignment wrapText="1"/>
    </xf>
    <xf numFmtId="0" fontId="0" fillId="0" borderId="645" xfId="0" applyBorder="1" applyAlignment="1">
      <alignment vertical="top"/>
    </xf>
    <xf numFmtId="0" fontId="0" fillId="0" borderId="649" xfId="0" applyBorder="1" applyProtection="1">
      <protection locked="0"/>
    </xf>
    <xf numFmtId="0" fontId="30" fillId="0" borderId="650" xfId="0" applyFont="1" applyBorder="1" applyAlignment="1">
      <alignment vertical="center"/>
    </xf>
    <xf numFmtId="3" fontId="0" fillId="0" borderId="649" xfId="0" applyNumberFormat="1" applyBorder="1" applyAlignment="1" applyProtection="1">
      <alignment horizontal="left"/>
      <protection locked="0"/>
    </xf>
    <xf numFmtId="0" fontId="30" fillId="0" borderId="650" xfId="0" quotePrefix="1" applyFont="1" applyBorder="1"/>
    <xf numFmtId="44" fontId="0" fillId="0" borderId="651" xfId="2" applyFont="1" applyBorder="1" applyAlignment="1">
      <alignment vertical="top"/>
    </xf>
    <xf numFmtId="44" fontId="0" fillId="0" borderId="652" xfId="2" applyFont="1" applyBorder="1" applyProtection="1">
      <protection locked="0"/>
    </xf>
    <xf numFmtId="0" fontId="30" fillId="19" borderId="653" xfId="0" applyFont="1" applyFill="1" applyBorder="1" applyAlignment="1">
      <alignment horizontal="center"/>
    </xf>
    <xf numFmtId="0" fontId="30" fillId="22" borderId="653" xfId="0" applyFont="1" applyFill="1" applyBorder="1" applyAlignment="1">
      <alignment horizontal="left"/>
    </xf>
    <xf numFmtId="3" fontId="0" fillId="22" borderId="652" xfId="0" applyNumberFormat="1" applyFill="1" applyBorder="1" applyAlignment="1" applyProtection="1">
      <alignment horizontal="left"/>
      <protection locked="0"/>
    </xf>
    <xf numFmtId="44" fontId="0" fillId="22" borderId="652" xfId="2" applyFont="1" applyFill="1" applyBorder="1" applyProtection="1">
      <protection locked="0"/>
    </xf>
    <xf numFmtId="44" fontId="0" fillId="0" borderId="654" xfId="2" applyFont="1" applyBorder="1" applyAlignment="1">
      <alignment vertical="top"/>
    </xf>
    <xf numFmtId="0" fontId="0" fillId="0" borderId="651" xfId="0" applyBorder="1"/>
    <xf numFmtId="0" fontId="0" fillId="0" borderId="655" xfId="0" applyBorder="1" applyProtection="1">
      <protection locked="0"/>
    </xf>
    <xf numFmtId="0" fontId="0" fillId="0" borderId="656" xfId="0" applyBorder="1" applyProtection="1">
      <protection locked="0"/>
    </xf>
    <xf numFmtId="0" fontId="0" fillId="0" borderId="651" xfId="0" applyBorder="1" applyProtection="1">
      <protection locked="0"/>
    </xf>
    <xf numFmtId="0" fontId="0" fillId="0" borderId="655" xfId="0" applyBorder="1" applyAlignment="1" applyProtection="1">
      <alignment wrapText="1"/>
      <protection locked="0"/>
    </xf>
    <xf numFmtId="0" fontId="0" fillId="0" borderId="655" xfId="0" applyBorder="1" applyAlignment="1">
      <alignment wrapText="1"/>
    </xf>
    <xf numFmtId="0" fontId="4" fillId="0" borderId="655" xfId="0" applyFont="1" applyBorder="1" applyAlignment="1">
      <alignment wrapText="1"/>
    </xf>
    <xf numFmtId="3" fontId="0" fillId="0" borderId="652" xfId="0" applyNumberFormat="1" applyBorder="1" applyAlignment="1" applyProtection="1">
      <alignment horizontal="left"/>
      <protection locked="0"/>
    </xf>
    <xf numFmtId="0" fontId="0" fillId="0" borderId="652" xfId="0" applyBorder="1" applyProtection="1">
      <protection locked="0"/>
    </xf>
    <xf numFmtId="0" fontId="0" fillId="0" borderId="651" xfId="0" applyBorder="1" applyAlignment="1">
      <alignment vertical="top"/>
    </xf>
    <xf numFmtId="0" fontId="30" fillId="0" borderId="622" xfId="0" applyFont="1" applyBorder="1" applyAlignment="1">
      <alignment vertical="center"/>
    </xf>
    <xf numFmtId="0" fontId="30" fillId="0" borderId="622" xfId="0" quotePrefix="1" applyFont="1" applyBorder="1"/>
    <xf numFmtId="44" fontId="0" fillId="0" borderId="657" xfId="2" applyFont="1" applyBorder="1" applyProtection="1">
      <protection locked="0"/>
    </xf>
    <xf numFmtId="0" fontId="30" fillId="19" borderId="622" xfId="0" applyFont="1" applyFill="1" applyBorder="1" applyAlignment="1">
      <alignment horizontal="center"/>
    </xf>
    <xf numFmtId="0" fontId="30" fillId="22" borderId="622" xfId="0" applyFont="1" applyFill="1" applyBorder="1" applyAlignment="1">
      <alignment horizontal="left"/>
    </xf>
    <xf numFmtId="3" fontId="0" fillId="22" borderId="657" xfId="0" applyNumberFormat="1" applyFill="1" applyBorder="1" applyAlignment="1" applyProtection="1">
      <alignment horizontal="left"/>
      <protection locked="0"/>
    </xf>
    <xf numFmtId="44" fontId="0" fillId="22" borderId="657" xfId="2" applyFont="1" applyFill="1" applyBorder="1" applyProtection="1">
      <protection locked="0"/>
    </xf>
    <xf numFmtId="0" fontId="0" fillId="0" borderId="658" xfId="0" applyBorder="1"/>
    <xf numFmtId="0" fontId="0" fillId="0" borderId="659" xfId="0" applyBorder="1" applyProtection="1">
      <protection locked="0"/>
    </xf>
    <xf numFmtId="0" fontId="0" fillId="0" borderId="660" xfId="0" applyBorder="1" applyProtection="1">
      <protection locked="0"/>
    </xf>
    <xf numFmtId="165" fontId="0" fillId="0" borderId="661" xfId="0" applyNumberFormat="1" applyBorder="1" applyProtection="1">
      <protection locked="0"/>
    </xf>
    <xf numFmtId="0" fontId="0" fillId="0" borderId="658" xfId="0" applyBorder="1" applyProtection="1">
      <protection locked="0"/>
    </xf>
    <xf numFmtId="0" fontId="0" fillId="0" borderId="659" xfId="0" applyBorder="1" applyAlignment="1" applyProtection="1">
      <alignment wrapText="1"/>
      <protection locked="0"/>
    </xf>
    <xf numFmtId="0" fontId="0" fillId="0" borderId="659" xfId="0" applyBorder="1" applyAlignment="1">
      <alignment wrapText="1"/>
    </xf>
    <xf numFmtId="0" fontId="0" fillId="0" borderId="661" xfId="0" applyBorder="1" applyProtection="1">
      <protection locked="0"/>
    </xf>
    <xf numFmtId="0" fontId="4" fillId="0" borderId="659" xfId="0" applyFont="1" applyBorder="1" applyAlignment="1">
      <alignment wrapText="1"/>
    </xf>
    <xf numFmtId="0" fontId="0" fillId="0" borderId="658" xfId="0" applyBorder="1" applyAlignment="1">
      <alignment vertical="top"/>
    </xf>
    <xf numFmtId="44" fontId="0" fillId="0" borderId="658" xfId="2" applyFont="1" applyBorder="1" applyAlignment="1">
      <alignment vertical="top"/>
    </xf>
    <xf numFmtId="3" fontId="0" fillId="0" borderId="657" xfId="0" applyNumberFormat="1" applyBorder="1" applyAlignment="1" applyProtection="1">
      <alignment horizontal="left"/>
      <protection locked="0"/>
    </xf>
    <xf numFmtId="0" fontId="0" fillId="0" borderId="657" xfId="0" applyBorder="1" applyProtection="1">
      <protection locked="0"/>
    </xf>
    <xf numFmtId="0" fontId="0" fillId="0" borderId="662" xfId="0" applyBorder="1" applyProtection="1">
      <protection locked="0"/>
    </xf>
    <xf numFmtId="165" fontId="0" fillId="0" borderId="624" xfId="0" applyNumberFormat="1" applyBorder="1" applyProtection="1">
      <protection locked="0"/>
    </xf>
    <xf numFmtId="0" fontId="30" fillId="0" borderId="653" xfId="0" applyFont="1" applyBorder="1" applyAlignment="1">
      <alignment vertical="center"/>
    </xf>
    <xf numFmtId="0" fontId="30" fillId="0" borderId="653" xfId="0" quotePrefix="1" applyFont="1" applyBorder="1"/>
    <xf numFmtId="44" fontId="0" fillId="0" borderId="663" xfId="2" applyFont="1" applyBorder="1" applyAlignment="1">
      <alignment vertical="top"/>
    </xf>
    <xf numFmtId="44" fontId="0" fillId="0" borderId="664" xfId="2" applyFont="1" applyBorder="1" applyProtection="1">
      <protection locked="0"/>
    </xf>
    <xf numFmtId="0" fontId="30" fillId="19" borderId="665" xfId="0" applyFont="1" applyFill="1" applyBorder="1" applyAlignment="1">
      <alignment horizontal="center"/>
    </xf>
    <xf numFmtId="0" fontId="30" fillId="22" borderId="665" xfId="0" applyFont="1" applyFill="1" applyBorder="1" applyAlignment="1">
      <alignment horizontal="left"/>
    </xf>
    <xf numFmtId="4" fontId="0" fillId="22" borderId="497" xfId="2" applyNumberFormat="1" applyFont="1" applyFill="1" applyBorder="1" applyProtection="1">
      <protection locked="0"/>
    </xf>
    <xf numFmtId="4" fontId="0" fillId="22" borderId="493" xfId="2" applyNumberFormat="1" applyFont="1" applyFill="1" applyBorder="1" applyProtection="1">
      <protection locked="0"/>
    </xf>
    <xf numFmtId="44" fontId="0" fillId="22" borderId="664" xfId="2" applyFont="1" applyFill="1" applyBorder="1" applyProtection="1">
      <protection locked="0"/>
    </xf>
    <xf numFmtId="3" fontId="0" fillId="22" borderId="664" xfId="0" applyNumberFormat="1" applyFill="1" applyBorder="1" applyAlignment="1" applyProtection="1">
      <alignment horizontal="left"/>
      <protection locked="0"/>
    </xf>
    <xf numFmtId="0" fontId="30" fillId="9" borderId="665" xfId="0" applyFont="1" applyFill="1" applyBorder="1" applyAlignment="1">
      <alignment horizontal="left"/>
    </xf>
    <xf numFmtId="4" fontId="0" fillId="0" borderId="497" xfId="2" applyNumberFormat="1" applyFont="1" applyBorder="1" applyProtection="1">
      <protection locked="0"/>
    </xf>
    <xf numFmtId="4" fontId="0" fillId="0" borderId="493" xfId="2" applyNumberFormat="1" applyFont="1" applyBorder="1" applyProtection="1">
      <protection locked="0"/>
    </xf>
    <xf numFmtId="44" fontId="0" fillId="0" borderId="666" xfId="2" applyFont="1" applyBorder="1" applyAlignment="1">
      <alignment vertical="top"/>
    </xf>
    <xf numFmtId="0" fontId="30" fillId="9" borderId="507" xfId="0" applyFont="1" applyFill="1" applyBorder="1" applyAlignment="1">
      <alignment vertical="center" wrapText="1"/>
    </xf>
    <xf numFmtId="3" fontId="0" fillId="0" borderId="497" xfId="2" applyNumberFormat="1" applyFont="1" applyBorder="1" applyProtection="1">
      <protection locked="0"/>
    </xf>
    <xf numFmtId="3" fontId="0" fillId="0" borderId="497" xfId="2" applyNumberFormat="1" applyFont="1" applyBorder="1" applyAlignment="1" applyProtection="1">
      <alignment horizontal="left"/>
      <protection locked="0"/>
    </xf>
    <xf numFmtId="0" fontId="30" fillId="9" borderId="507" xfId="0" applyFont="1" applyFill="1" applyBorder="1" applyAlignment="1">
      <alignment horizontal="left" vertical="center" wrapText="1"/>
    </xf>
    <xf numFmtId="3" fontId="0" fillId="0" borderId="664" xfId="2" applyNumberFormat="1" applyFont="1" applyBorder="1" applyAlignment="1" applyProtection="1">
      <alignment horizontal="left"/>
      <protection locked="0"/>
    </xf>
    <xf numFmtId="0" fontId="0" fillId="0" borderId="666" xfId="0" applyBorder="1" applyAlignment="1">
      <alignment vertical="top"/>
    </xf>
    <xf numFmtId="0" fontId="35" fillId="0" borderId="667" xfId="0" applyFont="1" applyBorder="1" applyAlignment="1">
      <alignment vertical="top" wrapText="1"/>
    </xf>
    <xf numFmtId="0" fontId="7" fillId="0" borderId="667" xfId="0" applyFont="1" applyBorder="1" applyAlignment="1">
      <alignment vertical="top" wrapText="1"/>
    </xf>
    <xf numFmtId="44" fontId="0" fillId="0" borderId="202" xfId="2" applyFont="1" applyBorder="1" applyProtection="1">
      <protection locked="0"/>
    </xf>
    <xf numFmtId="44" fontId="30" fillId="0" borderId="628" xfId="2" applyFont="1" applyBorder="1" applyAlignment="1">
      <alignment horizontal="center" vertical="center"/>
    </xf>
    <xf numFmtId="44" fontId="30" fillId="7" borderId="628" xfId="2" applyFont="1" applyFill="1" applyBorder="1" applyAlignment="1">
      <alignment horizontal="center" vertical="center"/>
    </xf>
    <xf numFmtId="0" fontId="7" fillId="0" borderId="668" xfId="0" applyFont="1" applyBorder="1" applyAlignment="1">
      <alignment vertical="top" wrapText="1"/>
    </xf>
    <xf numFmtId="0" fontId="0" fillId="0" borderId="597" xfId="0" applyBorder="1" applyProtection="1">
      <protection locked="0"/>
    </xf>
    <xf numFmtId="8" fontId="0" fillId="0" borderId="664" xfId="0" applyNumberFormat="1" applyBorder="1" applyProtection="1">
      <protection locked="0"/>
    </xf>
    <xf numFmtId="0" fontId="0" fillId="0" borderId="669" xfId="0" applyBorder="1" applyProtection="1">
      <protection locked="0"/>
    </xf>
    <xf numFmtId="8" fontId="0" fillId="0" borderId="628" xfId="0" applyNumberFormat="1" applyBorder="1" applyProtection="1">
      <protection locked="0"/>
    </xf>
    <xf numFmtId="0" fontId="6" fillId="0" borderId="629" xfId="0" applyFont="1" applyBorder="1" applyProtection="1">
      <protection locked="0"/>
    </xf>
    <xf numFmtId="0" fontId="0" fillId="0" borderId="664" xfId="0" applyBorder="1" applyProtection="1">
      <protection locked="0"/>
    </xf>
    <xf numFmtId="0" fontId="0" fillId="0" borderId="623" xfId="0" applyBorder="1" applyAlignment="1">
      <alignment vertical="top" wrapText="1"/>
    </xf>
    <xf numFmtId="0" fontId="0" fillId="0" borderId="497" xfId="0" applyBorder="1"/>
    <xf numFmtId="0" fontId="6" fillId="0" borderId="497" xfId="0" applyFont="1" applyBorder="1" applyAlignment="1" applyProtection="1">
      <alignment wrapText="1"/>
      <protection locked="0"/>
    </xf>
    <xf numFmtId="0" fontId="0" fillId="0" borderId="493" xfId="0" applyBorder="1" applyAlignment="1" applyProtection="1">
      <alignment wrapText="1"/>
      <protection locked="0"/>
    </xf>
    <xf numFmtId="0" fontId="0" fillId="0" borderId="664" xfId="0" applyBorder="1" applyAlignment="1" applyProtection="1">
      <alignment wrapText="1"/>
      <protection locked="0"/>
    </xf>
    <xf numFmtId="0" fontId="0" fillId="0" borderId="628" xfId="0" applyBorder="1" applyAlignment="1" applyProtection="1">
      <alignment wrapText="1"/>
      <protection locked="0"/>
    </xf>
    <xf numFmtId="0" fontId="30" fillId="0" borderId="670" xfId="0" applyFont="1" applyBorder="1" applyAlignment="1">
      <alignment vertical="center"/>
    </xf>
    <xf numFmtId="3" fontId="0" fillId="0" borderId="671" xfId="0" applyNumberFormat="1" applyBorder="1" applyAlignment="1" applyProtection="1">
      <alignment horizontal="left"/>
      <protection locked="0"/>
    </xf>
    <xf numFmtId="0" fontId="30" fillId="0" borderId="670" xfId="0" quotePrefix="1" applyFont="1" applyBorder="1"/>
    <xf numFmtId="0" fontId="0" fillId="0" borderId="671" xfId="0" applyBorder="1" applyProtection="1">
      <protection locked="0"/>
    </xf>
    <xf numFmtId="0" fontId="0" fillId="0" borderId="672" xfId="0" applyBorder="1" applyAlignment="1">
      <alignment vertical="top"/>
    </xf>
    <xf numFmtId="0" fontId="30" fillId="0" borderId="673" xfId="0" quotePrefix="1" applyFont="1" applyBorder="1"/>
    <xf numFmtId="3" fontId="0" fillId="0" borderId="674" xfId="0" applyNumberFormat="1" applyBorder="1" applyAlignment="1" applyProtection="1">
      <alignment horizontal="left"/>
      <protection locked="0"/>
    </xf>
    <xf numFmtId="0" fontId="0" fillId="0" borderId="674" xfId="0" applyBorder="1" applyProtection="1">
      <protection locked="0"/>
    </xf>
    <xf numFmtId="0" fontId="0" fillId="0" borderId="675" xfId="0" applyBorder="1" applyAlignment="1">
      <alignment vertical="top"/>
    </xf>
    <xf numFmtId="0" fontId="30" fillId="0" borderId="676" xfId="0" quotePrefix="1" applyFont="1" applyBorder="1"/>
    <xf numFmtId="3" fontId="0" fillId="0" borderId="677" xfId="0" applyNumberFormat="1" applyBorder="1" applyAlignment="1" applyProtection="1">
      <alignment horizontal="left"/>
      <protection locked="0"/>
    </xf>
    <xf numFmtId="0" fontId="0" fillId="0" borderId="677" xfId="0" applyBorder="1" applyProtection="1">
      <protection locked="0"/>
    </xf>
    <xf numFmtId="0" fontId="30" fillId="19" borderId="676" xfId="0" applyFont="1" applyFill="1" applyBorder="1" applyAlignment="1">
      <alignment horizontal="center"/>
    </xf>
    <xf numFmtId="0" fontId="30" fillId="22" borderId="676" xfId="0" applyFont="1" applyFill="1" applyBorder="1" applyAlignment="1">
      <alignment horizontal="left"/>
    </xf>
    <xf numFmtId="0" fontId="6" fillId="22" borderId="497" xfId="0" applyFont="1" applyFill="1" applyBorder="1" applyProtection="1">
      <protection locked="0"/>
    </xf>
    <xf numFmtId="0" fontId="0" fillId="22" borderId="497" xfId="0" applyFill="1" applyBorder="1" applyProtection="1">
      <protection locked="0"/>
    </xf>
    <xf numFmtId="8" fontId="0" fillId="22" borderId="493" xfId="0" applyNumberFormat="1" applyFill="1" applyBorder="1" applyProtection="1">
      <protection locked="0"/>
    </xf>
    <xf numFmtId="170" fontId="0" fillId="22" borderId="677" xfId="0" applyNumberFormat="1" applyFill="1" applyBorder="1" applyProtection="1">
      <protection locked="0"/>
    </xf>
    <xf numFmtId="0" fontId="0" fillId="22" borderId="677" xfId="0" applyFill="1" applyBorder="1" applyProtection="1">
      <protection locked="0"/>
    </xf>
    <xf numFmtId="1" fontId="0" fillId="0" borderId="678" xfId="0" applyNumberFormat="1" applyBorder="1" applyAlignment="1">
      <alignment vertical="top"/>
    </xf>
    <xf numFmtId="0" fontId="31" fillId="9" borderId="679" xfId="0" applyFont="1" applyFill="1" applyBorder="1" applyAlignment="1">
      <alignment horizontal="left" vertical="center" wrapText="1"/>
    </xf>
    <xf numFmtId="6" fontId="0" fillId="0" borderId="680" xfId="0" applyNumberFormat="1" applyBorder="1" applyProtection="1">
      <protection locked="0"/>
    </xf>
    <xf numFmtId="1" fontId="0" fillId="0" borderId="508" xfId="0" applyNumberFormat="1" applyBorder="1" applyAlignment="1">
      <alignment vertical="top"/>
    </xf>
    <xf numFmtId="0" fontId="30" fillId="9" borderId="681" xfId="0" applyFont="1" applyFill="1" applyBorder="1" applyAlignment="1">
      <alignment horizontal="left" vertical="center" wrapText="1"/>
    </xf>
    <xf numFmtId="0" fontId="30" fillId="9" borderId="527" xfId="0" applyFont="1" applyFill="1" applyBorder="1" applyAlignment="1">
      <alignment horizontal="left" vertical="center" wrapText="1"/>
    </xf>
    <xf numFmtId="0" fontId="0" fillId="0" borderId="680" xfId="0" applyBorder="1" applyProtection="1">
      <protection locked="0"/>
    </xf>
    <xf numFmtId="0" fontId="31" fillId="9" borderId="681" xfId="0" applyFont="1" applyFill="1" applyBorder="1" applyAlignment="1">
      <alignment horizontal="left" vertical="center" wrapText="1"/>
    </xf>
    <xf numFmtId="0" fontId="30" fillId="9" borderId="681" xfId="0" applyFont="1" applyFill="1" applyBorder="1" applyAlignment="1">
      <alignment horizontal="left"/>
    </xf>
    <xf numFmtId="0" fontId="31" fillId="9" borderId="681" xfId="0" applyFont="1" applyFill="1" applyBorder="1" applyAlignment="1">
      <alignment horizontal="left"/>
    </xf>
    <xf numFmtId="0" fontId="30" fillId="9" borderId="682" xfId="0" applyFont="1" applyFill="1" applyBorder="1" applyAlignment="1">
      <alignment horizontal="left" vertical="center" wrapText="1"/>
    </xf>
    <xf numFmtId="0" fontId="30" fillId="9" borderId="681" xfId="0" applyFont="1" applyFill="1" applyBorder="1" applyAlignment="1">
      <alignment horizontal="left" wrapText="1"/>
    </xf>
    <xf numFmtId="0" fontId="30" fillId="0" borderId="681" xfId="0" applyFont="1" applyBorder="1" applyAlignment="1">
      <alignment horizontal="left"/>
    </xf>
    <xf numFmtId="0" fontId="30" fillId="7" borderId="681" xfId="0" applyFont="1" applyFill="1" applyBorder="1" applyAlignment="1">
      <alignment horizontal="left"/>
    </xf>
    <xf numFmtId="8" fontId="0" fillId="0" borderId="497" xfId="0" applyNumberFormat="1" applyBorder="1" applyProtection="1">
      <protection locked="0"/>
    </xf>
    <xf numFmtId="8" fontId="0" fillId="0" borderId="493" xfId="0" applyNumberFormat="1" applyBorder="1" applyProtection="1">
      <protection locked="0"/>
    </xf>
    <xf numFmtId="3" fontId="0" fillId="0" borderId="497" xfId="0" applyNumberFormat="1" applyBorder="1" applyProtection="1">
      <protection locked="0"/>
    </xf>
    <xf numFmtId="6" fontId="0" fillId="0" borderId="493" xfId="0" applyNumberFormat="1" applyBorder="1" applyProtection="1">
      <protection locked="0"/>
    </xf>
    <xf numFmtId="170" fontId="0" fillId="0" borderId="680" xfId="0" applyNumberFormat="1" applyBorder="1" applyAlignment="1" applyProtection="1">
      <alignment horizontal="left"/>
      <protection locked="0"/>
    </xf>
    <xf numFmtId="0" fontId="30" fillId="9" borderId="683" xfId="0" applyFont="1" applyFill="1" applyBorder="1" applyAlignment="1">
      <alignment horizontal="left" vertical="center" wrapText="1"/>
    </xf>
    <xf numFmtId="0" fontId="0" fillId="0" borderId="684" xfId="0" applyBorder="1" applyProtection="1">
      <protection locked="0"/>
    </xf>
    <xf numFmtId="170" fontId="0" fillId="2" borderId="677" xfId="0" applyNumberFormat="1" applyFill="1" applyBorder="1" applyAlignment="1" applyProtection="1">
      <alignment horizontal="left"/>
      <protection locked="0"/>
    </xf>
    <xf numFmtId="3" fontId="0" fillId="0" borderId="677" xfId="0" applyNumberFormat="1" applyBorder="1" applyProtection="1">
      <protection locked="0"/>
    </xf>
    <xf numFmtId="0" fontId="6" fillId="0" borderId="684" xfId="0" applyFont="1" applyBorder="1" applyProtection="1">
      <protection locked="0"/>
    </xf>
    <xf numFmtId="0" fontId="0" fillId="0" borderId="685" xfId="0" applyBorder="1" applyProtection="1">
      <protection locked="0"/>
    </xf>
    <xf numFmtId="44" fontId="30" fillId="7" borderId="686" xfId="2" applyFont="1" applyFill="1" applyBorder="1" applyAlignment="1">
      <alignment horizontal="center" vertical="center"/>
    </xf>
    <xf numFmtId="44" fontId="30" fillId="0" borderId="686" xfId="2" applyFont="1" applyBorder="1" applyAlignment="1">
      <alignment horizontal="center" vertical="center"/>
    </xf>
    <xf numFmtId="6" fontId="0" fillId="0" borderId="677" xfId="0" applyNumberFormat="1" applyBorder="1" applyAlignment="1" applyProtection="1">
      <alignment horizontal="left"/>
      <protection locked="0"/>
    </xf>
    <xf numFmtId="165" fontId="12" fillId="6" borderId="495" xfId="0" applyNumberFormat="1" applyFont="1" applyFill="1" applyBorder="1" applyAlignment="1" applyProtection="1">
      <alignment horizontal="left"/>
      <protection locked="0"/>
    </xf>
    <xf numFmtId="7" fontId="0" fillId="6" borderId="495" xfId="0" applyNumberFormat="1" applyFill="1" applyBorder="1" applyAlignment="1" applyProtection="1">
      <alignment horizontal="center"/>
      <protection locked="0"/>
    </xf>
    <xf numFmtId="0" fontId="0" fillId="0" borderId="678" xfId="0" applyBorder="1"/>
    <xf numFmtId="165" fontId="0" fillId="0" borderId="686" xfId="0" applyNumberFormat="1" applyBorder="1" applyProtection="1">
      <protection locked="0"/>
    </xf>
    <xf numFmtId="165" fontId="0" fillId="0" borderId="677" xfId="0" applyNumberFormat="1" applyBorder="1" applyProtection="1">
      <protection locked="0"/>
    </xf>
    <xf numFmtId="0" fontId="0" fillId="0" borderId="684" xfId="0" applyBorder="1" applyAlignment="1">
      <alignment wrapText="1"/>
    </xf>
    <xf numFmtId="0" fontId="0" fillId="0" borderId="678" xfId="0" applyBorder="1" applyProtection="1">
      <protection locked="0"/>
    </xf>
    <xf numFmtId="0" fontId="0" fillId="7" borderId="684" xfId="0" applyFill="1" applyBorder="1" applyAlignment="1" applyProtection="1">
      <alignment wrapText="1"/>
      <protection locked="0"/>
    </xf>
    <xf numFmtId="165" fontId="0" fillId="7" borderId="686" xfId="0" applyNumberFormat="1" applyFill="1" applyBorder="1" applyProtection="1">
      <protection locked="0"/>
    </xf>
    <xf numFmtId="165" fontId="0" fillId="7" borderId="454" xfId="0" applyNumberFormat="1" applyFill="1" applyBorder="1" applyProtection="1">
      <protection locked="0"/>
    </xf>
    <xf numFmtId="6" fontId="0" fillId="7" borderId="677" xfId="0" applyNumberFormat="1" applyFill="1" applyBorder="1" applyProtection="1">
      <protection locked="0"/>
    </xf>
    <xf numFmtId="0" fontId="0" fillId="0" borderId="684" xfId="0" applyBorder="1" applyAlignment="1" applyProtection="1">
      <alignment wrapText="1"/>
      <protection locked="0"/>
    </xf>
    <xf numFmtId="0" fontId="4" fillId="0" borderId="687" xfId="0" applyFont="1" applyBorder="1" applyAlignment="1">
      <alignment wrapText="1"/>
    </xf>
    <xf numFmtId="5" fontId="0" fillId="0" borderId="454" xfId="2" applyNumberFormat="1" applyFont="1" applyBorder="1" applyAlignment="1" applyProtection="1">
      <alignment horizontal="center"/>
      <protection locked="0"/>
    </xf>
    <xf numFmtId="0" fontId="0" fillId="0" borderId="688" xfId="0" applyBorder="1" applyAlignment="1">
      <alignment vertical="top"/>
    </xf>
    <xf numFmtId="0" fontId="30" fillId="0" borderId="681" xfId="0" applyFont="1" applyBorder="1" applyAlignment="1">
      <alignment vertical="center"/>
    </xf>
    <xf numFmtId="3" fontId="0" fillId="0" borderId="680" xfId="0" applyNumberFormat="1" applyBorder="1" applyAlignment="1" applyProtection="1">
      <alignment horizontal="left"/>
      <protection locked="0"/>
    </xf>
    <xf numFmtId="0" fontId="0" fillId="0" borderId="497" xfId="0" applyBorder="1" applyAlignment="1" applyProtection="1">
      <alignment horizontal="left" vertical="top"/>
      <protection locked="0"/>
    </xf>
    <xf numFmtId="0" fontId="30" fillId="0" borderId="681" xfId="0" quotePrefix="1" applyFont="1" applyBorder="1"/>
    <xf numFmtId="0" fontId="0" fillId="0" borderId="678" xfId="0" applyBorder="1" applyAlignment="1">
      <alignment vertical="top"/>
    </xf>
    <xf numFmtId="0" fontId="30" fillId="19" borderId="681" xfId="0" applyFont="1" applyFill="1" applyBorder="1" applyAlignment="1">
      <alignment horizontal="center"/>
    </xf>
    <xf numFmtId="0" fontId="30" fillId="22" borderId="681" xfId="0" applyFont="1" applyFill="1" applyBorder="1" applyAlignment="1">
      <alignment horizontal="left"/>
    </xf>
    <xf numFmtId="0" fontId="0" fillId="22" borderId="497" xfId="0" applyFill="1" applyBorder="1" applyAlignment="1" applyProtection="1">
      <alignment horizontal="left" vertical="top"/>
      <protection locked="0"/>
    </xf>
    <xf numFmtId="2" fontId="0" fillId="22" borderId="527" xfId="0" applyNumberFormat="1" applyFill="1" applyBorder="1" applyProtection="1">
      <protection locked="0"/>
    </xf>
    <xf numFmtId="165" fontId="0" fillId="22" borderId="497" xfId="0" applyNumberFormat="1" applyFill="1" applyBorder="1" applyProtection="1">
      <protection locked="0"/>
    </xf>
    <xf numFmtId="165" fontId="0" fillId="22" borderId="493" xfId="0" applyNumberFormat="1" applyFill="1" applyBorder="1" applyProtection="1">
      <protection locked="0"/>
    </xf>
    <xf numFmtId="0" fontId="0" fillId="22" borderId="454" xfId="0" applyFill="1" applyBorder="1" applyProtection="1">
      <protection locked="0"/>
    </xf>
    <xf numFmtId="3" fontId="0" fillId="22" borderId="680" xfId="0" applyNumberFormat="1" applyFill="1" applyBorder="1" applyAlignment="1" applyProtection="1">
      <alignment horizontal="left"/>
      <protection locked="0"/>
    </xf>
    <xf numFmtId="0" fontId="0" fillId="22" borderId="689" xfId="0" applyFill="1" applyBorder="1" applyProtection="1">
      <protection locked="0"/>
    </xf>
    <xf numFmtId="3" fontId="0" fillId="22" borderId="680" xfId="0" applyNumberFormat="1" applyFill="1" applyBorder="1" applyProtection="1">
      <protection locked="0"/>
    </xf>
    <xf numFmtId="0" fontId="0" fillId="22" borderId="454" xfId="0" applyFill="1" applyBorder="1" applyAlignment="1" applyProtection="1">
      <alignment horizontal="center"/>
      <protection locked="0"/>
    </xf>
    <xf numFmtId="0" fontId="0" fillId="22" borderId="680" xfId="0" applyFill="1" applyBorder="1" applyProtection="1">
      <protection locked="0"/>
    </xf>
    <xf numFmtId="2" fontId="0" fillId="0" borderId="527" xfId="0" applyNumberFormat="1" applyBorder="1" applyProtection="1">
      <protection locked="0"/>
    </xf>
    <xf numFmtId="0" fontId="0" fillId="0" borderId="690" xfId="0" applyBorder="1" applyAlignment="1">
      <alignment vertical="top"/>
    </xf>
    <xf numFmtId="0" fontId="30" fillId="9" borderId="691" xfId="0" applyFont="1" applyFill="1" applyBorder="1" applyAlignment="1">
      <alignment horizontal="left" vertical="center" wrapText="1"/>
    </xf>
    <xf numFmtId="0" fontId="0" fillId="0" borderId="527" xfId="0" applyBorder="1" applyAlignment="1" applyProtection="1">
      <alignment horizontal="left" vertical="top"/>
      <protection locked="0"/>
    </xf>
    <xf numFmtId="181" fontId="0" fillId="0" borderId="692" xfId="0" applyNumberFormat="1" applyBorder="1" applyAlignment="1" applyProtection="1">
      <alignment horizontal="left"/>
      <protection locked="0"/>
    </xf>
    <xf numFmtId="0" fontId="31" fillId="9" borderId="691" xfId="0" applyFont="1" applyFill="1" applyBorder="1" applyAlignment="1">
      <alignment horizontal="left" vertical="center" wrapText="1"/>
    </xf>
    <xf numFmtId="3" fontId="0" fillId="0" borderId="692" xfId="0" applyNumberFormat="1" applyBorder="1" applyProtection="1">
      <protection locked="0"/>
    </xf>
    <xf numFmtId="0" fontId="30" fillId="9" borderId="693" xfId="0" applyFont="1" applyFill="1" applyBorder="1" applyAlignment="1">
      <alignment vertical="center" wrapText="1"/>
    </xf>
    <xf numFmtId="44" fontId="30" fillId="7" borderId="694" xfId="2" applyFont="1" applyFill="1" applyBorder="1" applyAlignment="1">
      <alignment horizontal="center" vertical="center"/>
    </xf>
    <xf numFmtId="0" fontId="30" fillId="0" borderId="693" xfId="0" applyFont="1" applyBorder="1" applyAlignment="1">
      <alignment vertical="center" wrapText="1"/>
    </xf>
    <xf numFmtId="0" fontId="30" fillId="0" borderId="695" xfId="0" applyFont="1" applyBorder="1" applyAlignment="1">
      <alignment vertical="center" wrapText="1"/>
    </xf>
    <xf numFmtId="0" fontId="31" fillId="9" borderId="696" xfId="0" applyFont="1" applyFill="1" applyBorder="1" applyAlignment="1">
      <alignment horizontal="left" vertical="center" wrapText="1"/>
    </xf>
    <xf numFmtId="0" fontId="0" fillId="0" borderId="687" xfId="0" applyBorder="1" applyProtection="1">
      <protection locked="0"/>
    </xf>
    <xf numFmtId="165" fontId="0" fillId="0" borderId="687" xfId="0" applyNumberFormat="1" applyBorder="1" applyProtection="1">
      <protection locked="0"/>
    </xf>
    <xf numFmtId="165" fontId="0" fillId="0" borderId="697" xfId="0" applyNumberFormat="1" applyBorder="1" applyProtection="1">
      <protection locked="0"/>
    </xf>
    <xf numFmtId="44" fontId="30" fillId="0" borderId="689" xfId="2" applyFont="1" applyBorder="1" applyAlignment="1">
      <alignment horizontal="center" vertical="center"/>
    </xf>
    <xf numFmtId="44" fontId="30" fillId="7" borderId="689" xfId="2" applyFont="1" applyFill="1" applyBorder="1" applyAlignment="1">
      <alignment horizontal="center" vertical="center"/>
    </xf>
    <xf numFmtId="44" fontId="122" fillId="0" borderId="689" xfId="2" applyFont="1" applyBorder="1" applyAlignment="1">
      <alignment horizontal="center" vertical="center"/>
    </xf>
    <xf numFmtId="0" fontId="6" fillId="0" borderId="689" xfId="0" applyFont="1" applyBorder="1" applyProtection="1">
      <protection locked="0"/>
    </xf>
    <xf numFmtId="3" fontId="0" fillId="0" borderId="680" xfId="0" applyNumberFormat="1" applyBorder="1" applyProtection="1">
      <protection locked="0"/>
    </xf>
    <xf numFmtId="38" fontId="0" fillId="0" borderId="680" xfId="0" applyNumberFormat="1" applyBorder="1" applyProtection="1">
      <protection locked="0"/>
    </xf>
    <xf numFmtId="0" fontId="0" fillId="6" borderId="698" xfId="0" applyFill="1" applyBorder="1"/>
    <xf numFmtId="0" fontId="0" fillId="6" borderId="699" xfId="0" applyFill="1" applyBorder="1" applyAlignment="1">
      <alignment wrapText="1"/>
    </xf>
    <xf numFmtId="0" fontId="0" fillId="6" borderId="699" xfId="0" applyFill="1" applyBorder="1" applyProtection="1">
      <protection locked="0"/>
    </xf>
    <xf numFmtId="0" fontId="0" fillId="6" borderId="699" xfId="0" applyFill="1" applyBorder="1" applyAlignment="1" applyProtection="1">
      <alignment vertical="center"/>
      <protection locked="0"/>
    </xf>
    <xf numFmtId="0" fontId="0" fillId="6" borderId="699" xfId="0" applyFill="1" applyBorder="1" applyAlignment="1" applyProtection="1">
      <alignment horizontal="right" vertical="center"/>
      <protection locked="0"/>
    </xf>
    <xf numFmtId="0" fontId="0" fillId="6" borderId="700" xfId="0" applyFill="1" applyBorder="1" applyAlignment="1" applyProtection="1">
      <alignment horizontal="right"/>
      <protection locked="0"/>
    </xf>
    <xf numFmtId="10" fontId="0" fillId="6" borderId="694" xfId="3" applyNumberFormat="1" applyFont="1" applyFill="1" applyBorder="1" applyProtection="1">
      <protection locked="0"/>
    </xf>
    <xf numFmtId="9" fontId="0" fillId="6" borderId="694" xfId="3" applyFont="1" applyFill="1" applyBorder="1" applyAlignment="1" applyProtection="1">
      <alignment horizontal="left"/>
      <protection locked="0"/>
    </xf>
    <xf numFmtId="9" fontId="0" fillId="6" borderId="694" xfId="3" applyFont="1" applyFill="1" applyBorder="1" applyProtection="1">
      <protection locked="0"/>
    </xf>
    <xf numFmtId="9" fontId="0" fillId="6" borderId="694" xfId="3" applyFont="1" applyFill="1" applyBorder="1" applyAlignment="1" applyProtection="1">
      <alignment horizontal="center"/>
      <protection locked="0"/>
    </xf>
    <xf numFmtId="44" fontId="0" fillId="6" borderId="694" xfId="2" applyFont="1" applyFill="1" applyBorder="1" applyProtection="1">
      <protection locked="0"/>
    </xf>
    <xf numFmtId="5" fontId="0" fillId="6" borderId="694" xfId="2" applyNumberFormat="1" applyFont="1" applyFill="1" applyBorder="1" applyAlignment="1" applyProtection="1">
      <alignment horizontal="left"/>
      <protection locked="0"/>
    </xf>
    <xf numFmtId="44" fontId="0" fillId="6" borderId="694" xfId="2" applyFont="1" applyFill="1" applyBorder="1" applyAlignment="1" applyProtection="1">
      <alignment horizontal="center"/>
      <protection locked="0"/>
    </xf>
    <xf numFmtId="44" fontId="0" fillId="6" borderId="694" xfId="2" applyFont="1" applyFill="1" applyBorder="1" applyAlignment="1" applyProtection="1">
      <alignment horizontal="left"/>
      <protection locked="0"/>
    </xf>
    <xf numFmtId="44" fontId="0" fillId="6" borderId="694" xfId="0" applyNumberFormat="1" applyFill="1" applyBorder="1" applyProtection="1">
      <protection locked="0"/>
    </xf>
    <xf numFmtId="5" fontId="0" fillId="6" borderId="694" xfId="0" applyNumberFormat="1" applyFill="1" applyBorder="1" applyAlignment="1" applyProtection="1">
      <alignment horizontal="left"/>
      <protection locked="0"/>
    </xf>
    <xf numFmtId="5" fontId="0" fillId="6" borderId="694" xfId="0" applyNumberFormat="1" applyFill="1" applyBorder="1" applyProtection="1">
      <protection locked="0"/>
    </xf>
    <xf numFmtId="44" fontId="0" fillId="6" borderId="694" xfId="0" applyNumberFormat="1" applyFill="1" applyBorder="1" applyAlignment="1" applyProtection="1">
      <alignment horizontal="center"/>
      <protection locked="0"/>
    </xf>
    <xf numFmtId="0" fontId="11" fillId="6" borderId="699" xfId="0" applyFont="1" applyFill="1" applyBorder="1" applyAlignment="1" applyProtection="1">
      <alignment horizontal="right" vertical="center"/>
      <protection locked="0"/>
    </xf>
    <xf numFmtId="164" fontId="11" fillId="6" borderId="700" xfId="1" applyNumberFormat="1" applyFont="1" applyFill="1" applyBorder="1" applyAlignment="1" applyProtection="1">
      <alignment horizontal="right"/>
      <protection locked="0"/>
    </xf>
    <xf numFmtId="165" fontId="12" fillId="6" borderId="694" xfId="0" applyNumberFormat="1" applyFont="1" applyFill="1" applyBorder="1" applyAlignment="1" applyProtection="1">
      <alignment horizontal="center"/>
      <protection locked="0"/>
    </xf>
    <xf numFmtId="165" fontId="12" fillId="6" borderId="694" xfId="0" applyNumberFormat="1" applyFont="1" applyFill="1" applyBorder="1" applyAlignment="1" applyProtection="1">
      <alignment horizontal="left"/>
      <protection locked="0"/>
    </xf>
    <xf numFmtId="0" fontId="11" fillId="6" borderId="700" xfId="0" applyFont="1" applyFill="1" applyBorder="1" applyAlignment="1" applyProtection="1">
      <alignment horizontal="right"/>
      <protection locked="0"/>
    </xf>
    <xf numFmtId="7" fontId="0" fillId="6" borderId="694" xfId="0" applyNumberFormat="1" applyFill="1" applyBorder="1" applyAlignment="1" applyProtection="1">
      <alignment horizontal="center"/>
      <protection locked="0"/>
    </xf>
    <xf numFmtId="0" fontId="0" fillId="6" borderId="694" xfId="0" applyFill="1" applyBorder="1" applyAlignment="1" applyProtection="1">
      <alignment horizontal="center"/>
      <protection locked="0"/>
    </xf>
    <xf numFmtId="0" fontId="0" fillId="0" borderId="688" xfId="0" applyBorder="1"/>
    <xf numFmtId="0" fontId="0" fillId="0" borderId="697" xfId="0" applyBorder="1" applyProtection="1">
      <protection locked="0"/>
    </xf>
    <xf numFmtId="165" fontId="0" fillId="0" borderId="689" xfId="0" applyNumberFormat="1" applyBorder="1" applyProtection="1">
      <protection locked="0"/>
    </xf>
    <xf numFmtId="165" fontId="0" fillId="0" borderId="689" xfId="0" applyNumberFormat="1" applyBorder="1" applyAlignment="1" applyProtection="1">
      <alignment horizontal="center"/>
      <protection locked="0"/>
    </xf>
    <xf numFmtId="0" fontId="6" fillId="11" borderId="694" xfId="0" applyFont="1" applyFill="1" applyBorder="1" applyProtection="1">
      <protection locked="0"/>
    </xf>
    <xf numFmtId="165" fontId="0" fillId="0" borderId="694" xfId="0" applyNumberFormat="1" applyBorder="1" applyAlignment="1" applyProtection="1">
      <alignment horizontal="right"/>
      <protection locked="0"/>
    </xf>
    <xf numFmtId="165" fontId="0" fillId="0" borderId="680" xfId="0" applyNumberFormat="1" applyBorder="1" applyProtection="1">
      <protection locked="0"/>
    </xf>
    <xf numFmtId="44" fontId="0" fillId="0" borderId="689" xfId="0" applyNumberFormat="1" applyBorder="1" applyProtection="1">
      <protection locked="0"/>
    </xf>
    <xf numFmtId="165" fontId="0" fillId="0" borderId="701" xfId="0" applyNumberFormat="1" applyBorder="1" applyProtection="1">
      <protection locked="0"/>
    </xf>
    <xf numFmtId="44" fontId="0" fillId="0" borderId="694" xfId="0" applyNumberFormat="1" applyBorder="1" applyProtection="1">
      <protection locked="0"/>
    </xf>
    <xf numFmtId="165" fontId="0" fillId="0" borderId="690" xfId="0" applyNumberFormat="1" applyBorder="1" applyProtection="1">
      <protection locked="0"/>
    </xf>
    <xf numFmtId="165" fontId="0" fillId="0" borderId="694" xfId="0" applyNumberFormat="1" applyBorder="1" applyProtection="1">
      <protection locked="0"/>
    </xf>
    <xf numFmtId="165" fontId="0" fillId="0" borderId="702" xfId="0" applyNumberFormat="1" applyBorder="1" applyAlignment="1" applyProtection="1">
      <alignment horizontal="right"/>
      <protection locked="0"/>
    </xf>
    <xf numFmtId="165" fontId="0" fillId="0" borderId="454" xfId="0" applyNumberFormat="1" applyBorder="1" applyAlignment="1" applyProtection="1">
      <alignment horizontal="center"/>
      <protection locked="0"/>
    </xf>
    <xf numFmtId="0" fontId="0" fillId="0" borderId="698" xfId="0" applyBorder="1" applyProtection="1">
      <protection locked="0"/>
    </xf>
    <xf numFmtId="44" fontId="0" fillId="0" borderId="702" xfId="0" applyNumberFormat="1" applyBorder="1" applyProtection="1">
      <protection locked="0"/>
    </xf>
    <xf numFmtId="44" fontId="0" fillId="0" borderId="454" xfId="0" applyNumberFormat="1" applyBorder="1" applyAlignment="1" applyProtection="1">
      <alignment horizontal="center"/>
      <protection locked="0"/>
    </xf>
    <xf numFmtId="0" fontId="0" fillId="0" borderId="688" xfId="0" applyBorder="1" applyProtection="1">
      <protection locked="0"/>
    </xf>
    <xf numFmtId="0" fontId="0" fillId="0" borderId="687" xfId="0" applyBorder="1" applyAlignment="1" applyProtection="1">
      <alignment wrapText="1"/>
      <protection locked="0"/>
    </xf>
    <xf numFmtId="8" fontId="0" fillId="0" borderId="689" xfId="0" applyNumberFormat="1" applyBorder="1" applyProtection="1">
      <protection locked="0"/>
    </xf>
    <xf numFmtId="0" fontId="0" fillId="2" borderId="454" xfId="0" applyFill="1" applyBorder="1" applyProtection="1">
      <protection locked="0"/>
    </xf>
    <xf numFmtId="0" fontId="0" fillId="0" borderId="699" xfId="0" applyBorder="1" applyAlignment="1" applyProtection="1">
      <alignment wrapText="1"/>
      <protection locked="0"/>
    </xf>
    <xf numFmtId="165" fontId="0" fillId="0" borderId="702" xfId="0" applyNumberFormat="1" applyBorder="1" applyProtection="1">
      <protection locked="0"/>
    </xf>
    <xf numFmtId="0" fontId="0" fillId="0" borderId="689" xfId="0" applyBorder="1" applyProtection="1">
      <protection locked="0"/>
    </xf>
    <xf numFmtId="165" fontId="0" fillId="0" borderId="231" xfId="0" applyNumberFormat="1" applyBorder="1" applyAlignment="1" applyProtection="1">
      <alignment horizontal="center"/>
      <protection locked="0"/>
    </xf>
    <xf numFmtId="0" fontId="0" fillId="0" borderId="687" xfId="0" applyBorder="1" applyAlignment="1">
      <alignment wrapText="1"/>
    </xf>
    <xf numFmtId="0" fontId="0" fillId="0" borderId="703" xfId="0" applyBorder="1" applyProtection="1">
      <protection locked="0"/>
    </xf>
    <xf numFmtId="0" fontId="0" fillId="0" borderId="689" xfId="0" applyBorder="1" applyAlignment="1" applyProtection="1">
      <alignment horizontal="center"/>
      <protection locked="0"/>
    </xf>
    <xf numFmtId="0" fontId="0" fillId="0" borderId="704" xfId="0" applyBorder="1" applyProtection="1">
      <protection locked="0"/>
    </xf>
    <xf numFmtId="0" fontId="0" fillId="0" borderId="705" xfId="0" applyBorder="1" applyProtection="1">
      <protection locked="0"/>
    </xf>
    <xf numFmtId="0" fontId="0" fillId="0" borderId="466" xfId="0" applyBorder="1" applyAlignment="1" applyProtection="1">
      <alignment horizontal="center"/>
      <protection locked="0"/>
    </xf>
    <xf numFmtId="0" fontId="4" fillId="0" borderId="706" xfId="0" applyFont="1" applyBorder="1" applyAlignment="1" applyProtection="1">
      <alignment horizontal="right"/>
      <protection locked="0"/>
    </xf>
    <xf numFmtId="0" fontId="0" fillId="0" borderId="698" xfId="0" applyBorder="1" applyAlignment="1">
      <alignment horizontal="right"/>
    </xf>
    <xf numFmtId="0" fontId="0" fillId="0" borderId="699" xfId="0" applyBorder="1" applyAlignment="1">
      <alignment wrapText="1"/>
    </xf>
    <xf numFmtId="0" fontId="0" fillId="0" borderId="699" xfId="0" applyBorder="1" applyProtection="1">
      <protection locked="0"/>
    </xf>
    <xf numFmtId="0" fontId="0" fillId="0" borderId="699" xfId="0" applyBorder="1" applyAlignment="1">
      <alignment horizontal="left" wrapText="1"/>
    </xf>
    <xf numFmtId="14" fontId="0" fillId="0" borderId="699" xfId="0" applyNumberFormat="1" applyBorder="1" applyAlignment="1">
      <alignment horizontal="left" wrapText="1"/>
    </xf>
    <xf numFmtId="0" fontId="0" fillId="0" borderId="698" xfId="0" applyBorder="1"/>
    <xf numFmtId="0" fontId="6" fillId="0" borderId="699" xfId="0" applyFont="1" applyBorder="1" applyProtection="1">
      <protection locked="0"/>
    </xf>
    <xf numFmtId="0" fontId="4" fillId="3" borderId="699" xfId="0" applyFont="1" applyFill="1" applyBorder="1" applyAlignment="1">
      <alignment horizontal="center" wrapText="1"/>
    </xf>
    <xf numFmtId="0" fontId="6" fillId="22" borderId="699" xfId="0" applyFont="1" applyFill="1" applyBorder="1" applyProtection="1">
      <protection locked="0"/>
    </xf>
    <xf numFmtId="0" fontId="0" fillId="22" borderId="699" xfId="0" applyFill="1" applyBorder="1" applyProtection="1">
      <protection locked="0"/>
    </xf>
    <xf numFmtId="0" fontId="38" fillId="22" borderId="454" xfId="0" applyFont="1" applyFill="1" applyBorder="1" applyProtection="1">
      <protection locked="0"/>
    </xf>
    <xf numFmtId="0" fontId="112" fillId="9" borderId="695" xfId="0" applyFont="1" applyFill="1" applyBorder="1" applyAlignment="1">
      <alignment horizontal="left" vertical="center" wrapText="1"/>
    </xf>
    <xf numFmtId="0" fontId="111" fillId="0" borderId="699" xfId="0" applyFont="1" applyBorder="1" applyProtection="1">
      <protection locked="0"/>
    </xf>
    <xf numFmtId="0" fontId="112" fillId="9" borderId="696" xfId="0" applyFont="1" applyFill="1" applyBorder="1" applyAlignment="1">
      <alignment horizontal="left" vertical="center" wrapText="1"/>
    </xf>
    <xf numFmtId="0" fontId="110" fillId="9" borderId="691" xfId="0" applyFont="1" applyFill="1" applyBorder="1" applyAlignment="1">
      <alignment horizontal="left" vertical="center" wrapText="1"/>
    </xf>
    <xf numFmtId="0" fontId="110" fillId="9" borderId="696" xfId="0" applyFont="1" applyFill="1" applyBorder="1" applyAlignment="1">
      <alignment horizontal="left" vertical="center" wrapText="1"/>
    </xf>
    <xf numFmtId="3" fontId="0" fillId="0" borderId="692" xfId="0" applyNumberFormat="1" applyBorder="1" applyAlignment="1" applyProtection="1">
      <alignment horizontal="left"/>
      <protection locked="0"/>
    </xf>
    <xf numFmtId="0" fontId="112" fillId="9" borderId="691" xfId="0" applyFont="1" applyFill="1" applyBorder="1" applyAlignment="1">
      <alignment horizontal="left" vertical="center" wrapText="1"/>
    </xf>
    <xf numFmtId="0" fontId="110" fillId="14" borderId="691" xfId="0" applyFont="1" applyFill="1" applyBorder="1" applyAlignment="1">
      <alignment horizontal="left" vertical="center" wrapText="1"/>
    </xf>
    <xf numFmtId="2" fontId="0" fillId="0" borderId="699" xfId="0" applyNumberFormat="1" applyBorder="1" applyProtection="1">
      <protection locked="0"/>
    </xf>
    <xf numFmtId="165" fontId="0" fillId="0" borderId="699" xfId="0" applyNumberFormat="1" applyBorder="1" applyProtection="1">
      <protection locked="0"/>
    </xf>
    <xf numFmtId="0" fontId="110" fillId="9" borderId="699" xfId="0" applyFont="1" applyFill="1" applyBorder="1" applyAlignment="1">
      <alignment horizontal="left"/>
    </xf>
    <xf numFmtId="0" fontId="105" fillId="0" borderId="707" xfId="0" applyFont="1" applyBorder="1" applyAlignment="1">
      <alignment wrapText="1"/>
    </xf>
    <xf numFmtId="0" fontId="106" fillId="0" borderId="708" xfId="0" applyFont="1" applyBorder="1" applyAlignment="1">
      <alignment wrapText="1"/>
    </xf>
    <xf numFmtId="0" fontId="0" fillId="0" borderId="680" xfId="0" applyBorder="1" applyAlignment="1" applyProtection="1">
      <alignment horizontal="left"/>
      <protection locked="0"/>
    </xf>
    <xf numFmtId="0" fontId="30" fillId="0" borderId="691" xfId="0" applyFont="1" applyBorder="1" applyAlignment="1">
      <alignment vertical="center"/>
    </xf>
    <xf numFmtId="0" fontId="0" fillId="0" borderId="698" xfId="0" applyBorder="1" applyAlignment="1">
      <alignment vertical="top"/>
    </xf>
    <xf numFmtId="0" fontId="30" fillId="0" borderId="691" xfId="0" quotePrefix="1" applyFont="1" applyBorder="1"/>
    <xf numFmtId="0" fontId="0" fillId="0" borderId="709" xfId="0" applyBorder="1" applyAlignment="1">
      <alignment vertical="top"/>
    </xf>
    <xf numFmtId="0" fontId="30" fillId="0" borderId="710" xfId="0" quotePrefix="1" applyFont="1" applyBorder="1"/>
    <xf numFmtId="0" fontId="0" fillId="0" borderId="711" xfId="0" applyBorder="1" applyAlignment="1" applyProtection="1">
      <alignment horizontal="left"/>
      <protection locked="0"/>
    </xf>
    <xf numFmtId="0" fontId="0" fillId="0" borderId="711" xfId="0" applyBorder="1" applyProtection="1">
      <protection locked="0"/>
    </xf>
    <xf numFmtId="0" fontId="0" fillId="0" borderId="712" xfId="0" applyBorder="1" applyAlignment="1">
      <alignment vertical="top"/>
    </xf>
    <xf numFmtId="0" fontId="30" fillId="0" borderId="713" xfId="0" quotePrefix="1" applyFont="1" applyBorder="1"/>
    <xf numFmtId="0" fontId="0" fillId="0" borderId="714" xfId="0" applyBorder="1" applyAlignment="1" applyProtection="1">
      <alignment horizontal="left"/>
      <protection locked="0"/>
    </xf>
    <xf numFmtId="0" fontId="0" fillId="0" borderId="714" xfId="0" applyBorder="1" applyProtection="1">
      <protection locked="0"/>
    </xf>
    <xf numFmtId="0" fontId="0" fillId="0" borderId="715" xfId="0" applyBorder="1" applyAlignment="1">
      <alignment vertical="top"/>
    </xf>
    <xf numFmtId="0" fontId="30" fillId="0" borderId="716" xfId="0" quotePrefix="1" applyFont="1" applyBorder="1"/>
    <xf numFmtId="0" fontId="0" fillId="0" borderId="717" xfId="0" applyBorder="1" applyAlignment="1" applyProtection="1">
      <alignment horizontal="left"/>
      <protection locked="0"/>
    </xf>
    <xf numFmtId="0" fontId="0" fillId="0" borderId="717" xfId="0" applyBorder="1" applyProtection="1">
      <protection locked="0"/>
    </xf>
    <xf numFmtId="0" fontId="30" fillId="19" borderId="716" xfId="0" applyFont="1" applyFill="1" applyBorder="1" applyAlignment="1">
      <alignment horizontal="center"/>
    </xf>
    <xf numFmtId="0" fontId="30" fillId="22" borderId="716" xfId="0" applyFont="1" applyFill="1" applyBorder="1" applyAlignment="1">
      <alignment horizontal="left"/>
    </xf>
    <xf numFmtId="0" fontId="6" fillId="22" borderId="718" xfId="0" applyFont="1" applyFill="1" applyBorder="1" applyProtection="1">
      <protection locked="0"/>
    </xf>
    <xf numFmtId="0" fontId="0" fillId="22" borderId="719" xfId="0" applyFill="1" applyBorder="1" applyProtection="1">
      <protection locked="0"/>
    </xf>
    <xf numFmtId="0" fontId="0" fillId="22" borderId="717" xfId="0" applyFill="1" applyBorder="1" applyProtection="1">
      <protection locked="0"/>
    </xf>
    <xf numFmtId="0" fontId="6" fillId="22" borderId="717" xfId="0" applyFont="1" applyFill="1" applyBorder="1" applyProtection="1">
      <protection locked="0"/>
    </xf>
    <xf numFmtId="3" fontId="0" fillId="22" borderId="717" xfId="0" applyNumberFormat="1" applyFill="1" applyBorder="1" applyAlignment="1" applyProtection="1">
      <alignment horizontal="left"/>
      <protection locked="0"/>
    </xf>
    <xf numFmtId="0" fontId="35" fillId="0" borderId="699" xfId="0" applyFont="1" applyBorder="1" applyAlignment="1">
      <alignment horizontal="left" vertical="center" wrapText="1"/>
    </xf>
    <xf numFmtId="3" fontId="0" fillId="0" borderId="717" xfId="0" applyNumberFormat="1" applyBorder="1" applyAlignment="1" applyProtection="1">
      <alignment horizontal="left"/>
      <protection locked="0"/>
    </xf>
    <xf numFmtId="0" fontId="0" fillId="0" borderId="720" xfId="0" applyBorder="1" applyAlignment="1">
      <alignment vertical="top"/>
    </xf>
    <xf numFmtId="0" fontId="7" fillId="0" borderId="699" xfId="0" applyFont="1" applyBorder="1" applyAlignment="1">
      <alignment horizontal="left" vertical="center" wrapText="1"/>
    </xf>
    <xf numFmtId="0" fontId="7" fillId="0" borderId="718" xfId="0" applyFont="1" applyBorder="1" applyAlignment="1">
      <alignment horizontal="left" vertical="center" wrapText="1"/>
    </xf>
    <xf numFmtId="0" fontId="30" fillId="0" borderId="718" xfId="0" applyFont="1" applyBorder="1" applyAlignment="1">
      <alignment horizontal="left" vertical="center"/>
    </xf>
    <xf numFmtId="0" fontId="7" fillId="0" borderId="699" xfId="0" applyFont="1" applyBorder="1" applyAlignment="1">
      <alignment vertical="top" wrapText="1"/>
    </xf>
    <xf numFmtId="0" fontId="100" fillId="0" borderId="224" xfId="0" applyFont="1" applyBorder="1" applyAlignment="1">
      <alignment wrapText="1"/>
    </xf>
    <xf numFmtId="0" fontId="9" fillId="0" borderId="224" xfId="0" applyFont="1" applyBorder="1" applyAlignment="1">
      <alignment wrapText="1"/>
    </xf>
    <xf numFmtId="0" fontId="8" fillId="0" borderId="699" xfId="5" applyFont="1" applyBorder="1" applyAlignment="1">
      <alignment horizontal="left" vertical="top" wrapText="1"/>
    </xf>
    <xf numFmtId="0" fontId="0" fillId="0" borderId="720" xfId="0" applyBorder="1"/>
    <xf numFmtId="0" fontId="0" fillId="0" borderId="721" xfId="0" applyBorder="1" applyProtection="1">
      <protection locked="0"/>
    </xf>
    <xf numFmtId="0" fontId="0" fillId="0" borderId="722" xfId="0" applyBorder="1" applyProtection="1">
      <protection locked="0"/>
    </xf>
    <xf numFmtId="165" fontId="0" fillId="0" borderId="719" xfId="0" applyNumberFormat="1" applyBorder="1" applyProtection="1">
      <protection locked="0"/>
    </xf>
    <xf numFmtId="0" fontId="0" fillId="0" borderId="720" xfId="0" applyBorder="1" applyProtection="1">
      <protection locked="0"/>
    </xf>
    <xf numFmtId="0" fontId="0" fillId="0" borderId="721" xfId="0" applyBorder="1" applyAlignment="1" applyProtection="1">
      <alignment wrapText="1"/>
      <protection locked="0"/>
    </xf>
    <xf numFmtId="0" fontId="0" fillId="0" borderId="721" xfId="0" applyBorder="1" applyAlignment="1">
      <alignment wrapText="1"/>
    </xf>
    <xf numFmtId="0" fontId="0" fillId="0" borderId="719" xfId="0" applyBorder="1" applyProtection="1">
      <protection locked="0"/>
    </xf>
    <xf numFmtId="0" fontId="30" fillId="0" borderId="723" xfId="0" applyFont="1" applyBorder="1" applyAlignment="1">
      <alignment vertical="center"/>
    </xf>
    <xf numFmtId="0" fontId="30" fillId="0" borderId="723" xfId="0" quotePrefix="1" applyFont="1" applyBorder="1"/>
    <xf numFmtId="3" fontId="0" fillId="0" borderId="724" xfId="0" applyNumberFormat="1" applyBorder="1" applyAlignment="1" applyProtection="1">
      <alignment horizontal="left"/>
      <protection locked="0"/>
    </xf>
    <xf numFmtId="0" fontId="0" fillId="0" borderId="725" xfId="0" applyBorder="1" applyAlignment="1">
      <alignment vertical="top"/>
    </xf>
    <xf numFmtId="0" fontId="30" fillId="0" borderId="726" xfId="0" quotePrefix="1" applyFont="1" applyBorder="1"/>
    <xf numFmtId="0" fontId="0" fillId="0" borderId="727" xfId="0" applyBorder="1" applyAlignment="1" applyProtection="1">
      <alignment horizontal="left"/>
      <protection locked="0"/>
    </xf>
    <xf numFmtId="0" fontId="0" fillId="0" borderId="727" xfId="0" applyBorder="1" applyProtection="1">
      <protection locked="0"/>
    </xf>
    <xf numFmtId="0" fontId="0" fillId="0" borderId="728" xfId="0" applyBorder="1" applyAlignment="1">
      <alignment vertical="top"/>
    </xf>
    <xf numFmtId="0" fontId="30" fillId="0" borderId="729" xfId="0" quotePrefix="1" applyFont="1" applyBorder="1"/>
    <xf numFmtId="0" fontId="0" fillId="0" borderId="730" xfId="0" applyBorder="1" applyAlignment="1" applyProtection="1">
      <alignment horizontal="left"/>
      <protection locked="0"/>
    </xf>
    <xf numFmtId="0" fontId="0" fillId="0" borderId="730" xfId="0" applyBorder="1" applyProtection="1">
      <protection locked="0"/>
    </xf>
    <xf numFmtId="0" fontId="0" fillId="0" borderId="731" xfId="0" applyBorder="1" applyAlignment="1">
      <alignment vertical="top"/>
    </xf>
    <xf numFmtId="0" fontId="30" fillId="0" borderId="732" xfId="0" quotePrefix="1" applyFont="1" applyBorder="1"/>
    <xf numFmtId="0" fontId="0" fillId="0" borderId="733" xfId="0" applyBorder="1" applyAlignment="1" applyProtection="1">
      <alignment horizontal="left"/>
      <protection locked="0"/>
    </xf>
    <xf numFmtId="0" fontId="0" fillId="0" borderId="733" xfId="0" applyBorder="1" applyProtection="1">
      <protection locked="0"/>
    </xf>
    <xf numFmtId="0" fontId="30" fillId="19" borderId="732" xfId="0" applyFont="1" applyFill="1" applyBorder="1" applyAlignment="1">
      <alignment horizontal="center"/>
    </xf>
    <xf numFmtId="0" fontId="30" fillId="22" borderId="732" xfId="0" applyFont="1" applyFill="1" applyBorder="1" applyAlignment="1">
      <alignment horizontal="left"/>
    </xf>
    <xf numFmtId="0" fontId="6" fillId="22" borderId="734" xfId="0" applyFont="1" applyFill="1" applyBorder="1" applyProtection="1">
      <protection locked="0"/>
    </xf>
    <xf numFmtId="0" fontId="0" fillId="22" borderId="735" xfId="0" applyFill="1" applyBorder="1" applyProtection="1">
      <protection locked="0"/>
    </xf>
    <xf numFmtId="3" fontId="0" fillId="22" borderId="733" xfId="0" applyNumberFormat="1" applyFill="1" applyBorder="1" applyProtection="1">
      <protection locked="0"/>
    </xf>
    <xf numFmtId="0" fontId="0" fillId="22" borderId="733" xfId="0" applyFill="1" applyBorder="1" applyProtection="1">
      <protection locked="0"/>
    </xf>
    <xf numFmtId="0" fontId="6" fillId="22" borderId="733" xfId="0" applyFont="1" applyFill="1" applyBorder="1" applyProtection="1">
      <protection locked="0"/>
    </xf>
    <xf numFmtId="3" fontId="0" fillId="22" borderId="733" xfId="0" applyNumberFormat="1" applyFill="1" applyBorder="1" applyAlignment="1" applyProtection="1">
      <alignment horizontal="left"/>
      <protection locked="0"/>
    </xf>
    <xf numFmtId="0" fontId="7" fillId="0" borderId="734" xfId="0" applyFont="1" applyBorder="1" applyAlignment="1">
      <alignment horizontal="left" vertical="center" wrapText="1"/>
    </xf>
    <xf numFmtId="0" fontId="35" fillId="0" borderId="734" xfId="0" applyFont="1" applyBorder="1" applyAlignment="1">
      <alignment horizontal="left" vertical="center" wrapText="1"/>
    </xf>
    <xf numFmtId="3" fontId="0" fillId="0" borderId="733" xfId="0" applyNumberFormat="1" applyBorder="1" applyAlignment="1" applyProtection="1">
      <alignment horizontal="left"/>
      <protection locked="0"/>
    </xf>
    <xf numFmtId="44" fontId="122" fillId="7" borderId="454" xfId="2" applyFont="1" applyFill="1" applyBorder="1" applyAlignment="1">
      <alignment horizontal="center" vertical="center"/>
    </xf>
    <xf numFmtId="0" fontId="30" fillId="0" borderId="734" xfId="0" applyFont="1" applyBorder="1" applyAlignment="1">
      <alignment horizontal="left" vertical="center"/>
    </xf>
    <xf numFmtId="0" fontId="31" fillId="0" borderId="734" xfId="0" applyFont="1" applyBorder="1" applyAlignment="1">
      <alignment horizontal="left" vertical="center"/>
    </xf>
    <xf numFmtId="0" fontId="35" fillId="0" borderId="699" xfId="0" applyFont="1" applyBorder="1" applyAlignment="1">
      <alignment vertical="top" wrapText="1"/>
    </xf>
    <xf numFmtId="0" fontId="0" fillId="0" borderId="736" xfId="0" applyBorder="1" applyAlignment="1">
      <alignment vertical="top"/>
    </xf>
    <xf numFmtId="5" fontId="0" fillId="0" borderId="733" xfId="0" applyNumberFormat="1" applyBorder="1" applyProtection="1">
      <protection locked="0"/>
    </xf>
    <xf numFmtId="0" fontId="0" fillId="0" borderId="736" xfId="0" applyBorder="1"/>
    <xf numFmtId="0" fontId="0" fillId="0" borderId="737" xfId="0" applyBorder="1" applyProtection="1">
      <protection locked="0"/>
    </xf>
    <xf numFmtId="0" fontId="0" fillId="0" borderId="738" xfId="0" applyBorder="1" applyProtection="1">
      <protection locked="0"/>
    </xf>
    <xf numFmtId="165" fontId="0" fillId="0" borderId="735" xfId="0" applyNumberFormat="1" applyBorder="1" applyProtection="1">
      <protection locked="0"/>
    </xf>
    <xf numFmtId="0" fontId="0" fillId="0" borderId="736" xfId="0" applyBorder="1" applyProtection="1">
      <protection locked="0"/>
    </xf>
    <xf numFmtId="0" fontId="0" fillId="0" borderId="737" xfId="0" applyBorder="1" applyAlignment="1" applyProtection="1">
      <alignment wrapText="1"/>
      <protection locked="0"/>
    </xf>
    <xf numFmtId="0" fontId="0" fillId="0" borderId="737" xfId="0" applyBorder="1" applyAlignment="1">
      <alignment wrapText="1"/>
    </xf>
    <xf numFmtId="0" fontId="0" fillId="0" borderId="735" xfId="0" applyBorder="1" applyProtection="1">
      <protection locked="0"/>
    </xf>
    <xf numFmtId="0" fontId="4" fillId="0" borderId="737" xfId="0" applyFont="1" applyBorder="1" applyAlignment="1">
      <alignment wrapText="1"/>
    </xf>
    <xf numFmtId="0" fontId="30" fillId="0" borderId="732" xfId="0" applyFont="1" applyBorder="1" applyAlignment="1">
      <alignment vertical="center"/>
    </xf>
    <xf numFmtId="2" fontId="0" fillId="22" borderId="699" xfId="0" applyNumberFormat="1" applyFill="1" applyBorder="1" applyProtection="1">
      <protection locked="0"/>
    </xf>
    <xf numFmtId="165" fontId="0" fillId="22" borderId="699" xfId="0" applyNumberFormat="1" applyFill="1" applyBorder="1" applyProtection="1">
      <protection locked="0"/>
    </xf>
    <xf numFmtId="0" fontId="0" fillId="22" borderId="733" xfId="0" applyFill="1" applyBorder="1" applyAlignment="1" applyProtection="1">
      <alignment horizontal="left"/>
      <protection locked="0"/>
    </xf>
    <xf numFmtId="0" fontId="30" fillId="9" borderId="699" xfId="0" applyFont="1" applyFill="1" applyBorder="1" applyAlignment="1">
      <alignment horizontal="left"/>
    </xf>
    <xf numFmtId="0" fontId="30" fillId="9" borderId="732" xfId="0" applyFont="1" applyFill="1" applyBorder="1" applyAlignment="1">
      <alignment horizontal="left" vertical="center" wrapText="1"/>
    </xf>
    <xf numFmtId="0" fontId="0" fillId="7" borderId="699" xfId="0" applyFill="1" applyBorder="1" applyProtection="1">
      <protection locked="0"/>
    </xf>
    <xf numFmtId="0" fontId="30" fillId="9" borderId="496" xfId="0" applyFont="1" applyFill="1" applyBorder="1" applyAlignment="1">
      <alignment horizontal="left"/>
    </xf>
    <xf numFmtId="0" fontId="105" fillId="0" borderId="708" xfId="0" applyFont="1" applyBorder="1" applyAlignment="1">
      <alignment wrapText="1"/>
    </xf>
    <xf numFmtId="0" fontId="105" fillId="0" borderId="527" xfId="0" applyFont="1" applyBorder="1" applyAlignment="1">
      <alignment wrapText="1"/>
    </xf>
    <xf numFmtId="0" fontId="105" fillId="0" borderId="496" xfId="0" applyFont="1" applyBorder="1" applyAlignment="1">
      <alignment wrapText="1"/>
    </xf>
    <xf numFmtId="9" fontId="30" fillId="9" borderId="699" xfId="0" applyNumberFormat="1" applyFont="1" applyFill="1" applyBorder="1" applyAlignment="1">
      <alignment horizontal="left"/>
    </xf>
    <xf numFmtId="5" fontId="0" fillId="0" borderId="454" xfId="2" applyNumberFormat="1" applyFont="1" applyBorder="1" applyAlignment="1" applyProtection="1">
      <alignment horizontal="left"/>
      <protection locked="0"/>
    </xf>
    <xf numFmtId="0" fontId="6" fillId="0" borderId="734" xfId="0" applyFont="1" applyBorder="1" applyProtection="1">
      <protection locked="0"/>
    </xf>
    <xf numFmtId="0" fontId="6" fillId="0" borderId="733" xfId="0" applyFont="1" applyBorder="1" applyProtection="1">
      <protection locked="0"/>
    </xf>
    <xf numFmtId="0" fontId="30" fillId="9" borderId="739" xfId="0" applyFont="1" applyFill="1" applyBorder="1" applyAlignment="1">
      <alignment horizontal="left" vertical="center" wrapText="1"/>
    </xf>
    <xf numFmtId="0" fontId="30" fillId="9" borderId="527" xfId="0" applyFont="1" applyFill="1" applyBorder="1" applyAlignment="1">
      <alignment horizontal="center"/>
    </xf>
    <xf numFmtId="7" fontId="30" fillId="9" borderId="699" xfId="0" applyNumberFormat="1" applyFont="1" applyFill="1" applyBorder="1" applyAlignment="1">
      <alignment horizontal="center"/>
    </xf>
    <xf numFmtId="7" fontId="30" fillId="9" borderId="493" xfId="0" applyNumberFormat="1" applyFont="1" applyFill="1" applyBorder="1" applyAlignment="1">
      <alignment horizontal="center"/>
    </xf>
    <xf numFmtId="39" fontId="30" fillId="9" borderId="699" xfId="0" applyNumberFormat="1" applyFont="1" applyFill="1" applyBorder="1" applyAlignment="1">
      <alignment horizontal="center"/>
    </xf>
    <xf numFmtId="2" fontId="0" fillId="0" borderId="699" xfId="0" applyNumberFormat="1" applyBorder="1" applyAlignment="1" applyProtection="1">
      <alignment horizontal="right"/>
      <protection locked="0"/>
    </xf>
    <xf numFmtId="0" fontId="30" fillId="9" borderId="527" xfId="0" applyFont="1" applyFill="1" applyBorder="1" applyAlignment="1">
      <alignment horizontal="right"/>
    </xf>
    <xf numFmtId="39" fontId="30" fillId="9" borderId="699" xfId="0" applyNumberFormat="1" applyFont="1" applyFill="1" applyBorder="1" applyAlignment="1">
      <alignment horizontal="right"/>
    </xf>
    <xf numFmtId="7" fontId="30" fillId="9" borderId="493" xfId="0" applyNumberFormat="1" applyFont="1" applyFill="1" applyBorder="1" applyAlignment="1">
      <alignment horizontal="right"/>
    </xf>
    <xf numFmtId="0" fontId="31" fillId="9" borderId="739" xfId="0" applyFont="1" applyFill="1" applyBorder="1" applyAlignment="1">
      <alignment horizontal="left" vertical="center" wrapText="1"/>
    </xf>
    <xf numFmtId="44" fontId="30" fillId="9" borderId="699" xfId="2" applyFont="1" applyFill="1" applyBorder="1" applyAlignment="1">
      <alignment horizontal="center"/>
    </xf>
    <xf numFmtId="0" fontId="0" fillId="0" borderId="734" xfId="0" applyBorder="1" applyProtection="1">
      <protection locked="0"/>
    </xf>
    <xf numFmtId="0" fontId="0" fillId="0" borderId="734" xfId="0" applyBorder="1" applyAlignment="1" applyProtection="1">
      <alignment wrapText="1"/>
      <protection locked="0"/>
    </xf>
    <xf numFmtId="0" fontId="60" fillId="0" borderId="739" xfId="0" applyFont="1" applyBorder="1" applyAlignment="1">
      <alignment vertical="center" wrapText="1"/>
    </xf>
    <xf numFmtId="44" fontId="60" fillId="0" borderId="699" xfId="2" applyFont="1" applyBorder="1"/>
    <xf numFmtId="0" fontId="30" fillId="7" borderId="739" xfId="0" applyFont="1" applyFill="1" applyBorder="1" applyAlignment="1">
      <alignment horizontal="left" vertical="center" wrapText="1"/>
    </xf>
    <xf numFmtId="0" fontId="30" fillId="9" borderId="739" xfId="0" applyFont="1" applyFill="1" applyBorder="1" applyAlignment="1">
      <alignment vertical="center" wrapText="1"/>
    </xf>
    <xf numFmtId="3" fontId="7" fillId="0" borderId="733" xfId="0" applyNumberFormat="1" applyFont="1" applyBorder="1" applyAlignment="1" applyProtection="1">
      <alignment horizontal="left"/>
      <protection locked="0"/>
    </xf>
    <xf numFmtId="0" fontId="7" fillId="0" borderId="736" xfId="0" applyFont="1" applyBorder="1" applyAlignment="1">
      <alignment vertical="top"/>
    </xf>
    <xf numFmtId="0" fontId="7" fillId="0" borderId="737" xfId="0" applyFont="1" applyBorder="1" applyAlignment="1">
      <alignment wrapText="1"/>
    </xf>
    <xf numFmtId="0" fontId="7" fillId="0" borderId="733" xfId="0" applyFont="1" applyBorder="1" applyProtection="1">
      <protection locked="0"/>
    </xf>
    <xf numFmtId="0" fontId="7" fillId="0" borderId="734" xfId="0" applyFont="1" applyBorder="1" applyAlignment="1">
      <alignment wrapText="1"/>
    </xf>
    <xf numFmtId="0" fontId="7" fillId="0" borderId="698" xfId="0" applyFont="1" applyBorder="1" applyAlignment="1">
      <alignment vertical="top"/>
    </xf>
    <xf numFmtId="3" fontId="0" fillId="0" borderId="699" xfId="0" applyNumberFormat="1" applyBorder="1" applyProtection="1">
      <protection locked="0"/>
    </xf>
    <xf numFmtId="0" fontId="74" fillId="0" borderId="739" xfId="0" applyFont="1" applyBorder="1" applyAlignment="1">
      <alignment vertical="center" wrapText="1"/>
    </xf>
    <xf numFmtId="0" fontId="31" fillId="0" borderId="739" xfId="0" applyFont="1" applyBorder="1" applyAlignment="1">
      <alignment horizontal="left" vertical="center" wrapText="1"/>
    </xf>
    <xf numFmtId="0" fontId="30" fillId="0" borderId="527" xfId="0" applyFont="1" applyBorder="1" applyAlignment="1">
      <alignment horizontal="center"/>
    </xf>
    <xf numFmtId="44" fontId="30" fillId="0" borderId="699" xfId="2" applyFont="1" applyFill="1" applyBorder="1" applyAlignment="1">
      <alignment horizontal="center"/>
    </xf>
    <xf numFmtId="7" fontId="30" fillId="0" borderId="493" xfId="0" applyNumberFormat="1" applyFont="1" applyBorder="1" applyAlignment="1">
      <alignment horizontal="center"/>
    </xf>
    <xf numFmtId="43" fontId="60" fillId="0" borderId="739" xfId="0" applyNumberFormat="1" applyFont="1" applyBorder="1" applyAlignment="1">
      <alignment vertical="center" wrapText="1"/>
    </xf>
    <xf numFmtId="0" fontId="0" fillId="6" borderId="495" xfId="0" applyFill="1" applyBorder="1" applyAlignment="1" applyProtection="1">
      <alignment horizontal="center"/>
      <protection locked="0"/>
    </xf>
    <xf numFmtId="8" fontId="0" fillId="0" borderId="735" xfId="0" applyNumberFormat="1" applyBorder="1" applyProtection="1">
      <protection locked="0"/>
    </xf>
    <xf numFmtId="0" fontId="0" fillId="0" borderId="454" xfId="0" applyBorder="1" applyAlignment="1" applyProtection="1">
      <alignment horizontal="left"/>
      <protection locked="0"/>
    </xf>
    <xf numFmtId="3" fontId="0" fillId="0" borderId="495" xfId="0" applyNumberFormat="1" applyBorder="1" applyAlignment="1" applyProtection="1">
      <alignment horizontal="left"/>
      <protection locked="0"/>
    </xf>
    <xf numFmtId="0" fontId="30" fillId="0" borderId="740" xfId="0" applyFont="1" applyBorder="1" applyAlignment="1">
      <alignment vertical="center"/>
    </xf>
    <xf numFmtId="3" fontId="0" fillId="0" borderId="741" xfId="0" applyNumberFormat="1" applyBorder="1" applyAlignment="1" applyProtection="1">
      <alignment horizontal="left"/>
      <protection locked="0"/>
    </xf>
    <xf numFmtId="0" fontId="0" fillId="0" borderId="741" xfId="0" applyBorder="1" applyProtection="1">
      <protection locked="0"/>
    </xf>
    <xf numFmtId="0" fontId="30" fillId="0" borderId="740" xfId="0" quotePrefix="1" applyFont="1" applyBorder="1"/>
    <xf numFmtId="0" fontId="30" fillId="19" borderId="740" xfId="0" applyFont="1" applyFill="1" applyBorder="1" applyAlignment="1">
      <alignment horizontal="center"/>
    </xf>
    <xf numFmtId="0" fontId="0" fillId="0" borderId="741" xfId="0" applyBorder="1" applyAlignment="1" applyProtection="1">
      <alignment horizontal="left"/>
      <protection locked="0"/>
    </xf>
    <xf numFmtId="0" fontId="30" fillId="22" borderId="740" xfId="0" applyFont="1" applyFill="1" applyBorder="1" applyAlignment="1">
      <alignment horizontal="left"/>
    </xf>
    <xf numFmtId="0" fontId="6" fillId="22" borderId="742" xfId="0" applyFont="1" applyFill="1" applyBorder="1" applyProtection="1">
      <protection locked="0"/>
    </xf>
    <xf numFmtId="0" fontId="0" fillId="22" borderId="743" xfId="0" applyFill="1" applyBorder="1" applyProtection="1">
      <protection locked="0"/>
    </xf>
    <xf numFmtId="0" fontId="0" fillId="22" borderId="741" xfId="0" applyFill="1" applyBorder="1" applyProtection="1">
      <protection locked="0"/>
    </xf>
    <xf numFmtId="0" fontId="6" fillId="22" borderId="741" xfId="0" applyFont="1" applyFill="1" applyBorder="1" applyProtection="1">
      <protection locked="0"/>
    </xf>
    <xf numFmtId="3" fontId="0" fillId="22" borderId="741" xfId="0" applyNumberFormat="1" applyFill="1" applyBorder="1" applyAlignment="1" applyProtection="1">
      <alignment horizontal="left"/>
      <protection locked="0"/>
    </xf>
    <xf numFmtId="0" fontId="7" fillId="0" borderId="742" xfId="0" applyFont="1" applyBorder="1" applyAlignment="1">
      <alignment horizontal="left" vertical="top" wrapText="1"/>
    </xf>
    <xf numFmtId="0" fontId="0" fillId="0" borderId="744" xfId="0" applyBorder="1"/>
    <xf numFmtId="0" fontId="0" fillId="0" borderId="745" xfId="0" applyBorder="1" applyProtection="1">
      <protection locked="0"/>
    </xf>
    <xf numFmtId="0" fontId="0" fillId="0" borderId="746" xfId="0" applyBorder="1" applyProtection="1">
      <protection locked="0"/>
    </xf>
    <xf numFmtId="165" fontId="0" fillId="0" borderId="743" xfId="0" applyNumberFormat="1" applyBorder="1" applyProtection="1">
      <protection locked="0"/>
    </xf>
    <xf numFmtId="0" fontId="0" fillId="0" borderId="744" xfId="0" applyBorder="1" applyProtection="1">
      <protection locked="0"/>
    </xf>
    <xf numFmtId="0" fontId="0" fillId="0" borderId="745" xfId="0" applyBorder="1" applyAlignment="1" applyProtection="1">
      <alignment wrapText="1"/>
      <protection locked="0"/>
    </xf>
    <xf numFmtId="0" fontId="0" fillId="0" borderId="745" xfId="0" applyBorder="1" applyAlignment="1">
      <alignment wrapText="1"/>
    </xf>
    <xf numFmtId="0" fontId="0" fillId="0" borderId="743" xfId="0" applyBorder="1" applyProtection="1">
      <protection locked="0"/>
    </xf>
    <xf numFmtId="0" fontId="4" fillId="0" borderId="745" xfId="0" applyFont="1" applyBorder="1" applyAlignment="1">
      <alignment wrapText="1"/>
    </xf>
    <xf numFmtId="0" fontId="0" fillId="0" borderId="744" xfId="0" applyBorder="1" applyAlignment="1">
      <alignment vertical="top"/>
    </xf>
    <xf numFmtId="3" fontId="0" fillId="0" borderId="454" xfId="0" applyNumberFormat="1" applyBorder="1" applyAlignment="1" applyProtection="1">
      <alignment horizontal="left"/>
      <protection locked="0"/>
    </xf>
    <xf numFmtId="0" fontId="30" fillId="0" borderId="747" xfId="0" applyFont="1" applyBorder="1" applyAlignment="1">
      <alignment vertical="center"/>
    </xf>
    <xf numFmtId="0" fontId="0" fillId="0" borderId="748" xfId="0" applyBorder="1" applyAlignment="1" applyProtection="1">
      <alignment horizontal="left"/>
      <protection locked="0"/>
    </xf>
    <xf numFmtId="3" fontId="0" fillId="0" borderId="748" xfId="0" applyNumberFormat="1" applyBorder="1" applyAlignment="1" applyProtection="1">
      <alignment horizontal="left"/>
      <protection locked="0"/>
    </xf>
    <xf numFmtId="0" fontId="0" fillId="0" borderId="748" xfId="0" applyBorder="1" applyProtection="1">
      <protection locked="0"/>
    </xf>
    <xf numFmtId="0" fontId="30" fillId="0" borderId="747" xfId="0" quotePrefix="1" applyFont="1" applyBorder="1"/>
    <xf numFmtId="0" fontId="30" fillId="19" borderId="747" xfId="0" applyFont="1" applyFill="1" applyBorder="1" applyAlignment="1">
      <alignment horizontal="center"/>
    </xf>
    <xf numFmtId="0" fontId="30" fillId="22" borderId="747" xfId="0" applyFont="1" applyFill="1" applyBorder="1" applyAlignment="1">
      <alignment horizontal="left"/>
    </xf>
    <xf numFmtId="0" fontId="6" fillId="22" borderId="749" xfId="0" applyFont="1" applyFill="1" applyBorder="1" applyProtection="1">
      <protection locked="0"/>
    </xf>
    <xf numFmtId="0" fontId="0" fillId="22" borderId="750" xfId="0" applyFill="1" applyBorder="1" applyProtection="1">
      <protection locked="0"/>
    </xf>
    <xf numFmtId="0" fontId="0" fillId="22" borderId="748" xfId="0" applyFill="1" applyBorder="1" applyProtection="1">
      <protection locked="0"/>
    </xf>
    <xf numFmtId="0" fontId="6" fillId="22" borderId="748" xfId="0" applyFont="1" applyFill="1" applyBorder="1" applyProtection="1">
      <protection locked="0"/>
    </xf>
    <xf numFmtId="3" fontId="0" fillId="22" borderId="748" xfId="0" applyNumberFormat="1" applyFill="1" applyBorder="1" applyAlignment="1" applyProtection="1">
      <alignment horizontal="left"/>
      <protection locked="0"/>
    </xf>
    <xf numFmtId="0" fontId="7" fillId="0" borderId="749" xfId="0" applyFont="1" applyBorder="1" applyAlignment="1">
      <alignment horizontal="left" vertical="top" wrapText="1"/>
    </xf>
    <xf numFmtId="0" fontId="0" fillId="0" borderId="751" xfId="0" applyBorder="1"/>
    <xf numFmtId="0" fontId="0" fillId="0" borderId="752" xfId="0" applyBorder="1" applyProtection="1">
      <protection locked="0"/>
    </xf>
    <xf numFmtId="0" fontId="0" fillId="0" borderId="753" xfId="0" applyBorder="1" applyProtection="1">
      <protection locked="0"/>
    </xf>
    <xf numFmtId="165" fontId="0" fillId="0" borderId="750" xfId="0" applyNumberFormat="1" applyBorder="1" applyProtection="1">
      <protection locked="0"/>
    </xf>
    <xf numFmtId="0" fontId="0" fillId="0" borderId="751" xfId="0" applyBorder="1" applyProtection="1">
      <protection locked="0"/>
    </xf>
    <xf numFmtId="0" fontId="0" fillId="0" borderId="752" xfId="0" applyBorder="1" applyAlignment="1" applyProtection="1">
      <alignment wrapText="1"/>
      <protection locked="0"/>
    </xf>
    <xf numFmtId="0" fontId="0" fillId="0" borderId="752" xfId="0" applyBorder="1" applyAlignment="1">
      <alignment wrapText="1"/>
    </xf>
    <xf numFmtId="0" fontId="0" fillId="0" borderId="750" xfId="0" applyBorder="1" applyProtection="1">
      <protection locked="0"/>
    </xf>
    <xf numFmtId="0" fontId="4" fillId="0" borderId="752" xfId="0" applyFont="1" applyBorder="1" applyAlignment="1">
      <alignment wrapText="1"/>
    </xf>
    <xf numFmtId="5" fontId="0" fillId="0" borderId="454" xfId="2" applyNumberFormat="1" applyFont="1" applyFill="1" applyBorder="1" applyAlignment="1" applyProtection="1">
      <alignment horizontal="left"/>
      <protection locked="0"/>
    </xf>
    <xf numFmtId="5" fontId="0" fillId="0" borderId="495" xfId="2" applyNumberFormat="1" applyFont="1" applyFill="1" applyBorder="1" applyAlignment="1" applyProtection="1">
      <alignment horizontal="center"/>
      <protection locked="0"/>
    </xf>
    <xf numFmtId="0" fontId="0" fillId="0" borderId="751" xfId="0" applyBorder="1" applyAlignment="1">
      <alignment vertical="top"/>
    </xf>
    <xf numFmtId="0" fontId="7" fillId="0" borderId="751" xfId="0" applyFont="1" applyBorder="1" applyAlignment="1">
      <alignment vertical="top"/>
    </xf>
    <xf numFmtId="0" fontId="38" fillId="0" borderId="699" xfId="0" applyFont="1" applyBorder="1" applyProtection="1">
      <protection locked="0"/>
    </xf>
    <xf numFmtId="0" fontId="7" fillId="0" borderId="699" xfId="0" applyFont="1" applyBorder="1" applyProtection="1">
      <protection locked="0"/>
    </xf>
    <xf numFmtId="3" fontId="0" fillId="0" borderId="749" xfId="0" applyNumberFormat="1" applyBorder="1" applyAlignment="1" applyProtection="1">
      <alignment horizontal="left"/>
      <protection locked="0"/>
    </xf>
    <xf numFmtId="0" fontId="38" fillId="0" borderId="224" xfId="0" applyFont="1" applyBorder="1" applyProtection="1">
      <protection locked="0"/>
    </xf>
    <xf numFmtId="0" fontId="0" fillId="0" borderId="749" xfId="0" applyBorder="1" applyAlignment="1" applyProtection="1">
      <alignment horizontal="left"/>
      <protection locked="0"/>
    </xf>
    <xf numFmtId="0" fontId="0" fillId="0" borderId="700" xfId="0" applyBorder="1" applyAlignment="1" applyProtection="1">
      <alignment horizontal="right"/>
      <protection locked="0"/>
    </xf>
    <xf numFmtId="165" fontId="0" fillId="0" borderId="224" xfId="0" applyNumberFormat="1" applyBorder="1" applyProtection="1">
      <protection locked="0"/>
    </xf>
    <xf numFmtId="0" fontId="0" fillId="0" borderId="700" xfId="0" applyBorder="1" applyProtection="1">
      <protection locked="0"/>
    </xf>
    <xf numFmtId="0" fontId="0" fillId="0" borderId="754" xfId="0" applyBorder="1" applyAlignment="1">
      <alignment vertical="top"/>
    </xf>
    <xf numFmtId="0" fontId="30" fillId="19" borderId="755" xfId="0" applyFont="1" applyFill="1" applyBorder="1" applyAlignment="1">
      <alignment horizontal="center"/>
    </xf>
    <xf numFmtId="0" fontId="0" fillId="22" borderId="756" xfId="0" applyFill="1" applyBorder="1" applyProtection="1">
      <protection locked="0"/>
    </xf>
    <xf numFmtId="0" fontId="6" fillId="22" borderId="527" xfId="0" applyFont="1" applyFill="1" applyBorder="1" applyProtection="1">
      <protection locked="0"/>
    </xf>
    <xf numFmtId="0" fontId="0" fillId="22" borderId="757" xfId="0" applyFill="1" applyBorder="1" applyProtection="1">
      <protection locked="0"/>
    </xf>
    <xf numFmtId="165" fontId="0" fillId="22" borderId="757" xfId="0" applyNumberFormat="1" applyFill="1" applyBorder="1" applyProtection="1">
      <protection locked="0"/>
    </xf>
    <xf numFmtId="165" fontId="0" fillId="22" borderId="758" xfId="0" applyNumberFormat="1" applyFill="1" applyBorder="1" applyProtection="1">
      <protection locked="0"/>
    </xf>
    <xf numFmtId="0" fontId="6" fillId="22" borderId="759" xfId="0" applyFont="1" applyFill="1" applyBorder="1" applyProtection="1">
      <protection locked="0"/>
    </xf>
    <xf numFmtId="0" fontId="0" fillId="22" borderId="748" xfId="0" applyFill="1" applyBorder="1" applyAlignment="1" applyProtection="1">
      <alignment horizontal="left"/>
      <protection locked="0"/>
    </xf>
    <xf numFmtId="0" fontId="0" fillId="0" borderId="760" xfId="0" applyBorder="1" applyProtection="1">
      <protection locked="0"/>
    </xf>
    <xf numFmtId="0" fontId="6" fillId="0" borderId="527" xfId="0" applyFont="1" applyBorder="1" applyProtection="1">
      <protection locked="0"/>
    </xf>
    <xf numFmtId="0" fontId="4" fillId="0" borderId="760" xfId="0" applyFont="1" applyBorder="1" applyProtection="1">
      <protection locked="0"/>
    </xf>
    <xf numFmtId="0" fontId="102" fillId="0" borderId="760" xfId="0" applyFont="1" applyBorder="1" applyProtection="1">
      <protection locked="0"/>
    </xf>
    <xf numFmtId="44" fontId="30" fillId="7" borderId="759" xfId="2" applyFont="1" applyFill="1" applyBorder="1" applyAlignment="1">
      <alignment horizontal="center" vertical="center"/>
    </xf>
    <xf numFmtId="3" fontId="0" fillId="0" borderId="748" xfId="0" applyNumberFormat="1" applyBorder="1" applyProtection="1">
      <protection locked="0"/>
    </xf>
    <xf numFmtId="0" fontId="4" fillId="14" borderId="760" xfId="0" applyFont="1" applyFill="1" applyBorder="1" applyProtection="1">
      <protection locked="0"/>
    </xf>
    <xf numFmtId="0" fontId="0" fillId="14" borderId="760" xfId="0" applyFill="1" applyBorder="1" applyProtection="1">
      <protection locked="0"/>
    </xf>
    <xf numFmtId="2" fontId="0" fillId="0" borderId="757" xfId="0" applyNumberFormat="1" applyBorder="1" applyProtection="1">
      <protection locked="0"/>
    </xf>
    <xf numFmtId="165" fontId="0" fillId="0" borderId="758" xfId="0" applyNumberFormat="1" applyBorder="1" applyProtection="1">
      <protection locked="0"/>
    </xf>
    <xf numFmtId="0" fontId="7" fillId="0" borderId="757" xfId="0" applyFont="1" applyBorder="1" applyAlignment="1">
      <alignment vertical="top" wrapText="1"/>
    </xf>
    <xf numFmtId="0" fontId="0" fillId="0" borderId="761" xfId="0" applyBorder="1" applyAlignment="1">
      <alignment vertical="top"/>
    </xf>
    <xf numFmtId="0" fontId="8" fillId="0" borderId="757" xfId="5" applyFont="1" applyBorder="1" applyAlignment="1">
      <alignment horizontal="left" vertical="top" wrapText="1"/>
    </xf>
    <xf numFmtId="0" fontId="0" fillId="6" borderId="761" xfId="0" applyFill="1" applyBorder="1"/>
    <xf numFmtId="0" fontId="0" fillId="6" borderId="757" xfId="0" applyFill="1" applyBorder="1" applyAlignment="1">
      <alignment wrapText="1"/>
    </xf>
    <xf numFmtId="0" fontId="0" fillId="6" borderId="757" xfId="0" applyFill="1" applyBorder="1" applyProtection="1">
      <protection locked="0"/>
    </xf>
    <xf numFmtId="0" fontId="0" fillId="6" borderId="757" xfId="0" applyFill="1" applyBorder="1" applyAlignment="1" applyProtection="1">
      <alignment vertical="center"/>
      <protection locked="0"/>
    </xf>
    <xf numFmtId="165" fontId="0" fillId="6" borderId="757" xfId="0" applyNumberFormat="1" applyFill="1" applyBorder="1" applyAlignment="1" applyProtection="1">
      <alignment horizontal="right" vertical="center"/>
      <protection locked="0"/>
    </xf>
    <xf numFmtId="9" fontId="0" fillId="6" borderId="759" xfId="3" applyFont="1" applyFill="1" applyBorder="1" applyProtection="1">
      <protection locked="0"/>
    </xf>
    <xf numFmtId="44" fontId="0" fillId="6" borderId="759" xfId="2" applyFont="1" applyFill="1" applyBorder="1" applyProtection="1">
      <protection locked="0"/>
    </xf>
    <xf numFmtId="5" fontId="0" fillId="6" borderId="759" xfId="0" applyNumberFormat="1" applyFill="1" applyBorder="1" applyAlignment="1" applyProtection="1">
      <alignment horizontal="left"/>
      <protection locked="0"/>
    </xf>
    <xf numFmtId="44" fontId="0" fillId="6" borderId="759" xfId="2" applyFont="1" applyFill="1" applyBorder="1" applyAlignment="1" applyProtection="1">
      <alignment horizontal="left"/>
      <protection locked="0"/>
    </xf>
    <xf numFmtId="44" fontId="0" fillId="6" borderId="759" xfId="0" applyNumberFormat="1" applyFill="1" applyBorder="1" applyProtection="1">
      <protection locked="0"/>
    </xf>
    <xf numFmtId="165" fontId="11" fillId="6" borderId="757" xfId="0" applyNumberFormat="1" applyFont="1" applyFill="1" applyBorder="1" applyAlignment="1" applyProtection="1">
      <alignment horizontal="right" vertical="center"/>
      <protection locked="0"/>
    </xf>
    <xf numFmtId="165" fontId="12" fillId="6" borderId="759" xfId="0" applyNumberFormat="1" applyFont="1" applyFill="1" applyBorder="1" applyAlignment="1" applyProtection="1">
      <alignment horizontal="center"/>
      <protection locked="0"/>
    </xf>
    <xf numFmtId="165" fontId="12" fillId="6" borderId="759" xfId="0" applyNumberFormat="1" applyFont="1" applyFill="1" applyBorder="1" applyAlignment="1" applyProtection="1">
      <alignment horizontal="left"/>
      <protection locked="0"/>
    </xf>
    <xf numFmtId="0" fontId="0" fillId="6" borderId="762" xfId="0" applyFill="1" applyBorder="1" applyAlignment="1" applyProtection="1">
      <alignment horizontal="center"/>
      <protection locked="0"/>
    </xf>
    <xf numFmtId="7" fontId="0" fillId="6" borderId="759" xfId="0" applyNumberFormat="1" applyFill="1" applyBorder="1" applyAlignment="1" applyProtection="1">
      <alignment horizontal="center"/>
      <protection locked="0"/>
    </xf>
    <xf numFmtId="165" fontId="0" fillId="0" borderId="752" xfId="0" applyNumberFormat="1" applyBorder="1" applyProtection="1">
      <protection locked="0"/>
    </xf>
    <xf numFmtId="0" fontId="0" fillId="0" borderId="763" xfId="0" applyBorder="1" applyProtection="1">
      <protection locked="0"/>
    </xf>
    <xf numFmtId="165" fontId="0" fillId="0" borderId="748" xfId="0" applyNumberFormat="1" applyBorder="1" applyProtection="1">
      <protection locked="0"/>
    </xf>
    <xf numFmtId="0" fontId="0" fillId="0" borderId="764" xfId="0" applyBorder="1" applyProtection="1">
      <protection locked="0"/>
    </xf>
    <xf numFmtId="165" fontId="0" fillId="0" borderId="759" xfId="0" applyNumberFormat="1" applyBorder="1" applyAlignment="1" applyProtection="1">
      <alignment horizontal="right"/>
      <protection locked="0"/>
    </xf>
    <xf numFmtId="0" fontId="0" fillId="0" borderId="761" xfId="0" applyBorder="1" applyProtection="1">
      <protection locked="0"/>
    </xf>
    <xf numFmtId="0" fontId="0" fillId="0" borderId="757" xfId="0" applyBorder="1" applyAlignment="1" applyProtection="1">
      <alignment wrapText="1"/>
      <protection locked="0"/>
    </xf>
    <xf numFmtId="44" fontId="0" fillId="0" borderId="759" xfId="0" applyNumberFormat="1" applyBorder="1" applyProtection="1">
      <protection locked="0"/>
    </xf>
    <xf numFmtId="8" fontId="0" fillId="0" borderId="750" xfId="0" applyNumberFormat="1" applyBorder="1" applyProtection="1">
      <protection locked="0"/>
    </xf>
    <xf numFmtId="165" fontId="0" fillId="0" borderId="759" xfId="0" applyNumberFormat="1" applyBorder="1" applyProtection="1">
      <protection locked="0"/>
    </xf>
    <xf numFmtId="0" fontId="0" fillId="0" borderId="759" xfId="0" applyBorder="1" applyProtection="1">
      <protection locked="0"/>
    </xf>
    <xf numFmtId="0" fontId="0" fillId="0" borderId="765" xfId="0" applyBorder="1"/>
    <xf numFmtId="0" fontId="0" fillId="0" borderId="766" xfId="0" applyBorder="1" applyAlignment="1">
      <alignment wrapText="1"/>
    </xf>
    <xf numFmtId="0" fontId="0" fillId="0" borderId="766" xfId="0" applyBorder="1" applyProtection="1">
      <protection locked="0"/>
    </xf>
    <xf numFmtId="165" fontId="0" fillId="0" borderId="766" xfId="0" applyNumberFormat="1" applyBorder="1" applyProtection="1">
      <protection locked="0"/>
    </xf>
    <xf numFmtId="0" fontId="0" fillId="0" borderId="767" xfId="0" applyBorder="1" applyProtection="1">
      <protection locked="0"/>
    </xf>
    <xf numFmtId="0" fontId="0" fillId="0" borderId="768" xfId="0" applyBorder="1" applyProtection="1">
      <protection locked="0"/>
    </xf>
    <xf numFmtId="0" fontId="0" fillId="0" borderId="762" xfId="0" applyBorder="1" applyProtection="1">
      <protection locked="0"/>
    </xf>
    <xf numFmtId="0" fontId="0" fillId="0" borderId="759" xfId="0" applyBorder="1" applyAlignment="1" applyProtection="1">
      <alignment horizontal="center"/>
      <protection locked="0"/>
    </xf>
    <xf numFmtId="0" fontId="4" fillId="0" borderId="769" xfId="0" applyFont="1" applyBorder="1" applyAlignment="1" applyProtection="1">
      <alignment horizontal="right"/>
      <protection locked="0"/>
    </xf>
    <xf numFmtId="169" fontId="0" fillId="0" borderId="759" xfId="0" applyNumberFormat="1" applyBorder="1" applyAlignment="1" applyProtection="1">
      <alignment horizontal="center"/>
      <protection locked="0"/>
    </xf>
    <xf numFmtId="0" fontId="4" fillId="0" borderId="759" xfId="0" applyFont="1" applyBorder="1" applyAlignment="1" applyProtection="1">
      <alignment horizontal="right"/>
      <protection locked="0"/>
    </xf>
    <xf numFmtId="0" fontId="5" fillId="0" borderId="759" xfId="4" applyBorder="1" applyAlignment="1" applyProtection="1">
      <alignment horizontal="center" vertical="center"/>
      <protection locked="0"/>
    </xf>
    <xf numFmtId="0" fontId="4" fillId="0" borderId="765" xfId="0" applyFont="1" applyBorder="1" applyAlignment="1" applyProtection="1">
      <alignment horizontal="right"/>
      <protection locked="0"/>
    </xf>
    <xf numFmtId="5" fontId="0" fillId="0" borderId="762" xfId="2" applyNumberFormat="1" applyFont="1" applyBorder="1" applyAlignment="1" applyProtection="1">
      <alignment horizontal="center"/>
      <protection locked="0"/>
    </xf>
    <xf numFmtId="0" fontId="0" fillId="0" borderId="761" xfId="0" applyBorder="1" applyAlignment="1">
      <alignment horizontal="right"/>
    </xf>
    <xf numFmtId="0" fontId="0" fillId="0" borderId="757" xfId="0" applyBorder="1" applyAlignment="1">
      <alignment wrapText="1"/>
    </xf>
    <xf numFmtId="0" fontId="0" fillId="0" borderId="757" xfId="0" applyBorder="1" applyProtection="1">
      <protection locked="0"/>
    </xf>
    <xf numFmtId="0" fontId="0" fillId="0" borderId="757" xfId="0" applyBorder="1" applyAlignment="1">
      <alignment horizontal="left" wrapText="1"/>
    </xf>
    <xf numFmtId="14" fontId="0" fillId="0" borderId="757" xfId="0" applyNumberFormat="1" applyBorder="1" applyAlignment="1">
      <alignment horizontal="left" wrapText="1"/>
    </xf>
    <xf numFmtId="0" fontId="0" fillId="0" borderId="761" xfId="0" applyBorder="1"/>
    <xf numFmtId="5" fontId="0" fillId="0" borderId="759" xfId="2" applyNumberFormat="1" applyFont="1" applyBorder="1" applyProtection="1">
      <protection locked="0"/>
    </xf>
    <xf numFmtId="0" fontId="6" fillId="0" borderId="757" xfId="0" applyFont="1" applyBorder="1" applyProtection="1">
      <protection locked="0"/>
    </xf>
    <xf numFmtId="44" fontId="30" fillId="0" borderId="759" xfId="2" applyFont="1" applyBorder="1" applyAlignment="1">
      <alignment horizontal="center" vertical="center"/>
    </xf>
    <xf numFmtId="0" fontId="4" fillId="3" borderId="757" xfId="0" applyFont="1" applyFill="1" applyBorder="1" applyAlignment="1">
      <alignment horizontal="center" wrapText="1"/>
    </xf>
    <xf numFmtId="0" fontId="0" fillId="0" borderId="759" xfId="0" applyBorder="1" applyAlignment="1" applyProtection="1">
      <alignment horizontal="left"/>
      <protection locked="0"/>
    </xf>
    <xf numFmtId="0" fontId="30" fillId="0" borderId="771" xfId="0" applyFont="1" applyBorder="1" applyAlignment="1">
      <alignment vertical="center"/>
    </xf>
    <xf numFmtId="0" fontId="0" fillId="0" borderId="772" xfId="0" applyBorder="1" applyAlignment="1" applyProtection="1">
      <alignment horizontal="left"/>
      <protection locked="0"/>
    </xf>
    <xf numFmtId="0" fontId="0" fillId="0" borderId="772" xfId="0" applyBorder="1" applyProtection="1">
      <protection locked="0"/>
    </xf>
    <xf numFmtId="3" fontId="0" fillId="0" borderId="772" xfId="0" applyNumberFormat="1" applyBorder="1" applyAlignment="1" applyProtection="1">
      <alignment horizontal="left"/>
      <protection locked="0"/>
    </xf>
    <xf numFmtId="0" fontId="30" fillId="0" borderId="771" xfId="0" quotePrefix="1" applyFont="1" applyBorder="1"/>
    <xf numFmtId="0" fontId="30" fillId="19" borderId="771" xfId="0" applyFont="1" applyFill="1" applyBorder="1" applyAlignment="1">
      <alignment horizontal="center"/>
    </xf>
    <xf numFmtId="0" fontId="30" fillId="22" borderId="771" xfId="0" applyFont="1" applyFill="1" applyBorder="1" applyAlignment="1">
      <alignment horizontal="left"/>
    </xf>
    <xf numFmtId="0" fontId="6" fillId="22" borderId="773" xfId="0" applyFont="1" applyFill="1" applyBorder="1" applyProtection="1">
      <protection locked="0"/>
    </xf>
    <xf numFmtId="0" fontId="0" fillId="22" borderId="774" xfId="0" applyFill="1" applyBorder="1" applyProtection="1">
      <protection locked="0"/>
    </xf>
    <xf numFmtId="0" fontId="0" fillId="22" borderId="772" xfId="0" applyFill="1" applyBorder="1" applyProtection="1">
      <protection locked="0"/>
    </xf>
    <xf numFmtId="0" fontId="6" fillId="22" borderId="772" xfId="0" applyFont="1" applyFill="1" applyBorder="1" applyProtection="1">
      <protection locked="0"/>
    </xf>
    <xf numFmtId="3" fontId="0" fillId="22" borderId="772" xfId="0" applyNumberFormat="1" applyFill="1" applyBorder="1" applyAlignment="1" applyProtection="1">
      <alignment horizontal="left"/>
      <protection locked="0"/>
    </xf>
    <xf numFmtId="0" fontId="30" fillId="9" borderId="757" xfId="0" applyFont="1" applyFill="1" applyBorder="1" applyAlignment="1">
      <alignment horizontal="left"/>
    </xf>
    <xf numFmtId="0" fontId="31" fillId="9" borderId="757" xfId="0" applyFont="1" applyFill="1" applyBorder="1" applyAlignment="1">
      <alignment horizontal="left"/>
    </xf>
    <xf numFmtId="0" fontId="1" fillId="0" borderId="757" xfId="0" applyFont="1" applyBorder="1" applyProtection="1">
      <protection locked="0"/>
    </xf>
    <xf numFmtId="0" fontId="30" fillId="0" borderId="757" xfId="0" applyFont="1" applyBorder="1" applyAlignment="1">
      <alignment horizontal="left"/>
    </xf>
    <xf numFmtId="44" fontId="0" fillId="0" borderId="757" xfId="0" applyNumberFormat="1" applyBorder="1" applyProtection="1">
      <protection locked="0"/>
    </xf>
    <xf numFmtId="44" fontId="0" fillId="0" borderId="493" xfId="0" applyNumberFormat="1" applyBorder="1" applyProtection="1">
      <protection locked="0"/>
    </xf>
    <xf numFmtId="44" fontId="0" fillId="0" borderId="772" xfId="0" applyNumberFormat="1" applyBorder="1" applyAlignment="1" applyProtection="1">
      <alignment horizontal="left"/>
      <protection locked="0"/>
    </xf>
    <xf numFmtId="0" fontId="0" fillId="0" borderId="775" xfId="0" applyBorder="1" applyAlignment="1">
      <alignment vertical="top"/>
    </xf>
    <xf numFmtId="0" fontId="30" fillId="9" borderId="773" xfId="0" applyFont="1" applyFill="1" applyBorder="1" applyAlignment="1">
      <alignment horizontal="left"/>
    </xf>
    <xf numFmtId="44" fontId="0" fillId="7" borderId="772" xfId="0" applyNumberFormat="1" applyFill="1" applyBorder="1" applyAlignment="1" applyProtection="1">
      <alignment horizontal="left"/>
      <protection locked="0"/>
    </xf>
    <xf numFmtId="0" fontId="31" fillId="0" borderId="757" xfId="0" applyFont="1" applyBorder="1" applyAlignment="1">
      <alignment horizontal="left"/>
    </xf>
    <xf numFmtId="0" fontId="0" fillId="0" borderId="772" xfId="0" applyBorder="1" applyAlignment="1" applyProtection="1">
      <alignment horizontal="left" wrapText="1"/>
      <protection locked="0"/>
    </xf>
    <xf numFmtId="0" fontId="13" fillId="0" borderId="757" xfId="0" applyFont="1" applyBorder="1" applyProtection="1">
      <protection locked="0"/>
    </xf>
    <xf numFmtId="3" fontId="0" fillId="7" borderId="772" xfId="0" applyNumberFormat="1" applyFill="1" applyBorder="1" applyAlignment="1" applyProtection="1">
      <alignment horizontal="left"/>
      <protection locked="0"/>
    </xf>
    <xf numFmtId="0" fontId="30" fillId="0" borderId="773" xfId="0" applyFont="1" applyBorder="1" applyAlignment="1">
      <alignment horizontal="left"/>
    </xf>
    <xf numFmtId="44" fontId="30" fillId="0" borderId="759" xfId="2" applyFont="1" applyFill="1" applyBorder="1" applyAlignment="1">
      <alignment horizontal="center" vertical="center"/>
    </xf>
    <xf numFmtId="0" fontId="31" fillId="0" borderId="773" xfId="0" applyFont="1" applyBorder="1" applyAlignment="1">
      <alignment horizontal="left"/>
    </xf>
    <xf numFmtId="0" fontId="30" fillId="0" borderId="773" xfId="0" applyFont="1" applyBorder="1" applyAlignment="1">
      <alignment horizontal="left" wrapText="1"/>
    </xf>
    <xf numFmtId="0" fontId="31" fillId="9" borderId="773" xfId="0" applyFont="1" applyFill="1" applyBorder="1" applyAlignment="1">
      <alignment horizontal="left"/>
    </xf>
    <xf numFmtId="0" fontId="13" fillId="0" borderId="775" xfId="0" applyFont="1" applyBorder="1" applyAlignment="1">
      <alignment vertical="top"/>
    </xf>
    <xf numFmtId="0" fontId="30" fillId="9" borderId="773" xfId="0" applyFont="1" applyFill="1" applyBorder="1" applyAlignment="1">
      <alignment horizontal="left" wrapText="1"/>
    </xf>
    <xf numFmtId="0" fontId="7" fillId="0" borderId="773" xfId="0" applyFont="1" applyBorder="1" applyAlignment="1">
      <alignment horizontal="left" vertical="top" wrapText="1"/>
    </xf>
    <xf numFmtId="0" fontId="0" fillId="6" borderId="757" xfId="0" applyFill="1" applyBorder="1" applyAlignment="1" applyProtection="1">
      <alignment horizontal="right" vertical="center"/>
      <protection locked="0"/>
    </xf>
    <xf numFmtId="0" fontId="11" fillId="6" borderId="757" xfId="0" applyFont="1" applyFill="1" applyBorder="1" applyAlignment="1" applyProtection="1">
      <alignment horizontal="right" vertical="center"/>
      <protection locked="0"/>
    </xf>
    <xf numFmtId="0" fontId="0" fillId="0" borderId="775" xfId="0" applyBorder="1"/>
    <xf numFmtId="0" fontId="0" fillId="0" borderId="776" xfId="0" applyBorder="1" applyProtection="1">
      <protection locked="0"/>
    </xf>
    <xf numFmtId="0" fontId="0" fillId="0" borderId="777" xfId="0" applyBorder="1" applyProtection="1">
      <protection locked="0"/>
    </xf>
    <xf numFmtId="165" fontId="0" fillId="0" borderId="774" xfId="0" applyNumberFormat="1" applyBorder="1" applyProtection="1">
      <protection locked="0"/>
    </xf>
    <xf numFmtId="0" fontId="0" fillId="0" borderId="776" xfId="0" applyBorder="1" applyAlignment="1" applyProtection="1">
      <alignment wrapText="1"/>
      <protection locked="0"/>
    </xf>
    <xf numFmtId="0" fontId="0" fillId="0" borderId="775" xfId="0" applyBorder="1" applyProtection="1">
      <protection locked="0"/>
    </xf>
    <xf numFmtId="0" fontId="0" fillId="0" borderId="776" xfId="0" applyBorder="1" applyAlignment="1">
      <alignment wrapText="1"/>
    </xf>
    <xf numFmtId="0" fontId="0" fillId="0" borderId="774" xfId="0" applyBorder="1" applyProtection="1">
      <protection locked="0"/>
    </xf>
    <xf numFmtId="0" fontId="0" fillId="0" borderId="778" xfId="0" applyBorder="1" applyProtection="1">
      <protection locked="0"/>
    </xf>
    <xf numFmtId="0" fontId="4" fillId="0" borderId="776" xfId="0" applyFont="1" applyBorder="1" applyAlignment="1">
      <alignment wrapText="1"/>
    </xf>
    <xf numFmtId="5" fontId="0" fillId="0" borderId="759" xfId="2" applyNumberFormat="1" applyFont="1" applyBorder="1" applyAlignment="1" applyProtection="1">
      <alignment horizontal="left"/>
      <protection locked="0"/>
    </xf>
    <xf numFmtId="3" fontId="0" fillId="0" borderId="773" xfId="0" applyNumberFormat="1" applyBorder="1" applyAlignment="1" applyProtection="1">
      <alignment horizontal="left"/>
      <protection locked="0"/>
    </xf>
    <xf numFmtId="3" fontId="0" fillId="0" borderId="759" xfId="0" applyNumberFormat="1" applyBorder="1" applyAlignment="1" applyProtection="1">
      <alignment horizontal="left"/>
      <protection locked="0"/>
    </xf>
    <xf numFmtId="3" fontId="0" fillId="0" borderId="774" xfId="0" applyNumberFormat="1" applyBorder="1" applyAlignment="1" applyProtection="1">
      <alignment horizontal="left"/>
      <protection locked="0"/>
    </xf>
    <xf numFmtId="0" fontId="7" fillId="0" borderId="775" xfId="0" applyFont="1" applyBorder="1" applyAlignment="1">
      <alignment vertical="top"/>
    </xf>
    <xf numFmtId="0" fontId="30" fillId="0" borderId="780" xfId="0" applyFont="1" applyBorder="1" applyAlignment="1">
      <alignment vertical="center"/>
    </xf>
    <xf numFmtId="0" fontId="38" fillId="0" borderId="757" xfId="0" applyFont="1" applyBorder="1" applyProtection="1">
      <protection locked="0"/>
    </xf>
    <xf numFmtId="0" fontId="7" fillId="0" borderId="757" xfId="0" applyFont="1" applyBorder="1" applyProtection="1">
      <protection locked="0"/>
    </xf>
    <xf numFmtId="0" fontId="38" fillId="0" borderId="493" xfId="0" applyFont="1" applyBorder="1" applyProtection="1">
      <protection locked="0"/>
    </xf>
    <xf numFmtId="0" fontId="30" fillId="0" borderId="780" xfId="0" quotePrefix="1" applyFont="1" applyBorder="1"/>
    <xf numFmtId="0" fontId="30" fillId="0" borderId="780" xfId="0" applyFont="1" applyBorder="1" applyAlignment="1">
      <alignment horizontal="left"/>
    </xf>
    <xf numFmtId="3" fontId="0" fillId="0" borderId="781" xfId="0" applyNumberFormat="1" applyBorder="1" applyAlignment="1" applyProtection="1">
      <alignment horizontal="left"/>
      <protection locked="0"/>
    </xf>
    <xf numFmtId="3" fontId="0" fillId="0" borderId="782" xfId="0" applyNumberFormat="1" applyBorder="1" applyAlignment="1" applyProtection="1">
      <alignment horizontal="left"/>
      <protection locked="0"/>
    </xf>
    <xf numFmtId="0" fontId="7" fillId="0" borderId="783" xfId="0" applyFont="1" applyBorder="1" applyAlignment="1">
      <alignment vertical="top"/>
    </xf>
    <xf numFmtId="0" fontId="30" fillId="0" borderId="784" xfId="0" quotePrefix="1" applyFont="1" applyBorder="1"/>
    <xf numFmtId="3" fontId="0" fillId="0" borderId="785" xfId="0" applyNumberFormat="1" applyBorder="1" applyAlignment="1" applyProtection="1">
      <alignment horizontal="left"/>
      <protection locked="0"/>
    </xf>
    <xf numFmtId="3" fontId="0" fillId="0" borderId="786" xfId="0" applyNumberFormat="1" applyBorder="1" applyAlignment="1" applyProtection="1">
      <alignment horizontal="left"/>
      <protection locked="0"/>
    </xf>
    <xf numFmtId="3" fontId="0" fillId="0" borderId="787" xfId="0" applyNumberFormat="1" applyBorder="1" applyAlignment="1" applyProtection="1">
      <alignment horizontal="left"/>
      <protection locked="0"/>
    </xf>
    <xf numFmtId="0" fontId="7" fillId="0" borderId="788" xfId="0" applyFont="1" applyBorder="1" applyAlignment="1">
      <alignment vertical="top"/>
    </xf>
    <xf numFmtId="0" fontId="30" fillId="0" borderId="789" xfId="0" quotePrefix="1" applyFont="1" applyBorder="1"/>
    <xf numFmtId="3" fontId="0" fillId="0" borderId="790" xfId="0" applyNumberFormat="1" applyBorder="1" applyAlignment="1" applyProtection="1">
      <alignment horizontal="left"/>
      <protection locked="0"/>
    </xf>
    <xf numFmtId="3" fontId="0" fillId="0" borderId="791" xfId="0" applyNumberFormat="1" applyBorder="1" applyAlignment="1" applyProtection="1">
      <alignment horizontal="left"/>
      <protection locked="0"/>
    </xf>
    <xf numFmtId="3" fontId="0" fillId="0" borderId="792" xfId="0" applyNumberFormat="1" applyBorder="1" applyAlignment="1" applyProtection="1">
      <alignment horizontal="left"/>
      <protection locked="0"/>
    </xf>
    <xf numFmtId="0" fontId="30" fillId="22" borderId="793" xfId="0" applyFont="1" applyFill="1" applyBorder="1" applyAlignment="1">
      <alignment horizontal="left"/>
    </xf>
    <xf numFmtId="0" fontId="6" fillId="22" borderId="794" xfId="0" applyFont="1" applyFill="1" applyBorder="1" applyProtection="1">
      <protection locked="0"/>
    </xf>
    <xf numFmtId="0" fontId="6" fillId="22" borderId="795" xfId="0" applyFont="1" applyFill="1" applyBorder="1" applyProtection="1">
      <protection locked="0"/>
    </xf>
    <xf numFmtId="3" fontId="0" fillId="22" borderId="795" xfId="0" applyNumberFormat="1" applyFill="1" applyBorder="1" applyAlignment="1" applyProtection="1">
      <alignment horizontal="left"/>
      <protection locked="0"/>
    </xf>
    <xf numFmtId="0" fontId="0" fillId="22" borderId="795" xfId="0" applyFill="1" applyBorder="1" applyProtection="1">
      <protection locked="0"/>
    </xf>
    <xf numFmtId="0" fontId="0" fillId="22" borderId="796" xfId="0" applyFill="1" applyBorder="1" applyProtection="1">
      <protection locked="0"/>
    </xf>
    <xf numFmtId="165" fontId="0" fillId="22" borderId="795" xfId="0" applyNumberFormat="1" applyFill="1" applyBorder="1" applyProtection="1">
      <protection locked="0"/>
    </xf>
    <xf numFmtId="0" fontId="39" fillId="0" borderId="797" xfId="0" applyFont="1" applyBorder="1" applyAlignment="1">
      <alignment horizontal="left" wrapText="1"/>
    </xf>
    <xf numFmtId="0" fontId="6" fillId="0" borderId="759" xfId="0" applyFont="1" applyBorder="1" applyProtection="1">
      <protection locked="0"/>
    </xf>
    <xf numFmtId="0" fontId="7" fillId="0" borderId="798" xfId="0" applyFont="1" applyBorder="1" applyAlignment="1">
      <alignment vertical="top"/>
    </xf>
    <xf numFmtId="3" fontId="0" fillId="0" borderId="794" xfId="0" applyNumberFormat="1" applyBorder="1" applyAlignment="1" applyProtection="1">
      <alignment horizontal="left"/>
      <protection locked="0"/>
    </xf>
    <xf numFmtId="3" fontId="0" fillId="0" borderId="795" xfId="0" applyNumberFormat="1" applyBorder="1" applyAlignment="1" applyProtection="1">
      <alignment horizontal="left"/>
      <protection locked="0"/>
    </xf>
    <xf numFmtId="0" fontId="37" fillId="0" borderId="797" xfId="0" applyFont="1" applyBorder="1" applyAlignment="1">
      <alignment horizontal="left" wrapText="1"/>
    </xf>
    <xf numFmtId="2" fontId="7" fillId="0" borderId="757" xfId="0" applyNumberFormat="1" applyFont="1" applyBorder="1" applyProtection="1">
      <protection locked="0"/>
    </xf>
    <xf numFmtId="165" fontId="0" fillId="0" borderId="757" xfId="0" applyNumberFormat="1" applyBorder="1" applyProtection="1">
      <protection locked="0"/>
    </xf>
    <xf numFmtId="0" fontId="39" fillId="0" borderId="794" xfId="0" applyFont="1" applyBorder="1" applyAlignment="1">
      <alignment horizontal="left" wrapText="1"/>
    </xf>
    <xf numFmtId="0" fontId="0" fillId="0" borderId="795" xfId="0" applyBorder="1" applyProtection="1">
      <protection locked="0"/>
    </xf>
    <xf numFmtId="0" fontId="0" fillId="0" borderId="795" xfId="0" applyBorder="1" applyAlignment="1" applyProtection="1">
      <alignment horizontal="left"/>
      <protection locked="0"/>
    </xf>
    <xf numFmtId="0" fontId="30" fillId="0" borderId="794" xfId="0" applyFont="1" applyBorder="1" applyAlignment="1">
      <alignment horizontal="left" vertical="center"/>
    </xf>
    <xf numFmtId="0" fontId="31" fillId="0" borderId="794" xfId="0" applyFont="1" applyBorder="1" applyAlignment="1">
      <alignment horizontal="left" vertical="center"/>
    </xf>
    <xf numFmtId="0" fontId="30" fillId="0" borderId="794" xfId="0" applyFont="1" applyBorder="1" applyAlignment="1">
      <alignment horizontal="left" vertical="center" wrapText="1"/>
    </xf>
    <xf numFmtId="3" fontId="0" fillId="0" borderId="759" xfId="0" applyNumberFormat="1" applyBorder="1" applyProtection="1">
      <protection locked="0"/>
    </xf>
    <xf numFmtId="0" fontId="9" fillId="4" borderId="224" xfId="0" applyFont="1" applyFill="1" applyBorder="1" applyAlignment="1">
      <alignment wrapText="1"/>
    </xf>
    <xf numFmtId="0" fontId="0" fillId="4" borderId="224" xfId="0" applyFill="1" applyBorder="1" applyProtection="1">
      <protection locked="0"/>
    </xf>
    <xf numFmtId="0" fontId="0" fillId="4" borderId="202" xfId="0" applyFill="1" applyBorder="1" applyProtection="1">
      <protection locked="0"/>
    </xf>
    <xf numFmtId="0" fontId="0" fillId="0" borderId="796" xfId="0" applyBorder="1" applyProtection="1">
      <protection locked="0"/>
    </xf>
    <xf numFmtId="0" fontId="9" fillId="5" borderId="224" xfId="0" applyFont="1" applyFill="1" applyBorder="1" applyAlignment="1">
      <alignment wrapText="1"/>
    </xf>
    <xf numFmtId="0" fontId="0" fillId="5" borderId="224" xfId="0" applyFill="1" applyBorder="1" applyProtection="1">
      <protection locked="0"/>
    </xf>
    <xf numFmtId="0" fontId="0" fillId="5" borderId="202" xfId="0" applyFill="1" applyBorder="1" applyProtection="1">
      <protection locked="0"/>
    </xf>
    <xf numFmtId="0" fontId="0" fillId="3" borderId="757" xfId="0" applyFill="1" applyBorder="1" applyAlignment="1">
      <alignment wrapText="1"/>
    </xf>
    <xf numFmtId="0" fontId="6" fillId="3" borderId="757" xfId="0" applyFont="1" applyFill="1" applyBorder="1" applyProtection="1">
      <protection locked="0"/>
    </xf>
    <xf numFmtId="0" fontId="0" fillId="3" borderId="757" xfId="0" applyFill="1" applyBorder="1" applyProtection="1">
      <protection locked="0"/>
    </xf>
    <xf numFmtId="0" fontId="0" fillId="3" borderId="493" xfId="0" applyFill="1" applyBorder="1" applyProtection="1">
      <protection locked="0"/>
    </xf>
    <xf numFmtId="9" fontId="0" fillId="6" borderId="759" xfId="3" applyFont="1" applyFill="1" applyBorder="1" applyAlignment="1" applyProtection="1">
      <alignment horizontal="left"/>
      <protection locked="0"/>
    </xf>
    <xf numFmtId="5" fontId="0" fillId="6" borderId="759" xfId="2" applyNumberFormat="1" applyFont="1" applyFill="1" applyBorder="1" applyAlignment="1" applyProtection="1">
      <alignment horizontal="left"/>
      <protection locked="0"/>
    </xf>
    <xf numFmtId="0" fontId="0" fillId="6" borderId="759" xfId="0" applyFill="1" applyBorder="1" applyAlignment="1" applyProtection="1">
      <alignment horizontal="center"/>
      <protection locked="0"/>
    </xf>
    <xf numFmtId="0" fontId="0" fillId="6" borderId="759" xfId="0" applyFill="1" applyBorder="1" applyAlignment="1" applyProtection="1">
      <alignment horizontal="left"/>
      <protection locked="0"/>
    </xf>
    <xf numFmtId="0" fontId="0" fillId="0" borderId="798" xfId="0" applyBorder="1"/>
    <xf numFmtId="0" fontId="0" fillId="0" borderId="797" xfId="0" applyBorder="1" applyProtection="1">
      <protection locked="0"/>
    </xf>
    <xf numFmtId="0" fontId="0" fillId="0" borderId="799" xfId="0" applyBorder="1" applyProtection="1">
      <protection locked="0"/>
    </xf>
    <xf numFmtId="165" fontId="0" fillId="0" borderId="796" xfId="0" applyNumberFormat="1" applyBorder="1" applyProtection="1">
      <protection locked="0"/>
    </xf>
    <xf numFmtId="165" fontId="0" fillId="0" borderId="795" xfId="0" applyNumberFormat="1" applyBorder="1" applyProtection="1">
      <protection locked="0"/>
    </xf>
    <xf numFmtId="0" fontId="0" fillId="0" borderId="798" xfId="0" applyBorder="1" applyProtection="1">
      <protection locked="0"/>
    </xf>
    <xf numFmtId="0" fontId="0" fillId="0" borderId="797" xfId="0" applyBorder="1" applyAlignment="1" applyProtection="1">
      <alignment wrapText="1"/>
      <protection locked="0"/>
    </xf>
    <xf numFmtId="0" fontId="0" fillId="0" borderId="797" xfId="0" applyBorder="1" applyAlignment="1">
      <alignment wrapText="1"/>
    </xf>
    <xf numFmtId="0" fontId="4" fillId="0" borderId="797" xfId="0" applyFont="1" applyBorder="1" applyAlignment="1">
      <alignment wrapText="1"/>
    </xf>
    <xf numFmtId="0" fontId="0" fillId="0" borderId="798" xfId="0" applyBorder="1" applyAlignment="1">
      <alignment vertical="top"/>
    </xf>
    <xf numFmtId="0" fontId="30" fillId="0" borderId="793" xfId="0" applyFont="1" applyBorder="1" applyAlignment="1">
      <alignment vertical="center"/>
    </xf>
    <xf numFmtId="0" fontId="30" fillId="0" borderId="793" xfId="0" quotePrefix="1" applyFont="1" applyBorder="1"/>
    <xf numFmtId="0" fontId="0" fillId="0" borderId="801" xfId="0" applyBorder="1" applyAlignment="1">
      <alignment vertical="top"/>
    </xf>
    <xf numFmtId="0" fontId="30" fillId="19" borderId="793" xfId="0" applyFont="1" applyFill="1" applyBorder="1" applyAlignment="1">
      <alignment horizontal="center"/>
    </xf>
    <xf numFmtId="44" fontId="0" fillId="22" borderId="795" xfId="0" applyNumberFormat="1" applyFill="1" applyBorder="1" applyProtection="1">
      <protection locked="0"/>
    </xf>
    <xf numFmtId="0" fontId="31" fillId="9" borderId="802" xfId="0" applyFont="1" applyFill="1" applyBorder="1" applyAlignment="1">
      <alignment horizontal="left" vertical="center" wrapText="1"/>
    </xf>
    <xf numFmtId="42" fontId="0" fillId="0" borderId="803" xfId="0" applyNumberFormat="1" applyBorder="1" applyAlignment="1" applyProtection="1">
      <alignment horizontal="left"/>
      <protection locked="0"/>
    </xf>
    <xf numFmtId="0" fontId="30" fillId="9" borderId="802" xfId="0" applyFont="1" applyFill="1" applyBorder="1" applyAlignment="1">
      <alignment horizontal="left" vertical="center" wrapText="1"/>
    </xf>
    <xf numFmtId="44" fontId="0" fillId="0" borderId="803" xfId="0" applyNumberFormat="1" applyBorder="1" applyProtection="1">
      <protection locked="0"/>
    </xf>
    <xf numFmtId="42" fontId="0" fillId="7" borderId="803" xfId="0" applyNumberFormat="1" applyFill="1" applyBorder="1" applyAlignment="1" applyProtection="1">
      <alignment horizontal="left"/>
      <protection locked="0"/>
    </xf>
    <xf numFmtId="42" fontId="28" fillId="0" borderId="803" xfId="0" applyNumberFormat="1" applyFont="1" applyBorder="1" applyAlignment="1" applyProtection="1">
      <alignment horizontal="left"/>
      <protection locked="0"/>
    </xf>
    <xf numFmtId="0" fontId="30" fillId="0" borderId="802" xfId="0" applyFont="1" applyBorder="1" applyAlignment="1">
      <alignment horizontal="left" vertical="center" wrapText="1"/>
    </xf>
    <xf numFmtId="0" fontId="0" fillId="0" borderId="527" xfId="0" applyBorder="1" applyAlignment="1" applyProtection="1">
      <alignment wrapText="1"/>
      <protection locked="0"/>
    </xf>
    <xf numFmtId="165" fontId="0" fillId="7" borderId="803" xfId="0" applyNumberFormat="1" applyFill="1" applyBorder="1" applyProtection="1">
      <protection locked="0"/>
    </xf>
    <xf numFmtId="0" fontId="0" fillId="0" borderId="804" xfId="0" applyBorder="1" applyProtection="1">
      <protection locked="0"/>
    </xf>
    <xf numFmtId="44" fontId="0" fillId="0" borderId="797" xfId="0" applyNumberFormat="1" applyBorder="1" applyProtection="1">
      <protection locked="0"/>
    </xf>
    <xf numFmtId="165" fontId="0" fillId="0" borderId="799" xfId="0" applyNumberFormat="1" applyBorder="1" applyProtection="1">
      <protection locked="0"/>
    </xf>
    <xf numFmtId="44" fontId="30" fillId="0" borderId="796" xfId="2" applyFont="1" applyBorder="1" applyAlignment="1">
      <alignment horizontal="center" vertical="center"/>
    </xf>
    <xf numFmtId="10" fontId="0" fillId="6" borderId="759" xfId="3" applyNumberFormat="1" applyFont="1" applyFill="1" applyBorder="1" applyProtection="1">
      <protection locked="0"/>
    </xf>
    <xf numFmtId="0" fontId="0" fillId="0" borderId="805" xfId="0" applyBorder="1"/>
    <xf numFmtId="0" fontId="0" fillId="0" borderId="806" xfId="0" applyBorder="1" applyProtection="1">
      <protection locked="0"/>
    </xf>
    <xf numFmtId="165" fontId="0" fillId="0" borderId="807" xfId="0" applyNumberFormat="1" applyBorder="1" applyProtection="1">
      <protection locked="0"/>
    </xf>
    <xf numFmtId="0" fontId="0" fillId="0" borderId="805" xfId="0" applyBorder="1" applyProtection="1">
      <protection locked="0"/>
    </xf>
    <xf numFmtId="0" fontId="0" fillId="0" borderId="808" xfId="0" applyBorder="1" applyAlignment="1" applyProtection="1">
      <alignment wrapText="1"/>
      <protection locked="0"/>
    </xf>
    <xf numFmtId="0" fontId="0" fillId="0" borderId="808" xfId="0" applyBorder="1" applyAlignment="1">
      <alignment wrapText="1"/>
    </xf>
    <xf numFmtId="0" fontId="0" fillId="0" borderId="807" xfId="0" applyBorder="1" applyProtection="1">
      <protection locked="0"/>
    </xf>
    <xf numFmtId="0" fontId="7" fillId="0" borderId="761" xfId="0" applyFont="1" applyBorder="1" applyAlignment="1">
      <alignment horizontal="right"/>
    </xf>
    <xf numFmtId="0" fontId="7" fillId="0" borderId="757" xfId="0" applyFont="1" applyBorder="1" applyAlignment="1">
      <alignment wrapText="1"/>
    </xf>
    <xf numFmtId="0" fontId="7" fillId="0" borderId="493" xfId="0" applyFont="1" applyBorder="1" applyAlignment="1" applyProtection="1">
      <alignment horizontal="right"/>
      <protection locked="0"/>
    </xf>
    <xf numFmtId="0" fontId="7" fillId="0" borderId="757" xfId="0" applyFont="1" applyBorder="1" applyAlignment="1">
      <alignment horizontal="left" wrapText="1"/>
    </xf>
    <xf numFmtId="14" fontId="7" fillId="0" borderId="757" xfId="0" applyNumberFormat="1" applyFont="1" applyBorder="1" applyAlignment="1">
      <alignment horizontal="left" wrapText="1"/>
    </xf>
    <xf numFmtId="0" fontId="7" fillId="0" borderId="761" xfId="0" applyFont="1" applyBorder="1"/>
    <xf numFmtId="0" fontId="4" fillId="0" borderId="808" xfId="0" applyFont="1" applyBorder="1" applyAlignment="1">
      <alignment wrapText="1"/>
    </xf>
    <xf numFmtId="0" fontId="7" fillId="0" borderId="493" xfId="0" applyFont="1" applyBorder="1" applyProtection="1">
      <protection locked="0"/>
    </xf>
    <xf numFmtId="5" fontId="7" fillId="0" borderId="759" xfId="2" applyNumberFormat="1" applyFont="1" applyBorder="1" applyProtection="1">
      <protection locked="0"/>
    </xf>
    <xf numFmtId="0" fontId="7" fillId="0" borderId="805" xfId="0" applyFont="1" applyBorder="1" applyAlignment="1">
      <alignment vertical="top"/>
    </xf>
    <xf numFmtId="0" fontId="35" fillId="3" borderId="757" xfId="0" applyFont="1" applyFill="1" applyBorder="1" applyAlignment="1">
      <alignment horizontal="center" wrapText="1"/>
    </xf>
    <xf numFmtId="0" fontId="7" fillId="0" borderId="803" xfId="0" applyFont="1" applyBorder="1" applyProtection="1">
      <protection locked="0"/>
    </xf>
    <xf numFmtId="3" fontId="7" fillId="0" borderId="803" xfId="0" applyNumberFormat="1" applyFont="1" applyBorder="1" applyAlignment="1" applyProtection="1">
      <alignment horizontal="left"/>
      <protection locked="0"/>
    </xf>
    <xf numFmtId="0" fontId="0" fillId="0" borderId="805" xfId="0" applyBorder="1" applyAlignment="1">
      <alignment vertical="top"/>
    </xf>
    <xf numFmtId="3" fontId="0" fillId="0" borderId="803" xfId="0" applyNumberFormat="1" applyBorder="1" applyAlignment="1" applyProtection="1">
      <alignment horizontal="left"/>
      <protection locked="0"/>
    </xf>
    <xf numFmtId="0" fontId="0" fillId="0" borderId="803" xfId="0" applyBorder="1" applyProtection="1">
      <protection locked="0"/>
    </xf>
    <xf numFmtId="0" fontId="30" fillId="0" borderId="809" xfId="0" applyFont="1" applyBorder="1" applyAlignment="1">
      <alignment vertical="center"/>
    </xf>
    <xf numFmtId="0" fontId="30" fillId="0" borderId="809" xfId="0" quotePrefix="1" applyFont="1" applyBorder="1"/>
    <xf numFmtId="0" fontId="30" fillId="19" borderId="493" xfId="0" applyFont="1" applyFill="1" applyBorder="1" applyAlignment="1">
      <alignment horizontal="center"/>
    </xf>
    <xf numFmtId="0" fontId="30" fillId="22" borderId="809" xfId="0" applyFont="1" applyFill="1" applyBorder="1" applyAlignment="1">
      <alignment horizontal="left"/>
    </xf>
    <xf numFmtId="0" fontId="6" fillId="22" borderId="810" xfId="0" applyFont="1" applyFill="1" applyBorder="1" applyProtection="1">
      <protection locked="0"/>
    </xf>
    <xf numFmtId="0" fontId="0" fillId="22" borderId="807" xfId="0" applyFill="1" applyBorder="1" applyProtection="1">
      <protection locked="0"/>
    </xf>
    <xf numFmtId="0" fontId="0" fillId="22" borderId="803" xfId="0" applyFill="1" applyBorder="1" applyProtection="1">
      <protection locked="0"/>
    </xf>
    <xf numFmtId="44" fontId="30" fillId="22" borderId="759" xfId="2" applyFont="1" applyFill="1" applyBorder="1" applyAlignment="1">
      <alignment horizontal="center" vertical="center"/>
    </xf>
    <xf numFmtId="0" fontId="6" fillId="22" borderId="803" xfId="0" applyFont="1" applyFill="1" applyBorder="1" applyProtection="1">
      <protection locked="0"/>
    </xf>
    <xf numFmtId="3" fontId="0" fillId="22" borderId="803" xfId="0" applyNumberFormat="1" applyFill="1" applyBorder="1" applyAlignment="1" applyProtection="1">
      <alignment horizontal="left"/>
      <protection locked="0"/>
    </xf>
    <xf numFmtId="0" fontId="7" fillId="0" borderId="808" xfId="0" applyFont="1" applyBorder="1" applyAlignment="1">
      <alignment horizontal="left" wrapText="1"/>
    </xf>
    <xf numFmtId="0" fontId="7" fillId="0" borderId="808" xfId="0" applyFont="1" applyBorder="1" applyAlignment="1">
      <alignment wrapText="1"/>
    </xf>
    <xf numFmtId="0" fontId="41" fillId="0" borderId="808" xfId="0" applyFont="1" applyBorder="1" applyAlignment="1">
      <alignment wrapText="1"/>
    </xf>
    <xf numFmtId="0" fontId="7" fillId="0" borderId="761" xfId="0" applyFont="1" applyBorder="1" applyAlignment="1">
      <alignment vertical="top"/>
    </xf>
    <xf numFmtId="0" fontId="7" fillId="0" borderId="202" xfId="0" applyFont="1" applyBorder="1" applyProtection="1">
      <protection locked="0"/>
    </xf>
    <xf numFmtId="0" fontId="7" fillId="0" borderId="757" xfId="5" applyFont="1" applyBorder="1" applyAlignment="1">
      <alignment horizontal="left" vertical="top" wrapText="1"/>
    </xf>
    <xf numFmtId="0" fontId="7" fillId="6" borderId="761" xfId="0" applyFont="1" applyFill="1" applyBorder="1"/>
    <xf numFmtId="0" fontId="7" fillId="6" borderId="757" xfId="0" applyFont="1" applyFill="1" applyBorder="1" applyAlignment="1">
      <alignment wrapText="1"/>
    </xf>
    <xf numFmtId="0" fontId="7" fillId="6" borderId="757" xfId="0" applyFont="1" applyFill="1" applyBorder="1" applyProtection="1">
      <protection locked="0"/>
    </xf>
    <xf numFmtId="0" fontId="7" fillId="6" borderId="757" xfId="0" applyFont="1" applyFill="1" applyBorder="1" applyAlignment="1" applyProtection="1">
      <alignment vertical="center"/>
      <protection locked="0"/>
    </xf>
    <xf numFmtId="0" fontId="7" fillId="6" borderId="757" xfId="0" applyFont="1" applyFill="1" applyBorder="1" applyAlignment="1" applyProtection="1">
      <alignment horizontal="right" vertical="center"/>
      <protection locked="0"/>
    </xf>
    <xf numFmtId="0" fontId="7" fillId="6" borderId="493" xfId="0" applyFont="1" applyFill="1" applyBorder="1" applyAlignment="1" applyProtection="1">
      <alignment horizontal="right"/>
      <protection locked="0"/>
    </xf>
    <xf numFmtId="9" fontId="7" fillId="6" borderId="759" xfId="3" applyFont="1" applyFill="1" applyBorder="1" applyProtection="1">
      <protection locked="0"/>
    </xf>
    <xf numFmtId="9" fontId="7" fillId="6" borderId="759" xfId="3" applyFont="1" applyFill="1" applyBorder="1" applyAlignment="1" applyProtection="1">
      <alignment horizontal="left"/>
      <protection locked="0"/>
    </xf>
    <xf numFmtId="9" fontId="7" fillId="6" borderId="495" xfId="3" applyFont="1" applyFill="1" applyBorder="1" applyProtection="1">
      <protection locked="0"/>
    </xf>
    <xf numFmtId="44" fontId="7" fillId="6" borderId="759" xfId="2" applyFont="1" applyFill="1" applyBorder="1" applyProtection="1">
      <protection locked="0"/>
    </xf>
    <xf numFmtId="5" fontId="7" fillId="6" borderId="759" xfId="2" applyNumberFormat="1" applyFont="1" applyFill="1" applyBorder="1" applyAlignment="1" applyProtection="1">
      <alignment horizontal="left"/>
      <protection locked="0"/>
    </xf>
    <xf numFmtId="44" fontId="7" fillId="6" borderId="495" xfId="2" applyFont="1" applyFill="1" applyBorder="1" applyProtection="1">
      <protection locked="0"/>
    </xf>
    <xf numFmtId="44" fontId="7" fillId="6" borderId="759" xfId="2" applyFont="1" applyFill="1" applyBorder="1" applyAlignment="1" applyProtection="1">
      <alignment horizontal="left"/>
      <protection locked="0"/>
    </xf>
    <xf numFmtId="44" fontId="7" fillId="6" borderId="759" xfId="0" applyNumberFormat="1" applyFont="1" applyFill="1" applyBorder="1" applyProtection="1">
      <protection locked="0"/>
    </xf>
    <xf numFmtId="5" fontId="7" fillId="6" borderId="759" xfId="0" applyNumberFormat="1" applyFont="1" applyFill="1" applyBorder="1" applyAlignment="1" applyProtection="1">
      <alignment horizontal="left"/>
      <protection locked="0"/>
    </xf>
    <xf numFmtId="44" fontId="7" fillId="6" borderId="495" xfId="0" applyNumberFormat="1" applyFont="1" applyFill="1" applyBorder="1" applyProtection="1">
      <protection locked="0"/>
    </xf>
    <xf numFmtId="164" fontId="7" fillId="6" borderId="493" xfId="1" applyNumberFormat="1" applyFont="1" applyFill="1" applyBorder="1" applyAlignment="1" applyProtection="1">
      <alignment horizontal="right"/>
      <protection locked="0"/>
    </xf>
    <xf numFmtId="165" fontId="7" fillId="6" borderId="759" xfId="0" applyNumberFormat="1" applyFont="1" applyFill="1" applyBorder="1" applyAlignment="1" applyProtection="1">
      <alignment horizontal="center"/>
      <protection locked="0"/>
    </xf>
    <xf numFmtId="165" fontId="7" fillId="6" borderId="495" xfId="0" applyNumberFormat="1" applyFont="1" applyFill="1" applyBorder="1" applyAlignment="1" applyProtection="1">
      <alignment horizontal="center"/>
      <protection locked="0"/>
    </xf>
    <xf numFmtId="0" fontId="7" fillId="6" borderId="759" xfId="0" applyFont="1" applyFill="1" applyBorder="1" applyAlignment="1" applyProtection="1">
      <alignment horizontal="center"/>
      <protection locked="0"/>
    </xf>
    <xf numFmtId="0" fontId="0" fillId="0" borderId="808" xfId="0" applyBorder="1" applyProtection="1">
      <protection locked="0"/>
    </xf>
    <xf numFmtId="0" fontId="7" fillId="0" borderId="805" xfId="0" applyFont="1" applyBorder="1"/>
    <xf numFmtId="5" fontId="7" fillId="0" borderId="807" xfId="2" applyNumberFormat="1" applyFont="1" applyBorder="1" applyProtection="1">
      <protection locked="0"/>
    </xf>
    <xf numFmtId="5" fontId="7" fillId="0" borderId="803" xfId="2" applyNumberFormat="1" applyFont="1" applyBorder="1" applyProtection="1">
      <protection locked="0"/>
    </xf>
    <xf numFmtId="0" fontId="0" fillId="0" borderId="803" xfId="0" applyBorder="1" applyAlignment="1" applyProtection="1">
      <alignment horizontal="left"/>
      <protection locked="0"/>
    </xf>
    <xf numFmtId="0" fontId="0" fillId="0" borderId="757" xfId="0" applyBorder="1" applyAlignment="1">
      <alignment vertical="top"/>
    </xf>
    <xf numFmtId="0" fontId="37" fillId="0" borderId="808" xfId="0" applyFont="1" applyBorder="1" applyAlignment="1">
      <alignment horizontal="left" wrapText="1"/>
    </xf>
    <xf numFmtId="0" fontId="7" fillId="6" borderId="495" xfId="0" applyFont="1" applyFill="1" applyBorder="1" applyAlignment="1" applyProtection="1">
      <alignment horizontal="center"/>
      <protection locked="0"/>
    </xf>
    <xf numFmtId="0" fontId="0" fillId="0" borderId="758" xfId="0" applyBorder="1" applyAlignment="1" applyProtection="1">
      <alignment horizontal="right"/>
      <protection locked="0"/>
    </xf>
    <xf numFmtId="0" fontId="36" fillId="0" borderId="808" xfId="0" applyFont="1" applyBorder="1" applyAlignment="1">
      <alignment horizontal="left" wrapText="1"/>
    </xf>
    <xf numFmtId="0" fontId="0" fillId="0" borderId="811" xfId="0" applyBorder="1" applyAlignment="1">
      <alignment vertical="top"/>
    </xf>
    <xf numFmtId="0" fontId="30" fillId="0" borderId="812" xfId="0" applyFont="1" applyBorder="1" applyAlignment="1">
      <alignment vertical="center"/>
    </xf>
    <xf numFmtId="0" fontId="30" fillId="0" borderId="813" xfId="0" applyFont="1" applyBorder="1" applyAlignment="1">
      <alignment vertical="center"/>
    </xf>
    <xf numFmtId="0" fontId="30" fillId="0" borderId="813" xfId="0" quotePrefix="1" applyFont="1" applyBorder="1"/>
    <xf numFmtId="0" fontId="30" fillId="19" borderId="813" xfId="0" applyFont="1" applyFill="1" applyBorder="1" applyAlignment="1">
      <alignment horizontal="center"/>
    </xf>
    <xf numFmtId="0" fontId="30" fillId="22" borderId="814" xfId="0" applyFont="1" applyFill="1" applyBorder="1" applyAlignment="1">
      <alignment horizontal="left"/>
    </xf>
    <xf numFmtId="0" fontId="6" fillId="22" borderId="815" xfId="0" applyFont="1" applyFill="1" applyBorder="1" applyProtection="1">
      <protection locked="0"/>
    </xf>
    <xf numFmtId="165" fontId="0" fillId="22" borderId="764" xfId="0" applyNumberFormat="1" applyFill="1" applyBorder="1" applyProtection="1">
      <protection locked="0"/>
    </xf>
    <xf numFmtId="0" fontId="0" fillId="22" borderId="816" xfId="0" applyFill="1" applyBorder="1" applyProtection="1">
      <protection locked="0"/>
    </xf>
    <xf numFmtId="0" fontId="6" fillId="22" borderId="816" xfId="0" applyFont="1" applyFill="1" applyBorder="1" applyProtection="1">
      <protection locked="0"/>
    </xf>
    <xf numFmtId="3" fontId="0" fillId="22" borderId="816" xfId="0" applyNumberFormat="1" applyFill="1" applyBorder="1" applyAlignment="1" applyProtection="1">
      <alignment horizontal="left"/>
      <protection locked="0"/>
    </xf>
    <xf numFmtId="0" fontId="30" fillId="9" borderId="813" xfId="0" applyFont="1" applyFill="1" applyBorder="1" applyAlignment="1">
      <alignment horizontal="left"/>
    </xf>
    <xf numFmtId="0" fontId="63" fillId="9" borderId="760" xfId="0" applyFont="1" applyFill="1" applyBorder="1" applyAlignment="1">
      <alignment vertical="center" wrapText="1"/>
    </xf>
    <xf numFmtId="0" fontId="0" fillId="0" borderId="757" xfId="0" applyBorder="1" applyAlignment="1" applyProtection="1">
      <alignment horizontal="left"/>
      <protection locked="0"/>
    </xf>
    <xf numFmtId="0" fontId="58" fillId="9" borderId="760" xfId="0" applyFont="1" applyFill="1" applyBorder="1" applyAlignment="1">
      <alignment vertical="center" wrapText="1"/>
    </xf>
    <xf numFmtId="0" fontId="7" fillId="0" borderId="757" xfId="0" applyFont="1" applyBorder="1" applyAlignment="1">
      <alignment horizontal="left" vertical="center" wrapText="1"/>
    </xf>
    <xf numFmtId="0" fontId="58" fillId="9" borderId="760" xfId="0" applyFont="1" applyFill="1" applyBorder="1" applyAlignment="1">
      <alignment horizontal="left" vertical="center" wrapText="1"/>
    </xf>
    <xf numFmtId="0" fontId="30" fillId="9" borderId="760" xfId="0" applyFont="1" applyFill="1" applyBorder="1" applyAlignment="1">
      <alignment vertical="center" wrapText="1"/>
    </xf>
    <xf numFmtId="0" fontId="30" fillId="9" borderId="760" xfId="0" applyFont="1" applyFill="1" applyBorder="1" applyAlignment="1">
      <alignment horizontal="left" vertical="center" wrapText="1"/>
    </xf>
    <xf numFmtId="0" fontId="0" fillId="0" borderId="817" xfId="0" applyBorder="1"/>
    <xf numFmtId="0" fontId="0" fillId="0" borderId="818" xfId="0" applyBorder="1" applyProtection="1">
      <protection locked="0"/>
    </xf>
    <xf numFmtId="0" fontId="0" fillId="0" borderId="819" xfId="0" applyBorder="1" applyProtection="1">
      <protection locked="0"/>
    </xf>
    <xf numFmtId="165" fontId="0" fillId="0" borderId="816" xfId="0" applyNumberFormat="1" applyBorder="1" applyProtection="1">
      <protection locked="0"/>
    </xf>
    <xf numFmtId="165" fontId="0" fillId="0" borderId="820" xfId="0" applyNumberFormat="1" applyBorder="1" applyProtection="1">
      <protection locked="0"/>
    </xf>
    <xf numFmtId="0" fontId="0" fillId="0" borderId="817" xfId="0" applyBorder="1" applyProtection="1">
      <protection locked="0"/>
    </xf>
    <xf numFmtId="0" fontId="0" fillId="0" borderId="818" xfId="0" applyBorder="1" applyAlignment="1" applyProtection="1">
      <alignment wrapText="1"/>
      <protection locked="0"/>
    </xf>
    <xf numFmtId="0" fontId="0" fillId="0" borderId="818" xfId="0" applyBorder="1" applyAlignment="1">
      <alignment wrapText="1"/>
    </xf>
    <xf numFmtId="0" fontId="0" fillId="0" borderId="820" xfId="0" applyBorder="1" applyProtection="1">
      <protection locked="0"/>
    </xf>
    <xf numFmtId="0" fontId="24" fillId="0" borderId="11" xfId="0" applyFont="1" applyBorder="1" applyAlignment="1">
      <alignment horizontal="left" vertical="top"/>
    </xf>
    <xf numFmtId="0" fontId="24" fillId="0" borderId="12" xfId="0" applyFont="1" applyBorder="1" applyAlignment="1">
      <alignment horizontal="left" vertical="top"/>
    </xf>
    <xf numFmtId="166" fontId="46" fillId="13" borderId="182" xfId="0" applyNumberFormat="1" applyFont="1" applyFill="1" applyBorder="1" applyAlignment="1">
      <alignment horizontal="center" vertical="center"/>
    </xf>
    <xf numFmtId="166" fontId="46" fillId="13" borderId="183" xfId="0" applyNumberFormat="1" applyFont="1" applyFill="1" applyBorder="1" applyAlignment="1">
      <alignment horizontal="center" vertical="center"/>
    </xf>
    <xf numFmtId="166" fontId="46" fillId="13" borderId="184" xfId="0" applyNumberFormat="1" applyFont="1" applyFill="1" applyBorder="1" applyAlignment="1">
      <alignment horizontal="center" vertical="center"/>
    </xf>
    <xf numFmtId="166" fontId="46" fillId="12" borderId="182" xfId="0" applyNumberFormat="1" applyFont="1" applyFill="1" applyBorder="1" applyAlignment="1">
      <alignment horizontal="center" vertical="center"/>
    </xf>
    <xf numFmtId="166" fontId="46" fillId="12" borderId="183" xfId="0" applyNumberFormat="1" applyFont="1" applyFill="1" applyBorder="1" applyAlignment="1">
      <alignment horizontal="center" vertical="center"/>
    </xf>
    <xf numFmtId="166" fontId="46" fillId="12" borderId="184" xfId="0" applyNumberFormat="1" applyFont="1" applyFill="1" applyBorder="1" applyAlignment="1">
      <alignment horizontal="center" vertical="center"/>
    </xf>
    <xf numFmtId="0" fontId="46" fillId="15" borderId="185" xfId="0" applyFont="1" applyFill="1" applyBorder="1" applyAlignment="1">
      <alignment horizontal="center"/>
    </xf>
    <xf numFmtId="0" fontId="46" fillId="15" borderId="166" xfId="0" applyFont="1" applyFill="1" applyBorder="1" applyAlignment="1">
      <alignment horizontal="center"/>
    </xf>
    <xf numFmtId="0" fontId="46" fillId="15" borderId="182" xfId="0" applyFont="1" applyFill="1" applyBorder="1" applyAlignment="1">
      <alignment horizontal="center"/>
    </xf>
    <xf numFmtId="0" fontId="46" fillId="0" borderId="135" xfId="0" applyFont="1" applyBorder="1" applyAlignment="1">
      <alignment horizontal="center" vertical="center"/>
    </xf>
    <xf numFmtId="0" fontId="46" fillId="0" borderId="136" xfId="0" applyFont="1" applyBorder="1" applyAlignment="1">
      <alignment horizontal="center" vertical="center"/>
    </xf>
    <xf numFmtId="0" fontId="46" fillId="0" borderId="137" xfId="0" applyFont="1" applyBorder="1" applyAlignment="1">
      <alignment horizontal="center" vertical="center"/>
    </xf>
    <xf numFmtId="0" fontId="46" fillId="0" borderId="34" xfId="0" applyFont="1" applyBorder="1" applyAlignment="1">
      <alignment horizontal="center" vertical="center"/>
    </xf>
    <xf numFmtId="0" fontId="46" fillId="0" borderId="15" xfId="0" applyFont="1" applyBorder="1" applyAlignment="1">
      <alignment horizontal="center" vertical="center"/>
    </xf>
    <xf numFmtId="0" fontId="46" fillId="0" borderId="35" xfId="0" applyFont="1" applyBorder="1" applyAlignment="1">
      <alignment horizontal="center" vertical="center"/>
    </xf>
    <xf numFmtId="0" fontId="46" fillId="13" borderId="135" xfId="0" applyFont="1" applyFill="1" applyBorder="1" applyAlignment="1">
      <alignment horizontal="center" vertical="center"/>
    </xf>
    <xf numFmtId="0" fontId="46" fillId="13" borderId="136" xfId="0" applyFont="1" applyFill="1" applyBorder="1" applyAlignment="1">
      <alignment horizontal="center" vertical="center"/>
    </xf>
    <xf numFmtId="0" fontId="46" fillId="13" borderId="137" xfId="0" applyFont="1" applyFill="1" applyBorder="1" applyAlignment="1">
      <alignment horizontal="center" vertical="center"/>
    </xf>
    <xf numFmtId="0" fontId="46" fillId="12" borderId="135" xfId="0" applyFont="1" applyFill="1" applyBorder="1" applyAlignment="1">
      <alignment horizontal="center" vertical="center"/>
    </xf>
    <xf numFmtId="0" fontId="46" fillId="12" borderId="136" xfId="0" applyFont="1" applyFill="1" applyBorder="1" applyAlignment="1">
      <alignment horizontal="center" vertical="center"/>
    </xf>
    <xf numFmtId="0" fontId="46" fillId="12" borderId="137" xfId="0" applyFont="1" applyFill="1" applyBorder="1" applyAlignment="1">
      <alignment horizontal="center" vertical="center"/>
    </xf>
    <xf numFmtId="0" fontId="46" fillId="13" borderId="138" xfId="0" applyFont="1" applyFill="1" applyBorder="1" applyAlignment="1">
      <alignment horizontal="center" vertical="center"/>
    </xf>
    <xf numFmtId="0" fontId="46" fillId="13" borderId="132" xfId="0" applyFont="1" applyFill="1" applyBorder="1" applyAlignment="1">
      <alignment horizontal="center" vertical="center"/>
    </xf>
    <xf numFmtId="0" fontId="46" fillId="13" borderId="139" xfId="0" applyFont="1" applyFill="1" applyBorder="1" applyAlignment="1">
      <alignment horizontal="center" vertical="center"/>
    </xf>
    <xf numFmtId="0" fontId="46" fillId="12" borderId="138" xfId="0" applyFont="1" applyFill="1" applyBorder="1" applyAlignment="1">
      <alignment horizontal="center" vertical="center"/>
    </xf>
    <xf numFmtId="0" fontId="46" fillId="12" borderId="132" xfId="0" applyFont="1" applyFill="1" applyBorder="1" applyAlignment="1">
      <alignment horizontal="center" vertical="center"/>
    </xf>
    <xf numFmtId="0" fontId="46" fillId="12" borderId="139" xfId="0" applyFont="1" applyFill="1" applyBorder="1" applyAlignment="1">
      <alignment horizontal="center" vertical="center"/>
    </xf>
    <xf numFmtId="0" fontId="50" fillId="0" borderId="194" xfId="10" applyFont="1" applyBorder="1" applyAlignment="1">
      <alignment horizontal="left" vertical="center"/>
    </xf>
    <xf numFmtId="0" fontId="53" fillId="0" borderId="0" xfId="0" applyFont="1" applyAlignment="1">
      <alignment horizontal="left"/>
    </xf>
    <xf numFmtId="175" fontId="54" fillId="0" borderId="0" xfId="0" quotePrefix="1" applyNumberFormat="1" applyFont="1" applyAlignment="1">
      <alignment horizontal="left"/>
    </xf>
    <xf numFmtId="0" fontId="0" fillId="14" borderId="150" xfId="0" applyFill="1" applyBorder="1" applyAlignment="1">
      <alignment horizontal="center"/>
    </xf>
    <xf numFmtId="0" fontId="0" fillId="14" borderId="153" xfId="0" applyFill="1" applyBorder="1" applyAlignment="1">
      <alignment horizontal="center"/>
    </xf>
    <xf numFmtId="167" fontId="4" fillId="37" borderId="182" xfId="2" applyNumberFormat="1" applyFont="1" applyFill="1" applyBorder="1" applyAlignment="1">
      <alignment horizontal="center" vertical="center"/>
    </xf>
    <xf numFmtId="167" fontId="4" fillId="37" borderId="184" xfId="2" applyNumberFormat="1" applyFont="1" applyFill="1" applyBorder="1" applyAlignment="1">
      <alignment horizontal="center" vertical="center"/>
    </xf>
    <xf numFmtId="167" fontId="4" fillId="37" borderId="166" xfId="2" applyNumberFormat="1" applyFont="1" applyFill="1" applyBorder="1" applyAlignment="1">
      <alignment horizontal="center" vertical="center"/>
    </xf>
    <xf numFmtId="167" fontId="4" fillId="37" borderId="190" xfId="2" applyNumberFormat="1" applyFont="1" applyFill="1" applyBorder="1" applyAlignment="1">
      <alignment horizontal="center" vertical="center"/>
    </xf>
    <xf numFmtId="167" fontId="4" fillId="37" borderId="150" xfId="2" applyNumberFormat="1" applyFont="1" applyFill="1" applyBorder="1" applyAlignment="1">
      <alignment horizontal="center" vertical="center"/>
    </xf>
    <xf numFmtId="167" fontId="4" fillId="37" borderId="153" xfId="2" applyNumberFormat="1" applyFont="1" applyFill="1" applyBorder="1" applyAlignment="1">
      <alignment horizontal="center" vertical="center"/>
    </xf>
    <xf numFmtId="167" fontId="4" fillId="37" borderId="141" xfId="2" applyNumberFormat="1" applyFont="1" applyFill="1" applyBorder="1" applyAlignment="1">
      <alignment horizontal="center" vertical="center"/>
    </xf>
    <xf numFmtId="167" fontId="4" fillId="37" borderId="50" xfId="2" applyNumberFormat="1" applyFont="1" applyFill="1" applyBorder="1" applyAlignment="1">
      <alignment horizontal="center" vertical="center"/>
    </xf>
    <xf numFmtId="167" fontId="4" fillId="37" borderId="53" xfId="2" applyNumberFormat="1" applyFont="1" applyFill="1" applyBorder="1" applyAlignment="1">
      <alignment horizontal="center" vertical="center"/>
    </xf>
    <xf numFmtId="0" fontId="4" fillId="0" borderId="133" xfId="0" applyFont="1" applyBorder="1" applyAlignment="1">
      <alignment horizontal="center" vertical="center" textRotation="90"/>
    </xf>
    <xf numFmtId="0" fontId="4" fillId="0" borderId="48" xfId="0" applyFont="1" applyBorder="1" applyAlignment="1">
      <alignment horizontal="center" vertical="center" textRotation="90"/>
    </xf>
    <xf numFmtId="0" fontId="4" fillId="0" borderId="51" xfId="0" applyFont="1" applyBorder="1" applyAlignment="1">
      <alignment horizontal="center" vertical="center" textRotation="90"/>
    </xf>
    <xf numFmtId="0" fontId="4" fillId="0" borderId="134" xfId="0" applyFont="1" applyBorder="1" applyAlignment="1">
      <alignment horizontal="center" vertical="center" textRotation="90"/>
    </xf>
    <xf numFmtId="0" fontId="4" fillId="0" borderId="49" xfId="0" applyFont="1" applyBorder="1" applyAlignment="1">
      <alignment horizontal="center" vertical="center" textRotation="90"/>
    </xf>
    <xf numFmtId="0" fontId="4" fillId="0" borderId="52" xfId="0" applyFont="1" applyBorder="1" applyAlignment="1">
      <alignment horizontal="center" vertical="center" textRotation="90"/>
    </xf>
    <xf numFmtId="0" fontId="4" fillId="0" borderId="135" xfId="0" applyFont="1" applyBorder="1" applyAlignment="1">
      <alignment horizontal="center" vertical="center"/>
    </xf>
    <xf numFmtId="0" fontId="4" fillId="0" borderId="136" xfId="0" applyFont="1" applyBorder="1" applyAlignment="1">
      <alignment horizontal="center" vertical="center"/>
    </xf>
    <xf numFmtId="0" fontId="4" fillId="0" borderId="137" xfId="0" applyFont="1" applyBorder="1" applyAlignment="1">
      <alignment horizontal="center" vertical="center"/>
    </xf>
    <xf numFmtId="0" fontId="4" fillId="0" borderId="34" xfId="0" applyFont="1" applyBorder="1" applyAlignment="1">
      <alignment horizontal="center" vertical="center"/>
    </xf>
    <xf numFmtId="0" fontId="4" fillId="0" borderId="15" xfId="0" applyFont="1" applyBorder="1" applyAlignment="1">
      <alignment horizontal="center" vertical="center"/>
    </xf>
    <xf numFmtId="0" fontId="4" fillId="0" borderId="35" xfId="0" applyFont="1" applyBorder="1" applyAlignment="1">
      <alignment horizontal="center" vertical="center"/>
    </xf>
    <xf numFmtId="0" fontId="64" fillId="9" borderId="135" xfId="0" applyFont="1" applyFill="1" applyBorder="1" applyAlignment="1">
      <alignment horizontal="center" vertical="center"/>
    </xf>
    <xf numFmtId="0" fontId="3" fillId="9" borderId="136" xfId="0" applyFont="1" applyFill="1" applyBorder="1"/>
    <xf numFmtId="0" fontId="3" fillId="9" borderId="137" xfId="0" applyFont="1" applyFill="1" applyBorder="1"/>
    <xf numFmtId="0" fontId="3" fillId="9" borderId="34" xfId="0" applyFont="1" applyFill="1" applyBorder="1"/>
    <xf numFmtId="0" fontId="3" fillId="9" borderId="15" xfId="0" applyFont="1" applyFill="1" applyBorder="1"/>
    <xf numFmtId="0" fontId="3" fillId="9" borderId="35" xfId="0" applyFont="1" applyFill="1" applyBorder="1"/>
    <xf numFmtId="0" fontId="4" fillId="37" borderId="135" xfId="0" applyFont="1" applyFill="1" applyBorder="1" applyAlignment="1">
      <alignment horizontal="center" vertical="center"/>
    </xf>
    <xf numFmtId="0" fontId="4" fillId="37" borderId="136" xfId="0" applyFont="1" applyFill="1" applyBorder="1" applyAlignment="1">
      <alignment horizontal="center" vertical="center"/>
    </xf>
    <xf numFmtId="0" fontId="4" fillId="37" borderId="137" xfId="0" applyFont="1" applyFill="1" applyBorder="1" applyAlignment="1">
      <alignment horizontal="center" vertical="center"/>
    </xf>
    <xf numFmtId="0" fontId="4" fillId="37" borderId="13" xfId="0" applyFont="1" applyFill="1" applyBorder="1" applyAlignment="1">
      <alignment horizontal="center" vertical="center"/>
    </xf>
    <xf numFmtId="0" fontId="4" fillId="37" borderId="0" xfId="0" applyFont="1" applyFill="1" applyAlignment="1">
      <alignment horizontal="center" vertical="center"/>
    </xf>
    <xf numFmtId="0" fontId="4" fillId="37" borderId="14" xfId="0" applyFont="1" applyFill="1" applyBorder="1" applyAlignment="1">
      <alignment horizontal="center" vertical="center"/>
    </xf>
    <xf numFmtId="0" fontId="4" fillId="37" borderId="34" xfId="0" applyFont="1" applyFill="1" applyBorder="1" applyAlignment="1">
      <alignment horizontal="center" vertical="center"/>
    </xf>
    <xf numFmtId="0" fontId="4" fillId="37" borderId="15" xfId="0" applyFont="1" applyFill="1" applyBorder="1" applyAlignment="1">
      <alignment horizontal="center" vertical="center"/>
    </xf>
    <xf numFmtId="0" fontId="4" fillId="37" borderId="35" xfId="0" applyFont="1" applyFill="1" applyBorder="1" applyAlignment="1">
      <alignment horizontal="center" vertical="center"/>
    </xf>
    <xf numFmtId="167" fontId="4" fillId="37" borderId="138" xfId="2" applyNumberFormat="1" applyFont="1" applyFill="1" applyBorder="1" applyAlignment="1">
      <alignment horizontal="center" vertical="center"/>
    </xf>
    <xf numFmtId="167" fontId="4" fillId="37" borderId="139" xfId="2" applyNumberFormat="1" applyFont="1" applyFill="1" applyBorder="1" applyAlignment="1">
      <alignment horizontal="center" vertical="center"/>
    </xf>
    <xf numFmtId="167" fontId="4" fillId="37" borderId="141" xfId="2" applyNumberFormat="1" applyFont="1" applyFill="1" applyBorder="1" applyAlignment="1">
      <alignment horizontal="center" vertical="center" wrapText="1"/>
    </xf>
    <xf numFmtId="167" fontId="4" fillId="37" borderId="50" xfId="2" applyNumberFormat="1" applyFont="1" applyFill="1" applyBorder="1" applyAlignment="1">
      <alignment horizontal="center" vertical="center" wrapText="1"/>
    </xf>
    <xf numFmtId="167" fontId="4" fillId="37" borderId="53" xfId="2" applyNumberFormat="1" applyFont="1" applyFill="1" applyBorder="1" applyAlignment="1">
      <alignment horizontal="center" vertical="center" wrapText="1"/>
    </xf>
    <xf numFmtId="0" fontId="4" fillId="37" borderId="141" xfId="0" applyFont="1" applyFill="1" applyBorder="1" applyAlignment="1">
      <alignment horizontal="center" vertical="center"/>
    </xf>
    <xf numFmtId="0" fontId="4" fillId="37" borderId="53" xfId="0" applyFont="1" applyFill="1" applyBorder="1" applyAlignment="1">
      <alignment horizontal="center" vertical="center"/>
    </xf>
    <xf numFmtId="176" fontId="4" fillId="37" borderId="133" xfId="1" applyNumberFormat="1" applyFont="1" applyFill="1" applyBorder="1" applyAlignment="1">
      <alignment horizontal="center" vertical="center"/>
    </xf>
    <xf numFmtId="176" fontId="4" fillId="37" borderId="51" xfId="1" applyNumberFormat="1" applyFont="1" applyFill="1" applyBorder="1" applyAlignment="1">
      <alignment horizontal="center" vertical="center"/>
    </xf>
    <xf numFmtId="0" fontId="4" fillId="37" borderId="134" xfId="0" applyFont="1" applyFill="1" applyBorder="1" applyAlignment="1">
      <alignment horizontal="center" vertical="center"/>
    </xf>
    <xf numFmtId="0" fontId="4" fillId="37" borderId="52" xfId="0" applyFont="1" applyFill="1" applyBorder="1" applyAlignment="1">
      <alignment horizontal="center" vertical="center"/>
    </xf>
    <xf numFmtId="167" fontId="0" fillId="3" borderId="135" xfId="2" applyNumberFormat="1" applyFont="1" applyFill="1" applyBorder="1" applyAlignment="1">
      <alignment horizontal="center"/>
    </xf>
    <xf numFmtId="167" fontId="0" fillId="3" borderId="137" xfId="2" applyNumberFormat="1" applyFont="1" applyFill="1" applyBorder="1" applyAlignment="1">
      <alignment horizontal="center"/>
    </xf>
    <xf numFmtId="167" fontId="0" fillId="3" borderId="13" xfId="2" applyNumberFormat="1" applyFont="1" applyFill="1" applyBorder="1" applyAlignment="1">
      <alignment horizontal="center"/>
    </xf>
    <xf numFmtId="167" fontId="0" fillId="3" borderId="14" xfId="2" applyNumberFormat="1" applyFont="1" applyFill="1" applyBorder="1" applyAlignment="1">
      <alignment horizontal="center"/>
    </xf>
    <xf numFmtId="167" fontId="0" fillId="3" borderId="34" xfId="2" applyNumberFormat="1" applyFont="1" applyFill="1" applyBorder="1" applyAlignment="1">
      <alignment horizontal="center"/>
    </xf>
    <xf numFmtId="167" fontId="0" fillId="3" borderId="35" xfId="2" applyNumberFormat="1" applyFont="1" applyFill="1" applyBorder="1" applyAlignment="1">
      <alignment horizontal="center"/>
    </xf>
    <xf numFmtId="167" fontId="7" fillId="3" borderId="135" xfId="2" applyNumberFormat="1" applyFont="1" applyFill="1" applyBorder="1" applyAlignment="1">
      <alignment horizontal="center"/>
    </xf>
    <xf numFmtId="167" fontId="7" fillId="3" borderId="137" xfId="2" applyNumberFormat="1" applyFont="1" applyFill="1" applyBorder="1" applyAlignment="1">
      <alignment horizontal="center"/>
    </xf>
    <xf numFmtId="167" fontId="7" fillId="3" borderId="13" xfId="2" applyNumberFormat="1" applyFont="1" applyFill="1" applyBorder="1" applyAlignment="1">
      <alignment horizontal="center"/>
    </xf>
    <xf numFmtId="167" fontId="7" fillId="3" borderId="14" xfId="2" applyNumberFormat="1" applyFont="1" applyFill="1" applyBorder="1" applyAlignment="1">
      <alignment horizontal="center"/>
    </xf>
    <xf numFmtId="167" fontId="7" fillId="3" borderId="34" xfId="2" applyNumberFormat="1" applyFont="1" applyFill="1" applyBorder="1" applyAlignment="1">
      <alignment horizontal="center"/>
    </xf>
    <xf numFmtId="167" fontId="7" fillId="3" borderId="35" xfId="2" applyNumberFormat="1" applyFont="1" applyFill="1" applyBorder="1" applyAlignment="1">
      <alignment horizontal="center"/>
    </xf>
    <xf numFmtId="167" fontId="4" fillId="3" borderId="141" xfId="2" applyNumberFormat="1" applyFont="1" applyFill="1" applyBorder="1" applyAlignment="1">
      <alignment horizontal="center"/>
    </xf>
    <xf numFmtId="167" fontId="4" fillId="3" borderId="50" xfId="2" applyNumberFormat="1" applyFont="1" applyFill="1" applyBorder="1" applyAlignment="1">
      <alignment horizontal="center"/>
    </xf>
    <xf numFmtId="167" fontId="4" fillId="3" borderId="53" xfId="2" applyNumberFormat="1" applyFont="1" applyFill="1" applyBorder="1" applyAlignment="1">
      <alignment horizontal="center"/>
    </xf>
    <xf numFmtId="0" fontId="0" fillId="40" borderId="203" xfId="0" applyFill="1" applyBorder="1" applyAlignment="1">
      <alignment horizontal="center"/>
    </xf>
    <xf numFmtId="0" fontId="0" fillId="40" borderId="204" xfId="0" applyFill="1" applyBorder="1" applyAlignment="1">
      <alignment horizontal="center"/>
    </xf>
    <xf numFmtId="164" fontId="0" fillId="40" borderId="203" xfId="1" applyNumberFormat="1" applyFont="1" applyFill="1" applyBorder="1" applyAlignment="1">
      <alignment horizontal="center"/>
    </xf>
    <xf numFmtId="164" fontId="0" fillId="40" borderId="195" xfId="1" applyNumberFormat="1" applyFont="1" applyFill="1" applyBorder="1" applyAlignment="1">
      <alignment horizontal="center"/>
    </xf>
    <xf numFmtId="164" fontId="0" fillId="40" borderId="204" xfId="1" applyNumberFormat="1" applyFont="1" applyFill="1" applyBorder="1" applyAlignment="1">
      <alignment horizontal="center"/>
    </xf>
    <xf numFmtId="167" fontId="0" fillId="3" borderId="185" xfId="2" applyNumberFormat="1" applyFont="1" applyFill="1" applyBorder="1" applyAlignment="1">
      <alignment horizontal="center"/>
    </xf>
    <xf numFmtId="167" fontId="0" fillId="3" borderId="197" xfId="2" applyNumberFormat="1" applyFont="1" applyFill="1" applyBorder="1" applyAlignment="1">
      <alignment horizontal="center"/>
    </xf>
    <xf numFmtId="167" fontId="0" fillId="3" borderId="205" xfId="2" applyNumberFormat="1" applyFont="1" applyFill="1" applyBorder="1" applyAlignment="1">
      <alignment horizontal="center"/>
    </xf>
    <xf numFmtId="167" fontId="0" fillId="3" borderId="200" xfId="2" applyNumberFormat="1" applyFont="1" applyFill="1" applyBorder="1" applyAlignment="1">
      <alignment horizontal="center"/>
    </xf>
    <xf numFmtId="0" fontId="0" fillId="9" borderId="203" xfId="0" applyFill="1" applyBorder="1" applyAlignment="1">
      <alignment horizontal="center"/>
    </xf>
    <xf numFmtId="0" fontId="0" fillId="9" borderId="204" xfId="0" applyFill="1" applyBorder="1" applyAlignment="1">
      <alignment horizontal="center"/>
    </xf>
    <xf numFmtId="167" fontId="4" fillId="14" borderId="206" xfId="2" applyNumberFormat="1" applyFont="1" applyFill="1" applyBorder="1" applyAlignment="1">
      <alignment horizontal="right"/>
    </xf>
    <xf numFmtId="167" fontId="4" fillId="14" borderId="207" xfId="2" applyNumberFormat="1" applyFont="1" applyFill="1" applyBorder="1" applyAlignment="1">
      <alignment horizontal="right"/>
    </xf>
    <xf numFmtId="167" fontId="4" fillId="40" borderId="206" xfId="2" applyNumberFormat="1" applyFont="1" applyFill="1" applyBorder="1" applyAlignment="1">
      <alignment horizontal="right"/>
    </xf>
    <xf numFmtId="167" fontId="4" fillId="40" borderId="207" xfId="2" applyNumberFormat="1" applyFont="1" applyFill="1" applyBorder="1" applyAlignment="1">
      <alignment horizontal="right"/>
    </xf>
    <xf numFmtId="167" fontId="4" fillId="0" borderId="206" xfId="2" applyNumberFormat="1" applyFont="1" applyBorder="1" applyAlignment="1">
      <alignment horizontal="right"/>
    </xf>
    <xf numFmtId="167" fontId="4" fillId="0" borderId="207" xfId="2" applyNumberFormat="1" applyFont="1" applyBorder="1" applyAlignment="1">
      <alignment horizontal="right"/>
    </xf>
    <xf numFmtId="0" fontId="0" fillId="14" borderId="203" xfId="0" applyFill="1" applyBorder="1" applyAlignment="1">
      <alignment horizontal="center"/>
    </xf>
    <xf numFmtId="0" fontId="0" fillId="14" borderId="204" xfId="0" applyFill="1" applyBorder="1" applyAlignment="1">
      <alignment horizontal="center"/>
    </xf>
    <xf numFmtId="167" fontId="4" fillId="37" borderId="203" xfId="2" applyNumberFormat="1" applyFont="1" applyFill="1" applyBorder="1" applyAlignment="1">
      <alignment horizontal="center" vertical="center"/>
    </xf>
    <xf numFmtId="167" fontId="4" fillId="37" borderId="204" xfId="2" applyNumberFormat="1" applyFont="1" applyFill="1" applyBorder="1" applyAlignment="1">
      <alignment horizontal="center" vertical="center"/>
    </xf>
    <xf numFmtId="0" fontId="84" fillId="30" borderId="135" xfId="0" applyFont="1" applyFill="1" applyBorder="1"/>
    <xf numFmtId="0" fontId="84" fillId="30" borderId="144" xfId="0" applyFont="1" applyFill="1" applyBorder="1"/>
    <xf numFmtId="0" fontId="84" fillId="30" borderId="13" xfId="0" applyFont="1" applyFill="1" applyBorder="1"/>
    <xf numFmtId="0" fontId="84" fillId="30" borderId="70" xfId="0" applyFont="1" applyFill="1" applyBorder="1"/>
    <xf numFmtId="0" fontId="84" fillId="30" borderId="74" xfId="0" applyFont="1" applyFill="1" applyBorder="1"/>
    <xf numFmtId="0" fontId="84" fillId="30" borderId="76" xfId="0" applyFont="1" applyFill="1" applyBorder="1"/>
    <xf numFmtId="0" fontId="85" fillId="30" borderId="50" xfId="0" applyFont="1" applyFill="1" applyBorder="1"/>
    <xf numFmtId="0" fontId="85" fillId="30" borderId="77" xfId="0" applyFont="1" applyFill="1" applyBorder="1"/>
    <xf numFmtId="0" fontId="84" fillId="31" borderId="203" xfId="0" applyFont="1" applyFill="1" applyBorder="1"/>
    <xf numFmtId="0" fontId="84" fillId="31" borderId="204" xfId="0" applyFont="1" applyFill="1" applyBorder="1"/>
    <xf numFmtId="0" fontId="86" fillId="27" borderId="135" xfId="0" applyFont="1" applyFill="1" applyBorder="1"/>
    <xf numFmtId="0" fontId="86" fillId="27" borderId="74" xfId="0" applyFont="1" applyFill="1" applyBorder="1"/>
    <xf numFmtId="0" fontId="87" fillId="30" borderId="135" xfId="0" applyFont="1" applyFill="1" applyBorder="1"/>
    <xf numFmtId="0" fontId="87" fillId="30" borderId="144" xfId="0" applyFont="1" applyFill="1" applyBorder="1"/>
    <xf numFmtId="0" fontId="87" fillId="30" borderId="13" xfId="0" applyFont="1" applyFill="1" applyBorder="1"/>
    <xf numFmtId="0" fontId="87" fillId="30" borderId="70" xfId="0" applyFont="1" applyFill="1" applyBorder="1"/>
    <xf numFmtId="0" fontId="87" fillId="30" borderId="74" xfId="0" applyFont="1" applyFill="1" applyBorder="1"/>
    <xf numFmtId="0" fontId="87" fillId="30" borderId="76" xfId="0" applyFont="1" applyFill="1" applyBorder="1"/>
    <xf numFmtId="0" fontId="84" fillId="29" borderId="203" xfId="0" applyFont="1" applyFill="1" applyBorder="1"/>
    <xf numFmtId="0" fontId="84" fillId="29" borderId="204" xfId="0" applyFont="1" applyFill="1" applyBorder="1"/>
    <xf numFmtId="0" fontId="85" fillId="28" borderId="182" xfId="0" applyFont="1" applyFill="1" applyBorder="1"/>
    <xf numFmtId="0" fontId="85" fillId="28" borderId="210" xfId="0" applyFont="1" applyFill="1" applyBorder="1"/>
    <xf numFmtId="0" fontId="85" fillId="28" borderId="195" xfId="0" applyFont="1" applyFill="1" applyBorder="1"/>
    <xf numFmtId="0" fontId="85" fillId="28" borderId="211" xfId="0" applyFont="1" applyFill="1" applyBorder="1"/>
    <xf numFmtId="0" fontId="85" fillId="28" borderId="50" xfId="0" applyFont="1" applyFill="1" applyBorder="1"/>
    <xf numFmtId="0" fontId="85" fillId="28" borderId="77" xfId="0" applyFont="1" applyFill="1" applyBorder="1"/>
    <xf numFmtId="0" fontId="85" fillId="0" borderId="133" xfId="0" applyFont="1" applyBorder="1" applyAlignment="1">
      <alignment textRotation="90"/>
    </xf>
    <xf numFmtId="0" fontId="85" fillId="0" borderId="48" xfId="0" applyFont="1" applyBorder="1" applyAlignment="1">
      <alignment textRotation="90"/>
    </xf>
    <xf numFmtId="0" fontId="85" fillId="0" borderId="72" xfId="0" applyFont="1" applyBorder="1" applyAlignment="1">
      <alignment textRotation="90"/>
    </xf>
    <xf numFmtId="0" fontId="85" fillId="0" borderId="134" xfId="0" applyFont="1" applyBorder="1" applyAlignment="1">
      <alignment textRotation="90"/>
    </xf>
    <xf numFmtId="0" fontId="85" fillId="0" borderId="49" xfId="0" applyFont="1" applyBorder="1" applyAlignment="1">
      <alignment textRotation="90"/>
    </xf>
    <xf numFmtId="0" fontId="85" fillId="0" borderId="73" xfId="0" applyFont="1" applyBorder="1" applyAlignment="1">
      <alignment textRotation="90"/>
    </xf>
    <xf numFmtId="0" fontId="85" fillId="0" borderId="136" xfId="0" applyFont="1" applyBorder="1" applyAlignment="1">
      <alignment horizontal="center"/>
    </xf>
    <xf numFmtId="0" fontId="85" fillId="0" borderId="144" xfId="0" applyFont="1" applyBorder="1" applyAlignment="1">
      <alignment horizontal="center"/>
    </xf>
    <xf numFmtId="0" fontId="85" fillId="0" borderId="75" xfId="0" applyFont="1" applyBorder="1" applyAlignment="1">
      <alignment horizontal="center"/>
    </xf>
    <xf numFmtId="0" fontId="85" fillId="0" borderId="76" xfId="0" applyFont="1" applyBorder="1" applyAlignment="1">
      <alignment horizontal="center"/>
    </xf>
    <xf numFmtId="0" fontId="85" fillId="28" borderId="136" xfId="0" applyFont="1" applyFill="1" applyBorder="1"/>
    <xf numFmtId="0" fontId="85" fillId="28" borderId="144" xfId="0" applyFont="1" applyFill="1" applyBorder="1"/>
    <xf numFmtId="0" fontId="85" fillId="28" borderId="0" xfId="0" applyFont="1" applyFill="1"/>
    <xf numFmtId="0" fontId="85" fillId="28" borderId="70" xfId="0" applyFont="1" applyFill="1" applyBorder="1"/>
    <xf numFmtId="0" fontId="85" fillId="28" borderId="75" xfId="0" applyFont="1" applyFill="1" applyBorder="1"/>
    <xf numFmtId="0" fontId="85" fillId="28" borderId="76" xfId="0" applyFont="1" applyFill="1" applyBorder="1"/>
    <xf numFmtId="0" fontId="85" fillId="28" borderId="138" xfId="0" applyFont="1" applyFill="1" applyBorder="1"/>
    <xf numFmtId="0" fontId="85" fillId="28" borderId="145" xfId="0" applyFont="1" applyFill="1" applyBorder="1"/>
    <xf numFmtId="0" fontId="85" fillId="28" borderId="141" xfId="0" applyFont="1" applyFill="1" applyBorder="1" applyAlignment="1">
      <alignment wrapText="1"/>
    </xf>
    <xf numFmtId="0" fontId="85" fillId="28" borderId="50" xfId="0" applyFont="1" applyFill="1" applyBorder="1" applyAlignment="1">
      <alignment wrapText="1"/>
    </xf>
    <xf numFmtId="0" fontId="85" fillId="28" borderId="77" xfId="0" applyFont="1" applyFill="1" applyBorder="1" applyAlignment="1">
      <alignment wrapText="1"/>
    </xf>
    <xf numFmtId="0" fontId="85" fillId="28" borderId="141" xfId="0" applyFont="1" applyFill="1" applyBorder="1"/>
    <xf numFmtId="0" fontId="85" fillId="28" borderId="13" xfId="0" applyFont="1" applyFill="1" applyBorder="1"/>
    <xf numFmtId="0" fontId="85" fillId="28" borderId="74" xfId="0" applyFont="1" applyFill="1" applyBorder="1"/>
    <xf numFmtId="0" fontId="85" fillId="28" borderId="166" xfId="0" applyFont="1" applyFill="1" applyBorder="1"/>
    <xf numFmtId="0" fontId="85" fillId="28" borderId="209" xfId="0" applyFont="1" applyFill="1" applyBorder="1"/>
    <xf numFmtId="0" fontId="85" fillId="28" borderId="137" xfId="0" applyFont="1" applyFill="1" applyBorder="1"/>
    <xf numFmtId="0" fontId="85" fillId="28" borderId="86" xfId="0" applyFont="1" applyFill="1" applyBorder="1"/>
    <xf numFmtId="0" fontId="85" fillId="28" borderId="48" xfId="0" applyFont="1" applyFill="1" applyBorder="1"/>
    <xf numFmtId="0" fontId="85" fillId="28" borderId="72" xfId="0" applyFont="1" applyFill="1" applyBorder="1"/>
    <xf numFmtId="0" fontId="85" fillId="28" borderId="49" xfId="0" applyFont="1" applyFill="1" applyBorder="1"/>
    <xf numFmtId="0" fontId="85" fillId="28" borderId="73" xfId="0" applyFont="1" applyFill="1" applyBorder="1"/>
    <xf numFmtId="0" fontId="84" fillId="30" borderId="79" xfId="0" applyFont="1" applyFill="1" applyBorder="1"/>
    <xf numFmtId="0" fontId="84" fillId="30" borderId="80" xfId="0" applyFont="1" applyFill="1" applyBorder="1"/>
    <xf numFmtId="0" fontId="84" fillId="30" borderId="205" xfId="0" applyFont="1" applyFill="1" applyBorder="1"/>
    <xf numFmtId="0" fontId="84" fillId="30" borderId="215" xfId="0" applyFont="1" applyFill="1" applyBorder="1"/>
    <xf numFmtId="0" fontId="84" fillId="27" borderId="203" xfId="0" applyFont="1" applyFill="1" applyBorder="1"/>
    <xf numFmtId="0" fontId="84" fillId="27" borderId="204" xfId="0" applyFont="1" applyFill="1" applyBorder="1"/>
    <xf numFmtId="0" fontId="85" fillId="29" borderId="203" xfId="0" applyFont="1" applyFill="1" applyBorder="1"/>
    <xf numFmtId="0" fontId="85" fillId="29" borderId="216" xfId="0" applyFont="1" applyFill="1" applyBorder="1"/>
    <xf numFmtId="0" fontId="85" fillId="31" borderId="203" xfId="0" applyFont="1" applyFill="1" applyBorder="1"/>
    <xf numFmtId="0" fontId="85" fillId="31" borderId="216" xfId="0" applyFont="1" applyFill="1" applyBorder="1"/>
    <xf numFmtId="0" fontId="85" fillId="0" borderId="203" xfId="0" applyFont="1" applyBorder="1"/>
    <xf numFmtId="0" fontId="85" fillId="0" borderId="216" xfId="0" applyFont="1" applyBorder="1"/>
    <xf numFmtId="0" fontId="85" fillId="0" borderId="0" xfId="0" applyFont="1"/>
    <xf numFmtId="0" fontId="4" fillId="36" borderId="87" xfId="0" applyFont="1" applyFill="1" applyBorder="1" applyAlignment="1">
      <alignment horizontal="center" wrapText="1"/>
    </xf>
    <xf numFmtId="0" fontId="4" fillId="36" borderId="88" xfId="0" applyFont="1" applyFill="1" applyBorder="1" applyAlignment="1">
      <alignment horizontal="center" wrapText="1"/>
    </xf>
    <xf numFmtId="0" fontId="4" fillId="36" borderId="89" xfId="0" applyFont="1" applyFill="1" applyBorder="1" applyAlignment="1">
      <alignment horizontal="center" wrapText="1"/>
    </xf>
    <xf numFmtId="0" fontId="14" fillId="0" borderId="135" xfId="0" applyFont="1" applyBorder="1" applyAlignment="1">
      <alignment horizontal="center"/>
    </xf>
    <xf numFmtId="0" fontId="0" fillId="0" borderId="136" xfId="0" applyBorder="1" applyAlignment="1">
      <alignment horizontal="center"/>
    </xf>
    <xf numFmtId="0" fontId="0" fillId="0" borderId="137" xfId="0" applyBorder="1" applyAlignment="1">
      <alignment horizontal="center"/>
    </xf>
    <xf numFmtId="0" fontId="68" fillId="0" borderId="11" xfId="0" applyFont="1" applyBorder="1" applyAlignment="1">
      <alignment horizontal="left" vertical="center"/>
    </xf>
    <xf numFmtId="0" fontId="68" fillId="0" borderId="12" xfId="0" applyFont="1" applyBorder="1" applyAlignment="1">
      <alignment horizontal="left" vertical="center"/>
    </xf>
    <xf numFmtId="0" fontId="0" fillId="16" borderId="59" xfId="0" applyFill="1" applyBorder="1" applyAlignment="1">
      <alignment horizontal="center"/>
    </xf>
    <xf numFmtId="0" fontId="67" fillId="18" borderId="115" xfId="0" applyFont="1" applyFill="1" applyBorder="1" applyAlignment="1">
      <alignment horizontal="center" vertical="center"/>
    </xf>
    <xf numFmtId="0" fontId="67" fillId="18" borderId="65" xfId="0" applyFont="1" applyFill="1" applyBorder="1" applyAlignment="1">
      <alignment horizontal="center" vertical="center"/>
    </xf>
    <xf numFmtId="0" fontId="67" fillId="18" borderId="116" xfId="0" applyFont="1" applyFill="1" applyBorder="1" applyAlignment="1">
      <alignment horizontal="center" vertical="center"/>
    </xf>
    <xf numFmtId="0" fontId="67" fillId="18" borderId="81" xfId="0" applyFont="1" applyFill="1" applyBorder="1" applyAlignment="1">
      <alignment horizontal="center" vertical="center"/>
    </xf>
    <xf numFmtId="0" fontId="91" fillId="32" borderId="117" xfId="0" applyFont="1" applyFill="1" applyBorder="1" applyAlignment="1">
      <alignment horizontal="center"/>
    </xf>
    <xf numFmtId="0" fontId="91" fillId="32" borderId="31" xfId="0" applyFont="1" applyFill="1" applyBorder="1" applyAlignment="1">
      <alignment horizontal="center"/>
    </xf>
    <xf numFmtId="0" fontId="0" fillId="0" borderId="15"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16" xfId="0" applyBorder="1" applyAlignment="1" applyProtection="1">
      <alignment horizontal="center"/>
      <protection locked="0"/>
    </xf>
    <xf numFmtId="0" fontId="0" fillId="0" borderId="17" xfId="0" applyBorder="1" applyAlignment="1" applyProtection="1">
      <alignment horizontal="center"/>
      <protection locked="0"/>
    </xf>
    <xf numFmtId="169" fontId="0" fillId="0" borderId="177" xfId="0" applyNumberFormat="1" applyBorder="1" applyAlignment="1" applyProtection="1">
      <alignment horizontal="center"/>
      <protection locked="0"/>
    </xf>
    <xf numFmtId="169" fontId="0" fillId="0" borderId="170" xfId="0" applyNumberFormat="1" applyBorder="1" applyAlignment="1" applyProtection="1">
      <alignment horizontal="center"/>
      <protection locked="0"/>
    </xf>
    <xf numFmtId="0" fontId="0" fillId="0" borderId="177" xfId="0" applyBorder="1" applyAlignment="1" applyProtection="1">
      <alignment horizontal="center"/>
      <protection locked="0"/>
    </xf>
    <xf numFmtId="0" fontId="0" fillId="0" borderId="170" xfId="0" applyBorder="1" applyAlignment="1" applyProtection="1">
      <alignment horizontal="center"/>
      <protection locked="0"/>
    </xf>
    <xf numFmtId="5" fontId="0" fillId="0" borderId="225" xfId="2" applyNumberFormat="1" applyFont="1" applyBorder="1" applyAlignment="1" applyProtection="1">
      <alignment horizontal="center"/>
      <protection locked="0"/>
    </xf>
    <xf numFmtId="5" fontId="0" fillId="0" borderId="226" xfId="2" applyNumberFormat="1" applyFont="1" applyBorder="1" applyAlignment="1" applyProtection="1">
      <alignment horizontal="center"/>
      <protection locked="0"/>
    </xf>
    <xf numFmtId="0" fontId="5" fillId="0" borderId="177" xfId="4" applyBorder="1" applyAlignment="1" applyProtection="1">
      <alignment horizontal="center" vertical="center"/>
      <protection locked="0"/>
    </xf>
    <xf numFmtId="0" fontId="5" fillId="0" borderId="170" xfId="4" applyBorder="1" applyAlignment="1" applyProtection="1">
      <alignment horizontal="center" vertical="center"/>
      <protection locked="0"/>
    </xf>
    <xf numFmtId="0" fontId="4" fillId="2" borderId="55" xfId="0" applyFont="1" applyFill="1" applyBorder="1" applyAlignment="1">
      <alignment horizontal="left"/>
    </xf>
    <xf numFmtId="0" fontId="4" fillId="2" borderId="56" xfId="0" applyFont="1" applyFill="1" applyBorder="1" applyAlignment="1">
      <alignment horizontal="left"/>
    </xf>
    <xf numFmtId="0" fontId="65" fillId="0" borderId="18" xfId="0" applyFont="1" applyBorder="1" applyAlignment="1">
      <alignment horizontal="center"/>
    </xf>
    <xf numFmtId="0" fontId="65" fillId="0" borderId="19" xfId="0" applyFont="1" applyBorder="1" applyAlignment="1">
      <alignment horizontal="center"/>
    </xf>
    <xf numFmtId="0" fontId="65" fillId="0" borderId="177" xfId="0" applyFont="1" applyBorder="1" applyAlignment="1">
      <alignment horizontal="center"/>
    </xf>
    <xf numFmtId="0" fontId="65" fillId="0" borderId="170" xfId="0" applyFont="1" applyBorder="1" applyAlignment="1">
      <alignment horizontal="center"/>
    </xf>
    <xf numFmtId="0" fontId="0" fillId="6" borderId="169" xfId="0" applyFill="1" applyBorder="1" applyAlignment="1" applyProtection="1">
      <alignment horizontal="center" vertical="center"/>
      <protection locked="0"/>
    </xf>
    <xf numFmtId="0" fontId="0" fillId="6" borderId="172" xfId="0" applyFill="1" applyBorder="1" applyAlignment="1" applyProtection="1">
      <alignment horizontal="center" vertical="center"/>
      <protection locked="0"/>
    </xf>
    <xf numFmtId="0" fontId="0" fillId="38" borderId="16" xfId="0" applyFill="1" applyBorder="1" applyAlignment="1" applyProtection="1">
      <alignment horizontal="center"/>
      <protection locked="0"/>
    </xf>
    <xf numFmtId="0" fontId="0" fillId="38" borderId="17" xfId="0" applyFill="1" applyBorder="1" applyAlignment="1" applyProtection="1">
      <alignment horizontal="center"/>
      <protection locked="0"/>
    </xf>
    <xf numFmtId="0" fontId="5" fillId="0" borderId="177" xfId="4" applyBorder="1" applyAlignment="1">
      <alignment horizontal="center" vertical="center"/>
    </xf>
    <xf numFmtId="0" fontId="5" fillId="0" borderId="170" xfId="4" applyBorder="1" applyAlignment="1">
      <alignment horizontal="center" vertical="center"/>
    </xf>
    <xf numFmtId="0" fontId="3" fillId="0" borderId="15" xfId="0" applyFont="1" applyBorder="1" applyAlignment="1" applyProtection="1">
      <alignment horizontal="center"/>
      <protection locked="0"/>
    </xf>
    <xf numFmtId="169" fontId="45" fillId="0" borderId="177" xfId="0" applyNumberFormat="1" applyFont="1" applyBorder="1" applyAlignment="1" applyProtection="1">
      <alignment horizontal="center"/>
      <protection locked="0"/>
    </xf>
    <xf numFmtId="0" fontId="0" fillId="33" borderId="16" xfId="0" applyFill="1" applyBorder="1" applyAlignment="1" applyProtection="1">
      <alignment horizontal="center"/>
      <protection locked="0"/>
    </xf>
    <xf numFmtId="0" fontId="0" fillId="33" borderId="17" xfId="0" applyFill="1" applyBorder="1" applyAlignment="1" applyProtection="1">
      <alignment horizontal="center"/>
      <protection locked="0"/>
    </xf>
    <xf numFmtId="0" fontId="0" fillId="0" borderId="15" xfId="4" applyFont="1" applyBorder="1" applyAlignment="1" applyProtection="1">
      <alignment horizontal="center"/>
      <protection locked="0"/>
    </xf>
    <xf numFmtId="0" fontId="0" fillId="0" borderId="177" xfId="0" applyBorder="1" applyAlignment="1" applyProtection="1">
      <alignment horizontal="center" wrapText="1"/>
      <protection locked="0"/>
    </xf>
    <xf numFmtId="0" fontId="5" fillId="0" borderId="15" xfId="4" applyBorder="1" applyAlignment="1" applyProtection="1">
      <alignment horizontal="center"/>
      <protection locked="0"/>
    </xf>
    <xf numFmtId="5" fontId="3" fillId="0" borderId="0" xfId="0" applyNumberFormat="1" applyFont="1" applyAlignment="1" applyProtection="1">
      <alignment horizontal="center"/>
      <protection locked="0"/>
    </xf>
    <xf numFmtId="0" fontId="3" fillId="0" borderId="0" xfId="0" applyFont="1" applyAlignment="1" applyProtection="1">
      <alignment horizontal="center"/>
      <protection locked="0"/>
    </xf>
    <xf numFmtId="0" fontId="0" fillId="0" borderId="0" xfId="0" applyAlignment="1" applyProtection="1">
      <alignment horizontal="center"/>
      <protection locked="0"/>
    </xf>
    <xf numFmtId="169" fontId="5" fillId="0" borderId="177" xfId="4" applyNumberFormat="1" applyBorder="1" applyAlignment="1" applyProtection="1">
      <alignment horizontal="center"/>
      <protection locked="0"/>
    </xf>
    <xf numFmtId="0" fontId="0" fillId="0" borderId="243" xfId="0" applyBorder="1" applyAlignment="1" applyProtection="1">
      <alignment horizontal="center"/>
      <protection locked="0"/>
    </xf>
    <xf numFmtId="0" fontId="0" fillId="0" borderId="230" xfId="0" applyBorder="1" applyAlignment="1" applyProtection="1">
      <alignment horizontal="center"/>
      <protection locked="0"/>
    </xf>
    <xf numFmtId="169" fontId="7" fillId="0" borderId="15" xfId="0" applyNumberFormat="1" applyFont="1" applyBorder="1" applyAlignment="1" applyProtection="1">
      <alignment horizontal="center"/>
      <protection locked="0"/>
    </xf>
    <xf numFmtId="0" fontId="5" fillId="0" borderId="250" xfId="4" applyBorder="1" applyAlignment="1" applyProtection="1">
      <alignment horizontal="center"/>
      <protection locked="0"/>
    </xf>
    <xf numFmtId="0" fontId="0" fillId="0" borderId="238" xfId="0" applyBorder="1" applyAlignment="1" applyProtection="1">
      <alignment horizontal="center"/>
      <protection locked="0"/>
    </xf>
    <xf numFmtId="0" fontId="5" fillId="0" borderId="238" xfId="4" applyBorder="1" applyAlignment="1" applyProtection="1">
      <alignment horizontal="center"/>
      <protection locked="0"/>
    </xf>
    <xf numFmtId="5" fontId="0" fillId="0" borderId="225" xfId="2" applyNumberFormat="1" applyFont="1" applyFill="1" applyBorder="1" applyAlignment="1" applyProtection="1">
      <alignment horizontal="center"/>
      <protection locked="0"/>
    </xf>
    <xf numFmtId="5" fontId="0" fillId="0" borderId="226" xfId="2" applyNumberFormat="1" applyFont="1" applyFill="1" applyBorder="1" applyAlignment="1" applyProtection="1">
      <alignment horizontal="center"/>
      <protection locked="0"/>
    </xf>
    <xf numFmtId="0" fontId="0" fillId="0" borderId="0" xfId="0" applyAlignment="1" applyProtection="1">
      <alignment horizontal="center" wrapText="1"/>
      <protection locked="0"/>
    </xf>
    <xf numFmtId="0" fontId="0" fillId="0" borderId="24" xfId="0" applyBorder="1" applyAlignment="1" applyProtection="1">
      <alignment horizontal="center"/>
      <protection locked="0"/>
    </xf>
    <xf numFmtId="0" fontId="0" fillId="34" borderId="16" xfId="0" applyFill="1" applyBorder="1" applyAlignment="1" applyProtection="1">
      <alignment horizontal="center"/>
      <protection locked="0"/>
    </xf>
    <xf numFmtId="0" fontId="0" fillId="34" borderId="17" xfId="0" applyFill="1" applyBorder="1" applyAlignment="1" applyProtection="1">
      <alignment horizontal="center"/>
      <protection locked="0"/>
    </xf>
    <xf numFmtId="0" fontId="0" fillId="0" borderId="15" xfId="0" applyBorder="1" applyAlignment="1" applyProtection="1">
      <alignment horizontal="center" wrapText="1"/>
      <protection locked="0"/>
    </xf>
    <xf numFmtId="0" fontId="0" fillId="0" borderId="301" xfId="0" applyBorder="1" applyAlignment="1" applyProtection="1">
      <alignment horizontal="center"/>
      <protection locked="0"/>
    </xf>
    <xf numFmtId="0" fontId="0" fillId="0" borderId="285" xfId="0" applyBorder="1" applyAlignment="1" applyProtection="1">
      <alignment horizontal="center"/>
      <protection locked="0"/>
    </xf>
    <xf numFmtId="169" fontId="5" fillId="0" borderId="170" xfId="4" applyNumberFormat="1" applyBorder="1" applyAlignment="1" applyProtection="1">
      <alignment horizontal="center"/>
      <protection locked="0"/>
    </xf>
    <xf numFmtId="169" fontId="7" fillId="11" borderId="15" xfId="0" applyNumberFormat="1" applyFont="1" applyFill="1" applyBorder="1" applyAlignment="1" applyProtection="1">
      <alignment horizontal="center"/>
      <protection locked="0"/>
    </xf>
    <xf numFmtId="0" fontId="13" fillId="0" borderId="15" xfId="0" applyFont="1" applyBorder="1" applyAlignment="1" applyProtection="1">
      <alignment horizontal="center"/>
      <protection locked="0"/>
    </xf>
    <xf numFmtId="0" fontId="0" fillId="37" borderId="16" xfId="0" applyFill="1" applyBorder="1" applyAlignment="1" applyProtection="1">
      <alignment horizontal="center"/>
      <protection locked="0"/>
    </xf>
    <xf numFmtId="0" fontId="0" fillId="37" borderId="17" xfId="0" applyFill="1" applyBorder="1" applyAlignment="1" applyProtection="1">
      <alignment horizontal="center"/>
      <protection locked="0"/>
    </xf>
    <xf numFmtId="0" fontId="15" fillId="0" borderId="0" xfId="0" applyFont="1" applyAlignment="1" applyProtection="1">
      <alignment horizontal="center" wrapText="1"/>
      <protection locked="0"/>
    </xf>
    <xf numFmtId="0" fontId="15" fillId="0" borderId="15" xfId="0" applyFont="1" applyBorder="1" applyAlignment="1" applyProtection="1">
      <alignment horizontal="center"/>
      <protection locked="0"/>
    </xf>
    <xf numFmtId="169" fontId="92" fillId="0" borderId="15" xfId="0" applyNumberFormat="1" applyFont="1" applyBorder="1" applyAlignment="1" applyProtection="1">
      <alignment horizontal="center" wrapText="1"/>
      <protection locked="0"/>
    </xf>
    <xf numFmtId="0" fontId="0" fillId="35" borderId="16" xfId="0" applyFill="1" applyBorder="1" applyAlignment="1" applyProtection="1">
      <alignment horizontal="center"/>
      <protection locked="0"/>
    </xf>
    <xf numFmtId="0" fontId="0" fillId="35" borderId="17" xfId="0" applyFill="1" applyBorder="1" applyAlignment="1" applyProtection="1">
      <alignment horizontal="center"/>
      <protection locked="0"/>
    </xf>
    <xf numFmtId="0" fontId="0" fillId="0" borderId="227" xfId="0" applyBorder="1" applyAlignment="1" applyProtection="1">
      <alignment horizontal="center"/>
      <protection locked="0"/>
    </xf>
    <xf numFmtId="0" fontId="0" fillId="0" borderId="160" xfId="0" applyBorder="1" applyAlignment="1" applyProtection="1">
      <alignment horizontal="center"/>
      <protection locked="0"/>
    </xf>
    <xf numFmtId="0" fontId="13" fillId="11" borderId="16" xfId="0" applyFont="1" applyFill="1" applyBorder="1" applyAlignment="1" applyProtection="1">
      <alignment horizontal="center"/>
      <protection locked="0"/>
    </xf>
    <xf numFmtId="0" fontId="13" fillId="11" borderId="17" xfId="0" applyFont="1" applyFill="1" applyBorder="1" applyAlignment="1" applyProtection="1">
      <alignment horizontal="center"/>
      <protection locked="0"/>
    </xf>
    <xf numFmtId="44" fontId="7" fillId="0" borderId="15" xfId="0" applyNumberFormat="1" applyFont="1" applyBorder="1" applyAlignment="1" applyProtection="1">
      <alignment horizontal="center"/>
      <protection locked="0"/>
    </xf>
    <xf numFmtId="5" fontId="7" fillId="0" borderId="15" xfId="0" applyNumberFormat="1" applyFont="1" applyBorder="1" applyAlignment="1" applyProtection="1">
      <alignment horizontal="center"/>
      <protection locked="0"/>
    </xf>
    <xf numFmtId="44" fontId="0" fillId="0" borderId="15" xfId="0" applyNumberFormat="1" applyBorder="1" applyAlignment="1" applyProtection="1">
      <alignment horizontal="center"/>
      <protection locked="0"/>
    </xf>
    <xf numFmtId="0" fontId="5" fillId="0" borderId="177" xfId="4" applyBorder="1" applyAlignment="1" applyProtection="1">
      <alignment horizontal="center"/>
      <protection locked="0"/>
    </xf>
    <xf numFmtId="0" fontId="5" fillId="0" borderId="170" xfId="4" applyBorder="1" applyAlignment="1" applyProtection="1">
      <alignment horizontal="center"/>
      <protection locked="0"/>
    </xf>
    <xf numFmtId="0" fontId="5" fillId="0" borderId="250" xfId="4" applyFill="1" applyBorder="1" applyAlignment="1" applyProtection="1">
      <alignment horizontal="center" vertical="center"/>
      <protection locked="0"/>
    </xf>
    <xf numFmtId="0" fontId="5" fillId="0" borderId="238" xfId="4" applyFill="1" applyBorder="1" applyAlignment="1" applyProtection="1">
      <alignment horizontal="center" vertical="center"/>
      <protection locked="0"/>
    </xf>
    <xf numFmtId="0" fontId="0" fillId="2" borderId="16" xfId="0" applyFill="1" applyBorder="1" applyAlignment="1" applyProtection="1">
      <alignment horizontal="center"/>
      <protection locked="0"/>
    </xf>
    <xf numFmtId="0" fontId="0" fillId="2" borderId="17" xfId="0" applyFill="1" applyBorder="1" applyAlignment="1" applyProtection="1">
      <alignment horizontal="center"/>
      <protection locked="0"/>
    </xf>
    <xf numFmtId="5" fontId="7" fillId="0" borderId="225" xfId="2" applyNumberFormat="1" applyFont="1" applyFill="1" applyBorder="1" applyAlignment="1" applyProtection="1">
      <alignment horizontal="center"/>
      <protection locked="0"/>
    </xf>
    <xf numFmtId="5" fontId="7" fillId="0" borderId="226" xfId="2" applyNumberFormat="1" applyFont="1" applyFill="1" applyBorder="1" applyAlignment="1" applyProtection="1">
      <alignment horizontal="center"/>
      <protection locked="0"/>
    </xf>
    <xf numFmtId="5" fontId="7" fillId="0" borderId="225" xfId="2" applyNumberFormat="1" applyFont="1" applyBorder="1" applyAlignment="1" applyProtection="1">
      <alignment horizontal="center"/>
      <protection locked="0"/>
    </xf>
    <xf numFmtId="5" fontId="7" fillId="0" borderId="226" xfId="2" applyNumberFormat="1" applyFont="1" applyBorder="1" applyAlignment="1" applyProtection="1">
      <alignment horizontal="center"/>
      <protection locked="0"/>
    </xf>
    <xf numFmtId="5" fontId="7" fillId="0" borderId="303" xfId="2" applyNumberFormat="1" applyFont="1" applyBorder="1" applyAlignment="1" applyProtection="1">
      <alignment horizontal="center"/>
      <protection locked="0"/>
    </xf>
    <xf numFmtId="169" fontId="7" fillId="0" borderId="177" xfId="0" applyNumberFormat="1" applyFont="1" applyBorder="1" applyAlignment="1" applyProtection="1">
      <alignment horizontal="center"/>
      <protection locked="0"/>
    </xf>
    <xf numFmtId="169" fontId="7" fillId="0" borderId="170" xfId="0" applyNumberFormat="1" applyFont="1" applyBorder="1" applyAlignment="1" applyProtection="1">
      <alignment horizontal="center"/>
      <protection locked="0"/>
    </xf>
    <xf numFmtId="0" fontId="40" fillId="0" borderId="170" xfId="4" applyFont="1" applyBorder="1" applyAlignment="1" applyProtection="1">
      <alignment horizontal="center" vertical="center"/>
      <protection locked="0"/>
    </xf>
    <xf numFmtId="0" fontId="5" fillId="0" borderId="171" xfId="4" applyBorder="1" applyAlignment="1" applyProtection="1">
      <alignment horizontal="center" vertical="center"/>
      <protection locked="0"/>
    </xf>
    <xf numFmtId="0" fontId="5" fillId="0" borderId="177" xfId="4" applyFill="1" applyBorder="1" applyAlignment="1" applyProtection="1">
      <alignment horizontal="center" vertical="center"/>
      <protection locked="0"/>
    </xf>
    <xf numFmtId="0" fontId="40" fillId="0" borderId="170" xfId="4" applyFont="1" applyFill="1" applyBorder="1" applyAlignment="1" applyProtection="1">
      <alignment horizontal="center" vertical="center"/>
      <protection locked="0"/>
    </xf>
    <xf numFmtId="169" fontId="0" fillId="0" borderId="171" xfId="0" applyNumberFormat="1" applyBorder="1" applyAlignment="1" applyProtection="1">
      <alignment horizontal="center"/>
      <protection locked="0"/>
    </xf>
    <xf numFmtId="0" fontId="7" fillId="0" borderId="177" xfId="0" applyFont="1" applyBorder="1" applyAlignment="1" applyProtection="1">
      <alignment horizontal="center"/>
      <protection locked="0"/>
    </xf>
    <xf numFmtId="0" fontId="7" fillId="0" borderId="170" xfId="0" applyFont="1" applyBorder="1" applyAlignment="1" applyProtection="1">
      <alignment horizontal="center"/>
      <protection locked="0"/>
    </xf>
    <xf numFmtId="0" fontId="0" fillId="0" borderId="161" xfId="0" applyBorder="1" applyAlignment="1" applyProtection="1">
      <alignment horizontal="center"/>
      <protection locked="0"/>
    </xf>
    <xf numFmtId="0" fontId="7" fillId="0" borderId="18" xfId="0" applyFont="1" applyBorder="1" applyAlignment="1" applyProtection="1">
      <alignment horizontal="center"/>
      <protection locked="0"/>
    </xf>
    <xf numFmtId="0" fontId="7" fillId="0" borderId="19" xfId="0" applyFont="1" applyBorder="1" applyAlignment="1" applyProtection="1">
      <alignment horizontal="center"/>
      <protection locked="0"/>
    </xf>
    <xf numFmtId="0" fontId="0" fillId="0" borderId="32" xfId="0" applyBorder="1" applyAlignment="1" applyProtection="1">
      <alignment horizontal="center"/>
      <protection locked="0"/>
    </xf>
    <xf numFmtId="0" fontId="7" fillId="0" borderId="15" xfId="0" applyFont="1" applyBorder="1" applyAlignment="1" applyProtection="1">
      <alignment horizontal="center"/>
      <protection locked="0"/>
    </xf>
    <xf numFmtId="0" fontId="7" fillId="0" borderId="16" xfId="0" applyFont="1" applyBorder="1" applyAlignment="1" applyProtection="1">
      <alignment horizontal="center"/>
      <protection locked="0"/>
    </xf>
    <xf numFmtId="0" fontId="7" fillId="0" borderId="17" xfId="0" applyFont="1" applyBorder="1" applyAlignment="1" applyProtection="1">
      <alignment horizontal="center"/>
      <protection locked="0"/>
    </xf>
    <xf numFmtId="169" fontId="7" fillId="0" borderId="0" xfId="0" applyNumberFormat="1" applyFont="1" applyAlignment="1" applyProtection="1">
      <alignment horizontal="center"/>
      <protection locked="0"/>
    </xf>
    <xf numFmtId="0" fontId="7" fillId="38" borderId="16" xfId="0" applyFont="1" applyFill="1" applyBorder="1" applyAlignment="1" applyProtection="1">
      <alignment horizontal="center"/>
      <protection locked="0"/>
    </xf>
    <xf numFmtId="0" fontId="7" fillId="38" borderId="17" xfId="0" applyFont="1" applyFill="1" applyBorder="1" applyAlignment="1" applyProtection="1">
      <alignment horizontal="center"/>
      <protection locked="0"/>
    </xf>
    <xf numFmtId="0" fontId="0" fillId="0" borderId="319" xfId="0" applyBorder="1" applyAlignment="1" applyProtection="1">
      <alignment horizontal="center"/>
      <protection locked="0"/>
    </xf>
    <xf numFmtId="0" fontId="0" fillId="0" borderId="314" xfId="0" applyBorder="1" applyAlignment="1" applyProtection="1">
      <alignment horizontal="center"/>
      <protection locked="0"/>
    </xf>
    <xf numFmtId="0" fontId="0" fillId="0" borderId="325" xfId="0" applyBorder="1" applyAlignment="1" applyProtection="1">
      <alignment horizontal="center"/>
      <protection locked="0"/>
    </xf>
    <xf numFmtId="169" fontId="0" fillId="0" borderId="325" xfId="0" applyNumberFormat="1" applyBorder="1" applyAlignment="1" applyProtection="1">
      <alignment horizontal="center"/>
      <protection locked="0"/>
    </xf>
    <xf numFmtId="0" fontId="5" fillId="0" borderId="250" xfId="4" applyBorder="1" applyAlignment="1" applyProtection="1">
      <alignment horizontal="center" vertical="center"/>
      <protection locked="0"/>
    </xf>
    <xf numFmtId="0" fontId="5" fillId="0" borderId="238" xfId="4" applyBorder="1" applyAlignment="1" applyProtection="1">
      <alignment horizontal="center" vertical="center"/>
      <protection locked="0"/>
    </xf>
    <xf numFmtId="0" fontId="5" fillId="0" borderId="325" xfId="4" applyBorder="1" applyAlignment="1" applyProtection="1">
      <alignment horizontal="center"/>
      <protection locked="0"/>
    </xf>
    <xf numFmtId="0" fontId="0" fillId="0" borderId="325" xfId="0" applyBorder="1" applyAlignment="1" applyProtection="1">
      <alignment horizontal="center" wrapText="1"/>
      <protection locked="0"/>
    </xf>
    <xf numFmtId="169" fontId="28" fillId="0" borderId="15" xfId="0" applyNumberFormat="1" applyFont="1" applyBorder="1" applyAlignment="1" applyProtection="1">
      <alignment horizontal="center"/>
      <protection locked="0"/>
    </xf>
    <xf numFmtId="9" fontId="0" fillId="0" borderId="15" xfId="0" applyNumberFormat="1" applyBorder="1" applyAlignment="1" applyProtection="1">
      <alignment horizontal="center"/>
      <protection locked="0"/>
    </xf>
    <xf numFmtId="0" fontId="109" fillId="0" borderId="325" xfId="4" applyFont="1" applyBorder="1" applyAlignment="1" applyProtection="1">
      <alignment horizontal="center" wrapText="1"/>
      <protection locked="0"/>
    </xf>
    <xf numFmtId="0" fontId="5" fillId="0" borderId="325" xfId="4" applyBorder="1" applyAlignment="1" applyProtection="1">
      <alignment horizontal="center" vertical="center"/>
      <protection locked="0"/>
    </xf>
    <xf numFmtId="0" fontId="0" fillId="0" borderId="250" xfId="0" applyBorder="1" applyAlignment="1" applyProtection="1">
      <alignment horizontal="center"/>
      <protection locked="0"/>
    </xf>
    <xf numFmtId="169" fontId="0" fillId="0" borderId="250" xfId="0" applyNumberFormat="1" applyBorder="1" applyAlignment="1" applyProtection="1">
      <alignment horizontal="center"/>
      <protection locked="0"/>
    </xf>
    <xf numFmtId="169" fontId="0" fillId="0" borderId="238" xfId="0" applyNumberFormat="1" applyBorder="1" applyAlignment="1" applyProtection="1">
      <alignment horizontal="center"/>
      <protection locked="0"/>
    </xf>
    <xf numFmtId="0" fontId="0" fillId="0" borderId="355" xfId="0" applyBorder="1" applyAlignment="1" applyProtection="1">
      <alignment horizontal="center"/>
      <protection locked="0"/>
    </xf>
    <xf numFmtId="0" fontId="0" fillId="0" borderId="347" xfId="0" applyBorder="1" applyAlignment="1" applyProtection="1">
      <alignment horizontal="center"/>
      <protection locked="0"/>
    </xf>
    <xf numFmtId="169" fontId="0" fillId="0" borderId="15" xfId="0" applyNumberFormat="1" applyBorder="1" applyAlignment="1" applyProtection="1">
      <alignment horizontal="center"/>
      <protection locked="0"/>
    </xf>
    <xf numFmtId="0" fontId="0" fillId="0" borderId="361" xfId="0" applyBorder="1" applyAlignment="1" applyProtection="1">
      <alignment horizontal="center"/>
      <protection locked="0"/>
    </xf>
    <xf numFmtId="0" fontId="0" fillId="0" borderId="341" xfId="0" applyBorder="1" applyAlignment="1" applyProtection="1">
      <alignment horizontal="center"/>
      <protection locked="0"/>
    </xf>
    <xf numFmtId="0" fontId="28" fillId="0" borderId="15" xfId="0" applyFont="1" applyBorder="1" applyAlignment="1" applyProtection="1">
      <alignment horizontal="center"/>
      <protection locked="0"/>
    </xf>
    <xf numFmtId="0" fontId="0" fillId="0" borderId="367" xfId="0" applyBorder="1" applyAlignment="1" applyProtection="1">
      <alignment horizontal="center"/>
      <protection locked="0"/>
    </xf>
    <xf numFmtId="0" fontId="0" fillId="0" borderId="335" xfId="0" applyBorder="1" applyAlignment="1" applyProtection="1">
      <alignment horizontal="center"/>
      <protection locked="0"/>
    </xf>
    <xf numFmtId="0" fontId="28" fillId="0" borderId="0" xfId="0" applyFont="1" applyAlignment="1" applyProtection="1">
      <alignment horizontal="center" wrapText="1"/>
      <protection locked="0"/>
    </xf>
    <xf numFmtId="0" fontId="28" fillId="0" borderId="15" xfId="0" applyFont="1" applyBorder="1" applyAlignment="1" applyProtection="1">
      <alignment horizontal="center" wrapText="1"/>
      <protection locked="0"/>
    </xf>
    <xf numFmtId="0" fontId="13" fillId="0" borderId="0" xfId="0" applyFont="1" applyAlignment="1" applyProtection="1">
      <alignment horizontal="center"/>
      <protection locked="0"/>
    </xf>
    <xf numFmtId="3" fontId="0" fillId="0" borderId="231" xfId="0" applyNumberFormat="1" applyBorder="1" applyAlignment="1" applyProtection="1">
      <alignment horizontal="center"/>
      <protection locked="0"/>
    </xf>
    <xf numFmtId="3" fontId="0" fillId="0" borderId="354" xfId="0" applyNumberFormat="1" applyBorder="1" applyAlignment="1" applyProtection="1">
      <alignment horizontal="center"/>
      <protection locked="0"/>
    </xf>
    <xf numFmtId="5" fontId="0" fillId="0" borderId="380" xfId="2" applyNumberFormat="1" applyFont="1" applyBorder="1" applyAlignment="1" applyProtection="1">
      <alignment horizontal="center"/>
      <protection locked="0"/>
    </xf>
    <xf numFmtId="5" fontId="0" fillId="0" borderId="381" xfId="2" applyNumberFormat="1" applyFont="1" applyBorder="1" applyAlignment="1" applyProtection="1">
      <alignment horizontal="center"/>
      <protection locked="0"/>
    </xf>
    <xf numFmtId="0" fontId="5" fillId="0" borderId="379" xfId="4" applyBorder="1" applyAlignment="1" applyProtection="1">
      <alignment horizontal="center" vertical="center"/>
      <protection locked="0"/>
    </xf>
    <xf numFmtId="0" fontId="0" fillId="0" borderId="379" xfId="0" applyBorder="1" applyAlignment="1" applyProtection="1">
      <alignment horizontal="center"/>
      <protection locked="0"/>
    </xf>
    <xf numFmtId="169" fontId="0" fillId="0" borderId="379" xfId="0" applyNumberFormat="1" applyBorder="1" applyAlignment="1" applyProtection="1">
      <alignment horizontal="center"/>
      <protection locked="0"/>
    </xf>
    <xf numFmtId="0" fontId="5" fillId="0" borderId="379" xfId="4" quotePrefix="1" applyBorder="1" applyAlignment="1" applyProtection="1">
      <alignment horizontal="center" vertical="center"/>
      <protection locked="0"/>
    </xf>
    <xf numFmtId="0" fontId="30" fillId="0" borderId="379" xfId="0" applyFont="1" applyBorder="1" applyAlignment="1">
      <alignment horizontal="center" vertical="center"/>
    </xf>
    <xf numFmtId="0" fontId="30" fillId="0" borderId="170" xfId="0" applyFont="1" applyBorder="1" applyAlignment="1">
      <alignment horizontal="center" vertical="center"/>
    </xf>
    <xf numFmtId="169" fontId="30" fillId="0" borderId="379" xfId="0" applyNumberFormat="1" applyFont="1" applyBorder="1" applyAlignment="1">
      <alignment horizontal="center" vertical="center"/>
    </xf>
    <xf numFmtId="0" fontId="5" fillId="0" borderId="367" xfId="4" applyBorder="1" applyAlignment="1" applyProtection="1">
      <alignment horizontal="center" vertical="center"/>
      <protection locked="0"/>
    </xf>
    <xf numFmtId="0" fontId="5" fillId="0" borderId="335" xfId="4" applyBorder="1" applyAlignment="1" applyProtection="1">
      <alignment horizontal="center" vertical="center"/>
      <protection locked="0"/>
    </xf>
    <xf numFmtId="170" fontId="0" fillId="0" borderId="380" xfId="2" applyNumberFormat="1" applyFont="1" applyBorder="1" applyAlignment="1" applyProtection="1">
      <alignment horizontal="center"/>
      <protection locked="0"/>
    </xf>
    <xf numFmtId="170" fontId="0" fillId="0" borderId="381" xfId="2" applyNumberFormat="1" applyFont="1" applyBorder="1" applyAlignment="1" applyProtection="1">
      <alignment horizontal="center"/>
      <protection locked="0"/>
    </xf>
    <xf numFmtId="0" fontId="0" fillId="0" borderId="171" xfId="0" applyBorder="1" applyAlignment="1" applyProtection="1">
      <alignment horizontal="center"/>
      <protection locked="0"/>
    </xf>
    <xf numFmtId="0" fontId="0" fillId="7" borderId="16" xfId="0" applyFill="1" applyBorder="1" applyAlignment="1" applyProtection="1">
      <alignment horizontal="center"/>
      <protection locked="0"/>
    </xf>
    <xf numFmtId="0" fontId="0" fillId="7" borderId="17" xfId="0" applyFill="1" applyBorder="1" applyAlignment="1" applyProtection="1">
      <alignment horizontal="center"/>
      <protection locked="0"/>
    </xf>
    <xf numFmtId="0" fontId="65" fillId="0" borderId="379" xfId="0" applyFont="1" applyBorder="1" applyAlignment="1">
      <alignment horizontal="center"/>
    </xf>
    <xf numFmtId="0" fontId="5" fillId="0" borderId="379" xfId="4" applyBorder="1" applyAlignment="1">
      <alignment horizontal="center" vertical="center"/>
    </xf>
    <xf numFmtId="0" fontId="0" fillId="11" borderId="15" xfId="0" applyFill="1" applyBorder="1" applyAlignment="1" applyProtection="1">
      <alignment horizontal="center"/>
      <protection locked="0"/>
    </xf>
    <xf numFmtId="0" fontId="0" fillId="11" borderId="0" xfId="0" applyFill="1" applyAlignment="1" applyProtection="1">
      <alignment horizontal="center"/>
      <protection locked="0"/>
    </xf>
    <xf numFmtId="169" fontId="0" fillId="11" borderId="15" xfId="0" applyNumberFormat="1" applyFill="1" applyBorder="1" applyAlignment="1" applyProtection="1">
      <alignment horizontal="center"/>
      <protection locked="0"/>
    </xf>
    <xf numFmtId="0" fontId="0" fillId="0" borderId="5" xfId="0" applyBorder="1" applyAlignment="1" applyProtection="1">
      <alignment horizontal="center"/>
      <protection locked="0"/>
    </xf>
    <xf numFmtId="0" fontId="0" fillId="0" borderId="164" xfId="0" applyBorder="1" applyAlignment="1" applyProtection="1">
      <alignment horizontal="center"/>
      <protection locked="0"/>
    </xf>
    <xf numFmtId="169" fontId="0" fillId="0" borderId="164" xfId="0" applyNumberFormat="1" applyBorder="1" applyAlignment="1" applyProtection="1">
      <alignment horizontal="center"/>
      <protection locked="0"/>
    </xf>
    <xf numFmtId="0" fontId="5" fillId="0" borderId="164" xfId="4" applyBorder="1" applyAlignment="1" applyProtection="1">
      <alignment horizontal="center" vertical="center"/>
      <protection locked="0"/>
    </xf>
    <xf numFmtId="5" fontId="0" fillId="0" borderId="55" xfId="2" applyNumberFormat="1" applyFont="1" applyBorder="1" applyAlignment="1" applyProtection="1">
      <alignment horizontal="center"/>
      <protection locked="0"/>
    </xf>
    <xf numFmtId="5" fontId="0" fillId="0" borderId="22" xfId="2" applyNumberFormat="1" applyFont="1" applyBorder="1" applyAlignment="1" applyProtection="1">
      <alignment horizontal="center"/>
      <protection locked="0"/>
    </xf>
    <xf numFmtId="5" fontId="0" fillId="35" borderId="55" xfId="2" applyNumberFormat="1" applyFont="1" applyFill="1" applyBorder="1" applyAlignment="1" applyProtection="1">
      <alignment horizontal="center"/>
      <protection locked="0"/>
    </xf>
    <xf numFmtId="5" fontId="0" fillId="35" borderId="22" xfId="2" applyNumberFormat="1" applyFont="1" applyFill="1" applyBorder="1" applyAlignment="1" applyProtection="1">
      <alignment horizontal="center"/>
      <protection locked="0"/>
    </xf>
    <xf numFmtId="169" fontId="0" fillId="0" borderId="421" xfId="0" applyNumberFormat="1" applyBorder="1" applyAlignment="1" applyProtection="1">
      <alignment horizontal="center"/>
      <protection locked="0"/>
    </xf>
    <xf numFmtId="0" fontId="0" fillId="0" borderId="421" xfId="0" applyBorder="1" applyAlignment="1" applyProtection="1">
      <alignment horizontal="center"/>
      <protection locked="0"/>
    </xf>
    <xf numFmtId="0" fontId="5" fillId="0" borderId="421" xfId="4" applyBorder="1" applyAlignment="1" applyProtection="1">
      <alignment horizontal="center" vertical="center"/>
      <protection locked="0"/>
    </xf>
    <xf numFmtId="5" fontId="0" fillId="0" borderId="422" xfId="2" applyNumberFormat="1" applyFont="1" applyBorder="1" applyAlignment="1" applyProtection="1">
      <alignment horizontal="center"/>
      <protection locked="0"/>
    </xf>
    <xf numFmtId="5" fontId="0" fillId="0" borderId="420" xfId="2" applyNumberFormat="1" applyFont="1" applyBorder="1" applyAlignment="1" applyProtection="1">
      <alignment horizontal="center"/>
      <protection locked="0"/>
    </xf>
    <xf numFmtId="0" fontId="0" fillId="0" borderId="433" xfId="0" applyBorder="1" applyAlignment="1" applyProtection="1">
      <alignment horizontal="center"/>
      <protection locked="0"/>
    </xf>
    <xf numFmtId="169" fontId="0" fillId="0" borderId="433" xfId="0" applyNumberFormat="1" applyBorder="1" applyAlignment="1" applyProtection="1">
      <alignment horizontal="center"/>
      <protection locked="0"/>
    </xf>
    <xf numFmtId="0" fontId="5" fillId="0" borderId="433" xfId="4" applyBorder="1" applyAlignment="1" applyProtection="1">
      <alignment horizontal="center" vertical="center"/>
      <protection locked="0"/>
    </xf>
    <xf numFmtId="169" fontId="65" fillId="0" borderId="15" xfId="0" applyNumberFormat="1" applyFont="1" applyBorder="1" applyAlignment="1" applyProtection="1">
      <alignment horizontal="center"/>
      <protection locked="0"/>
    </xf>
    <xf numFmtId="0" fontId="65" fillId="0" borderId="325" xfId="0" applyFont="1" applyBorder="1" applyAlignment="1">
      <alignment horizontal="center"/>
    </xf>
    <xf numFmtId="0" fontId="65" fillId="0" borderId="433" xfId="0" applyFont="1" applyBorder="1" applyAlignment="1">
      <alignment horizontal="center"/>
    </xf>
    <xf numFmtId="0" fontId="65" fillId="0" borderId="325" xfId="0" applyFont="1" applyBorder="1" applyAlignment="1">
      <alignment horizontal="center" wrapText="1"/>
    </xf>
    <xf numFmtId="0" fontId="65" fillId="0" borderId="433" xfId="0" applyFont="1" applyBorder="1" applyAlignment="1">
      <alignment horizontal="center" wrapText="1"/>
    </xf>
    <xf numFmtId="0" fontId="5" fillId="0" borderId="325" xfId="4" applyBorder="1" applyAlignment="1">
      <alignment horizontal="center"/>
    </xf>
    <xf numFmtId="0" fontId="5" fillId="0" borderId="433" xfId="4" applyBorder="1" applyAlignment="1">
      <alignment horizontal="center"/>
    </xf>
    <xf numFmtId="169" fontId="0" fillId="0" borderId="443" xfId="0" applyNumberFormat="1" applyBorder="1" applyAlignment="1" applyProtection="1">
      <alignment horizontal="center"/>
      <protection locked="0"/>
    </xf>
    <xf numFmtId="0" fontId="0" fillId="0" borderId="443" xfId="0" applyBorder="1" applyAlignment="1" applyProtection="1">
      <alignment horizontal="center"/>
      <protection locked="0"/>
    </xf>
    <xf numFmtId="0" fontId="5" fillId="0" borderId="443" xfId="4" applyBorder="1" applyAlignment="1" applyProtection="1">
      <alignment horizontal="center" vertical="center"/>
      <protection locked="0"/>
    </xf>
    <xf numFmtId="5" fontId="0" fillId="0" borderId="444" xfId="2" applyNumberFormat="1" applyFont="1" applyBorder="1" applyAlignment="1" applyProtection="1">
      <alignment horizontal="center"/>
      <protection locked="0"/>
    </xf>
    <xf numFmtId="5" fontId="0" fillId="0" borderId="445" xfId="2" applyNumberFormat="1" applyFont="1" applyBorder="1" applyAlignment="1" applyProtection="1">
      <alignment horizontal="center"/>
      <protection locked="0"/>
    </xf>
    <xf numFmtId="5" fontId="0" fillId="0" borderId="471" xfId="2" applyNumberFormat="1" applyFont="1" applyBorder="1" applyAlignment="1" applyProtection="1">
      <alignment horizontal="center"/>
      <protection locked="0"/>
    </xf>
    <xf numFmtId="5" fontId="0" fillId="0" borderId="472" xfId="2" applyNumberFormat="1" applyFont="1" applyBorder="1" applyAlignment="1" applyProtection="1">
      <alignment horizontal="center"/>
      <protection locked="0"/>
    </xf>
    <xf numFmtId="0" fontId="0" fillId="0" borderId="470" xfId="0" applyBorder="1" applyAlignment="1" applyProtection="1">
      <alignment horizontal="center"/>
      <protection locked="0"/>
    </xf>
    <xf numFmtId="169" fontId="0" fillId="0" borderId="470" xfId="0" applyNumberFormat="1" applyBorder="1" applyAlignment="1" applyProtection="1">
      <alignment horizontal="center"/>
      <protection locked="0"/>
    </xf>
    <xf numFmtId="0" fontId="5" fillId="0" borderId="470" xfId="4" applyBorder="1" applyAlignment="1" applyProtection="1">
      <alignment horizontal="center" vertical="center"/>
      <protection locked="0"/>
    </xf>
    <xf numFmtId="0" fontId="0" fillId="0" borderId="494" xfId="0" applyBorder="1" applyAlignment="1" applyProtection="1">
      <alignment horizontal="center"/>
      <protection locked="0"/>
    </xf>
    <xf numFmtId="0" fontId="0" fillId="0" borderId="495" xfId="0" applyBorder="1" applyAlignment="1" applyProtection="1">
      <alignment horizontal="center"/>
      <protection locked="0"/>
    </xf>
    <xf numFmtId="0" fontId="0" fillId="0" borderId="496" xfId="0" applyBorder="1" applyAlignment="1" applyProtection="1">
      <alignment horizontal="center"/>
      <protection locked="0"/>
    </xf>
    <xf numFmtId="0" fontId="5" fillId="0" borderId="494" xfId="4" applyBorder="1" applyAlignment="1" applyProtection="1">
      <alignment horizontal="center" vertical="center"/>
      <protection locked="0"/>
    </xf>
    <xf numFmtId="0" fontId="5" fillId="0" borderId="495" xfId="4" applyBorder="1" applyAlignment="1" applyProtection="1">
      <alignment horizontal="center" vertical="center"/>
      <protection locked="0"/>
    </xf>
    <xf numFmtId="0" fontId="5" fillId="0" borderId="496" xfId="4" applyBorder="1" applyAlignment="1" applyProtection="1">
      <alignment horizontal="center" vertical="center"/>
      <protection locked="0"/>
    </xf>
    <xf numFmtId="169" fontId="0" fillId="0" borderId="494" xfId="0" applyNumberFormat="1" applyBorder="1" applyAlignment="1" applyProtection="1">
      <alignment horizontal="center"/>
      <protection locked="0"/>
    </xf>
    <xf numFmtId="169" fontId="0" fillId="0" borderId="495" xfId="0" applyNumberFormat="1" applyBorder="1" applyAlignment="1" applyProtection="1">
      <alignment horizontal="center"/>
      <protection locked="0"/>
    </xf>
    <xf numFmtId="169" fontId="0" fillId="0" borderId="496" xfId="0" applyNumberFormat="1" applyBorder="1" applyAlignment="1" applyProtection="1">
      <alignment horizontal="center"/>
      <protection locked="0"/>
    </xf>
    <xf numFmtId="170" fontId="0" fillId="0" borderId="498" xfId="2" applyNumberFormat="1" applyFont="1" applyBorder="1" applyAlignment="1" applyProtection="1">
      <alignment horizontal="center"/>
      <protection locked="0"/>
    </xf>
    <xf numFmtId="170" fontId="0" fillId="0" borderId="499" xfId="2" applyNumberFormat="1" applyFont="1" applyBorder="1" applyAlignment="1" applyProtection="1">
      <alignment horizontal="center"/>
      <protection locked="0"/>
    </xf>
    <xf numFmtId="170" fontId="0" fillId="0" borderId="500" xfId="2" applyNumberFormat="1" applyFont="1" applyBorder="1" applyAlignment="1" applyProtection="1">
      <alignment horizontal="center"/>
      <protection locked="0"/>
    </xf>
    <xf numFmtId="170" fontId="0" fillId="0" borderId="510" xfId="2" applyNumberFormat="1" applyFont="1" applyBorder="1" applyAlignment="1" applyProtection="1">
      <alignment horizontal="center"/>
      <protection locked="0"/>
    </xf>
    <xf numFmtId="170" fontId="0" fillId="0" borderId="472" xfId="2" applyNumberFormat="1" applyFont="1" applyBorder="1" applyAlignment="1" applyProtection="1">
      <alignment horizontal="center"/>
      <protection locked="0"/>
    </xf>
    <xf numFmtId="170" fontId="0" fillId="0" borderId="471" xfId="2" applyNumberFormat="1" applyFont="1" applyBorder="1" applyAlignment="1" applyProtection="1">
      <alignment horizontal="center"/>
      <protection locked="0"/>
    </xf>
    <xf numFmtId="170" fontId="0" fillId="0" borderId="15" xfId="0" applyNumberFormat="1" applyBorder="1" applyAlignment="1" applyProtection="1">
      <alignment horizontal="center"/>
      <protection locked="0"/>
    </xf>
    <xf numFmtId="0" fontId="0" fillId="0" borderId="18" xfId="0" applyBorder="1" applyAlignment="1" applyProtection="1">
      <alignment horizontal="center" wrapText="1"/>
      <protection locked="0"/>
    </xf>
    <xf numFmtId="0" fontId="0" fillId="0" borderId="19" xfId="0" applyBorder="1" applyAlignment="1" applyProtection="1">
      <alignment horizontal="center" wrapText="1"/>
      <protection locked="0"/>
    </xf>
    <xf numFmtId="169" fontId="0" fillId="0" borderId="454" xfId="0" applyNumberFormat="1" applyBorder="1" applyAlignment="1" applyProtection="1">
      <alignment horizontal="center"/>
      <protection locked="0"/>
    </xf>
    <xf numFmtId="0" fontId="0" fillId="0" borderId="454" xfId="0" applyBorder="1" applyAlignment="1" applyProtection="1">
      <alignment horizontal="center"/>
      <protection locked="0"/>
    </xf>
    <xf numFmtId="0" fontId="5" fillId="0" borderId="454" xfId="4" applyBorder="1" applyAlignment="1" applyProtection="1">
      <alignment horizontal="center" vertical="center"/>
      <protection locked="0"/>
    </xf>
    <xf numFmtId="0" fontId="0" fillId="0" borderId="28" xfId="0" applyBorder="1" applyAlignment="1" applyProtection="1">
      <alignment horizontal="center"/>
      <protection locked="0"/>
    </xf>
    <xf numFmtId="169" fontId="0" fillId="0" borderId="523" xfId="0" applyNumberFormat="1" applyBorder="1" applyAlignment="1" applyProtection="1">
      <alignment horizontal="center"/>
      <protection locked="0"/>
    </xf>
    <xf numFmtId="0" fontId="0" fillId="0" borderId="523" xfId="0" applyBorder="1" applyAlignment="1" applyProtection="1">
      <alignment horizontal="center"/>
      <protection locked="0"/>
    </xf>
    <xf numFmtId="0" fontId="5" fillId="0" borderId="523" xfId="4" applyBorder="1" applyAlignment="1" applyProtection="1">
      <alignment horizontal="center" vertical="center"/>
      <protection locked="0"/>
    </xf>
    <xf numFmtId="0" fontId="0" fillId="0" borderId="5" xfId="0" applyBorder="1" applyAlignment="1" applyProtection="1">
      <alignment horizontal="center" wrapText="1"/>
      <protection locked="0"/>
    </xf>
    <xf numFmtId="0" fontId="0" fillId="35" borderId="15" xfId="0" applyFill="1" applyBorder="1" applyAlignment="1" applyProtection="1">
      <alignment horizontal="center"/>
      <protection locked="0"/>
    </xf>
    <xf numFmtId="170" fontId="0" fillId="0" borderId="466" xfId="2" applyNumberFormat="1" applyFont="1" applyBorder="1" applyAlignment="1" applyProtection="1">
      <alignment horizontal="center"/>
      <protection locked="0"/>
    </xf>
    <xf numFmtId="0" fontId="7" fillId="0" borderId="494" xfId="0" applyFont="1" applyBorder="1" applyAlignment="1" applyProtection="1">
      <alignment horizontal="center"/>
      <protection locked="0"/>
    </xf>
    <xf numFmtId="0" fontId="7" fillId="0" borderId="495" xfId="0" applyFont="1" applyBorder="1" applyAlignment="1" applyProtection="1">
      <alignment horizontal="center"/>
      <protection locked="0"/>
    </xf>
    <xf numFmtId="169" fontId="7" fillId="0" borderId="494" xfId="0" applyNumberFormat="1" applyFont="1" applyBorder="1" applyAlignment="1" applyProtection="1">
      <alignment horizontal="center"/>
      <protection locked="0"/>
    </xf>
    <xf numFmtId="169" fontId="7" fillId="0" borderId="495" xfId="0" applyNumberFormat="1" applyFont="1" applyBorder="1" applyAlignment="1" applyProtection="1">
      <alignment horizontal="center"/>
      <protection locked="0"/>
    </xf>
    <xf numFmtId="0" fontId="5" fillId="0" borderId="454" xfId="4" applyBorder="1" applyAlignment="1" applyProtection="1">
      <alignment horizontal="center" vertical="center" wrapText="1"/>
      <protection locked="0"/>
    </xf>
    <xf numFmtId="170" fontId="0" fillId="0" borderId="0" xfId="0" applyNumberFormat="1" applyAlignment="1" applyProtection="1">
      <alignment horizontal="center"/>
      <protection locked="0"/>
    </xf>
    <xf numFmtId="170" fontId="3" fillId="0" borderId="0" xfId="0" applyNumberFormat="1" applyFont="1" applyAlignment="1" applyProtection="1">
      <alignment horizontal="center"/>
      <protection locked="0"/>
    </xf>
    <xf numFmtId="0" fontId="0" fillId="0" borderId="617" xfId="0" applyBorder="1" applyAlignment="1" applyProtection="1">
      <alignment horizontal="center"/>
      <protection locked="0"/>
    </xf>
    <xf numFmtId="0" fontId="0" fillId="0" borderId="612" xfId="0" applyBorder="1" applyAlignment="1" applyProtection="1">
      <alignment horizontal="center"/>
      <protection locked="0"/>
    </xf>
    <xf numFmtId="169" fontId="5" fillId="0" borderId="494" xfId="4" applyNumberFormat="1" applyBorder="1" applyAlignment="1" applyProtection="1">
      <alignment horizontal="center"/>
      <protection locked="0"/>
    </xf>
    <xf numFmtId="169" fontId="5" fillId="0" borderId="495" xfId="4" applyNumberFormat="1" applyBorder="1" applyAlignment="1" applyProtection="1">
      <alignment horizontal="center"/>
      <protection locked="0"/>
    </xf>
    <xf numFmtId="169" fontId="65" fillId="0" borderId="494" xfId="0" applyNumberFormat="1" applyFont="1" applyBorder="1" applyAlignment="1">
      <alignment horizontal="center"/>
    </xf>
    <xf numFmtId="169" fontId="65" fillId="0" borderId="495" xfId="0" applyNumberFormat="1" applyFont="1" applyBorder="1" applyAlignment="1">
      <alignment horizontal="center"/>
    </xf>
    <xf numFmtId="0" fontId="5" fillId="0" borderId="494" xfId="4" applyBorder="1" applyAlignment="1" applyProtection="1">
      <protection locked="0"/>
    </xf>
    <xf numFmtId="0" fontId="5" fillId="0" borderId="495" xfId="4" applyBorder="1" applyAlignment="1" applyProtection="1">
      <protection locked="0"/>
    </xf>
    <xf numFmtId="0" fontId="5" fillId="0" borderId="494" xfId="4" applyBorder="1" applyAlignment="1" applyProtection="1">
      <alignment wrapText="1"/>
      <protection locked="0"/>
    </xf>
    <xf numFmtId="0" fontId="5" fillId="0" borderId="494" xfId="4" applyBorder="1" applyAlignment="1">
      <alignment horizontal="center"/>
    </xf>
    <xf numFmtId="0" fontId="5" fillId="0" borderId="495" xfId="4" applyBorder="1" applyAlignment="1">
      <alignment horizontal="center"/>
    </xf>
    <xf numFmtId="5" fontId="30" fillId="0" borderId="471" xfId="2" applyNumberFormat="1" applyFont="1" applyBorder="1" applyAlignment="1">
      <alignment horizontal="center" vertical="center"/>
    </xf>
    <xf numFmtId="44" fontId="30" fillId="0" borderId="472" xfId="2" applyFont="1" applyBorder="1" applyAlignment="1">
      <alignment horizontal="center" vertical="center"/>
    </xf>
    <xf numFmtId="0" fontId="65" fillId="0" borderId="494" xfId="0" applyFont="1" applyBorder="1" applyAlignment="1">
      <alignment horizontal="center"/>
    </xf>
    <xf numFmtId="0" fontId="65" fillId="0" borderId="495" xfId="0" applyFont="1" applyBorder="1" applyAlignment="1">
      <alignment horizontal="center"/>
    </xf>
    <xf numFmtId="0" fontId="5" fillId="0" borderId="494" xfId="4" applyFill="1" applyBorder="1" applyAlignment="1" applyProtection="1">
      <alignment wrapText="1"/>
      <protection locked="0"/>
    </xf>
    <xf numFmtId="0" fontId="5" fillId="0" borderId="495" xfId="4" applyFill="1" applyBorder="1" applyAlignment="1" applyProtection="1">
      <protection locked="0"/>
    </xf>
    <xf numFmtId="0" fontId="5" fillId="0" borderId="494" xfId="4" applyFill="1" applyBorder="1" applyAlignment="1" applyProtection="1">
      <protection locked="0"/>
    </xf>
    <xf numFmtId="0" fontId="7" fillId="0" borderId="15" xfId="0" applyFont="1" applyBorder="1"/>
    <xf numFmtId="0" fontId="65" fillId="0" borderId="16" xfId="0" applyFont="1" applyBorder="1" applyAlignment="1">
      <alignment horizontal="center"/>
    </xf>
    <xf numFmtId="0" fontId="65" fillId="0" borderId="17" xfId="0" applyFont="1" applyBorder="1" applyAlignment="1">
      <alignment horizontal="center"/>
    </xf>
    <xf numFmtId="169" fontId="0" fillId="0" borderId="15" xfId="0" applyNumberFormat="1" applyBorder="1" applyAlignment="1" applyProtection="1">
      <alignment horizontal="center" wrapText="1"/>
      <protection locked="0"/>
    </xf>
    <xf numFmtId="5" fontId="0" fillId="0" borderId="466" xfId="2" applyNumberFormat="1" applyFont="1" applyBorder="1" applyAlignment="1" applyProtection="1">
      <alignment horizontal="center"/>
      <protection locked="0"/>
    </xf>
    <xf numFmtId="5" fontId="0" fillId="0" borderId="510" xfId="2" applyNumberFormat="1" applyFont="1" applyBorder="1" applyAlignment="1" applyProtection="1">
      <alignment horizontal="center"/>
      <protection locked="0"/>
    </xf>
    <xf numFmtId="0" fontId="5" fillId="39" borderId="494" xfId="4" applyFill="1" applyBorder="1" applyAlignment="1" applyProtection="1">
      <alignment horizontal="center" vertical="center"/>
      <protection locked="0"/>
    </xf>
    <xf numFmtId="0" fontId="5" fillId="0" borderId="706" xfId="4" applyBorder="1" applyAlignment="1" applyProtection="1">
      <alignment horizontal="center" vertical="center"/>
      <protection locked="0"/>
    </xf>
    <xf numFmtId="0" fontId="0" fillId="0" borderId="706" xfId="0" applyBorder="1" applyAlignment="1" applyProtection="1">
      <alignment horizontal="center"/>
      <protection locked="0"/>
    </xf>
    <xf numFmtId="169" fontId="0" fillId="0" borderId="706" xfId="0" applyNumberFormat="1" applyBorder="1" applyAlignment="1" applyProtection="1">
      <alignment horizontal="center"/>
      <protection locked="0"/>
    </xf>
    <xf numFmtId="16" fontId="0" fillId="0" borderId="15" xfId="0" applyNumberFormat="1" applyBorder="1" applyAlignment="1" applyProtection="1">
      <alignment horizontal="center"/>
      <protection locked="0"/>
    </xf>
    <xf numFmtId="169" fontId="44" fillId="0" borderId="706" xfId="0" applyNumberFormat="1" applyFont="1" applyBorder="1" applyAlignment="1" applyProtection="1">
      <alignment horizontal="center"/>
      <protection locked="0"/>
    </xf>
    <xf numFmtId="16" fontId="0" fillId="0" borderId="0" xfId="0" applyNumberFormat="1" applyAlignment="1" applyProtection="1">
      <alignment horizontal="center"/>
      <protection locked="0"/>
    </xf>
    <xf numFmtId="0" fontId="0" fillId="7" borderId="55" xfId="0" applyFill="1" applyBorder="1" applyAlignment="1" applyProtection="1">
      <alignment horizontal="center"/>
      <protection locked="0"/>
    </xf>
    <xf numFmtId="0" fontId="0" fillId="7" borderId="22" xfId="0" applyFill="1" applyBorder="1" applyAlignment="1" applyProtection="1">
      <alignment horizontal="center"/>
      <protection locked="0"/>
    </xf>
    <xf numFmtId="0" fontId="113" fillId="0" borderId="706" xfId="0" applyFont="1" applyBorder="1" applyAlignment="1" applyProtection="1">
      <alignment horizontal="center"/>
      <protection locked="0"/>
    </xf>
    <xf numFmtId="0" fontId="5" fillId="0" borderId="706" xfId="4" applyBorder="1" applyAlignment="1" applyProtection="1">
      <protection locked="0"/>
    </xf>
    <xf numFmtId="0" fontId="5" fillId="0" borderId="706" xfId="4" applyBorder="1" applyAlignment="1" applyProtection="1">
      <alignment wrapText="1"/>
      <protection locked="0"/>
    </xf>
    <xf numFmtId="0" fontId="5" fillId="0" borderId="706" xfId="4" applyFill="1" applyBorder="1" applyAlignment="1" applyProtection="1">
      <alignment horizontal="center" vertical="center"/>
      <protection locked="0"/>
    </xf>
    <xf numFmtId="5" fontId="0" fillId="0" borderId="15" xfId="0" applyNumberFormat="1" applyBorder="1" applyAlignment="1" applyProtection="1">
      <alignment horizontal="center"/>
      <protection locked="0"/>
    </xf>
    <xf numFmtId="0" fontId="5" fillId="0" borderId="495" xfId="4" applyFill="1" applyBorder="1" applyAlignment="1" applyProtection="1">
      <alignment horizontal="center" vertical="center"/>
      <protection locked="0"/>
    </xf>
    <xf numFmtId="0" fontId="0" fillId="0" borderId="21" xfId="0" applyBorder="1" applyAlignment="1" applyProtection="1">
      <alignment horizontal="center"/>
      <protection locked="0"/>
    </xf>
    <xf numFmtId="0" fontId="0" fillId="7" borderId="54" xfId="0" applyFill="1" applyBorder="1" applyAlignment="1" applyProtection="1">
      <alignment horizontal="center"/>
      <protection locked="0"/>
    </xf>
    <xf numFmtId="0" fontId="108" fillId="0" borderId="706" xfId="4" applyFont="1" applyFill="1" applyBorder="1" applyAlignment="1" applyProtection="1">
      <alignment horizontal="center" vertical="center"/>
      <protection locked="0"/>
    </xf>
    <xf numFmtId="169" fontId="0" fillId="0" borderId="769" xfId="0" applyNumberFormat="1" applyBorder="1" applyAlignment="1" applyProtection="1">
      <alignment horizontal="center"/>
      <protection locked="0"/>
    </xf>
    <xf numFmtId="0" fontId="0" fillId="0" borderId="769" xfId="0" applyBorder="1" applyAlignment="1" applyProtection="1">
      <alignment horizontal="center"/>
      <protection locked="0"/>
    </xf>
    <xf numFmtId="0" fontId="0" fillId="0" borderId="759" xfId="0" applyBorder="1" applyAlignment="1" applyProtection="1">
      <alignment horizontal="center"/>
      <protection locked="0"/>
    </xf>
    <xf numFmtId="169" fontId="0" fillId="0" borderId="759" xfId="0" applyNumberFormat="1" applyBorder="1" applyAlignment="1" applyProtection="1">
      <alignment horizontal="center"/>
      <protection locked="0"/>
    </xf>
    <xf numFmtId="5" fontId="0" fillId="0" borderId="770" xfId="2" applyNumberFormat="1" applyFont="1" applyBorder="1" applyAlignment="1" applyProtection="1">
      <alignment horizontal="center"/>
      <protection locked="0"/>
    </xf>
    <xf numFmtId="5" fontId="0" fillId="0" borderId="768" xfId="2" applyNumberFormat="1" applyFont="1" applyBorder="1" applyAlignment="1" applyProtection="1">
      <alignment horizontal="center"/>
      <protection locked="0"/>
    </xf>
    <xf numFmtId="0" fontId="5" fillId="0" borderId="769" xfId="4" applyFill="1" applyBorder="1" applyAlignment="1" applyProtection="1">
      <alignment horizontal="center" vertical="center"/>
      <protection locked="0"/>
    </xf>
    <xf numFmtId="0" fontId="5" fillId="0" borderId="759" xfId="4" applyBorder="1" applyAlignment="1" applyProtection="1">
      <alignment horizontal="center" vertical="center"/>
      <protection locked="0"/>
    </xf>
    <xf numFmtId="0" fontId="5" fillId="0" borderId="759" xfId="4" applyFill="1" applyBorder="1" applyAlignment="1" applyProtection="1">
      <alignment horizontal="center" vertical="center"/>
      <protection locked="0"/>
    </xf>
    <xf numFmtId="5" fontId="0" fillId="0" borderId="779" xfId="2" applyNumberFormat="1" applyFont="1" applyBorder="1" applyAlignment="1" applyProtection="1">
      <alignment horizontal="center"/>
      <protection locked="0"/>
    </xf>
    <xf numFmtId="169" fontId="0" fillId="0" borderId="759" xfId="0" applyNumberFormat="1" applyBorder="1" applyAlignment="1" applyProtection="1">
      <alignment horizontal="center" wrapText="1"/>
      <protection locked="0"/>
    </xf>
    <xf numFmtId="0" fontId="5" fillId="0" borderId="769" xfId="4" applyBorder="1" applyAlignment="1" applyProtection="1">
      <alignment horizontal="center" vertical="center"/>
      <protection locked="0"/>
    </xf>
    <xf numFmtId="0" fontId="0" fillId="0" borderId="800" xfId="0" applyBorder="1" applyAlignment="1" applyProtection="1">
      <alignment horizontal="center"/>
      <protection locked="0"/>
    </xf>
    <xf numFmtId="0" fontId="0" fillId="0" borderId="795" xfId="0" applyBorder="1" applyAlignment="1" applyProtection="1">
      <alignment horizontal="center"/>
      <protection locked="0"/>
    </xf>
    <xf numFmtId="169" fontId="5" fillId="0" borderId="769" xfId="4" applyNumberFormat="1" applyBorder="1" applyAlignment="1" applyProtection="1">
      <alignment horizontal="center"/>
      <protection locked="0"/>
    </xf>
    <xf numFmtId="0" fontId="28" fillId="0" borderId="0" xfId="0" applyFont="1" applyAlignment="1" applyProtection="1">
      <alignment horizontal="center"/>
      <protection locked="0"/>
    </xf>
    <xf numFmtId="0" fontId="7" fillId="0" borderId="769" xfId="0" applyFont="1" applyBorder="1" applyAlignment="1" applyProtection="1">
      <alignment horizontal="center"/>
      <protection locked="0"/>
    </xf>
    <xf numFmtId="5" fontId="7" fillId="0" borderId="770" xfId="2" applyNumberFormat="1" applyFont="1" applyBorder="1" applyAlignment="1" applyProtection="1">
      <alignment horizontal="center"/>
      <protection locked="0"/>
    </xf>
    <xf numFmtId="5" fontId="7" fillId="0" borderId="768" xfId="2" applyNumberFormat="1" applyFont="1" applyBorder="1" applyAlignment="1" applyProtection="1">
      <alignment horizontal="center"/>
      <protection locked="0"/>
    </xf>
    <xf numFmtId="169" fontId="7" fillId="0" borderId="769" xfId="0" applyNumberFormat="1" applyFont="1" applyBorder="1" applyAlignment="1" applyProtection="1">
      <alignment horizontal="center"/>
      <protection locked="0"/>
    </xf>
    <xf numFmtId="0" fontId="40" fillId="0" borderId="495" xfId="4" applyFont="1" applyBorder="1" applyAlignment="1" applyProtection="1">
      <alignment horizontal="center" vertical="center"/>
      <protection locked="0"/>
    </xf>
    <xf numFmtId="44" fontId="122" fillId="0" borderId="759" xfId="2" applyFont="1" applyBorder="1" applyAlignment="1">
      <alignment horizontal="center" vertical="center"/>
    </xf>
    <xf numFmtId="0" fontId="0" fillId="0" borderId="816" xfId="0" applyBorder="1" applyProtection="1">
      <protection locked="0"/>
    </xf>
    <xf numFmtId="44" fontId="0" fillId="0" borderId="816" xfId="2" applyFont="1" applyBorder="1" applyProtection="1">
      <protection locked="0"/>
    </xf>
    <xf numFmtId="44" fontId="0" fillId="22" borderId="816" xfId="2" applyFont="1" applyFill="1" applyBorder="1" applyProtection="1">
      <protection locked="0"/>
    </xf>
    <xf numFmtId="44" fontId="122" fillId="7" borderId="759" xfId="2" applyFont="1" applyFill="1" applyBorder="1" applyAlignment="1">
      <alignment horizontal="center" vertical="center"/>
    </xf>
    <xf numFmtId="170" fontId="0" fillId="0" borderId="779" xfId="2" applyNumberFormat="1" applyFont="1" applyBorder="1" applyAlignment="1" applyProtection="1">
      <alignment horizontal="center"/>
      <protection locked="0"/>
    </xf>
    <xf numFmtId="3" fontId="7" fillId="0" borderId="816" xfId="0" applyNumberFormat="1" applyFont="1" applyBorder="1" applyAlignment="1" applyProtection="1">
      <alignment horizontal="left"/>
      <protection locked="0"/>
    </xf>
    <xf numFmtId="0" fontId="30" fillId="7" borderId="307" xfId="0" applyFont="1" applyFill="1" applyBorder="1" applyAlignment="1">
      <alignment horizontal="left"/>
    </xf>
    <xf numFmtId="3" fontId="7" fillId="35" borderId="306" xfId="0" applyNumberFormat="1" applyFont="1" applyFill="1" applyBorder="1" applyAlignment="1" applyProtection="1">
      <alignment horizontal="left"/>
      <protection locked="0"/>
    </xf>
    <xf numFmtId="3" fontId="7" fillId="35" borderId="816" xfId="0" applyNumberFormat="1" applyFont="1" applyFill="1" applyBorder="1" applyAlignment="1" applyProtection="1">
      <alignment horizontal="left"/>
      <protection locked="0"/>
    </xf>
    <xf numFmtId="42" fontId="7" fillId="22" borderId="816" xfId="0" applyNumberFormat="1" applyFont="1" applyFill="1" applyBorder="1" applyProtection="1">
      <protection locked="0"/>
    </xf>
    <xf numFmtId="3" fontId="0" fillId="0" borderId="816" xfId="0" applyNumberFormat="1" applyBorder="1" applyAlignment="1" applyProtection="1">
      <alignment horizontal="left"/>
      <protection locked="0"/>
    </xf>
    <xf numFmtId="42" fontId="0" fillId="0" borderId="816" xfId="0" applyNumberFormat="1" applyBorder="1" applyAlignment="1" applyProtection="1">
      <alignment horizontal="left"/>
      <protection locked="0"/>
    </xf>
    <xf numFmtId="5" fontId="0" fillId="0" borderId="822" xfId="2" applyNumberFormat="1" applyFont="1" applyBorder="1" applyProtection="1">
      <protection locked="0"/>
    </xf>
    <xf numFmtId="9" fontId="0" fillId="6" borderId="822" xfId="3" applyFont="1" applyFill="1" applyBorder="1" applyAlignment="1" applyProtection="1">
      <alignment horizontal="left"/>
      <protection locked="0"/>
    </xf>
    <xf numFmtId="5" fontId="0" fillId="6" borderId="822" xfId="2" applyNumberFormat="1" applyFont="1" applyFill="1" applyBorder="1" applyAlignment="1" applyProtection="1">
      <alignment horizontal="left"/>
      <protection locked="0"/>
    </xf>
    <xf numFmtId="44" fontId="0" fillId="6" borderId="822" xfId="2" applyFont="1" applyFill="1" applyBorder="1" applyAlignment="1" applyProtection="1">
      <alignment horizontal="left"/>
      <protection locked="0"/>
    </xf>
    <xf numFmtId="5" fontId="0" fillId="6" borderId="822" xfId="0" applyNumberFormat="1" applyFill="1" applyBorder="1" applyAlignment="1" applyProtection="1">
      <alignment horizontal="left"/>
      <protection locked="0"/>
    </xf>
    <xf numFmtId="165" fontId="12" fillId="6" borderId="822" xfId="0" applyNumberFormat="1" applyFont="1" applyFill="1" applyBorder="1" applyAlignment="1" applyProtection="1">
      <alignment horizontal="left"/>
      <protection locked="0"/>
    </xf>
    <xf numFmtId="165" fontId="0" fillId="0" borderId="822" xfId="0" applyNumberFormat="1" applyBorder="1" applyAlignment="1" applyProtection="1">
      <alignment horizontal="right"/>
      <protection locked="0"/>
    </xf>
    <xf numFmtId="44" fontId="0" fillId="0" borderId="822" xfId="0" applyNumberFormat="1" applyBorder="1" applyProtection="1">
      <protection locked="0"/>
    </xf>
    <xf numFmtId="165" fontId="0" fillId="0" borderId="822" xfId="0" applyNumberFormat="1" applyBorder="1" applyProtection="1">
      <protection locked="0"/>
    </xf>
    <xf numFmtId="0" fontId="0" fillId="0" borderId="822" xfId="0" applyBorder="1" applyProtection="1">
      <protection locked="0"/>
    </xf>
    <xf numFmtId="0" fontId="0" fillId="0" borderId="823" xfId="0" applyBorder="1" applyProtection="1">
      <protection locked="0"/>
    </xf>
    <xf numFmtId="44" fontId="122" fillId="0" borderId="822" xfId="2" applyFont="1" applyBorder="1" applyAlignment="1">
      <alignment horizontal="center" vertical="center"/>
    </xf>
    <xf numFmtId="0" fontId="6" fillId="22" borderId="822" xfId="0" applyFont="1" applyFill="1" applyBorder="1" applyProtection="1">
      <protection locked="0"/>
    </xf>
    <xf numFmtId="44" fontId="13" fillId="0" borderId="816" xfId="2" applyFont="1" applyBorder="1" applyAlignment="1" applyProtection="1">
      <alignment wrapText="1"/>
      <protection locked="0"/>
    </xf>
    <xf numFmtId="9" fontId="0" fillId="6" borderId="822" xfId="3" applyFont="1" applyFill="1" applyBorder="1" applyProtection="1">
      <protection locked="0"/>
    </xf>
    <xf numFmtId="44" fontId="0" fillId="6" borderId="822" xfId="2" applyFont="1" applyFill="1" applyBorder="1" applyProtection="1">
      <protection locked="0"/>
    </xf>
    <xf numFmtId="44" fontId="0" fillId="6" borderId="822" xfId="0" applyNumberFormat="1" applyFill="1" applyBorder="1" applyProtection="1">
      <protection locked="0"/>
    </xf>
    <xf numFmtId="165" fontId="12" fillId="6" borderId="822" xfId="0" applyNumberFormat="1" applyFont="1" applyFill="1" applyBorder="1" applyAlignment="1" applyProtection="1">
      <alignment horizontal="center"/>
      <protection locked="0"/>
    </xf>
    <xf numFmtId="0" fontId="0" fillId="6" borderId="823" xfId="0" applyFill="1" applyBorder="1" applyAlignment="1" applyProtection="1">
      <alignment horizontal="center"/>
      <protection locked="0"/>
    </xf>
    <xf numFmtId="7" fontId="0" fillId="6" borderId="822" xfId="0" applyNumberFormat="1" applyFill="1" applyBorder="1" applyAlignment="1" applyProtection="1">
      <alignment horizontal="center"/>
      <protection locked="0"/>
    </xf>
    <xf numFmtId="0" fontId="0" fillId="0" borderId="822" xfId="0" applyBorder="1" applyAlignment="1" applyProtection="1">
      <alignment horizontal="center"/>
      <protection locked="0"/>
    </xf>
    <xf numFmtId="169" fontId="0" fillId="0" borderId="822" xfId="0" applyNumberFormat="1" applyBorder="1" applyAlignment="1" applyProtection="1">
      <alignment horizontal="center"/>
      <protection locked="0"/>
    </xf>
    <xf numFmtId="0" fontId="5" fillId="0" borderId="822" xfId="4" applyBorder="1" applyAlignment="1" applyProtection="1">
      <alignment horizontal="center" vertical="center"/>
      <protection locked="0"/>
    </xf>
    <xf numFmtId="170" fontId="0" fillId="0" borderId="824" xfId="2" applyNumberFormat="1" applyFont="1" applyBorder="1" applyAlignment="1" applyProtection="1">
      <alignment horizontal="center"/>
      <protection locked="0"/>
    </xf>
    <xf numFmtId="170" fontId="0" fillId="0" borderId="825" xfId="2" applyNumberFormat="1" applyFont="1" applyBorder="1" applyAlignment="1" applyProtection="1">
      <alignment horizontal="center"/>
      <protection locked="0"/>
    </xf>
    <xf numFmtId="0" fontId="0" fillId="0" borderId="826" xfId="0" applyBorder="1" applyAlignment="1" applyProtection="1">
      <alignment horizontal="center"/>
      <protection locked="0"/>
    </xf>
    <xf numFmtId="169" fontId="0" fillId="0" borderId="826" xfId="0" applyNumberFormat="1" applyBorder="1" applyAlignment="1" applyProtection="1">
      <alignment horizontal="center"/>
      <protection locked="0"/>
    </xf>
    <xf numFmtId="0" fontId="5" fillId="0" borderId="826" xfId="4" applyBorder="1" applyAlignment="1" applyProtection="1">
      <alignment horizontal="center" vertical="center"/>
      <protection locked="0"/>
    </xf>
    <xf numFmtId="5" fontId="0" fillId="0" borderId="823" xfId="2" applyNumberFormat="1" applyFont="1" applyBorder="1" applyAlignment="1" applyProtection="1">
      <alignment horizontal="center"/>
      <protection locked="0"/>
    </xf>
    <xf numFmtId="0" fontId="0" fillId="6" borderId="231" xfId="0" applyFill="1" applyBorder="1" applyAlignment="1" applyProtection="1">
      <alignment horizontal="center"/>
      <protection locked="0"/>
    </xf>
    <xf numFmtId="44" fontId="122" fillId="0" borderId="820" xfId="2" applyFont="1" applyBorder="1" applyAlignment="1">
      <alignment horizontal="center" vertical="center"/>
    </xf>
    <xf numFmtId="10" fontId="0" fillId="6" borderId="822" xfId="3" applyNumberFormat="1" applyFont="1" applyFill="1" applyBorder="1" applyProtection="1">
      <protection locked="0"/>
    </xf>
    <xf numFmtId="165" fontId="0" fillId="0" borderId="828" xfId="0" applyNumberFormat="1" applyBorder="1" applyProtection="1">
      <protection locked="0"/>
    </xf>
    <xf numFmtId="0" fontId="0" fillId="0" borderId="827" xfId="0" applyBorder="1" applyAlignment="1" applyProtection="1">
      <alignment horizontal="center"/>
      <protection locked="0"/>
    </xf>
    <xf numFmtId="0" fontId="0" fillId="0" borderId="821" xfId="0" applyBorder="1" applyAlignment="1" applyProtection="1">
      <alignment horizontal="center"/>
      <protection locked="0"/>
    </xf>
    <xf numFmtId="169" fontId="0" fillId="0" borderId="827" xfId="0" applyNumberFormat="1" applyBorder="1" applyAlignment="1" applyProtection="1">
      <alignment horizontal="center"/>
      <protection locked="0"/>
    </xf>
    <xf numFmtId="169" fontId="0" fillId="0" borderId="821" xfId="0" applyNumberFormat="1" applyBorder="1" applyAlignment="1" applyProtection="1">
      <alignment horizontal="center"/>
      <protection locked="0"/>
    </xf>
    <xf numFmtId="0" fontId="5" fillId="0" borderId="827" xfId="4" applyBorder="1" applyAlignment="1" applyProtection="1">
      <alignment horizontal="center" vertical="center"/>
      <protection locked="0"/>
    </xf>
    <xf numFmtId="0" fontId="5" fillId="0" borderId="821" xfId="4" applyBorder="1" applyAlignment="1" applyProtection="1">
      <alignment horizontal="center" vertical="center"/>
      <protection locked="0"/>
    </xf>
    <xf numFmtId="5" fontId="0" fillId="0" borderId="823" xfId="2" applyNumberFormat="1" applyFont="1" applyBorder="1" applyAlignment="1" applyProtection="1">
      <alignment horizontal="center"/>
      <protection locked="0"/>
    </xf>
    <xf numFmtId="0" fontId="0" fillId="0" borderId="817" xfId="0" applyBorder="1" applyAlignment="1">
      <alignment vertical="top"/>
    </xf>
    <xf numFmtId="0" fontId="0" fillId="0" borderId="830" xfId="0" applyBorder="1" applyAlignment="1" applyProtection="1">
      <alignment horizontal="left" vertical="top"/>
      <protection locked="0"/>
    </xf>
    <xf numFmtId="2" fontId="0" fillId="0" borderId="831" xfId="0" applyNumberFormat="1" applyBorder="1" applyProtection="1">
      <protection locked="0"/>
    </xf>
    <xf numFmtId="0" fontId="0" fillId="0" borderId="830" xfId="0" applyBorder="1" applyProtection="1">
      <protection locked="0"/>
    </xf>
    <xf numFmtId="165" fontId="0" fillId="0" borderId="830" xfId="0" applyNumberFormat="1" applyBorder="1" applyProtection="1">
      <protection locked="0"/>
    </xf>
    <xf numFmtId="165" fontId="0" fillId="0" borderId="832" xfId="0" applyNumberFormat="1" applyBorder="1" applyProtection="1">
      <protection locked="0"/>
    </xf>
    <xf numFmtId="44" fontId="30" fillId="0" borderId="822" xfId="2" applyFont="1" applyBorder="1" applyAlignment="1">
      <alignment horizontal="center" vertical="center"/>
    </xf>
    <xf numFmtId="0" fontId="0" fillId="0" borderId="833" xfId="0" applyBorder="1" applyProtection="1">
      <protection locked="0"/>
    </xf>
    <xf numFmtId="3" fontId="0" fillId="0" borderId="833" xfId="0" applyNumberFormat="1" applyBorder="1" applyAlignment="1" applyProtection="1">
      <alignment horizontal="left"/>
      <protection locked="0"/>
    </xf>
    <xf numFmtId="3" fontId="0" fillId="0" borderId="833" xfId="0" applyNumberFormat="1" applyBorder="1" applyProtection="1">
      <protection locked="0"/>
    </xf>
    <xf numFmtId="0" fontId="6" fillId="0" borderId="822" xfId="0" applyFont="1" applyBorder="1" applyProtection="1">
      <protection locked="0"/>
    </xf>
    <xf numFmtId="0" fontId="31" fillId="0" borderId="829" xfId="0" applyFont="1" applyBorder="1" applyAlignment="1">
      <alignment vertical="center" wrapText="1"/>
    </xf>
    <xf numFmtId="3" fontId="0" fillId="22" borderId="833" xfId="0" applyNumberFormat="1" applyFill="1" applyBorder="1" applyAlignment="1" applyProtection="1">
      <alignment horizontal="left"/>
      <protection locked="0"/>
    </xf>
    <xf numFmtId="38" fontId="0" fillId="0" borderId="833" xfId="0" applyNumberFormat="1" applyBorder="1" applyProtection="1">
      <protection locked="0"/>
    </xf>
    <xf numFmtId="5" fontId="0" fillId="6" borderId="822" xfId="0" applyNumberFormat="1" applyFill="1" applyBorder="1" applyProtection="1">
      <protection locked="0"/>
    </xf>
    <xf numFmtId="165" fontId="0" fillId="0" borderId="834" xfId="0" applyNumberFormat="1" applyBorder="1" applyProtection="1">
      <protection locked="0"/>
    </xf>
    <xf numFmtId="165" fontId="0" fillId="0" borderId="833" xfId="0" applyNumberFormat="1" applyBorder="1" applyProtection="1">
      <protection locked="0"/>
    </xf>
    <xf numFmtId="0" fontId="0" fillId="0" borderId="834" xfId="0" applyBorder="1" applyProtection="1">
      <protection locked="0"/>
    </xf>
  </cellXfs>
  <cellStyles count="13">
    <cellStyle name="Comma" xfId="1" builtinId="3"/>
    <cellStyle name="Comma 2" xfId="9" xr:uid="{4D3770E4-0299-4C7D-B315-7B2C57E0D853}"/>
    <cellStyle name="Currency" xfId="2" builtinId="4"/>
    <cellStyle name="Currency 2" xfId="7" xr:uid="{6706B34E-D86F-46D6-AD6B-43CC7231618B}"/>
    <cellStyle name="Header" xfId="10" xr:uid="{07B16932-76FB-47B4-AA8C-4A2E575CE6CB}"/>
    <cellStyle name="Hyperlink" xfId="4" builtinId="8"/>
    <cellStyle name="Normal" xfId="0" builtinId="0"/>
    <cellStyle name="Normal 2" xfId="5" xr:uid="{8EF1FB10-46B7-486E-A042-A018FB8FBC1F}"/>
    <cellStyle name="Normal 2 2 2" xfId="12" xr:uid="{70F30B77-D5A8-4C1F-8A27-8D426917AD0F}"/>
    <cellStyle name="Normal 24" xfId="6" xr:uid="{78AE7A8E-48C5-45D4-A12A-19EF61E48049}"/>
    <cellStyle name="Normal 63" xfId="11" xr:uid="{5E4EE900-F188-42F2-BBEF-81DC2AF34CB7}"/>
    <cellStyle name="Percent" xfId="3" builtinId="5"/>
    <cellStyle name="Percent 2" xfId="8" xr:uid="{0868223E-FE7E-4F95-A110-08C54D29C535}"/>
  </cellStyles>
  <dxfs count="3086">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tyles" Target="style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aredStrings" Target="sharedStrings.xml"/><Relationship Id="rId125"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microsoft.com/office/2017/10/relationships/person" Target="persons/perso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tif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2060575</xdr:colOff>
      <xdr:row>4</xdr:row>
      <xdr:rowOff>149804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1670050</xdr:colOff>
      <xdr:row>4</xdr:row>
      <xdr:rowOff>92654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twoCellAnchor editAs="oneCell">
    <xdr:from>
      <xdr:col>0</xdr:col>
      <xdr:colOff>91440</xdr:colOff>
      <xdr:row>1</xdr:row>
      <xdr:rowOff>0</xdr:rowOff>
    </xdr:from>
    <xdr:to>
      <xdr:col>1</xdr:col>
      <xdr:colOff>1670050</xdr:colOff>
      <xdr:row>4</xdr:row>
      <xdr:rowOff>92654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95810</xdr:colOff>
      <xdr:row>2</xdr:row>
      <xdr:rowOff>112058</xdr:rowOff>
    </xdr:from>
    <xdr:to>
      <xdr:col>2</xdr:col>
      <xdr:colOff>682438</xdr:colOff>
      <xdr:row>2</xdr:row>
      <xdr:rowOff>504264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663" y="313764"/>
          <a:ext cx="1483099" cy="39220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stimates@cwiassoc.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mailto:%3cSeWilliams@starlitebuild.com" TargetMode="External"/><Relationship Id="rId7" Type="http://schemas.openxmlformats.org/officeDocument/2006/relationships/vmlDrawing" Target="../drawings/vmlDrawing5.vml"/><Relationship Id="rId2" Type="http://schemas.openxmlformats.org/officeDocument/2006/relationships/hyperlink" Target="mailto:egaray@kdconstruction.us" TargetMode="External"/><Relationship Id="rId1" Type="http://schemas.openxmlformats.org/officeDocument/2006/relationships/hyperlink" Target="mailto:maksu@formcrete.net" TargetMode="External"/><Relationship Id="rId6" Type="http://schemas.openxmlformats.org/officeDocument/2006/relationships/printerSettings" Target="../printerSettings/printerSettings17.bin"/><Relationship Id="rId5" Type="http://schemas.openxmlformats.org/officeDocument/2006/relationships/hyperlink" Target="mailto:maksu@formcrete.net" TargetMode="External"/><Relationship Id="rId4" Type="http://schemas.openxmlformats.org/officeDocument/2006/relationships/hyperlink" Target="mailto:%3cSeWilliams@starlitebuild.com"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hyperlink" Target="mailto:jfoster@ameaglefence.com" TargetMode="External"/><Relationship Id="rId2" Type="http://schemas.openxmlformats.org/officeDocument/2006/relationships/hyperlink" Target="mailto:signatureprivacywalls@gmail.com" TargetMode="External"/><Relationship Id="rId1" Type="http://schemas.openxmlformats.org/officeDocument/2006/relationships/hyperlink" Target="tel:17272372495" TargetMode="External"/><Relationship Id="rId6" Type="http://schemas.openxmlformats.org/officeDocument/2006/relationships/printerSettings" Target="../printerSettings/printerSettings24.bin"/><Relationship Id="rId5" Type="http://schemas.openxmlformats.org/officeDocument/2006/relationships/hyperlink" Target="mailto:%3cchris@permacastwalls.com" TargetMode="External"/><Relationship Id="rId4" Type="http://schemas.openxmlformats.org/officeDocument/2006/relationships/hyperlink" Target="mailto:bids@caststoneinternational.com" TargetMode="External"/></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5.bin"/><Relationship Id="rId3" Type="http://schemas.openxmlformats.org/officeDocument/2006/relationships/hyperlink" Target="mailto:%3cmteston@titanstone.com" TargetMode="External"/><Relationship Id="rId7" Type="http://schemas.openxmlformats.org/officeDocument/2006/relationships/hyperlink" Target="mailto:%3cmteston@titanstone.com" TargetMode="External"/><Relationship Id="rId2" Type="http://schemas.openxmlformats.org/officeDocument/2006/relationships/hyperlink" Target="mailto:bids@caststoneinternational.com" TargetMode="External"/><Relationship Id="rId1" Type="http://schemas.openxmlformats.org/officeDocument/2006/relationships/hyperlink" Target="mailto:steven.flstone@gmail.com" TargetMode="External"/><Relationship Id="rId6" Type="http://schemas.openxmlformats.org/officeDocument/2006/relationships/hyperlink" Target="mailto:wily@libertycastingstone.com" TargetMode="External"/><Relationship Id="rId5" Type="http://schemas.openxmlformats.org/officeDocument/2006/relationships/hyperlink" Target="mailto:steve@jsplasteringinc.com" TargetMode="External"/><Relationship Id="rId10" Type="http://schemas.openxmlformats.org/officeDocument/2006/relationships/comments" Target="../comments6.xml"/><Relationship Id="rId4" Type="http://schemas.openxmlformats.org/officeDocument/2006/relationships/hyperlink" Target="mailto:Paul@marbon.com" TargetMode="External"/><Relationship Id="rId9" Type="http://schemas.openxmlformats.org/officeDocument/2006/relationships/vmlDrawing" Target="../drawings/vmlDrawing6.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hyperlink" Target="mailto:lmontes@coastalmetal.biz" TargetMode="External"/><Relationship Id="rId7" Type="http://schemas.openxmlformats.org/officeDocument/2006/relationships/vmlDrawing" Target="../drawings/vmlDrawing7.vml"/><Relationship Id="rId2" Type="http://schemas.openxmlformats.org/officeDocument/2006/relationships/hyperlink" Target="mailto:chris.jones@grecorailings.com" TargetMode="External"/><Relationship Id="rId1" Type="http://schemas.openxmlformats.org/officeDocument/2006/relationships/hyperlink" Target="mailto:chris@cacocf.com" TargetMode="External"/><Relationship Id="rId6" Type="http://schemas.openxmlformats.org/officeDocument/2006/relationships/printerSettings" Target="../printerSettings/printerSettings28.bin"/><Relationship Id="rId5" Type="http://schemas.openxmlformats.org/officeDocument/2006/relationships/hyperlink" Target="mailto:vfernandez@aawimpact.com" TargetMode="External"/><Relationship Id="rId4" Type="http://schemas.openxmlformats.org/officeDocument/2006/relationships/hyperlink" Target="mailto:drodriguez@biwiron.com"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mailto:lmontes@coastalmetal.biz" TargetMode="External"/><Relationship Id="rId1" Type="http://schemas.openxmlformats.org/officeDocument/2006/relationships/hyperlink" Target="mailto:chris.jones@grecorailings.com" TargetMode="External"/></Relationships>
</file>

<file path=xl/worksheets/_rels/sheet3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architecturaldepot.com/ELSQEM.html"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lmontes@coastalmetal.biz" TargetMode="External"/><Relationship Id="rId13" Type="http://schemas.openxmlformats.org/officeDocument/2006/relationships/printerSettings" Target="../printerSettings/printerSettings35.bin"/><Relationship Id="rId3" Type="http://schemas.openxmlformats.org/officeDocument/2006/relationships/hyperlink" Target="mailto:sales@hollandfiberglass.com" TargetMode="External"/><Relationship Id="rId7" Type="http://schemas.openxmlformats.org/officeDocument/2006/relationships/hyperlink" Target="mailto:estimating5@theawningfactory.com" TargetMode="External"/><Relationship Id="rId12" Type="http://schemas.openxmlformats.org/officeDocument/2006/relationships/hyperlink" Target="mailto:vfernandez@aawimpact.com" TargetMode="External"/><Relationship Id="rId2" Type="http://schemas.openxmlformats.org/officeDocument/2006/relationships/hyperlink" Target="mailto:drodriguez@biwiron.com" TargetMode="External"/><Relationship Id="rId1" Type="http://schemas.openxmlformats.org/officeDocument/2006/relationships/hyperlink" Target="mailto:chris@cacocf.com" TargetMode="External"/><Relationship Id="rId6" Type="http://schemas.openxmlformats.org/officeDocument/2006/relationships/hyperlink" Target="mailto:estimating5@theawningfactory.com" TargetMode="External"/><Relationship Id="rId11" Type="http://schemas.openxmlformats.org/officeDocument/2006/relationships/hyperlink" Target="mailto:estimating5@theawningfactory.com" TargetMode="External"/><Relationship Id="rId5" Type="http://schemas.openxmlformats.org/officeDocument/2006/relationships/hyperlink" Target="mailto:lmontes@coastalmetal.biz" TargetMode="External"/><Relationship Id="rId15" Type="http://schemas.openxmlformats.org/officeDocument/2006/relationships/comments" Target="../comments9.xml"/><Relationship Id="rId10" Type="http://schemas.openxmlformats.org/officeDocument/2006/relationships/hyperlink" Target="mailto:estimating5@theawningfactory.com" TargetMode="External"/><Relationship Id="rId4" Type="http://schemas.openxmlformats.org/officeDocument/2006/relationships/hyperlink" Target="mailto:%3cjake@architecturalmall.com" TargetMode="External"/><Relationship Id="rId9" Type="http://schemas.openxmlformats.org/officeDocument/2006/relationships/hyperlink" Target="mailto:drodriguez@biwiron.com" TargetMode="External"/><Relationship Id="rId14" Type="http://schemas.openxmlformats.org/officeDocument/2006/relationships/vmlDrawing" Target="../drawings/vmlDrawing9.vm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architecturaldepot.com/ELSQEM.html"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8" Type="http://schemas.openxmlformats.org/officeDocument/2006/relationships/printerSettings" Target="../printerSettings/printerSettings38.bin"/><Relationship Id="rId3" Type="http://schemas.openxmlformats.org/officeDocument/2006/relationships/hyperlink" Target="mailto:romuloe@bcgius.com" TargetMode="External"/><Relationship Id="rId7" Type="http://schemas.openxmlformats.org/officeDocument/2006/relationships/hyperlink" Target="mailto:daniel@ridgwaytruss.com%3e" TargetMode="External"/><Relationship Id="rId2" Type="http://schemas.openxmlformats.org/officeDocument/2006/relationships/hyperlink" Target="mailto:daniel@ridgwaytruss.com%3e" TargetMode="External"/><Relationship Id="rId1" Type="http://schemas.openxmlformats.org/officeDocument/2006/relationships/hyperlink" Target="mailto:jim.thomas@a1globalholdings.com" TargetMode="External"/><Relationship Id="rId6" Type="http://schemas.openxmlformats.org/officeDocument/2006/relationships/hyperlink" Target="mailto:%3cerec.erickson@bldr.com%3e" TargetMode="External"/><Relationship Id="rId5" Type="http://schemas.openxmlformats.org/officeDocument/2006/relationships/hyperlink" Target="mailto:daniel@ridgwaytruss.com%3e" TargetMode="External"/><Relationship Id="rId4" Type="http://schemas.openxmlformats.org/officeDocument/2006/relationships/hyperlink" Target="mailto:%3cerec.erickson@bldr.com%3e"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mailto:preston@choicedoor.com" TargetMode="External"/><Relationship Id="rId7" Type="http://schemas.openxmlformats.org/officeDocument/2006/relationships/printerSettings" Target="../printerSettings/printerSettings39.bin"/><Relationship Id="rId2" Type="http://schemas.openxmlformats.org/officeDocument/2006/relationships/hyperlink" Target="mailto:guillermo.santiago@buildwithbmc.com" TargetMode="External"/><Relationship Id="rId1" Type="http://schemas.openxmlformats.org/officeDocument/2006/relationships/hyperlink" Target="mailto:rwaggoner@nationalmillworkinc.com" TargetMode="External"/><Relationship Id="rId6" Type="http://schemas.openxmlformats.org/officeDocument/2006/relationships/hyperlink" Target="mailto:lsayan@etiflorida.com" TargetMode="External"/><Relationship Id="rId5" Type="http://schemas.openxmlformats.org/officeDocument/2006/relationships/hyperlink" Target="mailto:brandon.smith@terson.us" TargetMode="External"/><Relationship Id="rId4" Type="http://schemas.openxmlformats.org/officeDocument/2006/relationships/hyperlink" Target="mailto:rwaggoner@nationalmillworkinc.com" TargetMode="Externa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dmaddux@advancedmillwork.net" TargetMode="External"/><Relationship Id="rId2" Type="http://schemas.openxmlformats.org/officeDocument/2006/relationships/hyperlink" Target="mailto:john@cflmillwork.com" TargetMode="External"/><Relationship Id="rId1" Type="http://schemas.openxmlformats.org/officeDocument/2006/relationships/hyperlink" Target="mailto:sales@borgzinner.com" TargetMode="External"/><Relationship Id="rId6" Type="http://schemas.openxmlformats.org/officeDocument/2006/relationships/comments" Target="../comments10.xml"/><Relationship Id="rId5" Type="http://schemas.openxmlformats.org/officeDocument/2006/relationships/vmlDrawing" Target="../drawings/vmlDrawing10.v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hh@synergyfoam.com" TargetMode="External"/><Relationship Id="rId7" Type="http://schemas.openxmlformats.org/officeDocument/2006/relationships/printerSettings" Target="../printerSettings/printerSettings43.bin"/><Relationship Id="rId2" Type="http://schemas.openxmlformats.org/officeDocument/2006/relationships/hyperlink" Target="mailto:k.garris@cqinsulation.com" TargetMode="External"/><Relationship Id="rId1" Type="http://schemas.openxmlformats.org/officeDocument/2006/relationships/hyperlink" Target="mailto:estimating@dennaouiinc.com" TargetMode="External"/><Relationship Id="rId6" Type="http://schemas.openxmlformats.org/officeDocument/2006/relationships/hyperlink" Target="mailto:endy.samaniego@truteam.com" TargetMode="External"/><Relationship Id="rId5" Type="http://schemas.openxmlformats.org/officeDocument/2006/relationships/hyperlink" Target="mailto:mac@leedinsulation.net" TargetMode="External"/><Relationship Id="rId4" Type="http://schemas.openxmlformats.org/officeDocument/2006/relationships/hyperlink" Target="mailto:r.desilva@d7contractors.com"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mailto:r.desilva@d7contractors.com" TargetMode="External"/><Relationship Id="rId2" Type="http://schemas.openxmlformats.org/officeDocument/2006/relationships/hyperlink" Target="mailto:estimating@tropicfirepro.com" TargetMode="External"/><Relationship Id="rId1" Type="http://schemas.openxmlformats.org/officeDocument/2006/relationships/hyperlink" Target="mailto:rbecker@statelinefire.com" TargetMode="External"/><Relationship Id="rId6" Type="http://schemas.openxmlformats.org/officeDocument/2006/relationships/printerSettings" Target="../printerSettings/printerSettings44.bin"/><Relationship Id="rId5" Type="http://schemas.openxmlformats.org/officeDocument/2006/relationships/hyperlink" Target="mailto:jgreco@thermaseal.net" TargetMode="External"/><Relationship Id="rId4" Type="http://schemas.openxmlformats.org/officeDocument/2006/relationships/hyperlink" Target="mailto:estimating@dennaouiinc.com"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3cMatt@wolverineroofers.com" TargetMode="External"/><Relationship Id="rId13" Type="http://schemas.openxmlformats.org/officeDocument/2006/relationships/hyperlink" Target="mailto:zrrofllc@gmail.com" TargetMode="External"/><Relationship Id="rId18" Type="http://schemas.openxmlformats.org/officeDocument/2006/relationships/comments" Target="../comments11.xml"/><Relationship Id="rId3" Type="http://schemas.openxmlformats.org/officeDocument/2006/relationships/hyperlink" Target="mailto:andrew.yusko@campanyroofing.com" TargetMode="External"/><Relationship Id="rId7" Type="http://schemas.openxmlformats.org/officeDocument/2006/relationships/hyperlink" Target="mailto:rwalker@apexroofing.net" TargetMode="External"/><Relationship Id="rId12" Type="http://schemas.openxmlformats.org/officeDocument/2006/relationships/hyperlink" Target="mailto:estimating@cellucrete.com" TargetMode="External"/><Relationship Id="rId17" Type="http://schemas.openxmlformats.org/officeDocument/2006/relationships/vmlDrawing" Target="../drawings/vmlDrawing11.vml"/><Relationship Id="rId2" Type="http://schemas.openxmlformats.org/officeDocument/2006/relationships/hyperlink" Target="mailto:scottrell@verobeachroofing.com%3e" TargetMode="External"/><Relationship Id="rId16" Type="http://schemas.openxmlformats.org/officeDocument/2006/relationships/printerSettings" Target="../printerSettings/printerSettings45.bin"/><Relationship Id="rId1" Type="http://schemas.openxmlformats.org/officeDocument/2006/relationships/hyperlink" Target="mailto:estimating@cellucrete.com" TargetMode="External"/><Relationship Id="rId6" Type="http://schemas.openxmlformats.org/officeDocument/2006/relationships/hyperlink" Target="mailto:jessica@evansroof.com" TargetMode="External"/><Relationship Id="rId11" Type="http://schemas.openxmlformats.org/officeDocument/2006/relationships/hyperlink" Target="mailto:%3cMatt@wolverineroofers.com" TargetMode="External"/><Relationship Id="rId5" Type="http://schemas.openxmlformats.org/officeDocument/2006/relationships/hyperlink" Target="mailto:jeff.thomas@truteam.com" TargetMode="External"/><Relationship Id="rId15" Type="http://schemas.openxmlformats.org/officeDocument/2006/relationships/hyperlink" Target="mailto:estimating@cellucrete.com" TargetMode="External"/><Relationship Id="rId10" Type="http://schemas.openxmlformats.org/officeDocument/2006/relationships/hyperlink" Target="mailto:sam@walshroo&#64257;ng.com" TargetMode="External"/><Relationship Id="rId4" Type="http://schemas.openxmlformats.org/officeDocument/2006/relationships/hyperlink" Target="mailto:jeff.thomas@truteam.com" TargetMode="External"/><Relationship Id="rId9" Type="http://schemas.openxmlformats.org/officeDocument/2006/relationships/hyperlink" Target="mailto:lpetrunti@pa-roofing.com" TargetMode="External"/><Relationship Id="rId14" Type="http://schemas.openxmlformats.org/officeDocument/2006/relationships/hyperlink" Target="mailto:%3cMatt@wolverineroofers.com" TargetMode="External"/></Relationships>
</file>

<file path=xl/worksheets/_rels/sheet46.xml.rels><?xml version="1.0" encoding="UTF-8" standalone="yes"?>
<Relationships xmlns="http://schemas.openxmlformats.org/package/2006/relationships"><Relationship Id="rId8" Type="http://schemas.openxmlformats.org/officeDocument/2006/relationships/printerSettings" Target="../printerSettings/printerSettings46.bin"/><Relationship Id="rId3" Type="http://schemas.openxmlformats.org/officeDocument/2006/relationships/hyperlink" Target="mailto:jsalloum@mcwcompanies.com" TargetMode="External"/><Relationship Id="rId7" Type="http://schemas.openxmlformats.org/officeDocument/2006/relationships/hyperlink" Target="mailto:jose@jjcwcorp.com" TargetMode="External"/><Relationship Id="rId2" Type="http://schemas.openxmlformats.org/officeDocument/2006/relationships/hyperlink" Target="mailto:sflacaulking@comcast.net" TargetMode="External"/><Relationship Id="rId1" Type="http://schemas.openxmlformats.org/officeDocument/2006/relationships/hyperlink" Target="mailto:jose@jjcwcorp.com" TargetMode="External"/><Relationship Id="rId6" Type="http://schemas.openxmlformats.org/officeDocument/2006/relationships/hyperlink" Target="mailto:estimating@dennaouiinc.com" TargetMode="External"/><Relationship Id="rId5" Type="http://schemas.openxmlformats.org/officeDocument/2006/relationships/hyperlink" Target="mailto:danielbernhard@tritoncandw.com" TargetMode="External"/><Relationship Id="rId10" Type="http://schemas.openxmlformats.org/officeDocument/2006/relationships/comments" Target="../comments12.xml"/><Relationship Id="rId4" Type="http://schemas.openxmlformats.org/officeDocument/2006/relationships/hyperlink" Target="mailto:r.desilva@d7contractors.com" TargetMode="External"/><Relationship Id="rId9" Type="http://schemas.openxmlformats.org/officeDocument/2006/relationships/vmlDrawing" Target="../drawings/vmlDrawing12.v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8" Type="http://schemas.openxmlformats.org/officeDocument/2006/relationships/hyperlink" Target="mailto:lsayan@etiflorida.com" TargetMode="External"/><Relationship Id="rId3" Type="http://schemas.openxmlformats.org/officeDocument/2006/relationships/hyperlink" Target="mailto:javier@jdridoors.com" TargetMode="External"/><Relationship Id="rId7" Type="http://schemas.openxmlformats.org/officeDocument/2006/relationships/hyperlink" Target="mailto:rwaggoner@nationalmillworkinc.com" TargetMode="External"/><Relationship Id="rId12" Type="http://schemas.openxmlformats.org/officeDocument/2006/relationships/comments" Target="../comments13.xml"/><Relationship Id="rId2" Type="http://schemas.openxmlformats.org/officeDocument/2006/relationships/hyperlink" Target="mailto:guillermo.santiago@buildwithbmc.com" TargetMode="External"/><Relationship Id="rId1" Type="http://schemas.openxmlformats.org/officeDocument/2006/relationships/hyperlink" Target="mailto:rwaggoner@nationalmillworkinc.com" TargetMode="External"/><Relationship Id="rId6" Type="http://schemas.openxmlformats.org/officeDocument/2006/relationships/hyperlink" Target="mailto:brandon.smith@terson.us" TargetMode="External"/><Relationship Id="rId11" Type="http://schemas.openxmlformats.org/officeDocument/2006/relationships/vmlDrawing" Target="../drawings/vmlDrawing13.vml"/><Relationship Id="rId5" Type="http://schemas.openxmlformats.org/officeDocument/2006/relationships/hyperlink" Target="mailto:preston@choicedoor.com" TargetMode="External"/><Relationship Id="rId10" Type="http://schemas.openxmlformats.org/officeDocument/2006/relationships/printerSettings" Target="../printerSettings/printerSettings49.bin"/><Relationship Id="rId4" Type="http://schemas.openxmlformats.org/officeDocument/2006/relationships/hyperlink" Target="mailto:Estimating@ETIFlorida.com" TargetMode="External"/><Relationship Id="rId9" Type="http://schemas.openxmlformats.org/officeDocument/2006/relationships/hyperlink" Target="mailto:brandon.smith@terson.us" TargetMode="Externa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hyperlink" Target="mailto:paul@generalgaragedoor.com" TargetMode="External"/><Relationship Id="rId2" Type="http://schemas.openxmlformats.org/officeDocument/2006/relationships/hyperlink" Target="mailto:carla@allamericandoors.com" TargetMode="External"/><Relationship Id="rId1" Type="http://schemas.openxmlformats.org/officeDocument/2006/relationships/hyperlink" Target="mailto:mail@rolling-door.com%3e" TargetMode="External"/><Relationship Id="rId6" Type="http://schemas.openxmlformats.org/officeDocument/2006/relationships/printerSettings" Target="../printerSettings/printerSettings51.bin"/><Relationship Id="rId5" Type="http://schemas.openxmlformats.org/officeDocument/2006/relationships/hyperlink" Target="mailto:%3ca.lowry@cqinsulation.com" TargetMode="External"/><Relationship Id="rId4" Type="http://schemas.openxmlformats.org/officeDocument/2006/relationships/hyperlink" Target="mailto:ileana@industrialdoorsolution.com%3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sales@sapwindows.com" TargetMode="External"/><Relationship Id="rId13" Type="http://schemas.openxmlformats.org/officeDocument/2006/relationships/hyperlink" Target="mailto:jake@a-christianglass.com" TargetMode="External"/><Relationship Id="rId3" Type="http://schemas.openxmlformats.org/officeDocument/2006/relationships/hyperlink" Target="mailto:vfernandez@aawimpact.com" TargetMode="External"/><Relationship Id="rId7" Type="http://schemas.openxmlformats.org/officeDocument/2006/relationships/hyperlink" Target="mailto:giovanni@uwdinstalls.com" TargetMode="External"/><Relationship Id="rId12" Type="http://schemas.openxmlformats.org/officeDocument/2006/relationships/hyperlink" Target="mailto:jake@a-christianglass.com" TargetMode="External"/><Relationship Id="rId2" Type="http://schemas.openxmlformats.org/officeDocument/2006/relationships/hyperlink" Target="mailto:giovanni@uwdinstalls.com" TargetMode="External"/><Relationship Id="rId1" Type="http://schemas.openxmlformats.org/officeDocument/2006/relationships/hyperlink" Target="mailto:jjensen@slidingdoorco.com" TargetMode="External"/><Relationship Id="rId6" Type="http://schemas.openxmlformats.org/officeDocument/2006/relationships/hyperlink" Target="mailto:giovanni@uwdinstalls.com" TargetMode="External"/><Relationship Id="rId11" Type="http://schemas.openxmlformats.org/officeDocument/2006/relationships/hyperlink" Target="mailto:%3cjohnny@div8windowsanddoors.com" TargetMode="External"/><Relationship Id="rId5" Type="http://schemas.openxmlformats.org/officeDocument/2006/relationships/hyperlink" Target="mailto:%3calex@newimagegc.com%3e" TargetMode="External"/><Relationship Id="rId15" Type="http://schemas.openxmlformats.org/officeDocument/2006/relationships/printerSettings" Target="../printerSettings/printerSettings52.bin"/><Relationship Id="rId10" Type="http://schemas.openxmlformats.org/officeDocument/2006/relationships/hyperlink" Target="mailto:sullivan@intuswindows.com" TargetMode="External"/><Relationship Id="rId4" Type="http://schemas.openxmlformats.org/officeDocument/2006/relationships/hyperlink" Target="mailto:esteban@infinitewindows.em" TargetMode="External"/><Relationship Id="rId9" Type="http://schemas.openxmlformats.org/officeDocument/2006/relationships/hyperlink" Target="mailto:vfernandez@aawimpact.com" TargetMode="External"/><Relationship Id="rId14" Type="http://schemas.openxmlformats.org/officeDocument/2006/relationships/hyperlink" Target="mailto:vfernandez@aawimpact.com"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8" Type="http://schemas.openxmlformats.org/officeDocument/2006/relationships/comments" Target="../comments14.xml"/><Relationship Id="rId3" Type="http://schemas.openxmlformats.org/officeDocument/2006/relationships/hyperlink" Target="mailto:hanna@asterakb.com" TargetMode="External"/><Relationship Id="rId7" Type="http://schemas.openxmlformats.org/officeDocument/2006/relationships/vmlDrawing" Target="../drawings/vmlDrawing14.vml"/><Relationship Id="rId2" Type="http://schemas.openxmlformats.org/officeDocument/2006/relationships/hyperlink" Target="mailto:jeff.thomas@truteam.com" TargetMode="External"/><Relationship Id="rId1" Type="http://schemas.openxmlformats.org/officeDocument/2006/relationships/hyperlink" Target="mailto:rwaggoner@nationalmillworkinc.com" TargetMode="External"/><Relationship Id="rId6" Type="http://schemas.openxmlformats.org/officeDocument/2006/relationships/printerSettings" Target="../printerSettings/printerSettings54.bin"/><Relationship Id="rId5" Type="http://schemas.openxmlformats.org/officeDocument/2006/relationships/hyperlink" Target="mailto:eddy@granitestatespecialties.com" TargetMode="External"/><Relationship Id="rId4" Type="http://schemas.openxmlformats.org/officeDocument/2006/relationships/hyperlink" Target="mailto:Michael@nationalkb.com"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joe@studdrywall.com" TargetMode="External"/><Relationship Id="rId13" Type="http://schemas.openxmlformats.org/officeDocument/2006/relationships/hyperlink" Target="mailto:rob@mrm.group" TargetMode="External"/><Relationship Id="rId18" Type="http://schemas.openxmlformats.org/officeDocument/2006/relationships/hyperlink" Target="mailto:james@doradodrywall.com" TargetMode="External"/><Relationship Id="rId3" Type="http://schemas.openxmlformats.org/officeDocument/2006/relationships/hyperlink" Target="mailto:james@doradodrywall.com" TargetMode="External"/><Relationship Id="rId21" Type="http://schemas.openxmlformats.org/officeDocument/2006/relationships/printerSettings" Target="../printerSettings/printerSettings55.bin"/><Relationship Id="rId7" Type="http://schemas.openxmlformats.org/officeDocument/2006/relationships/hyperlink" Target="mailto:steve@jsplasteringinc.com" TargetMode="External"/><Relationship Id="rId12" Type="http://schemas.openxmlformats.org/officeDocument/2006/relationships/hyperlink" Target="mailto:rpuranik@griffinstucco.com" TargetMode="External"/><Relationship Id="rId17" Type="http://schemas.openxmlformats.org/officeDocument/2006/relationships/hyperlink" Target="mailto:rpuranik@griffinstucco.com" TargetMode="External"/><Relationship Id="rId2" Type="http://schemas.openxmlformats.org/officeDocument/2006/relationships/hyperlink" Target="mailto:estimating@rbplasteringinc.com" TargetMode="External"/><Relationship Id="rId16" Type="http://schemas.openxmlformats.org/officeDocument/2006/relationships/hyperlink" Target="mailto:estimating@rbplasteringinc.com" TargetMode="External"/><Relationship Id="rId20" Type="http://schemas.openxmlformats.org/officeDocument/2006/relationships/hyperlink" Target="mailto:estimating@rbplasteringinc.com" TargetMode="External"/><Relationship Id="rId1" Type="http://schemas.openxmlformats.org/officeDocument/2006/relationships/hyperlink" Target="mailto:estimating@lionconstructioncompany.com" TargetMode="External"/><Relationship Id="rId6" Type="http://schemas.openxmlformats.org/officeDocument/2006/relationships/hyperlink" Target="mailto:estimating@lionconstructioncompany.com" TargetMode="External"/><Relationship Id="rId11" Type="http://schemas.openxmlformats.org/officeDocument/2006/relationships/hyperlink" Target="mailto:ppiconstruction22@gmail.com" TargetMode="External"/><Relationship Id="rId5" Type="http://schemas.openxmlformats.org/officeDocument/2006/relationships/hyperlink" Target="mailto:estimating@lionconstructioncompany.com" TargetMode="External"/><Relationship Id="rId15" Type="http://schemas.openxmlformats.org/officeDocument/2006/relationships/hyperlink" Target="mailto:ppiconstruction22@gmail.com" TargetMode="External"/><Relationship Id="rId23" Type="http://schemas.openxmlformats.org/officeDocument/2006/relationships/comments" Target="../comments15.xml"/><Relationship Id="rId10" Type="http://schemas.openxmlformats.org/officeDocument/2006/relationships/hyperlink" Target="mailto:rpuranik@griffinstucco.com" TargetMode="External"/><Relationship Id="rId19" Type="http://schemas.openxmlformats.org/officeDocument/2006/relationships/hyperlink" Target="mailto:ppiconstruction22@gmail.com" TargetMode="External"/><Relationship Id="rId4" Type="http://schemas.openxmlformats.org/officeDocument/2006/relationships/hyperlink" Target="mailto:admin@Welchplastering.com" TargetMode="External"/><Relationship Id="rId9" Type="http://schemas.openxmlformats.org/officeDocument/2006/relationships/hyperlink" Target="mailto:darrellg@advancedstucco.com" TargetMode="External"/><Relationship Id="rId14" Type="http://schemas.openxmlformats.org/officeDocument/2006/relationships/hyperlink" Target="mailto:rob@mrm.group" TargetMode="External"/><Relationship Id="rId22" Type="http://schemas.openxmlformats.org/officeDocument/2006/relationships/vmlDrawing" Target="../drawings/vmlDrawing15.vm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james@doradodrywall.com" TargetMode="External"/><Relationship Id="rId7" Type="http://schemas.openxmlformats.org/officeDocument/2006/relationships/hyperlink" Target="mailto:brian@beandrywall.net" TargetMode="External"/><Relationship Id="rId2" Type="http://schemas.openxmlformats.org/officeDocument/2006/relationships/hyperlink" Target="mailto:aboksiner@kdconstruction.us" TargetMode="External"/><Relationship Id="rId1" Type="http://schemas.openxmlformats.org/officeDocument/2006/relationships/hyperlink" Target="mailto:rmello@everlastdrywall.com" TargetMode="External"/><Relationship Id="rId6" Type="http://schemas.openxmlformats.org/officeDocument/2006/relationships/hyperlink" Target="mailto:bids@advdry.com" TargetMode="External"/><Relationship Id="rId5" Type="http://schemas.openxmlformats.org/officeDocument/2006/relationships/hyperlink" Target="mailto:joe@studdrywall.com" TargetMode="External"/><Relationship Id="rId10" Type="http://schemas.openxmlformats.org/officeDocument/2006/relationships/comments" Target="../comments16.xml"/><Relationship Id="rId4" Type="http://schemas.openxmlformats.org/officeDocument/2006/relationships/hyperlink" Target="mailto:eric@rtesllc.com" TargetMode="External"/><Relationship Id="rId9" Type="http://schemas.openxmlformats.org/officeDocument/2006/relationships/vmlDrawing" Target="../drawings/vmlDrawing16.vml"/></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8" Type="http://schemas.openxmlformats.org/officeDocument/2006/relationships/hyperlink" Target="mailto:Taylor.Hodge@tccmultifamily.com" TargetMode="External"/><Relationship Id="rId13" Type="http://schemas.openxmlformats.org/officeDocument/2006/relationships/hyperlink" Target="mailto:richard@horizontileinc.com" TargetMode="External"/><Relationship Id="rId18" Type="http://schemas.openxmlformats.org/officeDocument/2006/relationships/hyperlink" Target="mailto:Taylor.Hodge@tccmultifamily.com" TargetMode="External"/><Relationship Id="rId3" Type="http://schemas.openxmlformats.org/officeDocument/2006/relationships/hyperlink" Target="mailto:Adlinc@JackWalshTrade.com" TargetMode="External"/><Relationship Id="rId21" Type="http://schemas.openxmlformats.org/officeDocument/2006/relationships/hyperlink" Target="mailto:yanetm@gpconstructionco.com" TargetMode="External"/><Relationship Id="rId7" Type="http://schemas.openxmlformats.org/officeDocument/2006/relationships/hyperlink" Target="mailto:Chelsy@eastcoastfl.com" TargetMode="External"/><Relationship Id="rId12" Type="http://schemas.openxmlformats.org/officeDocument/2006/relationships/hyperlink" Target="mailto:yanetm@gpconstructionco.com" TargetMode="External"/><Relationship Id="rId17" Type="http://schemas.openxmlformats.org/officeDocument/2006/relationships/hyperlink" Target="mailto:treynolds@spragginsinc.com" TargetMode="External"/><Relationship Id="rId2" Type="http://schemas.openxmlformats.org/officeDocument/2006/relationships/hyperlink" Target="mailto:richard@horizontileinc.com" TargetMode="External"/><Relationship Id="rId16" Type="http://schemas.openxmlformats.org/officeDocument/2006/relationships/hyperlink" Target="mailto:albin@americanflooringservices.com" TargetMode="External"/><Relationship Id="rId20" Type="http://schemas.openxmlformats.org/officeDocument/2006/relationships/hyperlink" Target="mailto:treynolds@spragginsinc.com" TargetMode="External"/><Relationship Id="rId1" Type="http://schemas.openxmlformats.org/officeDocument/2006/relationships/hyperlink" Target="mailto:yanetm@gpconstructionco.com" TargetMode="External"/><Relationship Id="rId6" Type="http://schemas.openxmlformats.org/officeDocument/2006/relationships/hyperlink" Target="mailto:Liz.Lambiro@resource4floors.com" TargetMode="External"/><Relationship Id="rId11" Type="http://schemas.openxmlformats.org/officeDocument/2006/relationships/hyperlink" Target="mailto:albin@americanflooringservices.com" TargetMode="External"/><Relationship Id="rId24" Type="http://schemas.openxmlformats.org/officeDocument/2006/relationships/comments" Target="../comments17.xml"/><Relationship Id="rId5" Type="http://schemas.openxmlformats.org/officeDocument/2006/relationships/hyperlink" Target="mailto:treynolds@spragginsinc.com" TargetMode="External"/><Relationship Id="rId15" Type="http://schemas.openxmlformats.org/officeDocument/2006/relationships/hyperlink" Target="mailto:Taylor.Hodge@tccmultifamily.com" TargetMode="External"/><Relationship Id="rId23" Type="http://schemas.openxmlformats.org/officeDocument/2006/relationships/vmlDrawing" Target="../drawings/vmlDrawing17.vml"/><Relationship Id="rId10" Type="http://schemas.openxmlformats.org/officeDocument/2006/relationships/hyperlink" Target="mailto:Taylor.Hodge@tccmultifamily.com" TargetMode="External"/><Relationship Id="rId19" Type="http://schemas.openxmlformats.org/officeDocument/2006/relationships/hyperlink" Target="mailto:albin@americanflooringservices.com" TargetMode="External"/><Relationship Id="rId4" Type="http://schemas.openxmlformats.org/officeDocument/2006/relationships/hyperlink" Target="mailto:yanetm@gpconstructionco.com" TargetMode="External"/><Relationship Id="rId9" Type="http://schemas.openxmlformats.org/officeDocument/2006/relationships/hyperlink" Target="mailto:Bgiles@procarpetinc.com" TargetMode="External"/><Relationship Id="rId14" Type="http://schemas.openxmlformats.org/officeDocument/2006/relationships/hyperlink" Target="mailto:Taylor.Hodge@tccmultifamily.com" TargetMode="External"/><Relationship Id="rId22"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8" Type="http://schemas.openxmlformats.org/officeDocument/2006/relationships/hyperlink" Target="mailto:MalikR@ilgpainting.com" TargetMode="External"/><Relationship Id="rId13" Type="http://schemas.openxmlformats.org/officeDocument/2006/relationships/hyperlink" Target="mailto:rob@doradodrywall.com" TargetMode="External"/><Relationship Id="rId3" Type="http://schemas.openxmlformats.org/officeDocument/2006/relationships/hyperlink" Target="mailto:estimating@colorfactorypaint.com" TargetMode="External"/><Relationship Id="rId7" Type="http://schemas.openxmlformats.org/officeDocument/2006/relationships/hyperlink" Target="mailto:sales@sunstatecontractors.com" TargetMode="External"/><Relationship Id="rId12" Type="http://schemas.openxmlformats.org/officeDocument/2006/relationships/hyperlink" Target="mailto:don@talbotcompanies.com" TargetMode="External"/><Relationship Id="rId2" Type="http://schemas.openxmlformats.org/officeDocument/2006/relationships/hyperlink" Target="mailto:callahan@rpgfl.com" TargetMode="External"/><Relationship Id="rId16" Type="http://schemas.openxmlformats.org/officeDocument/2006/relationships/printerSettings" Target="../printerSettings/printerSettings63.bin"/><Relationship Id="rId1" Type="http://schemas.openxmlformats.org/officeDocument/2006/relationships/hyperlink" Target="mailto:don@talbotcompanies.com" TargetMode="External"/><Relationship Id="rId6" Type="http://schemas.openxmlformats.org/officeDocument/2006/relationships/hyperlink" Target="mailto:rob@doradodrywall.com" TargetMode="External"/><Relationship Id="rId11" Type="http://schemas.openxmlformats.org/officeDocument/2006/relationships/hyperlink" Target="mailto:ppiconstruction22@gmail.com" TargetMode="External"/><Relationship Id="rId5" Type="http://schemas.openxmlformats.org/officeDocument/2006/relationships/hyperlink" Target="mailto:renercrservices@hotmail.com" TargetMode="External"/><Relationship Id="rId15" Type="http://schemas.openxmlformats.org/officeDocument/2006/relationships/hyperlink" Target="mailto:don@talbotcompanies.com" TargetMode="External"/><Relationship Id="rId10" Type="http://schemas.openxmlformats.org/officeDocument/2006/relationships/hyperlink" Target="mailto:joe@studdrywall.com" TargetMode="External"/><Relationship Id="rId4" Type="http://schemas.openxmlformats.org/officeDocument/2006/relationships/hyperlink" Target="mailto:estimating@newtouchofcolorcorp.com" TargetMode="External"/><Relationship Id="rId9" Type="http://schemas.openxmlformats.org/officeDocument/2006/relationships/hyperlink" Target="mailto:estimating@colorfactorypaint.com" TargetMode="External"/><Relationship Id="rId14" Type="http://schemas.openxmlformats.org/officeDocument/2006/relationships/hyperlink" Target="mailto:estimating@colorfactorypaint.com" TargetMode="Externa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3" Type="http://schemas.openxmlformats.org/officeDocument/2006/relationships/hyperlink" Target="mailto:Michael@nationalkb.com" TargetMode="External"/><Relationship Id="rId7" Type="http://schemas.openxmlformats.org/officeDocument/2006/relationships/printerSettings" Target="../printerSettings/printerSettings67.bin"/><Relationship Id="rId2" Type="http://schemas.openxmlformats.org/officeDocument/2006/relationships/hyperlink" Target="mailto:eddy@granitestatespecialties.com" TargetMode="External"/><Relationship Id="rId1" Type="http://schemas.openxmlformats.org/officeDocument/2006/relationships/hyperlink" Target="mailto:hanna@asterakb.com" TargetMode="External"/><Relationship Id="rId6" Type="http://schemas.openxmlformats.org/officeDocument/2006/relationships/hyperlink" Target="mailto:%7BE-mail%7D" TargetMode="External"/><Relationship Id="rId5" Type="http://schemas.openxmlformats.org/officeDocument/2006/relationships/hyperlink" Target="mailto:%7BE-mail%7D" TargetMode="External"/><Relationship Id="rId4" Type="http://schemas.openxmlformats.org/officeDocument/2006/relationships/hyperlink" Target="mailto:%3clgraef@etiflorida.com%3e" TargetMode="Externa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hyperlink" Target="mailto:Michael@nationalkb.com" TargetMode="External"/><Relationship Id="rId2" Type="http://schemas.openxmlformats.org/officeDocument/2006/relationships/hyperlink" Target="mailto:hanna@asterakb.com" TargetMode="External"/><Relationship Id="rId1" Type="http://schemas.openxmlformats.org/officeDocument/2006/relationships/hyperlink" Target="mailto:jeff.thomas@truteam.com" TargetMode="External"/><Relationship Id="rId6" Type="http://schemas.openxmlformats.org/officeDocument/2006/relationships/printerSettings" Target="../printerSettings/printerSettings69.bin"/><Relationship Id="rId5" Type="http://schemas.openxmlformats.org/officeDocument/2006/relationships/hyperlink" Target="mailto:sergey@isqinteriors.com" TargetMode="External"/><Relationship Id="rId4" Type="http://schemas.openxmlformats.org/officeDocument/2006/relationships/hyperlink" Target="mailto:eddy@granitestatespecialties.com" TargetMode="Externa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3" Type="http://schemas.openxmlformats.org/officeDocument/2006/relationships/hyperlink" Target="mailto:eddy@granitestatespecialties.com" TargetMode="External"/><Relationship Id="rId2" Type="http://schemas.openxmlformats.org/officeDocument/2006/relationships/hyperlink" Target="mailto:hanna@asterakb.com" TargetMode="External"/><Relationship Id="rId1" Type="http://schemas.openxmlformats.org/officeDocument/2006/relationships/hyperlink" Target="mailto:%7BE-mail%7D" TargetMode="External"/><Relationship Id="rId6" Type="http://schemas.openxmlformats.org/officeDocument/2006/relationships/printerSettings" Target="../printerSettings/printerSettings75.bin"/><Relationship Id="rId5" Type="http://schemas.openxmlformats.org/officeDocument/2006/relationships/hyperlink" Target="mailto:%3clgraef@etiflorida.com%3e" TargetMode="External"/><Relationship Id="rId4" Type="http://schemas.openxmlformats.org/officeDocument/2006/relationships/hyperlink" Target="mailto:Michael@nationalkb.com" TargetMode="External"/></Relationships>
</file>

<file path=xl/worksheets/_rels/sheet76.xml.rels><?xml version="1.0" encoding="UTF-8" standalone="yes"?>
<Relationships xmlns="http://schemas.openxmlformats.org/package/2006/relationships"><Relationship Id="rId3" Type="http://schemas.openxmlformats.org/officeDocument/2006/relationships/hyperlink" Target="mailto:hanna@asterakb.com" TargetMode="External"/><Relationship Id="rId2" Type="http://schemas.openxmlformats.org/officeDocument/2006/relationships/hyperlink" Target="mailto:%7BE-mail%7D" TargetMode="External"/><Relationship Id="rId1" Type="http://schemas.openxmlformats.org/officeDocument/2006/relationships/hyperlink" Target="mailto:richard@siriusmaintenance.net" TargetMode="External"/><Relationship Id="rId6" Type="http://schemas.openxmlformats.org/officeDocument/2006/relationships/printerSettings" Target="../printerSettings/printerSettings76.bin"/><Relationship Id="rId5" Type="http://schemas.openxmlformats.org/officeDocument/2006/relationships/hyperlink" Target="mailto:eddy@granitestatespecialties.com" TargetMode="External"/><Relationship Id="rId4" Type="http://schemas.openxmlformats.org/officeDocument/2006/relationships/hyperlink" Target="mailto:Michael@nationalkb.com" TargetMode="External"/></Relationships>
</file>

<file path=xl/worksheets/_rels/sheet77.xml.rels><?xml version="1.0" encoding="UTF-8" standalone="yes"?>
<Relationships xmlns="http://schemas.openxmlformats.org/package/2006/relationships"><Relationship Id="rId3" Type="http://schemas.openxmlformats.org/officeDocument/2006/relationships/hyperlink" Target="mailto:Michael@nationalkb.com" TargetMode="External"/><Relationship Id="rId7" Type="http://schemas.openxmlformats.org/officeDocument/2006/relationships/comments" Target="../comments18.xml"/><Relationship Id="rId2" Type="http://schemas.openxmlformats.org/officeDocument/2006/relationships/hyperlink" Target="mailto:sales@borgzinner.com" TargetMode="External"/><Relationship Id="rId1" Type="http://schemas.openxmlformats.org/officeDocument/2006/relationships/hyperlink" Target="mailto:jeff.thomas@truteam.com" TargetMode="External"/><Relationship Id="rId6" Type="http://schemas.openxmlformats.org/officeDocument/2006/relationships/vmlDrawing" Target="../drawings/vmlDrawing18.vml"/><Relationship Id="rId5" Type="http://schemas.openxmlformats.org/officeDocument/2006/relationships/printerSettings" Target="../printerSettings/printerSettings77.bin"/><Relationship Id="rId4" Type="http://schemas.openxmlformats.org/officeDocument/2006/relationships/hyperlink" Target="mailto:%3clgraef@etiflorida.com%3e" TargetMode="External"/></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3" Type="http://schemas.openxmlformats.org/officeDocument/2006/relationships/hyperlink" Target="mailto:jessica_koop@whirlpool.com" TargetMode="External"/><Relationship Id="rId2" Type="http://schemas.openxmlformats.org/officeDocument/2006/relationships/hyperlink" Target="mailto:sandy@ajmadison.com" TargetMode="External"/><Relationship Id="rId1" Type="http://schemas.openxmlformats.org/officeDocument/2006/relationships/hyperlink" Target="mailto:Anthony.DiPalermo@geappliances.com" TargetMode="External"/><Relationship Id="rId5" Type="http://schemas.openxmlformats.org/officeDocument/2006/relationships/printerSettings" Target="../printerSettings/printerSettings81.bin"/><Relationship Id="rId4" Type="http://schemas.openxmlformats.org/officeDocument/2006/relationships/hyperlink" Target="mailto:sandy@ajmadison.com" TargetMode="External"/></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3" Type="http://schemas.openxmlformats.org/officeDocument/2006/relationships/hyperlink" Target="mailto:Michael@nationalkb.com" TargetMode="External"/><Relationship Id="rId2" Type="http://schemas.openxmlformats.org/officeDocument/2006/relationships/hyperlink" Target="mailto:cdi@contract-decor.com" TargetMode="External"/><Relationship Id="rId1" Type="http://schemas.openxmlformats.org/officeDocument/2006/relationships/hyperlink" Target="mailto:jeff.thomas@truteam.com" TargetMode="External"/><Relationship Id="rId6" Type="http://schemas.openxmlformats.org/officeDocument/2006/relationships/printerSettings" Target="../printerSettings/printerSettings84.bin"/><Relationship Id="rId5" Type="http://schemas.openxmlformats.org/officeDocument/2006/relationships/hyperlink" Target="mailto:%3cestimating@fvicorporation.com" TargetMode="External"/><Relationship Id="rId4" Type="http://schemas.openxmlformats.org/officeDocument/2006/relationships/hyperlink" Target="mailto:%3cnswcorp@aol.com" TargetMode="External"/></Relationships>
</file>

<file path=xl/worksheets/_rels/sheet85.xml.rels><?xml version="1.0" encoding="UTF-8" standalone="yes"?>
<Relationships xmlns="http://schemas.openxmlformats.org/package/2006/relationships"><Relationship Id="rId8" Type="http://schemas.openxmlformats.org/officeDocument/2006/relationships/hyperlink" Target="mailto:mhalvorsen@leedo.com" TargetMode="External"/><Relationship Id="rId13" Type="http://schemas.openxmlformats.org/officeDocument/2006/relationships/hyperlink" Target="mailto:francisco@aprocg.com" TargetMode="External"/><Relationship Id="rId18" Type="http://schemas.openxmlformats.org/officeDocument/2006/relationships/hyperlink" Target="mailto:ealegre@heronstone.com" TargetMode="External"/><Relationship Id="rId3" Type="http://schemas.openxmlformats.org/officeDocument/2006/relationships/hyperlink" Target="mailto:francisco@aprocg.com" TargetMode="External"/><Relationship Id="rId7" Type="http://schemas.openxmlformats.org/officeDocument/2006/relationships/hyperlink" Target="mailto:mhalvorsen@leedo.com" TargetMode="External"/><Relationship Id="rId12" Type="http://schemas.openxmlformats.org/officeDocument/2006/relationships/hyperlink" Target="mailto:%3cbillr@regentcabinetsolutions.com" TargetMode="External"/><Relationship Id="rId17" Type="http://schemas.openxmlformats.org/officeDocument/2006/relationships/hyperlink" Target="mailto:Michael@nationalkb.com" TargetMode="External"/><Relationship Id="rId2" Type="http://schemas.openxmlformats.org/officeDocument/2006/relationships/hyperlink" Target="mailto:alans@alliedinteriorsolutions.com" TargetMode="External"/><Relationship Id="rId16" Type="http://schemas.openxmlformats.org/officeDocument/2006/relationships/hyperlink" Target="mailto:Michael@nationalkb.com" TargetMode="External"/><Relationship Id="rId1" Type="http://schemas.openxmlformats.org/officeDocument/2006/relationships/hyperlink" Target="mailto:Michael@nationalkb.com" TargetMode="External"/><Relationship Id="rId6" Type="http://schemas.openxmlformats.org/officeDocument/2006/relationships/hyperlink" Target="mailto:%3cbillr@regentcabinetsolutions.com" TargetMode="External"/><Relationship Id="rId11" Type="http://schemas.openxmlformats.org/officeDocument/2006/relationships/hyperlink" Target="mailto:Michael@nationalkb.com" TargetMode="External"/><Relationship Id="rId5" Type="http://schemas.openxmlformats.org/officeDocument/2006/relationships/hyperlink" Target="mailto:gibb.verjee@cosmocabinets.com" TargetMode="External"/><Relationship Id="rId15" Type="http://schemas.openxmlformats.org/officeDocument/2006/relationships/hyperlink" Target="mailto:gibb.verjee@cosmocabinets.com" TargetMode="External"/><Relationship Id="rId10" Type="http://schemas.openxmlformats.org/officeDocument/2006/relationships/hyperlink" Target="mailto:Michael@nationalkb.com" TargetMode="External"/><Relationship Id="rId19" Type="http://schemas.openxmlformats.org/officeDocument/2006/relationships/printerSettings" Target="../printerSettings/printerSettings85.bin"/><Relationship Id="rId4" Type="http://schemas.openxmlformats.org/officeDocument/2006/relationships/hyperlink" Target="mailto:treynolds@spragginsinc.com" TargetMode="External"/><Relationship Id="rId9" Type="http://schemas.openxmlformats.org/officeDocument/2006/relationships/hyperlink" Target="mailto:hanna@asterakb.com" TargetMode="External"/><Relationship Id="rId14" Type="http://schemas.openxmlformats.org/officeDocument/2006/relationships/hyperlink" Target="mailto:francisco@aprocg.com" TargetMode="External"/></Relationships>
</file>

<file path=xl/worksheets/_rels/sheet86.xml.rels><?xml version="1.0" encoding="UTF-8" standalone="yes"?>
<Relationships xmlns="http://schemas.openxmlformats.org/package/2006/relationships"><Relationship Id="rId8" Type="http://schemas.openxmlformats.org/officeDocument/2006/relationships/hyperlink" Target="mailto:KellyK@certifiedpools.net" TargetMode="External"/><Relationship Id="rId3" Type="http://schemas.openxmlformats.org/officeDocument/2006/relationships/hyperlink" Target="mailto:estimating@apexpavers.com" TargetMode="External"/><Relationship Id="rId7" Type="http://schemas.openxmlformats.org/officeDocument/2006/relationships/hyperlink" Target="mailto:RAllard640@bellsouth.net" TargetMode="External"/><Relationship Id="rId2" Type="http://schemas.openxmlformats.org/officeDocument/2006/relationships/hyperlink" Target="mailto:Geoff@pughspools.com" TargetMode="External"/><Relationship Id="rId1" Type="http://schemas.openxmlformats.org/officeDocument/2006/relationships/hyperlink" Target="mailto:Nigel@RockStarPools.com" TargetMode="External"/><Relationship Id="rId6" Type="http://schemas.openxmlformats.org/officeDocument/2006/relationships/hyperlink" Target="mailto:artisticpoolsandwaterfalls@gmail.com" TargetMode="External"/><Relationship Id="rId5" Type="http://schemas.openxmlformats.org/officeDocument/2006/relationships/hyperlink" Target="mailto:josephstallone94@gmail.com" TargetMode="External"/><Relationship Id="rId4" Type="http://schemas.openxmlformats.org/officeDocument/2006/relationships/hyperlink" Target="mailto:krasua@lagassepools.com" TargetMode="External"/><Relationship Id="rId9"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8" Type="http://schemas.openxmlformats.org/officeDocument/2006/relationships/printerSettings" Target="../printerSettings/printerSettings87.bin"/><Relationship Id="rId3" Type="http://schemas.openxmlformats.org/officeDocument/2006/relationships/hyperlink" Target="mailto:lmontes@coastalmetal.biz" TargetMode="External"/><Relationship Id="rId7" Type="http://schemas.openxmlformats.org/officeDocument/2006/relationships/hyperlink" Target="mailto:%3cestimatingai@theawningfactory.com" TargetMode="External"/><Relationship Id="rId2" Type="http://schemas.openxmlformats.org/officeDocument/2006/relationships/hyperlink" Target="mailto:chris@cacocf.com" TargetMode="External"/><Relationship Id="rId1" Type="http://schemas.openxmlformats.org/officeDocument/2006/relationships/hyperlink" Target="mailto:drodriguez@biwiron.com" TargetMode="External"/><Relationship Id="rId6" Type="http://schemas.openxmlformats.org/officeDocument/2006/relationships/hyperlink" Target="mailto:vfernandez@aawimpact.com" TargetMode="External"/><Relationship Id="rId5" Type="http://schemas.openxmlformats.org/officeDocument/2006/relationships/hyperlink" Target="mailto:%3cestimatingai@theawningfactory.com" TargetMode="External"/><Relationship Id="rId4" Type="http://schemas.openxmlformats.org/officeDocument/2006/relationships/hyperlink" Target="mailto:drodriguez@biwiron.com" TargetMode="External"/></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8" Type="http://schemas.openxmlformats.org/officeDocument/2006/relationships/printerSettings" Target="../printerSettings/printerSettings91.bin"/><Relationship Id="rId3" Type="http://schemas.openxmlformats.org/officeDocument/2006/relationships/hyperlink" Target="mailto:Scott.turner@kone.com" TargetMode="External"/><Relationship Id="rId7" Type="http://schemas.openxmlformats.org/officeDocument/2006/relationships/hyperlink" Target="mailto:stephen.prachaseri@schindler.com" TargetMode="External"/><Relationship Id="rId2" Type="http://schemas.openxmlformats.org/officeDocument/2006/relationships/hyperlink" Target="mailto:Scott.turner@kone.com" TargetMode="External"/><Relationship Id="rId1" Type="http://schemas.openxmlformats.org/officeDocument/2006/relationships/hyperlink" Target="mailto:stephen.prachaseri@schindler.com" TargetMode="External"/><Relationship Id="rId6" Type="http://schemas.openxmlformats.org/officeDocument/2006/relationships/hyperlink" Target="mailto:stephen.prachaseri@schindler.com" TargetMode="External"/><Relationship Id="rId5" Type="http://schemas.openxmlformats.org/officeDocument/2006/relationships/hyperlink" Target="mailto:james.marcic@tkelevator.com" TargetMode="External"/><Relationship Id="rId4" Type="http://schemas.openxmlformats.org/officeDocument/2006/relationships/hyperlink" Target="mailto:james.marcic@tkelevator.com" TargetMode="External"/></Relationships>
</file>

<file path=xl/worksheets/_rels/sheet92.xml.rels><?xml version="1.0" encoding="UTF-8" standalone="yes"?>
<Relationships xmlns="http://schemas.openxmlformats.org/package/2006/relationships"><Relationship Id="rId8" Type="http://schemas.openxmlformats.org/officeDocument/2006/relationships/vmlDrawing" Target="../drawings/vmlDrawing19.vml"/><Relationship Id="rId3" Type="http://schemas.openxmlformats.org/officeDocument/2006/relationships/hyperlink" Target="mailto:jennifer@atlas-disposal.com" TargetMode="External"/><Relationship Id="rId7" Type="http://schemas.openxmlformats.org/officeDocument/2006/relationships/printerSettings" Target="../printerSettings/printerSettings92.bin"/><Relationship Id="rId2" Type="http://schemas.openxmlformats.org/officeDocument/2006/relationships/hyperlink" Target="mailto:s.schaefer@tauruschutesinc.com" TargetMode="External"/><Relationship Id="rId1" Type="http://schemas.openxmlformats.org/officeDocument/2006/relationships/hyperlink" Target="mailto:kbayram@whrise.com" TargetMode="External"/><Relationship Id="rId6" Type="http://schemas.openxmlformats.org/officeDocument/2006/relationships/hyperlink" Target="mailto:jennifer@atlas-disposal.com" TargetMode="External"/><Relationship Id="rId5" Type="http://schemas.openxmlformats.org/officeDocument/2006/relationships/hyperlink" Target="mailto:matt.hulsey@keptcompanies.com" TargetMode="External"/><Relationship Id="rId4" Type="http://schemas.openxmlformats.org/officeDocument/2006/relationships/hyperlink" Target="mailto:sales@woltgrace.com" TargetMode="External"/><Relationship Id="rId9" Type="http://schemas.openxmlformats.org/officeDocument/2006/relationships/comments" Target="../comments19.xml"/></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8" Type="http://schemas.openxmlformats.org/officeDocument/2006/relationships/hyperlink" Target="mailto:asolomon@frontierfireco.com" TargetMode="External"/><Relationship Id="rId13" Type="http://schemas.openxmlformats.org/officeDocument/2006/relationships/hyperlink" Target="mailto:craig@sprinklermatic.net" TargetMode="External"/><Relationship Id="rId18" Type="http://schemas.openxmlformats.org/officeDocument/2006/relationships/comments" Target="../comments20.xml"/><Relationship Id="rId3" Type="http://schemas.openxmlformats.org/officeDocument/2006/relationships/hyperlink" Target="mailto:hastephens@waynefire.com" TargetMode="External"/><Relationship Id="rId7" Type="http://schemas.openxmlformats.org/officeDocument/2006/relationships/hyperlink" Target="mailto:Roy.Ziek@pyebarkerfs.com" TargetMode="External"/><Relationship Id="rId12" Type="http://schemas.openxmlformats.org/officeDocument/2006/relationships/hyperlink" Target="mailto:rafael@ecofirepro.com" TargetMode="External"/><Relationship Id="rId17" Type="http://schemas.openxmlformats.org/officeDocument/2006/relationships/vmlDrawing" Target="../drawings/vmlDrawing20.vml"/><Relationship Id="rId2" Type="http://schemas.openxmlformats.org/officeDocument/2006/relationships/hyperlink" Target="mailto:hastephens@waynefire.com" TargetMode="External"/><Relationship Id="rId16" Type="http://schemas.openxmlformats.org/officeDocument/2006/relationships/printerSettings" Target="../printerSettings/printerSettings97.bin"/><Relationship Id="rId1" Type="http://schemas.openxmlformats.org/officeDocument/2006/relationships/hyperlink" Target="mailto:AGlass@polarisfp.com" TargetMode="External"/><Relationship Id="rId6" Type="http://schemas.openxmlformats.org/officeDocument/2006/relationships/hyperlink" Target="mailto:Roy.Ziek@pyebarkerfs.com" TargetMode="External"/><Relationship Id="rId11" Type="http://schemas.openxmlformats.org/officeDocument/2006/relationships/hyperlink" Target="mailto:ofrancis@francisfire.com" TargetMode="External"/><Relationship Id="rId5" Type="http://schemas.openxmlformats.org/officeDocument/2006/relationships/hyperlink" Target="mailto:remmy@brofire.com" TargetMode="External"/><Relationship Id="rId15" Type="http://schemas.openxmlformats.org/officeDocument/2006/relationships/hyperlink" Target="mailto:hastephens@waynefire.com" TargetMode="External"/><Relationship Id="rId10" Type="http://schemas.openxmlformats.org/officeDocument/2006/relationships/hyperlink" Target="mailto:garrett.meaney@dynafire.com" TargetMode="External"/><Relationship Id="rId4" Type="http://schemas.openxmlformats.org/officeDocument/2006/relationships/hyperlink" Target="mailto:craig@sprinklermatic.net" TargetMode="External"/><Relationship Id="rId9" Type="http://schemas.openxmlformats.org/officeDocument/2006/relationships/hyperlink" Target="mailto:asolomon@frontierfireco.com" TargetMode="External"/><Relationship Id="rId14" Type="http://schemas.openxmlformats.org/officeDocument/2006/relationships/hyperlink" Target="mailto:hastephens@waynefire.com" TargetMode="External"/></Relationships>
</file>

<file path=xl/worksheets/_rels/sheet98.xml.rels><?xml version="1.0" encoding="UTF-8" standalone="yes"?>
<Relationships xmlns="http://schemas.openxmlformats.org/package/2006/relationships"><Relationship Id="rId8" Type="http://schemas.openxmlformats.org/officeDocument/2006/relationships/hyperlink" Target="mailto:estimating@alpadex.com" TargetMode="External"/><Relationship Id="rId13" Type="http://schemas.openxmlformats.org/officeDocument/2006/relationships/printerSettings" Target="../printerSettings/printerSettings98.bin"/><Relationship Id="rId3" Type="http://schemas.openxmlformats.org/officeDocument/2006/relationships/hyperlink" Target="mailto:estimating@alpadex.com" TargetMode="External"/><Relationship Id="rId7" Type="http://schemas.openxmlformats.org/officeDocument/2006/relationships/hyperlink" Target="mailto:cjanssen@medicairsystems.com" TargetMode="External"/><Relationship Id="rId12" Type="http://schemas.openxmlformats.org/officeDocument/2006/relationships/hyperlink" Target="mailto:estimating@alpadex.com" TargetMode="External"/><Relationship Id="rId2" Type="http://schemas.openxmlformats.org/officeDocument/2006/relationships/hyperlink" Target="mailto:kend@ridgewayplumbing.com" TargetMode="External"/><Relationship Id="rId1" Type="http://schemas.openxmlformats.org/officeDocument/2006/relationships/hyperlink" Target="mailto:estimating@alpadex.com" TargetMode="External"/><Relationship Id="rId6" Type="http://schemas.openxmlformats.org/officeDocument/2006/relationships/hyperlink" Target="mailto:joseph.ortega@realpage.com" TargetMode="External"/><Relationship Id="rId11" Type="http://schemas.openxmlformats.org/officeDocument/2006/relationships/hyperlink" Target="mailto:estimating@alpadex.com" TargetMode="External"/><Relationship Id="rId5" Type="http://schemas.openxmlformats.org/officeDocument/2006/relationships/hyperlink" Target="mailto:estimating@alpadex.com" TargetMode="External"/><Relationship Id="rId10" Type="http://schemas.openxmlformats.org/officeDocument/2006/relationships/hyperlink" Target="mailto:ben@brmph.com" TargetMode="External"/><Relationship Id="rId4" Type="http://schemas.openxmlformats.org/officeDocument/2006/relationships/hyperlink" Target="mailto:estimating@alpadex.com" TargetMode="External"/><Relationship Id="rId9" Type="http://schemas.openxmlformats.org/officeDocument/2006/relationships/hyperlink" Target="mailto:docampo@wrightbrotherscs.com" TargetMode="External"/></Relationships>
</file>

<file path=xl/worksheets/_rels/sheet99.xml.rels><?xml version="1.0" encoding="UTF-8" standalone="yes"?>
<Relationships xmlns="http://schemas.openxmlformats.org/package/2006/relationships"><Relationship Id="rId8" Type="http://schemas.openxmlformats.org/officeDocument/2006/relationships/hyperlink" Target="mailto:btewksbury@stradaservices.com" TargetMode="External"/><Relationship Id="rId13" Type="http://schemas.openxmlformats.org/officeDocument/2006/relationships/hyperlink" Target="mailto:mgomez@jrhobbs.com" TargetMode="External"/><Relationship Id="rId18" Type="http://schemas.openxmlformats.org/officeDocument/2006/relationships/hyperlink" Target="mailto:mgomez@jrhobbs.com" TargetMode="External"/><Relationship Id="rId3" Type="http://schemas.openxmlformats.org/officeDocument/2006/relationships/hyperlink" Target="mailto:george@medicairsystems.com" TargetMode="External"/><Relationship Id="rId21" Type="http://schemas.openxmlformats.org/officeDocument/2006/relationships/hyperlink" Target="mailto:LeilaCP@swecinc.com" TargetMode="External"/><Relationship Id="rId7" Type="http://schemas.openxmlformats.org/officeDocument/2006/relationships/hyperlink" Target="mailto:jburgasser@powerdesigninc.us" TargetMode="External"/><Relationship Id="rId12" Type="http://schemas.openxmlformats.org/officeDocument/2006/relationships/hyperlink" Target="mailto:yuriy.indman@kkomfort.com" TargetMode="External"/><Relationship Id="rId17" Type="http://schemas.openxmlformats.org/officeDocument/2006/relationships/hyperlink" Target="mailto:vsingh@wrightbrotherscs.com" TargetMode="External"/><Relationship Id="rId2" Type="http://schemas.openxmlformats.org/officeDocument/2006/relationships/hyperlink" Target="mailto:gschmidt.sms@gmail.com" TargetMode="External"/><Relationship Id="rId16" Type="http://schemas.openxmlformats.org/officeDocument/2006/relationships/hyperlink" Target="mailto:LeilaCP@swecinc.com" TargetMode="External"/><Relationship Id="rId20" Type="http://schemas.openxmlformats.org/officeDocument/2006/relationships/hyperlink" Target="mailto:maria@abhcooling.com" TargetMode="External"/><Relationship Id="rId1" Type="http://schemas.openxmlformats.org/officeDocument/2006/relationships/hyperlink" Target="mailto:swatson@smartairsystems.com" TargetMode="External"/><Relationship Id="rId6" Type="http://schemas.openxmlformats.org/officeDocument/2006/relationships/hyperlink" Target="mailto:mitchell@triadmechanical.com" TargetMode="External"/><Relationship Id="rId11" Type="http://schemas.openxmlformats.org/officeDocument/2006/relationships/hyperlink" Target="mailto:mitchell@triadmechanical.com" TargetMode="External"/><Relationship Id="rId5" Type="http://schemas.openxmlformats.org/officeDocument/2006/relationships/hyperlink" Target="mailto:maria@abhcooling.com" TargetMode="External"/><Relationship Id="rId15" Type="http://schemas.openxmlformats.org/officeDocument/2006/relationships/hyperlink" Target="mailto:dbarrera@armstrongairinc.com" TargetMode="External"/><Relationship Id="rId23" Type="http://schemas.openxmlformats.org/officeDocument/2006/relationships/printerSettings" Target="../printerSettings/printerSettings99.bin"/><Relationship Id="rId10" Type="http://schemas.openxmlformats.org/officeDocument/2006/relationships/hyperlink" Target="mailto:dbarrera@armstrongairinc.com" TargetMode="External"/><Relationship Id="rId19" Type="http://schemas.openxmlformats.org/officeDocument/2006/relationships/hyperlink" Target="mailto:maria@abhcooling.com" TargetMode="External"/><Relationship Id="rId4" Type="http://schemas.openxmlformats.org/officeDocument/2006/relationships/hyperlink" Target="mailto:info@mastermechanicalservices.com" TargetMode="External"/><Relationship Id="rId9" Type="http://schemas.openxmlformats.org/officeDocument/2006/relationships/hyperlink" Target="mailto:btewksbury@stradaservices.com" TargetMode="External"/><Relationship Id="rId14" Type="http://schemas.openxmlformats.org/officeDocument/2006/relationships/hyperlink" Target="mailto:bill@bluelinemechanical.com" TargetMode="External"/><Relationship Id="rId22" Type="http://schemas.openxmlformats.org/officeDocument/2006/relationships/hyperlink" Target="mailto:mitchell@triadmechanical.com" TargetMode="External"/></Relationships>
</file>

<file path=xl/worksheets/_rels/sheet100.xml.rels><?xml version="1.0" encoding="UTF-8" standalone="yes"?>
<Relationships xmlns="http://schemas.openxmlformats.org/package/2006/relationships"><Relationship Id="rId8" Type="http://schemas.openxmlformats.org/officeDocument/2006/relationships/hyperlink" Target="mailto:wperrone@andreuassoc.com" TargetMode="External"/><Relationship Id="rId13" Type="http://schemas.openxmlformats.org/officeDocument/2006/relationships/hyperlink" Target="mailto:gannis@powerdesigninc.us" TargetMode="External"/><Relationship Id="rId18" Type="http://schemas.openxmlformats.org/officeDocument/2006/relationships/vmlDrawing" Target="../drawings/vmlDrawing21.vml"/><Relationship Id="rId3" Type="http://schemas.openxmlformats.org/officeDocument/2006/relationships/hyperlink" Target="mailto:dnelson@electraserve.net" TargetMode="External"/><Relationship Id="rId7" Type="http://schemas.openxmlformats.org/officeDocument/2006/relationships/hyperlink" Target="mailto:jmarkham@blycoelectric.com" TargetMode="External"/><Relationship Id="rId12" Type="http://schemas.openxmlformats.org/officeDocument/2006/relationships/hyperlink" Target="mailto:LeilaCP@swecinc.com" TargetMode="External"/><Relationship Id="rId17" Type="http://schemas.openxmlformats.org/officeDocument/2006/relationships/printerSettings" Target="../printerSettings/printerSettings100.bin"/><Relationship Id="rId2" Type="http://schemas.openxmlformats.org/officeDocument/2006/relationships/hyperlink" Target="mailto:nstevenson@vankirkelectric.com" TargetMode="External"/><Relationship Id="rId16" Type="http://schemas.openxmlformats.org/officeDocument/2006/relationships/hyperlink" Target="mailto:gannis@powerdesigninc.us" TargetMode="External"/><Relationship Id="rId1" Type="http://schemas.openxmlformats.org/officeDocument/2006/relationships/hyperlink" Target="mailto:gannis@powerdesigninc.us" TargetMode="External"/><Relationship Id="rId6" Type="http://schemas.openxmlformats.org/officeDocument/2006/relationships/hyperlink" Target="mailto:whernandez@scepowerplus.com" TargetMode="External"/><Relationship Id="rId11" Type="http://schemas.openxmlformats.org/officeDocument/2006/relationships/hyperlink" Target="mailto:apelectronics561@gmail.com" TargetMode="External"/><Relationship Id="rId5" Type="http://schemas.openxmlformats.org/officeDocument/2006/relationships/hyperlink" Target="mailto:david@i-luminosity.com" TargetMode="External"/><Relationship Id="rId15" Type="http://schemas.openxmlformats.org/officeDocument/2006/relationships/hyperlink" Target="mailto:LeilaCP@swecinc.com" TargetMode="External"/><Relationship Id="rId10" Type="http://schemas.openxmlformats.org/officeDocument/2006/relationships/hyperlink" Target="mailto:LeilaCP@swecinc.com" TargetMode="External"/><Relationship Id="rId19" Type="http://schemas.openxmlformats.org/officeDocument/2006/relationships/comments" Target="../comments21.xml"/><Relationship Id="rId4" Type="http://schemas.openxmlformats.org/officeDocument/2006/relationships/hyperlink" Target="mailto:austins@knrelectric.com" TargetMode="External"/><Relationship Id="rId9" Type="http://schemas.openxmlformats.org/officeDocument/2006/relationships/hyperlink" Target="mailto:bgonzalez@dadeelectric.com" TargetMode="External"/><Relationship Id="rId14" Type="http://schemas.openxmlformats.org/officeDocument/2006/relationships/hyperlink" Target="mailto:austins@knrelectric.com"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mailto:rmennona@centuryfp.com" TargetMode="External"/><Relationship Id="rId2" Type="http://schemas.openxmlformats.org/officeDocument/2006/relationships/hyperlink" Target="mailto:rmennona@centuryfp.com" TargetMode="External"/><Relationship Id="rId1" Type="http://schemas.openxmlformats.org/officeDocument/2006/relationships/hyperlink" Target="mailto:rmennona@centuryfp.com" TargetMode="External"/><Relationship Id="rId5" Type="http://schemas.openxmlformats.org/officeDocument/2006/relationships/printerSettings" Target="../printerSettings/printerSettings101.bin"/><Relationship Id="rId4" Type="http://schemas.openxmlformats.org/officeDocument/2006/relationships/hyperlink" Target="mailto:rmennona@centuryfp.com" TargetMode="External"/></Relationships>
</file>

<file path=xl/worksheets/_rels/sheet102.xml.rels><?xml version="1.0" encoding="UTF-8" standalone="yes"?>
<Relationships xmlns="http://schemas.openxmlformats.org/package/2006/relationships"><Relationship Id="rId8" Type="http://schemas.openxmlformats.org/officeDocument/2006/relationships/hyperlink" Target="mailto:billy@teleco.com" TargetMode="External"/><Relationship Id="rId3" Type="http://schemas.openxmlformats.org/officeDocument/2006/relationships/hyperlink" Target="mailto:beymars@asinet.com" TargetMode="External"/><Relationship Id="rId7" Type="http://schemas.openxmlformats.org/officeDocument/2006/relationships/hyperlink" Target="mailto:beymars@asinet.com" TargetMode="External"/><Relationship Id="rId2" Type="http://schemas.openxmlformats.org/officeDocument/2006/relationships/hyperlink" Target="mailto:jbradford@nautilusrf.com" TargetMode="External"/><Relationship Id="rId1" Type="http://schemas.openxmlformats.org/officeDocument/2006/relationships/hyperlink" Target="mailto:lborenstein@cts1.com" TargetMode="External"/><Relationship Id="rId6" Type="http://schemas.openxmlformats.org/officeDocument/2006/relationships/hyperlink" Target="mailto:beymars@asinet.com" TargetMode="External"/><Relationship Id="rId11" Type="http://schemas.openxmlformats.org/officeDocument/2006/relationships/comments" Target="../comments22.xml"/><Relationship Id="rId5" Type="http://schemas.openxmlformats.org/officeDocument/2006/relationships/hyperlink" Target="mailto:jnicholson@advancedtelecom.us" TargetMode="External"/><Relationship Id="rId10" Type="http://schemas.openxmlformats.org/officeDocument/2006/relationships/vmlDrawing" Target="../drawings/vmlDrawing22.vml"/><Relationship Id="rId4" Type="http://schemas.openxmlformats.org/officeDocument/2006/relationships/hyperlink" Target="mailto:beymars@asinet.com" TargetMode="External"/><Relationship Id="rId9"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8" Type="http://schemas.openxmlformats.org/officeDocument/2006/relationships/hyperlink" Target="mailto:beymars@asinet.com" TargetMode="External"/><Relationship Id="rId13" Type="http://schemas.openxmlformats.org/officeDocument/2006/relationships/comments" Target="../comments23.xml"/><Relationship Id="rId3" Type="http://schemas.openxmlformats.org/officeDocument/2006/relationships/hyperlink" Target="mailto:richard@capitalns.com" TargetMode="External"/><Relationship Id="rId7" Type="http://schemas.openxmlformats.org/officeDocument/2006/relationships/hyperlink" Target="mailto:pengle@joycomm.com" TargetMode="External"/><Relationship Id="rId12" Type="http://schemas.openxmlformats.org/officeDocument/2006/relationships/vmlDrawing" Target="../drawings/vmlDrawing23.vml"/><Relationship Id="rId2" Type="http://schemas.openxmlformats.org/officeDocument/2006/relationships/hyperlink" Target="mailto:ronelr@preferredcabling.com" TargetMode="External"/><Relationship Id="rId1" Type="http://schemas.openxmlformats.org/officeDocument/2006/relationships/hyperlink" Target="mailto:pengle@joycomm.com" TargetMode="External"/><Relationship Id="rId6" Type="http://schemas.openxmlformats.org/officeDocument/2006/relationships/hyperlink" Target="mailto:lyanes@bluewavemiami.com" TargetMode="External"/><Relationship Id="rId11" Type="http://schemas.openxmlformats.org/officeDocument/2006/relationships/printerSettings" Target="../printerSettings/printerSettings103.bin"/><Relationship Id="rId5" Type="http://schemas.openxmlformats.org/officeDocument/2006/relationships/hyperlink" Target="mailto:beymars@asinet.com" TargetMode="External"/><Relationship Id="rId10" Type="http://schemas.openxmlformats.org/officeDocument/2006/relationships/hyperlink" Target="mailto:pengle@joycomm.com" TargetMode="External"/><Relationship Id="rId4" Type="http://schemas.openxmlformats.org/officeDocument/2006/relationships/hyperlink" Target="mailto:beymars@asinet.com" TargetMode="External"/><Relationship Id="rId9" Type="http://schemas.openxmlformats.org/officeDocument/2006/relationships/hyperlink" Target="mailto:beymars@asinet.com" TargetMode="External"/></Relationships>
</file>

<file path=xl/worksheets/_rels/sheet104.xml.rels><?xml version="1.0" encoding="UTF-8" standalone="yes"?>
<Relationships xmlns="http://schemas.openxmlformats.org/package/2006/relationships"><Relationship Id="rId8" Type="http://schemas.openxmlformats.org/officeDocument/2006/relationships/hyperlink" Target="mailto:marco@rockpowerpaving.com" TargetMode="External"/><Relationship Id="rId13" Type="http://schemas.openxmlformats.org/officeDocument/2006/relationships/hyperlink" Target="mailto:david.carmona@redlandcompany.com" TargetMode="External"/><Relationship Id="rId3" Type="http://schemas.openxmlformats.org/officeDocument/2006/relationships/hyperlink" Target="mailto:ssmith@smithcoinc.net" TargetMode="External"/><Relationship Id="rId7" Type="http://schemas.openxmlformats.org/officeDocument/2006/relationships/hyperlink" Target="mailto:david.carmona@redlandcompany.com" TargetMode="External"/><Relationship Id="rId12" Type="http://schemas.openxmlformats.org/officeDocument/2006/relationships/hyperlink" Target="mailto:dtuthill@aedcorp.com" TargetMode="External"/><Relationship Id="rId2" Type="http://schemas.openxmlformats.org/officeDocument/2006/relationships/hyperlink" Target="mailto:James.Hager@rangerconstruction.com" TargetMode="External"/><Relationship Id="rId16" Type="http://schemas.openxmlformats.org/officeDocument/2006/relationships/comments" Target="../comments24.xml"/><Relationship Id="rId1" Type="http://schemas.openxmlformats.org/officeDocument/2006/relationships/hyperlink" Target="http://ferreiraconstruction.com/" TargetMode="External"/><Relationship Id="rId6" Type="http://schemas.openxmlformats.org/officeDocument/2006/relationships/hyperlink" Target="mailto:Rtill@HJContracting.com" TargetMode="External"/><Relationship Id="rId11" Type="http://schemas.openxmlformats.org/officeDocument/2006/relationships/hyperlink" Target="mailto:ssmith@smithcoinc.net" TargetMode="External"/><Relationship Id="rId5" Type="http://schemas.openxmlformats.org/officeDocument/2006/relationships/hyperlink" Target="mailto:dtuthill@aedcorp.com" TargetMode="External"/><Relationship Id="rId15" Type="http://schemas.openxmlformats.org/officeDocument/2006/relationships/vmlDrawing" Target="../drawings/vmlDrawing24.vml"/><Relationship Id="rId10" Type="http://schemas.openxmlformats.org/officeDocument/2006/relationships/hyperlink" Target="mailto:Estimating@sunlineinc.com" TargetMode="External"/><Relationship Id="rId4" Type="http://schemas.openxmlformats.org/officeDocument/2006/relationships/hyperlink" Target="mailto:estimating@centerlineinc.com" TargetMode="External"/><Relationship Id="rId9" Type="http://schemas.openxmlformats.org/officeDocument/2006/relationships/hyperlink" Target="mailto:david.carmona@redlandcompany.com" TargetMode="External"/><Relationship Id="rId14"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3" Type="http://schemas.openxmlformats.org/officeDocument/2006/relationships/hyperlink" Target="mailto:msimpson@geotek-co.com" TargetMode="External"/><Relationship Id="rId2" Type="http://schemas.openxmlformats.org/officeDocument/2006/relationships/hyperlink" Target="mailto:%20Marcus.Alexis@keller-na.com" TargetMode="External"/><Relationship Id="rId1" Type="http://schemas.openxmlformats.org/officeDocument/2006/relationships/hyperlink" Target="mailto:daniel.coxe@menardusa.com" TargetMode="External"/><Relationship Id="rId5" Type="http://schemas.openxmlformats.org/officeDocument/2006/relationships/printerSettings" Target="../printerSettings/printerSettings106.bin"/><Relationship Id="rId4" Type="http://schemas.openxmlformats.org/officeDocument/2006/relationships/hyperlink" Target="mailto:msimpson@geotek-co.com" TargetMode="External"/></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8" Type="http://schemas.openxmlformats.org/officeDocument/2006/relationships/printerSettings" Target="../printerSettings/printerSettings109.bin"/><Relationship Id="rId3" Type="http://schemas.openxmlformats.org/officeDocument/2006/relationships/hyperlink" Target="mailto:Chad.paverscape@gmail.com" TargetMode="External"/><Relationship Id="rId7" Type="http://schemas.openxmlformats.org/officeDocument/2006/relationships/hyperlink" Target="mailto:agable@puppaversinc.com" TargetMode="External"/><Relationship Id="rId2" Type="http://schemas.openxmlformats.org/officeDocument/2006/relationships/hyperlink" Target="mailto:lexi@usbrickandblock.com" TargetMode="External"/><Relationship Id="rId1" Type="http://schemas.openxmlformats.org/officeDocument/2006/relationships/hyperlink" Target="mailto:estimating@apexpavers.com" TargetMode="External"/><Relationship Id="rId6" Type="http://schemas.openxmlformats.org/officeDocument/2006/relationships/hyperlink" Target="mailto:sales@csepaving.com" TargetMode="External"/><Relationship Id="rId5" Type="http://schemas.openxmlformats.org/officeDocument/2006/relationships/hyperlink" Target="mailto:lexi@usbrickandblock.com" TargetMode="External"/><Relationship Id="rId4" Type="http://schemas.openxmlformats.org/officeDocument/2006/relationships/hyperlink" Target="mailto:joxley@acpfl.com" TargetMode="External"/></Relationships>
</file>

<file path=xl/worksheets/_rels/sheet110.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hyperlink" Target="mailto:%3cpbravo@repservices.com" TargetMode="External"/><Relationship Id="rId1" Type="http://schemas.openxmlformats.org/officeDocument/2006/relationships/hyperlink" Target="mailto:Michael@nationalkb.com" TargetMode="External"/><Relationship Id="rId5" Type="http://schemas.openxmlformats.org/officeDocument/2006/relationships/comments" Target="../comments25.xml"/><Relationship Id="rId4" Type="http://schemas.openxmlformats.org/officeDocument/2006/relationships/vmlDrawing" Target="../drawings/vmlDrawing25.vml"/></Relationships>
</file>

<file path=xl/worksheets/_rels/sheet111.xml.rels><?xml version="1.0" encoding="UTF-8" standalone="yes"?>
<Relationships xmlns="http://schemas.openxmlformats.org/package/2006/relationships"><Relationship Id="rId8" Type="http://schemas.openxmlformats.org/officeDocument/2006/relationships/printerSettings" Target="../printerSettings/printerSettings111.bin"/><Relationship Id="rId3" Type="http://schemas.openxmlformats.org/officeDocument/2006/relationships/hyperlink" Target="mailto:anna.buckhold@down2earthinc.com" TargetMode="External"/><Relationship Id="rId7" Type="http://schemas.openxmlformats.org/officeDocument/2006/relationships/hyperlink" Target="mailto:erin@matthewslandscapingflorida.com" TargetMode="External"/><Relationship Id="rId2" Type="http://schemas.openxmlformats.org/officeDocument/2006/relationships/hyperlink" Target="mailto:laura@florida-exotic.com" TargetMode="External"/><Relationship Id="rId1" Type="http://schemas.openxmlformats.org/officeDocument/2006/relationships/hyperlink" Target="mailto:damon@acalandscape.net" TargetMode="External"/><Relationship Id="rId6" Type="http://schemas.openxmlformats.org/officeDocument/2006/relationships/hyperlink" Target="mailto:anna.buckhold@down2earthinc.com" TargetMode="External"/><Relationship Id="rId5" Type="http://schemas.openxmlformats.org/officeDocument/2006/relationships/hyperlink" Target="mailto:Steven@moranogroup.com" TargetMode="External"/><Relationship Id="rId4" Type="http://schemas.openxmlformats.org/officeDocument/2006/relationships/hyperlink" Target="mailto:estimating@glsplants.com" TargetMode="External"/></Relationships>
</file>

<file path=xl/worksheets/_rels/sheet112.xml.rels><?xml version="1.0" encoding="UTF-8" standalone="yes"?>
<Relationships xmlns="http://schemas.openxmlformats.org/package/2006/relationships"><Relationship Id="rId8" Type="http://schemas.openxmlformats.org/officeDocument/2006/relationships/comments" Target="../comments26.xml"/><Relationship Id="rId3" Type="http://schemas.openxmlformats.org/officeDocument/2006/relationships/hyperlink" Target="mailto:chris@cacocf.com" TargetMode="External"/><Relationship Id="rId7" Type="http://schemas.openxmlformats.org/officeDocument/2006/relationships/vmlDrawing" Target="../drawings/vmlDrawing26.vml"/><Relationship Id="rId2" Type="http://schemas.openxmlformats.org/officeDocument/2006/relationships/hyperlink" Target="mailto:drodriguez@biwiron.com" TargetMode="External"/><Relationship Id="rId1" Type="http://schemas.openxmlformats.org/officeDocument/2006/relationships/hyperlink" Target="mailto:djohnson@chanceymetals.com" TargetMode="External"/><Relationship Id="rId6" Type="http://schemas.openxmlformats.org/officeDocument/2006/relationships/printerSettings" Target="../printerSettings/printerSettings112.bin"/><Relationship Id="rId5" Type="http://schemas.openxmlformats.org/officeDocument/2006/relationships/hyperlink" Target="mailto:tropicjov@gmail.com" TargetMode="External"/><Relationship Id="rId4" Type="http://schemas.openxmlformats.org/officeDocument/2006/relationships/hyperlink" Target="mailto:lmontes@coastalmetal.biz" TargetMode="External"/></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612B2-47EF-43EA-B07A-A026BB347445}">
  <sheetPr>
    <pageSetUpPr fitToPage="1"/>
  </sheetPr>
  <dimension ref="A2:W134"/>
  <sheetViews>
    <sheetView zoomScale="106" zoomScaleNormal="106" workbookViewId="0">
      <pane xSplit="1" ySplit="9" topLeftCell="B47" activePane="bottomRight" state="frozen"/>
      <selection pane="topRight" activeCell="D76" sqref="D76"/>
      <selection pane="bottomLeft" activeCell="D76" sqref="D76"/>
      <selection pane="bottomRight" activeCell="R61" sqref="R61"/>
    </sheetView>
  </sheetViews>
  <sheetFormatPr defaultRowHeight="14.5" x14ac:dyDescent="0.35"/>
  <cols>
    <col min="1" max="1" width="5.26953125" customWidth="1"/>
    <col min="2" max="2" width="18" bestFit="1" customWidth="1"/>
    <col min="3" max="3" width="18.7265625" bestFit="1" customWidth="1"/>
    <col min="4" max="4" width="10.81640625" bestFit="1" customWidth="1"/>
    <col min="5" max="5" width="11" customWidth="1"/>
    <col min="9" max="9" width="9.7265625" customWidth="1"/>
    <col min="11" max="11" width="10.1796875" bestFit="1" customWidth="1"/>
    <col min="12" max="12" width="8.81640625" bestFit="1" customWidth="1"/>
    <col min="13" max="13" width="10.1796875" customWidth="1"/>
    <col min="14" max="14" width="11.81640625" customWidth="1"/>
    <col min="16" max="16" width="10.26953125" customWidth="1"/>
  </cols>
  <sheetData>
    <row r="2" spans="1:22" ht="22.5" customHeight="1" x14ac:dyDescent="0.35">
      <c r="B2" s="3548" t="s">
        <v>0</v>
      </c>
      <c r="C2" s="3549"/>
      <c r="M2" s="22"/>
      <c r="N2" s="22"/>
    </row>
    <row r="3" spans="1:22" ht="20.149999999999999" customHeight="1" x14ac:dyDescent="0.35">
      <c r="E3" s="214" t="s">
        <v>1</v>
      </c>
      <c r="F3" s="228">
        <f>E5/E4</f>
        <v>0.81350555752931031</v>
      </c>
      <c r="G3" s="214" t="s">
        <v>2</v>
      </c>
      <c r="H3" s="228">
        <f>G5/G4</f>
        <v>0.802230053012845</v>
      </c>
      <c r="I3" s="214" t="s">
        <v>3</v>
      </c>
      <c r="J3" s="228">
        <f>I5/I4</f>
        <v>0.7880290958156948</v>
      </c>
      <c r="K3" s="229" t="s">
        <v>4</v>
      </c>
      <c r="L3" s="230" t="e">
        <f>K5/K4</f>
        <v>#VALUE!</v>
      </c>
      <c r="M3" s="231" t="s">
        <v>5</v>
      </c>
      <c r="N3" s="22"/>
      <c r="O3" s="228"/>
    </row>
    <row r="4" spans="1:22" ht="19.5" customHeight="1" x14ac:dyDescent="0.35">
      <c r="B4" s="227" t="s">
        <v>6</v>
      </c>
      <c r="C4" s="232"/>
      <c r="D4" s="24" t="s">
        <v>7</v>
      </c>
      <c r="E4" s="712">
        <f>M33</f>
        <v>236436</v>
      </c>
      <c r="F4" s="24" t="s">
        <v>7</v>
      </c>
      <c r="G4" s="712">
        <f>M56</f>
        <v>193538</v>
      </c>
      <c r="H4" s="24" t="s">
        <v>7</v>
      </c>
      <c r="I4" s="712">
        <f>M79</f>
        <v>84190.8</v>
      </c>
      <c r="J4" s="24" t="s">
        <v>7</v>
      </c>
      <c r="K4" s="24" t="s">
        <v>8</v>
      </c>
      <c r="L4" s="712">
        <f>E4+G4+I4</f>
        <v>514164.8</v>
      </c>
      <c r="M4" s="24" t="s">
        <v>9</v>
      </c>
      <c r="N4" s="712">
        <f>E4+G4+I4+N9+T4</f>
        <v>538483.80000000005</v>
      </c>
      <c r="O4" s="30" t="s">
        <v>10</v>
      </c>
      <c r="P4" s="30"/>
      <c r="Q4" t="s">
        <v>11</v>
      </c>
      <c r="R4" s="235">
        <f>N5/N4</f>
        <v>0.76873027563689</v>
      </c>
      <c r="S4" s="24" t="s">
        <v>12</v>
      </c>
      <c r="T4" s="712">
        <f>M107</f>
        <v>9669</v>
      </c>
      <c r="V4" s="39">
        <f>N4-T4-N9</f>
        <v>514164.80000000005</v>
      </c>
    </row>
    <row r="5" spans="1:22" ht="19.5" customHeight="1" x14ac:dyDescent="0.35">
      <c r="B5" s="227" t="s">
        <v>13</v>
      </c>
      <c r="C5" s="232"/>
      <c r="D5" s="24" t="s">
        <v>14</v>
      </c>
      <c r="E5" s="712">
        <f>F33</f>
        <v>192342</v>
      </c>
      <c r="F5" s="24" t="s">
        <v>14</v>
      </c>
      <c r="G5" s="712">
        <f>F56</f>
        <v>155262</v>
      </c>
      <c r="H5" s="24" t="s">
        <v>14</v>
      </c>
      <c r="I5" s="712">
        <f>F79</f>
        <v>66344.800000000003</v>
      </c>
      <c r="J5" s="24" t="s">
        <v>14</v>
      </c>
      <c r="K5" s="233">
        <f>F99+K99</f>
        <v>0</v>
      </c>
      <c r="L5" s="234"/>
      <c r="M5" s="24" t="s">
        <v>14</v>
      </c>
      <c r="N5" s="712">
        <f>E5+G5+I5</f>
        <v>413948.8</v>
      </c>
      <c r="O5" s="30"/>
      <c r="P5" s="30"/>
    </row>
    <row r="6" spans="1:22" ht="16.899999999999999" customHeight="1" x14ac:dyDescent="0.35">
      <c r="B6" s="227"/>
      <c r="C6" s="232"/>
      <c r="D6" s="24" t="s">
        <v>15</v>
      </c>
      <c r="E6" s="712">
        <f>D33</f>
        <v>177</v>
      </c>
      <c r="F6" s="24" t="s">
        <v>15</v>
      </c>
      <c r="G6" s="712">
        <f>D56</f>
        <v>176</v>
      </c>
      <c r="H6" s="24" t="s">
        <v>15</v>
      </c>
      <c r="I6" s="712">
        <f>D79</f>
        <v>79</v>
      </c>
      <c r="J6" s="24" t="s">
        <v>15</v>
      </c>
      <c r="K6" s="233">
        <f>D99</f>
        <v>0</v>
      </c>
      <c r="L6" s="234"/>
      <c r="M6" s="24" t="s">
        <v>15</v>
      </c>
      <c r="N6" s="712">
        <f>E6+G6+I6</f>
        <v>432</v>
      </c>
      <c r="O6" s="30"/>
      <c r="P6" s="30"/>
    </row>
    <row r="7" spans="1:22" s="25" customFormat="1" ht="15" customHeight="1" x14ac:dyDescent="0.35">
      <c r="B7" s="31"/>
      <c r="C7" s="32"/>
      <c r="D7" s="24" t="s">
        <v>16</v>
      </c>
      <c r="E7" s="712">
        <f>H33</f>
        <v>348</v>
      </c>
      <c r="F7" s="24" t="s">
        <v>16</v>
      </c>
      <c r="G7" s="712">
        <f>H56</f>
        <v>224</v>
      </c>
      <c r="H7" s="24" t="s">
        <v>16</v>
      </c>
      <c r="I7" s="712">
        <f>H79</f>
        <v>84</v>
      </c>
      <c r="J7" s="24" t="s">
        <v>16</v>
      </c>
      <c r="K7" s="233">
        <f>H99</f>
        <v>0</v>
      </c>
      <c r="L7" s="236"/>
      <c r="M7" s="24" t="s">
        <v>17</v>
      </c>
      <c r="N7" s="713">
        <v>17.64</v>
      </c>
      <c r="O7" s="30" t="s">
        <v>10</v>
      </c>
      <c r="P7" s="30"/>
    </row>
    <row r="8" spans="1:22" s="25" customFormat="1" ht="15" customHeight="1" x14ac:dyDescent="0.35">
      <c r="B8" s="31"/>
      <c r="C8" s="32"/>
      <c r="D8" s="24" t="s">
        <v>18</v>
      </c>
      <c r="E8" s="712">
        <f>G33</f>
        <v>318</v>
      </c>
      <c r="F8" s="24" t="s">
        <v>18</v>
      </c>
      <c r="G8" s="712">
        <f>G56</f>
        <v>224</v>
      </c>
      <c r="H8" s="24" t="s">
        <v>18</v>
      </c>
      <c r="I8" s="712">
        <f>G79</f>
        <v>84</v>
      </c>
      <c r="J8" s="24" t="s">
        <v>18</v>
      </c>
      <c r="K8" s="233">
        <f>G99</f>
        <v>0</v>
      </c>
      <c r="L8" s="236"/>
      <c r="M8" s="24" t="s">
        <v>19</v>
      </c>
      <c r="N8" s="714"/>
      <c r="O8" s="30"/>
      <c r="P8" s="30"/>
    </row>
    <row r="9" spans="1:22" s="25" customFormat="1" ht="15" customHeight="1" x14ac:dyDescent="0.35">
      <c r="B9" s="33">
        <f ca="1">NOW()</f>
        <v>46143.710956712966</v>
      </c>
      <c r="C9" s="32"/>
      <c r="M9" s="24" t="s">
        <v>20</v>
      </c>
      <c r="N9" s="712">
        <f>M115</f>
        <v>14650</v>
      </c>
      <c r="O9" s="30" t="s">
        <v>10</v>
      </c>
      <c r="P9" s="30"/>
    </row>
    <row r="10" spans="1:22" s="25" customFormat="1" ht="15.5" x14ac:dyDescent="0.35">
      <c r="B10" s="34"/>
      <c r="C10" s="26" t="s">
        <v>21</v>
      </c>
      <c r="M10" s="24" t="s">
        <v>22</v>
      </c>
      <c r="N10" s="712">
        <v>20</v>
      </c>
      <c r="O10" s="30" t="s">
        <v>10</v>
      </c>
      <c r="P10" s="30"/>
    </row>
    <row r="11" spans="1:22" s="25" customFormat="1" ht="15.5" x14ac:dyDescent="0.35">
      <c r="B11" s="27" t="s">
        <v>23</v>
      </c>
      <c r="C11" s="25" t="s">
        <v>24</v>
      </c>
      <c r="D11" s="25" t="s">
        <v>25</v>
      </c>
      <c r="M11" s="24"/>
      <c r="N11" s="237"/>
      <c r="O11" s="30"/>
      <c r="P11" s="30"/>
    </row>
    <row r="12" spans="1:22" s="25" customFormat="1" ht="15.5" x14ac:dyDescent="0.35">
      <c r="B12" s="27"/>
      <c r="C12" s="238">
        <v>5</v>
      </c>
      <c r="D12" s="238">
        <v>3</v>
      </c>
      <c r="M12" s="24"/>
      <c r="N12" s="237"/>
      <c r="O12" s="30"/>
      <c r="P12" s="30"/>
    </row>
    <row r="13" spans="1:22" s="28" customFormat="1" ht="15.5" x14ac:dyDescent="0.35">
      <c r="A13" s="35" t="s">
        <v>26</v>
      </c>
      <c r="B13" s="608" t="s">
        <v>27</v>
      </c>
      <c r="C13" s="609" t="s">
        <v>15</v>
      </c>
      <c r="D13" s="609" t="s">
        <v>25</v>
      </c>
      <c r="E13" s="609" t="s">
        <v>28</v>
      </c>
      <c r="F13" s="609" t="s">
        <v>14</v>
      </c>
      <c r="G13" s="609" t="s">
        <v>18</v>
      </c>
      <c r="H13" s="609" t="s">
        <v>16</v>
      </c>
      <c r="I13" s="609" t="s">
        <v>29</v>
      </c>
      <c r="J13" s="609" t="s">
        <v>30</v>
      </c>
      <c r="K13" s="609" t="s">
        <v>31</v>
      </c>
      <c r="L13" s="609" t="s">
        <v>32</v>
      </c>
      <c r="M13" s="609" t="s">
        <v>33</v>
      </c>
      <c r="N13" s="610" t="s">
        <v>34</v>
      </c>
      <c r="O13" s="25"/>
      <c r="P13" s="25"/>
      <c r="Q13" s="25"/>
      <c r="R13" s="25"/>
    </row>
    <row r="14" spans="1:22" x14ac:dyDescent="0.35">
      <c r="B14" s="38"/>
      <c r="C14" s="36" t="s">
        <v>35</v>
      </c>
      <c r="D14" s="239"/>
      <c r="E14" s="239"/>
      <c r="F14" s="239"/>
      <c r="G14" s="239"/>
      <c r="H14" s="239"/>
      <c r="I14" s="239"/>
      <c r="J14" s="239"/>
      <c r="K14" s="239"/>
      <c r="L14" s="239"/>
      <c r="M14" s="239"/>
      <c r="N14" s="37"/>
      <c r="R14" s="36" t="s">
        <v>36</v>
      </c>
      <c r="T14" s="39">
        <f>D15+D38+D61</f>
        <v>28</v>
      </c>
    </row>
    <row r="15" spans="1:22" x14ac:dyDescent="0.35">
      <c r="B15" s="38">
        <f>$C$12</f>
        <v>5</v>
      </c>
      <c r="C15" s="36" t="s">
        <v>36</v>
      </c>
      <c r="D15" s="239">
        <v>0</v>
      </c>
      <c r="E15" s="239">
        <v>598</v>
      </c>
      <c r="F15" s="239">
        <f t="shared" ref="F15:F27" si="0">D15*E15</f>
        <v>0</v>
      </c>
      <c r="G15" s="239">
        <f>D15*1</f>
        <v>0</v>
      </c>
      <c r="H15" s="239">
        <f>D15*1</f>
        <v>0</v>
      </c>
      <c r="I15" s="239"/>
      <c r="J15" s="239"/>
      <c r="K15" s="239"/>
      <c r="L15" s="239"/>
      <c r="M15" s="239">
        <f t="shared" ref="M15:M27" si="1">F15</f>
        <v>0</v>
      </c>
      <c r="N15" s="37">
        <f>M15/$E$4</f>
        <v>0</v>
      </c>
      <c r="R15" s="368" t="s">
        <v>37</v>
      </c>
      <c r="T15" s="39">
        <f t="shared" ref="T15:T26" si="2">D16+D39+D62</f>
        <v>128</v>
      </c>
    </row>
    <row r="16" spans="1:22" x14ac:dyDescent="0.35">
      <c r="B16" s="38">
        <f t="shared" ref="B16:B31" si="3">$C$12</f>
        <v>5</v>
      </c>
      <c r="C16" s="368" t="s">
        <v>37</v>
      </c>
      <c r="D16" s="239">
        <f>12*$D$12</f>
        <v>36</v>
      </c>
      <c r="E16" s="239">
        <v>757</v>
      </c>
      <c r="F16" s="239">
        <f t="shared" si="0"/>
        <v>27252</v>
      </c>
      <c r="G16" s="239">
        <f>D16*1</f>
        <v>36</v>
      </c>
      <c r="H16" s="239">
        <f>D16*1</f>
        <v>36</v>
      </c>
      <c r="I16" s="239"/>
      <c r="J16" s="239"/>
      <c r="K16" s="239"/>
      <c r="L16" s="239"/>
      <c r="M16" s="239">
        <f t="shared" si="1"/>
        <v>27252</v>
      </c>
      <c r="N16" s="37">
        <f t="shared" ref="N16:N31" si="4">M16/$E$4</f>
        <v>0.11526163528396691</v>
      </c>
      <c r="Q16" s="39"/>
      <c r="R16" s="36" t="s">
        <v>38</v>
      </c>
      <c r="T16" s="39">
        <f t="shared" si="2"/>
        <v>30</v>
      </c>
    </row>
    <row r="17" spans="2:20" x14ac:dyDescent="0.35">
      <c r="B17" s="38">
        <f t="shared" si="3"/>
        <v>5</v>
      </c>
      <c r="C17" s="36" t="s">
        <v>38</v>
      </c>
      <c r="D17" s="239">
        <f t="shared" ref="D17:D23" si="5">0*$D$12</f>
        <v>0</v>
      </c>
      <c r="E17" s="239">
        <v>796</v>
      </c>
      <c r="F17" s="239">
        <f t="shared" si="0"/>
        <v>0</v>
      </c>
      <c r="G17" s="239">
        <f t="shared" ref="G17:G23" si="6">D17*1</f>
        <v>0</v>
      </c>
      <c r="H17" s="239">
        <f t="shared" ref="H17:H23" si="7">D17*1</f>
        <v>0</v>
      </c>
      <c r="I17" s="239"/>
      <c r="J17" s="239"/>
      <c r="K17" s="239"/>
      <c r="L17" s="239"/>
      <c r="M17" s="239">
        <f t="shared" si="1"/>
        <v>0</v>
      </c>
      <c r="N17" s="37">
        <f t="shared" si="4"/>
        <v>0</v>
      </c>
      <c r="Q17" s="39"/>
      <c r="R17" s="36" t="s">
        <v>39</v>
      </c>
      <c r="T17" s="39">
        <f t="shared" si="2"/>
        <v>12</v>
      </c>
    </row>
    <row r="18" spans="2:20" x14ac:dyDescent="0.35">
      <c r="B18" s="38">
        <f t="shared" si="3"/>
        <v>5</v>
      </c>
      <c r="C18" s="36" t="s">
        <v>39</v>
      </c>
      <c r="D18" s="239">
        <f t="shared" si="5"/>
        <v>0</v>
      </c>
      <c r="E18" s="239">
        <v>840</v>
      </c>
      <c r="F18" s="239">
        <f t="shared" si="0"/>
        <v>0</v>
      </c>
      <c r="G18" s="239">
        <f t="shared" si="6"/>
        <v>0</v>
      </c>
      <c r="H18" s="239">
        <f t="shared" si="7"/>
        <v>0</v>
      </c>
      <c r="I18" s="239"/>
      <c r="J18" s="239"/>
      <c r="K18" s="239"/>
      <c r="L18" s="239"/>
      <c r="M18" s="239">
        <f t="shared" si="1"/>
        <v>0</v>
      </c>
      <c r="N18" s="37">
        <f t="shared" si="4"/>
        <v>0</v>
      </c>
      <c r="R18" s="36" t="s">
        <v>40</v>
      </c>
      <c r="T18" s="39">
        <f t="shared" si="2"/>
        <v>5</v>
      </c>
    </row>
    <row r="19" spans="2:20" x14ac:dyDescent="0.35">
      <c r="B19" s="38">
        <f t="shared" si="3"/>
        <v>5</v>
      </c>
      <c r="C19" s="36" t="s">
        <v>40</v>
      </c>
      <c r="D19" s="239">
        <f t="shared" si="5"/>
        <v>0</v>
      </c>
      <c r="E19" s="239">
        <v>844</v>
      </c>
      <c r="F19" s="239">
        <f t="shared" si="0"/>
        <v>0</v>
      </c>
      <c r="G19" s="239">
        <f t="shared" si="6"/>
        <v>0</v>
      </c>
      <c r="H19" s="239">
        <f t="shared" si="7"/>
        <v>0</v>
      </c>
      <c r="I19" s="239"/>
      <c r="J19" s="239"/>
      <c r="K19" s="239"/>
      <c r="L19" s="239"/>
      <c r="M19" s="239">
        <f t="shared" si="1"/>
        <v>0</v>
      </c>
      <c r="N19" s="37">
        <f t="shared" si="4"/>
        <v>0</v>
      </c>
      <c r="R19" s="36" t="s">
        <v>41</v>
      </c>
      <c r="T19" s="39">
        <f t="shared" si="2"/>
        <v>2</v>
      </c>
    </row>
    <row r="20" spans="2:20" x14ac:dyDescent="0.35">
      <c r="B20" s="38">
        <f t="shared" si="3"/>
        <v>5</v>
      </c>
      <c r="C20" s="36" t="s">
        <v>41</v>
      </c>
      <c r="D20" s="239">
        <f t="shared" si="5"/>
        <v>0</v>
      </c>
      <c r="E20" s="239">
        <v>779</v>
      </c>
      <c r="F20" s="239">
        <f t="shared" si="0"/>
        <v>0</v>
      </c>
      <c r="G20" s="239">
        <f t="shared" si="6"/>
        <v>0</v>
      </c>
      <c r="H20" s="239">
        <f t="shared" si="7"/>
        <v>0</v>
      </c>
      <c r="I20" s="239"/>
      <c r="J20" s="239"/>
      <c r="K20" s="239"/>
      <c r="L20" s="239"/>
      <c r="M20" s="239">
        <f t="shared" si="1"/>
        <v>0</v>
      </c>
      <c r="N20" s="37">
        <f t="shared" si="4"/>
        <v>0</v>
      </c>
      <c r="R20" s="36" t="s">
        <v>42</v>
      </c>
      <c r="T20" s="39">
        <f t="shared" si="2"/>
        <v>18</v>
      </c>
    </row>
    <row r="21" spans="2:20" x14ac:dyDescent="0.35">
      <c r="B21" s="38">
        <f t="shared" si="3"/>
        <v>5</v>
      </c>
      <c r="C21" s="36" t="s">
        <v>42</v>
      </c>
      <c r="D21" s="239">
        <f t="shared" si="5"/>
        <v>0</v>
      </c>
      <c r="E21" s="239">
        <v>986</v>
      </c>
      <c r="F21" s="239">
        <f t="shared" si="0"/>
        <v>0</v>
      </c>
      <c r="G21" s="239">
        <f t="shared" si="6"/>
        <v>0</v>
      </c>
      <c r="H21" s="239">
        <f t="shared" si="7"/>
        <v>0</v>
      </c>
      <c r="I21" s="239"/>
      <c r="J21" s="239"/>
      <c r="K21" s="239"/>
      <c r="L21" s="239"/>
      <c r="M21" s="239">
        <f t="shared" si="1"/>
        <v>0</v>
      </c>
      <c r="N21" s="37">
        <f t="shared" si="4"/>
        <v>0</v>
      </c>
      <c r="R21" s="36" t="s">
        <v>43</v>
      </c>
      <c r="T21" s="39">
        <f t="shared" si="2"/>
        <v>9</v>
      </c>
    </row>
    <row r="22" spans="2:20" x14ac:dyDescent="0.35">
      <c r="B22" s="38">
        <f t="shared" si="3"/>
        <v>5</v>
      </c>
      <c r="C22" s="36" t="s">
        <v>43</v>
      </c>
      <c r="D22" s="239">
        <f t="shared" si="5"/>
        <v>0</v>
      </c>
      <c r="E22" s="239">
        <v>993</v>
      </c>
      <c r="F22" s="239">
        <f t="shared" si="0"/>
        <v>0</v>
      </c>
      <c r="G22" s="239">
        <f t="shared" si="6"/>
        <v>0</v>
      </c>
      <c r="H22" s="239">
        <f t="shared" si="7"/>
        <v>0</v>
      </c>
      <c r="I22" s="239"/>
      <c r="J22" s="239"/>
      <c r="K22" s="239"/>
      <c r="L22" s="239"/>
      <c r="M22" s="239">
        <f t="shared" si="1"/>
        <v>0</v>
      </c>
      <c r="N22" s="37">
        <f t="shared" si="4"/>
        <v>0</v>
      </c>
      <c r="R22" s="36" t="s">
        <v>44</v>
      </c>
      <c r="T22" s="39">
        <f t="shared" si="2"/>
        <v>6</v>
      </c>
    </row>
    <row r="23" spans="2:20" x14ac:dyDescent="0.35">
      <c r="B23" s="38">
        <f t="shared" si="3"/>
        <v>5</v>
      </c>
      <c r="C23" s="36" t="s">
        <v>44</v>
      </c>
      <c r="D23" s="239">
        <f t="shared" si="5"/>
        <v>0</v>
      </c>
      <c r="E23" s="239">
        <v>1014</v>
      </c>
      <c r="F23" s="239">
        <f t="shared" si="0"/>
        <v>0</v>
      </c>
      <c r="G23" s="239">
        <f t="shared" si="6"/>
        <v>0</v>
      </c>
      <c r="H23" s="239">
        <f t="shared" si="7"/>
        <v>0</v>
      </c>
      <c r="I23" s="239"/>
      <c r="J23" s="239"/>
      <c r="K23" s="239"/>
      <c r="L23" s="239"/>
      <c r="M23" s="239">
        <f t="shared" si="1"/>
        <v>0</v>
      </c>
      <c r="N23" s="37">
        <f t="shared" si="4"/>
        <v>0</v>
      </c>
      <c r="R23" s="368" t="s">
        <v>45</v>
      </c>
      <c r="T23" s="39">
        <f t="shared" si="2"/>
        <v>44</v>
      </c>
    </row>
    <row r="24" spans="2:20" x14ac:dyDescent="0.35">
      <c r="B24" s="38">
        <f t="shared" si="3"/>
        <v>5</v>
      </c>
      <c r="C24" s="368" t="s">
        <v>45</v>
      </c>
      <c r="D24" s="239">
        <f>13*$D$12</f>
        <v>39</v>
      </c>
      <c r="E24" s="239">
        <v>1148</v>
      </c>
      <c r="F24" s="239">
        <f t="shared" si="0"/>
        <v>44772</v>
      </c>
      <c r="G24" s="239">
        <f>D24*2</f>
        <v>78</v>
      </c>
      <c r="H24" s="239">
        <f>D24*2</f>
        <v>78</v>
      </c>
      <c r="I24" s="239"/>
      <c r="J24" s="239"/>
      <c r="K24" s="239"/>
      <c r="L24" s="239"/>
      <c r="M24" s="239">
        <f t="shared" si="1"/>
        <v>44772</v>
      </c>
      <c r="N24" s="37">
        <f t="shared" si="4"/>
        <v>0.18936202608739786</v>
      </c>
      <c r="R24" s="36" t="s">
        <v>46</v>
      </c>
      <c r="T24" s="39">
        <f t="shared" si="2"/>
        <v>50</v>
      </c>
    </row>
    <row r="25" spans="2:20" x14ac:dyDescent="0.35">
      <c r="B25" s="38">
        <f t="shared" si="3"/>
        <v>5</v>
      </c>
      <c r="C25" s="36" t="s">
        <v>46</v>
      </c>
      <c r="D25" s="239">
        <f>14*$D$12</f>
        <v>42</v>
      </c>
      <c r="E25" s="239">
        <v>1054</v>
      </c>
      <c r="F25" s="239">
        <f t="shared" si="0"/>
        <v>44268</v>
      </c>
      <c r="G25" s="239">
        <f>D25*2</f>
        <v>84</v>
      </c>
      <c r="H25" s="239">
        <f>D25*2</f>
        <v>84</v>
      </c>
      <c r="I25" s="239"/>
      <c r="J25" s="239"/>
      <c r="K25" s="239"/>
      <c r="L25" s="239"/>
      <c r="M25" s="239">
        <f t="shared" si="1"/>
        <v>44268</v>
      </c>
      <c r="N25" s="37">
        <f t="shared" si="4"/>
        <v>0.18723037100949094</v>
      </c>
      <c r="R25" s="36" t="s">
        <v>47</v>
      </c>
      <c r="T25" s="39">
        <f t="shared" si="2"/>
        <v>70</v>
      </c>
    </row>
    <row r="26" spans="2:20" x14ac:dyDescent="0.35">
      <c r="B26" s="38">
        <f t="shared" si="3"/>
        <v>5</v>
      </c>
      <c r="C26" s="36" t="s">
        <v>47</v>
      </c>
      <c r="D26" s="239">
        <f>10*$D$12</f>
        <v>30</v>
      </c>
      <c r="E26" s="239">
        <v>1214</v>
      </c>
      <c r="F26" s="239">
        <f t="shared" si="0"/>
        <v>36420</v>
      </c>
      <c r="G26" s="239">
        <f t="shared" ref="G26:G27" si="8">D26*2</f>
        <v>60</v>
      </c>
      <c r="H26" s="239">
        <f t="shared" ref="H26" si="9">D26*2</f>
        <v>60</v>
      </c>
      <c r="I26" s="239"/>
      <c r="J26" s="239"/>
      <c r="K26" s="239"/>
      <c r="L26" s="239"/>
      <c r="M26" s="239">
        <f t="shared" si="1"/>
        <v>36420</v>
      </c>
      <c r="N26" s="37">
        <f t="shared" si="4"/>
        <v>0.15403745622494036</v>
      </c>
      <c r="Q26" s="39"/>
      <c r="R26" s="36" t="s">
        <v>48</v>
      </c>
      <c r="T26" s="39">
        <f t="shared" si="2"/>
        <v>30</v>
      </c>
    </row>
    <row r="27" spans="2:20" x14ac:dyDescent="0.35">
      <c r="B27" s="38">
        <f t="shared" si="3"/>
        <v>5</v>
      </c>
      <c r="C27" s="36" t="s">
        <v>48</v>
      </c>
      <c r="D27" s="239">
        <v>30</v>
      </c>
      <c r="E27" s="239">
        <v>1321</v>
      </c>
      <c r="F27" s="239">
        <f t="shared" si="0"/>
        <v>39630</v>
      </c>
      <c r="G27" s="239">
        <f t="shared" si="8"/>
        <v>60</v>
      </c>
      <c r="H27" s="239">
        <f>D27*3</f>
        <v>90</v>
      </c>
      <c r="I27" s="239"/>
      <c r="J27" s="239"/>
      <c r="K27" s="239"/>
      <c r="L27" s="239"/>
      <c r="M27" s="239">
        <f t="shared" si="1"/>
        <v>39630</v>
      </c>
      <c r="N27" s="37">
        <f t="shared" si="4"/>
        <v>0.16761406892351419</v>
      </c>
      <c r="Q27" s="39"/>
      <c r="R27" s="235"/>
      <c r="T27" s="39">
        <f>SUM(T14:T26)</f>
        <v>432</v>
      </c>
    </row>
    <row r="28" spans="2:20" x14ac:dyDescent="0.35">
      <c r="B28" s="38">
        <f t="shared" si="3"/>
        <v>5</v>
      </c>
      <c r="C28" s="36" t="s">
        <v>30</v>
      </c>
      <c r="D28" s="239"/>
      <c r="E28" s="239"/>
      <c r="F28" s="239"/>
      <c r="G28" s="239"/>
      <c r="H28" s="239"/>
      <c r="I28" s="239"/>
      <c r="J28" s="239">
        <f>7151*3</f>
        <v>21453</v>
      </c>
      <c r="K28" s="239"/>
      <c r="L28" s="239"/>
      <c r="M28" s="239">
        <f>J28</f>
        <v>21453</v>
      </c>
      <c r="N28" s="37">
        <f t="shared" si="4"/>
        <v>9.0734913464954575E-2</v>
      </c>
      <c r="R28" s="235"/>
    </row>
    <row r="29" spans="2:20" x14ac:dyDescent="0.35">
      <c r="B29" s="38">
        <f t="shared" si="3"/>
        <v>5</v>
      </c>
      <c r="C29" s="36" t="s">
        <v>31</v>
      </c>
      <c r="D29" s="239"/>
      <c r="E29" s="239"/>
      <c r="F29" s="239"/>
      <c r="G29" s="239"/>
      <c r="H29" s="239"/>
      <c r="I29" s="239"/>
      <c r="J29" s="239"/>
      <c r="K29" s="239">
        <f>3866*3</f>
        <v>11598</v>
      </c>
      <c r="L29" s="239"/>
      <c r="M29" s="239">
        <f>K29</f>
        <v>11598</v>
      </c>
      <c r="N29" s="37">
        <f t="shared" si="4"/>
        <v>4.9053443638024663E-2</v>
      </c>
      <c r="R29" s="235"/>
    </row>
    <row r="30" spans="2:20" x14ac:dyDescent="0.35">
      <c r="B30" s="38">
        <f t="shared" si="3"/>
        <v>5</v>
      </c>
      <c r="C30" s="36" t="s">
        <v>49</v>
      </c>
      <c r="D30" s="239"/>
      <c r="E30" s="239"/>
      <c r="F30" s="239"/>
      <c r="G30" s="239"/>
      <c r="H30" s="239"/>
      <c r="I30" s="239">
        <f>1682*3</f>
        <v>5046</v>
      </c>
      <c r="J30" s="239"/>
      <c r="K30" s="239"/>
      <c r="L30" s="239">
        <v>0</v>
      </c>
      <c r="M30" s="239">
        <f>I30</f>
        <v>5046</v>
      </c>
      <c r="N30" s="37">
        <f t="shared" si="4"/>
        <v>2.1341927625234736E-2</v>
      </c>
      <c r="R30" s="235"/>
    </row>
    <row r="31" spans="2:20" x14ac:dyDescent="0.35">
      <c r="B31" s="38">
        <f t="shared" si="3"/>
        <v>5</v>
      </c>
      <c r="C31" s="36" t="s">
        <v>50</v>
      </c>
      <c r="D31" s="239"/>
      <c r="E31" s="239"/>
      <c r="F31" s="239"/>
      <c r="G31" s="239"/>
      <c r="H31" s="239"/>
      <c r="I31" s="239"/>
      <c r="J31" s="239"/>
      <c r="K31" s="239"/>
      <c r="L31" s="239">
        <f>1999*3</f>
        <v>5997</v>
      </c>
      <c r="M31" s="239">
        <f>L31</f>
        <v>5997</v>
      </c>
      <c r="N31" s="37">
        <f t="shared" si="4"/>
        <v>2.5364157742475767E-2</v>
      </c>
      <c r="R31" s="235"/>
    </row>
    <row r="32" spans="2:20" x14ac:dyDescent="0.35">
      <c r="B32" s="240"/>
      <c r="C32" s="36"/>
      <c r="D32" s="239"/>
      <c r="E32" s="239"/>
      <c r="F32" s="239"/>
      <c r="G32" s="239"/>
      <c r="H32" s="239"/>
      <c r="I32" s="239"/>
      <c r="J32" s="239"/>
      <c r="K32" s="239"/>
      <c r="L32" s="239"/>
      <c r="M32" s="239"/>
      <c r="N32" s="37"/>
      <c r="R32" s="235"/>
    </row>
    <row r="33" spans="1:20" s="29" customFormat="1" x14ac:dyDescent="0.35">
      <c r="A33"/>
      <c r="B33" s="715" t="s">
        <v>51</v>
      </c>
      <c r="C33" s="716"/>
      <c r="D33" s="717">
        <f>SUM(D15:D27)</f>
        <v>177</v>
      </c>
      <c r="E33" s="718"/>
      <c r="F33" s="717">
        <f>SUM(F15:F27)</f>
        <v>192342</v>
      </c>
      <c r="G33" s="717">
        <f>SUM(G15:G27)</f>
        <v>318</v>
      </c>
      <c r="H33" s="718">
        <f>SUM(H15:H27)</f>
        <v>348</v>
      </c>
      <c r="I33" s="717">
        <f>SUM(I30:I32)</f>
        <v>5046</v>
      </c>
      <c r="J33" s="717">
        <f>SUM(J28:J32)</f>
        <v>21453</v>
      </c>
      <c r="K33" s="717">
        <f>SUM(K14:K31)</f>
        <v>11598</v>
      </c>
      <c r="L33" s="719">
        <f>SUM(L30:L32)</f>
        <v>5997</v>
      </c>
      <c r="M33" s="718">
        <f>SUM(M15:M32)</f>
        <v>236436</v>
      </c>
      <c r="N33" s="720">
        <f>SUM(N15:N31)</f>
        <v>0.99999999999999989</v>
      </c>
      <c r="O33" s="241" t="s">
        <v>52</v>
      </c>
      <c r="P33" s="565">
        <f>F33/D33</f>
        <v>1086.6779661016949</v>
      </c>
      <c r="Q33" s="565" t="s">
        <v>53</v>
      </c>
      <c r="R33" s="566">
        <f>N5/432</f>
        <v>958.21481481481476</v>
      </c>
      <c r="S33" s="567"/>
      <c r="T33" s="567"/>
    </row>
    <row r="34" spans="1:20" s="29" customFormat="1" ht="15.5" x14ac:dyDescent="0.35">
      <c r="A34"/>
      <c r="B34" s="27" t="s">
        <v>54</v>
      </c>
      <c r="C34" s="25" t="s">
        <v>24</v>
      </c>
      <c r="D34" s="25" t="s">
        <v>25</v>
      </c>
      <c r="E34" s="242"/>
      <c r="F34" s="243"/>
      <c r="G34" s="243"/>
      <c r="H34" s="242"/>
      <c r="I34" s="243"/>
      <c r="J34" s="243"/>
      <c r="K34" s="243"/>
      <c r="L34" s="244"/>
      <c r="M34" s="242"/>
      <c r="N34" s="84"/>
      <c r="O34"/>
      <c r="P34" s="567"/>
      <c r="Q34" s="567"/>
      <c r="R34" s="568"/>
      <c r="S34" s="567"/>
      <c r="T34" s="567"/>
    </row>
    <row r="35" spans="1:20" s="25" customFormat="1" ht="15.5" x14ac:dyDescent="0.35">
      <c r="B35" s="27"/>
      <c r="C35" s="238">
        <v>5</v>
      </c>
      <c r="D35" s="238">
        <v>2</v>
      </c>
      <c r="M35" s="24"/>
      <c r="N35" s="237"/>
      <c r="O35" s="245"/>
      <c r="P35" s="245"/>
    </row>
    <row r="36" spans="1:20" s="28" customFormat="1" ht="15.5" x14ac:dyDescent="0.35">
      <c r="A36" s="35" t="s">
        <v>55</v>
      </c>
      <c r="B36" s="608" t="s">
        <v>27</v>
      </c>
      <c r="C36" s="609" t="s">
        <v>15</v>
      </c>
      <c r="D36" s="609" t="s">
        <v>25</v>
      </c>
      <c r="E36" s="609" t="s">
        <v>28</v>
      </c>
      <c r="F36" s="609" t="s">
        <v>14</v>
      </c>
      <c r="G36" s="609" t="s">
        <v>18</v>
      </c>
      <c r="H36" s="609" t="s">
        <v>16</v>
      </c>
      <c r="I36" s="609" t="s">
        <v>29</v>
      </c>
      <c r="J36" s="609" t="s">
        <v>30</v>
      </c>
      <c r="K36" s="609" t="s">
        <v>31</v>
      </c>
      <c r="L36" s="609" t="s">
        <v>32</v>
      </c>
      <c r="M36" s="609" t="s">
        <v>33</v>
      </c>
      <c r="N36" s="610" t="s">
        <v>34</v>
      </c>
      <c r="O36" s="25"/>
      <c r="P36" s="25"/>
      <c r="Q36" s="25"/>
      <c r="R36" s="25"/>
    </row>
    <row r="37" spans="1:20" x14ac:dyDescent="0.35">
      <c r="B37" s="38"/>
      <c r="C37" s="36" t="s">
        <v>56</v>
      </c>
      <c r="D37" s="239"/>
      <c r="E37" s="239"/>
      <c r="F37" s="239"/>
      <c r="G37" s="239"/>
      <c r="H37" s="239"/>
      <c r="I37" s="239"/>
      <c r="J37" s="239"/>
      <c r="K37" s="239"/>
      <c r="L37" s="239"/>
      <c r="M37" s="239"/>
      <c r="N37" s="37"/>
    </row>
    <row r="38" spans="1:20" x14ac:dyDescent="0.35">
      <c r="B38" s="38">
        <f t="shared" ref="B38:B50" si="10">$C$35</f>
        <v>5</v>
      </c>
      <c r="C38" s="36" t="s">
        <v>36</v>
      </c>
      <c r="D38" s="239">
        <f>9*$D$35</f>
        <v>18</v>
      </c>
      <c r="E38" s="239">
        <v>598</v>
      </c>
      <c r="F38" s="239">
        <f t="shared" ref="F38:F50" si="11">D38*E38</f>
        <v>10764</v>
      </c>
      <c r="G38" s="239">
        <f>D38*1</f>
        <v>18</v>
      </c>
      <c r="H38" s="239">
        <f>D38*1</f>
        <v>18</v>
      </c>
      <c r="I38" s="239"/>
      <c r="J38" s="239"/>
      <c r="K38" s="239"/>
      <c r="L38" s="239"/>
      <c r="M38" s="239">
        <f t="shared" ref="M38:M50" si="12">F38</f>
        <v>10764</v>
      </c>
      <c r="N38" s="37">
        <f>M38/$G$4</f>
        <v>5.5616984778183096E-2</v>
      </c>
    </row>
    <row r="39" spans="1:20" x14ac:dyDescent="0.35">
      <c r="B39" s="38">
        <f t="shared" si="10"/>
        <v>5</v>
      </c>
      <c r="C39" s="36" t="s">
        <v>37</v>
      </c>
      <c r="D39" s="239">
        <f>34*$D$35</f>
        <v>68</v>
      </c>
      <c r="E39" s="239">
        <v>757</v>
      </c>
      <c r="F39" s="239">
        <f t="shared" si="11"/>
        <v>51476</v>
      </c>
      <c r="G39" s="239">
        <f>D39*1</f>
        <v>68</v>
      </c>
      <c r="H39" s="239">
        <f>D39*1</f>
        <v>68</v>
      </c>
      <c r="I39" s="239"/>
      <c r="J39" s="239"/>
      <c r="K39" s="239"/>
      <c r="L39" s="239"/>
      <c r="M39" s="239">
        <f t="shared" si="12"/>
        <v>51476</v>
      </c>
      <c r="N39" s="37">
        <f t="shared" ref="N39:N44" si="13">M39/$G$4</f>
        <v>0.26597360725025576</v>
      </c>
      <c r="Q39" s="39"/>
      <c r="R39" s="235"/>
      <c r="T39" s="39"/>
    </row>
    <row r="40" spans="1:20" x14ac:dyDescent="0.35">
      <c r="B40" s="38">
        <f t="shared" si="10"/>
        <v>5</v>
      </c>
      <c r="C40" s="36" t="s">
        <v>38</v>
      </c>
      <c r="D40" s="239">
        <f>10*$D$35</f>
        <v>20</v>
      </c>
      <c r="E40" s="239">
        <v>796</v>
      </c>
      <c r="F40" s="239">
        <f t="shared" si="11"/>
        <v>15920</v>
      </c>
      <c r="G40" s="239">
        <f t="shared" ref="G40:G42" si="14">D40*1</f>
        <v>20</v>
      </c>
      <c r="H40" s="239">
        <f t="shared" ref="H40:H42" si="15">D40*1</f>
        <v>20</v>
      </c>
      <c r="I40" s="239"/>
      <c r="J40" s="239"/>
      <c r="K40" s="239"/>
      <c r="L40" s="239"/>
      <c r="M40" s="239">
        <f t="shared" si="12"/>
        <v>15920</v>
      </c>
      <c r="N40" s="37">
        <f t="shared" si="13"/>
        <v>8.2257747832467004E-2</v>
      </c>
      <c r="Q40" s="39"/>
      <c r="R40" s="235"/>
      <c r="T40" s="39"/>
    </row>
    <row r="41" spans="1:20" x14ac:dyDescent="0.35">
      <c r="B41" s="38">
        <f t="shared" si="10"/>
        <v>5</v>
      </c>
      <c r="C41" s="36" t="s">
        <v>57</v>
      </c>
      <c r="D41" s="239">
        <f>4*$D$35</f>
        <v>8</v>
      </c>
      <c r="E41" s="239">
        <v>840</v>
      </c>
      <c r="F41" s="239">
        <f t="shared" si="11"/>
        <v>6720</v>
      </c>
      <c r="G41" s="239">
        <f t="shared" si="14"/>
        <v>8</v>
      </c>
      <c r="H41" s="239">
        <f t="shared" si="15"/>
        <v>8</v>
      </c>
      <c r="I41" s="239"/>
      <c r="J41" s="239"/>
      <c r="K41" s="239"/>
      <c r="L41" s="239"/>
      <c r="M41" s="239">
        <f t="shared" si="12"/>
        <v>6720</v>
      </c>
      <c r="N41" s="37">
        <f t="shared" si="13"/>
        <v>3.4721863406669488E-2</v>
      </c>
      <c r="R41" s="235"/>
    </row>
    <row r="42" spans="1:20" x14ac:dyDescent="0.35">
      <c r="B42" s="38">
        <f t="shared" si="10"/>
        <v>5</v>
      </c>
      <c r="C42" s="36" t="s">
        <v>58</v>
      </c>
      <c r="D42" s="239">
        <f>0*$D$35</f>
        <v>0</v>
      </c>
      <c r="E42" s="239">
        <v>844</v>
      </c>
      <c r="F42" s="239">
        <f t="shared" si="11"/>
        <v>0</v>
      </c>
      <c r="G42" s="239">
        <f t="shared" si="14"/>
        <v>0</v>
      </c>
      <c r="H42" s="239">
        <f t="shared" si="15"/>
        <v>0</v>
      </c>
      <c r="I42" s="239"/>
      <c r="J42" s="239"/>
      <c r="K42" s="239"/>
      <c r="L42" s="239"/>
      <c r="M42" s="239">
        <f t="shared" si="12"/>
        <v>0</v>
      </c>
      <c r="N42" s="37">
        <f t="shared" si="13"/>
        <v>0</v>
      </c>
      <c r="R42" s="235"/>
    </row>
    <row r="43" spans="1:20" x14ac:dyDescent="0.35">
      <c r="B43" s="38">
        <f t="shared" si="10"/>
        <v>5</v>
      </c>
      <c r="C43" s="36" t="s">
        <v>41</v>
      </c>
      <c r="D43" s="239">
        <f>1*$D$35</f>
        <v>2</v>
      </c>
      <c r="E43" s="239">
        <v>779</v>
      </c>
      <c r="F43" s="239">
        <f t="shared" si="11"/>
        <v>1558</v>
      </c>
      <c r="G43" s="239">
        <f>D43*1</f>
        <v>2</v>
      </c>
      <c r="H43" s="239">
        <f>D43*1</f>
        <v>2</v>
      </c>
      <c r="I43" s="239"/>
      <c r="J43" s="239"/>
      <c r="K43" s="239"/>
      <c r="L43" s="239"/>
      <c r="M43" s="239">
        <f t="shared" si="12"/>
        <v>1558</v>
      </c>
      <c r="N43" s="37">
        <f t="shared" si="13"/>
        <v>8.0500986886296224E-3</v>
      </c>
      <c r="R43" s="235"/>
    </row>
    <row r="44" spans="1:20" x14ac:dyDescent="0.35">
      <c r="B44" s="38">
        <f t="shared" si="10"/>
        <v>5</v>
      </c>
      <c r="C44" s="36" t="s">
        <v>42</v>
      </c>
      <c r="D44" s="239">
        <f>6*$D$35</f>
        <v>12</v>
      </c>
      <c r="E44" s="239">
        <v>986</v>
      </c>
      <c r="F44" s="239">
        <f t="shared" si="11"/>
        <v>11832</v>
      </c>
      <c r="G44" s="239">
        <f>D44*1</f>
        <v>12</v>
      </c>
      <c r="H44" s="239">
        <f>D44*1</f>
        <v>12</v>
      </c>
      <c r="I44" s="239"/>
      <c r="J44" s="239"/>
      <c r="K44" s="239"/>
      <c r="L44" s="239"/>
      <c r="M44" s="239">
        <f t="shared" si="12"/>
        <v>11832</v>
      </c>
      <c r="N44" s="37">
        <f t="shared" si="13"/>
        <v>6.1135280926743071E-2</v>
      </c>
      <c r="Q44" s="39"/>
      <c r="R44" s="235"/>
    </row>
    <row r="45" spans="1:20" x14ac:dyDescent="0.35">
      <c r="B45" s="38">
        <f t="shared" si="10"/>
        <v>5</v>
      </c>
      <c r="C45" s="36" t="s">
        <v>43</v>
      </c>
      <c r="D45" s="239">
        <f>0*$D$35</f>
        <v>0</v>
      </c>
      <c r="E45" s="239">
        <v>993</v>
      </c>
      <c r="F45" s="239">
        <f t="shared" si="11"/>
        <v>0</v>
      </c>
      <c r="G45" s="239">
        <f>D45*1</f>
        <v>0</v>
      </c>
      <c r="H45" s="239">
        <f>D45*1</f>
        <v>0</v>
      </c>
      <c r="I45" s="239"/>
      <c r="J45" s="239"/>
      <c r="K45" s="239"/>
      <c r="L45" s="239"/>
      <c r="M45" s="239">
        <f t="shared" si="12"/>
        <v>0</v>
      </c>
      <c r="N45" s="37">
        <f>M45/$G$4</f>
        <v>0</v>
      </c>
      <c r="Q45" s="39"/>
    </row>
    <row r="46" spans="1:20" x14ac:dyDescent="0.35">
      <c r="B46" s="38">
        <f t="shared" si="10"/>
        <v>5</v>
      </c>
      <c r="C46" s="36" t="s">
        <v>44</v>
      </c>
      <c r="D46" s="239">
        <f>0*$D$35</f>
        <v>0</v>
      </c>
      <c r="E46" s="239">
        <v>1014</v>
      </c>
      <c r="F46" s="239">
        <f t="shared" si="11"/>
        <v>0</v>
      </c>
      <c r="G46" s="239">
        <f>D46*1</f>
        <v>0</v>
      </c>
      <c r="H46" s="239">
        <f>D46*1</f>
        <v>0</v>
      </c>
      <c r="I46" s="239"/>
      <c r="J46" s="239"/>
      <c r="K46" s="239"/>
      <c r="L46" s="239"/>
      <c r="M46" s="239">
        <f t="shared" si="12"/>
        <v>0</v>
      </c>
      <c r="N46" s="37">
        <f t="shared" ref="N46:N54" si="16">M46/$G$4</f>
        <v>0</v>
      </c>
    </row>
    <row r="47" spans="1:20" x14ac:dyDescent="0.35">
      <c r="B47" s="38">
        <f t="shared" si="10"/>
        <v>5</v>
      </c>
      <c r="C47" s="36" t="s">
        <v>45</v>
      </c>
      <c r="D47" s="239">
        <f>0*$D$35</f>
        <v>0</v>
      </c>
      <c r="E47" s="239">
        <v>1148</v>
      </c>
      <c r="F47" s="239">
        <f t="shared" si="11"/>
        <v>0</v>
      </c>
      <c r="G47" s="239">
        <f>D47*2</f>
        <v>0</v>
      </c>
      <c r="H47" s="239">
        <f>D47*2</f>
        <v>0</v>
      </c>
      <c r="I47" s="239"/>
      <c r="J47" s="239"/>
      <c r="K47" s="239"/>
      <c r="L47" s="239"/>
      <c r="M47" s="239">
        <f t="shared" si="12"/>
        <v>0</v>
      </c>
      <c r="N47" s="37">
        <f t="shared" si="16"/>
        <v>0</v>
      </c>
      <c r="R47" s="235"/>
    </row>
    <row r="48" spans="1:20" x14ac:dyDescent="0.35">
      <c r="B48" s="38">
        <f t="shared" si="10"/>
        <v>5</v>
      </c>
      <c r="C48" s="36" t="s">
        <v>46</v>
      </c>
      <c r="D48" s="239">
        <f>4*$D$35</f>
        <v>8</v>
      </c>
      <c r="E48" s="239">
        <v>1054</v>
      </c>
      <c r="F48" s="239">
        <f t="shared" si="11"/>
        <v>8432</v>
      </c>
      <c r="G48" s="239">
        <f>D48*2</f>
        <v>16</v>
      </c>
      <c r="H48" s="239">
        <f>D48*2</f>
        <v>16</v>
      </c>
      <c r="I48" s="239"/>
      <c r="K48" s="239"/>
      <c r="L48" s="239"/>
      <c r="M48" s="239">
        <f t="shared" si="12"/>
        <v>8432</v>
      </c>
      <c r="N48" s="37">
        <f t="shared" si="16"/>
        <v>4.356767146503529E-2</v>
      </c>
      <c r="R48" s="235"/>
    </row>
    <row r="49" spans="1:20" x14ac:dyDescent="0.35">
      <c r="B49" s="38">
        <f t="shared" si="10"/>
        <v>5</v>
      </c>
      <c r="C49" s="36" t="s">
        <v>47</v>
      </c>
      <c r="D49" s="239">
        <f>20*$D$35</f>
        <v>40</v>
      </c>
      <c r="E49" s="239">
        <v>1214</v>
      </c>
      <c r="F49" s="239">
        <f t="shared" si="11"/>
        <v>48560</v>
      </c>
      <c r="G49" s="239">
        <f>D49*2</f>
        <v>80</v>
      </c>
      <c r="H49" s="239">
        <f>D49*2</f>
        <v>80</v>
      </c>
      <c r="I49" s="239"/>
      <c r="J49" s="239"/>
      <c r="L49" s="239"/>
      <c r="M49" s="239">
        <f t="shared" si="12"/>
        <v>48560</v>
      </c>
      <c r="N49" s="37">
        <f t="shared" si="16"/>
        <v>0.25090679866486171</v>
      </c>
      <c r="R49" s="235"/>
    </row>
    <row r="50" spans="1:20" x14ac:dyDescent="0.35">
      <c r="B50" s="38">
        <f t="shared" si="10"/>
        <v>5</v>
      </c>
      <c r="C50" s="36" t="s">
        <v>48</v>
      </c>
      <c r="D50" s="239">
        <f>0*$D$58</f>
        <v>0</v>
      </c>
      <c r="E50" s="239">
        <v>1321</v>
      </c>
      <c r="F50" s="239">
        <f t="shared" si="11"/>
        <v>0</v>
      </c>
      <c r="G50" s="239">
        <f>D50*2</f>
        <v>0</v>
      </c>
      <c r="H50" s="239">
        <f>D50*3</f>
        <v>0</v>
      </c>
      <c r="I50" s="239"/>
      <c r="J50" s="239"/>
      <c r="K50" s="239"/>
      <c r="M50" s="239">
        <f t="shared" si="12"/>
        <v>0</v>
      </c>
      <c r="N50" s="37">
        <f t="shared" si="16"/>
        <v>0</v>
      </c>
      <c r="R50" s="235"/>
    </row>
    <row r="51" spans="1:20" x14ac:dyDescent="0.35">
      <c r="B51" s="38"/>
      <c r="C51" s="36" t="s">
        <v>30</v>
      </c>
      <c r="D51" s="239"/>
      <c r="E51" s="239"/>
      <c r="F51" s="239"/>
      <c r="G51" s="239"/>
      <c r="H51" s="239"/>
      <c r="I51" s="239"/>
      <c r="J51" s="239">
        <f>8703*2</f>
        <v>17406</v>
      </c>
      <c r="K51" s="239"/>
      <c r="L51" s="239"/>
      <c r="M51" s="239">
        <f>J51</f>
        <v>17406</v>
      </c>
      <c r="N51" s="37">
        <f>M51/$G$4</f>
        <v>8.9935826556025167E-2</v>
      </c>
      <c r="R51" s="235"/>
    </row>
    <row r="52" spans="1:20" x14ac:dyDescent="0.35">
      <c r="B52" s="38"/>
      <c r="C52" s="36" t="s">
        <v>31</v>
      </c>
      <c r="D52" s="239"/>
      <c r="E52" s="239"/>
      <c r="F52" s="239"/>
      <c r="G52" s="239"/>
      <c r="H52" s="239"/>
      <c r="I52" s="239"/>
      <c r="J52" s="239"/>
      <c r="K52" s="239">
        <f>5645*2</f>
        <v>11290</v>
      </c>
      <c r="L52" s="239"/>
      <c r="M52" s="239">
        <f>K52</f>
        <v>11290</v>
      </c>
      <c r="N52" s="37">
        <f>M52/$G$4</f>
        <v>5.8334797300788478E-2</v>
      </c>
      <c r="R52" s="235"/>
    </row>
    <row r="53" spans="1:20" x14ac:dyDescent="0.35">
      <c r="B53" s="38"/>
      <c r="C53" s="36" t="s">
        <v>49</v>
      </c>
      <c r="D53" s="239"/>
      <c r="E53" s="239"/>
      <c r="F53" s="239"/>
      <c r="G53" s="239"/>
      <c r="H53" s="239"/>
      <c r="I53" s="239">
        <f>(364+2372)*2</f>
        <v>5472</v>
      </c>
      <c r="J53" s="239"/>
      <c r="K53" s="239"/>
      <c r="L53" s="239">
        <v>0</v>
      </c>
      <c r="M53" s="239">
        <f>I53</f>
        <v>5472</v>
      </c>
      <c r="N53" s="37">
        <f t="shared" si="16"/>
        <v>2.8273517345430873E-2</v>
      </c>
      <c r="R53" s="235"/>
    </row>
    <row r="54" spans="1:20" x14ac:dyDescent="0.35">
      <c r="B54" s="38"/>
      <c r="C54" s="36" t="s">
        <v>50</v>
      </c>
      <c r="D54" s="239"/>
      <c r="E54" s="239"/>
      <c r="F54" s="239"/>
      <c r="G54" s="239"/>
      <c r="H54" s="239"/>
      <c r="I54" s="239"/>
      <c r="J54" s="239"/>
      <c r="K54" s="239"/>
      <c r="L54" s="239">
        <f>2054*2</f>
        <v>4108</v>
      </c>
      <c r="M54" s="239">
        <f>L54</f>
        <v>4108</v>
      </c>
      <c r="N54" s="37">
        <f t="shared" si="16"/>
        <v>2.1225805784910456E-2</v>
      </c>
      <c r="R54" s="235"/>
    </row>
    <row r="55" spans="1:20" x14ac:dyDescent="0.35">
      <c r="B55" s="240"/>
      <c r="C55" s="36"/>
      <c r="D55" s="239"/>
      <c r="E55" s="239"/>
      <c r="F55" s="239"/>
      <c r="G55" s="239"/>
      <c r="H55" s="239"/>
      <c r="I55" s="239"/>
      <c r="J55" s="239"/>
      <c r="K55" s="239"/>
      <c r="L55" s="239"/>
      <c r="M55" s="239"/>
      <c r="N55" s="37"/>
      <c r="R55" s="235"/>
    </row>
    <row r="56" spans="1:20" s="29" customFormat="1" x14ac:dyDescent="0.35">
      <c r="A56"/>
      <c r="B56" s="715" t="s">
        <v>51</v>
      </c>
      <c r="C56" s="716"/>
      <c r="D56" s="717">
        <f>SUM(D38:D50)</f>
        <v>176</v>
      </c>
      <c r="E56" s="718"/>
      <c r="F56" s="717">
        <f>SUM(F38:F50)</f>
        <v>155262</v>
      </c>
      <c r="G56" s="717">
        <f>SUM(G38:G50)</f>
        <v>224</v>
      </c>
      <c r="H56" s="718">
        <f>SUM(H38:H50)</f>
        <v>224</v>
      </c>
      <c r="I56" s="717">
        <f>SUM(I53:I55)</f>
        <v>5472</v>
      </c>
      <c r="J56" s="717">
        <f>SUM(J51:J55)</f>
        <v>17406</v>
      </c>
      <c r="K56" s="717">
        <f>SUM(K37:K55)</f>
        <v>11290</v>
      </c>
      <c r="L56" s="719">
        <f>SUM(L51:L55)</f>
        <v>4108</v>
      </c>
      <c r="M56" s="718">
        <f>SUM(M38:M54)</f>
        <v>193538</v>
      </c>
      <c r="N56" s="720">
        <f>SUM(N38:N54)</f>
        <v>1</v>
      </c>
      <c r="O56" s="241" t="s">
        <v>52</v>
      </c>
      <c r="P56" s="565">
        <f>F56/D56</f>
        <v>882.1704545454545</v>
      </c>
      <c r="Q56" s="567"/>
      <c r="R56" s="568"/>
      <c r="S56" s="567"/>
      <c r="T56" s="567"/>
    </row>
    <row r="57" spans="1:20" s="29" customFormat="1" ht="15.5" x14ac:dyDescent="0.35">
      <c r="A57"/>
      <c r="B57" s="27" t="s">
        <v>3</v>
      </c>
      <c r="C57" s="25" t="s">
        <v>24</v>
      </c>
      <c r="D57" s="25" t="s">
        <v>25</v>
      </c>
      <c r="E57" s="242"/>
      <c r="F57" s="243"/>
      <c r="G57" s="243"/>
      <c r="H57" s="242"/>
      <c r="I57" s="243"/>
      <c r="J57" s="243"/>
      <c r="K57" s="243"/>
      <c r="L57" s="244"/>
      <c r="M57" s="242"/>
      <c r="N57" s="84"/>
      <c r="O57"/>
      <c r="P57" s="567"/>
      <c r="Q57" s="567"/>
      <c r="R57" s="568"/>
      <c r="S57" s="567"/>
      <c r="T57" s="567"/>
    </row>
    <row r="58" spans="1:20" s="25" customFormat="1" ht="15.5" x14ac:dyDescent="0.35">
      <c r="B58" s="27"/>
      <c r="C58" s="238">
        <v>5</v>
      </c>
      <c r="D58" s="238">
        <v>1</v>
      </c>
      <c r="M58" s="24"/>
      <c r="N58" s="237"/>
      <c r="O58" s="245"/>
      <c r="P58" s="245"/>
    </row>
    <row r="59" spans="1:20" s="28" customFormat="1" ht="15.5" x14ac:dyDescent="0.35">
      <c r="A59" s="35" t="s">
        <v>59</v>
      </c>
      <c r="B59" s="608" t="s">
        <v>27</v>
      </c>
      <c r="C59" s="609" t="s">
        <v>15</v>
      </c>
      <c r="D59" s="609" t="s">
        <v>25</v>
      </c>
      <c r="E59" s="609" t="s">
        <v>28</v>
      </c>
      <c r="F59" s="609" t="s">
        <v>14</v>
      </c>
      <c r="G59" s="609" t="s">
        <v>18</v>
      </c>
      <c r="H59" s="609" t="s">
        <v>60</v>
      </c>
      <c r="I59" s="609" t="s">
        <v>29</v>
      </c>
      <c r="J59" s="609" t="s">
        <v>30</v>
      </c>
      <c r="K59" s="609" t="s">
        <v>31</v>
      </c>
      <c r="L59" s="609" t="s">
        <v>32</v>
      </c>
      <c r="M59" s="609" t="s">
        <v>33</v>
      </c>
      <c r="N59" s="610" t="s">
        <v>34</v>
      </c>
      <c r="O59" s="25"/>
      <c r="P59" s="25"/>
      <c r="Q59" s="25"/>
      <c r="R59" s="25"/>
    </row>
    <row r="60" spans="1:20" x14ac:dyDescent="0.35">
      <c r="B60" s="38"/>
      <c r="C60" s="36" t="s">
        <v>61</v>
      </c>
      <c r="D60" s="239"/>
      <c r="E60" s="239"/>
      <c r="F60" s="239"/>
      <c r="G60" s="239"/>
      <c r="H60" s="239"/>
      <c r="I60" s="239"/>
      <c r="J60" s="239"/>
      <c r="K60" s="239"/>
      <c r="L60" s="239"/>
      <c r="M60" s="239"/>
      <c r="N60" s="37"/>
    </row>
    <row r="61" spans="1:20" x14ac:dyDescent="0.35">
      <c r="B61" s="38">
        <f>$C$58</f>
        <v>5</v>
      </c>
      <c r="C61" s="36" t="s">
        <v>36</v>
      </c>
      <c r="D61" s="239">
        <f>10*$D$58</f>
        <v>10</v>
      </c>
      <c r="E61" s="239">
        <v>598</v>
      </c>
      <c r="F61" s="239">
        <f t="shared" ref="F61:F73" si="17">D61*E61</f>
        <v>5980</v>
      </c>
      <c r="G61" s="239">
        <f>D61*1</f>
        <v>10</v>
      </c>
      <c r="H61" s="239">
        <f>D61*1</f>
        <v>10</v>
      </c>
      <c r="I61" s="239"/>
      <c r="J61" s="239"/>
      <c r="K61" s="239"/>
      <c r="L61" s="239"/>
      <c r="M61" s="239">
        <f t="shared" ref="M61:M70" si="18">F61</f>
        <v>5980</v>
      </c>
      <c r="N61" s="37">
        <f>M61/$I$4</f>
        <v>7.1029138575711359E-2</v>
      </c>
    </row>
    <row r="62" spans="1:20" x14ac:dyDescent="0.35">
      <c r="B62" s="38">
        <f t="shared" ref="B62:B77" si="19">$C$58</f>
        <v>5</v>
      </c>
      <c r="C62" s="36" t="s">
        <v>37</v>
      </c>
      <c r="D62" s="239">
        <f>24*$D$58</f>
        <v>24</v>
      </c>
      <c r="E62" s="239">
        <v>756.2</v>
      </c>
      <c r="F62" s="239">
        <f t="shared" si="17"/>
        <v>18148.800000000003</v>
      </c>
      <c r="G62" s="239">
        <f>D62*1</f>
        <v>24</v>
      </c>
      <c r="H62" s="239">
        <f>D62*1</f>
        <v>24</v>
      </c>
      <c r="I62" s="239"/>
      <c r="J62" s="239"/>
      <c r="K62" s="239"/>
      <c r="L62" s="239"/>
      <c r="M62" s="239">
        <f t="shared" si="18"/>
        <v>18148.800000000003</v>
      </c>
      <c r="N62" s="37">
        <f t="shared" ref="N62:N77" si="20">M62/$I$4</f>
        <v>0.21556749668609876</v>
      </c>
      <c r="Q62" s="39"/>
      <c r="R62" s="235"/>
      <c r="T62" s="39"/>
    </row>
    <row r="63" spans="1:20" x14ac:dyDescent="0.35">
      <c r="B63" s="38">
        <f t="shared" si="19"/>
        <v>5</v>
      </c>
      <c r="C63" s="36" t="s">
        <v>38</v>
      </c>
      <c r="D63" s="239">
        <f>10*$D$58</f>
        <v>10</v>
      </c>
      <c r="E63" s="239">
        <v>796</v>
      </c>
      <c r="F63" s="239">
        <f t="shared" si="17"/>
        <v>7960</v>
      </c>
      <c r="G63" s="239">
        <f t="shared" ref="G63:G64" si="21">D63*1</f>
        <v>10</v>
      </c>
      <c r="H63" s="239">
        <f t="shared" ref="H63:H64" si="22">D63*1</f>
        <v>10</v>
      </c>
      <c r="I63" s="239"/>
      <c r="J63" s="239"/>
      <c r="K63" s="239"/>
      <c r="L63" s="239"/>
      <c r="M63" s="239">
        <f t="shared" si="18"/>
        <v>7960</v>
      </c>
      <c r="N63" s="37">
        <f t="shared" si="20"/>
        <v>9.4547147669341539E-2</v>
      </c>
      <c r="Q63" s="39"/>
      <c r="R63" s="235"/>
      <c r="T63" s="39"/>
    </row>
    <row r="64" spans="1:20" x14ac:dyDescent="0.35">
      <c r="B64" s="38">
        <f t="shared" si="19"/>
        <v>5</v>
      </c>
      <c r="C64" s="36" t="s">
        <v>39</v>
      </c>
      <c r="D64" s="239">
        <f>4*$D$58</f>
        <v>4</v>
      </c>
      <c r="E64" s="239">
        <v>839.75</v>
      </c>
      <c r="F64" s="239">
        <f t="shared" si="17"/>
        <v>3359</v>
      </c>
      <c r="G64" s="239">
        <f t="shared" si="21"/>
        <v>4</v>
      </c>
      <c r="H64" s="239">
        <f t="shared" si="22"/>
        <v>4</v>
      </c>
      <c r="I64" s="239"/>
      <c r="J64" s="239"/>
      <c r="K64" s="239"/>
      <c r="L64" s="239"/>
      <c r="M64" s="239">
        <f t="shared" si="18"/>
        <v>3359</v>
      </c>
      <c r="N64" s="37">
        <f t="shared" si="20"/>
        <v>3.9897470982577669E-2</v>
      </c>
      <c r="R64" s="235"/>
    </row>
    <row r="65" spans="1:18" x14ac:dyDescent="0.35">
      <c r="B65" s="38">
        <f t="shared" si="19"/>
        <v>5</v>
      </c>
      <c r="C65" s="36" t="s">
        <v>40</v>
      </c>
      <c r="D65" s="239">
        <v>5</v>
      </c>
      <c r="E65" s="239">
        <v>844</v>
      </c>
      <c r="F65" s="239">
        <f t="shared" si="17"/>
        <v>4220</v>
      </c>
      <c r="G65" s="239">
        <f>D65*1</f>
        <v>5</v>
      </c>
      <c r="H65" s="239">
        <f>D65*1</f>
        <v>5</v>
      </c>
      <c r="I65" s="239"/>
      <c r="J65" s="239"/>
      <c r="K65" s="239"/>
      <c r="L65" s="239"/>
      <c r="M65" s="239">
        <f t="shared" si="18"/>
        <v>4220</v>
      </c>
      <c r="N65" s="37">
        <f t="shared" si="20"/>
        <v>5.0124241603595639E-2</v>
      </c>
      <c r="Q65" t="s">
        <v>62</v>
      </c>
      <c r="R65" s="235"/>
    </row>
    <row r="66" spans="1:18" x14ac:dyDescent="0.35">
      <c r="B66" s="38">
        <f t="shared" si="19"/>
        <v>5</v>
      </c>
      <c r="C66" s="36" t="s">
        <v>41</v>
      </c>
      <c r="D66" s="239">
        <f>0*$D$58</f>
        <v>0</v>
      </c>
      <c r="E66" s="239">
        <v>779</v>
      </c>
      <c r="F66" s="239">
        <f t="shared" si="17"/>
        <v>0</v>
      </c>
      <c r="G66" s="239">
        <f>D66*1</f>
        <v>0</v>
      </c>
      <c r="H66" s="239">
        <f>D66*1</f>
        <v>0</v>
      </c>
      <c r="I66" s="239"/>
      <c r="J66" s="239"/>
      <c r="K66" s="239"/>
      <c r="L66" s="239"/>
      <c r="M66" s="239">
        <f t="shared" si="18"/>
        <v>0</v>
      </c>
      <c r="N66" s="37">
        <f t="shared" si="20"/>
        <v>0</v>
      </c>
      <c r="Q66" s="39">
        <f>K79+K56+K33</f>
        <v>28121</v>
      </c>
      <c r="R66" s="235"/>
    </row>
    <row r="67" spans="1:18" x14ac:dyDescent="0.35">
      <c r="B67" s="38">
        <f t="shared" si="19"/>
        <v>5</v>
      </c>
      <c r="C67" s="36" t="s">
        <v>42</v>
      </c>
      <c r="D67" s="239">
        <f>6*$D$58</f>
        <v>6</v>
      </c>
      <c r="E67" s="239">
        <v>986</v>
      </c>
      <c r="F67" s="239">
        <f t="shared" si="17"/>
        <v>5916</v>
      </c>
      <c r="G67" s="239">
        <f>D67*1</f>
        <v>6</v>
      </c>
      <c r="H67" s="239">
        <f>D67*1</f>
        <v>6</v>
      </c>
      <c r="I67" s="239"/>
      <c r="J67" s="239"/>
      <c r="K67" s="239"/>
      <c r="L67" s="239"/>
      <c r="M67" s="239">
        <f t="shared" si="18"/>
        <v>5916</v>
      </c>
      <c r="N67" s="37">
        <f t="shared" si="20"/>
        <v>7.0268960503998057E-2</v>
      </c>
      <c r="Q67" s="39" t="s">
        <v>63</v>
      </c>
      <c r="R67" s="235"/>
    </row>
    <row r="68" spans="1:18" x14ac:dyDescent="0.35">
      <c r="B68" s="38">
        <f t="shared" si="19"/>
        <v>5</v>
      </c>
      <c r="C68" s="36" t="s">
        <v>43</v>
      </c>
      <c r="D68" s="239">
        <v>9</v>
      </c>
      <c r="E68" s="239">
        <v>993</v>
      </c>
      <c r="F68" s="239">
        <f t="shared" si="17"/>
        <v>8937</v>
      </c>
      <c r="G68" s="239">
        <f>D68*1</f>
        <v>9</v>
      </c>
      <c r="H68" s="239">
        <f>D68*1</f>
        <v>9</v>
      </c>
      <c r="I68" s="239"/>
      <c r="J68" s="239"/>
      <c r="K68" s="239"/>
      <c r="L68" s="239"/>
      <c r="M68" s="239">
        <f t="shared" si="18"/>
        <v>8937</v>
      </c>
      <c r="N68" s="37">
        <f t="shared" si="20"/>
        <v>0.10615174104533986</v>
      </c>
      <c r="Q68" s="39">
        <f>I33+J33+L33+I56+J56+L56+I79+J79+L79</f>
        <v>72095</v>
      </c>
    </row>
    <row r="69" spans="1:18" x14ac:dyDescent="0.35">
      <c r="B69" s="38">
        <f t="shared" si="19"/>
        <v>5</v>
      </c>
      <c r="C69" s="36" t="s">
        <v>44</v>
      </c>
      <c r="D69" s="239">
        <f>6*$D$58</f>
        <v>6</v>
      </c>
      <c r="E69" s="239">
        <v>1014</v>
      </c>
      <c r="F69" s="239">
        <f t="shared" si="17"/>
        <v>6084</v>
      </c>
      <c r="G69" s="239">
        <f>D69*1</f>
        <v>6</v>
      </c>
      <c r="H69" s="239">
        <f>D69*1</f>
        <v>6</v>
      </c>
      <c r="I69" s="239"/>
      <c r="J69" s="239"/>
      <c r="K69" s="239"/>
      <c r="L69" s="239"/>
      <c r="M69" s="239">
        <f t="shared" si="18"/>
        <v>6084</v>
      </c>
      <c r="N69" s="37">
        <f t="shared" si="20"/>
        <v>7.2264427942245468E-2</v>
      </c>
    </row>
    <row r="70" spans="1:18" x14ac:dyDescent="0.35">
      <c r="B70" s="38">
        <f t="shared" si="19"/>
        <v>5</v>
      </c>
      <c r="C70" s="36" t="s">
        <v>45</v>
      </c>
      <c r="D70" s="239">
        <f>5*$D$58</f>
        <v>5</v>
      </c>
      <c r="E70" s="239">
        <v>1148</v>
      </c>
      <c r="F70" s="239">
        <f t="shared" si="17"/>
        <v>5740</v>
      </c>
      <c r="G70" s="239">
        <f>D70*2</f>
        <v>10</v>
      </c>
      <c r="H70" s="239">
        <f>D70*2</f>
        <v>10</v>
      </c>
      <c r="I70" s="239"/>
      <c r="J70" s="239"/>
      <c r="K70" s="239"/>
      <c r="L70" s="239"/>
      <c r="M70" s="239">
        <f t="shared" si="18"/>
        <v>5740</v>
      </c>
      <c r="N70" s="37">
        <f t="shared" si="20"/>
        <v>6.817847080678649E-2</v>
      </c>
      <c r="R70" s="235"/>
    </row>
    <row r="71" spans="1:18" x14ac:dyDescent="0.35">
      <c r="B71" s="38">
        <f t="shared" si="19"/>
        <v>5</v>
      </c>
      <c r="C71" s="36" t="s">
        <v>46</v>
      </c>
      <c r="D71" s="239">
        <f>0*$D$58</f>
        <v>0</v>
      </c>
      <c r="E71" s="239">
        <v>1054</v>
      </c>
      <c r="F71" s="239">
        <f t="shared" si="17"/>
        <v>0</v>
      </c>
      <c r="G71" s="239">
        <f>D71*2</f>
        <v>0</v>
      </c>
      <c r="H71" s="239">
        <f>D71*2</f>
        <v>0</v>
      </c>
      <c r="I71" s="239"/>
      <c r="J71" s="239"/>
      <c r="K71" s="239"/>
      <c r="L71" s="239"/>
      <c r="M71" s="239">
        <f>I71</f>
        <v>0</v>
      </c>
      <c r="N71" s="37">
        <f t="shared" si="20"/>
        <v>0</v>
      </c>
      <c r="R71" s="235"/>
    </row>
    <row r="72" spans="1:18" x14ac:dyDescent="0.35">
      <c r="B72" s="38">
        <f t="shared" si="19"/>
        <v>5</v>
      </c>
      <c r="C72" s="36" t="s">
        <v>47</v>
      </c>
      <c r="D72" s="239">
        <f>0*$D$58</f>
        <v>0</v>
      </c>
      <c r="E72" s="239">
        <v>1214</v>
      </c>
      <c r="F72" s="239">
        <f t="shared" si="17"/>
        <v>0</v>
      </c>
      <c r="G72" s="239">
        <f>D72*2</f>
        <v>0</v>
      </c>
      <c r="H72" s="239">
        <f>D72*2</f>
        <v>0</v>
      </c>
      <c r="I72" s="239"/>
      <c r="J72" s="239"/>
      <c r="K72" s="239"/>
      <c r="L72" s="239"/>
      <c r="M72" s="239">
        <f>I72</f>
        <v>0</v>
      </c>
      <c r="N72" s="37">
        <f t="shared" si="20"/>
        <v>0</v>
      </c>
      <c r="R72" s="235"/>
    </row>
    <row r="73" spans="1:18" x14ac:dyDescent="0.35">
      <c r="B73" s="38">
        <f t="shared" si="19"/>
        <v>5</v>
      </c>
      <c r="C73" s="36" t="s">
        <v>48</v>
      </c>
      <c r="D73" s="239">
        <f>0*$D$58</f>
        <v>0</v>
      </c>
      <c r="E73" s="239">
        <v>1321</v>
      </c>
      <c r="F73" s="239">
        <f t="shared" si="17"/>
        <v>0</v>
      </c>
      <c r="G73" s="239">
        <f>D73*2</f>
        <v>0</v>
      </c>
      <c r="H73" s="239">
        <f>D73*3</f>
        <v>0</v>
      </c>
      <c r="I73" s="239"/>
      <c r="J73" s="239"/>
      <c r="K73" s="239"/>
      <c r="L73" s="239"/>
      <c r="M73" s="239">
        <f>I73</f>
        <v>0</v>
      </c>
      <c r="N73" s="37">
        <f t="shared" si="20"/>
        <v>0</v>
      </c>
      <c r="R73" s="235"/>
    </row>
    <row r="74" spans="1:18" x14ac:dyDescent="0.35">
      <c r="B74" s="38">
        <f t="shared" si="19"/>
        <v>5</v>
      </c>
      <c r="C74" s="36" t="s">
        <v>30</v>
      </c>
      <c r="D74" s="239"/>
      <c r="E74" s="239"/>
      <c r="F74" s="239"/>
      <c r="G74" s="239"/>
      <c r="H74" s="239"/>
      <c r="I74" s="239"/>
      <c r="J74" s="239">
        <v>8308</v>
      </c>
      <c r="K74" s="239"/>
      <c r="L74" s="239"/>
      <c r="M74" s="239">
        <f>J74</f>
        <v>8308</v>
      </c>
      <c r="N74" s="37">
        <f t="shared" si="20"/>
        <v>9.8680615934282609E-2</v>
      </c>
      <c r="R74" s="235"/>
    </row>
    <row r="75" spans="1:18" x14ac:dyDescent="0.35">
      <c r="B75" s="38">
        <f t="shared" si="19"/>
        <v>5</v>
      </c>
      <c r="C75" s="36" t="s">
        <v>31</v>
      </c>
      <c r="D75" s="239">
        <f>F2</f>
        <v>0</v>
      </c>
      <c r="E75" s="239"/>
      <c r="F75" s="239"/>
      <c r="G75" s="239"/>
      <c r="H75" s="239"/>
      <c r="I75" s="239"/>
      <c r="J75" s="239"/>
      <c r="K75" s="239">
        <v>5233</v>
      </c>
      <c r="L75" s="239"/>
      <c r="M75" s="239">
        <f>K75</f>
        <v>5233</v>
      </c>
      <c r="N75" s="37">
        <f t="shared" si="20"/>
        <v>6.2156435144932701E-2</v>
      </c>
      <c r="R75" s="235"/>
    </row>
    <row r="76" spans="1:18" x14ac:dyDescent="0.35">
      <c r="B76" s="38">
        <f t="shared" si="19"/>
        <v>5</v>
      </c>
      <c r="C76" s="36" t="s">
        <v>49</v>
      </c>
      <c r="D76" s="239"/>
      <c r="E76" s="239"/>
      <c r="F76" s="239"/>
      <c r="G76" s="239"/>
      <c r="H76" s="239"/>
      <c r="I76" s="239">
        <v>2192</v>
      </c>
      <c r="J76" s="239"/>
      <c r="K76" s="239"/>
      <c r="L76" s="239">
        <v>0</v>
      </c>
      <c r="M76" s="239">
        <f>I76</f>
        <v>2192</v>
      </c>
      <c r="N76" s="37">
        <f t="shared" si="20"/>
        <v>2.6036098956180486E-2</v>
      </c>
      <c r="R76" s="235"/>
    </row>
    <row r="77" spans="1:18" x14ac:dyDescent="0.35">
      <c r="B77" s="38">
        <f t="shared" si="19"/>
        <v>5</v>
      </c>
      <c r="C77" s="36" t="s">
        <v>50</v>
      </c>
      <c r="D77" s="239"/>
      <c r="E77" s="239"/>
      <c r="F77" s="239"/>
      <c r="G77" s="239"/>
      <c r="H77" s="239"/>
      <c r="I77" s="239"/>
      <c r="J77" s="239"/>
      <c r="K77" s="239"/>
      <c r="L77" s="239">
        <v>2113</v>
      </c>
      <c r="M77" s="239">
        <f>L77</f>
        <v>2113</v>
      </c>
      <c r="N77" s="37">
        <f t="shared" si="20"/>
        <v>2.5097754148909381E-2</v>
      </c>
      <c r="R77" s="235"/>
    </row>
    <row r="78" spans="1:18" x14ac:dyDescent="0.35">
      <c r="B78" s="240"/>
      <c r="C78" s="36"/>
      <c r="D78" s="239"/>
      <c r="E78" s="239"/>
      <c r="F78" s="239"/>
      <c r="G78" s="239"/>
      <c r="H78" s="239"/>
      <c r="I78" s="239"/>
      <c r="J78" s="239"/>
      <c r="K78" s="239"/>
      <c r="L78" s="239"/>
      <c r="M78" s="239"/>
      <c r="N78" s="37"/>
      <c r="R78" s="235"/>
    </row>
    <row r="79" spans="1:18" s="29" customFormat="1" x14ac:dyDescent="0.35">
      <c r="A79"/>
      <c r="B79" s="715" t="s">
        <v>51</v>
      </c>
      <c r="C79" s="716"/>
      <c r="D79" s="717">
        <f>SUM(D61:D70)</f>
        <v>79</v>
      </c>
      <c r="E79" s="718"/>
      <c r="F79" s="717">
        <f>SUM(F61:F70)</f>
        <v>66344.800000000003</v>
      </c>
      <c r="G79" s="717">
        <f>SUM(G61:G73)</f>
        <v>84</v>
      </c>
      <c r="H79" s="718">
        <f>SUM(H61:H73)</f>
        <v>84</v>
      </c>
      <c r="I79" s="717">
        <f>SUM(I76:I78)</f>
        <v>2192</v>
      </c>
      <c r="J79" s="717">
        <f>SUM(J74:J78)</f>
        <v>8308</v>
      </c>
      <c r="K79" s="717">
        <f>SUM(K61:K78)</f>
        <v>5233</v>
      </c>
      <c r="L79" s="719">
        <f>SUM(L76:L78)</f>
        <v>2113</v>
      </c>
      <c r="M79" s="718">
        <f>SUM(M61:M77)</f>
        <v>84190.8</v>
      </c>
      <c r="N79" s="720">
        <f>SUM(N61:N77)</f>
        <v>1</v>
      </c>
      <c r="O79" s="241" t="s">
        <v>52</v>
      </c>
      <c r="P79" s="565">
        <f>F79/D79</f>
        <v>839.80759493670894</v>
      </c>
      <c r="Q79" s="567"/>
      <c r="R79" s="568"/>
    </row>
    <row r="80" spans="1:18" s="29" customFormat="1" ht="15.5" x14ac:dyDescent="0.35">
      <c r="A80"/>
      <c r="B80" s="27" t="s">
        <v>4</v>
      </c>
      <c r="C80" s="25" t="s">
        <v>24</v>
      </c>
      <c r="D80" s="25" t="s">
        <v>25</v>
      </c>
      <c r="E80" s="242"/>
      <c r="F80" s="243"/>
      <c r="G80" s="243"/>
      <c r="H80" s="242"/>
      <c r="I80" s="243"/>
      <c r="J80" s="243"/>
      <c r="K80" s="243"/>
      <c r="L80" s="244"/>
      <c r="M80" s="242"/>
      <c r="N80" s="84"/>
      <c r="O80"/>
      <c r="P80" s="567"/>
      <c r="Q80" s="567"/>
      <c r="R80" s="568"/>
    </row>
    <row r="81" spans="1:20" s="25" customFormat="1" ht="15.5" x14ac:dyDescent="0.35">
      <c r="B81" s="27"/>
      <c r="C81" s="238">
        <v>0</v>
      </c>
      <c r="D81" s="238">
        <v>0</v>
      </c>
      <c r="M81" s="24"/>
      <c r="N81" s="237"/>
      <c r="O81" s="245"/>
      <c r="P81" s="245"/>
    </row>
    <row r="82" spans="1:20" s="28" customFormat="1" ht="24" hidden="1" x14ac:dyDescent="0.35">
      <c r="A82" s="35" t="s">
        <v>64</v>
      </c>
      <c r="B82" s="608" t="s">
        <v>27</v>
      </c>
      <c r="C82" s="609" t="s">
        <v>15</v>
      </c>
      <c r="D82" s="609" t="s">
        <v>25</v>
      </c>
      <c r="E82" s="609" t="s">
        <v>28</v>
      </c>
      <c r="F82" s="609" t="s">
        <v>14</v>
      </c>
      <c r="G82" s="609" t="s">
        <v>18</v>
      </c>
      <c r="H82" s="609" t="s">
        <v>60</v>
      </c>
      <c r="I82" s="609" t="s">
        <v>20</v>
      </c>
      <c r="J82" s="609" t="s">
        <v>30</v>
      </c>
      <c r="K82" s="609" t="s">
        <v>31</v>
      </c>
      <c r="L82" s="609" t="s">
        <v>65</v>
      </c>
      <c r="M82" s="609" t="s">
        <v>33</v>
      </c>
      <c r="N82" s="610" t="s">
        <v>34</v>
      </c>
      <c r="O82" s="25"/>
      <c r="P82" s="25"/>
      <c r="Q82" s="25"/>
      <c r="R82" s="25"/>
    </row>
    <row r="83" spans="1:20" hidden="1" x14ac:dyDescent="0.35">
      <c r="B83" s="38"/>
      <c r="C83" s="36" t="s">
        <v>66</v>
      </c>
      <c r="D83" s="239"/>
      <c r="E83" s="239"/>
      <c r="F83" s="239"/>
      <c r="G83" s="239"/>
      <c r="H83" s="239"/>
      <c r="I83" s="239"/>
      <c r="J83" s="239"/>
      <c r="K83" s="239"/>
      <c r="L83" s="239"/>
      <c r="M83" s="239"/>
      <c r="N83" s="37"/>
    </row>
    <row r="84" spans="1:20" hidden="1" x14ac:dyDescent="0.35">
      <c r="B84" s="38">
        <f t="shared" ref="B84:B97" si="23">$C$81</f>
        <v>0</v>
      </c>
      <c r="C84" s="36" t="s">
        <v>36</v>
      </c>
      <c r="D84" s="239">
        <f>1*$C$81*$D$81</f>
        <v>0</v>
      </c>
      <c r="E84" s="239">
        <v>1</v>
      </c>
      <c r="F84" s="239">
        <f t="shared" ref="F84:F93" si="24">D84*E84</f>
        <v>0</v>
      </c>
      <c r="G84" s="239">
        <f>D84*1</f>
        <v>0</v>
      </c>
      <c r="H84" s="239">
        <f>D84*1</f>
        <v>0</v>
      </c>
      <c r="I84" s="239"/>
      <c r="J84" s="239"/>
      <c r="K84" s="239"/>
      <c r="L84" s="239"/>
      <c r="M84" s="239">
        <f t="shared" ref="M84:M93" si="25">F84</f>
        <v>0</v>
      </c>
      <c r="N84" s="37" t="e">
        <f>M84/$K$4</f>
        <v>#VALUE!</v>
      </c>
    </row>
    <row r="85" spans="1:20" hidden="1" x14ac:dyDescent="0.35">
      <c r="B85" s="38">
        <f t="shared" si="23"/>
        <v>0</v>
      </c>
      <c r="C85" s="36" t="s">
        <v>37</v>
      </c>
      <c r="D85" s="239">
        <f t="shared" ref="D85:D93" si="26">1*$C$81*$D$81</f>
        <v>0</v>
      </c>
      <c r="E85" s="239">
        <v>1</v>
      </c>
      <c r="F85" s="239">
        <f t="shared" si="24"/>
        <v>0</v>
      </c>
      <c r="G85" s="239">
        <f>D85*1</f>
        <v>0</v>
      </c>
      <c r="H85" s="239">
        <f>D85*1</f>
        <v>0</v>
      </c>
      <c r="I85" s="239"/>
      <c r="J85" s="239"/>
      <c r="K85" s="239"/>
      <c r="L85" s="239"/>
      <c r="M85" s="239">
        <f t="shared" si="25"/>
        <v>0</v>
      </c>
      <c r="N85" s="37" t="e">
        <f t="shared" ref="N85:N97" si="27">M85/$K$4</f>
        <v>#VALUE!</v>
      </c>
      <c r="Q85" s="39"/>
      <c r="R85" s="235"/>
      <c r="T85" s="39"/>
    </row>
    <row r="86" spans="1:20" hidden="1" x14ac:dyDescent="0.35">
      <c r="B86" s="38">
        <f t="shared" si="23"/>
        <v>0</v>
      </c>
      <c r="C86" s="36" t="s">
        <v>38</v>
      </c>
      <c r="D86" s="239">
        <f t="shared" si="26"/>
        <v>0</v>
      </c>
      <c r="E86" s="239">
        <v>1</v>
      </c>
      <c r="F86" s="239">
        <f t="shared" si="24"/>
        <v>0</v>
      </c>
      <c r="G86" s="239">
        <f t="shared" ref="G86:G87" si="28">D86*1</f>
        <v>0</v>
      </c>
      <c r="H86" s="239">
        <f t="shared" ref="H86:H87" si="29">D86*1</f>
        <v>0</v>
      </c>
      <c r="I86" s="239"/>
      <c r="J86" s="239"/>
      <c r="K86" s="239"/>
      <c r="L86" s="239"/>
      <c r="M86" s="239">
        <f t="shared" si="25"/>
        <v>0</v>
      </c>
      <c r="N86" s="37" t="e">
        <f t="shared" si="27"/>
        <v>#VALUE!</v>
      </c>
      <c r="Q86" s="39"/>
      <c r="R86" s="235"/>
      <c r="T86" s="39"/>
    </row>
    <row r="87" spans="1:20" hidden="1" x14ac:dyDescent="0.35">
      <c r="B87" s="38">
        <f t="shared" si="23"/>
        <v>0</v>
      </c>
      <c r="C87" s="36" t="s">
        <v>67</v>
      </c>
      <c r="D87" s="239">
        <f t="shared" si="26"/>
        <v>0</v>
      </c>
      <c r="E87" s="239">
        <v>1</v>
      </c>
      <c r="F87" s="239">
        <f t="shared" si="24"/>
        <v>0</v>
      </c>
      <c r="G87" s="239">
        <f t="shared" si="28"/>
        <v>0</v>
      </c>
      <c r="H87" s="239">
        <f t="shared" si="29"/>
        <v>0</v>
      </c>
      <c r="I87" s="239"/>
      <c r="J87" s="239"/>
      <c r="K87" s="239"/>
      <c r="L87" s="239"/>
      <c r="M87" s="239">
        <f t="shared" si="25"/>
        <v>0</v>
      </c>
      <c r="N87" s="37" t="e">
        <f t="shared" si="27"/>
        <v>#VALUE!</v>
      </c>
      <c r="R87" s="235"/>
    </row>
    <row r="88" spans="1:20" hidden="1" x14ac:dyDescent="0.35">
      <c r="B88" s="38">
        <f t="shared" si="23"/>
        <v>0</v>
      </c>
      <c r="C88" s="36" t="s">
        <v>68</v>
      </c>
      <c r="D88" s="239">
        <f t="shared" si="26"/>
        <v>0</v>
      </c>
      <c r="E88" s="239">
        <v>1</v>
      </c>
      <c r="F88" s="239">
        <f t="shared" si="24"/>
        <v>0</v>
      </c>
      <c r="G88" s="239">
        <f>D88*2</f>
        <v>0</v>
      </c>
      <c r="H88" s="239">
        <f>D88*2</f>
        <v>0</v>
      </c>
      <c r="I88" s="239"/>
      <c r="J88" s="239"/>
      <c r="K88" s="239"/>
      <c r="L88" s="239"/>
      <c r="M88" s="239">
        <f t="shared" si="25"/>
        <v>0</v>
      </c>
      <c r="N88" s="37" t="e">
        <f t="shared" si="27"/>
        <v>#VALUE!</v>
      </c>
      <c r="R88" s="235"/>
    </row>
    <row r="89" spans="1:20" hidden="1" x14ac:dyDescent="0.35">
      <c r="B89" s="38">
        <f t="shared" si="23"/>
        <v>0</v>
      </c>
      <c r="C89" s="36" t="s">
        <v>69</v>
      </c>
      <c r="D89" s="239">
        <f t="shared" si="26"/>
        <v>0</v>
      </c>
      <c r="E89" s="239">
        <v>1</v>
      </c>
      <c r="F89" s="239">
        <f t="shared" si="24"/>
        <v>0</v>
      </c>
      <c r="G89" s="239">
        <f>D89*2</f>
        <v>0</v>
      </c>
      <c r="H89" s="239">
        <f>D89*2</f>
        <v>0</v>
      </c>
      <c r="I89" s="239"/>
      <c r="J89" s="239"/>
      <c r="K89" s="239"/>
      <c r="L89" s="239"/>
      <c r="M89" s="239">
        <f t="shared" si="25"/>
        <v>0</v>
      </c>
      <c r="N89" s="37" t="e">
        <f t="shared" si="27"/>
        <v>#VALUE!</v>
      </c>
      <c r="R89" s="235"/>
    </row>
    <row r="90" spans="1:20" hidden="1" x14ac:dyDescent="0.35">
      <c r="B90" s="38">
        <f t="shared" si="23"/>
        <v>0</v>
      </c>
      <c r="C90" s="36" t="s">
        <v>70</v>
      </c>
      <c r="D90" s="239">
        <f t="shared" si="26"/>
        <v>0</v>
      </c>
      <c r="E90" s="239">
        <v>1</v>
      </c>
      <c r="F90" s="239">
        <f t="shared" si="24"/>
        <v>0</v>
      </c>
      <c r="G90" s="239">
        <f t="shared" ref="G90:G92" si="30">D90*2</f>
        <v>0</v>
      </c>
      <c r="H90" s="239">
        <f t="shared" ref="H90:H91" si="31">D90*2</f>
        <v>0</v>
      </c>
      <c r="I90" s="239"/>
      <c r="J90" s="239"/>
      <c r="K90" s="239"/>
      <c r="L90" s="239"/>
      <c r="M90" s="239">
        <f t="shared" si="25"/>
        <v>0</v>
      </c>
      <c r="N90" s="37" t="e">
        <f t="shared" si="27"/>
        <v>#VALUE!</v>
      </c>
      <c r="Q90" s="39"/>
      <c r="R90" s="235"/>
    </row>
    <row r="91" spans="1:20" hidden="1" x14ac:dyDescent="0.35">
      <c r="B91" s="38">
        <f t="shared" si="23"/>
        <v>0</v>
      </c>
      <c r="C91" s="36" t="s">
        <v>71</v>
      </c>
      <c r="D91" s="239">
        <f t="shared" si="26"/>
        <v>0</v>
      </c>
      <c r="E91" s="239">
        <v>1</v>
      </c>
      <c r="F91" s="239">
        <f t="shared" si="24"/>
        <v>0</v>
      </c>
      <c r="G91" s="239">
        <f t="shared" si="30"/>
        <v>0</v>
      </c>
      <c r="H91" s="239">
        <f t="shared" si="31"/>
        <v>0</v>
      </c>
      <c r="I91" s="239"/>
      <c r="J91" s="239"/>
      <c r="K91" s="239"/>
      <c r="L91" s="239"/>
      <c r="M91" s="239">
        <f t="shared" si="25"/>
        <v>0</v>
      </c>
      <c r="N91" s="37" t="e">
        <f t="shared" si="27"/>
        <v>#VALUE!</v>
      </c>
      <c r="Q91" s="39"/>
    </row>
    <row r="92" spans="1:20" hidden="1" x14ac:dyDescent="0.35">
      <c r="B92" s="38">
        <f t="shared" si="23"/>
        <v>0</v>
      </c>
      <c r="C92" s="36" t="s">
        <v>72</v>
      </c>
      <c r="D92" s="239">
        <f t="shared" si="26"/>
        <v>0</v>
      </c>
      <c r="E92" s="239">
        <v>1</v>
      </c>
      <c r="F92" s="239">
        <f t="shared" si="24"/>
        <v>0</v>
      </c>
      <c r="G92" s="239">
        <f t="shared" si="30"/>
        <v>0</v>
      </c>
      <c r="H92" s="239">
        <f>D92*3</f>
        <v>0</v>
      </c>
      <c r="I92" s="239"/>
      <c r="J92" s="239"/>
      <c r="K92" s="239"/>
      <c r="L92" s="239"/>
      <c r="M92" s="239">
        <f t="shared" si="25"/>
        <v>0</v>
      </c>
      <c r="N92" s="37" t="e">
        <f t="shared" si="27"/>
        <v>#VALUE!</v>
      </c>
    </row>
    <row r="93" spans="1:20" hidden="1" x14ac:dyDescent="0.35">
      <c r="B93" s="38">
        <f t="shared" si="23"/>
        <v>0</v>
      </c>
      <c r="C93" s="36" t="s">
        <v>73</v>
      </c>
      <c r="D93" s="239">
        <f t="shared" si="26"/>
        <v>0</v>
      </c>
      <c r="E93" s="239">
        <v>1</v>
      </c>
      <c r="F93" s="239">
        <f t="shared" si="24"/>
        <v>0</v>
      </c>
      <c r="G93" s="239">
        <f>D93*2</f>
        <v>0</v>
      </c>
      <c r="H93" s="239">
        <f>D93*3</f>
        <v>0</v>
      </c>
      <c r="I93" s="239"/>
      <c r="J93" s="239"/>
      <c r="K93" s="239"/>
      <c r="L93" s="239"/>
      <c r="M93" s="239">
        <f t="shared" si="25"/>
        <v>0</v>
      </c>
      <c r="N93" s="37" t="e">
        <f t="shared" si="27"/>
        <v>#VALUE!</v>
      </c>
      <c r="R93" s="235"/>
    </row>
    <row r="94" spans="1:20" hidden="1" x14ac:dyDescent="0.35">
      <c r="B94" s="38">
        <f t="shared" si="23"/>
        <v>0</v>
      </c>
      <c r="C94" s="36" t="s">
        <v>30</v>
      </c>
      <c r="D94" s="239"/>
      <c r="E94" s="239"/>
      <c r="F94" s="239"/>
      <c r="G94" s="239"/>
      <c r="H94" s="239"/>
      <c r="I94" s="239"/>
      <c r="J94" s="239">
        <f>1*C81*D81</f>
        <v>0</v>
      </c>
      <c r="K94" s="239"/>
      <c r="L94" s="239"/>
      <c r="M94" s="239">
        <f>J94</f>
        <v>0</v>
      </c>
      <c r="N94" s="37" t="e">
        <f t="shared" si="27"/>
        <v>#VALUE!</v>
      </c>
      <c r="R94" s="235"/>
    </row>
    <row r="95" spans="1:20" hidden="1" x14ac:dyDescent="0.35">
      <c r="B95" s="38">
        <f t="shared" si="23"/>
        <v>0</v>
      </c>
      <c r="C95" s="36" t="s">
        <v>31</v>
      </c>
      <c r="D95" s="239"/>
      <c r="E95" s="239"/>
      <c r="F95" s="239"/>
      <c r="G95" s="239"/>
      <c r="H95" s="239"/>
      <c r="I95" s="239"/>
      <c r="J95" s="239"/>
      <c r="K95" s="239">
        <f>1*D81*C81</f>
        <v>0</v>
      </c>
      <c r="L95" s="239"/>
      <c r="M95" s="239">
        <f>K95</f>
        <v>0</v>
      </c>
      <c r="N95" s="37" t="e">
        <f t="shared" si="27"/>
        <v>#VALUE!</v>
      </c>
      <c r="R95" s="235"/>
    </row>
    <row r="96" spans="1:20" hidden="1" x14ac:dyDescent="0.35">
      <c r="B96" s="38">
        <f t="shared" si="23"/>
        <v>0</v>
      </c>
      <c r="C96" s="36" t="s">
        <v>49</v>
      </c>
      <c r="D96" s="239"/>
      <c r="E96" s="239"/>
      <c r="F96" s="239"/>
      <c r="G96" s="239"/>
      <c r="H96" s="239"/>
      <c r="I96" s="239"/>
      <c r="J96" s="239"/>
      <c r="K96" s="239"/>
      <c r="L96" s="239">
        <f>1*C81*D81</f>
        <v>0</v>
      </c>
      <c r="M96" s="239">
        <f>L96</f>
        <v>0</v>
      </c>
      <c r="N96" s="37" t="e">
        <f t="shared" si="27"/>
        <v>#VALUE!</v>
      </c>
      <c r="R96" s="235"/>
    </row>
    <row r="97" spans="1:18" hidden="1" x14ac:dyDescent="0.35">
      <c r="B97" s="38">
        <f t="shared" si="23"/>
        <v>0</v>
      </c>
      <c r="C97" s="36" t="s">
        <v>50</v>
      </c>
      <c r="D97" s="239"/>
      <c r="E97" s="239"/>
      <c r="F97" s="239"/>
      <c r="G97" s="239"/>
      <c r="H97" s="239"/>
      <c r="I97" s="239"/>
      <c r="J97" s="239"/>
      <c r="K97" s="239"/>
      <c r="L97" s="239">
        <f>1*C81*D81</f>
        <v>0</v>
      </c>
      <c r="M97" s="239">
        <f>L97</f>
        <v>0</v>
      </c>
      <c r="N97" s="37" t="e">
        <f t="shared" si="27"/>
        <v>#VALUE!</v>
      </c>
      <c r="R97" s="235"/>
    </row>
    <row r="98" spans="1:18" hidden="1" x14ac:dyDescent="0.35">
      <c r="B98" s="240"/>
      <c r="C98" s="36"/>
      <c r="D98" s="239"/>
      <c r="E98" s="239"/>
      <c r="F98" s="239"/>
      <c r="G98" s="239"/>
      <c r="H98" s="239"/>
      <c r="I98" s="239"/>
      <c r="J98" s="239"/>
      <c r="K98" s="239"/>
      <c r="L98" s="239"/>
      <c r="M98" s="239"/>
      <c r="N98" s="37"/>
      <c r="R98" s="235"/>
    </row>
    <row r="99" spans="1:18" s="29" customFormat="1" hidden="1" x14ac:dyDescent="0.35">
      <c r="A99"/>
      <c r="B99" s="715" t="s">
        <v>51</v>
      </c>
      <c r="C99" s="716"/>
      <c r="D99" s="717">
        <f>SUM(D84:D93)</f>
        <v>0</v>
      </c>
      <c r="E99" s="718"/>
      <c r="F99" s="717">
        <f>SUM(F84:F93)</f>
        <v>0</v>
      </c>
      <c r="G99" s="717">
        <f>SUM(G84:G93)</f>
        <v>0</v>
      </c>
      <c r="H99" s="718">
        <f>SUM(H84:H93)</f>
        <v>0</v>
      </c>
      <c r="I99" s="717"/>
      <c r="J99" s="717"/>
      <c r="K99" s="717">
        <f>SUM(K84:K98)</f>
        <v>0</v>
      </c>
      <c r="L99" s="719">
        <f>SUM(L96:L98)</f>
        <v>0</v>
      </c>
      <c r="M99" s="718">
        <f>SUM(M84:M97)</f>
        <v>0</v>
      </c>
      <c r="N99" s="720" t="e">
        <f>SUM(N84:N97)</f>
        <v>#VALUE!</v>
      </c>
      <c r="O99" s="241" t="s">
        <v>52</v>
      </c>
      <c r="P99" s="565" t="e">
        <f>F99/D99</f>
        <v>#DIV/0!</v>
      </c>
      <c r="Q99" s="567"/>
      <c r="R99" s="568"/>
    </row>
    <row r="100" spans="1:18" x14ac:dyDescent="0.35">
      <c r="B100" t="s">
        <v>74</v>
      </c>
      <c r="O100" s="245"/>
      <c r="P100" s="245"/>
    </row>
    <row r="101" spans="1:18" s="28" customFormat="1" ht="24" x14ac:dyDescent="0.35">
      <c r="A101" s="35" t="s">
        <v>26</v>
      </c>
      <c r="B101" s="608" t="s">
        <v>27</v>
      </c>
      <c r="C101" s="609" t="s">
        <v>15</v>
      </c>
      <c r="D101" s="609" t="s">
        <v>25</v>
      </c>
      <c r="E101" s="609" t="s">
        <v>28</v>
      </c>
      <c r="F101" s="609" t="s">
        <v>75</v>
      </c>
      <c r="G101" s="609" t="s">
        <v>18</v>
      </c>
      <c r="H101" s="609" t="s">
        <v>31</v>
      </c>
      <c r="I101" s="609" t="s">
        <v>76</v>
      </c>
      <c r="J101" s="609"/>
      <c r="K101" s="609"/>
      <c r="L101" s="609" t="s">
        <v>74</v>
      </c>
      <c r="M101" s="609" t="s">
        <v>33</v>
      </c>
      <c r="N101" s="610" t="s">
        <v>34</v>
      </c>
      <c r="O101" s="25"/>
      <c r="P101" s="25"/>
      <c r="Q101" s="25"/>
      <c r="R101" s="25"/>
    </row>
    <row r="102" spans="1:18" x14ac:dyDescent="0.35">
      <c r="B102" s="38"/>
      <c r="C102" s="36"/>
      <c r="D102" s="239"/>
      <c r="E102" s="239"/>
      <c r="F102" s="239"/>
      <c r="G102" s="239"/>
      <c r="H102" s="239"/>
      <c r="I102" s="239"/>
      <c r="J102" s="239"/>
      <c r="K102" s="239"/>
      <c r="L102" s="239"/>
      <c r="M102" s="239"/>
      <c r="N102" s="37"/>
    </row>
    <row r="103" spans="1:18" x14ac:dyDescent="0.35">
      <c r="B103" s="38"/>
      <c r="C103" s="36" t="s">
        <v>77</v>
      </c>
      <c r="D103" s="239">
        <v>1</v>
      </c>
      <c r="E103" s="239">
        <v>3409</v>
      </c>
      <c r="F103" s="239"/>
      <c r="G103" s="239"/>
      <c r="H103" s="239"/>
      <c r="I103" s="239"/>
      <c r="J103" s="239"/>
      <c r="K103" s="239"/>
      <c r="L103" s="239">
        <v>12</v>
      </c>
      <c r="M103" s="239">
        <f>D103*E103</f>
        <v>3409</v>
      </c>
      <c r="N103" s="37">
        <f>M103/$N$4</f>
        <v>6.3307382691921276E-3</v>
      </c>
    </row>
    <row r="104" spans="1:18" x14ac:dyDescent="0.35">
      <c r="B104" s="38"/>
      <c r="C104" s="36" t="s">
        <v>78</v>
      </c>
      <c r="D104" s="239">
        <v>2</v>
      </c>
      <c r="E104" s="239">
        <v>3130</v>
      </c>
      <c r="F104" s="239"/>
      <c r="G104" s="239"/>
      <c r="H104" s="239"/>
      <c r="I104" s="239"/>
      <c r="J104" s="239"/>
      <c r="K104" s="239"/>
      <c r="L104" s="239">
        <v>24</v>
      </c>
      <c r="M104" s="239">
        <f>D104*E104</f>
        <v>6260</v>
      </c>
      <c r="N104" s="37">
        <f>M104/$N$4</f>
        <v>1.1625233665339607E-2</v>
      </c>
    </row>
    <row r="105" spans="1:18" x14ac:dyDescent="0.35">
      <c r="B105" s="240"/>
      <c r="C105" s="36" t="s">
        <v>79</v>
      </c>
      <c r="D105" s="239"/>
      <c r="E105" s="239"/>
      <c r="F105" s="239"/>
      <c r="G105" s="239"/>
      <c r="H105" s="239"/>
      <c r="I105" s="239"/>
      <c r="J105" s="239"/>
      <c r="K105" s="239"/>
      <c r="L105" s="239"/>
      <c r="M105" s="239"/>
      <c r="N105" s="37">
        <f t="shared" ref="N105:N106" si="32">M105/$N$4</f>
        <v>0</v>
      </c>
    </row>
    <row r="106" spans="1:18" x14ac:dyDescent="0.35">
      <c r="B106" s="240"/>
      <c r="C106" s="36"/>
      <c r="D106" s="239"/>
      <c r="E106" s="239"/>
      <c r="F106" s="239">
        <f>D106*E106</f>
        <v>0</v>
      </c>
      <c r="G106" s="239"/>
      <c r="H106" s="239"/>
      <c r="I106" s="239">
        <f t="shared" ref="I106" si="33">F106</f>
        <v>0</v>
      </c>
      <c r="J106" s="239"/>
      <c r="K106" s="239"/>
      <c r="L106" s="239"/>
      <c r="M106" s="239">
        <f>H106+I106</f>
        <v>0</v>
      </c>
      <c r="N106" s="37">
        <f t="shared" si="32"/>
        <v>0</v>
      </c>
    </row>
    <row r="107" spans="1:18" s="29" customFormat="1" x14ac:dyDescent="0.35">
      <c r="A107"/>
      <c r="B107" s="715" t="s">
        <v>51</v>
      </c>
      <c r="C107" s="716"/>
      <c r="D107" s="717">
        <f>SUM(D102:D106)</f>
        <v>3</v>
      </c>
      <c r="E107" s="718"/>
      <c r="F107" s="717">
        <f>SUM(F103:F106)</f>
        <v>0</v>
      </c>
      <c r="G107" s="717">
        <f>SUM(G103:G106)</f>
        <v>0</v>
      </c>
      <c r="H107" s="718">
        <f>SUM(H102:H106)</f>
        <v>0</v>
      </c>
      <c r="I107" s="717">
        <f>SUM(I103:I106)</f>
        <v>0</v>
      </c>
      <c r="J107" s="717"/>
      <c r="K107" s="717"/>
      <c r="L107" s="719">
        <f>SUM(L102:L106)</f>
        <v>36</v>
      </c>
      <c r="M107" s="718">
        <f>SUM(M102:M106)</f>
        <v>9669</v>
      </c>
      <c r="N107" s="720">
        <f>SUM(N103:N106)</f>
        <v>1.7955971934531734E-2</v>
      </c>
      <c r="O107"/>
      <c r="P107" s="567"/>
      <c r="Q107" s="567"/>
      <c r="R107" s="568"/>
    </row>
    <row r="108" spans="1:18" x14ac:dyDescent="0.35">
      <c r="B108" t="s">
        <v>80</v>
      </c>
      <c r="O108" s="245"/>
      <c r="P108" s="245"/>
    </row>
    <row r="109" spans="1:18" s="28" customFormat="1" ht="15.5" x14ac:dyDescent="0.35">
      <c r="A109" s="35" t="s">
        <v>26</v>
      </c>
      <c r="B109" s="608" t="s">
        <v>27</v>
      </c>
      <c r="C109" s="609"/>
      <c r="D109" s="609"/>
      <c r="E109" s="609" t="s">
        <v>28</v>
      </c>
      <c r="F109" s="609" t="s">
        <v>75</v>
      </c>
      <c r="G109" s="609"/>
      <c r="H109" s="609" t="s">
        <v>31</v>
      </c>
      <c r="I109" s="609" t="s">
        <v>76</v>
      </c>
      <c r="J109" s="609" t="s">
        <v>32</v>
      </c>
      <c r="K109" s="609" t="s">
        <v>29</v>
      </c>
      <c r="L109" s="609" t="s">
        <v>30</v>
      </c>
      <c r="M109" s="609" t="s">
        <v>33</v>
      </c>
      <c r="N109" s="610" t="s">
        <v>34</v>
      </c>
      <c r="O109" s="25"/>
      <c r="P109" s="25"/>
      <c r="Q109" s="25"/>
      <c r="R109" s="25"/>
    </row>
    <row r="110" spans="1:18" x14ac:dyDescent="0.35">
      <c r="B110" s="38"/>
      <c r="C110" s="36"/>
      <c r="D110" s="239"/>
      <c r="E110" s="239"/>
      <c r="F110" s="239"/>
      <c r="G110" s="239"/>
      <c r="H110" s="239"/>
      <c r="I110" s="239"/>
      <c r="J110" s="239"/>
      <c r="K110" s="239"/>
      <c r="L110" s="239"/>
      <c r="M110" s="239"/>
      <c r="N110" s="37"/>
    </row>
    <row r="111" spans="1:18" x14ac:dyDescent="0.35">
      <c r="B111" s="38">
        <v>1</v>
      </c>
      <c r="C111" s="36"/>
      <c r="D111" s="239">
        <v>1</v>
      </c>
      <c r="E111" s="239">
        <v>4952</v>
      </c>
      <c r="F111" s="239"/>
      <c r="G111" s="239"/>
      <c r="H111" s="239">
        <v>2044</v>
      </c>
      <c r="I111" s="239">
        <f>E111+L111</f>
        <v>5360</v>
      </c>
      <c r="J111" s="239"/>
      <c r="K111" s="239">
        <v>171</v>
      </c>
      <c r="L111" s="239">
        <v>408</v>
      </c>
      <c r="M111" s="239">
        <f>L111+K111+H111+E111</f>
        <v>7575</v>
      </c>
      <c r="N111" s="37">
        <f>M111/$N$4</f>
        <v>1.4067275561493214E-2</v>
      </c>
    </row>
    <row r="112" spans="1:18" x14ac:dyDescent="0.35">
      <c r="B112" s="38">
        <v>2</v>
      </c>
      <c r="C112" s="36"/>
      <c r="D112" s="239">
        <v>1</v>
      </c>
      <c r="E112" s="239">
        <v>5392</v>
      </c>
      <c r="F112" s="239"/>
      <c r="G112" s="239"/>
      <c r="H112" s="239">
        <v>911</v>
      </c>
      <c r="I112" s="239">
        <f>E112+L112</f>
        <v>5751</v>
      </c>
      <c r="J112" s="239">
        <v>302</v>
      </c>
      <c r="K112" s="239">
        <v>111</v>
      </c>
      <c r="L112" s="239">
        <v>359</v>
      </c>
      <c r="M112" s="239">
        <f>L112+K112+H112+E112+J112</f>
        <v>7075</v>
      </c>
      <c r="N112" s="37">
        <f>M112/$N$4</f>
        <v>1.3138742521130625E-2</v>
      </c>
    </row>
    <row r="113" spans="1:23" x14ac:dyDescent="0.35">
      <c r="B113" s="240"/>
      <c r="C113" s="36"/>
      <c r="D113" s="239"/>
      <c r="E113" s="239"/>
      <c r="F113" s="239"/>
      <c r="G113" s="239"/>
      <c r="H113" s="239"/>
      <c r="I113" s="239"/>
      <c r="J113" s="239"/>
      <c r="K113" s="239"/>
      <c r="L113" s="239">
        <v>1</v>
      </c>
      <c r="M113" s="239"/>
      <c r="N113" s="37">
        <f t="shared" ref="N113:N114" si="34">M113/$N$4</f>
        <v>0</v>
      </c>
    </row>
    <row r="114" spans="1:23" x14ac:dyDescent="0.35">
      <c r="B114" s="240"/>
      <c r="C114" s="36"/>
      <c r="D114" s="239"/>
      <c r="E114" s="239"/>
      <c r="F114" s="239">
        <f>D114*E114</f>
        <v>0</v>
      </c>
      <c r="G114" s="239"/>
      <c r="H114" s="239"/>
      <c r="I114" s="239">
        <f t="shared" ref="I114" si="35">F114</f>
        <v>0</v>
      </c>
      <c r="J114" s="239"/>
      <c r="K114" s="239"/>
      <c r="L114" s="239"/>
      <c r="M114" s="239">
        <f t="shared" ref="M114" si="36">H114+I114</f>
        <v>0</v>
      </c>
      <c r="N114" s="37">
        <f t="shared" si="34"/>
        <v>0</v>
      </c>
    </row>
    <row r="115" spans="1:23" s="29" customFormat="1" x14ac:dyDescent="0.35">
      <c r="A115"/>
      <c r="B115" s="715" t="s">
        <v>51</v>
      </c>
      <c r="C115" s="716"/>
      <c r="D115" s="717">
        <f>SUM(D110:D114)</f>
        <v>2</v>
      </c>
      <c r="E115" s="718"/>
      <c r="F115" s="717">
        <f>SUM(F111:F114)</f>
        <v>0</v>
      </c>
      <c r="G115" s="717">
        <f>SUM(G111:G114)</f>
        <v>0</v>
      </c>
      <c r="H115" s="718">
        <f>SUM(H110:H114)</f>
        <v>2955</v>
      </c>
      <c r="I115" s="717">
        <f>SUM(I111:I114)</f>
        <v>11111</v>
      </c>
      <c r="J115" s="717"/>
      <c r="K115" s="717"/>
      <c r="L115" s="719">
        <f>SUM(L110:L114)</f>
        <v>768</v>
      </c>
      <c r="M115" s="718">
        <f>SUM(M110:M114)</f>
        <v>14650</v>
      </c>
      <c r="N115" s="720">
        <f>SUM(N111:N114)</f>
        <v>2.7206018082623837E-2</v>
      </c>
      <c r="O115"/>
      <c r="P115" s="567"/>
      <c r="Q115" s="567"/>
      <c r="R115" s="568"/>
      <c r="S115" s="567"/>
      <c r="T115" s="567"/>
      <c r="U115" s="567"/>
      <c r="V115" s="567"/>
      <c r="W115" s="567"/>
    </row>
    <row r="118" spans="1:23" x14ac:dyDescent="0.35">
      <c r="B118" s="214" t="s">
        <v>81</v>
      </c>
    </row>
    <row r="119" spans="1:23" ht="36" x14ac:dyDescent="0.35">
      <c r="B119" s="608" t="s">
        <v>27</v>
      </c>
      <c r="C119" s="609" t="s">
        <v>15</v>
      </c>
      <c r="D119" s="609" t="s">
        <v>25</v>
      </c>
      <c r="E119" s="609" t="s">
        <v>82</v>
      </c>
      <c r="F119" s="609" t="s">
        <v>83</v>
      </c>
      <c r="G119" s="609" t="s">
        <v>84</v>
      </c>
      <c r="H119" s="609" t="s">
        <v>85</v>
      </c>
      <c r="I119" s="609" t="s">
        <v>86</v>
      </c>
      <c r="J119" s="609" t="s">
        <v>87</v>
      </c>
      <c r="K119" s="609" t="s">
        <v>88</v>
      </c>
      <c r="L119" s="609" t="s">
        <v>89</v>
      </c>
      <c r="M119" s="609" t="s">
        <v>90</v>
      </c>
      <c r="N119" s="609" t="s">
        <v>91</v>
      </c>
      <c r="O119" s="609" t="s">
        <v>92</v>
      </c>
      <c r="P119" s="609" t="s">
        <v>93</v>
      </c>
    </row>
    <row r="120" spans="1:23" x14ac:dyDescent="0.35">
      <c r="B120" s="38"/>
      <c r="C120" s="36"/>
      <c r="D120" s="239"/>
    </row>
    <row r="121" spans="1:23" x14ac:dyDescent="0.35">
      <c r="B121" s="38"/>
      <c r="C121" s="388" t="s">
        <v>36</v>
      </c>
      <c r="D121" s="39">
        <f t="shared" ref="D121:D133" si="37">D15+D38+D61</f>
        <v>28</v>
      </c>
      <c r="E121" s="39">
        <f>D121*1</f>
        <v>28</v>
      </c>
      <c r="F121" s="39">
        <f>1*D121</f>
        <v>28</v>
      </c>
      <c r="G121">
        <v>0</v>
      </c>
      <c r="H121" s="39">
        <f>D121*1</f>
        <v>28</v>
      </c>
      <c r="I121" s="39">
        <f>D121*1</f>
        <v>28</v>
      </c>
      <c r="J121" s="39">
        <f t="shared" ref="J121:J126" si="38">D121*1</f>
        <v>28</v>
      </c>
      <c r="K121">
        <v>0</v>
      </c>
      <c r="L121">
        <v>0</v>
      </c>
      <c r="M121">
        <v>0</v>
      </c>
      <c r="N121">
        <v>0</v>
      </c>
      <c r="O121" s="39">
        <f t="shared" ref="O121:O133" si="39">D121*1</f>
        <v>28</v>
      </c>
      <c r="P121" s="39">
        <f t="shared" ref="P121:P133" si="40">D121*1</f>
        <v>28</v>
      </c>
    </row>
    <row r="122" spans="1:23" x14ac:dyDescent="0.35">
      <c r="B122" s="38"/>
      <c r="C122" s="388" t="s">
        <v>37</v>
      </c>
      <c r="D122" s="39">
        <f t="shared" si="37"/>
        <v>128</v>
      </c>
      <c r="E122" s="39">
        <f t="shared" ref="E122:E133" si="41">D122*1</f>
        <v>128</v>
      </c>
      <c r="F122">
        <v>0</v>
      </c>
      <c r="G122">
        <v>0</v>
      </c>
      <c r="H122" s="39">
        <f t="shared" ref="H122:H124" si="42">D122*1</f>
        <v>128</v>
      </c>
      <c r="I122" s="39">
        <f>D122*2</f>
        <v>256</v>
      </c>
      <c r="J122" s="39">
        <f t="shared" si="38"/>
        <v>128</v>
      </c>
      <c r="K122">
        <v>0</v>
      </c>
      <c r="L122">
        <v>0</v>
      </c>
      <c r="M122">
        <v>0</v>
      </c>
      <c r="N122">
        <v>0</v>
      </c>
      <c r="O122" s="39">
        <f t="shared" si="39"/>
        <v>128</v>
      </c>
      <c r="P122" s="39">
        <f t="shared" si="40"/>
        <v>128</v>
      </c>
    </row>
    <row r="123" spans="1:23" x14ac:dyDescent="0.35">
      <c r="B123" s="38"/>
      <c r="C123" s="388" t="s">
        <v>38</v>
      </c>
      <c r="D123" s="39">
        <f t="shared" si="37"/>
        <v>30</v>
      </c>
      <c r="E123" s="39">
        <f t="shared" si="41"/>
        <v>30</v>
      </c>
      <c r="F123">
        <v>0</v>
      </c>
      <c r="G123">
        <v>0</v>
      </c>
      <c r="H123" s="39">
        <f t="shared" si="42"/>
        <v>30</v>
      </c>
      <c r="I123" s="39">
        <f>D123*1</f>
        <v>30</v>
      </c>
      <c r="J123" s="39">
        <f t="shared" si="38"/>
        <v>30</v>
      </c>
      <c r="K123">
        <v>0</v>
      </c>
      <c r="L123">
        <v>0</v>
      </c>
      <c r="M123">
        <v>0</v>
      </c>
      <c r="N123">
        <v>0</v>
      </c>
      <c r="O123" s="39">
        <f t="shared" si="39"/>
        <v>30</v>
      </c>
      <c r="P123" s="39">
        <f t="shared" si="40"/>
        <v>30</v>
      </c>
    </row>
    <row r="124" spans="1:23" x14ac:dyDescent="0.35">
      <c r="B124" s="38"/>
      <c r="C124" s="388" t="s">
        <v>57</v>
      </c>
      <c r="D124" s="39">
        <f t="shared" si="37"/>
        <v>12</v>
      </c>
      <c r="E124" s="39">
        <f t="shared" si="41"/>
        <v>12</v>
      </c>
      <c r="F124">
        <v>0</v>
      </c>
      <c r="G124">
        <v>0</v>
      </c>
      <c r="H124" s="39">
        <f t="shared" si="42"/>
        <v>12</v>
      </c>
      <c r="I124" s="39">
        <f>D124*2</f>
        <v>24</v>
      </c>
      <c r="J124" s="39">
        <f t="shared" si="38"/>
        <v>12</v>
      </c>
      <c r="K124">
        <v>0</v>
      </c>
      <c r="L124">
        <v>0</v>
      </c>
      <c r="M124" s="389">
        <f>D124*1</f>
        <v>12</v>
      </c>
      <c r="N124">
        <v>0</v>
      </c>
      <c r="O124" s="39">
        <f t="shared" si="39"/>
        <v>12</v>
      </c>
      <c r="P124" s="39">
        <f t="shared" si="40"/>
        <v>12</v>
      </c>
    </row>
    <row r="125" spans="1:23" x14ac:dyDescent="0.35">
      <c r="B125" s="38"/>
      <c r="C125" s="388" t="s">
        <v>58</v>
      </c>
      <c r="D125" s="39">
        <f t="shared" si="37"/>
        <v>5</v>
      </c>
      <c r="E125" s="39">
        <f t="shared" si="41"/>
        <v>5</v>
      </c>
      <c r="F125">
        <v>0</v>
      </c>
      <c r="G125">
        <v>0</v>
      </c>
      <c r="H125" s="39">
        <f>D125*1</f>
        <v>5</v>
      </c>
      <c r="I125" s="39">
        <f>D125*1</f>
        <v>5</v>
      </c>
      <c r="J125" s="39">
        <f t="shared" si="38"/>
        <v>5</v>
      </c>
      <c r="K125">
        <v>0</v>
      </c>
      <c r="L125" s="39">
        <f>D125*1</f>
        <v>5</v>
      </c>
      <c r="M125">
        <v>0</v>
      </c>
      <c r="N125">
        <v>0</v>
      </c>
      <c r="O125" s="39">
        <f t="shared" si="39"/>
        <v>5</v>
      </c>
      <c r="P125" s="39">
        <f t="shared" si="40"/>
        <v>5</v>
      </c>
    </row>
    <row r="126" spans="1:23" x14ac:dyDescent="0.35">
      <c r="B126" s="38"/>
      <c r="C126" s="388" t="s">
        <v>41</v>
      </c>
      <c r="D126" s="39">
        <f t="shared" si="37"/>
        <v>2</v>
      </c>
      <c r="E126" s="39">
        <f t="shared" si="41"/>
        <v>2</v>
      </c>
      <c r="F126">
        <v>0</v>
      </c>
      <c r="G126">
        <v>0</v>
      </c>
      <c r="H126" s="39">
        <f>D126*2</f>
        <v>4</v>
      </c>
      <c r="I126" s="39">
        <f>D126*1</f>
        <v>2</v>
      </c>
      <c r="J126" s="39">
        <f t="shared" si="38"/>
        <v>2</v>
      </c>
      <c r="K126">
        <v>0</v>
      </c>
      <c r="L126">
        <v>0</v>
      </c>
      <c r="M126">
        <v>0</v>
      </c>
      <c r="N126">
        <v>0</v>
      </c>
      <c r="O126" s="39">
        <f t="shared" si="39"/>
        <v>2</v>
      </c>
      <c r="P126" s="39">
        <f t="shared" si="40"/>
        <v>2</v>
      </c>
    </row>
    <row r="127" spans="1:23" x14ac:dyDescent="0.35">
      <c r="B127" s="38"/>
      <c r="C127" s="388" t="s">
        <v>94</v>
      </c>
      <c r="D127" s="39">
        <f t="shared" si="37"/>
        <v>18</v>
      </c>
      <c r="E127" s="39">
        <f t="shared" si="41"/>
        <v>18</v>
      </c>
      <c r="F127">
        <v>0</v>
      </c>
      <c r="G127">
        <v>0</v>
      </c>
      <c r="H127" s="39">
        <f>D127*1</f>
        <v>18</v>
      </c>
      <c r="I127" s="39">
        <f>D127*1</f>
        <v>18</v>
      </c>
      <c r="J127" s="39">
        <f>D127*2</f>
        <v>36</v>
      </c>
      <c r="K127">
        <v>0</v>
      </c>
      <c r="L127">
        <v>0</v>
      </c>
      <c r="M127" s="39">
        <f>D127*1</f>
        <v>18</v>
      </c>
      <c r="N127">
        <v>0</v>
      </c>
      <c r="O127" s="39">
        <f t="shared" si="39"/>
        <v>18</v>
      </c>
      <c r="P127" s="39">
        <f t="shared" si="40"/>
        <v>18</v>
      </c>
    </row>
    <row r="128" spans="1:23" x14ac:dyDescent="0.35">
      <c r="B128" s="38"/>
      <c r="C128" s="388" t="s">
        <v>95</v>
      </c>
      <c r="D128" s="39">
        <f t="shared" si="37"/>
        <v>9</v>
      </c>
      <c r="E128" s="39">
        <f t="shared" si="41"/>
        <v>9</v>
      </c>
      <c r="F128">
        <v>0</v>
      </c>
      <c r="G128">
        <v>0</v>
      </c>
      <c r="H128" s="39">
        <f>D128*1</f>
        <v>9</v>
      </c>
      <c r="I128" s="39">
        <f>D128*1</f>
        <v>9</v>
      </c>
      <c r="J128" s="39">
        <f>D128*2</f>
        <v>18</v>
      </c>
      <c r="K128">
        <v>0</v>
      </c>
      <c r="L128" s="39">
        <f>D128*1</f>
        <v>9</v>
      </c>
      <c r="M128">
        <v>0</v>
      </c>
      <c r="N128" s="39">
        <f>D128*1</f>
        <v>9</v>
      </c>
      <c r="O128" s="39">
        <f t="shared" si="39"/>
        <v>9</v>
      </c>
      <c r="P128" s="39">
        <f t="shared" si="40"/>
        <v>9</v>
      </c>
    </row>
    <row r="129" spans="2:16" x14ac:dyDescent="0.35">
      <c r="B129" s="38"/>
      <c r="C129" s="36" t="s">
        <v>44</v>
      </c>
      <c r="D129" s="39">
        <f t="shared" si="37"/>
        <v>6</v>
      </c>
      <c r="E129" s="39">
        <f t="shared" si="41"/>
        <v>6</v>
      </c>
      <c r="F129">
        <v>0</v>
      </c>
      <c r="G129">
        <v>0</v>
      </c>
      <c r="H129" s="390">
        <f>D129*1</f>
        <v>6</v>
      </c>
      <c r="I129" s="390">
        <f>D129*1</f>
        <v>6</v>
      </c>
      <c r="J129" s="390">
        <f>D129*1</f>
        <v>6</v>
      </c>
      <c r="K129" s="82">
        <v>0</v>
      </c>
      <c r="L129" s="390">
        <f>D129*1</f>
        <v>6</v>
      </c>
      <c r="M129">
        <f>D129*0</f>
        <v>0</v>
      </c>
      <c r="N129">
        <v>0</v>
      </c>
      <c r="O129" s="390">
        <f t="shared" si="39"/>
        <v>6</v>
      </c>
      <c r="P129" s="390">
        <f t="shared" si="40"/>
        <v>6</v>
      </c>
    </row>
    <row r="130" spans="2:16" x14ac:dyDescent="0.35">
      <c r="B130" s="38"/>
      <c r="C130" s="388" t="s">
        <v>45</v>
      </c>
      <c r="D130" s="39">
        <f t="shared" si="37"/>
        <v>44</v>
      </c>
      <c r="E130" s="39">
        <f t="shared" si="41"/>
        <v>44</v>
      </c>
      <c r="F130">
        <v>0</v>
      </c>
      <c r="G130">
        <v>0</v>
      </c>
      <c r="H130" s="39">
        <f>D130*3</f>
        <v>132</v>
      </c>
      <c r="I130" s="39">
        <f>D130*2</f>
        <v>88</v>
      </c>
      <c r="J130" s="39">
        <f>D130*2</f>
        <v>88</v>
      </c>
      <c r="K130">
        <v>0</v>
      </c>
      <c r="L130">
        <v>0</v>
      </c>
      <c r="M130">
        <v>0</v>
      </c>
      <c r="N130">
        <v>0</v>
      </c>
      <c r="O130" s="39">
        <f t="shared" si="39"/>
        <v>44</v>
      </c>
      <c r="P130" s="39">
        <f t="shared" si="40"/>
        <v>44</v>
      </c>
    </row>
    <row r="131" spans="2:16" x14ac:dyDescent="0.35">
      <c r="B131" s="38"/>
      <c r="C131" s="388" t="s">
        <v>46</v>
      </c>
      <c r="D131" s="39">
        <f t="shared" si="37"/>
        <v>50</v>
      </c>
      <c r="E131" s="39">
        <f t="shared" si="41"/>
        <v>50</v>
      </c>
      <c r="F131">
        <v>0</v>
      </c>
      <c r="G131">
        <v>0</v>
      </c>
      <c r="H131" s="39">
        <f>D131*2</f>
        <v>100</v>
      </c>
      <c r="I131" s="39">
        <f>D131*2</f>
        <v>100</v>
      </c>
      <c r="J131" s="39">
        <f>D131*2</f>
        <v>100</v>
      </c>
      <c r="K131">
        <v>0</v>
      </c>
      <c r="L131">
        <v>0</v>
      </c>
      <c r="M131">
        <v>0</v>
      </c>
      <c r="N131">
        <v>0</v>
      </c>
      <c r="O131" s="39">
        <f t="shared" si="39"/>
        <v>50</v>
      </c>
      <c r="P131" s="39">
        <f t="shared" si="40"/>
        <v>50</v>
      </c>
    </row>
    <row r="132" spans="2:16" x14ac:dyDescent="0.35">
      <c r="B132" s="38"/>
      <c r="C132" s="388" t="s">
        <v>47</v>
      </c>
      <c r="D132" s="39">
        <f t="shared" si="37"/>
        <v>70</v>
      </c>
      <c r="E132" s="39">
        <f t="shared" si="41"/>
        <v>70</v>
      </c>
      <c r="F132">
        <v>0</v>
      </c>
      <c r="G132">
        <v>0</v>
      </c>
      <c r="H132" s="39">
        <f>D132*2</f>
        <v>140</v>
      </c>
      <c r="I132" s="39">
        <f>D132*2</f>
        <v>140</v>
      </c>
      <c r="J132" s="39">
        <f>D132*2</f>
        <v>140</v>
      </c>
      <c r="K132">
        <v>0</v>
      </c>
      <c r="L132">
        <v>0</v>
      </c>
      <c r="M132">
        <v>0</v>
      </c>
      <c r="N132">
        <v>0</v>
      </c>
      <c r="O132" s="39">
        <f t="shared" si="39"/>
        <v>70</v>
      </c>
      <c r="P132" s="39">
        <f t="shared" si="40"/>
        <v>70</v>
      </c>
    </row>
    <row r="133" spans="2:16" x14ac:dyDescent="0.35">
      <c r="B133" s="38"/>
      <c r="C133" s="388" t="s">
        <v>48</v>
      </c>
      <c r="D133" s="39">
        <f t="shared" si="37"/>
        <v>30</v>
      </c>
      <c r="E133" s="39">
        <f t="shared" si="41"/>
        <v>30</v>
      </c>
      <c r="F133">
        <v>0</v>
      </c>
      <c r="G133">
        <v>0</v>
      </c>
      <c r="H133" s="39">
        <f>D133*2</f>
        <v>60</v>
      </c>
      <c r="I133" s="39">
        <f>D133*2</f>
        <v>60</v>
      </c>
      <c r="J133" s="39">
        <f>D133*1</f>
        <v>30</v>
      </c>
      <c r="K133" s="39">
        <f>1*D133</f>
        <v>30</v>
      </c>
      <c r="L133" s="39">
        <f>D133*1</f>
        <v>30</v>
      </c>
      <c r="M133">
        <v>0</v>
      </c>
      <c r="N133">
        <v>0</v>
      </c>
      <c r="O133" s="39">
        <f t="shared" si="39"/>
        <v>30</v>
      </c>
      <c r="P133" s="39">
        <f t="shared" si="40"/>
        <v>30</v>
      </c>
    </row>
    <row r="134" spans="2:16" x14ac:dyDescent="0.35">
      <c r="B134" s="715" t="s">
        <v>51</v>
      </c>
      <c r="C134" s="716"/>
      <c r="D134" s="717">
        <f t="shared" ref="D134:P134" si="43">SUM(D121:D133)</f>
        <v>432</v>
      </c>
      <c r="E134" s="717">
        <f t="shared" si="43"/>
        <v>432</v>
      </c>
      <c r="F134" s="717">
        <f t="shared" si="43"/>
        <v>28</v>
      </c>
      <c r="G134" s="717">
        <f t="shared" si="43"/>
        <v>0</v>
      </c>
      <c r="H134" s="717">
        <f t="shared" si="43"/>
        <v>672</v>
      </c>
      <c r="I134" s="717">
        <f t="shared" si="43"/>
        <v>766</v>
      </c>
      <c r="J134" s="717">
        <f t="shared" si="43"/>
        <v>623</v>
      </c>
      <c r="K134" s="717">
        <f t="shared" si="43"/>
        <v>30</v>
      </c>
      <c r="L134" s="717">
        <f t="shared" si="43"/>
        <v>50</v>
      </c>
      <c r="M134" s="717">
        <f t="shared" si="43"/>
        <v>30</v>
      </c>
      <c r="N134" s="717">
        <f t="shared" si="43"/>
        <v>9</v>
      </c>
      <c r="O134" s="717">
        <f t="shared" si="43"/>
        <v>432</v>
      </c>
      <c r="P134" s="717">
        <f t="shared" si="43"/>
        <v>432</v>
      </c>
    </row>
  </sheetData>
  <mergeCells count="1">
    <mergeCell ref="B2:C2"/>
  </mergeCells>
  <phoneticPr fontId="0" type="noConversion"/>
  <pageMargins left="0.7" right="0.7" top="0.75" bottom="0.75" header="0.3" footer="0.3"/>
  <pageSetup scale="3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D5AB-FB6E-49C9-AEF4-8E044C4DE818}">
  <dimension ref="B5:F10"/>
  <sheetViews>
    <sheetView workbookViewId="0">
      <selection activeCell="K5" sqref="K5"/>
    </sheetView>
  </sheetViews>
  <sheetFormatPr defaultRowHeight="14.5" x14ac:dyDescent="0.35"/>
  <cols>
    <col min="2" max="2" width="23.7265625" bestFit="1" customWidth="1"/>
    <col min="3" max="3" width="16" customWidth="1"/>
    <col min="4" max="4" width="17.81640625" customWidth="1"/>
    <col min="5" max="5" width="13.54296875" customWidth="1"/>
    <col min="6" max="6" width="44" customWidth="1"/>
  </cols>
  <sheetData>
    <row r="5" spans="2:6" x14ac:dyDescent="0.35">
      <c r="B5" s="721" t="s">
        <v>96</v>
      </c>
      <c r="C5" s="721" t="s">
        <v>97</v>
      </c>
      <c r="D5" s="721" t="s">
        <v>98</v>
      </c>
      <c r="E5" s="721" t="s">
        <v>99</v>
      </c>
      <c r="F5" s="721" t="s">
        <v>100</v>
      </c>
    </row>
    <row r="6" spans="2:6" ht="29" x14ac:dyDescent="0.35">
      <c r="B6" s="641" t="s">
        <v>101</v>
      </c>
      <c r="C6" s="722">
        <v>1600000</v>
      </c>
      <c r="D6" s="722">
        <v>2850000</v>
      </c>
      <c r="E6" s="722">
        <f>D6-C6</f>
        <v>1250000</v>
      </c>
      <c r="F6" s="641" t="s">
        <v>102</v>
      </c>
    </row>
    <row r="7" spans="2:6" x14ac:dyDescent="0.35">
      <c r="B7" s="721" t="s">
        <v>103</v>
      </c>
      <c r="C7" s="722">
        <v>275000</v>
      </c>
      <c r="D7" s="722">
        <v>875000</v>
      </c>
      <c r="E7" s="722">
        <f>D7-C7</f>
        <v>600000</v>
      </c>
      <c r="F7" s="721" t="s">
        <v>104</v>
      </c>
    </row>
    <row r="8" spans="2:6" ht="29" x14ac:dyDescent="0.35">
      <c r="B8" s="721" t="s">
        <v>105</v>
      </c>
      <c r="C8" s="722">
        <f>17.5*75000</f>
        <v>1312500</v>
      </c>
      <c r="D8" s="722">
        <v>2700000</v>
      </c>
      <c r="E8" s="722">
        <f>D8-C8</f>
        <v>1387500</v>
      </c>
      <c r="F8" s="641" t="s">
        <v>106</v>
      </c>
    </row>
    <row r="9" spans="2:6" x14ac:dyDescent="0.35">
      <c r="B9" s="721" t="s">
        <v>107</v>
      </c>
      <c r="C9" s="722">
        <v>150000</v>
      </c>
      <c r="D9" s="723">
        <v>600000</v>
      </c>
      <c r="E9" s="722">
        <f>D9-C9</f>
        <v>450000</v>
      </c>
      <c r="F9" s="721" t="s">
        <v>108</v>
      </c>
    </row>
    <row r="10" spans="2:6" x14ac:dyDescent="0.35">
      <c r="E10" s="323">
        <f>SUM(E6:E9)</f>
        <v>3687500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8AD1-17A8-462C-A294-80E299848A8F}">
  <dimension ref="A1:S64"/>
  <sheetViews>
    <sheetView workbookViewId="0">
      <selection activeCell="C22" sqref="C22"/>
    </sheetView>
  </sheetViews>
  <sheetFormatPr defaultColWidth="8.81640625" defaultRowHeight="15.5" x14ac:dyDescent="0.35"/>
  <cols>
    <col min="1" max="1" width="16.1796875" style="88" bestFit="1" customWidth="1"/>
    <col min="2" max="2" width="18.81640625" style="89" bestFit="1" customWidth="1"/>
    <col min="3" max="3" width="12.26953125" style="88" bestFit="1" customWidth="1"/>
    <col min="4" max="4" width="15.54296875" style="93" bestFit="1" customWidth="1"/>
    <col min="5" max="5" width="16.1796875" style="88" bestFit="1" customWidth="1"/>
    <col min="6" max="6" width="19.81640625" style="89" bestFit="1" customWidth="1"/>
    <col min="7" max="7" width="11" style="91" bestFit="1" customWidth="1"/>
    <col min="8" max="8" width="14.7265625" style="93" bestFit="1" customWidth="1"/>
    <col min="9" max="9" width="8.81640625" style="88"/>
    <col min="10" max="10" width="9.81640625" style="89" bestFit="1" customWidth="1"/>
    <col min="11" max="12" width="10.81640625" style="89" bestFit="1" customWidth="1"/>
    <col min="13" max="13" width="13.7265625" style="89" bestFit="1" customWidth="1"/>
    <col min="14" max="14" width="9.81640625" style="89" bestFit="1" customWidth="1"/>
    <col min="15" max="16" width="10.54296875" style="89" bestFit="1" customWidth="1"/>
    <col min="17" max="19" width="8.81640625" style="89"/>
    <col min="20" max="16384" width="8.81640625" style="88"/>
  </cols>
  <sheetData>
    <row r="1" spans="1:8" x14ac:dyDescent="0.35">
      <c r="A1" s="3559" t="s">
        <v>109</v>
      </c>
      <c r="B1" s="3560"/>
      <c r="C1" s="3560"/>
      <c r="D1" s="3560"/>
      <c r="E1" s="3560"/>
      <c r="F1" s="3560"/>
      <c r="G1" s="3560"/>
      <c r="H1" s="3561"/>
    </row>
    <row r="2" spans="1:8" ht="16" thickBot="1" x14ac:dyDescent="0.4">
      <c r="A2" s="3562"/>
      <c r="B2" s="3563"/>
      <c r="C2" s="3563"/>
      <c r="D2" s="3563"/>
      <c r="E2" s="3563"/>
      <c r="F2" s="3563"/>
      <c r="G2" s="3563"/>
      <c r="H2" s="3564"/>
    </row>
    <row r="3" spans="1:8" ht="16" thickBot="1" x14ac:dyDescent="0.4">
      <c r="A3" s="3565" t="s">
        <v>110</v>
      </c>
      <c r="B3" s="3566"/>
      <c r="C3" s="3566"/>
      <c r="D3" s="3567"/>
      <c r="E3" s="3568" t="s">
        <v>110</v>
      </c>
      <c r="F3" s="3569"/>
      <c r="G3" s="3569"/>
      <c r="H3" s="3570"/>
    </row>
    <row r="4" spans="1:8" x14ac:dyDescent="0.35">
      <c r="A4" s="3571" t="s">
        <v>111</v>
      </c>
      <c r="B4" s="3572"/>
      <c r="C4" s="3572"/>
      <c r="D4" s="3573"/>
      <c r="E4" s="3574" t="s">
        <v>112</v>
      </c>
      <c r="F4" s="3575"/>
      <c r="G4" s="3575"/>
      <c r="H4" s="3576"/>
    </row>
    <row r="5" spans="1:8" ht="16" thickBot="1" x14ac:dyDescent="0.4">
      <c r="A5" s="3550">
        <v>42888</v>
      </c>
      <c r="B5" s="3551"/>
      <c r="C5" s="3551"/>
      <c r="D5" s="3552"/>
      <c r="E5" s="3553">
        <v>42053</v>
      </c>
      <c r="F5" s="3554"/>
      <c r="G5" s="3554"/>
      <c r="H5" s="3555"/>
    </row>
    <row r="6" spans="1:8" x14ac:dyDescent="0.35">
      <c r="A6" s="3556"/>
      <c r="B6" s="724">
        <f>IF(B13&gt;500000,500000,B13)</f>
        <v>500000</v>
      </c>
      <c r="C6" s="725">
        <v>9.1000000000000004E-3</v>
      </c>
      <c r="D6" s="611">
        <f t="shared" ref="D6:D11" si="0">B6*C6</f>
        <v>4550</v>
      </c>
      <c r="E6" s="3556"/>
      <c r="F6" s="726">
        <v>0</v>
      </c>
      <c r="G6" s="727">
        <v>1.8749999999999999E-2</v>
      </c>
      <c r="H6" s="728">
        <f t="shared" ref="H6:H11" si="1">SUM(F6*G6)</f>
        <v>0</v>
      </c>
    </row>
    <row r="7" spans="1:8" x14ac:dyDescent="0.35">
      <c r="A7" s="3557"/>
      <c r="B7" s="729">
        <f>IF(B13&lt;2500000,(B13-B6),IF(B13&gt;B6,2000000,0))</f>
        <v>1720594.08</v>
      </c>
      <c r="C7" s="730">
        <v>7.2500000000000004E-3</v>
      </c>
      <c r="D7" s="731">
        <f t="shared" si="0"/>
        <v>12474.30708</v>
      </c>
      <c r="E7" s="3557"/>
      <c r="F7" s="732">
        <v>0</v>
      </c>
      <c r="G7" s="733">
        <v>1.4999999999999999E-2</v>
      </c>
      <c r="H7" s="734">
        <f t="shared" si="1"/>
        <v>0</v>
      </c>
    </row>
    <row r="8" spans="1:8" x14ac:dyDescent="0.35">
      <c r="A8" s="3557"/>
      <c r="B8" s="729">
        <f>IF(B13&lt;5000000,MAX(0,B13-2500000),IF(B13&gt;2500000,2500000))</f>
        <v>0</v>
      </c>
      <c r="C8" s="730">
        <v>6.3E-3</v>
      </c>
      <c r="D8" s="731">
        <f t="shared" si="0"/>
        <v>0</v>
      </c>
      <c r="E8" s="3557"/>
      <c r="F8" s="732">
        <v>0</v>
      </c>
      <c r="G8" s="733">
        <v>1.125E-2</v>
      </c>
      <c r="H8" s="734">
        <f t="shared" si="1"/>
        <v>0</v>
      </c>
    </row>
    <row r="9" spans="1:8" x14ac:dyDescent="0.35">
      <c r="A9" s="3557"/>
      <c r="B9" s="729">
        <f>IF(B13&lt;7500000,MAX(0,B13-5000000),IF(B13&gt;7500000,2500000,0))</f>
        <v>0</v>
      </c>
      <c r="C9" s="730">
        <v>5.5500000000000002E-3</v>
      </c>
      <c r="D9" s="731">
        <f t="shared" si="0"/>
        <v>0</v>
      </c>
      <c r="E9" s="3557"/>
      <c r="F9" s="732">
        <v>0</v>
      </c>
      <c r="G9" s="733">
        <v>8.9999999999999993E-3</v>
      </c>
      <c r="H9" s="734">
        <f t="shared" si="1"/>
        <v>0</v>
      </c>
    </row>
    <row r="10" spans="1:8" x14ac:dyDescent="0.35">
      <c r="A10" s="3557"/>
      <c r="B10" s="729">
        <f>IF(B13&lt;7500000,MAX(0,B13-7500000),IF(B13&gt;7500000,(B13-7500000)))</f>
        <v>0</v>
      </c>
      <c r="C10" s="735">
        <v>5.1000000000000004E-3</v>
      </c>
      <c r="D10" s="731">
        <f t="shared" si="0"/>
        <v>0</v>
      </c>
      <c r="E10" s="3557"/>
      <c r="F10" s="732">
        <v>0</v>
      </c>
      <c r="G10" s="736">
        <v>8.2500000000000004E-3</v>
      </c>
      <c r="H10" s="737">
        <f t="shared" si="1"/>
        <v>0</v>
      </c>
    </row>
    <row r="11" spans="1:8" ht="16" thickBot="1" x14ac:dyDescent="0.4">
      <c r="A11" s="3558"/>
      <c r="B11" s="738"/>
      <c r="C11" s="739"/>
      <c r="D11" s="740">
        <f t="shared" si="0"/>
        <v>0</v>
      </c>
      <c r="E11" s="3558"/>
      <c r="F11" s="741">
        <v>0</v>
      </c>
      <c r="G11" s="742">
        <v>7.4999999999999997E-3</v>
      </c>
      <c r="H11" s="743">
        <f t="shared" si="1"/>
        <v>0</v>
      </c>
    </row>
    <row r="12" spans="1:8" ht="16" thickBot="1" x14ac:dyDescent="0.4">
      <c r="A12" s="612" t="s">
        <v>113</v>
      </c>
      <c r="B12" s="613" t="e">
        <f>'Cost Summary'!#REF!</f>
        <v>#REF!</v>
      </c>
      <c r="C12" s="614" t="s">
        <v>75</v>
      </c>
      <c r="D12" s="615">
        <f>SUM(D6:D11)</f>
        <v>17024.307079999999</v>
      </c>
      <c r="E12" s="612" t="s">
        <v>113</v>
      </c>
      <c r="F12" s="616">
        <f>SUM(F6+F7+F8+F9+F10+F11)</f>
        <v>0</v>
      </c>
      <c r="G12" s="617" t="s">
        <v>75</v>
      </c>
      <c r="H12" s="618">
        <f>SUM(H6:H11)</f>
        <v>0</v>
      </c>
    </row>
    <row r="13" spans="1:8" ht="16" thickBot="1" x14ac:dyDescent="0.4">
      <c r="A13" s="619" t="s">
        <v>114</v>
      </c>
      <c r="B13" s="613">
        <v>2220594.08</v>
      </c>
      <c r="C13" s="90"/>
      <c r="D13" s="620" t="e">
        <f>SUM(D12/B12)</f>
        <v>#REF!</v>
      </c>
      <c r="H13" s="621" t="e">
        <f>SUM(H12/F12)</f>
        <v>#DIV/0!</v>
      </c>
    </row>
    <row r="14" spans="1:8" x14ac:dyDescent="0.35">
      <c r="A14" s="89"/>
      <c r="B14" s="90" t="e">
        <f>B12-B13</f>
        <v>#REF!</v>
      </c>
      <c r="C14" s="90"/>
      <c r="D14" s="92"/>
      <c r="E14" s="89"/>
    </row>
    <row r="15" spans="1:8" x14ac:dyDescent="0.35">
      <c r="A15" s="89"/>
      <c r="B15" s="88"/>
      <c r="C15" s="89"/>
      <c r="D15" s="94"/>
      <c r="E15" s="89"/>
    </row>
    <row r="16" spans="1:8" x14ac:dyDescent="0.35">
      <c r="A16" s="89"/>
      <c r="C16" s="89"/>
      <c r="D16" s="88"/>
      <c r="E16" s="89"/>
    </row>
    <row r="17" spans="1:5" x14ac:dyDescent="0.35">
      <c r="A17" s="89"/>
      <c r="C17" s="89"/>
      <c r="D17" s="88"/>
      <c r="E17" s="89"/>
    </row>
    <row r="18" spans="1:5" x14ac:dyDescent="0.35">
      <c r="A18" s="89"/>
      <c r="C18" s="89"/>
      <c r="D18" s="88"/>
      <c r="E18" s="89"/>
    </row>
    <row r="19" spans="1:5" x14ac:dyDescent="0.35">
      <c r="A19" s="89"/>
      <c r="C19" s="89"/>
      <c r="D19" s="88"/>
      <c r="E19" s="89"/>
    </row>
    <row r="20" spans="1:5" x14ac:dyDescent="0.35">
      <c r="A20" s="89"/>
      <c r="C20" s="89"/>
      <c r="D20" s="88"/>
      <c r="E20" s="89"/>
    </row>
    <row r="21" spans="1:5" x14ac:dyDescent="0.35">
      <c r="A21" s="89"/>
      <c r="C21" s="89"/>
      <c r="D21" s="94"/>
      <c r="E21" s="89"/>
    </row>
    <row r="22" spans="1:5" x14ac:dyDescent="0.35">
      <c r="A22" s="89"/>
      <c r="C22" s="89"/>
      <c r="D22" s="94"/>
      <c r="E22" s="89"/>
    </row>
    <row r="23" spans="1:5" x14ac:dyDescent="0.35">
      <c r="A23" s="89"/>
      <c r="C23" s="89"/>
      <c r="D23" s="94"/>
      <c r="E23" s="89"/>
    </row>
    <row r="24" spans="1:5" x14ac:dyDescent="0.35">
      <c r="A24" s="89"/>
      <c r="C24" s="89"/>
      <c r="D24" s="94"/>
      <c r="E24" s="89"/>
    </row>
    <row r="25" spans="1:5" x14ac:dyDescent="0.35">
      <c r="A25" s="89"/>
      <c r="C25" s="89"/>
      <c r="D25" s="94"/>
      <c r="E25" s="89"/>
    </row>
    <row r="26" spans="1:5" x14ac:dyDescent="0.35">
      <c r="A26" s="95"/>
    </row>
    <row r="28" spans="1:5" ht="12.75" customHeight="1" x14ac:dyDescent="0.35"/>
    <row r="29" spans="1:5" ht="15.75" customHeight="1" x14ac:dyDescent="0.35"/>
    <row r="30" spans="1:5" ht="26.25" customHeight="1" x14ac:dyDescent="0.35"/>
    <row r="38" ht="12.75" customHeight="1" x14ac:dyDescent="0.35"/>
    <row r="40" ht="15.75" customHeight="1" x14ac:dyDescent="0.35"/>
    <row r="44" ht="39.75" customHeight="1" x14ac:dyDescent="0.35"/>
    <row r="45" ht="12.75" customHeight="1" x14ac:dyDescent="0.35"/>
    <row r="48" ht="18.75" customHeight="1" x14ac:dyDescent="0.35"/>
    <row r="52" ht="12.75" customHeight="1" x14ac:dyDescent="0.35"/>
    <row r="54" ht="24" customHeight="1" x14ac:dyDescent="0.35"/>
    <row r="59" ht="13.5" customHeight="1" x14ac:dyDescent="0.35"/>
    <row r="61" ht="33" customHeight="1" x14ac:dyDescent="0.35"/>
    <row r="64" ht="56.25" customHeight="1" x14ac:dyDescent="0.35"/>
  </sheetData>
  <mergeCells count="9">
    <mergeCell ref="A5:D5"/>
    <mergeCell ref="E5:H5"/>
    <mergeCell ref="A6:A11"/>
    <mergeCell ref="E6:E11"/>
    <mergeCell ref="A1:H2"/>
    <mergeCell ref="A3:D3"/>
    <mergeCell ref="E3:H3"/>
    <mergeCell ref="A4:D4"/>
    <mergeCell ref="E4:H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69CC-7DF0-45EA-A3B8-92297930D108}">
  <dimension ref="A1:R25"/>
  <sheetViews>
    <sheetView topLeftCell="A2" workbookViewId="0">
      <selection activeCell="B17" sqref="B17"/>
    </sheetView>
  </sheetViews>
  <sheetFormatPr defaultColWidth="9.1796875" defaultRowHeight="13.5" x14ac:dyDescent="0.25"/>
  <cols>
    <col min="1" max="1" width="6.453125" style="119" customWidth="1"/>
    <col min="2" max="2" width="62.453125" style="104" customWidth="1"/>
    <col min="3" max="3" width="26.81640625" style="104" bestFit="1" customWidth="1"/>
    <col min="4" max="4" width="9.1796875" style="104"/>
    <col min="5" max="5" width="11.26953125" style="104" bestFit="1" customWidth="1"/>
    <col min="6" max="16384" width="9.1796875" style="104"/>
  </cols>
  <sheetData>
    <row r="1" spans="1:18" s="98" customFormat="1" x14ac:dyDescent="0.35">
      <c r="A1" s="96"/>
      <c r="B1" s="97"/>
    </row>
    <row r="2" spans="1:18" s="98" customFormat="1" x14ac:dyDescent="0.35">
      <c r="A2" s="96"/>
      <c r="B2" s="97"/>
    </row>
    <row r="3" spans="1:18" s="98" customFormat="1" x14ac:dyDescent="0.35">
      <c r="A3" s="96"/>
      <c r="B3" s="97"/>
    </row>
    <row r="4" spans="1:18" s="98" customFormat="1" x14ac:dyDescent="0.35">
      <c r="A4" s="96"/>
      <c r="B4" s="97"/>
    </row>
    <row r="5" spans="1:18" s="98" customFormat="1" ht="14.5" x14ac:dyDescent="0.35">
      <c r="A5" s="96"/>
      <c r="B5" s="97"/>
      <c r="F5"/>
      <c r="G5"/>
      <c r="H5"/>
    </row>
    <row r="6" spans="1:18" s="98" customFormat="1" ht="14.5" x14ac:dyDescent="0.35">
      <c r="A6" s="744"/>
      <c r="B6" s="744"/>
      <c r="C6" s="745"/>
      <c r="F6"/>
      <c r="G6"/>
      <c r="H6"/>
    </row>
    <row r="7" spans="1:18" s="98" customFormat="1" ht="26" thickBot="1" x14ac:dyDescent="0.4">
      <c r="A7" s="3577" t="str">
        <f>'AREA CALC''s'!B4</f>
        <v>Alton Hilltop Gardens</v>
      </c>
      <c r="B7" s="3577"/>
      <c r="C7" s="746" t="str">
        <f>'AREA CALC''s'!B4</f>
        <v>Alton Hilltop Gardens</v>
      </c>
      <c r="D7" s="99"/>
      <c r="E7" s="100"/>
      <c r="F7"/>
      <c r="G7"/>
      <c r="H7"/>
    </row>
    <row r="8" spans="1:18" customFormat="1" ht="9" customHeight="1" x14ac:dyDescent="0.35">
      <c r="C8" s="101"/>
      <c r="D8" s="36"/>
      <c r="E8" s="23"/>
      <c r="I8" s="23"/>
      <c r="J8" s="23"/>
      <c r="K8" s="23"/>
      <c r="L8" s="102"/>
      <c r="M8" s="36"/>
      <c r="N8" s="102"/>
      <c r="O8" s="36"/>
      <c r="P8" s="101"/>
      <c r="Q8" s="36"/>
      <c r="R8" s="101"/>
    </row>
    <row r="9" spans="1:18" customFormat="1" ht="15.5" x14ac:dyDescent="0.35">
      <c r="A9" s="3578" t="s">
        <v>115</v>
      </c>
      <c r="B9" s="3578"/>
      <c r="C9" s="101"/>
      <c r="D9" s="36"/>
      <c r="E9" s="23"/>
      <c r="F9" s="23"/>
      <c r="G9" s="23"/>
      <c r="H9" s="23"/>
      <c r="I9" s="23"/>
      <c r="J9" s="23"/>
      <c r="K9" s="23"/>
      <c r="L9" s="102"/>
      <c r="M9" s="36"/>
      <c r="N9" s="102"/>
      <c r="O9" s="36"/>
      <c r="P9" s="101"/>
      <c r="Q9" s="36"/>
      <c r="R9" s="101"/>
    </row>
    <row r="10" spans="1:18" customFormat="1" ht="14.5" x14ac:dyDescent="0.35">
      <c r="A10" s="3579">
        <f ca="1">TODAY()</f>
        <v>46143</v>
      </c>
      <c r="B10" s="3579"/>
      <c r="C10" s="103"/>
      <c r="D10" s="36"/>
      <c r="E10" s="23"/>
      <c r="F10" s="23"/>
      <c r="G10" s="23"/>
      <c r="H10" s="23"/>
      <c r="I10" s="23"/>
      <c r="J10" s="23"/>
      <c r="K10" s="23"/>
      <c r="L10" s="102"/>
      <c r="M10" s="36"/>
      <c r="N10" s="102"/>
      <c r="O10" s="36"/>
      <c r="P10" s="101"/>
      <c r="Q10" s="36"/>
      <c r="R10" s="101"/>
    </row>
    <row r="11" spans="1:18" x14ac:dyDescent="0.25">
      <c r="A11" s="104"/>
    </row>
    <row r="12" spans="1:18" x14ac:dyDescent="0.25">
      <c r="A12" s="747" t="s">
        <v>116</v>
      </c>
      <c r="B12" s="748" t="s">
        <v>117</v>
      </c>
      <c r="C12" s="749" t="s">
        <v>118</v>
      </c>
    </row>
    <row r="13" spans="1:18" s="107" customFormat="1" ht="11.5" x14ac:dyDescent="0.35">
      <c r="A13" s="105">
        <v>1</v>
      </c>
      <c r="B13" s="109" t="s">
        <v>119</v>
      </c>
      <c r="C13" s="110">
        <v>50000</v>
      </c>
    </row>
    <row r="14" spans="1:18" s="107" customFormat="1" ht="11.5" x14ac:dyDescent="0.35">
      <c r="A14" s="108">
        <f>A13+1</f>
        <v>2</v>
      </c>
      <c r="B14" s="109" t="s">
        <v>120</v>
      </c>
      <c r="C14" s="110">
        <v>10000</v>
      </c>
    </row>
    <row r="15" spans="1:18" s="107" customFormat="1" ht="11.5" x14ac:dyDescent="0.35">
      <c r="A15" s="108">
        <f t="shared" ref="A15:A23" si="0">A14+1</f>
        <v>3</v>
      </c>
      <c r="B15" s="109" t="s">
        <v>121</v>
      </c>
      <c r="C15" s="110">
        <v>46000</v>
      </c>
    </row>
    <row r="16" spans="1:18" s="107" customFormat="1" ht="11.5" x14ac:dyDescent="0.35">
      <c r="A16" s="108">
        <f t="shared" si="0"/>
        <v>4</v>
      </c>
      <c r="B16" s="109" t="s">
        <v>122</v>
      </c>
      <c r="C16" s="110"/>
    </row>
    <row r="17" spans="1:3" s="107" customFormat="1" ht="11.5" x14ac:dyDescent="0.35">
      <c r="A17" s="108">
        <f t="shared" si="0"/>
        <v>5</v>
      </c>
      <c r="B17" s="109" t="s">
        <v>123</v>
      </c>
      <c r="C17" s="110">
        <f>'32C Landscape and Irrigation'!I52</f>
        <v>0</v>
      </c>
    </row>
    <row r="18" spans="1:3" s="107" customFormat="1" ht="11.5" x14ac:dyDescent="0.35">
      <c r="A18" s="108">
        <f t="shared" si="0"/>
        <v>6</v>
      </c>
      <c r="B18" s="109" t="s">
        <v>124</v>
      </c>
      <c r="C18" s="110">
        <v>25000</v>
      </c>
    </row>
    <row r="19" spans="1:3" s="107" customFormat="1" ht="11.5" x14ac:dyDescent="0.35">
      <c r="A19" s="108">
        <f t="shared" si="0"/>
        <v>7</v>
      </c>
      <c r="B19" s="109" t="s">
        <v>125</v>
      </c>
      <c r="C19" s="110">
        <f>'09E Flooring'!S61</f>
        <v>93268</v>
      </c>
    </row>
    <row r="20" spans="1:3" s="107" customFormat="1" ht="11.5" x14ac:dyDescent="0.35">
      <c r="A20" s="108">
        <f t="shared" si="0"/>
        <v>8</v>
      </c>
      <c r="B20" s="109" t="s">
        <v>126</v>
      </c>
      <c r="C20" s="110">
        <v>0</v>
      </c>
    </row>
    <row r="21" spans="1:3" s="107" customFormat="1" ht="11.5" x14ac:dyDescent="0.35">
      <c r="A21" s="108">
        <f t="shared" si="0"/>
        <v>9</v>
      </c>
      <c r="B21" s="109" t="s">
        <v>127</v>
      </c>
      <c r="C21" s="110">
        <f>'12A Window Treatment'!I47</f>
        <v>12000</v>
      </c>
    </row>
    <row r="22" spans="1:3" s="107" customFormat="1" ht="11.5" x14ac:dyDescent="0.35">
      <c r="A22" s="108">
        <f t="shared" si="0"/>
        <v>10</v>
      </c>
      <c r="B22" s="109"/>
      <c r="C22" s="110">
        <v>0</v>
      </c>
    </row>
    <row r="23" spans="1:3" s="107" customFormat="1" ht="11.5" x14ac:dyDescent="0.35">
      <c r="A23" s="108">
        <f t="shared" si="0"/>
        <v>11</v>
      </c>
      <c r="B23" s="114" t="s">
        <v>5</v>
      </c>
      <c r="C23" s="115">
        <f>SUM(C13:C22)</f>
        <v>236268</v>
      </c>
    </row>
    <row r="24" spans="1:3" s="107" customFormat="1" ht="11.5" x14ac:dyDescent="0.35">
      <c r="A24" s="200"/>
      <c r="B24" s="201"/>
      <c r="C24" s="202"/>
    </row>
    <row r="25" spans="1:3" ht="14" x14ac:dyDescent="0.3">
      <c r="A25" s="116"/>
      <c r="B25" s="120" t="s">
        <v>128</v>
      </c>
      <c r="C25" s="118"/>
    </row>
  </sheetData>
  <mergeCells count="3">
    <mergeCell ref="A7:B7"/>
    <mergeCell ref="A9:B9"/>
    <mergeCell ref="A10:B10"/>
  </mergeCells>
  <pageMargins left="0.7" right="0.7" top="0.75" bottom="0.75" header="0.3" footer="0.3"/>
  <pageSetup scale="9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F51A-81D5-45A8-B398-3F7342B272FC}">
  <dimension ref="A1:R21"/>
  <sheetViews>
    <sheetView workbookViewId="0">
      <selection activeCell="B13" sqref="B13"/>
    </sheetView>
  </sheetViews>
  <sheetFormatPr defaultColWidth="9.1796875" defaultRowHeight="13.5" x14ac:dyDescent="0.25"/>
  <cols>
    <col min="1" max="1" width="12.26953125" style="119" customWidth="1"/>
    <col min="2" max="2" width="57.26953125" style="104" customWidth="1"/>
    <col min="3" max="3" width="26.81640625" style="104" bestFit="1" customWidth="1"/>
    <col min="4" max="4" width="14.7265625" style="104" bestFit="1" customWidth="1"/>
    <col min="5" max="5" width="11.26953125" style="104" bestFit="1" customWidth="1"/>
    <col min="6" max="16384" width="9.1796875" style="104"/>
  </cols>
  <sheetData>
    <row r="1" spans="1:18" s="98" customFormat="1" x14ac:dyDescent="0.35">
      <c r="A1" s="96"/>
      <c r="B1" s="97"/>
    </row>
    <row r="2" spans="1:18" s="98" customFormat="1" x14ac:dyDescent="0.35">
      <c r="A2" s="96"/>
      <c r="B2" s="97"/>
    </row>
    <row r="3" spans="1:18" s="98" customFormat="1" x14ac:dyDescent="0.35">
      <c r="A3" s="96"/>
      <c r="B3" s="97"/>
    </row>
    <row r="4" spans="1:18" s="98" customFormat="1" x14ac:dyDescent="0.35">
      <c r="A4" s="96"/>
      <c r="B4" s="97"/>
    </row>
    <row r="5" spans="1:18" s="98" customFormat="1" ht="14.5" x14ac:dyDescent="0.35">
      <c r="A5" s="96"/>
      <c r="B5" s="97"/>
      <c r="F5"/>
      <c r="G5"/>
      <c r="H5"/>
    </row>
    <row r="6" spans="1:18" s="98" customFormat="1" ht="14.5" x14ac:dyDescent="0.35">
      <c r="A6" s="744"/>
      <c r="B6" s="744"/>
      <c r="C6" s="745"/>
      <c r="F6"/>
      <c r="G6"/>
      <c r="H6"/>
    </row>
    <row r="7" spans="1:18" s="98" customFormat="1" ht="26" thickBot="1" x14ac:dyDescent="0.4">
      <c r="A7" s="3577" t="str">
        <f>'AREA CALC''s'!B4</f>
        <v>Alton Hilltop Gardens</v>
      </c>
      <c r="B7" s="3577"/>
      <c r="C7" s="746"/>
      <c r="D7" s="99"/>
      <c r="E7" s="100"/>
      <c r="F7"/>
      <c r="G7"/>
      <c r="H7"/>
    </row>
    <row r="8" spans="1:18" customFormat="1" ht="9" customHeight="1" x14ac:dyDescent="0.35">
      <c r="C8" s="101"/>
      <c r="D8" s="36"/>
      <c r="E8" s="23"/>
      <c r="I8" s="23"/>
      <c r="J8" s="23"/>
      <c r="K8" s="23"/>
      <c r="L8" s="102"/>
      <c r="M8" s="36"/>
      <c r="N8" s="102"/>
      <c r="O8" s="36"/>
      <c r="P8" s="101"/>
      <c r="Q8" s="36"/>
      <c r="R8" s="101"/>
    </row>
    <row r="9" spans="1:18" customFormat="1" ht="15.5" x14ac:dyDescent="0.35">
      <c r="A9" s="3578" t="s">
        <v>129</v>
      </c>
      <c r="B9" s="3578"/>
      <c r="C9" s="101"/>
      <c r="D9" s="36" t="s">
        <v>130</v>
      </c>
      <c r="E9" s="479">
        <v>1.125</v>
      </c>
      <c r="F9" s="23"/>
      <c r="G9" s="23"/>
      <c r="H9" s="23"/>
      <c r="I9" s="23"/>
      <c r="J9" s="23"/>
      <c r="K9" s="23"/>
      <c r="L9" s="102"/>
      <c r="M9" s="36"/>
      <c r="N9" s="102"/>
      <c r="O9" s="36"/>
      <c r="P9" s="101"/>
      <c r="Q9" s="36"/>
      <c r="R9" s="101"/>
    </row>
    <row r="10" spans="1:18" customFormat="1" ht="14.5" x14ac:dyDescent="0.35">
      <c r="A10" s="3579">
        <f ca="1">TODAY()</f>
        <v>46143</v>
      </c>
      <c r="B10" s="3579"/>
      <c r="C10" s="103"/>
      <c r="D10" s="36"/>
      <c r="E10" s="23"/>
      <c r="F10" s="23"/>
      <c r="G10" s="23"/>
      <c r="H10" s="23"/>
      <c r="I10" s="23"/>
      <c r="J10" s="23"/>
      <c r="K10" s="23"/>
      <c r="L10" s="102"/>
      <c r="M10" s="36"/>
      <c r="N10" s="102"/>
      <c r="O10" s="36"/>
      <c r="P10" s="101"/>
      <c r="Q10" s="36"/>
      <c r="R10" s="101"/>
    </row>
    <row r="11" spans="1:18" x14ac:dyDescent="0.25">
      <c r="A11" s="104"/>
    </row>
    <row r="12" spans="1:18" x14ac:dyDescent="0.25">
      <c r="A12" s="747" t="s">
        <v>116</v>
      </c>
      <c r="B12" s="748" t="s">
        <v>117</v>
      </c>
      <c r="C12" s="749" t="s">
        <v>118</v>
      </c>
      <c r="D12" s="107"/>
    </row>
    <row r="13" spans="1:18" s="107" customFormat="1" ht="11.5" x14ac:dyDescent="0.35">
      <c r="A13" s="105" t="s">
        <v>131</v>
      </c>
      <c r="B13" s="109"/>
      <c r="C13" s="106"/>
    </row>
    <row r="14" spans="1:18" s="107" customFormat="1" ht="11.5" x14ac:dyDescent="0.35">
      <c r="A14" s="108" t="s">
        <v>132</v>
      </c>
      <c r="B14" s="109" t="s">
        <v>133</v>
      </c>
      <c r="C14" s="203" t="e">
        <f>'05C Misc. Metals'!#REF!*E9</f>
        <v>#REF!</v>
      </c>
    </row>
    <row r="15" spans="1:18" s="107" customFormat="1" ht="11.5" x14ac:dyDescent="0.35">
      <c r="A15" s="108" t="s">
        <v>134</v>
      </c>
      <c r="B15" s="109" t="s">
        <v>135</v>
      </c>
      <c r="C15" s="203">
        <f>-'23A HVAC'!Q103*E9</f>
        <v>327375</v>
      </c>
    </row>
    <row r="16" spans="1:18" s="107" customFormat="1" ht="11.5" x14ac:dyDescent="0.35">
      <c r="A16" s="108" t="s">
        <v>136</v>
      </c>
      <c r="B16" s="109" t="s">
        <v>137</v>
      </c>
      <c r="C16" s="203">
        <f>(-'09B Drywall&amp;Framing'!I57+'07C Fireproofing&amp;Firestopping'!I63)*E9</f>
        <v>153664.875</v>
      </c>
    </row>
    <row r="17" spans="1:3" s="107" customFormat="1" ht="11.5" x14ac:dyDescent="0.35">
      <c r="A17" s="108" t="s">
        <v>138</v>
      </c>
      <c r="B17" s="109" t="s">
        <v>139</v>
      </c>
      <c r="C17" s="203">
        <f>380000*E9</f>
        <v>427500</v>
      </c>
    </row>
    <row r="18" spans="1:3" s="107" customFormat="1" ht="11.5" x14ac:dyDescent="0.35">
      <c r="A18" s="108" t="s">
        <v>140</v>
      </c>
      <c r="B18" s="109" t="s">
        <v>141</v>
      </c>
      <c r="C18" s="203">
        <f>'08C Glass and Glazing'!K140*E9</f>
        <v>279000</v>
      </c>
    </row>
    <row r="19" spans="1:3" s="107" customFormat="1" ht="11.5" x14ac:dyDescent="0.35">
      <c r="A19" s="111" t="s">
        <v>142</v>
      </c>
      <c r="B19" s="112" t="s">
        <v>143</v>
      </c>
      <c r="C19" s="204">
        <f>E9*340315.37</f>
        <v>382854.79125000001</v>
      </c>
    </row>
    <row r="20" spans="1:3" s="107" customFormat="1" ht="11.5" x14ac:dyDescent="0.35">
      <c r="A20" s="113"/>
      <c r="B20" s="114" t="s">
        <v>5</v>
      </c>
      <c r="C20" s="205" t="e">
        <f>SUM(C13:C19)</f>
        <v>#REF!</v>
      </c>
    </row>
    <row r="21" spans="1:3" x14ac:dyDescent="0.25">
      <c r="A21" s="116"/>
      <c r="B21" s="117"/>
      <c r="C21" s="118"/>
    </row>
  </sheetData>
  <mergeCells count="3">
    <mergeCell ref="A7:B7"/>
    <mergeCell ref="A9:B9"/>
    <mergeCell ref="A10:B10"/>
  </mergeCells>
  <pageMargins left="0.7" right="0.7" top="0.75" bottom="0.75" header="0.3" footer="0.3"/>
  <pageSetup scale="95"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D8D2-99FE-4ADA-87B1-E626835DBDE8}">
  <dimension ref="A1:EE193"/>
  <sheetViews>
    <sheetView workbookViewId="0"/>
  </sheetViews>
  <sheetFormatPr defaultRowHeight="14.5" x14ac:dyDescent="0.35"/>
  <cols>
    <col min="1" max="1" width="3.26953125" style="196" bestFit="1" customWidth="1"/>
    <col min="2" max="2" width="5.81640625" style="196" customWidth="1"/>
    <col min="3" max="3" width="42.453125" customWidth="1"/>
    <col min="4" max="4" width="8.81640625" style="218" bestFit="1" customWidth="1"/>
    <col min="5" max="5" width="5.7265625" style="196" customWidth="1"/>
    <col min="6" max="6" width="9.81640625" style="101" bestFit="1" customWidth="1"/>
    <col min="7" max="7" width="14.81640625" style="101" bestFit="1" customWidth="1"/>
    <col min="8" max="8" width="14.26953125" style="101" customWidth="1"/>
    <col min="9" max="9" width="12.81640625" style="101" customWidth="1"/>
    <col min="10" max="10" width="13.26953125" style="101" customWidth="1"/>
    <col min="11" max="11" width="14" style="101" bestFit="1" customWidth="1"/>
    <col min="12" max="12" width="17.26953125" style="217" bestFit="1" customWidth="1"/>
    <col min="13" max="13" width="10.26953125" style="217" bestFit="1" customWidth="1"/>
    <col min="14" max="14" width="23.7265625" style="101" customWidth="1"/>
    <col min="15" max="15" width="19.81640625" customWidth="1"/>
    <col min="16" max="24" width="0" hidden="1" customWidth="1"/>
  </cols>
  <sheetData>
    <row r="1" spans="1:24" ht="15" customHeight="1" x14ac:dyDescent="0.35">
      <c r="A1" s="3591" t="s">
        <v>144</v>
      </c>
      <c r="B1" s="3594" t="s">
        <v>145</v>
      </c>
      <c r="C1" s="3597" t="s">
        <v>146</v>
      </c>
      <c r="D1" s="3598"/>
      <c r="E1" s="3598"/>
      <c r="F1" s="3598"/>
      <c r="G1" s="3598"/>
      <c r="H1" s="3598"/>
      <c r="I1" s="3598"/>
      <c r="J1" s="3598"/>
      <c r="K1" s="3598"/>
      <c r="L1" s="3598"/>
      <c r="M1" s="3598"/>
      <c r="N1" s="3599"/>
      <c r="O1" s="3603"/>
      <c r="P1" s="3604"/>
      <c r="Q1" s="3604"/>
      <c r="R1" s="3604"/>
      <c r="S1" s="3604"/>
      <c r="T1" s="3604"/>
      <c r="U1" s="3604"/>
      <c r="V1" s="3604"/>
      <c r="W1" s="3604"/>
      <c r="X1" s="3605"/>
    </row>
    <row r="2" spans="1:24" ht="15" customHeight="1" x14ac:dyDescent="0.35">
      <c r="A2" s="3592"/>
      <c r="B2" s="3595"/>
      <c r="C2" s="3600"/>
      <c r="D2" s="3601"/>
      <c r="E2" s="3601"/>
      <c r="F2" s="3601"/>
      <c r="G2" s="3601"/>
      <c r="H2" s="3601"/>
      <c r="I2" s="3601"/>
      <c r="J2" s="3601"/>
      <c r="K2" s="3601"/>
      <c r="L2" s="3601"/>
      <c r="M2" s="3601"/>
      <c r="N2" s="3602"/>
      <c r="O2" s="3606"/>
      <c r="P2" s="3607"/>
      <c r="Q2" s="3607"/>
      <c r="R2" s="3607"/>
      <c r="S2" s="3607"/>
      <c r="T2" s="3607"/>
      <c r="U2" s="3607"/>
      <c r="V2" s="3607"/>
      <c r="W2" s="3607"/>
      <c r="X2" s="3608"/>
    </row>
    <row r="3" spans="1:24" s="213" customFormat="1" ht="15" customHeight="1" x14ac:dyDescent="0.35">
      <c r="A3" s="3592"/>
      <c r="B3" s="3595"/>
      <c r="C3" s="3609" t="s">
        <v>147</v>
      </c>
      <c r="D3" s="3610"/>
      <c r="E3" s="3611"/>
      <c r="F3" s="3618" t="s">
        <v>148</v>
      </c>
      <c r="G3" s="3619"/>
      <c r="H3" s="573" t="s">
        <v>149</v>
      </c>
      <c r="I3" s="573" t="s">
        <v>150</v>
      </c>
      <c r="J3" s="573" t="s">
        <v>151</v>
      </c>
      <c r="K3" s="573" t="s">
        <v>152</v>
      </c>
      <c r="L3" s="572" t="s">
        <v>153</v>
      </c>
      <c r="M3" s="3620" t="s">
        <v>154</v>
      </c>
      <c r="N3" s="3588" t="s">
        <v>155</v>
      </c>
      <c r="O3" s="404"/>
      <c r="P3" s="405"/>
      <c r="Q3" s="406" t="s">
        <v>156</v>
      </c>
      <c r="X3" s="405"/>
    </row>
    <row r="4" spans="1:24" s="213" customFormat="1" ht="15" customHeight="1" x14ac:dyDescent="0.35">
      <c r="A4" s="3592"/>
      <c r="B4" s="3595"/>
      <c r="C4" s="3612"/>
      <c r="D4" s="3613"/>
      <c r="E4" s="3614"/>
      <c r="F4" s="3584" t="s">
        <v>147</v>
      </c>
      <c r="G4" s="3585"/>
      <c r="H4" s="750">
        <v>46049</v>
      </c>
      <c r="I4" s="750">
        <v>46671</v>
      </c>
      <c r="J4" s="751">
        <f>SUM(I4-H4)</f>
        <v>622</v>
      </c>
      <c r="K4" s="751">
        <f>SUM(J4/7)</f>
        <v>88.857142857142861</v>
      </c>
      <c r="L4" s="752">
        <f>SUM(J4/30)</f>
        <v>20.733333333333334</v>
      </c>
      <c r="M4" s="3621"/>
      <c r="N4" s="3589"/>
      <c r="O4" s="404"/>
      <c r="P4" s="405"/>
      <c r="Q4" s="3618" t="s">
        <v>148</v>
      </c>
      <c r="R4" s="3619"/>
      <c r="S4" s="573" t="s">
        <v>149</v>
      </c>
      <c r="T4" s="573" t="s">
        <v>150</v>
      </c>
      <c r="U4" s="573" t="s">
        <v>151</v>
      </c>
      <c r="V4" s="573" t="s">
        <v>152</v>
      </c>
      <c r="W4" s="572" t="s">
        <v>153</v>
      </c>
      <c r="X4" s="405"/>
    </row>
    <row r="5" spans="1:24" s="213" customFormat="1" ht="15" customHeight="1" x14ac:dyDescent="0.35">
      <c r="A5" s="3592"/>
      <c r="B5" s="3595"/>
      <c r="C5" s="3612"/>
      <c r="D5" s="3613"/>
      <c r="E5" s="3614"/>
      <c r="F5" s="3582" t="s">
        <v>157</v>
      </c>
      <c r="G5" s="3583"/>
      <c r="H5" s="753">
        <v>46675</v>
      </c>
      <c r="I5" s="753">
        <v>46736</v>
      </c>
      <c r="J5" s="754">
        <f>SUM(I5-H5)</f>
        <v>61</v>
      </c>
      <c r="K5" s="754">
        <f>SUM(J5/7)</f>
        <v>8.7142857142857135</v>
      </c>
      <c r="L5" s="755">
        <f>SUM(J5/30)</f>
        <v>2.0333333333333332</v>
      </c>
      <c r="M5" s="3621"/>
      <c r="N5" s="3589"/>
      <c r="O5" s="404"/>
      <c r="P5" s="405"/>
      <c r="Q5" s="3584" t="s">
        <v>147</v>
      </c>
      <c r="R5" s="3585"/>
      <c r="S5" s="750">
        <v>0</v>
      </c>
      <c r="T5" s="750">
        <v>0</v>
      </c>
      <c r="U5" s="751">
        <f>SUM(T5-S5)</f>
        <v>0</v>
      </c>
      <c r="V5" s="751">
        <f>SUM(U5/7)</f>
        <v>0</v>
      </c>
      <c r="W5" s="752">
        <f>SUM(U5/30)</f>
        <v>0</v>
      </c>
      <c r="X5" s="405"/>
    </row>
    <row r="6" spans="1:24" s="213" customFormat="1" ht="15" customHeight="1" x14ac:dyDescent="0.35">
      <c r="A6" s="3592"/>
      <c r="B6" s="3595"/>
      <c r="C6" s="3615"/>
      <c r="D6" s="3616"/>
      <c r="E6" s="3617"/>
      <c r="F6" s="3586" t="s">
        <v>158</v>
      </c>
      <c r="G6" s="3587"/>
      <c r="H6" s="3586" t="s">
        <v>159</v>
      </c>
      <c r="I6" s="3587"/>
      <c r="J6" s="3586" t="s">
        <v>160</v>
      </c>
      <c r="K6" s="3587"/>
      <c r="L6" s="3588" t="s">
        <v>75</v>
      </c>
      <c r="M6" s="3621"/>
      <c r="N6" s="3589"/>
      <c r="O6" s="404"/>
      <c r="P6" s="405"/>
      <c r="Q6" s="213" t="s">
        <v>161</v>
      </c>
      <c r="X6" s="405"/>
    </row>
    <row r="7" spans="1:24" s="214" customFormat="1" ht="15" customHeight="1" x14ac:dyDescent="0.35">
      <c r="A7" s="3592"/>
      <c r="B7" s="3595"/>
      <c r="C7" s="3623" t="s">
        <v>162</v>
      </c>
      <c r="D7" s="3625" t="s">
        <v>163</v>
      </c>
      <c r="E7" s="3627" t="s">
        <v>164</v>
      </c>
      <c r="F7" s="407" t="s">
        <v>165</v>
      </c>
      <c r="G7" s="408" t="s">
        <v>166</v>
      </c>
      <c r="H7" s="407" t="s">
        <v>165</v>
      </c>
      <c r="I7" s="408" t="s">
        <v>167</v>
      </c>
      <c r="J7" s="407" t="s">
        <v>165</v>
      </c>
      <c r="K7" s="408" t="s">
        <v>167</v>
      </c>
      <c r="L7" s="3589"/>
      <c r="M7" s="3621"/>
      <c r="N7" s="3589"/>
      <c r="O7" s="405" t="s">
        <v>168</v>
      </c>
      <c r="P7" s="409" t="s">
        <v>169</v>
      </c>
      <c r="Q7" s="3618" t="s">
        <v>148</v>
      </c>
      <c r="R7" s="3619"/>
      <c r="S7" s="573" t="s">
        <v>149</v>
      </c>
      <c r="T7" s="573" t="s">
        <v>150</v>
      </c>
      <c r="U7" s="573" t="s">
        <v>151</v>
      </c>
      <c r="V7" s="573" t="s">
        <v>152</v>
      </c>
      <c r="W7" s="572" t="s">
        <v>153</v>
      </c>
      <c r="X7" s="409" t="s">
        <v>170</v>
      </c>
    </row>
    <row r="8" spans="1:24" s="213" customFormat="1" ht="15" customHeight="1" x14ac:dyDescent="0.35">
      <c r="A8" s="3593"/>
      <c r="B8" s="3596"/>
      <c r="C8" s="3624"/>
      <c r="D8" s="3626"/>
      <c r="E8" s="3628"/>
      <c r="F8" s="411" t="s">
        <v>171</v>
      </c>
      <c r="G8" s="412" t="s">
        <v>172</v>
      </c>
      <c r="H8" s="411" t="s">
        <v>171</v>
      </c>
      <c r="I8" s="412" t="s">
        <v>173</v>
      </c>
      <c r="J8" s="411" t="s">
        <v>171</v>
      </c>
      <c r="K8" s="412" t="s">
        <v>173</v>
      </c>
      <c r="L8" s="3590"/>
      <c r="M8" s="3622"/>
      <c r="N8" s="3590"/>
      <c r="O8" s="410"/>
      <c r="P8" s="413"/>
      <c r="Q8" s="3584" t="s">
        <v>147</v>
      </c>
      <c r="R8" s="3585"/>
      <c r="S8" s="750">
        <v>0</v>
      </c>
      <c r="T8" s="750">
        <v>0</v>
      </c>
      <c r="U8" s="751">
        <f>SUM(T8-S8)</f>
        <v>0</v>
      </c>
      <c r="V8" s="751">
        <f>SUM(U8/7)</f>
        <v>0</v>
      </c>
      <c r="W8" s="752">
        <f>SUM(U8/30)</f>
        <v>0</v>
      </c>
      <c r="X8" s="413"/>
    </row>
    <row r="9" spans="1:24" s="214" customFormat="1" ht="19.5" customHeight="1" x14ac:dyDescent="0.35">
      <c r="A9" s="3580"/>
      <c r="B9" s="3581"/>
      <c r="C9" s="622" t="s">
        <v>174</v>
      </c>
      <c r="D9" s="623"/>
      <c r="E9" s="756"/>
      <c r="F9" s="756"/>
      <c r="G9" s="756"/>
      <c r="H9" s="756"/>
      <c r="I9" s="756"/>
      <c r="J9" s="756"/>
      <c r="K9" s="756"/>
      <c r="L9" s="757">
        <f>SUM(L10:L27)</f>
        <v>3833360.5154170948</v>
      </c>
      <c r="M9" s="757"/>
      <c r="N9" s="758"/>
      <c r="O9" s="759"/>
      <c r="P9" s="759"/>
      <c r="X9" s="759"/>
    </row>
    <row r="10" spans="1:24" ht="17.25" customHeight="1" x14ac:dyDescent="0.35">
      <c r="A10" s="574"/>
      <c r="B10" s="575"/>
      <c r="C10" s="760" t="s">
        <v>175</v>
      </c>
      <c r="D10" s="761">
        <f t="shared" ref="D10:D26" si="0">$K$4</f>
        <v>88.857142857142861</v>
      </c>
      <c r="E10" s="762" t="s">
        <v>176</v>
      </c>
      <c r="F10" s="576">
        <f t="shared" ref="F10:F27" si="1">(O10*40)*M10</f>
        <v>2809.6181477291998</v>
      </c>
      <c r="G10" s="577">
        <f t="shared" ref="G10:G27" si="2">SUM(D10*F10)</f>
        <v>249654.64112679462</v>
      </c>
      <c r="H10" s="3635"/>
      <c r="I10" s="3636"/>
      <c r="J10" s="3635"/>
      <c r="K10" s="3636"/>
      <c r="L10" s="578">
        <f>SUM(G10+I10+K10)</f>
        <v>249654.64112679462</v>
      </c>
      <c r="M10" s="763">
        <v>0.33</v>
      </c>
      <c r="N10" s="764"/>
      <c r="O10" s="579">
        <v>212.84985967645451</v>
      </c>
      <c r="P10" s="580">
        <v>253</v>
      </c>
      <c r="X10" s="580">
        <v>216</v>
      </c>
    </row>
    <row r="11" spans="1:24" ht="17.25" customHeight="1" x14ac:dyDescent="0.35">
      <c r="A11" s="765"/>
      <c r="B11" s="766"/>
      <c r="C11" s="760" t="s">
        <v>177</v>
      </c>
      <c r="D11" s="761">
        <f t="shared" si="0"/>
        <v>88.857142857142861</v>
      </c>
      <c r="E11" s="762" t="s">
        <v>176</v>
      </c>
      <c r="F11" s="767">
        <f t="shared" si="1"/>
        <v>0</v>
      </c>
      <c r="G11" s="768">
        <f t="shared" si="2"/>
        <v>0</v>
      </c>
      <c r="H11" s="3637"/>
      <c r="I11" s="3638"/>
      <c r="J11" s="3637"/>
      <c r="K11" s="3638"/>
      <c r="L11" s="769">
        <f t="shared" ref="L11:L27" si="3">SUM(G11+I11+K11)</f>
        <v>0</v>
      </c>
      <c r="M11" s="763">
        <v>0</v>
      </c>
      <c r="N11" s="764"/>
      <c r="O11" s="770">
        <v>176.41091198210171</v>
      </c>
      <c r="P11" s="771">
        <v>195</v>
      </c>
      <c r="X11" s="771">
        <v>175</v>
      </c>
    </row>
    <row r="12" spans="1:24" ht="17.25" customHeight="1" x14ac:dyDescent="0.35">
      <c r="A12" s="765"/>
      <c r="B12" s="766"/>
      <c r="C12" s="760" t="s">
        <v>178</v>
      </c>
      <c r="D12" s="761">
        <f t="shared" si="0"/>
        <v>88.857142857142861</v>
      </c>
      <c r="E12" s="762" t="s">
        <v>176</v>
      </c>
      <c r="F12" s="767">
        <f t="shared" si="1"/>
        <v>6520</v>
      </c>
      <c r="G12" s="768">
        <f t="shared" si="2"/>
        <v>579348.57142857148</v>
      </c>
      <c r="H12" s="3637"/>
      <c r="I12" s="3638"/>
      <c r="J12" s="3637"/>
      <c r="K12" s="3638"/>
      <c r="L12" s="769">
        <f t="shared" si="3"/>
        <v>579348.57142857148</v>
      </c>
      <c r="M12" s="763">
        <v>1</v>
      </c>
      <c r="N12" s="764"/>
      <c r="O12" s="770">
        <v>163</v>
      </c>
      <c r="P12" s="771">
        <v>185</v>
      </c>
      <c r="X12" s="771">
        <v>155</v>
      </c>
    </row>
    <row r="13" spans="1:24" ht="17.25" customHeight="1" x14ac:dyDescent="0.35">
      <c r="A13" s="765"/>
      <c r="B13" s="766"/>
      <c r="C13" s="760" t="s">
        <v>179</v>
      </c>
      <c r="D13" s="761">
        <f t="shared" si="0"/>
        <v>88.857142857142861</v>
      </c>
      <c r="E13" s="762" t="s">
        <v>176</v>
      </c>
      <c r="F13" s="767">
        <f t="shared" si="1"/>
        <v>0</v>
      </c>
      <c r="G13" s="768">
        <f t="shared" si="2"/>
        <v>0</v>
      </c>
      <c r="H13" s="3637"/>
      <c r="I13" s="3638"/>
      <c r="J13" s="3637"/>
      <c r="K13" s="3638"/>
      <c r="L13" s="769">
        <f t="shared" si="3"/>
        <v>0</v>
      </c>
      <c r="M13" s="763">
        <v>0</v>
      </c>
      <c r="N13" s="764"/>
      <c r="O13" s="770">
        <v>148.69542496153844</v>
      </c>
      <c r="P13" s="771">
        <v>185</v>
      </c>
      <c r="X13" s="771">
        <v>155</v>
      </c>
    </row>
    <row r="14" spans="1:24" ht="17.25" customHeight="1" x14ac:dyDescent="0.35">
      <c r="A14" s="765"/>
      <c r="B14" s="766"/>
      <c r="C14" s="760" t="s">
        <v>180</v>
      </c>
      <c r="D14" s="761">
        <f t="shared" si="0"/>
        <v>88.857142857142861</v>
      </c>
      <c r="E14" s="762" t="s">
        <v>176</v>
      </c>
      <c r="F14" s="767">
        <f t="shared" si="1"/>
        <v>2545.171309517606</v>
      </c>
      <c r="G14" s="768">
        <f t="shared" si="2"/>
        <v>226156.6506457073</v>
      </c>
      <c r="H14" s="3637"/>
      <c r="I14" s="3638"/>
      <c r="J14" s="3637"/>
      <c r="K14" s="3638"/>
      <c r="L14" s="769">
        <f t="shared" si="3"/>
        <v>226156.6506457073</v>
      </c>
      <c r="M14" s="763">
        <v>0.5</v>
      </c>
      <c r="N14" s="764"/>
      <c r="O14" s="770">
        <v>127.2585654758803</v>
      </c>
      <c r="P14" s="771">
        <v>163</v>
      </c>
      <c r="X14" s="771">
        <v>130</v>
      </c>
    </row>
    <row r="15" spans="1:24" ht="17.25" customHeight="1" x14ac:dyDescent="0.35">
      <c r="A15" s="765"/>
      <c r="B15" s="766"/>
      <c r="C15" s="760" t="s">
        <v>181</v>
      </c>
      <c r="D15" s="761">
        <f t="shared" si="0"/>
        <v>88.857142857142861</v>
      </c>
      <c r="E15" s="762" t="s">
        <v>176</v>
      </c>
      <c r="F15" s="414">
        <f t="shared" si="1"/>
        <v>3591.2833403998384</v>
      </c>
      <c r="G15" s="772">
        <f t="shared" si="2"/>
        <v>319111.17681838566</v>
      </c>
      <c r="H15" s="3637"/>
      <c r="I15" s="3638"/>
      <c r="J15" s="3637"/>
      <c r="K15" s="3638"/>
      <c r="L15" s="769">
        <f t="shared" si="3"/>
        <v>319111.17681838566</v>
      </c>
      <c r="M15" s="763">
        <v>1</v>
      </c>
      <c r="N15" s="764"/>
      <c r="O15" s="770">
        <v>89.782083509995957</v>
      </c>
      <c r="P15" s="771">
        <v>95</v>
      </c>
      <c r="X15" s="771">
        <v>65</v>
      </c>
    </row>
    <row r="16" spans="1:24" ht="15.75" customHeight="1" x14ac:dyDescent="0.35">
      <c r="A16" s="773"/>
      <c r="B16" s="774"/>
      <c r="C16" s="775" t="s">
        <v>182</v>
      </c>
      <c r="D16" s="761">
        <f t="shared" si="0"/>
        <v>88.857142857142861</v>
      </c>
      <c r="E16" s="774" t="s">
        <v>176</v>
      </c>
      <c r="F16" s="776">
        <f t="shared" si="1"/>
        <v>0</v>
      </c>
      <c r="G16" s="772">
        <f t="shared" si="2"/>
        <v>0</v>
      </c>
      <c r="H16" s="3637"/>
      <c r="I16" s="3638"/>
      <c r="J16" s="3637"/>
      <c r="K16" s="3638"/>
      <c r="L16" s="769">
        <f t="shared" si="3"/>
        <v>0</v>
      </c>
      <c r="M16" s="777">
        <v>0</v>
      </c>
      <c r="N16" s="778"/>
      <c r="O16" s="770">
        <v>115.84355425198581</v>
      </c>
      <c r="P16" s="770">
        <v>81</v>
      </c>
      <c r="X16" s="770">
        <v>60</v>
      </c>
    </row>
    <row r="17" spans="1:127" ht="15.75" customHeight="1" x14ac:dyDescent="0.35">
      <c r="A17" s="773"/>
      <c r="B17" s="774"/>
      <c r="C17" s="775" t="s">
        <v>183</v>
      </c>
      <c r="D17" s="761">
        <f t="shared" si="0"/>
        <v>88.857142857142861</v>
      </c>
      <c r="E17" s="774" t="s">
        <v>176</v>
      </c>
      <c r="F17" s="776">
        <f t="shared" si="1"/>
        <v>4467.6124302127319</v>
      </c>
      <c r="G17" s="772">
        <f t="shared" si="2"/>
        <v>396979.27594175993</v>
      </c>
      <c r="H17" s="3637"/>
      <c r="I17" s="3638"/>
      <c r="J17" s="3637"/>
      <c r="K17" s="3638"/>
      <c r="L17" s="779">
        <f t="shared" si="3"/>
        <v>396979.27594175993</v>
      </c>
      <c r="M17" s="777">
        <v>1</v>
      </c>
      <c r="N17" s="778"/>
      <c r="O17" s="770">
        <v>111.69031075531831</v>
      </c>
      <c r="P17" s="770">
        <v>118</v>
      </c>
      <c r="X17" s="770">
        <v>95</v>
      </c>
    </row>
    <row r="18" spans="1:127" ht="15.75" customHeight="1" x14ac:dyDescent="0.35">
      <c r="A18" s="773"/>
      <c r="B18" s="774"/>
      <c r="C18" s="775" t="s">
        <v>184</v>
      </c>
      <c r="D18" s="761">
        <f t="shared" si="0"/>
        <v>88.857142857142861</v>
      </c>
      <c r="E18" s="774" t="s">
        <v>176</v>
      </c>
      <c r="F18" s="776">
        <f t="shared" si="1"/>
        <v>563.37467301479285</v>
      </c>
      <c r="G18" s="772">
        <f t="shared" si="2"/>
        <v>50059.863802171596</v>
      </c>
      <c r="H18" s="3637"/>
      <c r="I18" s="3638"/>
      <c r="J18" s="3637"/>
      <c r="K18" s="3638"/>
      <c r="L18" s="779">
        <f t="shared" si="3"/>
        <v>50059.863802171596</v>
      </c>
      <c r="M18" s="777">
        <v>0.08</v>
      </c>
      <c r="N18" s="764"/>
      <c r="O18" s="770">
        <v>176.05458531712276</v>
      </c>
      <c r="P18" s="770"/>
      <c r="X18" s="770"/>
    </row>
    <row r="19" spans="1:127" ht="15.75" customHeight="1" x14ac:dyDescent="0.35">
      <c r="A19" s="773"/>
      <c r="B19" s="774"/>
      <c r="C19" s="775" t="s">
        <v>185</v>
      </c>
      <c r="D19" s="761">
        <f t="shared" si="0"/>
        <v>88.857142857142861</v>
      </c>
      <c r="E19" s="774" t="s">
        <v>176</v>
      </c>
      <c r="F19" s="776">
        <f t="shared" si="1"/>
        <v>5335.9555282214342</v>
      </c>
      <c r="G19" s="772">
        <f t="shared" si="2"/>
        <v>474137.76265053317</v>
      </c>
      <c r="H19" s="3637"/>
      <c r="I19" s="3638"/>
      <c r="J19" s="3637"/>
      <c r="K19" s="3638"/>
      <c r="L19" s="779">
        <f t="shared" si="3"/>
        <v>474137.76265053317</v>
      </c>
      <c r="M19" s="777">
        <v>0.75</v>
      </c>
      <c r="N19" s="764"/>
      <c r="O19" s="770">
        <v>177.86518427404781</v>
      </c>
      <c r="P19" s="770">
        <v>183</v>
      </c>
      <c r="X19" s="770">
        <v>194</v>
      </c>
    </row>
    <row r="20" spans="1:127" ht="15.75" customHeight="1" x14ac:dyDescent="0.35">
      <c r="A20" s="773"/>
      <c r="B20" s="774"/>
      <c r="C20" s="775" t="s">
        <v>186</v>
      </c>
      <c r="D20" s="761">
        <f t="shared" si="0"/>
        <v>88.857142857142861</v>
      </c>
      <c r="E20" s="774" t="s">
        <v>176</v>
      </c>
      <c r="F20" s="776">
        <f t="shared" si="1"/>
        <v>5971.9802782421066</v>
      </c>
      <c r="G20" s="772">
        <f t="shared" si="2"/>
        <v>530653.10472379869</v>
      </c>
      <c r="H20" s="3637"/>
      <c r="I20" s="3638"/>
      <c r="J20" s="3637"/>
      <c r="K20" s="3638"/>
      <c r="L20" s="779">
        <f t="shared" si="3"/>
        <v>530653.10472379869</v>
      </c>
      <c r="M20" s="777">
        <v>1</v>
      </c>
      <c r="N20" s="764"/>
      <c r="O20" s="770">
        <v>149.29950695605265</v>
      </c>
      <c r="P20" s="770">
        <v>161</v>
      </c>
      <c r="X20" s="770">
        <v>173</v>
      </c>
    </row>
    <row r="21" spans="1:127" ht="15.75" customHeight="1" x14ac:dyDescent="0.35">
      <c r="A21" s="773"/>
      <c r="B21" s="774"/>
      <c r="C21" s="775" t="s">
        <v>187</v>
      </c>
      <c r="D21" s="761">
        <f t="shared" si="0"/>
        <v>88.857142857142861</v>
      </c>
      <c r="E21" s="774" t="s">
        <v>176</v>
      </c>
      <c r="F21" s="776">
        <f t="shared" si="1"/>
        <v>4887.7994357272282</v>
      </c>
      <c r="G21" s="772">
        <f t="shared" si="2"/>
        <v>434315.89271747658</v>
      </c>
      <c r="H21" s="3637"/>
      <c r="I21" s="3638"/>
      <c r="J21" s="3637"/>
      <c r="K21" s="3638"/>
      <c r="L21" s="779">
        <f t="shared" si="3"/>
        <v>434315.89271747658</v>
      </c>
      <c r="M21" s="777">
        <v>1</v>
      </c>
      <c r="N21" s="764"/>
      <c r="O21" s="770">
        <v>122.1949858931807</v>
      </c>
      <c r="P21" s="770">
        <v>121</v>
      </c>
      <c r="X21" s="770">
        <v>155</v>
      </c>
    </row>
    <row r="22" spans="1:127" ht="15.75" customHeight="1" x14ac:dyDescent="0.35">
      <c r="A22" s="773"/>
      <c r="B22" s="774"/>
      <c r="C22" s="775" t="s">
        <v>188</v>
      </c>
      <c r="D22" s="761">
        <f t="shared" si="0"/>
        <v>88.857142857142861</v>
      </c>
      <c r="E22" s="774" t="s">
        <v>176</v>
      </c>
      <c r="F22" s="776">
        <f t="shared" si="1"/>
        <v>2426.5763709806733</v>
      </c>
      <c r="G22" s="772">
        <f t="shared" si="2"/>
        <v>215618.643249997</v>
      </c>
      <c r="H22" s="3637"/>
      <c r="I22" s="3638"/>
      <c r="J22" s="3637"/>
      <c r="K22" s="3638"/>
      <c r="L22" s="779">
        <f t="shared" si="3"/>
        <v>215618.643249997</v>
      </c>
      <c r="M22" s="777">
        <v>0.75</v>
      </c>
      <c r="N22" s="764"/>
      <c r="O22" s="770">
        <v>80.885879032689104</v>
      </c>
      <c r="P22" s="770">
        <v>84</v>
      </c>
      <c r="X22" s="770">
        <v>95</v>
      </c>
    </row>
    <row r="23" spans="1:127" ht="15.75" customHeight="1" x14ac:dyDescent="0.35">
      <c r="A23" s="773"/>
      <c r="B23" s="774"/>
      <c r="C23" s="780" t="s">
        <v>189</v>
      </c>
      <c r="D23" s="761">
        <f t="shared" si="0"/>
        <v>88.857142857142861</v>
      </c>
      <c r="E23" s="774" t="s">
        <v>176</v>
      </c>
      <c r="F23" s="776">
        <f t="shared" si="1"/>
        <v>1111.6697853994083</v>
      </c>
      <c r="G23" s="772">
        <f t="shared" si="2"/>
        <v>98779.800931204576</v>
      </c>
      <c r="H23" s="3637"/>
      <c r="I23" s="3638"/>
      <c r="J23" s="3637"/>
      <c r="K23" s="3638"/>
      <c r="L23" s="779">
        <f t="shared" si="3"/>
        <v>98779.800931204576</v>
      </c>
      <c r="M23" s="777">
        <v>0.2</v>
      </c>
      <c r="N23" s="764"/>
      <c r="O23" s="770">
        <v>138.95872317492604</v>
      </c>
      <c r="P23" s="770"/>
      <c r="X23" s="770"/>
    </row>
    <row r="24" spans="1:127" ht="15.75" customHeight="1" x14ac:dyDescent="0.35">
      <c r="A24" s="773"/>
      <c r="B24" s="774"/>
      <c r="C24" s="780" t="s">
        <v>190</v>
      </c>
      <c r="D24" s="761">
        <f t="shared" si="0"/>
        <v>88.857142857142861</v>
      </c>
      <c r="E24" s="781" t="s">
        <v>176</v>
      </c>
      <c r="F24" s="776">
        <f t="shared" si="1"/>
        <v>0</v>
      </c>
      <c r="G24" s="772">
        <f t="shared" si="2"/>
        <v>0</v>
      </c>
      <c r="H24" s="3637"/>
      <c r="I24" s="3638"/>
      <c r="J24" s="3637"/>
      <c r="K24" s="3638"/>
      <c r="L24" s="769">
        <f t="shared" si="3"/>
        <v>0</v>
      </c>
      <c r="M24" s="782">
        <v>0</v>
      </c>
      <c r="N24" s="778"/>
      <c r="O24" s="770">
        <v>56.063410367960756</v>
      </c>
      <c r="P24" s="770">
        <v>65</v>
      </c>
      <c r="X24" s="770">
        <v>65</v>
      </c>
      <c r="Z24" t="s">
        <v>191</v>
      </c>
    </row>
    <row r="25" spans="1:127" s="215" customFormat="1" ht="15.75" customHeight="1" x14ac:dyDescent="0.35">
      <c r="A25" s="773"/>
      <c r="B25" s="774"/>
      <c r="C25" s="780" t="s">
        <v>192</v>
      </c>
      <c r="D25" s="761">
        <f t="shared" si="0"/>
        <v>88.857142857142861</v>
      </c>
      <c r="E25" s="774" t="s">
        <v>176</v>
      </c>
      <c r="F25" s="776">
        <f t="shared" si="1"/>
        <v>939.09653216854099</v>
      </c>
      <c r="G25" s="772">
        <f t="shared" si="2"/>
        <v>83445.434715547497</v>
      </c>
      <c r="H25" s="3637"/>
      <c r="I25" s="3638"/>
      <c r="J25" s="3637"/>
      <c r="K25" s="3638"/>
      <c r="L25" s="769">
        <f t="shared" si="3"/>
        <v>83445.434715547497</v>
      </c>
      <c r="M25" s="783">
        <v>0.15</v>
      </c>
      <c r="N25" s="778"/>
      <c r="O25" s="770">
        <v>156.51608869475683</v>
      </c>
      <c r="P25" s="784">
        <v>80</v>
      </c>
      <c r="Q25"/>
      <c r="R25"/>
      <c r="S25"/>
      <c r="T25"/>
      <c r="U25"/>
      <c r="V25"/>
      <c r="W25"/>
      <c r="X25" s="784">
        <v>90</v>
      </c>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row>
    <row r="26" spans="1:127" ht="15.75" customHeight="1" x14ac:dyDescent="0.35">
      <c r="A26" s="773"/>
      <c r="B26" s="774"/>
      <c r="C26" s="780" t="s">
        <v>193</v>
      </c>
      <c r="D26" s="761">
        <f t="shared" si="0"/>
        <v>88.857142857142861</v>
      </c>
      <c r="E26" s="781" t="s">
        <v>176</v>
      </c>
      <c r="F26" s="776">
        <f t="shared" si="1"/>
        <v>1109.4485087274531</v>
      </c>
      <c r="G26" s="772">
        <f t="shared" si="2"/>
        <v>98582.424632639406</v>
      </c>
      <c r="H26" s="3637"/>
      <c r="I26" s="3638"/>
      <c r="J26" s="3637"/>
      <c r="K26" s="3638"/>
      <c r="L26" s="779">
        <f t="shared" si="3"/>
        <v>98582.424632639406</v>
      </c>
      <c r="M26" s="783">
        <v>0.2</v>
      </c>
      <c r="N26" s="778"/>
      <c r="O26" s="770">
        <v>138.68106359093161</v>
      </c>
      <c r="P26" s="784">
        <v>101</v>
      </c>
      <c r="X26" s="784">
        <v>101</v>
      </c>
    </row>
    <row r="27" spans="1:127" ht="15.75" customHeight="1" x14ac:dyDescent="0.35">
      <c r="A27" s="785"/>
      <c r="B27" s="781"/>
      <c r="C27" s="780" t="s">
        <v>194</v>
      </c>
      <c r="D27" s="415">
        <f>K4</f>
        <v>88.857142857142861</v>
      </c>
      <c r="E27" s="786" t="s">
        <v>176</v>
      </c>
      <c r="F27" s="787">
        <f t="shared" si="1"/>
        <v>861.12685567130075</v>
      </c>
      <c r="G27" s="788">
        <f t="shared" si="2"/>
        <v>76517.272032507011</v>
      </c>
      <c r="H27" s="3639"/>
      <c r="I27" s="3640"/>
      <c r="J27" s="3639"/>
      <c r="K27" s="3640"/>
      <c r="L27" s="789">
        <f t="shared" si="3"/>
        <v>76517.272032507011</v>
      </c>
      <c r="M27" s="783">
        <v>0.2</v>
      </c>
      <c r="O27" s="416">
        <v>107.64085695891259</v>
      </c>
      <c r="P27" s="784">
        <v>96</v>
      </c>
      <c r="X27" s="784">
        <v>96</v>
      </c>
    </row>
    <row r="28" spans="1:127" s="214" customFormat="1" ht="15.75" customHeight="1" x14ac:dyDescent="0.35">
      <c r="A28" s="3580"/>
      <c r="B28" s="3581"/>
      <c r="C28" s="622" t="s">
        <v>195</v>
      </c>
      <c r="D28" s="623"/>
      <c r="E28" s="756"/>
      <c r="F28" s="756"/>
      <c r="G28" s="756"/>
      <c r="H28" s="756"/>
      <c r="I28" s="756"/>
      <c r="J28" s="756"/>
      <c r="K28" s="756"/>
      <c r="L28" s="757">
        <f>SUM(L29:L43)</f>
        <v>312545.29767424572</v>
      </c>
      <c r="M28" s="757"/>
      <c r="N28" s="758"/>
      <c r="O28" s="759"/>
      <c r="P28" s="759"/>
      <c r="Q28"/>
      <c r="R28"/>
      <c r="S28"/>
      <c r="T28"/>
      <c r="U28"/>
      <c r="V28"/>
      <c r="W28"/>
      <c r="X28" s="759"/>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row>
    <row r="29" spans="1:127" ht="15.75" customHeight="1" x14ac:dyDescent="0.35">
      <c r="A29" s="574"/>
      <c r="B29" s="575"/>
      <c r="C29" s="581" t="s">
        <v>175</v>
      </c>
      <c r="D29" s="582">
        <f t="shared" ref="D29:D43" si="4">$K$5</f>
        <v>8.7142857142857135</v>
      </c>
      <c r="E29" s="575" t="s">
        <v>176</v>
      </c>
      <c r="F29" s="576">
        <f t="shared" ref="F29:F43" si="5">(40*O29)*M29</f>
        <v>2128.4985967645453</v>
      </c>
      <c r="G29" s="577">
        <f t="shared" ref="G29:G43" si="6">SUM(D29*F29)</f>
        <v>18548.344914662463</v>
      </c>
      <c r="H29" s="3629"/>
      <c r="I29" s="3630"/>
      <c r="J29" s="3629"/>
      <c r="K29" s="3630"/>
      <c r="L29" s="578">
        <f t="shared" ref="L29:L43" si="7">SUM(G29+I29+K29)</f>
        <v>18548.344914662463</v>
      </c>
      <c r="M29" s="783">
        <v>0.25</v>
      </c>
      <c r="N29" s="764"/>
      <c r="O29" s="583">
        <f>+O10</f>
        <v>212.84985967645451</v>
      </c>
      <c r="P29" s="583">
        <f>+P10</f>
        <v>253</v>
      </c>
      <c r="X29" s="583">
        <f>+X10</f>
        <v>216</v>
      </c>
    </row>
    <row r="30" spans="1:127" ht="15.75" customHeight="1" x14ac:dyDescent="0.35">
      <c r="A30" s="773"/>
      <c r="B30" s="774"/>
      <c r="C30" s="775" t="s">
        <v>177</v>
      </c>
      <c r="D30" s="761">
        <f t="shared" si="4"/>
        <v>8.7142857142857135</v>
      </c>
      <c r="E30" s="774" t="s">
        <v>176</v>
      </c>
      <c r="F30" s="767">
        <f t="shared" si="5"/>
        <v>7056.4364792840679</v>
      </c>
      <c r="G30" s="772">
        <f t="shared" si="6"/>
        <v>61491.803605189729</v>
      </c>
      <c r="H30" s="3631"/>
      <c r="I30" s="3632"/>
      <c r="J30" s="3631"/>
      <c r="K30" s="3632"/>
      <c r="L30" s="779">
        <f t="shared" si="7"/>
        <v>61491.803605189729</v>
      </c>
      <c r="M30" s="783">
        <v>1</v>
      </c>
      <c r="N30" s="778"/>
      <c r="O30" s="790">
        <f>+O11</f>
        <v>176.41091198210171</v>
      </c>
      <c r="P30" s="790">
        <f>+P11</f>
        <v>195</v>
      </c>
      <c r="X30" s="790">
        <f>+X11</f>
        <v>175</v>
      </c>
    </row>
    <row r="31" spans="1:127" ht="15.75" customHeight="1" x14ac:dyDescent="0.35">
      <c r="A31" s="773"/>
      <c r="B31" s="774"/>
      <c r="C31" s="775" t="s">
        <v>179</v>
      </c>
      <c r="D31" s="761">
        <f t="shared" si="4"/>
        <v>8.7142857142857135</v>
      </c>
      <c r="E31" s="774" t="s">
        <v>176</v>
      </c>
      <c r="F31" s="767">
        <f t="shared" si="5"/>
        <v>0</v>
      </c>
      <c r="G31" s="772">
        <f t="shared" si="6"/>
        <v>0</v>
      </c>
      <c r="H31" s="3631"/>
      <c r="I31" s="3632"/>
      <c r="J31" s="3631"/>
      <c r="K31" s="3632"/>
      <c r="L31" s="779">
        <f t="shared" si="7"/>
        <v>0</v>
      </c>
      <c r="M31" s="783">
        <v>0</v>
      </c>
      <c r="N31" s="778"/>
      <c r="O31" s="790">
        <f t="shared" ref="O31:P35" si="8">+O13</f>
        <v>148.69542496153844</v>
      </c>
      <c r="P31" s="790">
        <f t="shared" si="8"/>
        <v>185</v>
      </c>
      <c r="X31" s="790">
        <f>+X13</f>
        <v>155</v>
      </c>
    </row>
    <row r="32" spans="1:127" ht="15.75" customHeight="1" x14ac:dyDescent="0.35">
      <c r="A32" s="773"/>
      <c r="B32" s="774"/>
      <c r="C32" s="775" t="s">
        <v>180</v>
      </c>
      <c r="D32" s="761">
        <f t="shared" si="4"/>
        <v>8.7142857142857135</v>
      </c>
      <c r="E32" s="774" t="s">
        <v>176</v>
      </c>
      <c r="F32" s="767">
        <f t="shared" si="5"/>
        <v>0</v>
      </c>
      <c r="G32" s="772">
        <f t="shared" si="6"/>
        <v>0</v>
      </c>
      <c r="H32" s="3631"/>
      <c r="I32" s="3632"/>
      <c r="J32" s="3631"/>
      <c r="K32" s="3632"/>
      <c r="L32" s="779">
        <f t="shared" si="7"/>
        <v>0</v>
      </c>
      <c r="M32" s="783">
        <v>0</v>
      </c>
      <c r="N32" s="778"/>
      <c r="O32" s="790">
        <f t="shared" si="8"/>
        <v>127.2585654758803</v>
      </c>
      <c r="P32" s="790">
        <f t="shared" si="8"/>
        <v>163</v>
      </c>
      <c r="X32" s="790">
        <f>+X14</f>
        <v>130</v>
      </c>
    </row>
    <row r="33" spans="1:135" ht="15.75" customHeight="1" x14ac:dyDescent="0.35">
      <c r="A33" s="773"/>
      <c r="B33" s="774"/>
      <c r="C33" s="775" t="s">
        <v>181</v>
      </c>
      <c r="D33" s="761">
        <f t="shared" si="4"/>
        <v>8.7142857142857135</v>
      </c>
      <c r="E33" s="774" t="s">
        <v>176</v>
      </c>
      <c r="F33" s="767">
        <f t="shared" si="5"/>
        <v>3591.2833403998384</v>
      </c>
      <c r="G33" s="772">
        <f t="shared" si="6"/>
        <v>31295.469109198588</v>
      </c>
      <c r="H33" s="3631"/>
      <c r="I33" s="3632"/>
      <c r="J33" s="3631"/>
      <c r="K33" s="3632"/>
      <c r="L33" s="779">
        <f t="shared" si="7"/>
        <v>31295.469109198588</v>
      </c>
      <c r="M33" s="783">
        <v>1</v>
      </c>
      <c r="N33" s="764"/>
      <c r="O33" s="790">
        <f t="shared" si="8"/>
        <v>89.782083509995957</v>
      </c>
      <c r="P33" s="790">
        <f t="shared" si="8"/>
        <v>95</v>
      </c>
      <c r="X33" s="790">
        <f>+X15</f>
        <v>65</v>
      </c>
    </row>
    <row r="34" spans="1:135" ht="15.75" customHeight="1" x14ac:dyDescent="0.35">
      <c r="A34" s="773"/>
      <c r="B34" s="774"/>
      <c r="C34" s="775" t="s">
        <v>196</v>
      </c>
      <c r="D34" s="761">
        <f t="shared" si="4"/>
        <v>8.7142857142857135</v>
      </c>
      <c r="E34" s="774" t="s">
        <v>176</v>
      </c>
      <c r="F34" s="767">
        <f t="shared" si="5"/>
        <v>0</v>
      </c>
      <c r="G34" s="772">
        <f t="shared" si="6"/>
        <v>0</v>
      </c>
      <c r="H34" s="3631"/>
      <c r="I34" s="3632"/>
      <c r="J34" s="3631"/>
      <c r="K34" s="3632"/>
      <c r="L34" s="779">
        <f t="shared" si="7"/>
        <v>0</v>
      </c>
      <c r="M34" s="783">
        <v>0</v>
      </c>
      <c r="N34" s="778"/>
      <c r="O34" s="790">
        <f t="shared" si="8"/>
        <v>115.84355425198581</v>
      </c>
      <c r="P34" s="790">
        <f t="shared" si="8"/>
        <v>81</v>
      </c>
      <c r="X34" s="790">
        <f>+X16</f>
        <v>60</v>
      </c>
    </row>
    <row r="35" spans="1:135" ht="15.75" customHeight="1" x14ac:dyDescent="0.35">
      <c r="A35" s="773"/>
      <c r="B35" s="774"/>
      <c r="C35" s="775" t="s">
        <v>183</v>
      </c>
      <c r="D35" s="761">
        <f t="shared" si="4"/>
        <v>8.7142857142857135</v>
      </c>
      <c r="E35" s="774" t="s">
        <v>176</v>
      </c>
      <c r="F35" s="767">
        <f t="shared" si="5"/>
        <v>4467.6124302127319</v>
      </c>
      <c r="G35" s="772">
        <f t="shared" si="6"/>
        <v>38932.051177568086</v>
      </c>
      <c r="H35" s="3631"/>
      <c r="I35" s="3632"/>
      <c r="J35" s="3631"/>
      <c r="K35" s="3632"/>
      <c r="L35" s="779">
        <f t="shared" si="7"/>
        <v>38932.051177568086</v>
      </c>
      <c r="M35" s="783">
        <v>1</v>
      </c>
      <c r="N35" s="778"/>
      <c r="O35" s="790">
        <f t="shared" si="8"/>
        <v>111.69031075531831</v>
      </c>
      <c r="P35" s="790">
        <f t="shared" si="8"/>
        <v>118</v>
      </c>
      <c r="X35" s="790">
        <f>+X17</f>
        <v>95</v>
      </c>
    </row>
    <row r="36" spans="1:135" ht="15.75" customHeight="1" x14ac:dyDescent="0.35">
      <c r="A36" s="785"/>
      <c r="B36" s="781"/>
      <c r="C36" s="780" t="s">
        <v>185</v>
      </c>
      <c r="D36" s="761">
        <f t="shared" si="4"/>
        <v>8.7142857142857135</v>
      </c>
      <c r="E36" s="774" t="s">
        <v>176</v>
      </c>
      <c r="F36" s="767">
        <f t="shared" si="5"/>
        <v>5335.9555282214342</v>
      </c>
      <c r="G36" s="772">
        <f t="shared" si="6"/>
        <v>46499.041031643923</v>
      </c>
      <c r="H36" s="3631"/>
      <c r="I36" s="3632"/>
      <c r="J36" s="3631"/>
      <c r="K36" s="3632"/>
      <c r="L36" s="779">
        <f t="shared" si="7"/>
        <v>46499.041031643923</v>
      </c>
      <c r="M36" s="783">
        <v>0.75</v>
      </c>
      <c r="N36" s="778"/>
      <c r="O36" s="790">
        <f t="shared" ref="O36:P39" si="9">+O19</f>
        <v>177.86518427404781</v>
      </c>
      <c r="P36" s="790">
        <f t="shared" si="9"/>
        <v>183</v>
      </c>
      <c r="X36" s="790">
        <f>+X19</f>
        <v>194</v>
      </c>
    </row>
    <row r="37" spans="1:135" ht="15.75" customHeight="1" x14ac:dyDescent="0.35">
      <c r="A37" s="785"/>
      <c r="B37" s="781"/>
      <c r="C37" s="780" t="s">
        <v>186</v>
      </c>
      <c r="D37" s="761">
        <f t="shared" si="4"/>
        <v>8.7142857142857135</v>
      </c>
      <c r="E37" s="774" t="s">
        <v>176</v>
      </c>
      <c r="F37" s="767">
        <f t="shared" si="5"/>
        <v>5971.9802782421066</v>
      </c>
      <c r="G37" s="772">
        <f t="shared" si="6"/>
        <v>52041.542424681211</v>
      </c>
      <c r="H37" s="3631"/>
      <c r="I37" s="3632"/>
      <c r="J37" s="3631"/>
      <c r="K37" s="3632"/>
      <c r="L37" s="779">
        <f t="shared" si="7"/>
        <v>52041.542424681211</v>
      </c>
      <c r="M37" s="783">
        <v>1</v>
      </c>
      <c r="N37" s="778"/>
      <c r="O37" s="790">
        <f t="shared" si="9"/>
        <v>149.29950695605265</v>
      </c>
      <c r="P37" s="790">
        <f t="shared" si="9"/>
        <v>161</v>
      </c>
      <c r="X37" s="790">
        <f>+X20</f>
        <v>173</v>
      </c>
    </row>
    <row r="38" spans="1:135" ht="15.75" customHeight="1" x14ac:dyDescent="0.35">
      <c r="A38" s="785"/>
      <c r="B38" s="781"/>
      <c r="C38" s="780" t="s">
        <v>187</v>
      </c>
      <c r="D38" s="761">
        <f t="shared" si="4"/>
        <v>8.7142857142857135</v>
      </c>
      <c r="E38" s="774" t="s">
        <v>176</v>
      </c>
      <c r="F38" s="767">
        <f t="shared" si="5"/>
        <v>4887.7994357272282</v>
      </c>
      <c r="G38" s="772">
        <f t="shared" si="6"/>
        <v>42593.680797051558</v>
      </c>
      <c r="H38" s="3631"/>
      <c r="I38" s="3632"/>
      <c r="J38" s="3631"/>
      <c r="K38" s="3632"/>
      <c r="L38" s="779">
        <f t="shared" si="7"/>
        <v>42593.680797051558</v>
      </c>
      <c r="M38" s="783">
        <v>1</v>
      </c>
      <c r="N38" s="778"/>
      <c r="O38" s="790">
        <f t="shared" si="9"/>
        <v>122.1949858931807</v>
      </c>
      <c r="P38" s="790">
        <f t="shared" si="9"/>
        <v>121</v>
      </c>
      <c r="X38" s="790">
        <f>+X21</f>
        <v>155</v>
      </c>
    </row>
    <row r="39" spans="1:135" ht="15.75" customHeight="1" x14ac:dyDescent="0.35">
      <c r="A39" s="785"/>
      <c r="B39" s="781"/>
      <c r="C39" s="780" t="s">
        <v>188</v>
      </c>
      <c r="D39" s="761">
        <f t="shared" si="4"/>
        <v>8.7142857142857135</v>
      </c>
      <c r="E39" s="774" t="s">
        <v>176</v>
      </c>
      <c r="F39" s="767">
        <f t="shared" si="5"/>
        <v>0</v>
      </c>
      <c r="G39" s="772">
        <f t="shared" si="6"/>
        <v>0</v>
      </c>
      <c r="H39" s="3631"/>
      <c r="I39" s="3632"/>
      <c r="J39" s="3631"/>
      <c r="K39" s="3632"/>
      <c r="L39" s="779">
        <f t="shared" si="7"/>
        <v>0</v>
      </c>
      <c r="M39" s="783">
        <v>0</v>
      </c>
      <c r="N39" s="778"/>
      <c r="O39" s="790">
        <f t="shared" si="9"/>
        <v>80.885879032689104</v>
      </c>
      <c r="P39" s="790">
        <f t="shared" si="9"/>
        <v>84</v>
      </c>
      <c r="X39" s="790">
        <f>+X22</f>
        <v>95</v>
      </c>
    </row>
    <row r="40" spans="1:135" ht="15.75" customHeight="1" x14ac:dyDescent="0.35">
      <c r="A40" s="785"/>
      <c r="B40" s="781"/>
      <c r="C40" s="780" t="s">
        <v>190</v>
      </c>
      <c r="D40" s="761">
        <f t="shared" si="4"/>
        <v>8.7142857142857135</v>
      </c>
      <c r="E40" s="774" t="s">
        <v>176</v>
      </c>
      <c r="F40" s="767">
        <f t="shared" si="5"/>
        <v>0</v>
      </c>
      <c r="G40" s="772">
        <f t="shared" si="6"/>
        <v>0</v>
      </c>
      <c r="H40" s="3631"/>
      <c r="I40" s="3632"/>
      <c r="J40" s="3631"/>
      <c r="K40" s="3632"/>
      <c r="L40" s="779">
        <f t="shared" si="7"/>
        <v>0</v>
      </c>
      <c r="M40" s="783">
        <v>0</v>
      </c>
      <c r="N40" s="778"/>
      <c r="O40" s="790">
        <f t="shared" ref="O40:P43" si="10">+O24</f>
        <v>56.063410367960756</v>
      </c>
      <c r="P40" s="790">
        <f t="shared" si="10"/>
        <v>65</v>
      </c>
      <c r="X40" s="790">
        <f>+X24</f>
        <v>65</v>
      </c>
    </row>
    <row r="41" spans="1:135" ht="15.75" customHeight="1" x14ac:dyDescent="0.35">
      <c r="A41" s="785"/>
      <c r="B41" s="781"/>
      <c r="C41" s="780" t="s">
        <v>192</v>
      </c>
      <c r="D41" s="761">
        <f t="shared" si="4"/>
        <v>8.7142857142857135</v>
      </c>
      <c r="E41" s="774" t="s">
        <v>176</v>
      </c>
      <c r="F41" s="767">
        <f t="shared" si="5"/>
        <v>1565.1608869475683</v>
      </c>
      <c r="G41" s="772">
        <f t="shared" si="6"/>
        <v>13639.25915768595</v>
      </c>
      <c r="H41" s="3631"/>
      <c r="I41" s="3632"/>
      <c r="J41" s="3631"/>
      <c r="K41" s="3632"/>
      <c r="L41" s="779">
        <f t="shared" si="7"/>
        <v>13639.25915768595</v>
      </c>
      <c r="M41" s="783">
        <v>0.25</v>
      </c>
      <c r="N41" s="778"/>
      <c r="O41" s="790">
        <f t="shared" si="10"/>
        <v>156.51608869475683</v>
      </c>
      <c r="P41" s="790">
        <f t="shared" si="10"/>
        <v>80</v>
      </c>
      <c r="X41" s="790">
        <f>+X25</f>
        <v>90</v>
      </c>
    </row>
    <row r="42" spans="1:135" ht="15.75" customHeight="1" x14ac:dyDescent="0.35">
      <c r="A42" s="785"/>
      <c r="B42" s="781"/>
      <c r="C42" s="780" t="s">
        <v>193</v>
      </c>
      <c r="D42" s="761">
        <f t="shared" si="4"/>
        <v>8.7142857142857135</v>
      </c>
      <c r="E42" s="774" t="s">
        <v>176</v>
      </c>
      <c r="F42" s="767">
        <f t="shared" si="5"/>
        <v>0</v>
      </c>
      <c r="G42" s="772">
        <f t="shared" si="6"/>
        <v>0</v>
      </c>
      <c r="H42" s="3631"/>
      <c r="I42" s="3632"/>
      <c r="J42" s="3631"/>
      <c r="K42" s="3632"/>
      <c r="L42" s="779">
        <f t="shared" si="7"/>
        <v>0</v>
      </c>
      <c r="M42" s="783">
        <v>0</v>
      </c>
      <c r="N42" s="778"/>
      <c r="O42" s="790">
        <f t="shared" si="10"/>
        <v>138.68106359093161</v>
      </c>
      <c r="P42" s="790">
        <f t="shared" si="10"/>
        <v>101</v>
      </c>
      <c r="X42" s="790">
        <f>+X26</f>
        <v>101</v>
      </c>
    </row>
    <row r="43" spans="1:135" s="215" customFormat="1" ht="15.75" customHeight="1" x14ac:dyDescent="0.35">
      <c r="A43" s="791"/>
      <c r="B43" s="792"/>
      <c r="C43" s="793" t="s">
        <v>194</v>
      </c>
      <c r="D43" s="417">
        <f t="shared" si="4"/>
        <v>8.7142857142857135</v>
      </c>
      <c r="E43" s="794" t="s">
        <v>176</v>
      </c>
      <c r="F43" s="795">
        <f t="shared" si="5"/>
        <v>861.12685567130075</v>
      </c>
      <c r="G43" s="418">
        <f t="shared" si="6"/>
        <v>7504.1054565641916</v>
      </c>
      <c r="H43" s="3633"/>
      <c r="I43" s="3634"/>
      <c r="J43" s="3633"/>
      <c r="K43" s="3634"/>
      <c r="L43" s="789">
        <f t="shared" si="7"/>
        <v>7504.1054565641916</v>
      </c>
      <c r="M43" s="783">
        <v>0.2</v>
      </c>
      <c r="O43" s="796">
        <f t="shared" si="10"/>
        <v>107.64085695891259</v>
      </c>
      <c r="P43" s="796">
        <f t="shared" si="10"/>
        <v>96</v>
      </c>
      <c r="Q43"/>
      <c r="R43"/>
      <c r="S43"/>
      <c r="T43"/>
      <c r="U43"/>
      <c r="V43"/>
      <c r="W43"/>
      <c r="X43" s="796">
        <f>+X27</f>
        <v>96</v>
      </c>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row>
    <row r="44" spans="1:135" ht="15.75" customHeight="1" x14ac:dyDescent="0.35">
      <c r="A44" s="3644"/>
      <c r="B44" s="3645"/>
      <c r="C44" s="797" t="s">
        <v>197</v>
      </c>
      <c r="D44" s="798"/>
      <c r="E44" s="799"/>
      <c r="F44" s="799"/>
      <c r="G44" s="799"/>
      <c r="H44" s="799"/>
      <c r="I44" s="799"/>
      <c r="J44" s="799"/>
      <c r="K44" s="799"/>
      <c r="L44" s="800">
        <f>SUM(L45:L65)</f>
        <v>326217.30433333339</v>
      </c>
      <c r="M44" s="800"/>
      <c r="N44" s="801"/>
    </row>
    <row r="45" spans="1:135" ht="15.65" customHeight="1" x14ac:dyDescent="0.35">
      <c r="A45" s="574"/>
      <c r="B45" s="575"/>
      <c r="C45" s="581" t="s">
        <v>198</v>
      </c>
      <c r="D45" s="582">
        <v>1</v>
      </c>
      <c r="E45" s="575" t="s">
        <v>199</v>
      </c>
      <c r="F45" s="3629"/>
      <c r="G45" s="3630"/>
      <c r="H45" s="576">
        <v>15000</v>
      </c>
      <c r="I45" s="577">
        <f>SUM(D45*H45)</f>
        <v>15000</v>
      </c>
      <c r="J45" s="3629" t="s">
        <v>200</v>
      </c>
      <c r="K45" s="3630"/>
      <c r="L45" s="578">
        <f>SUM(G45+I45+K45)</f>
        <v>15000</v>
      </c>
      <c r="M45" s="3641"/>
      <c r="N45" s="584"/>
    </row>
    <row r="46" spans="1:135" ht="15.65" customHeight="1" x14ac:dyDescent="0.35">
      <c r="A46" s="773"/>
      <c r="B46" s="774"/>
      <c r="C46" s="775" t="s">
        <v>201</v>
      </c>
      <c r="D46" s="761">
        <f>L4</f>
        <v>20.733333333333334</v>
      </c>
      <c r="E46" s="774" t="s">
        <v>202</v>
      </c>
      <c r="F46" s="3631"/>
      <c r="G46" s="3632"/>
      <c r="H46" s="787">
        <v>3500</v>
      </c>
      <c r="I46" s="772">
        <f>SUM(D46*H46)</f>
        <v>72566.666666666672</v>
      </c>
      <c r="J46" s="3631"/>
      <c r="K46" s="3632"/>
      <c r="L46" s="779">
        <f>SUM(G46+I46+K46)</f>
        <v>72566.666666666672</v>
      </c>
      <c r="M46" s="3642"/>
      <c r="N46" s="802"/>
    </row>
    <row r="47" spans="1:135" ht="15.65" customHeight="1" x14ac:dyDescent="0.35">
      <c r="A47" s="773"/>
      <c r="B47" s="774"/>
      <c r="C47" s="760" t="s">
        <v>203</v>
      </c>
      <c r="D47" s="761">
        <v>1</v>
      </c>
      <c r="E47" s="774" t="s">
        <v>199</v>
      </c>
      <c r="F47" s="3631"/>
      <c r="G47" s="3632"/>
      <c r="H47" s="787">
        <v>15238</v>
      </c>
      <c r="I47" s="803">
        <f>SUM(D47*H47)</f>
        <v>15238</v>
      </c>
      <c r="J47" s="3631"/>
      <c r="K47" s="3632"/>
      <c r="L47" s="804">
        <f>SUM(G47+I47+K47)</f>
        <v>15238</v>
      </c>
      <c r="M47" s="3642"/>
      <c r="N47" s="802" t="s">
        <v>204</v>
      </c>
    </row>
    <row r="48" spans="1:135" ht="15.65" customHeight="1" x14ac:dyDescent="0.35">
      <c r="A48" s="773"/>
      <c r="B48" s="774"/>
      <c r="C48" s="805" t="s">
        <v>205</v>
      </c>
      <c r="D48" s="761">
        <v>18</v>
      </c>
      <c r="E48" s="774" t="s">
        <v>202</v>
      </c>
      <c r="F48" s="3631"/>
      <c r="G48" s="3632"/>
      <c r="H48" s="787">
        <v>1732</v>
      </c>
      <c r="I48" s="803">
        <f>SUM(D48*H48)</f>
        <v>31176</v>
      </c>
      <c r="J48" s="3631"/>
      <c r="K48" s="3632"/>
      <c r="L48" s="804">
        <f>SUM(G48+I48+K48)</f>
        <v>31176</v>
      </c>
      <c r="M48" s="3642"/>
      <c r="N48" s="802" t="s">
        <v>204</v>
      </c>
    </row>
    <row r="49" spans="1:14" ht="15.65" customHeight="1" x14ac:dyDescent="0.35">
      <c r="A49" s="773"/>
      <c r="B49" s="774"/>
      <c r="C49" s="806" t="s">
        <v>206</v>
      </c>
      <c r="D49" s="761"/>
      <c r="E49" s="774" t="s">
        <v>199</v>
      </c>
      <c r="F49" s="3631"/>
      <c r="G49" s="3632"/>
      <c r="H49" s="787">
        <v>1371</v>
      </c>
      <c r="I49" s="772" t="s">
        <v>207</v>
      </c>
      <c r="J49" s="3631"/>
      <c r="K49" s="3632"/>
      <c r="L49" s="779" t="s">
        <v>207</v>
      </c>
      <c r="M49" s="3642"/>
      <c r="N49" s="802" t="s">
        <v>208</v>
      </c>
    </row>
    <row r="50" spans="1:14" ht="15.65" customHeight="1" x14ac:dyDescent="0.35">
      <c r="A50" s="773"/>
      <c r="B50" s="774"/>
      <c r="C50" s="775" t="s">
        <v>209</v>
      </c>
      <c r="D50" s="761"/>
      <c r="E50" s="774" t="s">
        <v>202</v>
      </c>
      <c r="F50" s="3631"/>
      <c r="G50" s="3632"/>
      <c r="H50" s="787">
        <v>573</v>
      </c>
      <c r="I50" s="772" t="s">
        <v>207</v>
      </c>
      <c r="J50" s="3631"/>
      <c r="K50" s="3632"/>
      <c r="L50" s="779" t="s">
        <v>207</v>
      </c>
      <c r="M50" s="3642"/>
      <c r="N50" s="802" t="s">
        <v>208</v>
      </c>
    </row>
    <row r="51" spans="1:14" ht="15.65" customHeight="1" x14ac:dyDescent="0.35">
      <c r="A51" s="773"/>
      <c r="B51" s="774"/>
      <c r="C51" s="775" t="s">
        <v>210</v>
      </c>
      <c r="D51" s="761">
        <v>0</v>
      </c>
      <c r="E51" s="774" t="s">
        <v>199</v>
      </c>
      <c r="F51" s="3631"/>
      <c r="G51" s="3632"/>
      <c r="H51" s="787">
        <v>2000</v>
      </c>
      <c r="I51" s="772">
        <f t="shared" ref="I51:I65" si="11">SUM(D51*H51)</f>
        <v>0</v>
      </c>
      <c r="J51" s="3631"/>
      <c r="K51" s="3632"/>
      <c r="L51" s="779">
        <f t="shared" ref="L51:L65" si="12">SUM(G51+I51+K51)</f>
        <v>0</v>
      </c>
      <c r="M51" s="3642"/>
      <c r="N51" s="802"/>
    </row>
    <row r="52" spans="1:14" ht="13.15" customHeight="1" x14ac:dyDescent="0.35">
      <c r="A52" s="773"/>
      <c r="B52" s="774"/>
      <c r="C52" s="775" t="s">
        <v>211</v>
      </c>
      <c r="D52" s="761">
        <f>$L$4</f>
        <v>20.733333333333334</v>
      </c>
      <c r="E52" s="774" t="s">
        <v>202</v>
      </c>
      <c r="F52" s="3631"/>
      <c r="G52" s="3632"/>
      <c r="H52" s="787">
        <v>250</v>
      </c>
      <c r="I52" s="772">
        <f t="shared" si="11"/>
        <v>5183.3333333333339</v>
      </c>
      <c r="J52" s="3631"/>
      <c r="K52" s="3632"/>
      <c r="L52" s="779">
        <f t="shared" si="12"/>
        <v>5183.3333333333339</v>
      </c>
      <c r="M52" s="3642"/>
      <c r="N52" s="802"/>
    </row>
    <row r="53" spans="1:14" ht="13.15" customHeight="1" x14ac:dyDescent="0.35">
      <c r="A53" s="773"/>
      <c r="B53" s="774"/>
      <c r="C53" s="775" t="s">
        <v>212</v>
      </c>
      <c r="D53" s="761">
        <f>$L$4</f>
        <v>20.733333333333334</v>
      </c>
      <c r="E53" s="774" t="s">
        <v>202</v>
      </c>
      <c r="F53" s="3631"/>
      <c r="G53" s="3632"/>
      <c r="H53" s="787">
        <v>0</v>
      </c>
      <c r="I53" s="772">
        <f t="shared" si="11"/>
        <v>0</v>
      </c>
      <c r="J53" s="3631"/>
      <c r="K53" s="3632"/>
      <c r="L53" s="779">
        <f t="shared" si="12"/>
        <v>0</v>
      </c>
      <c r="M53" s="3642"/>
      <c r="N53" s="802" t="s">
        <v>213</v>
      </c>
    </row>
    <row r="54" spans="1:14" x14ac:dyDescent="0.35">
      <c r="A54" s="773"/>
      <c r="B54" s="774"/>
      <c r="C54" s="775" t="s">
        <v>214</v>
      </c>
      <c r="D54" s="761">
        <v>0</v>
      </c>
      <c r="E54" s="774" t="s">
        <v>215</v>
      </c>
      <c r="F54" s="3631"/>
      <c r="G54" s="3632"/>
      <c r="H54" s="787">
        <v>2000</v>
      </c>
      <c r="I54" s="772">
        <f t="shared" si="11"/>
        <v>0</v>
      </c>
      <c r="J54" s="3631"/>
      <c r="K54" s="3632"/>
      <c r="L54" s="779">
        <f t="shared" si="12"/>
        <v>0</v>
      </c>
      <c r="M54" s="3642"/>
      <c r="N54" s="802"/>
    </row>
    <row r="55" spans="1:14" ht="13.15" customHeight="1" x14ac:dyDescent="0.35">
      <c r="A55" s="773"/>
      <c r="B55" s="774"/>
      <c r="C55" s="775" t="s">
        <v>216</v>
      </c>
      <c r="D55" s="761">
        <f>$L$4</f>
        <v>20.733333333333334</v>
      </c>
      <c r="E55" s="774" t="s">
        <v>202</v>
      </c>
      <c r="F55" s="3631"/>
      <c r="G55" s="3632"/>
      <c r="H55" s="787">
        <v>100</v>
      </c>
      <c r="I55" s="772">
        <f t="shared" si="11"/>
        <v>2073.3333333333335</v>
      </c>
      <c r="J55" s="3631"/>
      <c r="K55" s="3632"/>
      <c r="L55" s="779">
        <f t="shared" si="12"/>
        <v>2073.3333333333335</v>
      </c>
      <c r="M55" s="3642"/>
      <c r="N55" s="802"/>
    </row>
    <row r="56" spans="1:14" x14ac:dyDescent="0.35">
      <c r="A56" s="773"/>
      <c r="B56" s="774"/>
      <c r="C56" s="775" t="s">
        <v>217</v>
      </c>
      <c r="D56" s="761">
        <f>$L$4</f>
        <v>20.733333333333334</v>
      </c>
      <c r="E56" s="774" t="s">
        <v>202</v>
      </c>
      <c r="F56" s="3631"/>
      <c r="G56" s="3632"/>
      <c r="H56" s="787">
        <v>50</v>
      </c>
      <c r="I56" s="772">
        <f t="shared" si="11"/>
        <v>1036.6666666666667</v>
      </c>
      <c r="J56" s="3631"/>
      <c r="K56" s="3632"/>
      <c r="L56" s="779">
        <f t="shared" si="12"/>
        <v>1036.6666666666667</v>
      </c>
      <c r="M56" s="3642"/>
      <c r="N56" s="802"/>
    </row>
    <row r="57" spans="1:14" x14ac:dyDescent="0.35">
      <c r="A57" s="773"/>
      <c r="B57" s="774"/>
      <c r="C57" s="775" t="s">
        <v>218</v>
      </c>
      <c r="D57" s="761">
        <f>$L$4</f>
        <v>20.733333333333334</v>
      </c>
      <c r="E57" s="774" t="s">
        <v>202</v>
      </c>
      <c r="F57" s="3631"/>
      <c r="G57" s="3632"/>
      <c r="H57" s="787">
        <v>250</v>
      </c>
      <c r="I57" s="772">
        <f t="shared" si="11"/>
        <v>5183.3333333333339</v>
      </c>
      <c r="J57" s="3631"/>
      <c r="K57" s="3632"/>
      <c r="L57" s="779">
        <f t="shared" si="12"/>
        <v>5183.3333333333339</v>
      </c>
      <c r="M57" s="3642"/>
      <c r="N57" s="802"/>
    </row>
    <row r="58" spans="1:14" x14ac:dyDescent="0.35">
      <c r="A58" s="773"/>
      <c r="B58" s="774"/>
      <c r="C58" s="775" t="s">
        <v>219</v>
      </c>
      <c r="D58" s="807">
        <v>1.5E-3</v>
      </c>
      <c r="E58" s="774" t="s">
        <v>34</v>
      </c>
      <c r="F58" s="3631"/>
      <c r="G58" s="3632"/>
      <c r="H58" s="787">
        <v>95773314</v>
      </c>
      <c r="I58" s="772">
        <f t="shared" si="11"/>
        <v>143659.97099999999</v>
      </c>
      <c r="J58" s="3631"/>
      <c r="K58" s="3632"/>
      <c r="L58" s="779">
        <f t="shared" si="12"/>
        <v>143659.97099999999</v>
      </c>
      <c r="M58" s="3642"/>
      <c r="N58" s="808" t="s">
        <v>220</v>
      </c>
    </row>
    <row r="59" spans="1:14" x14ac:dyDescent="0.35">
      <c r="A59" s="773"/>
      <c r="B59" s="774"/>
      <c r="C59" s="775" t="s">
        <v>221</v>
      </c>
      <c r="D59" s="809">
        <v>0</v>
      </c>
      <c r="E59" s="774" t="s">
        <v>215</v>
      </c>
      <c r="F59" s="3631"/>
      <c r="G59" s="3632"/>
      <c r="H59" s="787">
        <v>0</v>
      </c>
      <c r="I59" s="772">
        <f t="shared" si="11"/>
        <v>0</v>
      </c>
      <c r="J59" s="3631"/>
      <c r="K59" s="3632"/>
      <c r="L59" s="779">
        <f t="shared" si="12"/>
        <v>0</v>
      </c>
      <c r="M59" s="3642"/>
      <c r="N59" s="778"/>
    </row>
    <row r="60" spans="1:14" x14ac:dyDescent="0.35">
      <c r="A60" s="773"/>
      <c r="B60" s="774"/>
      <c r="C60" s="775" t="s">
        <v>222</v>
      </c>
      <c r="D60" s="809">
        <v>1</v>
      </c>
      <c r="E60" s="774" t="s">
        <v>215</v>
      </c>
      <c r="F60" s="3631"/>
      <c r="G60" s="3632"/>
      <c r="H60" s="787">
        <v>4000</v>
      </c>
      <c r="I60" s="772">
        <f t="shared" si="11"/>
        <v>4000</v>
      </c>
      <c r="J60" s="3631"/>
      <c r="K60" s="3632"/>
      <c r="L60" s="779">
        <f t="shared" si="12"/>
        <v>4000</v>
      </c>
      <c r="M60" s="3642"/>
      <c r="N60" s="778"/>
    </row>
    <row r="61" spans="1:14" x14ac:dyDescent="0.35">
      <c r="A61" s="773"/>
      <c r="B61" s="774"/>
      <c r="C61" s="775" t="s">
        <v>223</v>
      </c>
      <c r="D61" s="809">
        <f>L4</f>
        <v>20.733333333333334</v>
      </c>
      <c r="E61" s="774" t="s">
        <v>215</v>
      </c>
      <c r="F61" s="3631"/>
      <c r="G61" s="3632"/>
      <c r="H61" s="787">
        <v>1500</v>
      </c>
      <c r="I61" s="772">
        <f t="shared" si="11"/>
        <v>31100</v>
      </c>
      <c r="J61" s="3631"/>
      <c r="K61" s="3632"/>
      <c r="L61" s="779">
        <f t="shared" si="12"/>
        <v>31100</v>
      </c>
      <c r="M61" s="3642"/>
      <c r="N61" s="778"/>
    </row>
    <row r="62" spans="1:14" x14ac:dyDescent="0.35">
      <c r="A62" s="773"/>
      <c r="B62" s="774"/>
      <c r="C62" s="775" t="s">
        <v>224</v>
      </c>
      <c r="D62" s="809">
        <f>$L$4</f>
        <v>20.733333333333334</v>
      </c>
      <c r="E62" s="774" t="s">
        <v>202</v>
      </c>
      <c r="F62" s="3631"/>
      <c r="G62" s="3632"/>
      <c r="H62" s="787">
        <v>0</v>
      </c>
      <c r="I62" s="772">
        <f t="shared" si="11"/>
        <v>0</v>
      </c>
      <c r="J62" s="3631"/>
      <c r="K62" s="3632"/>
      <c r="L62" s="779">
        <f t="shared" si="12"/>
        <v>0</v>
      </c>
      <c r="M62" s="3642"/>
      <c r="N62" s="778"/>
    </row>
    <row r="63" spans="1:14" x14ac:dyDescent="0.35">
      <c r="A63" s="773"/>
      <c r="B63" s="774"/>
      <c r="C63" s="775" t="s">
        <v>225</v>
      </c>
      <c r="D63" s="809"/>
      <c r="E63" s="774" t="s">
        <v>215</v>
      </c>
      <c r="F63" s="3631"/>
      <c r="G63" s="3632"/>
      <c r="H63" s="787">
        <v>250</v>
      </c>
      <c r="I63" s="772">
        <f t="shared" si="11"/>
        <v>0</v>
      </c>
      <c r="J63" s="3631"/>
      <c r="K63" s="3632"/>
      <c r="L63" s="779">
        <f t="shared" si="12"/>
        <v>0</v>
      </c>
      <c r="M63" s="3642"/>
      <c r="N63" s="778"/>
    </row>
    <row r="64" spans="1:14" x14ac:dyDescent="0.35">
      <c r="A64" s="773"/>
      <c r="B64" s="774"/>
      <c r="C64" s="775" t="s">
        <v>226</v>
      </c>
      <c r="D64" s="809"/>
      <c r="E64" s="774" t="s">
        <v>199</v>
      </c>
      <c r="F64" s="3631"/>
      <c r="G64" s="3632"/>
      <c r="H64" s="767">
        <v>840</v>
      </c>
      <c r="I64" s="772">
        <f t="shared" si="11"/>
        <v>0</v>
      </c>
      <c r="J64" s="3631"/>
      <c r="K64" s="3632"/>
      <c r="L64" s="769">
        <f t="shared" si="12"/>
        <v>0</v>
      </c>
      <c r="M64" s="3642"/>
      <c r="N64" s="802" t="s">
        <v>227</v>
      </c>
    </row>
    <row r="65" spans="1:14" x14ac:dyDescent="0.35">
      <c r="A65" s="773"/>
      <c r="B65" s="774"/>
      <c r="C65" s="810" t="s">
        <v>228</v>
      </c>
      <c r="D65" s="419"/>
      <c r="E65" s="792" t="s">
        <v>202</v>
      </c>
      <c r="F65" s="3633"/>
      <c r="G65" s="3634"/>
      <c r="H65" s="420">
        <v>1200</v>
      </c>
      <c r="I65" s="811">
        <f t="shared" si="11"/>
        <v>0</v>
      </c>
      <c r="J65" s="3633"/>
      <c r="K65" s="3634"/>
      <c r="L65" s="421">
        <f t="shared" si="12"/>
        <v>0</v>
      </c>
      <c r="M65" s="3643"/>
      <c r="N65" s="812" t="s">
        <v>229</v>
      </c>
    </row>
    <row r="66" spans="1:14" ht="15.75" hidden="1" customHeight="1" x14ac:dyDescent="0.35">
      <c r="A66" s="3644"/>
      <c r="B66" s="3645"/>
      <c r="C66" s="813" t="s">
        <v>230</v>
      </c>
      <c r="D66" s="3646"/>
      <c r="E66" s="3647"/>
      <c r="F66" s="3647"/>
      <c r="G66" s="3647"/>
      <c r="H66" s="3647"/>
      <c r="I66" s="3647"/>
      <c r="J66" s="3647"/>
      <c r="K66" s="3647"/>
      <c r="L66" s="3648"/>
      <c r="M66" s="814"/>
      <c r="N66" s="801">
        <f>SUM(L67:L81)</f>
        <v>0</v>
      </c>
    </row>
    <row r="67" spans="1:14" ht="15.75" hidden="1" customHeight="1" x14ac:dyDescent="0.35">
      <c r="A67" s="574"/>
      <c r="B67" s="575"/>
      <c r="C67" s="581" t="s">
        <v>231</v>
      </c>
      <c r="D67" s="582">
        <v>1</v>
      </c>
      <c r="E67" s="575" t="s">
        <v>215</v>
      </c>
      <c r="F67" s="3629"/>
      <c r="G67" s="3630"/>
      <c r="H67" s="3629"/>
      <c r="I67" s="3630"/>
      <c r="J67" s="576">
        <v>0</v>
      </c>
      <c r="K67" s="577">
        <f t="shared" ref="K67:K81" si="13">SUM(D67*J67)</f>
        <v>0</v>
      </c>
      <c r="L67" s="578">
        <f t="shared" ref="L67:L81" si="14">SUM(G67+I67+K67)</f>
        <v>0</v>
      </c>
      <c r="M67" s="578"/>
      <c r="N67" s="584" t="s">
        <v>232</v>
      </c>
    </row>
    <row r="68" spans="1:14" ht="15.75" hidden="1" customHeight="1" x14ac:dyDescent="0.35">
      <c r="A68" s="773"/>
      <c r="B68" s="774"/>
      <c r="C68" s="775" t="s">
        <v>233</v>
      </c>
      <c r="D68" s="761">
        <f>L4</f>
        <v>20.733333333333334</v>
      </c>
      <c r="E68" s="774" t="s">
        <v>202</v>
      </c>
      <c r="F68" s="3631"/>
      <c r="G68" s="3632"/>
      <c r="H68" s="3631"/>
      <c r="I68" s="3632"/>
      <c r="J68" s="767">
        <v>0</v>
      </c>
      <c r="K68" s="772">
        <f t="shared" si="13"/>
        <v>0</v>
      </c>
      <c r="L68" s="779">
        <f t="shared" si="14"/>
        <v>0</v>
      </c>
      <c r="M68" s="779"/>
      <c r="N68" s="764" t="s">
        <v>232</v>
      </c>
    </row>
    <row r="69" spans="1:14" ht="15.75" hidden="1" customHeight="1" x14ac:dyDescent="0.35">
      <c r="A69" s="773"/>
      <c r="B69" s="774"/>
      <c r="C69" s="775" t="s">
        <v>210</v>
      </c>
      <c r="D69" s="761">
        <v>1</v>
      </c>
      <c r="E69" s="774" t="s">
        <v>215</v>
      </c>
      <c r="F69" s="3631"/>
      <c r="G69" s="3632"/>
      <c r="H69" s="3631"/>
      <c r="I69" s="3632"/>
      <c r="J69" s="767">
        <v>0</v>
      </c>
      <c r="K69" s="772">
        <f t="shared" si="13"/>
        <v>0</v>
      </c>
      <c r="L69" s="779">
        <f t="shared" si="14"/>
        <v>0</v>
      </c>
      <c r="M69" s="779"/>
      <c r="N69" s="764" t="s">
        <v>232</v>
      </c>
    </row>
    <row r="70" spans="1:14" ht="15.75" hidden="1" customHeight="1" x14ac:dyDescent="0.35">
      <c r="A70" s="773"/>
      <c r="B70" s="774"/>
      <c r="C70" s="775" t="s">
        <v>234</v>
      </c>
      <c r="D70" s="761">
        <f>L4</f>
        <v>20.733333333333334</v>
      </c>
      <c r="E70" s="774" t="s">
        <v>202</v>
      </c>
      <c r="F70" s="3631"/>
      <c r="G70" s="3632"/>
      <c r="H70" s="3631"/>
      <c r="I70" s="3632"/>
      <c r="J70" s="767">
        <v>0</v>
      </c>
      <c r="K70" s="772">
        <f t="shared" si="13"/>
        <v>0</v>
      </c>
      <c r="L70" s="779">
        <f t="shared" si="14"/>
        <v>0</v>
      </c>
      <c r="M70" s="779"/>
      <c r="N70" s="764" t="s">
        <v>232</v>
      </c>
    </row>
    <row r="71" spans="1:14" ht="15.75" hidden="1" customHeight="1" x14ac:dyDescent="0.35">
      <c r="A71" s="773"/>
      <c r="B71" s="774"/>
      <c r="C71" s="775" t="s">
        <v>212</v>
      </c>
      <c r="D71" s="761">
        <f>L4+L5</f>
        <v>22.766666666666666</v>
      </c>
      <c r="E71" s="774" t="s">
        <v>202</v>
      </c>
      <c r="F71" s="3631"/>
      <c r="G71" s="3632"/>
      <c r="H71" s="3631"/>
      <c r="I71" s="3632"/>
      <c r="J71" s="767">
        <v>0</v>
      </c>
      <c r="K71" s="772">
        <f t="shared" si="13"/>
        <v>0</v>
      </c>
      <c r="L71" s="779">
        <f t="shared" si="14"/>
        <v>0</v>
      </c>
      <c r="M71" s="779"/>
      <c r="N71" s="764" t="s">
        <v>232</v>
      </c>
    </row>
    <row r="72" spans="1:14" ht="15.75" hidden="1" customHeight="1" x14ac:dyDescent="0.35">
      <c r="A72" s="773"/>
      <c r="B72" s="774"/>
      <c r="C72" s="775" t="s">
        <v>214</v>
      </c>
      <c r="D72" s="761">
        <v>1</v>
      </c>
      <c r="E72" s="774" t="s">
        <v>215</v>
      </c>
      <c r="F72" s="3631"/>
      <c r="G72" s="3632"/>
      <c r="H72" s="3631"/>
      <c r="I72" s="3632"/>
      <c r="J72" s="767">
        <v>0</v>
      </c>
      <c r="K72" s="772">
        <f t="shared" si="13"/>
        <v>0</v>
      </c>
      <c r="L72" s="779">
        <f t="shared" si="14"/>
        <v>0</v>
      </c>
      <c r="M72" s="779"/>
      <c r="N72" s="764" t="s">
        <v>232</v>
      </c>
    </row>
    <row r="73" spans="1:14" ht="15.75" hidden="1" customHeight="1" x14ac:dyDescent="0.35">
      <c r="A73" s="773"/>
      <c r="B73" s="774"/>
      <c r="C73" s="775" t="s">
        <v>216</v>
      </c>
      <c r="D73" s="761">
        <f>L4+L5</f>
        <v>22.766666666666666</v>
      </c>
      <c r="E73" s="774" t="s">
        <v>202</v>
      </c>
      <c r="F73" s="3631"/>
      <c r="G73" s="3632"/>
      <c r="H73" s="3631"/>
      <c r="I73" s="3632"/>
      <c r="J73" s="767">
        <v>0</v>
      </c>
      <c r="K73" s="772">
        <f t="shared" si="13"/>
        <v>0</v>
      </c>
      <c r="L73" s="779">
        <f t="shared" si="14"/>
        <v>0</v>
      </c>
      <c r="M73" s="779"/>
      <c r="N73" s="764" t="s">
        <v>232</v>
      </c>
    </row>
    <row r="74" spans="1:14" ht="15.75" hidden="1" customHeight="1" x14ac:dyDescent="0.35">
      <c r="A74" s="773"/>
      <c r="B74" s="774"/>
      <c r="C74" s="775" t="s">
        <v>217</v>
      </c>
      <c r="D74" s="761">
        <f>L4+L5</f>
        <v>22.766666666666666</v>
      </c>
      <c r="E74" s="774" t="s">
        <v>202</v>
      </c>
      <c r="F74" s="3631"/>
      <c r="G74" s="3632"/>
      <c r="H74" s="3631"/>
      <c r="I74" s="3632"/>
      <c r="J74" s="767">
        <v>0</v>
      </c>
      <c r="K74" s="772">
        <f t="shared" si="13"/>
        <v>0</v>
      </c>
      <c r="L74" s="779">
        <f t="shared" si="14"/>
        <v>0</v>
      </c>
      <c r="M74" s="779"/>
      <c r="N74" s="764" t="s">
        <v>232</v>
      </c>
    </row>
    <row r="75" spans="1:14" ht="15.75" hidden="1" customHeight="1" x14ac:dyDescent="0.35">
      <c r="A75" s="773"/>
      <c r="B75" s="774"/>
      <c r="C75" s="775" t="s">
        <v>235</v>
      </c>
      <c r="D75" s="761">
        <f>L4</f>
        <v>20.733333333333334</v>
      </c>
      <c r="E75" s="774" t="s">
        <v>202</v>
      </c>
      <c r="F75" s="3631"/>
      <c r="G75" s="3632"/>
      <c r="H75" s="3631"/>
      <c r="I75" s="3632"/>
      <c r="J75" s="767">
        <v>0</v>
      </c>
      <c r="K75" s="772">
        <f t="shared" si="13"/>
        <v>0</v>
      </c>
      <c r="L75" s="779">
        <f t="shared" si="14"/>
        <v>0</v>
      </c>
      <c r="M75" s="779"/>
      <c r="N75" s="764" t="s">
        <v>232</v>
      </c>
    </row>
    <row r="76" spans="1:14" ht="15.75" hidden="1" customHeight="1" x14ac:dyDescent="0.35">
      <c r="A76" s="773"/>
      <c r="B76" s="774"/>
      <c r="C76" s="775" t="s">
        <v>221</v>
      </c>
      <c r="D76" s="761">
        <v>1</v>
      </c>
      <c r="E76" s="774" t="s">
        <v>215</v>
      </c>
      <c r="F76" s="3631"/>
      <c r="G76" s="3632"/>
      <c r="H76" s="3631"/>
      <c r="I76" s="3632"/>
      <c r="J76" s="767">
        <v>0</v>
      </c>
      <c r="K76" s="772">
        <f t="shared" si="13"/>
        <v>0</v>
      </c>
      <c r="L76" s="779">
        <f t="shared" si="14"/>
        <v>0</v>
      </c>
      <c r="M76" s="779"/>
      <c r="N76" s="764" t="s">
        <v>232</v>
      </c>
    </row>
    <row r="77" spans="1:14" ht="15.75" hidden="1" customHeight="1" x14ac:dyDescent="0.35">
      <c r="A77" s="773"/>
      <c r="B77" s="774"/>
      <c r="C77" s="775" t="s">
        <v>222</v>
      </c>
      <c r="D77" s="761">
        <v>1</v>
      </c>
      <c r="E77" s="774" t="s">
        <v>215</v>
      </c>
      <c r="F77" s="3631"/>
      <c r="G77" s="3632"/>
      <c r="H77" s="3631"/>
      <c r="I77" s="3632"/>
      <c r="J77" s="767">
        <v>0</v>
      </c>
      <c r="K77" s="772">
        <f t="shared" si="13"/>
        <v>0</v>
      </c>
      <c r="L77" s="779">
        <f t="shared" si="14"/>
        <v>0</v>
      </c>
      <c r="M77" s="779"/>
      <c r="N77" s="764" t="s">
        <v>232</v>
      </c>
    </row>
    <row r="78" spans="1:14" ht="15.75" hidden="1" customHeight="1" x14ac:dyDescent="0.35">
      <c r="A78" s="773"/>
      <c r="B78" s="774"/>
      <c r="C78" s="775" t="s">
        <v>223</v>
      </c>
      <c r="D78" s="761">
        <f>L4+L5</f>
        <v>22.766666666666666</v>
      </c>
      <c r="E78" s="774" t="s">
        <v>202</v>
      </c>
      <c r="F78" s="3631"/>
      <c r="G78" s="3632"/>
      <c r="H78" s="3631"/>
      <c r="I78" s="3632"/>
      <c r="J78" s="767">
        <v>0</v>
      </c>
      <c r="K78" s="772">
        <f t="shared" si="13"/>
        <v>0</v>
      </c>
      <c r="L78" s="779">
        <f t="shared" si="14"/>
        <v>0</v>
      </c>
      <c r="M78" s="779"/>
      <c r="N78" s="764" t="s">
        <v>232</v>
      </c>
    </row>
    <row r="79" spans="1:14" ht="15.75" hidden="1" customHeight="1" x14ac:dyDescent="0.35">
      <c r="A79" s="773"/>
      <c r="B79" s="774"/>
      <c r="C79" s="775" t="s">
        <v>236</v>
      </c>
      <c r="D79" s="761">
        <v>1</v>
      </c>
      <c r="E79" s="774" t="s">
        <v>215</v>
      </c>
      <c r="F79" s="3631"/>
      <c r="G79" s="3632"/>
      <c r="H79" s="3631"/>
      <c r="I79" s="3632"/>
      <c r="J79" s="767">
        <v>0</v>
      </c>
      <c r="K79" s="772">
        <f t="shared" si="13"/>
        <v>0</v>
      </c>
      <c r="L79" s="779">
        <f t="shared" si="14"/>
        <v>0</v>
      </c>
      <c r="M79" s="779"/>
      <c r="N79" s="764" t="s">
        <v>232</v>
      </c>
    </row>
    <row r="80" spans="1:14" ht="15.75" hidden="1" customHeight="1" x14ac:dyDescent="0.35">
      <c r="A80" s="773"/>
      <c r="B80" s="774"/>
      <c r="C80" s="775" t="s">
        <v>224</v>
      </c>
      <c r="D80" s="761">
        <f>L4</f>
        <v>20.733333333333334</v>
      </c>
      <c r="E80" s="774" t="s">
        <v>202</v>
      </c>
      <c r="F80" s="3631"/>
      <c r="G80" s="3632"/>
      <c r="H80" s="3631"/>
      <c r="I80" s="3632"/>
      <c r="J80" s="767">
        <v>0</v>
      </c>
      <c r="K80" s="772">
        <f t="shared" si="13"/>
        <v>0</v>
      </c>
      <c r="L80" s="769">
        <f t="shared" si="14"/>
        <v>0</v>
      </c>
      <c r="M80" s="779"/>
      <c r="N80" s="764" t="s">
        <v>232</v>
      </c>
    </row>
    <row r="81" spans="1:14" ht="15.75" hidden="1" customHeight="1" x14ac:dyDescent="0.35">
      <c r="A81" s="791"/>
      <c r="B81" s="792"/>
      <c r="C81" s="810" t="s">
        <v>225</v>
      </c>
      <c r="D81" s="417">
        <v>1</v>
      </c>
      <c r="E81" s="792" t="s">
        <v>215</v>
      </c>
      <c r="F81" s="3633"/>
      <c r="G81" s="3634"/>
      <c r="H81" s="3633"/>
      <c r="I81" s="3634"/>
      <c r="J81" s="420">
        <v>0</v>
      </c>
      <c r="K81" s="418">
        <f t="shared" si="13"/>
        <v>0</v>
      </c>
      <c r="L81" s="421">
        <f t="shared" si="14"/>
        <v>0</v>
      </c>
      <c r="M81" s="421"/>
      <c r="N81" s="422" t="s">
        <v>232</v>
      </c>
    </row>
    <row r="82" spans="1:14" ht="15.75" hidden="1" customHeight="1" x14ac:dyDescent="0.35">
      <c r="A82" s="3644"/>
      <c r="B82" s="3645"/>
      <c r="C82" s="813" t="s">
        <v>237</v>
      </c>
      <c r="D82" s="798"/>
      <c r="E82" s="799"/>
      <c r="F82" s="799"/>
      <c r="G82" s="799"/>
      <c r="H82" s="799"/>
      <c r="I82" s="799"/>
      <c r="J82" s="799"/>
      <c r="K82" s="799"/>
      <c r="L82" s="800">
        <f>SUM(L83:L95)</f>
        <v>0</v>
      </c>
      <c r="M82" s="800"/>
      <c r="N82" s="801"/>
    </row>
    <row r="83" spans="1:14" ht="15.75" hidden="1" customHeight="1" x14ac:dyDescent="0.35">
      <c r="A83" s="773"/>
      <c r="B83" s="774"/>
      <c r="C83" s="760" t="s">
        <v>238</v>
      </c>
      <c r="D83" s="761">
        <v>0</v>
      </c>
      <c r="E83" s="766" t="s">
        <v>215</v>
      </c>
      <c r="F83" s="3629"/>
      <c r="G83" s="3630"/>
      <c r="H83" s="3629"/>
      <c r="I83" s="3630"/>
      <c r="J83" s="787">
        <v>0</v>
      </c>
      <c r="K83" s="772">
        <f t="shared" ref="K83:K95" si="15">SUM(D83*J83)</f>
        <v>0</v>
      </c>
      <c r="L83" s="779">
        <f t="shared" ref="L83:L95" si="16">SUM(G83+I83+K83)</f>
        <v>0</v>
      </c>
      <c r="M83" s="3641"/>
      <c r="N83" s="585" t="s">
        <v>239</v>
      </c>
    </row>
    <row r="84" spans="1:14" ht="15.75" hidden="1" customHeight="1" x14ac:dyDescent="0.35">
      <c r="A84" s="773"/>
      <c r="B84" s="774"/>
      <c r="C84" s="775" t="s">
        <v>240</v>
      </c>
      <c r="D84" s="761">
        <v>0</v>
      </c>
      <c r="E84" s="774" t="s">
        <v>202</v>
      </c>
      <c r="F84" s="3631"/>
      <c r="G84" s="3632"/>
      <c r="H84" s="3631"/>
      <c r="I84" s="3632"/>
      <c r="J84" s="787">
        <v>0</v>
      </c>
      <c r="K84" s="772">
        <f t="shared" si="15"/>
        <v>0</v>
      </c>
      <c r="L84" s="779">
        <f t="shared" si="16"/>
        <v>0</v>
      </c>
      <c r="M84" s="3642"/>
      <c r="N84" s="815" t="s">
        <v>241</v>
      </c>
    </row>
    <row r="85" spans="1:14" ht="15.75" hidden="1" customHeight="1" x14ac:dyDescent="0.35">
      <c r="A85" s="773"/>
      <c r="B85" s="774"/>
      <c r="C85" s="775" t="s">
        <v>242</v>
      </c>
      <c r="D85" s="761">
        <v>0</v>
      </c>
      <c r="E85" s="774" t="s">
        <v>202</v>
      </c>
      <c r="F85" s="3631"/>
      <c r="G85" s="3632"/>
      <c r="H85" s="3631"/>
      <c r="I85" s="3632"/>
      <c r="J85" s="787">
        <v>0</v>
      </c>
      <c r="K85" s="772">
        <f t="shared" si="15"/>
        <v>0</v>
      </c>
      <c r="L85" s="779">
        <f t="shared" si="16"/>
        <v>0</v>
      </c>
      <c r="M85" s="3642"/>
      <c r="N85" s="808" t="s">
        <v>243</v>
      </c>
    </row>
    <row r="86" spans="1:14" ht="15.75" hidden="1" customHeight="1" x14ac:dyDescent="0.35">
      <c r="A86" s="773"/>
      <c r="B86" s="774"/>
      <c r="C86" s="775" t="s">
        <v>244</v>
      </c>
      <c r="D86" s="761">
        <v>0</v>
      </c>
      <c r="E86" s="774" t="s">
        <v>245</v>
      </c>
      <c r="F86" s="3631"/>
      <c r="G86" s="3632"/>
      <c r="H86" s="3631"/>
      <c r="I86" s="3632"/>
      <c r="J86" s="787">
        <v>0</v>
      </c>
      <c r="K86" s="772">
        <f t="shared" si="15"/>
        <v>0</v>
      </c>
      <c r="L86" s="779">
        <f t="shared" si="16"/>
        <v>0</v>
      </c>
      <c r="M86" s="3642"/>
      <c r="N86" s="816" t="s">
        <v>246</v>
      </c>
    </row>
    <row r="87" spans="1:14" ht="15.75" hidden="1" customHeight="1" x14ac:dyDescent="0.35">
      <c r="A87" s="773"/>
      <c r="B87" s="774"/>
      <c r="C87" s="775" t="s">
        <v>247</v>
      </c>
      <c r="D87" s="761">
        <v>0</v>
      </c>
      <c r="E87" s="774" t="s">
        <v>215</v>
      </c>
      <c r="F87" s="3631"/>
      <c r="G87" s="3632"/>
      <c r="H87" s="3631"/>
      <c r="I87" s="3632"/>
      <c r="J87" s="787">
        <v>0</v>
      </c>
      <c r="K87" s="772">
        <f t="shared" si="15"/>
        <v>0</v>
      </c>
      <c r="L87" s="779">
        <f t="shared" si="16"/>
        <v>0</v>
      </c>
      <c r="M87" s="3642"/>
      <c r="N87" s="808" t="s">
        <v>243</v>
      </c>
    </row>
    <row r="88" spans="1:14" ht="15.75" hidden="1" customHeight="1" x14ac:dyDescent="0.35">
      <c r="A88" s="773"/>
      <c r="B88" s="774"/>
      <c r="C88" s="775" t="s">
        <v>248</v>
      </c>
      <c r="D88" s="761">
        <v>0</v>
      </c>
      <c r="E88" s="774" t="s">
        <v>202</v>
      </c>
      <c r="F88" s="3631"/>
      <c r="G88" s="3632"/>
      <c r="H88" s="3631"/>
      <c r="I88" s="3632"/>
      <c r="J88" s="787">
        <v>0</v>
      </c>
      <c r="K88" s="772">
        <f t="shared" si="15"/>
        <v>0</v>
      </c>
      <c r="L88" s="779">
        <f t="shared" si="16"/>
        <v>0</v>
      </c>
      <c r="M88" s="3642"/>
      <c r="N88" s="808"/>
    </row>
    <row r="89" spans="1:14" ht="15.75" hidden="1" customHeight="1" x14ac:dyDescent="0.35">
      <c r="A89" s="773"/>
      <c r="B89" s="774"/>
      <c r="C89" s="775" t="s">
        <v>249</v>
      </c>
      <c r="D89" s="761">
        <v>0</v>
      </c>
      <c r="E89" s="774" t="s">
        <v>202</v>
      </c>
      <c r="F89" s="3631"/>
      <c r="G89" s="3632"/>
      <c r="H89" s="3631"/>
      <c r="I89" s="3632"/>
      <c r="J89" s="787">
        <v>2035</v>
      </c>
      <c r="K89" s="772">
        <f t="shared" si="15"/>
        <v>0</v>
      </c>
      <c r="L89" s="779">
        <f t="shared" si="16"/>
        <v>0</v>
      </c>
      <c r="M89" s="3642"/>
      <c r="N89" s="802" t="s">
        <v>250</v>
      </c>
    </row>
    <row r="90" spans="1:14" ht="15.65" hidden="1" customHeight="1" x14ac:dyDescent="0.35">
      <c r="A90" s="773"/>
      <c r="B90" s="774"/>
      <c r="C90" s="760" t="s">
        <v>251</v>
      </c>
      <c r="D90" s="761">
        <v>0</v>
      </c>
      <c r="E90" s="766" t="s">
        <v>199</v>
      </c>
      <c r="F90" s="3631"/>
      <c r="G90" s="3632"/>
      <c r="H90" s="3631"/>
      <c r="I90" s="3632"/>
      <c r="J90" s="787">
        <v>93</v>
      </c>
      <c r="K90" s="772">
        <f t="shared" si="15"/>
        <v>0</v>
      </c>
      <c r="L90" s="779">
        <f t="shared" si="16"/>
        <v>0</v>
      </c>
      <c r="M90" s="3642"/>
      <c r="N90" s="802" t="s">
        <v>250</v>
      </c>
    </row>
    <row r="91" spans="1:14" ht="15.75" hidden="1" customHeight="1" x14ac:dyDescent="0.35">
      <c r="A91" s="773"/>
      <c r="B91" s="774"/>
      <c r="C91" s="775" t="s">
        <v>252</v>
      </c>
      <c r="D91" s="761">
        <v>0</v>
      </c>
      <c r="E91" s="774" t="s">
        <v>202</v>
      </c>
      <c r="F91" s="3631"/>
      <c r="G91" s="3632"/>
      <c r="H91" s="3631"/>
      <c r="I91" s="3632"/>
      <c r="J91" s="787">
        <f>407*1</f>
        <v>407</v>
      </c>
      <c r="K91" s="772">
        <f t="shared" si="15"/>
        <v>0</v>
      </c>
      <c r="L91" s="779">
        <f t="shared" si="16"/>
        <v>0</v>
      </c>
      <c r="M91" s="3642"/>
      <c r="N91" s="802" t="s">
        <v>250</v>
      </c>
    </row>
    <row r="92" spans="1:14" ht="15.65" hidden="1" customHeight="1" x14ac:dyDescent="0.35">
      <c r="A92" s="773"/>
      <c r="B92" s="774"/>
      <c r="C92" s="760" t="s">
        <v>253</v>
      </c>
      <c r="D92" s="761">
        <v>0</v>
      </c>
      <c r="E92" s="766" t="s">
        <v>199</v>
      </c>
      <c r="F92" s="3631"/>
      <c r="G92" s="3632"/>
      <c r="H92" s="3631"/>
      <c r="I92" s="3632"/>
      <c r="J92" s="787">
        <v>93</v>
      </c>
      <c r="K92" s="772">
        <f t="shared" si="15"/>
        <v>0</v>
      </c>
      <c r="L92" s="779">
        <f t="shared" si="16"/>
        <v>0</v>
      </c>
      <c r="M92" s="3642"/>
      <c r="N92" s="802" t="s">
        <v>250</v>
      </c>
    </row>
    <row r="93" spans="1:14" ht="15.75" hidden="1" customHeight="1" x14ac:dyDescent="0.35">
      <c r="A93" s="773"/>
      <c r="B93" s="774"/>
      <c r="C93" s="775" t="s">
        <v>254</v>
      </c>
      <c r="D93" s="761">
        <v>0</v>
      </c>
      <c r="E93" s="774" t="s">
        <v>202</v>
      </c>
      <c r="F93" s="3631"/>
      <c r="G93" s="3632"/>
      <c r="H93" s="3631"/>
      <c r="I93" s="3632"/>
      <c r="J93" s="787">
        <v>500</v>
      </c>
      <c r="K93" s="772">
        <f t="shared" si="15"/>
        <v>0</v>
      </c>
      <c r="L93" s="779">
        <f t="shared" si="16"/>
        <v>0</v>
      </c>
      <c r="M93" s="3642"/>
      <c r="N93" s="815"/>
    </row>
    <row r="94" spans="1:14" ht="15.75" hidden="1" customHeight="1" x14ac:dyDescent="0.35">
      <c r="A94" s="773"/>
      <c r="B94" s="774"/>
      <c r="C94" s="775" t="s">
        <v>255</v>
      </c>
      <c r="D94" s="761">
        <v>0</v>
      </c>
      <c r="E94" s="774" t="s">
        <v>215</v>
      </c>
      <c r="F94" s="3631"/>
      <c r="G94" s="3632"/>
      <c r="H94" s="3631"/>
      <c r="I94" s="3632"/>
      <c r="J94" s="787">
        <v>0</v>
      </c>
      <c r="K94" s="772">
        <f t="shared" si="15"/>
        <v>0</v>
      </c>
      <c r="L94" s="779">
        <f t="shared" si="16"/>
        <v>0</v>
      </c>
      <c r="M94" s="3642"/>
      <c r="N94" s="815"/>
    </row>
    <row r="95" spans="1:14" ht="15.75" hidden="1" customHeight="1" x14ac:dyDescent="0.35">
      <c r="A95" s="773"/>
      <c r="B95" s="774"/>
      <c r="C95" s="775" t="s">
        <v>256</v>
      </c>
      <c r="D95" s="761">
        <v>0</v>
      </c>
      <c r="E95" s="774" t="s">
        <v>202</v>
      </c>
      <c r="F95" s="3631"/>
      <c r="G95" s="3632"/>
      <c r="H95" s="3631"/>
      <c r="I95" s="3632"/>
      <c r="J95" s="767">
        <v>0</v>
      </c>
      <c r="K95" s="772">
        <f t="shared" si="15"/>
        <v>0</v>
      </c>
      <c r="L95" s="769">
        <f t="shared" si="16"/>
        <v>0</v>
      </c>
      <c r="M95" s="3642"/>
      <c r="N95" s="817"/>
    </row>
    <row r="96" spans="1:14" x14ac:dyDescent="0.35">
      <c r="A96" s="3644"/>
      <c r="B96" s="3645"/>
      <c r="C96" s="813" t="s">
        <v>257</v>
      </c>
      <c r="D96" s="798"/>
      <c r="E96" s="799"/>
      <c r="F96" s="799"/>
      <c r="G96" s="799"/>
      <c r="H96" s="799"/>
      <c r="I96" s="799"/>
      <c r="J96" s="799"/>
      <c r="K96" s="799"/>
      <c r="L96" s="801">
        <f>SUM(L97:L99)</f>
        <v>82933.333333333343</v>
      </c>
      <c r="M96" s="801"/>
      <c r="N96" s="801"/>
    </row>
    <row r="97" spans="1:14" x14ac:dyDescent="0.35">
      <c r="A97" s="773"/>
      <c r="B97" s="774"/>
      <c r="C97" s="581" t="s">
        <v>258</v>
      </c>
      <c r="D97" s="761">
        <f>$L$4</f>
        <v>20.733333333333334</v>
      </c>
      <c r="E97" s="586" t="s">
        <v>202</v>
      </c>
      <c r="F97" s="3629"/>
      <c r="G97" s="3630"/>
      <c r="H97" s="3629"/>
      <c r="I97" s="3630"/>
      <c r="J97" s="576">
        <v>1500</v>
      </c>
      <c r="K97" s="577">
        <f>SUM(D97*J97)</f>
        <v>31100</v>
      </c>
      <c r="L97" s="578">
        <f>SUM(G97+I97+K97)</f>
        <v>31100</v>
      </c>
      <c r="M97" s="3641"/>
      <c r="N97" s="584"/>
    </row>
    <row r="98" spans="1:14" x14ac:dyDescent="0.35">
      <c r="A98" s="773"/>
      <c r="B98" s="774"/>
      <c r="C98" s="423" t="s">
        <v>259</v>
      </c>
      <c r="D98" s="415">
        <f>L4</f>
        <v>20.733333333333334</v>
      </c>
      <c r="E98" s="774" t="s">
        <v>202</v>
      </c>
      <c r="F98" s="3631"/>
      <c r="G98" s="3632"/>
      <c r="H98" s="3631"/>
      <c r="I98" s="3632"/>
      <c r="J98" s="414">
        <v>2500</v>
      </c>
      <c r="K98" s="424">
        <f>SUM(D98*J98)</f>
        <v>51833.333333333336</v>
      </c>
      <c r="L98" s="425">
        <f>SUM(G98+I98+K98)</f>
        <v>51833.333333333336</v>
      </c>
      <c r="M98" s="3642"/>
      <c r="N98" s="426"/>
    </row>
    <row r="99" spans="1:14" ht="15.75" customHeight="1" x14ac:dyDescent="0.35">
      <c r="A99" s="773"/>
      <c r="B99" s="774"/>
      <c r="C99" s="810" t="s">
        <v>260</v>
      </c>
      <c r="D99" s="818">
        <v>0</v>
      </c>
      <c r="E99" s="792" t="s">
        <v>215</v>
      </c>
      <c r="F99" s="3633"/>
      <c r="G99" s="3634"/>
      <c r="H99" s="3633"/>
      <c r="I99" s="3634"/>
      <c r="J99" s="795">
        <v>1000</v>
      </c>
      <c r="K99" s="788">
        <f>SUM(D99*J99)</f>
        <v>0</v>
      </c>
      <c r="L99" s="789">
        <f>SUM(G99+I99+K99)</f>
        <v>0</v>
      </c>
      <c r="M99" s="3643"/>
      <c r="N99" s="819"/>
    </row>
    <row r="100" spans="1:14" ht="15.75" customHeight="1" x14ac:dyDescent="0.35">
      <c r="A100" s="3644"/>
      <c r="B100" s="3645"/>
      <c r="C100" s="813" t="s">
        <v>261</v>
      </c>
      <c r="D100" s="798"/>
      <c r="E100" s="799"/>
      <c r="F100" s="799"/>
      <c r="G100" s="799"/>
      <c r="H100" s="799"/>
      <c r="I100" s="799"/>
      <c r="J100" s="799"/>
      <c r="K100" s="799"/>
      <c r="L100" s="801">
        <f>SUM(L101:L118)</f>
        <v>24513.333333333336</v>
      </c>
      <c r="M100" s="801"/>
      <c r="N100" s="801"/>
    </row>
    <row r="101" spans="1:14" x14ac:dyDescent="0.35">
      <c r="A101" s="773"/>
      <c r="B101" s="774">
        <v>15000</v>
      </c>
      <c r="C101" s="760" t="s">
        <v>262</v>
      </c>
      <c r="D101" s="761">
        <v>0</v>
      </c>
      <c r="E101" s="766" t="s">
        <v>263</v>
      </c>
      <c r="F101" s="3629"/>
      <c r="G101" s="3630"/>
      <c r="H101" s="3629"/>
      <c r="I101" s="3630"/>
      <c r="J101" s="787">
        <v>8.3000000000000007</v>
      </c>
      <c r="K101" s="772">
        <f>J101*D101</f>
        <v>0</v>
      </c>
      <c r="L101" s="779">
        <f t="shared" ref="L101:L118" si="17">SUM(G101+I101+K101)</f>
        <v>0</v>
      </c>
      <c r="M101" s="3641"/>
      <c r="N101" s="820" t="s">
        <v>264</v>
      </c>
    </row>
    <row r="102" spans="1:14" x14ac:dyDescent="0.35">
      <c r="A102" s="773"/>
      <c r="B102" s="774"/>
      <c r="C102" s="760" t="s">
        <v>265</v>
      </c>
      <c r="D102" s="761">
        <v>0</v>
      </c>
      <c r="E102" s="766" t="s">
        <v>263</v>
      </c>
      <c r="F102" s="3631"/>
      <c r="G102" s="3632"/>
      <c r="H102" s="3631"/>
      <c r="I102" s="3632"/>
      <c r="J102" s="787">
        <v>9.8000000000000007</v>
      </c>
      <c r="K102" s="772">
        <f>J102*D102</f>
        <v>0</v>
      </c>
      <c r="L102" s="779">
        <f t="shared" si="17"/>
        <v>0</v>
      </c>
      <c r="M102" s="3642"/>
      <c r="N102" s="820" t="s">
        <v>264</v>
      </c>
    </row>
    <row r="103" spans="1:14" x14ac:dyDescent="0.35">
      <c r="A103" s="773"/>
      <c r="B103" s="774"/>
      <c r="C103" s="760" t="s">
        <v>266</v>
      </c>
      <c r="D103" s="761">
        <v>0</v>
      </c>
      <c r="E103" s="766" t="s">
        <v>263</v>
      </c>
      <c r="F103" s="3631"/>
      <c r="G103" s="3632"/>
      <c r="H103" s="3631"/>
      <c r="I103" s="3632"/>
      <c r="J103" s="787">
        <v>6.49</v>
      </c>
      <c r="K103" s="772">
        <f t="shared" ref="K103:K109" si="18">SUM(D103*J103)</f>
        <v>0</v>
      </c>
      <c r="L103" s="779">
        <f t="shared" si="17"/>
        <v>0</v>
      </c>
      <c r="M103" s="3642"/>
      <c r="N103" s="820" t="s">
        <v>264</v>
      </c>
    </row>
    <row r="104" spans="1:14" x14ac:dyDescent="0.35">
      <c r="A104" s="773"/>
      <c r="B104" s="774"/>
      <c r="C104" s="760" t="s">
        <v>267</v>
      </c>
      <c r="D104" s="761">
        <v>0</v>
      </c>
      <c r="E104" s="766" t="s">
        <v>263</v>
      </c>
      <c r="F104" s="3631"/>
      <c r="G104" s="3632"/>
      <c r="H104" s="3631"/>
      <c r="I104" s="3632"/>
      <c r="J104" s="787">
        <v>7.49</v>
      </c>
      <c r="K104" s="772">
        <f t="shared" si="18"/>
        <v>0</v>
      </c>
      <c r="L104" s="779">
        <f t="shared" si="17"/>
        <v>0</v>
      </c>
      <c r="M104" s="3642"/>
      <c r="N104" s="820" t="s">
        <v>264</v>
      </c>
    </row>
    <row r="105" spans="1:14" x14ac:dyDescent="0.35">
      <c r="A105" s="773"/>
      <c r="B105" s="774"/>
      <c r="C105" s="760" t="s">
        <v>268</v>
      </c>
      <c r="D105" s="809">
        <v>0</v>
      </c>
      <c r="E105" s="766" t="s">
        <v>199</v>
      </c>
      <c r="F105" s="3631"/>
      <c r="G105" s="3632"/>
      <c r="H105" s="3631"/>
      <c r="I105" s="3632"/>
      <c r="J105" s="787">
        <v>800</v>
      </c>
      <c r="K105" s="772">
        <f t="shared" si="18"/>
        <v>0</v>
      </c>
      <c r="L105" s="779">
        <f t="shared" si="17"/>
        <v>0</v>
      </c>
      <c r="M105" s="3642"/>
      <c r="N105" s="820" t="s">
        <v>264</v>
      </c>
    </row>
    <row r="106" spans="1:14" x14ac:dyDescent="0.35">
      <c r="A106" s="773"/>
      <c r="B106" s="774">
        <v>15000</v>
      </c>
      <c r="C106" s="775" t="s">
        <v>269</v>
      </c>
      <c r="D106" s="809">
        <f>L4</f>
        <v>20.733333333333334</v>
      </c>
      <c r="E106" s="774" t="s">
        <v>202</v>
      </c>
      <c r="F106" s="3631"/>
      <c r="G106" s="3632"/>
      <c r="H106" s="3631"/>
      <c r="I106" s="3632"/>
      <c r="J106" s="787">
        <v>150</v>
      </c>
      <c r="K106" s="772">
        <f t="shared" si="18"/>
        <v>3110</v>
      </c>
      <c r="L106" s="779">
        <f t="shared" si="17"/>
        <v>3110</v>
      </c>
      <c r="M106" s="3642"/>
      <c r="N106" s="764"/>
    </row>
    <row r="107" spans="1:14" x14ac:dyDescent="0.35">
      <c r="A107" s="773"/>
      <c r="B107" s="774"/>
      <c r="C107" s="775" t="s">
        <v>270</v>
      </c>
      <c r="D107" s="809">
        <f>K4</f>
        <v>88.857142857142861</v>
      </c>
      <c r="E107" s="774" t="s">
        <v>176</v>
      </c>
      <c r="F107" s="3631"/>
      <c r="G107" s="3632"/>
      <c r="H107" s="3631"/>
      <c r="I107" s="3632"/>
      <c r="J107" s="787">
        <v>0</v>
      </c>
      <c r="K107" s="772">
        <f t="shared" si="18"/>
        <v>0</v>
      </c>
      <c r="L107" s="779">
        <f t="shared" si="17"/>
        <v>0</v>
      </c>
      <c r="M107" s="3642"/>
      <c r="N107" s="815"/>
    </row>
    <row r="108" spans="1:14" x14ac:dyDescent="0.35">
      <c r="A108" s="773"/>
      <c r="B108" s="774"/>
      <c r="C108" s="775" t="s">
        <v>271</v>
      </c>
      <c r="D108" s="809">
        <v>1</v>
      </c>
      <c r="E108" s="774" t="s">
        <v>215</v>
      </c>
      <c r="F108" s="3631"/>
      <c r="G108" s="3632"/>
      <c r="H108" s="3631"/>
      <c r="I108" s="3632"/>
      <c r="J108" s="787">
        <v>10000</v>
      </c>
      <c r="K108" s="772">
        <f t="shared" si="18"/>
        <v>10000</v>
      </c>
      <c r="L108" s="779">
        <f t="shared" si="17"/>
        <v>10000</v>
      </c>
      <c r="M108" s="3642"/>
      <c r="N108" s="778"/>
    </row>
    <row r="109" spans="1:14" x14ac:dyDescent="0.35">
      <c r="A109" s="773"/>
      <c r="B109" s="774">
        <v>15000</v>
      </c>
      <c r="C109" s="775" t="s">
        <v>272</v>
      </c>
      <c r="D109" s="809">
        <v>0</v>
      </c>
      <c r="E109" s="774" t="s">
        <v>215</v>
      </c>
      <c r="F109" s="3631"/>
      <c r="G109" s="3632"/>
      <c r="H109" s="3631"/>
      <c r="I109" s="3632"/>
      <c r="J109" s="787">
        <v>2500</v>
      </c>
      <c r="K109" s="772">
        <f t="shared" si="18"/>
        <v>0</v>
      </c>
      <c r="L109" s="779">
        <f t="shared" si="17"/>
        <v>0</v>
      </c>
      <c r="M109" s="3642"/>
      <c r="N109" s="778"/>
    </row>
    <row r="110" spans="1:14" x14ac:dyDescent="0.35">
      <c r="A110" s="773"/>
      <c r="B110" s="774"/>
      <c r="C110" s="775" t="s">
        <v>273</v>
      </c>
      <c r="D110" s="809">
        <v>0</v>
      </c>
      <c r="E110" s="774" t="s">
        <v>215</v>
      </c>
      <c r="F110" s="3631"/>
      <c r="G110" s="3632"/>
      <c r="H110" s="3631"/>
      <c r="I110" s="3632"/>
      <c r="J110" s="787">
        <v>1500</v>
      </c>
      <c r="K110" s="772">
        <f>J110*D110</f>
        <v>0</v>
      </c>
      <c r="L110" s="779">
        <f t="shared" si="17"/>
        <v>0</v>
      </c>
      <c r="M110" s="3642"/>
      <c r="N110" s="778"/>
    </row>
    <row r="111" spans="1:14" x14ac:dyDescent="0.35">
      <c r="A111" s="773"/>
      <c r="B111" s="774"/>
      <c r="C111" s="775" t="s">
        <v>274</v>
      </c>
      <c r="D111" s="809">
        <v>0</v>
      </c>
      <c r="E111" s="774" t="s">
        <v>215</v>
      </c>
      <c r="F111" s="3631"/>
      <c r="G111" s="3632"/>
      <c r="H111" s="3631"/>
      <c r="I111" s="3632"/>
      <c r="J111" s="787">
        <v>500</v>
      </c>
      <c r="K111" s="772">
        <f>J111*D111</f>
        <v>0</v>
      </c>
      <c r="L111" s="779">
        <f t="shared" si="17"/>
        <v>0</v>
      </c>
      <c r="M111" s="3642"/>
      <c r="N111" s="778"/>
    </row>
    <row r="112" spans="1:14" x14ac:dyDescent="0.35">
      <c r="A112" s="773"/>
      <c r="B112" s="774">
        <v>15000</v>
      </c>
      <c r="C112" s="775" t="s">
        <v>275</v>
      </c>
      <c r="D112" s="809">
        <v>0</v>
      </c>
      <c r="E112" s="774" t="s">
        <v>215</v>
      </c>
      <c r="F112" s="3631"/>
      <c r="G112" s="3632"/>
      <c r="H112" s="3631"/>
      <c r="I112" s="3632"/>
      <c r="J112" s="787">
        <v>5000</v>
      </c>
      <c r="K112" s="772">
        <f t="shared" ref="K112:K118" si="19">SUM(D112*J112)</f>
        <v>0</v>
      </c>
      <c r="L112" s="779">
        <f t="shared" si="17"/>
        <v>0</v>
      </c>
      <c r="M112" s="3642"/>
      <c r="N112" s="778"/>
    </row>
    <row r="113" spans="1:15" x14ac:dyDescent="0.35">
      <c r="A113" s="773"/>
      <c r="B113" s="774"/>
      <c r="C113" s="775" t="s">
        <v>276</v>
      </c>
      <c r="D113" s="809">
        <v>0</v>
      </c>
      <c r="E113" s="774" t="s">
        <v>215</v>
      </c>
      <c r="F113" s="3631"/>
      <c r="G113" s="3632"/>
      <c r="H113" s="3631"/>
      <c r="I113" s="3632"/>
      <c r="J113" s="787">
        <v>0</v>
      </c>
      <c r="K113" s="772">
        <f t="shared" si="19"/>
        <v>0</v>
      </c>
      <c r="L113" s="779">
        <f t="shared" si="17"/>
        <v>0</v>
      </c>
      <c r="M113" s="3642"/>
      <c r="N113" s="778"/>
    </row>
    <row r="114" spans="1:15" x14ac:dyDescent="0.35">
      <c r="A114" s="773"/>
      <c r="B114" s="774">
        <v>15000</v>
      </c>
      <c r="C114" s="775" t="s">
        <v>277</v>
      </c>
      <c r="D114" s="809">
        <v>0</v>
      </c>
      <c r="E114" s="774" t="s">
        <v>215</v>
      </c>
      <c r="F114" s="3631"/>
      <c r="G114" s="3632"/>
      <c r="H114" s="3631"/>
      <c r="I114" s="3632"/>
      <c r="J114" s="787">
        <v>5000</v>
      </c>
      <c r="K114" s="772">
        <f t="shared" si="19"/>
        <v>0</v>
      </c>
      <c r="L114" s="779">
        <f t="shared" si="17"/>
        <v>0</v>
      </c>
      <c r="M114" s="3642"/>
      <c r="N114" s="778"/>
    </row>
    <row r="115" spans="1:15" x14ac:dyDescent="0.35">
      <c r="A115" s="773"/>
      <c r="B115" s="774">
        <v>15000</v>
      </c>
      <c r="C115" s="775" t="s">
        <v>278</v>
      </c>
      <c r="D115" s="809">
        <v>0</v>
      </c>
      <c r="E115" s="774" t="s">
        <v>215</v>
      </c>
      <c r="F115" s="3631"/>
      <c r="G115" s="3632"/>
      <c r="H115" s="3631"/>
      <c r="I115" s="3632"/>
      <c r="J115" s="787">
        <v>5000</v>
      </c>
      <c r="K115" s="772">
        <f t="shared" si="19"/>
        <v>0</v>
      </c>
      <c r="L115" s="779">
        <f t="shared" si="17"/>
        <v>0</v>
      </c>
      <c r="M115" s="3642"/>
      <c r="N115" s="778"/>
    </row>
    <row r="116" spans="1:15" x14ac:dyDescent="0.35">
      <c r="A116" s="773"/>
      <c r="B116" s="774"/>
      <c r="C116" s="775" t="s">
        <v>279</v>
      </c>
      <c r="D116" s="761">
        <f>L4</f>
        <v>20.733333333333334</v>
      </c>
      <c r="E116" s="774" t="s">
        <v>202</v>
      </c>
      <c r="F116" s="3631"/>
      <c r="G116" s="3632"/>
      <c r="H116" s="3631"/>
      <c r="I116" s="3632"/>
      <c r="J116" s="787">
        <v>500</v>
      </c>
      <c r="K116" s="772">
        <f t="shared" si="19"/>
        <v>10366.666666666668</v>
      </c>
      <c r="L116" s="779">
        <f t="shared" si="17"/>
        <v>10366.666666666668</v>
      </c>
      <c r="M116" s="3642"/>
      <c r="N116" s="778"/>
    </row>
    <row r="117" spans="1:15" x14ac:dyDescent="0.35">
      <c r="A117" s="773"/>
      <c r="B117" s="774"/>
      <c r="C117" s="775" t="s">
        <v>280</v>
      </c>
      <c r="D117" s="761">
        <f>L4</f>
        <v>20.733333333333334</v>
      </c>
      <c r="E117" s="774" t="s">
        <v>202</v>
      </c>
      <c r="F117" s="3631"/>
      <c r="G117" s="3632"/>
      <c r="H117" s="3631"/>
      <c r="I117" s="3632"/>
      <c r="J117" s="767">
        <v>50</v>
      </c>
      <c r="K117" s="772">
        <f t="shared" si="19"/>
        <v>1036.6666666666667</v>
      </c>
      <c r="L117" s="769">
        <f t="shared" si="17"/>
        <v>1036.6666666666667</v>
      </c>
      <c r="M117" s="3642"/>
      <c r="N117" s="778"/>
    </row>
    <row r="118" spans="1:15" ht="15.75" customHeight="1" x14ac:dyDescent="0.35">
      <c r="A118" s="773"/>
      <c r="B118" s="774"/>
      <c r="C118" s="810" t="s">
        <v>281</v>
      </c>
      <c r="D118" s="821">
        <v>0</v>
      </c>
      <c r="E118" s="792" t="s">
        <v>199</v>
      </c>
      <c r="F118" s="3633"/>
      <c r="G118" s="3634"/>
      <c r="H118" s="3633"/>
      <c r="I118" s="3634"/>
      <c r="J118" s="420">
        <v>0</v>
      </c>
      <c r="K118" s="772">
        <f t="shared" si="19"/>
        <v>0</v>
      </c>
      <c r="L118" s="421">
        <f t="shared" si="17"/>
        <v>0</v>
      </c>
      <c r="M118" s="3643"/>
      <c r="N118" s="819"/>
    </row>
    <row r="119" spans="1:15" ht="15.75" customHeight="1" x14ac:dyDescent="0.35">
      <c r="A119" s="3644"/>
      <c r="B119" s="3645"/>
      <c r="C119" s="813" t="s">
        <v>282</v>
      </c>
      <c r="D119" s="798"/>
      <c r="E119" s="799"/>
      <c r="F119" s="799"/>
      <c r="G119" s="799"/>
      <c r="H119" s="799"/>
      <c r="I119" s="799"/>
      <c r="J119" s="799"/>
      <c r="K119" s="799"/>
      <c r="L119" s="801">
        <f>SUM(L120:L125)</f>
        <v>0</v>
      </c>
      <c r="M119" s="801"/>
      <c r="N119" s="801"/>
    </row>
    <row r="120" spans="1:15" x14ac:dyDescent="0.35">
      <c r="A120" s="587"/>
      <c r="B120" s="586"/>
      <c r="C120" s="588" t="s">
        <v>283</v>
      </c>
      <c r="D120" s="415">
        <v>0</v>
      </c>
      <c r="E120" s="586" t="s">
        <v>176</v>
      </c>
      <c r="F120" s="3629"/>
      <c r="G120" s="3630"/>
      <c r="H120" s="3629"/>
      <c r="I120" s="3630"/>
      <c r="J120" s="589">
        <v>350</v>
      </c>
      <c r="K120" s="590">
        <f t="shared" ref="K120:K125" si="20">SUM(D120*J120)</f>
        <v>0</v>
      </c>
      <c r="L120" s="591">
        <f t="shared" ref="L120:L125" si="21">SUM(G120+I120+K120)</f>
        <v>0</v>
      </c>
      <c r="M120" s="3641"/>
      <c r="N120" s="592" t="s">
        <v>284</v>
      </c>
    </row>
    <row r="121" spans="1:15" x14ac:dyDescent="0.35">
      <c r="A121" s="773"/>
      <c r="B121" s="774"/>
      <c r="C121" s="775" t="s">
        <v>285</v>
      </c>
      <c r="D121" s="822">
        <v>0</v>
      </c>
      <c r="E121" s="774" t="s">
        <v>176</v>
      </c>
      <c r="F121" s="3631"/>
      <c r="G121" s="3632"/>
      <c r="H121" s="3631"/>
      <c r="I121" s="3632"/>
      <c r="J121" s="767">
        <v>400</v>
      </c>
      <c r="K121" s="768">
        <f t="shared" si="20"/>
        <v>0</v>
      </c>
      <c r="L121" s="769">
        <f t="shared" si="21"/>
        <v>0</v>
      </c>
      <c r="M121" s="3642"/>
      <c r="N121" s="823" t="s">
        <v>284</v>
      </c>
    </row>
    <row r="122" spans="1:15" x14ac:dyDescent="0.35">
      <c r="A122" s="765"/>
      <c r="B122" s="766"/>
      <c r="C122" s="760" t="s">
        <v>286</v>
      </c>
      <c r="D122" s="761">
        <f>K6</f>
        <v>0</v>
      </c>
      <c r="E122" s="766" t="s">
        <v>176</v>
      </c>
      <c r="F122" s="3631"/>
      <c r="G122" s="3632"/>
      <c r="H122" s="3631"/>
      <c r="I122" s="3632"/>
      <c r="J122" s="787">
        <v>500</v>
      </c>
      <c r="K122" s="772">
        <f t="shared" si="20"/>
        <v>0</v>
      </c>
      <c r="L122" s="779">
        <f t="shared" si="21"/>
        <v>0</v>
      </c>
      <c r="M122" s="3642"/>
      <c r="N122" s="808" t="s">
        <v>284</v>
      </c>
    </row>
    <row r="123" spans="1:15" x14ac:dyDescent="0.35">
      <c r="A123" s="773"/>
      <c r="B123" s="774"/>
      <c r="C123" s="775" t="s">
        <v>287</v>
      </c>
      <c r="D123" s="761">
        <f>K4</f>
        <v>88.857142857142861</v>
      </c>
      <c r="E123" s="774" t="s">
        <v>176</v>
      </c>
      <c r="F123" s="3631"/>
      <c r="G123" s="3632"/>
      <c r="H123" s="3631"/>
      <c r="I123" s="3632"/>
      <c r="J123" s="767">
        <v>0</v>
      </c>
      <c r="K123" s="772">
        <f t="shared" si="20"/>
        <v>0</v>
      </c>
      <c r="L123" s="779">
        <f t="shared" si="21"/>
        <v>0</v>
      </c>
      <c r="M123" s="3642"/>
      <c r="N123" s="815"/>
    </row>
    <row r="124" spans="1:15" x14ac:dyDescent="0.35">
      <c r="A124" s="773"/>
      <c r="B124" s="774">
        <v>17300</v>
      </c>
      <c r="C124" s="775" t="s">
        <v>288</v>
      </c>
      <c r="D124" s="761">
        <v>0</v>
      </c>
      <c r="E124" s="774" t="s">
        <v>176</v>
      </c>
      <c r="F124" s="3631"/>
      <c r="G124" s="3632"/>
      <c r="H124" s="3631"/>
      <c r="I124" s="3632"/>
      <c r="J124" s="767">
        <f>65*8</f>
        <v>520</v>
      </c>
      <c r="K124" s="772">
        <f t="shared" si="20"/>
        <v>0</v>
      </c>
      <c r="L124" s="779">
        <f t="shared" si="21"/>
        <v>0</v>
      </c>
      <c r="M124" s="3642"/>
      <c r="N124" s="815"/>
    </row>
    <row r="125" spans="1:15" ht="15.75" customHeight="1" x14ac:dyDescent="0.35">
      <c r="A125" s="791"/>
      <c r="B125" s="792"/>
      <c r="C125" s="810" t="s">
        <v>289</v>
      </c>
      <c r="D125" s="419">
        <v>0</v>
      </c>
      <c r="E125" s="792" t="s">
        <v>245</v>
      </c>
      <c r="F125" s="3633"/>
      <c r="G125" s="3634"/>
      <c r="H125" s="3633"/>
      <c r="I125" s="3634"/>
      <c r="J125" s="824">
        <v>0.5</v>
      </c>
      <c r="K125" s="418">
        <f t="shared" si="20"/>
        <v>0</v>
      </c>
      <c r="L125" s="789">
        <f t="shared" si="21"/>
        <v>0</v>
      </c>
      <c r="M125" s="3643"/>
      <c r="N125" s="817"/>
      <c r="O125" t="s">
        <v>290</v>
      </c>
    </row>
    <row r="126" spans="1:15" ht="15.75" customHeight="1" x14ac:dyDescent="0.35">
      <c r="A126" s="3644"/>
      <c r="B126" s="3645"/>
      <c r="C126" s="813" t="s">
        <v>291</v>
      </c>
      <c r="D126" s="798"/>
      <c r="E126" s="799"/>
      <c r="F126" s="799"/>
      <c r="G126" s="799"/>
      <c r="H126" s="799"/>
      <c r="I126" s="799"/>
      <c r="J126" s="799"/>
      <c r="K126" s="799"/>
      <c r="L126" s="801">
        <f>SUM(L127:L134)</f>
        <v>47146.666666666672</v>
      </c>
      <c r="M126" s="801"/>
      <c r="N126" s="801"/>
    </row>
    <row r="127" spans="1:15" ht="15" customHeight="1" x14ac:dyDescent="0.35">
      <c r="A127" s="773"/>
      <c r="B127" s="774">
        <v>13200</v>
      </c>
      <c r="C127" s="775" t="s">
        <v>292</v>
      </c>
      <c r="D127" s="761">
        <v>1</v>
      </c>
      <c r="E127" s="774" t="s">
        <v>215</v>
      </c>
      <c r="F127" s="3631"/>
      <c r="G127" s="3632"/>
      <c r="H127" s="3631"/>
      <c r="I127" s="3632"/>
      <c r="J127" s="767">
        <v>10000</v>
      </c>
      <c r="K127" s="772">
        <f t="shared" ref="K127:K134" si="22">SUM(D127*J127)</f>
        <v>10000</v>
      </c>
      <c r="L127" s="779">
        <f t="shared" ref="L127:L134" si="23">SUM(G127+I127+K127)</f>
        <v>10000</v>
      </c>
      <c r="M127" s="3642"/>
      <c r="N127" s="825" t="s">
        <v>293</v>
      </c>
    </row>
    <row r="128" spans="1:15" ht="15" customHeight="1" x14ac:dyDescent="0.35">
      <c r="A128" s="773"/>
      <c r="B128" s="774">
        <v>13200</v>
      </c>
      <c r="C128" s="775" t="s">
        <v>294</v>
      </c>
      <c r="D128" s="761">
        <v>20</v>
      </c>
      <c r="E128" s="774" t="s">
        <v>202</v>
      </c>
      <c r="F128" s="3631"/>
      <c r="G128" s="3632"/>
      <c r="H128" s="3631"/>
      <c r="I128" s="3632"/>
      <c r="J128" s="767">
        <v>1650</v>
      </c>
      <c r="K128" s="826">
        <f t="shared" si="22"/>
        <v>33000</v>
      </c>
      <c r="L128" s="779">
        <f t="shared" si="23"/>
        <v>33000</v>
      </c>
      <c r="M128" s="3642"/>
      <c r="N128" s="825" t="s">
        <v>295</v>
      </c>
    </row>
    <row r="129" spans="1:14" ht="15" customHeight="1" x14ac:dyDescent="0.35">
      <c r="A129" s="773"/>
      <c r="B129" s="774">
        <v>13200</v>
      </c>
      <c r="C129" s="775" t="s">
        <v>296</v>
      </c>
      <c r="D129" s="761">
        <v>0</v>
      </c>
      <c r="E129" s="774" t="s">
        <v>202</v>
      </c>
      <c r="F129" s="3631"/>
      <c r="G129" s="3632"/>
      <c r="H129" s="3631"/>
      <c r="I129" s="3632"/>
      <c r="J129" s="767">
        <v>300</v>
      </c>
      <c r="K129" s="772">
        <f t="shared" si="22"/>
        <v>0</v>
      </c>
      <c r="L129" s="779">
        <f t="shared" si="23"/>
        <v>0</v>
      </c>
      <c r="M129" s="3642"/>
      <c r="N129" s="825" t="s">
        <v>297</v>
      </c>
    </row>
    <row r="130" spans="1:14" x14ac:dyDescent="0.35">
      <c r="A130" s="773"/>
      <c r="B130" s="774">
        <v>13233</v>
      </c>
      <c r="C130" s="775" t="s">
        <v>298</v>
      </c>
      <c r="D130" s="761">
        <f>L4</f>
        <v>20.733333333333334</v>
      </c>
      <c r="E130" s="774" t="s">
        <v>202</v>
      </c>
      <c r="F130" s="3631"/>
      <c r="G130" s="3632"/>
      <c r="H130" s="3631"/>
      <c r="I130" s="3632"/>
      <c r="J130" s="767">
        <v>100</v>
      </c>
      <c r="K130" s="772">
        <f t="shared" si="22"/>
        <v>2073.3333333333335</v>
      </c>
      <c r="L130" s="779">
        <f t="shared" si="23"/>
        <v>2073.3333333333335</v>
      </c>
      <c r="M130" s="3642"/>
      <c r="N130" s="815"/>
    </row>
    <row r="131" spans="1:14" x14ac:dyDescent="0.35">
      <c r="A131" s="773"/>
      <c r="B131" s="774">
        <v>13233</v>
      </c>
      <c r="C131" s="775" t="s">
        <v>299</v>
      </c>
      <c r="D131" s="761">
        <f>L4</f>
        <v>20.733333333333334</v>
      </c>
      <c r="E131" s="774" t="s">
        <v>202</v>
      </c>
      <c r="F131" s="3631"/>
      <c r="G131" s="3632"/>
      <c r="H131" s="3631"/>
      <c r="I131" s="3632"/>
      <c r="J131" s="767">
        <v>100</v>
      </c>
      <c r="K131" s="772">
        <f t="shared" si="22"/>
        <v>2073.3333333333335</v>
      </c>
      <c r="L131" s="769">
        <f t="shared" si="23"/>
        <v>2073.3333333333335</v>
      </c>
      <c r="M131" s="3642"/>
      <c r="N131" s="815"/>
    </row>
    <row r="132" spans="1:14" x14ac:dyDescent="0.35">
      <c r="A132" s="773"/>
      <c r="B132" s="774"/>
      <c r="C132" s="775" t="s">
        <v>300</v>
      </c>
      <c r="D132" s="822">
        <v>0</v>
      </c>
      <c r="E132" s="774" t="s">
        <v>215</v>
      </c>
      <c r="F132" s="3631"/>
      <c r="G132" s="3632"/>
      <c r="H132" s="3631"/>
      <c r="I132" s="3632"/>
      <c r="J132" s="787">
        <v>2500</v>
      </c>
      <c r="K132" s="772">
        <f t="shared" si="22"/>
        <v>0</v>
      </c>
      <c r="L132" s="779">
        <f t="shared" si="23"/>
        <v>0</v>
      </c>
      <c r="M132" s="3642"/>
      <c r="N132" s="827"/>
    </row>
    <row r="133" spans="1:14" x14ac:dyDescent="0.35">
      <c r="A133" s="773"/>
      <c r="B133" s="774">
        <v>13233</v>
      </c>
      <c r="C133" s="760" t="s">
        <v>301</v>
      </c>
      <c r="D133" s="761">
        <v>0</v>
      </c>
      <c r="E133" s="766" t="s">
        <v>215</v>
      </c>
      <c r="F133" s="3631"/>
      <c r="G133" s="3632"/>
      <c r="H133" s="3631"/>
      <c r="I133" s="3632"/>
      <c r="J133" s="767">
        <v>500</v>
      </c>
      <c r="K133" s="772">
        <f t="shared" si="22"/>
        <v>0</v>
      </c>
      <c r="L133" s="769">
        <f t="shared" si="23"/>
        <v>0</v>
      </c>
      <c r="M133" s="3642"/>
      <c r="N133" s="827"/>
    </row>
    <row r="134" spans="1:14" ht="15.75" customHeight="1" x14ac:dyDescent="0.35">
      <c r="A134" s="773"/>
      <c r="B134" s="774"/>
      <c r="C134" s="780" t="s">
        <v>302</v>
      </c>
      <c r="D134" s="415">
        <v>0</v>
      </c>
      <c r="E134" s="781" t="s">
        <v>215</v>
      </c>
      <c r="F134" s="3633"/>
      <c r="G134" s="3634"/>
      <c r="H134" s="3633"/>
      <c r="I134" s="3634"/>
      <c r="J134" s="414">
        <v>0</v>
      </c>
      <c r="K134" s="772">
        <f t="shared" si="22"/>
        <v>0</v>
      </c>
      <c r="L134" s="425">
        <f t="shared" si="23"/>
        <v>0</v>
      </c>
      <c r="M134" s="3643"/>
      <c r="N134" s="827"/>
    </row>
    <row r="135" spans="1:14" ht="15.75" customHeight="1" x14ac:dyDescent="0.35">
      <c r="A135" s="3644"/>
      <c r="B135" s="3645"/>
      <c r="C135" s="813" t="s">
        <v>303</v>
      </c>
      <c r="D135" s="798"/>
      <c r="E135" s="799"/>
      <c r="F135" s="799"/>
      <c r="G135" s="799"/>
      <c r="H135" s="799"/>
      <c r="I135" s="799"/>
      <c r="J135" s="799"/>
      <c r="K135" s="799"/>
      <c r="L135" s="801">
        <f>SUM(L136:L140)</f>
        <v>3110</v>
      </c>
      <c r="M135" s="801"/>
      <c r="N135" s="801"/>
    </row>
    <row r="136" spans="1:14" x14ac:dyDescent="0.35">
      <c r="A136" s="773"/>
      <c r="B136" s="774"/>
      <c r="C136" s="760" t="s">
        <v>304</v>
      </c>
      <c r="D136" s="761">
        <v>0</v>
      </c>
      <c r="E136" s="766" t="s">
        <v>215</v>
      </c>
      <c r="F136" s="3629"/>
      <c r="G136" s="3630"/>
      <c r="H136" s="3629"/>
      <c r="I136" s="3630"/>
      <c r="J136" s="767">
        <v>1000</v>
      </c>
      <c r="K136" s="772">
        <f>SUM(D136*J136)</f>
        <v>0</v>
      </c>
      <c r="L136" s="779">
        <f>SUM(G136+I136+K136)</f>
        <v>0</v>
      </c>
      <c r="M136" s="3641"/>
      <c r="N136" s="764"/>
    </row>
    <row r="137" spans="1:14" x14ac:dyDescent="0.35">
      <c r="A137" s="773"/>
      <c r="B137" s="774">
        <v>10550</v>
      </c>
      <c r="C137" s="775" t="s">
        <v>305</v>
      </c>
      <c r="D137" s="761">
        <v>0</v>
      </c>
      <c r="E137" s="774" t="s">
        <v>215</v>
      </c>
      <c r="F137" s="3631"/>
      <c r="G137" s="3632"/>
      <c r="H137" s="3649"/>
      <c r="I137" s="3650"/>
      <c r="J137" s="767">
        <v>500</v>
      </c>
      <c r="K137" s="772">
        <f>SUM(D137*J137)</f>
        <v>0</v>
      </c>
      <c r="L137" s="779">
        <f>SUM(G137+I137+K137)</f>
        <v>0</v>
      </c>
      <c r="M137" s="3642"/>
      <c r="N137" s="778"/>
    </row>
    <row r="138" spans="1:14" x14ac:dyDescent="0.35">
      <c r="A138" s="773"/>
      <c r="B138" s="774"/>
      <c r="C138" s="775" t="s">
        <v>306</v>
      </c>
      <c r="D138" s="761">
        <v>0</v>
      </c>
      <c r="E138" s="774" t="s">
        <v>215</v>
      </c>
      <c r="F138" s="3631"/>
      <c r="G138" s="3632"/>
      <c r="H138" s="767">
        <v>0</v>
      </c>
      <c r="I138" s="772">
        <f>SUM(D138*H138)</f>
        <v>0</v>
      </c>
      <c r="J138" s="3651"/>
      <c r="K138" s="3652"/>
      <c r="L138" s="779">
        <f>SUM(G138+I138+K138)</f>
        <v>0</v>
      </c>
      <c r="M138" s="3642"/>
      <c r="N138" s="778"/>
    </row>
    <row r="139" spans="1:14" x14ac:dyDescent="0.35">
      <c r="A139" s="773"/>
      <c r="B139" s="774"/>
      <c r="C139" s="775" t="s">
        <v>307</v>
      </c>
      <c r="D139" s="761">
        <f>$L$4</f>
        <v>20.733333333333334</v>
      </c>
      <c r="E139" s="774" t="s">
        <v>202</v>
      </c>
      <c r="F139" s="3631"/>
      <c r="G139" s="3632"/>
      <c r="H139" s="767">
        <v>75</v>
      </c>
      <c r="I139" s="772">
        <f>SUM(D139*H139)</f>
        <v>1555</v>
      </c>
      <c r="J139" s="3631"/>
      <c r="K139" s="3632"/>
      <c r="L139" s="769">
        <f>SUM(G139+I139+K139)</f>
        <v>1555</v>
      </c>
      <c r="M139" s="3642"/>
      <c r="N139" s="778"/>
    </row>
    <row r="140" spans="1:14" ht="15.75" customHeight="1" x14ac:dyDescent="0.35">
      <c r="A140" s="773"/>
      <c r="B140" s="774"/>
      <c r="C140" s="780" t="s">
        <v>308</v>
      </c>
      <c r="D140" s="761">
        <f>$L$4</f>
        <v>20.733333333333334</v>
      </c>
      <c r="E140" s="781" t="s">
        <v>202</v>
      </c>
      <c r="F140" s="3633"/>
      <c r="G140" s="3634"/>
      <c r="H140" s="414">
        <v>75</v>
      </c>
      <c r="I140" s="772">
        <f>SUM(D140*H140)</f>
        <v>1555</v>
      </c>
      <c r="J140" s="3633"/>
      <c r="K140" s="3634"/>
      <c r="L140" s="425">
        <f>SUM(G140+I140+K140)</f>
        <v>1555</v>
      </c>
      <c r="M140" s="3643"/>
      <c r="N140" s="828"/>
    </row>
    <row r="141" spans="1:14" ht="15.75" customHeight="1" x14ac:dyDescent="0.35">
      <c r="A141" s="3644"/>
      <c r="B141" s="3645"/>
      <c r="C141" s="813" t="s">
        <v>309</v>
      </c>
      <c r="D141" s="798"/>
      <c r="E141" s="799"/>
      <c r="F141" s="799"/>
      <c r="G141" s="799"/>
      <c r="H141" s="799"/>
      <c r="I141" s="799"/>
      <c r="J141" s="799"/>
      <c r="K141" s="799"/>
      <c r="L141" s="801">
        <f>SUM(L142:L144)</f>
        <v>0</v>
      </c>
      <c r="M141" s="801"/>
      <c r="N141" s="801"/>
    </row>
    <row r="142" spans="1:14" x14ac:dyDescent="0.35">
      <c r="A142" s="773"/>
      <c r="B142" s="774"/>
      <c r="C142" s="775" t="s">
        <v>310</v>
      </c>
      <c r="D142" s="809">
        <v>0</v>
      </c>
      <c r="E142" s="774" t="s">
        <v>215</v>
      </c>
      <c r="F142" s="3631"/>
      <c r="G142" s="3632"/>
      <c r="H142" s="3631"/>
      <c r="I142" s="3632"/>
      <c r="J142" s="767">
        <v>0</v>
      </c>
      <c r="K142" s="772">
        <f>SUM(D142*J142)</f>
        <v>0</v>
      </c>
      <c r="L142" s="779">
        <f>SUM(G142+I142+K142)</f>
        <v>0</v>
      </c>
      <c r="M142" s="3641"/>
      <c r="N142" s="808" t="s">
        <v>311</v>
      </c>
    </row>
    <row r="143" spans="1:14" x14ac:dyDescent="0.35">
      <c r="A143" s="773"/>
      <c r="B143" s="774"/>
      <c r="C143" s="775" t="s">
        <v>312</v>
      </c>
      <c r="D143" s="829">
        <v>0</v>
      </c>
      <c r="E143" s="774" t="s">
        <v>199</v>
      </c>
      <c r="F143" s="3631"/>
      <c r="G143" s="3632"/>
      <c r="H143" s="3631"/>
      <c r="I143" s="3632"/>
      <c r="J143" s="767">
        <v>0</v>
      </c>
      <c r="K143" s="772">
        <f>SUM(D143*J143)</f>
        <v>0</v>
      </c>
      <c r="L143" s="769">
        <f>SUM(G143+I143+K143)</f>
        <v>0</v>
      </c>
      <c r="M143" s="3642"/>
      <c r="N143" s="808" t="s">
        <v>311</v>
      </c>
    </row>
    <row r="144" spans="1:14" ht="15.75" customHeight="1" x14ac:dyDescent="0.35">
      <c r="A144" s="773"/>
      <c r="B144" s="774"/>
      <c r="C144" s="780" t="s">
        <v>313</v>
      </c>
      <c r="D144" s="427">
        <v>0</v>
      </c>
      <c r="E144" s="428" t="s">
        <v>215</v>
      </c>
      <c r="F144" s="3633"/>
      <c r="G144" s="3634"/>
      <c r="H144" s="3633"/>
      <c r="I144" s="3634"/>
      <c r="J144" s="414">
        <v>0</v>
      </c>
      <c r="K144" s="772">
        <f>SUM(D144*J144)</f>
        <v>0</v>
      </c>
      <c r="L144" s="425">
        <f>SUM(G144+I144+K144)</f>
        <v>0</v>
      </c>
      <c r="M144" s="3643"/>
      <c r="N144" s="808" t="s">
        <v>311</v>
      </c>
    </row>
    <row r="145" spans="1:135" ht="15.75" customHeight="1" x14ac:dyDescent="0.35">
      <c r="A145" s="3644"/>
      <c r="B145" s="3645"/>
      <c r="C145" s="813" t="s">
        <v>314</v>
      </c>
      <c r="D145" s="798"/>
      <c r="E145" s="799"/>
      <c r="F145" s="799"/>
      <c r="G145" s="799"/>
      <c r="H145" s="799"/>
      <c r="I145" s="799"/>
      <c r="J145" s="799"/>
      <c r="K145" s="799"/>
      <c r="L145" s="801">
        <f>SUM(L146:L149)</f>
        <v>0</v>
      </c>
      <c r="M145" s="801"/>
      <c r="N145" s="801"/>
    </row>
    <row r="146" spans="1:135" x14ac:dyDescent="0.35">
      <c r="A146" s="574"/>
      <c r="B146" s="575"/>
      <c r="C146" s="581" t="s">
        <v>315</v>
      </c>
      <c r="D146" s="593">
        <v>0</v>
      </c>
      <c r="E146" s="575" t="s">
        <v>215</v>
      </c>
      <c r="F146" s="3629"/>
      <c r="G146" s="3630"/>
      <c r="H146" s="3629"/>
      <c r="I146" s="3630"/>
      <c r="J146" s="576">
        <v>0</v>
      </c>
      <c r="K146" s="577">
        <f>SUM(D146*J146)</f>
        <v>0</v>
      </c>
      <c r="L146" s="578">
        <f>SUM(G146+I146+K146)</f>
        <v>0</v>
      </c>
      <c r="M146" s="3641"/>
      <c r="N146" s="585" t="s">
        <v>311</v>
      </c>
    </row>
    <row r="147" spans="1:135" x14ac:dyDescent="0.35">
      <c r="A147" s="773"/>
      <c r="B147" s="774"/>
      <c r="C147" s="775" t="s">
        <v>316</v>
      </c>
      <c r="D147" s="809">
        <v>0</v>
      </c>
      <c r="E147" s="774" t="s">
        <v>215</v>
      </c>
      <c r="F147" s="3631"/>
      <c r="G147" s="3632"/>
      <c r="H147" s="3631"/>
      <c r="I147" s="3632"/>
      <c r="J147" s="767">
        <v>0</v>
      </c>
      <c r="K147" s="772">
        <f>SUM(D147*J147)</f>
        <v>0</v>
      </c>
      <c r="L147" s="779">
        <f>SUM(G147+I147+K147)</f>
        <v>0</v>
      </c>
      <c r="M147" s="3642"/>
      <c r="N147" s="808" t="s">
        <v>311</v>
      </c>
    </row>
    <row r="148" spans="1:135" x14ac:dyDescent="0.35">
      <c r="A148" s="773"/>
      <c r="B148" s="774"/>
      <c r="C148" s="775" t="s">
        <v>317</v>
      </c>
      <c r="D148" s="809">
        <v>0</v>
      </c>
      <c r="E148" s="774" t="s">
        <v>199</v>
      </c>
      <c r="F148" s="3631"/>
      <c r="G148" s="3632"/>
      <c r="H148" s="3631"/>
      <c r="I148" s="3632"/>
      <c r="J148" s="830">
        <v>0</v>
      </c>
      <c r="K148" s="772">
        <f>SUM(D148*J148)</f>
        <v>0</v>
      </c>
      <c r="L148" s="769">
        <f>SUM(G148+I148+K148)</f>
        <v>0</v>
      </c>
      <c r="M148" s="3642"/>
      <c r="N148" s="808" t="s">
        <v>311</v>
      </c>
    </row>
    <row r="149" spans="1:135" ht="15.75" customHeight="1" x14ac:dyDescent="0.35">
      <c r="A149" s="791"/>
      <c r="B149" s="792"/>
      <c r="C149" s="810" t="s">
        <v>318</v>
      </c>
      <c r="D149" s="419">
        <v>0</v>
      </c>
      <c r="E149" s="792" t="s">
        <v>215</v>
      </c>
      <c r="F149" s="3633"/>
      <c r="G149" s="3634"/>
      <c r="H149" s="3633"/>
      <c r="I149" s="3634"/>
      <c r="J149" s="795">
        <v>0</v>
      </c>
      <c r="K149" s="418">
        <f>SUM(D149*J149)</f>
        <v>0</v>
      </c>
      <c r="L149" s="421">
        <f>SUM(G149+I149+K149)</f>
        <v>0</v>
      </c>
      <c r="M149" s="3643"/>
      <c r="N149" s="831" t="s">
        <v>311</v>
      </c>
    </row>
    <row r="150" spans="1:135" ht="15.75" customHeight="1" x14ac:dyDescent="0.35">
      <c r="A150" s="3644"/>
      <c r="B150" s="3645"/>
      <c r="C150" s="813" t="s">
        <v>319</v>
      </c>
      <c r="D150" s="798"/>
      <c r="E150" s="799"/>
      <c r="F150" s="799"/>
      <c r="G150" s="799"/>
      <c r="H150" s="799"/>
      <c r="I150" s="799"/>
      <c r="J150" s="799"/>
      <c r="K150" s="799"/>
      <c r="L150" s="801">
        <f>SUM(L151:L154)</f>
        <v>75680.813333333339</v>
      </c>
      <c r="M150" s="801"/>
      <c r="N150" s="801"/>
    </row>
    <row r="151" spans="1:135" ht="15.75" customHeight="1" x14ac:dyDescent="0.35">
      <c r="A151" s="574"/>
      <c r="B151" s="575"/>
      <c r="C151" s="581" t="s">
        <v>320</v>
      </c>
      <c r="D151" s="593">
        <v>0</v>
      </c>
      <c r="E151" s="575" t="s">
        <v>202</v>
      </c>
      <c r="F151" s="3629"/>
      <c r="G151" s="3630"/>
      <c r="H151" s="3629"/>
      <c r="I151" s="3630"/>
      <c r="J151" s="576">
        <v>2000</v>
      </c>
      <c r="K151" s="577">
        <f>SUM(D151*J151)</f>
        <v>0</v>
      </c>
      <c r="L151" s="578">
        <f>SUM(G151+I151+K151)</f>
        <v>0</v>
      </c>
      <c r="M151" s="3641"/>
      <c r="N151" s="594"/>
      <c r="P151">
        <v>250</v>
      </c>
      <c r="Q151" t="s">
        <v>321</v>
      </c>
    </row>
    <row r="152" spans="1:135" ht="15.75" customHeight="1" x14ac:dyDescent="0.35">
      <c r="A152" s="773"/>
      <c r="B152" s="774"/>
      <c r="C152" s="775" t="s">
        <v>322</v>
      </c>
      <c r="D152" s="809">
        <v>0</v>
      </c>
      <c r="E152" s="575" t="s">
        <v>202</v>
      </c>
      <c r="F152" s="3631"/>
      <c r="G152" s="3632"/>
      <c r="H152" s="3631"/>
      <c r="I152" s="3632"/>
      <c r="J152" s="767">
        <v>1000</v>
      </c>
      <c r="K152" s="772">
        <f>SUM(D152*J152)</f>
        <v>0</v>
      </c>
      <c r="L152" s="779">
        <f>SUM(G152+I152+K152)</f>
        <v>0</v>
      </c>
      <c r="M152" s="3642"/>
      <c r="N152" s="815"/>
      <c r="P152">
        <v>125</v>
      </c>
      <c r="Q152" t="s">
        <v>323</v>
      </c>
      <c r="R152" t="s">
        <v>324</v>
      </c>
    </row>
    <row r="153" spans="1:135" ht="15.75" customHeight="1" x14ac:dyDescent="0.35">
      <c r="A153" s="773"/>
      <c r="B153" s="774"/>
      <c r="C153" s="775" t="s">
        <v>325</v>
      </c>
      <c r="D153" s="809">
        <v>0</v>
      </c>
      <c r="E153" s="575" t="s">
        <v>202</v>
      </c>
      <c r="F153" s="3631"/>
      <c r="G153" s="3632"/>
      <c r="H153" s="3631"/>
      <c r="I153" s="3632"/>
      <c r="J153" s="830">
        <f>2600*2</f>
        <v>5200</v>
      </c>
      <c r="K153" s="772">
        <f>SUM(D153*J153)</f>
        <v>0</v>
      </c>
      <c r="L153" s="769">
        <f>SUM(G153+I153+K153)</f>
        <v>0</v>
      </c>
      <c r="M153" s="3642"/>
      <c r="N153" s="815"/>
      <c r="P153">
        <v>60</v>
      </c>
      <c r="Q153" t="s">
        <v>326</v>
      </c>
    </row>
    <row r="154" spans="1:135" ht="15.75" customHeight="1" x14ac:dyDescent="0.35">
      <c r="A154" s="791"/>
      <c r="B154" s="792"/>
      <c r="C154" s="832" t="s">
        <v>327</v>
      </c>
      <c r="D154" s="419">
        <f>L4</f>
        <v>20.733333333333334</v>
      </c>
      <c r="E154" s="575" t="s">
        <v>202</v>
      </c>
      <c r="F154" s="3633"/>
      <c r="G154" s="3634"/>
      <c r="H154" s="3633"/>
      <c r="I154" s="3634"/>
      <c r="J154" s="795">
        <v>3650.2</v>
      </c>
      <c r="K154" s="418">
        <f>SUM(D154*J154)</f>
        <v>75680.813333333339</v>
      </c>
      <c r="L154" s="421">
        <f>SUM(G154+I154+K154)</f>
        <v>75680.813333333339</v>
      </c>
      <c r="M154" s="3643"/>
      <c r="N154" s="817"/>
    </row>
    <row r="155" spans="1:135" ht="15.75" customHeight="1" x14ac:dyDescent="0.35">
      <c r="A155" s="3644"/>
      <c r="B155" s="3645"/>
      <c r="C155" s="813" t="s">
        <v>327</v>
      </c>
      <c r="D155" s="798"/>
      <c r="E155" s="799"/>
      <c r="F155" s="799"/>
      <c r="G155" s="799"/>
      <c r="H155" s="799"/>
      <c r="I155" s="799"/>
      <c r="J155" s="799"/>
      <c r="K155" s="799"/>
      <c r="L155" s="801">
        <f>SUM(L156:L158)</f>
        <v>30000</v>
      </c>
      <c r="M155" s="801"/>
      <c r="N155" s="801"/>
    </row>
    <row r="156" spans="1:135" x14ac:dyDescent="0.35">
      <c r="A156" s="773"/>
      <c r="B156" s="774"/>
      <c r="C156" s="806" t="s">
        <v>328</v>
      </c>
      <c r="D156" s="761">
        <v>4</v>
      </c>
      <c r="E156" s="766" t="s">
        <v>199</v>
      </c>
      <c r="F156" s="3629"/>
      <c r="G156" s="3630"/>
      <c r="H156" s="3629"/>
      <c r="I156" s="3630"/>
      <c r="J156" s="787">
        <v>7500</v>
      </c>
      <c r="K156" s="772">
        <f>SUM(D156*J156)</f>
        <v>30000</v>
      </c>
      <c r="L156" s="779">
        <f>SUM(G156+I156+K156)</f>
        <v>30000</v>
      </c>
      <c r="M156" s="3641"/>
      <c r="N156" s="833"/>
    </row>
    <row r="157" spans="1:135" x14ac:dyDescent="0.35">
      <c r="A157" s="773"/>
      <c r="B157" s="774"/>
      <c r="C157" s="775" t="s">
        <v>329</v>
      </c>
      <c r="D157" s="761">
        <v>0</v>
      </c>
      <c r="E157" s="774" t="s">
        <v>215</v>
      </c>
      <c r="F157" s="3631"/>
      <c r="G157" s="3632"/>
      <c r="H157" s="3631"/>
      <c r="I157" s="3632"/>
      <c r="J157" s="767">
        <v>0</v>
      </c>
      <c r="K157" s="772">
        <f>SUM(D157*J157)</f>
        <v>0</v>
      </c>
      <c r="L157" s="779">
        <f>SUM(G157+I157+K157)</f>
        <v>0</v>
      </c>
      <c r="M157" s="3642"/>
      <c r="N157" s="815"/>
    </row>
    <row r="158" spans="1:135" ht="15.75" customHeight="1" x14ac:dyDescent="0.35">
      <c r="A158" s="773"/>
      <c r="B158" s="774"/>
      <c r="C158" s="775" t="s">
        <v>330</v>
      </c>
      <c r="D158" s="761">
        <v>0</v>
      </c>
      <c r="E158" s="774" t="s">
        <v>199</v>
      </c>
      <c r="F158" s="3631"/>
      <c r="G158" s="3632"/>
      <c r="H158" s="3631"/>
      <c r="I158" s="3632"/>
      <c r="J158" s="767">
        <v>0</v>
      </c>
      <c r="K158" s="772">
        <f>SUM(D158*J158)</f>
        <v>0</v>
      </c>
      <c r="L158" s="779">
        <f>SUM(G158+I158+K158)</f>
        <v>0</v>
      </c>
      <c r="M158" s="3642"/>
      <c r="N158" s="815"/>
    </row>
    <row r="159" spans="1:135" s="214" customFormat="1" ht="15.75" customHeight="1" x14ac:dyDescent="0.35">
      <c r="A159" s="3653"/>
      <c r="B159" s="3654"/>
      <c r="C159" s="429" t="s">
        <v>75</v>
      </c>
      <c r="D159" s="430"/>
      <c r="E159" s="431"/>
      <c r="F159" s="432"/>
      <c r="G159" s="834">
        <f>SUM(G10:G158)</f>
        <v>4145905.8130913405</v>
      </c>
      <c r="H159" s="432"/>
      <c r="I159" s="421">
        <f>SUM(I10:I158)</f>
        <v>329327.30433333339</v>
      </c>
      <c r="J159" s="432"/>
      <c r="K159" s="834">
        <f>SUM(K10:K158)</f>
        <v>260274.14666666673</v>
      </c>
      <c r="L159" s="421">
        <f>SUM(L9:L158)/2</f>
        <v>4735507.2640913418</v>
      </c>
      <c r="M159" s="835"/>
      <c r="N159" s="835"/>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row>
    <row r="160" spans="1:135" s="214" customFormat="1" x14ac:dyDescent="0.35">
      <c r="A160" s="196"/>
      <c r="B160" s="196"/>
      <c r="C160" s="433"/>
      <c r="D160" s="216"/>
      <c r="E160" s="213"/>
      <c r="F160" s="217"/>
      <c r="G160" s="217"/>
      <c r="H160" s="217"/>
      <c r="I160" s="217"/>
      <c r="J160" s="217"/>
      <c r="K160" s="217"/>
      <c r="L160" s="217"/>
      <c r="M160" s="217"/>
      <c r="N160" s="101"/>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row>
    <row r="161" spans="1:24" s="214" customFormat="1" ht="15.75" customHeight="1" x14ac:dyDescent="0.35">
      <c r="A161" s="196"/>
      <c r="B161" s="196"/>
      <c r="C161" s="433"/>
      <c r="D161" s="216"/>
      <c r="E161" s="213"/>
      <c r="F161" s="217"/>
      <c r="G161" s="217"/>
      <c r="H161" s="217"/>
      <c r="I161" s="217"/>
      <c r="J161" s="3655" t="s">
        <v>331</v>
      </c>
      <c r="K161" s="3656"/>
      <c r="L161" s="836">
        <f>G159</f>
        <v>4145905.8130913405</v>
      </c>
      <c r="M161" s="101">
        <f>L161/L4</f>
        <v>199963.302882219</v>
      </c>
      <c r="O161"/>
      <c r="X161"/>
    </row>
    <row r="162" spans="1:24" s="214" customFormat="1" ht="15.75" customHeight="1" x14ac:dyDescent="0.35">
      <c r="A162" s="196"/>
      <c r="B162" s="196"/>
      <c r="D162" s="216"/>
      <c r="E162" s="213"/>
      <c r="F162" s="217"/>
      <c r="G162" s="217"/>
      <c r="H162" s="217"/>
      <c r="I162" s="217"/>
      <c r="J162" s="3657" t="s">
        <v>332</v>
      </c>
      <c r="K162" s="3658"/>
      <c r="L162" s="837">
        <f>I159+K159</f>
        <v>589601.45100000012</v>
      </c>
      <c r="M162" s="101">
        <f>L162/L4</f>
        <v>28437.369019292608</v>
      </c>
      <c r="O162"/>
      <c r="X162"/>
    </row>
    <row r="163" spans="1:24" s="214" customFormat="1" ht="15" customHeight="1" x14ac:dyDescent="0.35">
      <c r="A163" s="196"/>
      <c r="B163" s="196"/>
      <c r="D163" s="216"/>
      <c r="E163" s="213"/>
      <c r="F163" s="217"/>
      <c r="G163" s="217"/>
      <c r="H163" s="217"/>
      <c r="I163" s="217"/>
      <c r="J163" s="3659" t="s">
        <v>333</v>
      </c>
      <c r="K163" s="3660"/>
      <c r="L163" s="838">
        <f>SUM(L161:L162)</f>
        <v>4735507.2640913408</v>
      </c>
      <c r="M163" s="101">
        <f>L163/L4</f>
        <v>228400.67190151161</v>
      </c>
      <c r="N163" t="s">
        <v>334</v>
      </c>
      <c r="O163"/>
      <c r="X163"/>
    </row>
    <row r="164" spans="1:24" s="214" customFormat="1" x14ac:dyDescent="0.35">
      <c r="A164" s="196"/>
      <c r="B164" s="196"/>
      <c r="D164" s="216"/>
      <c r="E164" s="213"/>
      <c r="F164" s="217"/>
      <c r="G164" s="217"/>
      <c r="H164" s="217"/>
      <c r="I164" s="217"/>
      <c r="J164" s="217"/>
      <c r="K164" s="217"/>
      <c r="L164" s="217">
        <f>L159-L163</f>
        <v>0</v>
      </c>
      <c r="M164" s="101"/>
      <c r="N164" s="101"/>
      <c r="O164"/>
      <c r="X164"/>
    </row>
    <row r="165" spans="1:24" s="214" customFormat="1" x14ac:dyDescent="0.35">
      <c r="A165" s="196"/>
      <c r="B165" s="196"/>
      <c r="D165" s="216"/>
      <c r="E165" s="213"/>
      <c r="F165" s="217"/>
      <c r="G165" s="217"/>
      <c r="H165" s="217"/>
      <c r="I165" s="217"/>
      <c r="J165" s="217"/>
      <c r="K165" s="217"/>
      <c r="L165" s="217"/>
      <c r="M165" s="386">
        <v>43206</v>
      </c>
      <c r="N165" s="101"/>
      <c r="O165"/>
      <c r="X165"/>
    </row>
    <row r="166" spans="1:24" s="214" customFormat="1" x14ac:dyDescent="0.35">
      <c r="A166" s="196"/>
      <c r="B166" s="196"/>
      <c r="D166" s="216"/>
      <c r="E166" s="213"/>
      <c r="F166" s="217"/>
      <c r="G166" s="217"/>
      <c r="H166" s="217"/>
      <c r="I166" s="217"/>
      <c r="J166" s="217"/>
      <c r="K166" s="217"/>
      <c r="L166" s="217"/>
      <c r="M166" s="520">
        <f>M163+M165</f>
        <v>271606.67190151161</v>
      </c>
      <c r="N166" s="101"/>
      <c r="O166"/>
      <c r="X166"/>
    </row>
    <row r="167" spans="1:24" s="214" customFormat="1" x14ac:dyDescent="0.35">
      <c r="A167" s="196"/>
      <c r="B167" s="196"/>
      <c r="D167" s="216"/>
      <c r="E167" s="213"/>
      <c r="F167" s="217"/>
      <c r="G167" s="217"/>
      <c r="H167" s="217"/>
      <c r="I167" s="217"/>
      <c r="J167" s="217"/>
      <c r="K167" s="217"/>
      <c r="L167" s="217"/>
      <c r="M167" s="217"/>
      <c r="N167" s="101"/>
      <c r="O167"/>
      <c r="X167"/>
    </row>
    <row r="168" spans="1:24" s="214" customFormat="1" x14ac:dyDescent="0.35">
      <c r="A168" s="196"/>
      <c r="B168" s="196"/>
      <c r="D168" s="216"/>
      <c r="E168" s="213"/>
      <c r="F168" s="217"/>
      <c r="G168" s="217"/>
      <c r="H168" s="217"/>
      <c r="I168" s="217"/>
      <c r="J168" s="217"/>
      <c r="K168" s="217"/>
      <c r="L168" s="217"/>
      <c r="M168" s="217"/>
      <c r="N168" s="101"/>
      <c r="O168"/>
      <c r="X168"/>
    </row>
    <row r="169" spans="1:24" s="214" customFormat="1" x14ac:dyDescent="0.35">
      <c r="A169" s="196"/>
      <c r="B169" s="196"/>
      <c r="D169" s="216"/>
      <c r="E169" s="213"/>
      <c r="F169" s="217"/>
      <c r="G169" s="217"/>
      <c r="H169" s="217"/>
      <c r="I169" s="217"/>
      <c r="J169" s="217"/>
      <c r="K169" s="217"/>
      <c r="L169" s="217"/>
      <c r="M169" s="217"/>
      <c r="N169" s="101"/>
      <c r="O169"/>
    </row>
    <row r="170" spans="1:24" s="214" customFormat="1" x14ac:dyDescent="0.35">
      <c r="A170" s="196"/>
      <c r="B170" s="196"/>
      <c r="D170" s="216"/>
      <c r="E170" s="213"/>
      <c r="F170" s="217"/>
      <c r="G170" s="217"/>
      <c r="H170" s="217"/>
      <c r="I170" s="217"/>
      <c r="J170" s="217"/>
      <c r="K170" s="217"/>
      <c r="L170" s="217"/>
      <c r="M170" s="217"/>
      <c r="N170" s="101"/>
      <c r="O170"/>
    </row>
    <row r="171" spans="1:24" s="214" customFormat="1" x14ac:dyDescent="0.35">
      <c r="A171" s="196"/>
      <c r="B171" s="196"/>
      <c r="D171" s="216"/>
      <c r="E171" s="213"/>
      <c r="F171" s="217"/>
      <c r="G171" s="217"/>
      <c r="H171" s="217"/>
      <c r="I171" s="217"/>
      <c r="J171" s="217"/>
      <c r="K171" s="217"/>
      <c r="L171" s="217"/>
      <c r="M171" s="217"/>
      <c r="N171" s="101"/>
      <c r="O171"/>
    </row>
    <row r="172" spans="1:24" s="214" customFormat="1" x14ac:dyDescent="0.35">
      <c r="A172" s="196"/>
      <c r="B172" s="196"/>
      <c r="D172" s="216"/>
      <c r="E172" s="213"/>
      <c r="F172" s="217"/>
      <c r="G172" s="217"/>
      <c r="H172" s="217"/>
      <c r="I172" s="217"/>
      <c r="J172" s="217"/>
      <c r="K172" s="217"/>
      <c r="L172" s="217"/>
      <c r="M172" s="217"/>
      <c r="N172" s="101"/>
      <c r="O172"/>
    </row>
    <row r="173" spans="1:24" s="214" customFormat="1" x14ac:dyDescent="0.35">
      <c r="A173" s="196"/>
      <c r="B173" s="196"/>
      <c r="D173" s="216"/>
      <c r="E173" s="213"/>
      <c r="F173" s="217"/>
      <c r="G173" s="217"/>
      <c r="H173" s="217"/>
      <c r="I173" s="217"/>
      <c r="J173" s="217"/>
      <c r="K173" s="217"/>
      <c r="L173" s="217"/>
      <c r="M173" s="217"/>
      <c r="N173" s="101"/>
      <c r="O173"/>
    </row>
    <row r="174" spans="1:24" s="214" customFormat="1" x14ac:dyDescent="0.35">
      <c r="A174" s="196"/>
      <c r="B174" s="196"/>
      <c r="D174" s="216"/>
      <c r="E174" s="213"/>
      <c r="F174" s="217"/>
      <c r="G174" s="217"/>
      <c r="H174" s="217"/>
      <c r="I174" s="217"/>
      <c r="J174" s="217"/>
      <c r="K174" s="217"/>
      <c r="L174" s="217"/>
      <c r="M174" s="217"/>
      <c r="N174" s="101"/>
      <c r="O174"/>
    </row>
    <row r="175" spans="1:24" s="214" customFormat="1" x14ac:dyDescent="0.35">
      <c r="A175" s="196"/>
      <c r="B175" s="196"/>
      <c r="D175" s="216"/>
      <c r="E175" s="213"/>
      <c r="F175" s="217"/>
      <c r="G175" s="217"/>
      <c r="H175" s="217"/>
      <c r="I175" s="217"/>
      <c r="J175" s="217"/>
      <c r="K175" s="217"/>
      <c r="L175" s="217"/>
      <c r="M175" s="217"/>
      <c r="N175" s="101"/>
      <c r="O175"/>
    </row>
    <row r="176" spans="1:24" s="214" customFormat="1" x14ac:dyDescent="0.35">
      <c r="A176" s="196"/>
      <c r="B176" s="196"/>
      <c r="D176" s="216"/>
      <c r="E176" s="213"/>
      <c r="F176" s="217"/>
      <c r="G176" s="217"/>
      <c r="H176" s="217"/>
      <c r="I176" s="217"/>
      <c r="J176" s="217"/>
      <c r="K176" s="217"/>
      <c r="L176" s="217"/>
      <c r="M176" s="217"/>
      <c r="N176" s="101"/>
      <c r="O176"/>
    </row>
    <row r="177" spans="1:24" s="214" customFormat="1" x14ac:dyDescent="0.35">
      <c r="A177" s="196"/>
      <c r="B177" s="196"/>
      <c r="D177" s="216"/>
      <c r="E177" s="213"/>
      <c r="F177" s="217"/>
      <c r="G177" s="217"/>
      <c r="H177" s="217"/>
      <c r="I177" s="217"/>
      <c r="J177" s="217"/>
      <c r="K177" s="217"/>
      <c r="L177" s="217"/>
      <c r="M177" s="217"/>
      <c r="N177" s="101"/>
      <c r="O177"/>
    </row>
    <row r="178" spans="1:24" s="214" customFormat="1" x14ac:dyDescent="0.35">
      <c r="A178" s="196"/>
      <c r="B178" s="196"/>
      <c r="D178" s="216"/>
      <c r="E178" s="213"/>
      <c r="F178" s="217"/>
      <c r="G178" s="217"/>
      <c r="H178" s="217"/>
      <c r="I178" s="217"/>
      <c r="J178" s="217"/>
      <c r="K178" s="217"/>
      <c r="L178" s="217"/>
      <c r="M178" s="217"/>
      <c r="N178" s="101"/>
      <c r="O178"/>
    </row>
    <row r="179" spans="1:24" s="214" customFormat="1" x14ac:dyDescent="0.35">
      <c r="A179" s="196"/>
      <c r="B179" s="196"/>
      <c r="D179" s="216"/>
      <c r="E179" s="213"/>
      <c r="F179" s="217"/>
      <c r="G179" s="217"/>
      <c r="H179" s="217"/>
      <c r="I179" s="217"/>
      <c r="J179" s="217"/>
      <c r="K179" s="217"/>
      <c r="L179" s="217"/>
      <c r="M179" s="217"/>
      <c r="N179" s="101"/>
      <c r="O179"/>
    </row>
    <row r="180" spans="1:24" s="214" customFormat="1" x14ac:dyDescent="0.35">
      <c r="A180" s="196"/>
      <c r="B180" s="196"/>
      <c r="D180" s="216"/>
      <c r="E180" s="213"/>
      <c r="F180" s="217"/>
      <c r="G180" s="217"/>
      <c r="H180" s="217"/>
      <c r="I180" s="217"/>
      <c r="J180" s="217"/>
      <c r="K180" s="217"/>
      <c r="L180" s="217"/>
      <c r="M180" s="217"/>
      <c r="N180" s="101"/>
      <c r="O180"/>
    </row>
    <row r="181" spans="1:24" s="214" customFormat="1" x14ac:dyDescent="0.35">
      <c r="A181" s="196"/>
      <c r="B181" s="196"/>
      <c r="D181" s="216"/>
      <c r="E181" s="213"/>
      <c r="F181" s="217"/>
      <c r="G181" s="217"/>
      <c r="H181" s="217"/>
      <c r="I181" s="217"/>
      <c r="J181" s="217"/>
      <c r="K181" s="217"/>
      <c r="L181" s="217"/>
      <c r="M181" s="217"/>
      <c r="N181" s="101"/>
      <c r="O181"/>
    </row>
    <row r="182" spans="1:24" s="214" customFormat="1" x14ac:dyDescent="0.35">
      <c r="A182" s="196"/>
      <c r="B182" s="196"/>
      <c r="D182" s="216"/>
      <c r="E182" s="213"/>
      <c r="F182" s="217"/>
      <c r="G182" s="217"/>
      <c r="H182" s="217"/>
      <c r="I182" s="217"/>
      <c r="J182" s="217"/>
      <c r="K182" s="217"/>
      <c r="L182" s="217"/>
      <c r="M182" s="217"/>
      <c r="N182" s="101"/>
      <c r="O182"/>
    </row>
    <row r="183" spans="1:24" s="214" customFormat="1" x14ac:dyDescent="0.35">
      <c r="A183" s="196"/>
      <c r="B183" s="196"/>
      <c r="D183" s="216"/>
      <c r="E183" s="213"/>
      <c r="F183" s="217"/>
      <c r="G183" s="217"/>
      <c r="H183" s="217"/>
      <c r="I183" s="217"/>
      <c r="J183" s="217"/>
      <c r="K183" s="217"/>
      <c r="L183" s="217"/>
      <c r="M183" s="217"/>
      <c r="N183" s="101"/>
      <c r="O183"/>
    </row>
    <row r="184" spans="1:24" s="214" customFormat="1" x14ac:dyDescent="0.35">
      <c r="A184" s="196"/>
      <c r="B184" s="196"/>
      <c r="D184" s="216"/>
      <c r="E184" s="213"/>
      <c r="F184" s="217"/>
      <c r="G184" s="217"/>
      <c r="H184" s="217"/>
      <c r="I184" s="217"/>
      <c r="J184" s="217"/>
      <c r="K184" s="217"/>
      <c r="L184" s="217"/>
      <c r="M184" s="217"/>
      <c r="N184" s="101"/>
      <c r="O184"/>
    </row>
    <row r="185" spans="1:24" s="214" customFormat="1" x14ac:dyDescent="0.35">
      <c r="A185" s="196"/>
      <c r="B185" s="196"/>
      <c r="D185" s="216"/>
      <c r="E185" s="213"/>
      <c r="F185" s="101"/>
      <c r="G185" s="101"/>
      <c r="H185" s="101"/>
      <c r="I185" s="101"/>
      <c r="J185" s="101"/>
      <c r="K185" s="101"/>
      <c r="L185" s="217"/>
      <c r="M185" s="217"/>
      <c r="N185" s="101"/>
      <c r="O185"/>
    </row>
    <row r="186" spans="1:24" x14ac:dyDescent="0.35">
      <c r="X186" s="214"/>
    </row>
    <row r="187" spans="1:24" x14ac:dyDescent="0.35">
      <c r="X187" s="214"/>
    </row>
    <row r="188" spans="1:24" x14ac:dyDescent="0.35">
      <c r="X188" s="214"/>
    </row>
    <row r="189" spans="1:24" x14ac:dyDescent="0.35">
      <c r="X189" s="214"/>
    </row>
    <row r="190" spans="1:24" x14ac:dyDescent="0.35">
      <c r="X190" s="214"/>
    </row>
    <row r="191" spans="1:24" x14ac:dyDescent="0.35">
      <c r="X191" s="214"/>
    </row>
    <row r="192" spans="1:24" x14ac:dyDescent="0.35">
      <c r="X192" s="214"/>
    </row>
    <row r="193" spans="24:24" x14ac:dyDescent="0.35">
      <c r="X193" s="214"/>
    </row>
  </sheetData>
  <mergeCells count="80">
    <mergeCell ref="J161:K161"/>
    <mergeCell ref="J162:K162"/>
    <mergeCell ref="J163:K163"/>
    <mergeCell ref="A150:B150"/>
    <mergeCell ref="F151:G154"/>
    <mergeCell ref="H151:I154"/>
    <mergeCell ref="A155:B155"/>
    <mergeCell ref="F156:G158"/>
    <mergeCell ref="H156:I158"/>
    <mergeCell ref="M156:M158"/>
    <mergeCell ref="A159:B159"/>
    <mergeCell ref="F142:G144"/>
    <mergeCell ref="H142:I144"/>
    <mergeCell ref="M142:M144"/>
    <mergeCell ref="A145:B145"/>
    <mergeCell ref="M151:M154"/>
    <mergeCell ref="M101:M118"/>
    <mergeCell ref="A119:B119"/>
    <mergeCell ref="F146:G149"/>
    <mergeCell ref="H146:I149"/>
    <mergeCell ref="M146:M149"/>
    <mergeCell ref="A126:B126"/>
    <mergeCell ref="F127:G134"/>
    <mergeCell ref="H127:I134"/>
    <mergeCell ref="M127:M134"/>
    <mergeCell ref="A135:B135"/>
    <mergeCell ref="F136:G140"/>
    <mergeCell ref="H136:I137"/>
    <mergeCell ref="M136:M140"/>
    <mergeCell ref="J138:K140"/>
    <mergeCell ref="A141:B141"/>
    <mergeCell ref="A66:B66"/>
    <mergeCell ref="D66:L66"/>
    <mergeCell ref="F120:G125"/>
    <mergeCell ref="H120:I125"/>
    <mergeCell ref="M120:M125"/>
    <mergeCell ref="A82:B82"/>
    <mergeCell ref="F83:G95"/>
    <mergeCell ref="H83:I95"/>
    <mergeCell ref="M83:M95"/>
    <mergeCell ref="A96:B96"/>
    <mergeCell ref="F97:G99"/>
    <mergeCell ref="H97:I99"/>
    <mergeCell ref="M97:M99"/>
    <mergeCell ref="A100:B100"/>
    <mergeCell ref="F101:G118"/>
    <mergeCell ref="H101:I118"/>
    <mergeCell ref="A28:B28"/>
    <mergeCell ref="H29:I43"/>
    <mergeCell ref="J29:K43"/>
    <mergeCell ref="A44:B44"/>
    <mergeCell ref="F45:G65"/>
    <mergeCell ref="J45:K65"/>
    <mergeCell ref="Q4:R4"/>
    <mergeCell ref="F67:G81"/>
    <mergeCell ref="H67:I81"/>
    <mergeCell ref="H10:I27"/>
    <mergeCell ref="J10:K27"/>
    <mergeCell ref="M45:M65"/>
    <mergeCell ref="C7:C8"/>
    <mergeCell ref="D7:D8"/>
    <mergeCell ref="E7:E8"/>
    <mergeCell ref="Q7:R7"/>
    <mergeCell ref="Q8:R8"/>
    <mergeCell ref="A9:B9"/>
    <mergeCell ref="F5:G5"/>
    <mergeCell ref="Q5:R5"/>
    <mergeCell ref="F6:G6"/>
    <mergeCell ref="H6:I6"/>
    <mergeCell ref="J6:K6"/>
    <mergeCell ref="L6:L8"/>
    <mergeCell ref="A1:A8"/>
    <mergeCell ref="B1:B8"/>
    <mergeCell ref="C1:N2"/>
    <mergeCell ref="O1:X2"/>
    <mergeCell ref="C3:E6"/>
    <mergeCell ref="F3:G3"/>
    <mergeCell ref="M3:M8"/>
    <mergeCell ref="N3:N8"/>
    <mergeCell ref="F4:G4"/>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018DC-0492-439F-AF09-5AB6AAA204CF}">
  <dimension ref="A1:EE192"/>
  <sheetViews>
    <sheetView topLeftCell="A118" workbookViewId="0">
      <selection activeCell="O165" sqref="O165"/>
    </sheetView>
  </sheetViews>
  <sheetFormatPr defaultRowHeight="14.5" x14ac:dyDescent="0.35"/>
  <cols>
    <col min="1" max="1" width="3.26953125" style="196" bestFit="1" customWidth="1"/>
    <col min="2" max="2" width="5.81640625" style="196" customWidth="1"/>
    <col min="3" max="3" width="42.453125" customWidth="1"/>
    <col min="4" max="4" width="8.81640625" style="218" bestFit="1" customWidth="1"/>
    <col min="5" max="5" width="5.7265625" style="196" customWidth="1"/>
    <col min="6" max="6" width="9.81640625" style="101" bestFit="1" customWidth="1"/>
    <col min="7" max="7" width="14.81640625" style="101" bestFit="1" customWidth="1"/>
    <col min="8" max="8" width="14.26953125" style="101" customWidth="1"/>
    <col min="9" max="9" width="12.81640625" style="101" customWidth="1"/>
    <col min="10" max="10" width="13.26953125" style="101" customWidth="1"/>
    <col min="11" max="11" width="14" style="101" bestFit="1" customWidth="1"/>
    <col min="12" max="12" width="17.26953125" style="217" bestFit="1" customWidth="1"/>
    <col min="13" max="13" width="10.26953125" style="217" bestFit="1" customWidth="1"/>
    <col min="14" max="14" width="23.7265625" style="101" customWidth="1"/>
    <col min="15" max="15" width="19.81640625" customWidth="1"/>
    <col min="16" max="24" width="0" hidden="1" customWidth="1"/>
    <col min="26" max="27" width="9.1796875" bestFit="1" customWidth="1"/>
  </cols>
  <sheetData>
    <row r="1" spans="1:24" ht="15" customHeight="1" x14ac:dyDescent="0.35">
      <c r="A1" s="3591" t="s">
        <v>144</v>
      </c>
      <c r="B1" s="3594" t="s">
        <v>145</v>
      </c>
      <c r="C1" s="3597" t="s">
        <v>146</v>
      </c>
      <c r="D1" s="3598"/>
      <c r="E1" s="3598"/>
      <c r="F1" s="3598"/>
      <c r="G1" s="3598"/>
      <c r="H1" s="3598"/>
      <c r="I1" s="3598"/>
      <c r="J1" s="3598"/>
      <c r="K1" s="3598"/>
      <c r="L1" s="3598"/>
      <c r="M1" s="3598"/>
      <c r="N1" s="3599"/>
      <c r="O1" s="3603"/>
      <c r="P1" s="3604"/>
      <c r="Q1" s="3604"/>
      <c r="R1" s="3604"/>
      <c r="S1" s="3604"/>
      <c r="T1" s="3604"/>
      <c r="U1" s="3604"/>
      <c r="V1" s="3604"/>
      <c r="W1" s="3604"/>
      <c r="X1" s="3605"/>
    </row>
    <row r="2" spans="1:24" ht="15" customHeight="1" x14ac:dyDescent="0.35">
      <c r="A2" s="3592"/>
      <c r="B2" s="3595"/>
      <c r="C2" s="3600"/>
      <c r="D2" s="3601"/>
      <c r="E2" s="3601"/>
      <c r="F2" s="3601"/>
      <c r="G2" s="3601"/>
      <c r="H2" s="3601"/>
      <c r="I2" s="3601"/>
      <c r="J2" s="3601"/>
      <c r="K2" s="3601"/>
      <c r="L2" s="3601"/>
      <c r="M2" s="3601"/>
      <c r="N2" s="3602"/>
      <c r="O2" s="3606"/>
      <c r="P2" s="3607"/>
      <c r="Q2" s="3607"/>
      <c r="R2" s="3607"/>
      <c r="S2" s="3607"/>
      <c r="T2" s="3607"/>
      <c r="U2" s="3607"/>
      <c r="V2" s="3607"/>
      <c r="W2" s="3607"/>
      <c r="X2" s="3608"/>
    </row>
    <row r="3" spans="1:24" s="213" customFormat="1" ht="15" customHeight="1" x14ac:dyDescent="0.35">
      <c r="A3" s="3592"/>
      <c r="B3" s="3595"/>
      <c r="C3" s="3609" t="s">
        <v>147</v>
      </c>
      <c r="D3" s="3610"/>
      <c r="E3" s="3611"/>
      <c r="F3" s="3618" t="s">
        <v>148</v>
      </c>
      <c r="G3" s="3619"/>
      <c r="H3" s="573" t="s">
        <v>149</v>
      </c>
      <c r="I3" s="573" t="s">
        <v>150</v>
      </c>
      <c r="J3" s="573" t="s">
        <v>151</v>
      </c>
      <c r="K3" s="573" t="s">
        <v>152</v>
      </c>
      <c r="L3" s="572" t="s">
        <v>153</v>
      </c>
      <c r="M3" s="3620" t="s">
        <v>154</v>
      </c>
      <c r="N3" s="3588" t="s">
        <v>155</v>
      </c>
      <c r="O3" s="404"/>
      <c r="P3" s="405"/>
      <c r="Q3" s="406" t="s">
        <v>156</v>
      </c>
      <c r="X3" s="405"/>
    </row>
    <row r="4" spans="1:24" s="213" customFormat="1" ht="15" customHeight="1" x14ac:dyDescent="0.35">
      <c r="A4" s="3592"/>
      <c r="B4" s="3595"/>
      <c r="C4" s="3612"/>
      <c r="D4" s="3613"/>
      <c r="E4" s="3614"/>
      <c r="F4" s="3584" t="s">
        <v>147</v>
      </c>
      <c r="G4" s="3585"/>
      <c r="H4" s="750">
        <v>46049</v>
      </c>
      <c r="I4" s="750">
        <v>46671</v>
      </c>
      <c r="J4" s="751">
        <f>SUM(I4-H4)</f>
        <v>622</v>
      </c>
      <c r="K4" s="751">
        <f>SUM(J4/7)</f>
        <v>88.857142857142861</v>
      </c>
      <c r="L4" s="752">
        <f>SUM(J4/30)</f>
        <v>20.733333333333334</v>
      </c>
      <c r="M4" s="3621"/>
      <c r="N4" s="3589"/>
      <c r="O4" s="404"/>
      <c r="P4" s="405"/>
      <c r="Q4" s="3618" t="s">
        <v>148</v>
      </c>
      <c r="R4" s="3619"/>
      <c r="S4" s="573" t="s">
        <v>149</v>
      </c>
      <c r="T4" s="573" t="s">
        <v>150</v>
      </c>
      <c r="U4" s="573" t="s">
        <v>151</v>
      </c>
      <c r="V4" s="573" t="s">
        <v>152</v>
      </c>
      <c r="W4" s="572" t="s">
        <v>153</v>
      </c>
      <c r="X4" s="405"/>
    </row>
    <row r="5" spans="1:24" s="213" customFormat="1" ht="15" customHeight="1" x14ac:dyDescent="0.35">
      <c r="A5" s="3592"/>
      <c r="B5" s="3595"/>
      <c r="C5" s="3612"/>
      <c r="D5" s="3613"/>
      <c r="E5" s="3614"/>
      <c r="F5" s="3582" t="s">
        <v>157</v>
      </c>
      <c r="G5" s="3583"/>
      <c r="H5" s="753">
        <v>46675</v>
      </c>
      <c r="I5" s="753">
        <v>46736</v>
      </c>
      <c r="J5" s="754">
        <f>SUM(I5-H5)</f>
        <v>61</v>
      </c>
      <c r="K5" s="754">
        <f>SUM(J5/7)</f>
        <v>8.7142857142857135</v>
      </c>
      <c r="L5" s="755">
        <f>SUM(J5/30)</f>
        <v>2.0333333333333332</v>
      </c>
      <c r="M5" s="3621"/>
      <c r="N5" s="3589"/>
      <c r="O5" s="404"/>
      <c r="P5" s="405"/>
      <c r="Q5" s="3584" t="s">
        <v>147</v>
      </c>
      <c r="R5" s="3585"/>
      <c r="S5" s="750">
        <v>0</v>
      </c>
      <c r="T5" s="750">
        <v>0</v>
      </c>
      <c r="U5" s="751">
        <f>SUM(T5-S5)</f>
        <v>0</v>
      </c>
      <c r="V5" s="751">
        <f>SUM(U5/7)</f>
        <v>0</v>
      </c>
      <c r="W5" s="752">
        <f>SUM(U5/30)</f>
        <v>0</v>
      </c>
      <c r="X5" s="405"/>
    </row>
    <row r="6" spans="1:24" s="213" customFormat="1" ht="15" customHeight="1" x14ac:dyDescent="0.35">
      <c r="A6" s="3592"/>
      <c r="B6" s="3595"/>
      <c r="C6" s="3615"/>
      <c r="D6" s="3616"/>
      <c r="E6" s="3617"/>
      <c r="F6" s="3663" t="s">
        <v>158</v>
      </c>
      <c r="G6" s="3664"/>
      <c r="H6" s="3663" t="s">
        <v>159</v>
      </c>
      <c r="I6" s="3664"/>
      <c r="J6" s="3663" t="s">
        <v>160</v>
      </c>
      <c r="K6" s="3664"/>
      <c r="L6" s="3588" t="s">
        <v>75</v>
      </c>
      <c r="M6" s="3621"/>
      <c r="N6" s="3589"/>
      <c r="O6" s="404"/>
      <c r="P6" s="405"/>
      <c r="Q6" s="213" t="s">
        <v>161</v>
      </c>
      <c r="X6" s="405"/>
    </row>
    <row r="7" spans="1:24" s="214" customFormat="1" ht="15" customHeight="1" x14ac:dyDescent="0.35">
      <c r="A7" s="3592"/>
      <c r="B7" s="3595"/>
      <c r="C7" s="3623" t="s">
        <v>162</v>
      </c>
      <c r="D7" s="3625" t="s">
        <v>163</v>
      </c>
      <c r="E7" s="3627" t="s">
        <v>164</v>
      </c>
      <c r="F7" s="407" t="s">
        <v>165</v>
      </c>
      <c r="G7" s="408" t="s">
        <v>166</v>
      </c>
      <c r="H7" s="407" t="s">
        <v>165</v>
      </c>
      <c r="I7" s="408" t="s">
        <v>167</v>
      </c>
      <c r="J7" s="407" t="s">
        <v>165</v>
      </c>
      <c r="K7" s="408" t="s">
        <v>167</v>
      </c>
      <c r="L7" s="3589"/>
      <c r="M7" s="3621"/>
      <c r="N7" s="3589"/>
      <c r="O7" s="405" t="s">
        <v>168</v>
      </c>
      <c r="P7" s="409" t="s">
        <v>169</v>
      </c>
      <c r="Q7" s="3618" t="s">
        <v>148</v>
      </c>
      <c r="R7" s="3619"/>
      <c r="S7" s="573" t="s">
        <v>149</v>
      </c>
      <c r="T7" s="573" t="s">
        <v>150</v>
      </c>
      <c r="U7" s="573" t="s">
        <v>151</v>
      </c>
      <c r="V7" s="573" t="s">
        <v>152</v>
      </c>
      <c r="W7" s="572" t="s">
        <v>153</v>
      </c>
      <c r="X7" s="409" t="s">
        <v>170</v>
      </c>
    </row>
    <row r="8" spans="1:24" s="213" customFormat="1" ht="15" customHeight="1" x14ac:dyDescent="0.35">
      <c r="A8" s="3593"/>
      <c r="B8" s="3596"/>
      <c r="C8" s="3624"/>
      <c r="D8" s="3626"/>
      <c r="E8" s="3628"/>
      <c r="F8" s="411" t="s">
        <v>171</v>
      </c>
      <c r="G8" s="412" t="s">
        <v>172</v>
      </c>
      <c r="H8" s="411" t="s">
        <v>171</v>
      </c>
      <c r="I8" s="412" t="s">
        <v>173</v>
      </c>
      <c r="J8" s="411" t="s">
        <v>171</v>
      </c>
      <c r="K8" s="412" t="s">
        <v>173</v>
      </c>
      <c r="L8" s="3590"/>
      <c r="M8" s="3622"/>
      <c r="N8" s="3590"/>
      <c r="O8" s="410"/>
      <c r="P8" s="413"/>
      <c r="Q8" s="3584" t="s">
        <v>147</v>
      </c>
      <c r="R8" s="3585"/>
      <c r="S8" s="750">
        <v>0</v>
      </c>
      <c r="T8" s="750">
        <v>0</v>
      </c>
      <c r="U8" s="751">
        <f>SUM(T8-S8)</f>
        <v>0</v>
      </c>
      <c r="V8" s="751">
        <f>SUM(U8/7)</f>
        <v>0</v>
      </c>
      <c r="W8" s="752">
        <f>SUM(U8/30)</f>
        <v>0</v>
      </c>
      <c r="X8" s="413"/>
    </row>
    <row r="9" spans="1:24" s="214" customFormat="1" ht="15" customHeight="1" x14ac:dyDescent="0.35">
      <c r="A9" s="3661"/>
      <c r="B9" s="3662"/>
      <c r="C9" s="839" t="s">
        <v>174</v>
      </c>
      <c r="D9" s="840"/>
      <c r="E9" s="756"/>
      <c r="F9" s="756"/>
      <c r="G9" s="756"/>
      <c r="H9" s="756"/>
      <c r="I9" s="756"/>
      <c r="J9" s="756"/>
      <c r="K9" s="756"/>
      <c r="L9" s="757">
        <f>SUM(L10:L26)</f>
        <v>3567861.4010359938</v>
      </c>
      <c r="M9" s="757"/>
      <c r="N9" s="758"/>
      <c r="O9" s="759"/>
      <c r="P9" s="759"/>
      <c r="X9" s="759"/>
    </row>
    <row r="10" spans="1:24" ht="15" customHeight="1" x14ac:dyDescent="0.35">
      <c r="A10" s="574"/>
      <c r="B10" s="575"/>
      <c r="C10" s="760" t="s">
        <v>175</v>
      </c>
      <c r="D10" s="761">
        <f t="shared" ref="D10:D25" si="0">$K$4</f>
        <v>88.857142857142861</v>
      </c>
      <c r="E10" s="762" t="s">
        <v>176</v>
      </c>
      <c r="F10" s="576">
        <f t="shared" ref="F10:F26" si="1">(O10*40)*M10</f>
        <v>4256.9971935290905</v>
      </c>
      <c r="G10" s="577">
        <f t="shared" ref="G10:G26" si="2">SUM(D10*F10)</f>
        <v>378264.60776787065</v>
      </c>
      <c r="H10" s="3635"/>
      <c r="I10" s="3636"/>
      <c r="J10" s="3635"/>
      <c r="K10" s="3636"/>
      <c r="L10" s="578">
        <f>SUM(G10+I10+K10)</f>
        <v>378264.60776787065</v>
      </c>
      <c r="M10" s="763">
        <v>0.5</v>
      </c>
      <c r="N10" s="764"/>
      <c r="O10" s="579">
        <v>212.84985967645451</v>
      </c>
      <c r="P10" s="580">
        <v>253</v>
      </c>
      <c r="X10" s="580">
        <v>216</v>
      </c>
    </row>
    <row r="11" spans="1:24" ht="15" customHeight="1" x14ac:dyDescent="0.35">
      <c r="A11" s="765"/>
      <c r="B11" s="766"/>
      <c r="C11" s="760" t="s">
        <v>177</v>
      </c>
      <c r="D11" s="761">
        <f t="shared" si="0"/>
        <v>88.857142857142861</v>
      </c>
      <c r="E11" s="762" t="s">
        <v>176</v>
      </c>
      <c r="F11" s="767">
        <f t="shared" si="1"/>
        <v>7056.4364792840679</v>
      </c>
      <c r="G11" s="768">
        <f t="shared" si="2"/>
        <v>627014.78430209868</v>
      </c>
      <c r="H11" s="3637"/>
      <c r="I11" s="3638"/>
      <c r="J11" s="3637"/>
      <c r="K11" s="3638"/>
      <c r="L11" s="769">
        <f t="shared" ref="L11:L26" si="3">SUM(G11+I11+K11)</f>
        <v>627014.78430209868</v>
      </c>
      <c r="M11" s="763">
        <v>1</v>
      </c>
      <c r="N11" s="764"/>
      <c r="O11" s="770">
        <v>176.41091198210171</v>
      </c>
      <c r="P11" s="771">
        <v>195</v>
      </c>
      <c r="X11" s="771">
        <v>175</v>
      </c>
    </row>
    <row r="12" spans="1:24" ht="15" customHeight="1" x14ac:dyDescent="0.35">
      <c r="A12" s="765"/>
      <c r="B12" s="766"/>
      <c r="C12" s="760" t="s">
        <v>179</v>
      </c>
      <c r="D12" s="761">
        <f t="shared" si="0"/>
        <v>88.857142857142861</v>
      </c>
      <c r="E12" s="762" t="s">
        <v>176</v>
      </c>
      <c r="F12" s="767">
        <f t="shared" si="1"/>
        <v>0</v>
      </c>
      <c r="G12" s="768">
        <f t="shared" si="2"/>
        <v>0</v>
      </c>
      <c r="H12" s="3637"/>
      <c r="I12" s="3638"/>
      <c r="J12" s="3637"/>
      <c r="K12" s="3638"/>
      <c r="L12" s="769">
        <f t="shared" si="3"/>
        <v>0</v>
      </c>
      <c r="M12" s="763">
        <v>0</v>
      </c>
      <c r="N12" s="764"/>
      <c r="O12" s="770">
        <v>148.69542496153844</v>
      </c>
      <c r="P12" s="771">
        <v>185</v>
      </c>
      <c r="X12" s="771">
        <v>155</v>
      </c>
    </row>
    <row r="13" spans="1:24" ht="15" customHeight="1" x14ac:dyDescent="0.35">
      <c r="A13" s="765"/>
      <c r="B13" s="766"/>
      <c r="C13" s="760" t="s">
        <v>180</v>
      </c>
      <c r="D13" s="761">
        <f t="shared" si="0"/>
        <v>88.857142857142861</v>
      </c>
      <c r="E13" s="762" t="s">
        <v>176</v>
      </c>
      <c r="F13" s="767">
        <f t="shared" si="1"/>
        <v>0</v>
      </c>
      <c r="G13" s="768">
        <f t="shared" si="2"/>
        <v>0</v>
      </c>
      <c r="H13" s="3637"/>
      <c r="I13" s="3638"/>
      <c r="J13" s="3637"/>
      <c r="K13" s="3638"/>
      <c r="L13" s="769">
        <f t="shared" si="3"/>
        <v>0</v>
      </c>
      <c r="M13" s="763">
        <v>0</v>
      </c>
      <c r="N13" s="764"/>
      <c r="O13" s="770">
        <v>127.2585654758803</v>
      </c>
      <c r="P13" s="771">
        <v>163</v>
      </c>
      <c r="X13" s="771">
        <v>130</v>
      </c>
    </row>
    <row r="14" spans="1:24" ht="15" customHeight="1" x14ac:dyDescent="0.35">
      <c r="A14" s="765"/>
      <c r="B14" s="766"/>
      <c r="C14" s="760" t="s">
        <v>181</v>
      </c>
      <c r="D14" s="761">
        <f t="shared" si="0"/>
        <v>88.857142857142861</v>
      </c>
      <c r="E14" s="762" t="s">
        <v>176</v>
      </c>
      <c r="F14" s="414">
        <f t="shared" si="1"/>
        <v>3591.2833403998384</v>
      </c>
      <c r="G14" s="772">
        <f t="shared" si="2"/>
        <v>319111.17681838566</v>
      </c>
      <c r="H14" s="3637"/>
      <c r="I14" s="3638"/>
      <c r="J14" s="3637"/>
      <c r="K14" s="3638"/>
      <c r="L14" s="769">
        <f t="shared" si="3"/>
        <v>319111.17681838566</v>
      </c>
      <c r="M14" s="763">
        <v>1</v>
      </c>
      <c r="N14" s="764"/>
      <c r="O14" s="770">
        <v>89.782083509995957</v>
      </c>
      <c r="P14" s="771">
        <v>95</v>
      </c>
      <c r="X14" s="771">
        <v>65</v>
      </c>
    </row>
    <row r="15" spans="1:24" ht="15" customHeight="1" x14ac:dyDescent="0.35">
      <c r="A15" s="773"/>
      <c r="B15" s="774"/>
      <c r="C15" s="775" t="s">
        <v>182</v>
      </c>
      <c r="D15" s="761">
        <f t="shared" si="0"/>
        <v>88.857142857142861</v>
      </c>
      <c r="E15" s="774" t="s">
        <v>176</v>
      </c>
      <c r="F15" s="776">
        <f t="shared" si="1"/>
        <v>0</v>
      </c>
      <c r="G15" s="772">
        <f t="shared" si="2"/>
        <v>0</v>
      </c>
      <c r="H15" s="3637"/>
      <c r="I15" s="3638"/>
      <c r="J15" s="3637"/>
      <c r="K15" s="3638"/>
      <c r="L15" s="769">
        <f t="shared" si="3"/>
        <v>0</v>
      </c>
      <c r="M15" s="777">
        <v>0</v>
      </c>
      <c r="N15" s="778"/>
      <c r="O15" s="770">
        <v>115.84355425198581</v>
      </c>
      <c r="P15" s="770">
        <v>81</v>
      </c>
      <c r="X15" s="770">
        <v>60</v>
      </c>
    </row>
    <row r="16" spans="1:24" ht="15" customHeight="1" x14ac:dyDescent="0.35">
      <c r="A16" s="773"/>
      <c r="B16" s="774"/>
      <c r="C16" s="775" t="s">
        <v>183</v>
      </c>
      <c r="D16" s="761">
        <f t="shared" si="0"/>
        <v>88.857142857142861</v>
      </c>
      <c r="E16" s="774" t="s">
        <v>176</v>
      </c>
      <c r="F16" s="776">
        <f t="shared" si="1"/>
        <v>4467.6124302127319</v>
      </c>
      <c r="G16" s="772">
        <f t="shared" si="2"/>
        <v>396979.27594175993</v>
      </c>
      <c r="H16" s="3637"/>
      <c r="I16" s="3638"/>
      <c r="J16" s="3637"/>
      <c r="K16" s="3638"/>
      <c r="L16" s="779">
        <f t="shared" si="3"/>
        <v>396979.27594175993</v>
      </c>
      <c r="M16" s="777">
        <v>1</v>
      </c>
      <c r="N16" s="778"/>
      <c r="O16" s="770">
        <v>111.69031075531831</v>
      </c>
      <c r="P16" s="770">
        <v>118</v>
      </c>
      <c r="X16" s="770">
        <v>95</v>
      </c>
    </row>
    <row r="17" spans="1:127" ht="15" customHeight="1" x14ac:dyDescent="0.35">
      <c r="A17" s="773"/>
      <c r="B17" s="774"/>
      <c r="C17" s="775" t="s">
        <v>184</v>
      </c>
      <c r="D17" s="761">
        <f t="shared" si="0"/>
        <v>88.857142857142861</v>
      </c>
      <c r="E17" s="774" t="s">
        <v>176</v>
      </c>
      <c r="F17" s="776">
        <f t="shared" si="1"/>
        <v>563.37467301479285</v>
      </c>
      <c r="G17" s="772">
        <f t="shared" si="2"/>
        <v>50059.863802171596</v>
      </c>
      <c r="H17" s="3637"/>
      <c r="I17" s="3638"/>
      <c r="J17" s="3637"/>
      <c r="K17" s="3638"/>
      <c r="L17" s="779">
        <f t="shared" si="3"/>
        <v>50059.863802171596</v>
      </c>
      <c r="M17" s="777">
        <v>0.08</v>
      </c>
      <c r="N17" s="764"/>
      <c r="O17" s="770">
        <v>176.05458531712276</v>
      </c>
      <c r="P17" s="770"/>
      <c r="X17" s="770"/>
    </row>
    <row r="18" spans="1:127" ht="15" customHeight="1" x14ac:dyDescent="0.35">
      <c r="A18" s="773"/>
      <c r="B18" s="774"/>
      <c r="C18" s="775" t="s">
        <v>185</v>
      </c>
      <c r="D18" s="761">
        <f t="shared" si="0"/>
        <v>88.857142857142861</v>
      </c>
      <c r="E18" s="774" t="s">
        <v>176</v>
      </c>
      <c r="F18" s="776">
        <f t="shared" si="1"/>
        <v>5335.9555282214342</v>
      </c>
      <c r="G18" s="772">
        <f t="shared" si="2"/>
        <v>474137.76265053317</v>
      </c>
      <c r="H18" s="3637"/>
      <c r="I18" s="3638"/>
      <c r="J18" s="3637"/>
      <c r="K18" s="3638"/>
      <c r="L18" s="779">
        <f t="shared" si="3"/>
        <v>474137.76265053317</v>
      </c>
      <c r="M18" s="777">
        <v>0.75</v>
      </c>
      <c r="N18" s="764"/>
      <c r="O18" s="770">
        <v>177.86518427404781</v>
      </c>
      <c r="P18" s="770">
        <v>183</v>
      </c>
      <c r="X18" s="770">
        <v>194</v>
      </c>
    </row>
    <row r="19" spans="1:127" ht="15" customHeight="1" x14ac:dyDescent="0.35">
      <c r="A19" s="773"/>
      <c r="B19" s="774"/>
      <c r="C19" s="775" t="s">
        <v>186</v>
      </c>
      <c r="D19" s="761">
        <f t="shared" si="0"/>
        <v>88.857142857142861</v>
      </c>
      <c r="E19" s="774" t="s">
        <v>176</v>
      </c>
      <c r="F19" s="776">
        <f t="shared" si="1"/>
        <v>5971.9802782421066</v>
      </c>
      <c r="G19" s="772">
        <f t="shared" si="2"/>
        <v>530653.10472379869</v>
      </c>
      <c r="H19" s="3637"/>
      <c r="I19" s="3638"/>
      <c r="J19" s="3637"/>
      <c r="K19" s="3638"/>
      <c r="L19" s="779">
        <f t="shared" si="3"/>
        <v>530653.10472379869</v>
      </c>
      <c r="M19" s="777">
        <v>1</v>
      </c>
      <c r="N19" s="764"/>
      <c r="O19" s="770">
        <v>149.29950695605265</v>
      </c>
      <c r="P19" s="770">
        <v>161</v>
      </c>
      <c r="X19" s="770">
        <v>173</v>
      </c>
    </row>
    <row r="20" spans="1:127" ht="15" customHeight="1" x14ac:dyDescent="0.35">
      <c r="A20" s="773"/>
      <c r="B20" s="774"/>
      <c r="C20" s="775" t="s">
        <v>187</v>
      </c>
      <c r="D20" s="761">
        <f t="shared" si="0"/>
        <v>88.857142857142861</v>
      </c>
      <c r="E20" s="774" t="s">
        <v>176</v>
      </c>
      <c r="F20" s="776">
        <f t="shared" si="1"/>
        <v>4887.7994357272282</v>
      </c>
      <c r="G20" s="772">
        <f t="shared" si="2"/>
        <v>434315.89271747658</v>
      </c>
      <c r="H20" s="3637"/>
      <c r="I20" s="3638"/>
      <c r="J20" s="3637"/>
      <c r="K20" s="3638"/>
      <c r="L20" s="779">
        <f t="shared" si="3"/>
        <v>434315.89271747658</v>
      </c>
      <c r="M20" s="777">
        <v>1</v>
      </c>
      <c r="N20" s="764"/>
      <c r="O20" s="770">
        <v>122.1949858931807</v>
      </c>
      <c r="P20" s="770">
        <v>121</v>
      </c>
      <c r="X20" s="770">
        <v>155</v>
      </c>
    </row>
    <row r="21" spans="1:127" ht="15" customHeight="1" x14ac:dyDescent="0.35">
      <c r="A21" s="773"/>
      <c r="B21" s="774"/>
      <c r="C21" s="775" t="s">
        <v>188</v>
      </c>
      <c r="D21" s="761">
        <f t="shared" si="0"/>
        <v>88.857142857142861</v>
      </c>
      <c r="E21" s="774" t="s">
        <v>176</v>
      </c>
      <c r="F21" s="776">
        <f t="shared" si="1"/>
        <v>0</v>
      </c>
      <c r="G21" s="772">
        <f t="shared" si="2"/>
        <v>0</v>
      </c>
      <c r="H21" s="3637"/>
      <c r="I21" s="3638"/>
      <c r="J21" s="3637"/>
      <c r="K21" s="3638"/>
      <c r="L21" s="779">
        <f t="shared" si="3"/>
        <v>0</v>
      </c>
      <c r="M21" s="777">
        <v>0</v>
      </c>
      <c r="N21" s="764"/>
      <c r="O21" s="770">
        <v>80.885879032689104</v>
      </c>
      <c r="P21" s="770">
        <v>84</v>
      </c>
      <c r="X21" s="770">
        <v>95</v>
      </c>
    </row>
    <row r="22" spans="1:127" ht="15" customHeight="1" x14ac:dyDescent="0.35">
      <c r="A22" s="773"/>
      <c r="B22" s="774"/>
      <c r="C22" s="780" t="s">
        <v>189</v>
      </c>
      <c r="D22" s="761">
        <f t="shared" si="0"/>
        <v>88.857142857142861</v>
      </c>
      <c r="E22" s="774" t="s">
        <v>176</v>
      </c>
      <c r="F22" s="776">
        <f t="shared" si="1"/>
        <v>1111.6697853994083</v>
      </c>
      <c r="G22" s="772">
        <f t="shared" si="2"/>
        <v>98779.800931204576</v>
      </c>
      <c r="H22" s="3637"/>
      <c r="I22" s="3638"/>
      <c r="J22" s="3637"/>
      <c r="K22" s="3638"/>
      <c r="L22" s="779">
        <f t="shared" si="3"/>
        <v>98779.800931204576</v>
      </c>
      <c r="M22" s="777">
        <v>0.2</v>
      </c>
      <c r="N22" s="764"/>
      <c r="O22" s="770">
        <v>138.95872317492604</v>
      </c>
      <c r="P22" s="770"/>
      <c r="X22" s="770"/>
    </row>
    <row r="23" spans="1:127" ht="15" customHeight="1" x14ac:dyDescent="0.35">
      <c r="A23" s="773"/>
      <c r="B23" s="774"/>
      <c r="C23" s="780" t="s">
        <v>190</v>
      </c>
      <c r="D23" s="761">
        <f t="shared" si="0"/>
        <v>88.857142857142861</v>
      </c>
      <c r="E23" s="781" t="s">
        <v>176</v>
      </c>
      <c r="F23" s="776">
        <f t="shared" si="1"/>
        <v>0</v>
      </c>
      <c r="G23" s="772">
        <f t="shared" si="2"/>
        <v>0</v>
      </c>
      <c r="H23" s="3637"/>
      <c r="I23" s="3638"/>
      <c r="J23" s="3637"/>
      <c r="K23" s="3638"/>
      <c r="L23" s="769">
        <f t="shared" si="3"/>
        <v>0</v>
      </c>
      <c r="M23" s="782">
        <v>0</v>
      </c>
      <c r="N23" s="778"/>
      <c r="O23" s="770">
        <v>56.063410367960756</v>
      </c>
      <c r="P23" s="770">
        <v>65</v>
      </c>
      <c r="X23" s="770">
        <v>65</v>
      </c>
      <c r="Z23" t="s">
        <v>191</v>
      </c>
    </row>
    <row r="24" spans="1:127" s="215" customFormat="1" ht="15" customHeight="1" x14ac:dyDescent="0.35">
      <c r="A24" s="773"/>
      <c r="B24" s="774"/>
      <c r="C24" s="780" t="s">
        <v>192</v>
      </c>
      <c r="D24" s="761">
        <f t="shared" si="0"/>
        <v>88.857142857142861</v>
      </c>
      <c r="E24" s="774" t="s">
        <v>176</v>
      </c>
      <c r="F24" s="776">
        <f t="shared" si="1"/>
        <v>939.09653216854099</v>
      </c>
      <c r="G24" s="772">
        <f t="shared" si="2"/>
        <v>83445.434715547497</v>
      </c>
      <c r="H24" s="3637"/>
      <c r="I24" s="3638"/>
      <c r="J24" s="3637"/>
      <c r="K24" s="3638"/>
      <c r="L24" s="769">
        <f t="shared" si="3"/>
        <v>83445.434715547497</v>
      </c>
      <c r="M24" s="783">
        <v>0.15</v>
      </c>
      <c r="N24" s="778"/>
      <c r="O24" s="770">
        <v>156.51608869475683</v>
      </c>
      <c r="P24" s="784">
        <v>80</v>
      </c>
      <c r="Q24"/>
      <c r="R24"/>
      <c r="S24"/>
      <c r="T24"/>
      <c r="U24"/>
      <c r="V24"/>
      <c r="W24"/>
      <c r="X24" s="784">
        <v>90</v>
      </c>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row>
    <row r="25" spans="1:127" ht="15" customHeight="1" x14ac:dyDescent="0.35">
      <c r="A25" s="773"/>
      <c r="B25" s="774"/>
      <c r="C25" s="780" t="s">
        <v>193</v>
      </c>
      <c r="D25" s="761">
        <f t="shared" si="0"/>
        <v>88.857142857142861</v>
      </c>
      <c r="E25" s="781" t="s">
        <v>176</v>
      </c>
      <c r="F25" s="776">
        <f t="shared" si="1"/>
        <v>1109.4485087274531</v>
      </c>
      <c r="G25" s="772">
        <f t="shared" si="2"/>
        <v>98582.424632639406</v>
      </c>
      <c r="H25" s="3637"/>
      <c r="I25" s="3638"/>
      <c r="J25" s="3637"/>
      <c r="K25" s="3638"/>
      <c r="L25" s="779">
        <f t="shared" si="3"/>
        <v>98582.424632639406</v>
      </c>
      <c r="M25" s="783">
        <v>0.2</v>
      </c>
      <c r="N25" s="778"/>
      <c r="O25" s="770">
        <v>138.68106359093161</v>
      </c>
      <c r="P25" s="784">
        <v>101</v>
      </c>
      <c r="X25" s="784">
        <v>101</v>
      </c>
    </row>
    <row r="26" spans="1:127" ht="15" customHeight="1" x14ac:dyDescent="0.35">
      <c r="A26" s="785"/>
      <c r="B26" s="781"/>
      <c r="C26" s="780" t="s">
        <v>194</v>
      </c>
      <c r="D26" s="415">
        <f>K4</f>
        <v>88.857142857142861</v>
      </c>
      <c r="E26" s="786" t="s">
        <v>176</v>
      </c>
      <c r="F26" s="787">
        <f t="shared" si="1"/>
        <v>861.12685567130075</v>
      </c>
      <c r="G26" s="788">
        <f t="shared" si="2"/>
        <v>76517.272032507011</v>
      </c>
      <c r="H26" s="3639"/>
      <c r="I26" s="3640"/>
      <c r="J26" s="3639"/>
      <c r="K26" s="3640"/>
      <c r="L26" s="789">
        <f t="shared" si="3"/>
        <v>76517.272032507011</v>
      </c>
      <c r="M26" s="783">
        <v>0.2</v>
      </c>
      <c r="O26" s="416">
        <v>107.64085695891259</v>
      </c>
      <c r="P26" s="784">
        <v>96</v>
      </c>
      <c r="X26" s="784">
        <v>96</v>
      </c>
    </row>
    <row r="27" spans="1:127" s="214" customFormat="1" ht="15" customHeight="1" x14ac:dyDescent="0.35">
      <c r="A27" s="3661"/>
      <c r="B27" s="3662"/>
      <c r="C27" s="839" t="s">
        <v>195</v>
      </c>
      <c r="D27" s="840"/>
      <c r="E27" s="756"/>
      <c r="F27" s="756"/>
      <c r="G27" s="756"/>
      <c r="H27" s="756"/>
      <c r="I27" s="756"/>
      <c r="J27" s="756"/>
      <c r="K27" s="756"/>
      <c r="L27" s="757">
        <f>SUM(L28:L42)</f>
        <v>312545.29767424572</v>
      </c>
      <c r="M27" s="757"/>
      <c r="N27" s="758"/>
      <c r="O27" s="759"/>
      <c r="P27" s="759"/>
      <c r="Q27"/>
      <c r="R27"/>
      <c r="S27"/>
      <c r="T27"/>
      <c r="U27"/>
      <c r="V27"/>
      <c r="W27"/>
      <c r="X27" s="759"/>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row>
    <row r="28" spans="1:127" ht="15" customHeight="1" x14ac:dyDescent="0.35">
      <c r="A28" s="574"/>
      <c r="B28" s="575"/>
      <c r="C28" s="581" t="s">
        <v>175</v>
      </c>
      <c r="D28" s="582">
        <f t="shared" ref="D28:D42" si="4">$K$5</f>
        <v>8.7142857142857135</v>
      </c>
      <c r="E28" s="575" t="s">
        <v>176</v>
      </c>
      <c r="F28" s="576">
        <f t="shared" ref="F28:F42" si="5">(40*O28)*M28</f>
        <v>2128.4985967645453</v>
      </c>
      <c r="G28" s="577">
        <f t="shared" ref="G28:G42" si="6">SUM(D28*F28)</f>
        <v>18548.344914662463</v>
      </c>
      <c r="H28" s="3629"/>
      <c r="I28" s="3630"/>
      <c r="J28" s="3629"/>
      <c r="K28" s="3630"/>
      <c r="L28" s="578">
        <f t="shared" ref="L28:L42" si="7">SUM(G28+I28+K28)</f>
        <v>18548.344914662463</v>
      </c>
      <c r="M28" s="783">
        <v>0.25</v>
      </c>
      <c r="N28" s="764"/>
      <c r="O28" s="583">
        <f t="shared" ref="O28:P34" si="8">+O10</f>
        <v>212.84985967645451</v>
      </c>
      <c r="P28" s="583">
        <f t="shared" si="8"/>
        <v>253</v>
      </c>
      <c r="X28" s="583">
        <f t="shared" ref="X28:X34" si="9">+X10</f>
        <v>216</v>
      </c>
    </row>
    <row r="29" spans="1:127" ht="15" customHeight="1" x14ac:dyDescent="0.35">
      <c r="A29" s="773"/>
      <c r="B29" s="774"/>
      <c r="C29" s="775" t="s">
        <v>177</v>
      </c>
      <c r="D29" s="761">
        <f t="shared" si="4"/>
        <v>8.7142857142857135</v>
      </c>
      <c r="E29" s="774" t="s">
        <v>176</v>
      </c>
      <c r="F29" s="767">
        <f t="shared" si="5"/>
        <v>7056.4364792840679</v>
      </c>
      <c r="G29" s="772">
        <f t="shared" si="6"/>
        <v>61491.803605189729</v>
      </c>
      <c r="H29" s="3631"/>
      <c r="I29" s="3632"/>
      <c r="J29" s="3631"/>
      <c r="K29" s="3632"/>
      <c r="L29" s="779">
        <f t="shared" si="7"/>
        <v>61491.803605189729</v>
      </c>
      <c r="M29" s="783">
        <v>1</v>
      </c>
      <c r="N29" s="778"/>
      <c r="O29" s="790">
        <f t="shared" si="8"/>
        <v>176.41091198210171</v>
      </c>
      <c r="P29" s="790">
        <f t="shared" si="8"/>
        <v>195</v>
      </c>
      <c r="X29" s="790">
        <f t="shared" si="9"/>
        <v>175</v>
      </c>
    </row>
    <row r="30" spans="1:127" ht="15" customHeight="1" x14ac:dyDescent="0.35">
      <c r="A30" s="773"/>
      <c r="B30" s="774"/>
      <c r="C30" s="775" t="s">
        <v>179</v>
      </c>
      <c r="D30" s="761">
        <f t="shared" si="4"/>
        <v>8.7142857142857135</v>
      </c>
      <c r="E30" s="774" t="s">
        <v>176</v>
      </c>
      <c r="F30" s="767">
        <f t="shared" si="5"/>
        <v>0</v>
      </c>
      <c r="G30" s="772">
        <f t="shared" si="6"/>
        <v>0</v>
      </c>
      <c r="H30" s="3631"/>
      <c r="I30" s="3632"/>
      <c r="J30" s="3631"/>
      <c r="K30" s="3632"/>
      <c r="L30" s="779">
        <f t="shared" si="7"/>
        <v>0</v>
      </c>
      <c r="M30" s="783">
        <v>0</v>
      </c>
      <c r="N30" s="778"/>
      <c r="O30" s="790">
        <f t="shared" si="8"/>
        <v>148.69542496153844</v>
      </c>
      <c r="P30" s="790">
        <f t="shared" si="8"/>
        <v>185</v>
      </c>
      <c r="X30" s="790">
        <f t="shared" si="9"/>
        <v>155</v>
      </c>
    </row>
    <row r="31" spans="1:127" ht="15" customHeight="1" x14ac:dyDescent="0.35">
      <c r="A31" s="773"/>
      <c r="B31" s="774"/>
      <c r="C31" s="775" t="s">
        <v>180</v>
      </c>
      <c r="D31" s="761">
        <f t="shared" si="4"/>
        <v>8.7142857142857135</v>
      </c>
      <c r="E31" s="774" t="s">
        <v>176</v>
      </c>
      <c r="F31" s="767">
        <f t="shared" si="5"/>
        <v>0</v>
      </c>
      <c r="G31" s="772">
        <f t="shared" si="6"/>
        <v>0</v>
      </c>
      <c r="H31" s="3631"/>
      <c r="I31" s="3632"/>
      <c r="J31" s="3631"/>
      <c r="K31" s="3632"/>
      <c r="L31" s="779">
        <f t="shared" si="7"/>
        <v>0</v>
      </c>
      <c r="M31" s="783">
        <v>0</v>
      </c>
      <c r="N31" s="778"/>
      <c r="O31" s="790">
        <f t="shared" si="8"/>
        <v>127.2585654758803</v>
      </c>
      <c r="P31" s="790">
        <f t="shared" si="8"/>
        <v>163</v>
      </c>
      <c r="X31" s="790">
        <f t="shared" si="9"/>
        <v>130</v>
      </c>
    </row>
    <row r="32" spans="1:127" ht="15" customHeight="1" x14ac:dyDescent="0.35">
      <c r="A32" s="773"/>
      <c r="B32" s="774"/>
      <c r="C32" s="775" t="s">
        <v>181</v>
      </c>
      <c r="D32" s="761">
        <f t="shared" si="4"/>
        <v>8.7142857142857135</v>
      </c>
      <c r="E32" s="774" t="s">
        <v>176</v>
      </c>
      <c r="F32" s="767">
        <f t="shared" si="5"/>
        <v>3591.2833403998384</v>
      </c>
      <c r="G32" s="772">
        <f t="shared" si="6"/>
        <v>31295.469109198588</v>
      </c>
      <c r="H32" s="3631"/>
      <c r="I32" s="3632"/>
      <c r="J32" s="3631"/>
      <c r="K32" s="3632"/>
      <c r="L32" s="779">
        <f t="shared" si="7"/>
        <v>31295.469109198588</v>
      </c>
      <c r="M32" s="783">
        <v>1</v>
      </c>
      <c r="N32" s="764"/>
      <c r="O32" s="790">
        <f t="shared" si="8"/>
        <v>89.782083509995957</v>
      </c>
      <c r="P32" s="790">
        <f t="shared" si="8"/>
        <v>95</v>
      </c>
      <c r="X32" s="790">
        <f t="shared" si="9"/>
        <v>65</v>
      </c>
    </row>
    <row r="33" spans="1:135" ht="15" customHeight="1" x14ac:dyDescent="0.35">
      <c r="A33" s="773"/>
      <c r="B33" s="774"/>
      <c r="C33" s="775" t="s">
        <v>196</v>
      </c>
      <c r="D33" s="761">
        <f t="shared" si="4"/>
        <v>8.7142857142857135</v>
      </c>
      <c r="E33" s="774" t="s">
        <v>176</v>
      </c>
      <c r="F33" s="767">
        <f t="shared" si="5"/>
        <v>0</v>
      </c>
      <c r="G33" s="772">
        <f t="shared" si="6"/>
        <v>0</v>
      </c>
      <c r="H33" s="3631"/>
      <c r="I33" s="3632"/>
      <c r="J33" s="3631"/>
      <c r="K33" s="3632"/>
      <c r="L33" s="779">
        <f t="shared" si="7"/>
        <v>0</v>
      </c>
      <c r="M33" s="783">
        <v>0</v>
      </c>
      <c r="N33" s="778"/>
      <c r="O33" s="790">
        <f t="shared" si="8"/>
        <v>115.84355425198581</v>
      </c>
      <c r="P33" s="790">
        <f t="shared" si="8"/>
        <v>81</v>
      </c>
      <c r="X33" s="790">
        <f t="shared" si="9"/>
        <v>60</v>
      </c>
    </row>
    <row r="34" spans="1:135" ht="15" customHeight="1" x14ac:dyDescent="0.35">
      <c r="A34" s="773"/>
      <c r="B34" s="774"/>
      <c r="C34" s="775" t="s">
        <v>183</v>
      </c>
      <c r="D34" s="761">
        <f t="shared" si="4"/>
        <v>8.7142857142857135</v>
      </c>
      <c r="E34" s="774" t="s">
        <v>176</v>
      </c>
      <c r="F34" s="767">
        <f t="shared" si="5"/>
        <v>4467.6124302127319</v>
      </c>
      <c r="G34" s="772">
        <f t="shared" si="6"/>
        <v>38932.051177568086</v>
      </c>
      <c r="H34" s="3631"/>
      <c r="I34" s="3632"/>
      <c r="J34" s="3631"/>
      <c r="K34" s="3632"/>
      <c r="L34" s="779">
        <f t="shared" si="7"/>
        <v>38932.051177568086</v>
      </c>
      <c r="M34" s="783">
        <v>1</v>
      </c>
      <c r="N34" s="778"/>
      <c r="O34" s="790">
        <f t="shared" si="8"/>
        <v>111.69031075531831</v>
      </c>
      <c r="P34" s="790">
        <f t="shared" si="8"/>
        <v>118</v>
      </c>
      <c r="X34" s="790">
        <f t="shared" si="9"/>
        <v>95</v>
      </c>
    </row>
    <row r="35" spans="1:135" ht="15" customHeight="1" x14ac:dyDescent="0.35">
      <c r="A35" s="785"/>
      <c r="B35" s="781"/>
      <c r="C35" s="780" t="s">
        <v>185</v>
      </c>
      <c r="D35" s="761">
        <f t="shared" si="4"/>
        <v>8.7142857142857135</v>
      </c>
      <c r="E35" s="774" t="s">
        <v>176</v>
      </c>
      <c r="F35" s="767">
        <f t="shared" si="5"/>
        <v>5335.9555282214342</v>
      </c>
      <c r="G35" s="772">
        <f t="shared" si="6"/>
        <v>46499.041031643923</v>
      </c>
      <c r="H35" s="3631"/>
      <c r="I35" s="3632"/>
      <c r="J35" s="3631"/>
      <c r="K35" s="3632"/>
      <c r="L35" s="779">
        <f t="shared" si="7"/>
        <v>46499.041031643923</v>
      </c>
      <c r="M35" s="783">
        <v>0.75</v>
      </c>
      <c r="N35" s="778"/>
      <c r="O35" s="790">
        <f t="shared" ref="O35:P38" si="10">+O18</f>
        <v>177.86518427404781</v>
      </c>
      <c r="P35" s="790">
        <f t="shared" si="10"/>
        <v>183</v>
      </c>
      <c r="X35" s="790">
        <f>+X18</f>
        <v>194</v>
      </c>
    </row>
    <row r="36" spans="1:135" ht="15" customHeight="1" x14ac:dyDescent="0.35">
      <c r="A36" s="785"/>
      <c r="B36" s="781"/>
      <c r="C36" s="780" t="s">
        <v>186</v>
      </c>
      <c r="D36" s="761">
        <f t="shared" si="4"/>
        <v>8.7142857142857135</v>
      </c>
      <c r="E36" s="774" t="s">
        <v>176</v>
      </c>
      <c r="F36" s="767">
        <f t="shared" si="5"/>
        <v>5971.9802782421066</v>
      </c>
      <c r="G36" s="772">
        <f t="shared" si="6"/>
        <v>52041.542424681211</v>
      </c>
      <c r="H36" s="3631"/>
      <c r="I36" s="3632"/>
      <c r="J36" s="3631"/>
      <c r="K36" s="3632"/>
      <c r="L36" s="779">
        <f t="shared" si="7"/>
        <v>52041.542424681211</v>
      </c>
      <c r="M36" s="783">
        <v>1</v>
      </c>
      <c r="N36" s="778"/>
      <c r="O36" s="790">
        <f t="shared" si="10"/>
        <v>149.29950695605265</v>
      </c>
      <c r="P36" s="790">
        <f t="shared" si="10"/>
        <v>161</v>
      </c>
      <c r="X36" s="790">
        <f>+X19</f>
        <v>173</v>
      </c>
    </row>
    <row r="37" spans="1:135" ht="15" customHeight="1" x14ac:dyDescent="0.35">
      <c r="A37" s="785"/>
      <c r="B37" s="781"/>
      <c r="C37" s="780" t="s">
        <v>187</v>
      </c>
      <c r="D37" s="761">
        <f t="shared" si="4"/>
        <v>8.7142857142857135</v>
      </c>
      <c r="E37" s="774" t="s">
        <v>176</v>
      </c>
      <c r="F37" s="767">
        <f t="shared" si="5"/>
        <v>4887.7994357272282</v>
      </c>
      <c r="G37" s="772">
        <f t="shared" si="6"/>
        <v>42593.680797051558</v>
      </c>
      <c r="H37" s="3631"/>
      <c r="I37" s="3632"/>
      <c r="J37" s="3631"/>
      <c r="K37" s="3632"/>
      <c r="L37" s="779">
        <f t="shared" si="7"/>
        <v>42593.680797051558</v>
      </c>
      <c r="M37" s="783">
        <v>1</v>
      </c>
      <c r="N37" s="778"/>
      <c r="O37" s="790">
        <f t="shared" si="10"/>
        <v>122.1949858931807</v>
      </c>
      <c r="P37" s="790">
        <f t="shared" si="10"/>
        <v>121</v>
      </c>
      <c r="X37" s="790">
        <f>+X20</f>
        <v>155</v>
      </c>
    </row>
    <row r="38" spans="1:135" ht="15" customHeight="1" x14ac:dyDescent="0.35">
      <c r="A38" s="785"/>
      <c r="B38" s="781"/>
      <c r="C38" s="780" t="s">
        <v>188</v>
      </c>
      <c r="D38" s="761">
        <f t="shared" si="4"/>
        <v>8.7142857142857135</v>
      </c>
      <c r="E38" s="774" t="s">
        <v>176</v>
      </c>
      <c r="F38" s="767">
        <f t="shared" si="5"/>
        <v>0</v>
      </c>
      <c r="G38" s="772">
        <f t="shared" si="6"/>
        <v>0</v>
      </c>
      <c r="H38" s="3631"/>
      <c r="I38" s="3632"/>
      <c r="J38" s="3631"/>
      <c r="K38" s="3632"/>
      <c r="L38" s="779">
        <f t="shared" si="7"/>
        <v>0</v>
      </c>
      <c r="M38" s="783">
        <v>0</v>
      </c>
      <c r="N38" s="778"/>
      <c r="O38" s="790">
        <f t="shared" si="10"/>
        <v>80.885879032689104</v>
      </c>
      <c r="P38" s="790">
        <f t="shared" si="10"/>
        <v>84</v>
      </c>
      <c r="X38" s="790">
        <f>+X21</f>
        <v>95</v>
      </c>
    </row>
    <row r="39" spans="1:135" ht="15" customHeight="1" x14ac:dyDescent="0.35">
      <c r="A39" s="785"/>
      <c r="B39" s="781"/>
      <c r="C39" s="780" t="s">
        <v>190</v>
      </c>
      <c r="D39" s="761">
        <f t="shared" si="4"/>
        <v>8.7142857142857135</v>
      </c>
      <c r="E39" s="774" t="s">
        <v>176</v>
      </c>
      <c r="F39" s="767">
        <f t="shared" si="5"/>
        <v>0</v>
      </c>
      <c r="G39" s="772">
        <f t="shared" si="6"/>
        <v>0</v>
      </c>
      <c r="H39" s="3631"/>
      <c r="I39" s="3632"/>
      <c r="J39" s="3631"/>
      <c r="K39" s="3632"/>
      <c r="L39" s="779">
        <f t="shared" si="7"/>
        <v>0</v>
      </c>
      <c r="M39" s="783">
        <v>0</v>
      </c>
      <c r="N39" s="778"/>
      <c r="O39" s="790">
        <f t="shared" ref="O39:P42" si="11">+O23</f>
        <v>56.063410367960756</v>
      </c>
      <c r="P39" s="790">
        <f t="shared" si="11"/>
        <v>65</v>
      </c>
      <c r="X39" s="790">
        <f>+X23</f>
        <v>65</v>
      </c>
    </row>
    <row r="40" spans="1:135" ht="15" customHeight="1" x14ac:dyDescent="0.35">
      <c r="A40" s="785"/>
      <c r="B40" s="781"/>
      <c r="C40" s="780" t="s">
        <v>192</v>
      </c>
      <c r="D40" s="761">
        <f t="shared" si="4"/>
        <v>8.7142857142857135</v>
      </c>
      <c r="E40" s="774" t="s">
        <v>176</v>
      </c>
      <c r="F40" s="767">
        <f t="shared" si="5"/>
        <v>1565.1608869475683</v>
      </c>
      <c r="G40" s="772">
        <f t="shared" si="6"/>
        <v>13639.25915768595</v>
      </c>
      <c r="H40" s="3631"/>
      <c r="I40" s="3632"/>
      <c r="J40" s="3631"/>
      <c r="K40" s="3632"/>
      <c r="L40" s="779">
        <f t="shared" si="7"/>
        <v>13639.25915768595</v>
      </c>
      <c r="M40" s="783">
        <v>0.25</v>
      </c>
      <c r="N40" s="778"/>
      <c r="O40" s="790">
        <f t="shared" si="11"/>
        <v>156.51608869475683</v>
      </c>
      <c r="P40" s="790">
        <f t="shared" si="11"/>
        <v>80</v>
      </c>
      <c r="X40" s="790">
        <f>+X24</f>
        <v>90</v>
      </c>
    </row>
    <row r="41" spans="1:135" ht="15" customHeight="1" x14ac:dyDescent="0.35">
      <c r="A41" s="785"/>
      <c r="B41" s="781"/>
      <c r="C41" s="780" t="s">
        <v>193</v>
      </c>
      <c r="D41" s="761">
        <f t="shared" si="4"/>
        <v>8.7142857142857135</v>
      </c>
      <c r="E41" s="774" t="s">
        <v>176</v>
      </c>
      <c r="F41" s="767">
        <f t="shared" si="5"/>
        <v>0</v>
      </c>
      <c r="G41" s="772">
        <f t="shared" si="6"/>
        <v>0</v>
      </c>
      <c r="H41" s="3631"/>
      <c r="I41" s="3632"/>
      <c r="J41" s="3631"/>
      <c r="K41" s="3632"/>
      <c r="L41" s="779">
        <f t="shared" si="7"/>
        <v>0</v>
      </c>
      <c r="M41" s="783">
        <v>0</v>
      </c>
      <c r="N41" s="778"/>
      <c r="O41" s="790">
        <f t="shared" si="11"/>
        <v>138.68106359093161</v>
      </c>
      <c r="P41" s="790">
        <f t="shared" si="11"/>
        <v>101</v>
      </c>
      <c r="X41" s="790">
        <f>+X25</f>
        <v>101</v>
      </c>
    </row>
    <row r="42" spans="1:135" s="215" customFormat="1" ht="15" customHeight="1" x14ac:dyDescent="0.35">
      <c r="A42" s="791"/>
      <c r="B42" s="792"/>
      <c r="C42" s="793" t="s">
        <v>194</v>
      </c>
      <c r="D42" s="417">
        <f t="shared" si="4"/>
        <v>8.7142857142857135</v>
      </c>
      <c r="E42" s="794" t="s">
        <v>176</v>
      </c>
      <c r="F42" s="795">
        <f t="shared" si="5"/>
        <v>861.12685567130075</v>
      </c>
      <c r="G42" s="418">
        <f t="shared" si="6"/>
        <v>7504.1054565641916</v>
      </c>
      <c r="H42" s="3633"/>
      <c r="I42" s="3634"/>
      <c r="J42" s="3633"/>
      <c r="K42" s="3634"/>
      <c r="L42" s="789">
        <f t="shared" si="7"/>
        <v>7504.1054565641916</v>
      </c>
      <c r="M42" s="783">
        <v>0.2</v>
      </c>
      <c r="O42" s="796">
        <f t="shared" si="11"/>
        <v>107.64085695891259</v>
      </c>
      <c r="P42" s="796">
        <f t="shared" si="11"/>
        <v>96</v>
      </c>
      <c r="Q42"/>
      <c r="R42"/>
      <c r="S42"/>
      <c r="T42"/>
      <c r="U42"/>
      <c r="V42"/>
      <c r="W42"/>
      <c r="X42" s="796">
        <f>+X26</f>
        <v>96</v>
      </c>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row>
    <row r="43" spans="1:135" ht="15" customHeight="1" x14ac:dyDescent="0.35">
      <c r="A43" s="3644"/>
      <c r="B43" s="3645"/>
      <c r="C43" s="797" t="s">
        <v>197</v>
      </c>
      <c r="D43" s="798"/>
      <c r="E43" s="799"/>
      <c r="F43" s="799"/>
      <c r="G43" s="799"/>
      <c r="H43" s="799"/>
      <c r="I43" s="799"/>
      <c r="J43" s="799"/>
      <c r="K43" s="799"/>
      <c r="L43" s="800">
        <f>SUM(L44:L64)</f>
        <v>300300.63766666671</v>
      </c>
      <c r="M43" s="800"/>
      <c r="N43" s="801"/>
    </row>
    <row r="44" spans="1:135" ht="15" customHeight="1" x14ac:dyDescent="0.35">
      <c r="A44" s="574"/>
      <c r="B44" s="575"/>
      <c r="C44" s="581" t="s">
        <v>198</v>
      </c>
      <c r="D44" s="582">
        <v>1</v>
      </c>
      <c r="E44" s="575" t="s">
        <v>199</v>
      </c>
      <c r="F44" s="3629"/>
      <c r="G44" s="3630"/>
      <c r="H44" s="576">
        <v>15000</v>
      </c>
      <c r="I44" s="577">
        <f>SUM(D44*H44)</f>
        <v>15000</v>
      </c>
      <c r="J44" s="3629" t="s">
        <v>200</v>
      </c>
      <c r="K44" s="3630"/>
      <c r="L44" s="578">
        <f>SUM(G44+I44+K44)</f>
        <v>15000</v>
      </c>
      <c r="M44" s="3641"/>
      <c r="N44" s="584"/>
    </row>
    <row r="45" spans="1:135" ht="15" customHeight="1" x14ac:dyDescent="0.35">
      <c r="A45" s="773"/>
      <c r="B45" s="774"/>
      <c r="C45" s="775" t="s">
        <v>201</v>
      </c>
      <c r="D45" s="761">
        <f>L4</f>
        <v>20.733333333333334</v>
      </c>
      <c r="E45" s="774" t="s">
        <v>202</v>
      </c>
      <c r="F45" s="3631"/>
      <c r="G45" s="3632"/>
      <c r="H45" s="787">
        <v>3500</v>
      </c>
      <c r="I45" s="772">
        <f>SUM(D45*H45)</f>
        <v>72566.666666666672</v>
      </c>
      <c r="J45" s="3631"/>
      <c r="K45" s="3632"/>
      <c r="L45" s="779">
        <f>SUM(G45+I45+K45)</f>
        <v>72566.666666666672</v>
      </c>
      <c r="M45" s="3642"/>
      <c r="N45" s="802"/>
    </row>
    <row r="46" spans="1:135" ht="15" customHeight="1" x14ac:dyDescent="0.35">
      <c r="A46" s="773"/>
      <c r="B46" s="774"/>
      <c r="C46" s="760" t="s">
        <v>203</v>
      </c>
      <c r="D46" s="761">
        <v>1</v>
      </c>
      <c r="E46" s="774" t="s">
        <v>199</v>
      </c>
      <c r="F46" s="3631"/>
      <c r="G46" s="3632"/>
      <c r="H46" s="787">
        <v>15238</v>
      </c>
      <c r="I46" s="803">
        <f>SUM(D46*H46)</f>
        <v>15238</v>
      </c>
      <c r="J46" s="3631"/>
      <c r="K46" s="3632"/>
      <c r="L46" s="804">
        <f>SUM(G46+I46+K46)</f>
        <v>15238</v>
      </c>
      <c r="M46" s="3642"/>
      <c r="N46" s="802" t="s">
        <v>204</v>
      </c>
    </row>
    <row r="47" spans="1:135" ht="15" customHeight="1" x14ac:dyDescent="0.35">
      <c r="A47" s="773"/>
      <c r="B47" s="774"/>
      <c r="C47" s="805" t="s">
        <v>205</v>
      </c>
      <c r="D47" s="761">
        <v>18</v>
      </c>
      <c r="E47" s="774" t="s">
        <v>202</v>
      </c>
      <c r="F47" s="3631"/>
      <c r="G47" s="3632"/>
      <c r="H47" s="787">
        <v>1732</v>
      </c>
      <c r="I47" s="803">
        <f>SUM(D47*H47)</f>
        <v>31176</v>
      </c>
      <c r="J47" s="3631"/>
      <c r="K47" s="3632"/>
      <c r="L47" s="804">
        <f>SUM(G47+I47+K47)</f>
        <v>31176</v>
      </c>
      <c r="M47" s="3642"/>
      <c r="N47" s="802" t="s">
        <v>204</v>
      </c>
    </row>
    <row r="48" spans="1:135" ht="15" customHeight="1" x14ac:dyDescent="0.35">
      <c r="A48" s="773"/>
      <c r="B48" s="774"/>
      <c r="C48" s="806" t="s">
        <v>206</v>
      </c>
      <c r="D48" s="761"/>
      <c r="E48" s="774" t="s">
        <v>199</v>
      </c>
      <c r="F48" s="3631"/>
      <c r="G48" s="3632"/>
      <c r="H48" s="787">
        <v>1371</v>
      </c>
      <c r="I48" s="772" t="s">
        <v>207</v>
      </c>
      <c r="J48" s="3631"/>
      <c r="K48" s="3632"/>
      <c r="L48" s="779" t="s">
        <v>207</v>
      </c>
      <c r="M48" s="3642"/>
      <c r="N48" s="802" t="s">
        <v>208</v>
      </c>
    </row>
    <row r="49" spans="1:14" ht="15" customHeight="1" x14ac:dyDescent="0.35">
      <c r="A49" s="773"/>
      <c r="B49" s="774"/>
      <c r="C49" s="775" t="s">
        <v>209</v>
      </c>
      <c r="D49" s="761"/>
      <c r="E49" s="774" t="s">
        <v>202</v>
      </c>
      <c r="F49" s="3631"/>
      <c r="G49" s="3632"/>
      <c r="H49" s="787">
        <v>573</v>
      </c>
      <c r="I49" s="772" t="s">
        <v>207</v>
      </c>
      <c r="J49" s="3631"/>
      <c r="K49" s="3632"/>
      <c r="L49" s="779" t="s">
        <v>207</v>
      </c>
      <c r="M49" s="3642"/>
      <c r="N49" s="802" t="s">
        <v>208</v>
      </c>
    </row>
    <row r="50" spans="1:14" ht="15" customHeight="1" x14ac:dyDescent="0.35">
      <c r="A50" s="773"/>
      <c r="B50" s="774"/>
      <c r="C50" s="775" t="s">
        <v>210</v>
      </c>
      <c r="D50" s="761">
        <v>0</v>
      </c>
      <c r="E50" s="774" t="s">
        <v>199</v>
      </c>
      <c r="F50" s="3631"/>
      <c r="G50" s="3632"/>
      <c r="H50" s="787">
        <v>2000</v>
      </c>
      <c r="I50" s="772">
        <f t="shared" ref="I50:I64" si="12">SUM(D50*H50)</f>
        <v>0</v>
      </c>
      <c r="J50" s="3631"/>
      <c r="K50" s="3632"/>
      <c r="L50" s="779">
        <f t="shared" ref="L50:L64" si="13">SUM(G50+I50+K50)</f>
        <v>0</v>
      </c>
      <c r="M50" s="3642"/>
      <c r="N50" s="802"/>
    </row>
    <row r="51" spans="1:14" ht="15" customHeight="1" x14ac:dyDescent="0.35">
      <c r="A51" s="773"/>
      <c r="B51" s="774"/>
      <c r="C51" s="775" t="s">
        <v>211</v>
      </c>
      <c r="D51" s="761">
        <f>$L$4</f>
        <v>20.733333333333334</v>
      </c>
      <c r="E51" s="774" t="s">
        <v>202</v>
      </c>
      <c r="F51" s="3631"/>
      <c r="G51" s="3632"/>
      <c r="H51" s="787">
        <v>250</v>
      </c>
      <c r="I51" s="772">
        <f t="shared" si="12"/>
        <v>5183.3333333333339</v>
      </c>
      <c r="J51" s="3631"/>
      <c r="K51" s="3632"/>
      <c r="L51" s="779">
        <f t="shared" si="13"/>
        <v>5183.3333333333339</v>
      </c>
      <c r="M51" s="3642"/>
      <c r="N51" s="802"/>
    </row>
    <row r="52" spans="1:14" ht="15" customHeight="1" x14ac:dyDescent="0.35">
      <c r="A52" s="773"/>
      <c r="B52" s="774"/>
      <c r="C52" s="775" t="s">
        <v>212</v>
      </c>
      <c r="D52" s="761">
        <f>$L$4</f>
        <v>20.733333333333334</v>
      </c>
      <c r="E52" s="774" t="s">
        <v>202</v>
      </c>
      <c r="F52" s="3631"/>
      <c r="G52" s="3632"/>
      <c r="H52" s="787">
        <v>0</v>
      </c>
      <c r="I52" s="772">
        <f t="shared" si="12"/>
        <v>0</v>
      </c>
      <c r="J52" s="3631"/>
      <c r="K52" s="3632"/>
      <c r="L52" s="779">
        <f t="shared" si="13"/>
        <v>0</v>
      </c>
      <c r="M52" s="3642"/>
      <c r="N52" s="802" t="s">
        <v>213</v>
      </c>
    </row>
    <row r="53" spans="1:14" x14ac:dyDescent="0.35">
      <c r="A53" s="773"/>
      <c r="B53" s="774"/>
      <c r="C53" s="775" t="s">
        <v>214</v>
      </c>
      <c r="D53" s="761">
        <v>0</v>
      </c>
      <c r="E53" s="774" t="s">
        <v>215</v>
      </c>
      <c r="F53" s="3631"/>
      <c r="G53" s="3632"/>
      <c r="H53" s="787">
        <v>2000</v>
      </c>
      <c r="I53" s="772">
        <f t="shared" si="12"/>
        <v>0</v>
      </c>
      <c r="J53" s="3631"/>
      <c r="K53" s="3632"/>
      <c r="L53" s="779">
        <f t="shared" si="13"/>
        <v>0</v>
      </c>
      <c r="M53" s="3642"/>
      <c r="N53" s="802"/>
    </row>
    <row r="54" spans="1:14" ht="15" customHeight="1" x14ac:dyDescent="0.35">
      <c r="A54" s="773"/>
      <c r="B54" s="774"/>
      <c r="C54" s="775" t="s">
        <v>216</v>
      </c>
      <c r="D54" s="761">
        <f>$L$4</f>
        <v>20.733333333333334</v>
      </c>
      <c r="E54" s="774" t="s">
        <v>202</v>
      </c>
      <c r="F54" s="3631"/>
      <c r="G54" s="3632"/>
      <c r="H54" s="787">
        <v>100</v>
      </c>
      <c r="I54" s="772">
        <f t="shared" si="12"/>
        <v>2073.3333333333335</v>
      </c>
      <c r="J54" s="3631"/>
      <c r="K54" s="3632"/>
      <c r="L54" s="779">
        <f t="shared" si="13"/>
        <v>2073.3333333333335</v>
      </c>
      <c r="M54" s="3642"/>
      <c r="N54" s="802"/>
    </row>
    <row r="55" spans="1:14" x14ac:dyDescent="0.35">
      <c r="A55" s="773"/>
      <c r="B55" s="774"/>
      <c r="C55" s="775" t="s">
        <v>217</v>
      </c>
      <c r="D55" s="761">
        <f>$L$4</f>
        <v>20.733333333333334</v>
      </c>
      <c r="E55" s="774" t="s">
        <v>202</v>
      </c>
      <c r="F55" s="3631"/>
      <c r="G55" s="3632"/>
      <c r="H55" s="787">
        <v>50</v>
      </c>
      <c r="I55" s="772">
        <f t="shared" si="12"/>
        <v>1036.6666666666667</v>
      </c>
      <c r="J55" s="3631"/>
      <c r="K55" s="3632"/>
      <c r="L55" s="779">
        <f t="shared" si="13"/>
        <v>1036.6666666666667</v>
      </c>
      <c r="M55" s="3642"/>
      <c r="N55" s="802"/>
    </row>
    <row r="56" spans="1:14" x14ac:dyDescent="0.35">
      <c r="A56" s="773"/>
      <c r="B56" s="774"/>
      <c r="C56" s="775" t="s">
        <v>218</v>
      </c>
      <c r="D56" s="761">
        <f>$L$4</f>
        <v>20.733333333333334</v>
      </c>
      <c r="E56" s="774" t="s">
        <v>202</v>
      </c>
      <c r="F56" s="3631"/>
      <c r="G56" s="3632"/>
      <c r="H56" s="787">
        <v>250</v>
      </c>
      <c r="I56" s="772">
        <f t="shared" si="12"/>
        <v>5183.3333333333339</v>
      </c>
      <c r="J56" s="3631"/>
      <c r="K56" s="3632"/>
      <c r="L56" s="779">
        <f t="shared" si="13"/>
        <v>5183.3333333333339</v>
      </c>
      <c r="M56" s="3642"/>
      <c r="N56" s="802"/>
    </row>
    <row r="57" spans="1:14" x14ac:dyDescent="0.35">
      <c r="A57" s="773"/>
      <c r="B57" s="774"/>
      <c r="C57" s="775" t="s">
        <v>219</v>
      </c>
      <c r="D57" s="807">
        <v>1.5E-3</v>
      </c>
      <c r="E57" s="774" t="s">
        <v>34</v>
      </c>
      <c r="F57" s="3631"/>
      <c r="G57" s="3632"/>
      <c r="H57" s="787">
        <v>95773314</v>
      </c>
      <c r="I57" s="772">
        <f t="shared" si="12"/>
        <v>143659.97099999999</v>
      </c>
      <c r="J57" s="3631"/>
      <c r="K57" s="3632"/>
      <c r="L57" s="779">
        <f t="shared" si="13"/>
        <v>143659.97099999999</v>
      </c>
      <c r="M57" s="3642"/>
      <c r="N57" s="808" t="s">
        <v>220</v>
      </c>
    </row>
    <row r="58" spans="1:14" x14ac:dyDescent="0.35">
      <c r="A58" s="773"/>
      <c r="B58" s="774"/>
      <c r="C58" s="775" t="s">
        <v>221</v>
      </c>
      <c r="D58" s="809">
        <v>0</v>
      </c>
      <c r="E58" s="774" t="s">
        <v>215</v>
      </c>
      <c r="F58" s="3631"/>
      <c r="G58" s="3632"/>
      <c r="H58" s="787">
        <v>0</v>
      </c>
      <c r="I58" s="772">
        <f t="shared" si="12"/>
        <v>0</v>
      </c>
      <c r="J58" s="3631"/>
      <c r="K58" s="3632"/>
      <c r="L58" s="779">
        <f t="shared" si="13"/>
        <v>0</v>
      </c>
      <c r="M58" s="3642"/>
      <c r="N58" s="778"/>
    </row>
    <row r="59" spans="1:14" x14ac:dyDescent="0.35">
      <c r="A59" s="773"/>
      <c r="B59" s="774"/>
      <c r="C59" s="775" t="s">
        <v>222</v>
      </c>
      <c r="D59" s="809">
        <v>1</v>
      </c>
      <c r="E59" s="774" t="s">
        <v>215</v>
      </c>
      <c r="F59" s="3631"/>
      <c r="G59" s="3632"/>
      <c r="H59" s="787">
        <v>4000</v>
      </c>
      <c r="I59" s="772">
        <f t="shared" si="12"/>
        <v>4000</v>
      </c>
      <c r="J59" s="3631"/>
      <c r="K59" s="3632"/>
      <c r="L59" s="779">
        <f t="shared" si="13"/>
        <v>4000</v>
      </c>
      <c r="M59" s="3642"/>
      <c r="N59" s="778"/>
    </row>
    <row r="60" spans="1:14" x14ac:dyDescent="0.35">
      <c r="A60" s="773"/>
      <c r="B60" s="774"/>
      <c r="C60" s="775" t="s">
        <v>223</v>
      </c>
      <c r="D60" s="809">
        <f>L4</f>
        <v>20.733333333333334</v>
      </c>
      <c r="E60" s="774" t="s">
        <v>215</v>
      </c>
      <c r="F60" s="3631"/>
      <c r="G60" s="3632"/>
      <c r="H60" s="787">
        <v>250</v>
      </c>
      <c r="I60" s="772">
        <f t="shared" si="12"/>
        <v>5183.3333333333339</v>
      </c>
      <c r="J60" s="3631"/>
      <c r="K60" s="3632"/>
      <c r="L60" s="779">
        <f t="shared" si="13"/>
        <v>5183.3333333333339</v>
      </c>
      <c r="M60" s="3642"/>
      <c r="N60" s="778"/>
    </row>
    <row r="61" spans="1:14" x14ac:dyDescent="0.35">
      <c r="A61" s="773"/>
      <c r="B61" s="774"/>
      <c r="C61" s="775" t="s">
        <v>224</v>
      </c>
      <c r="D61" s="809">
        <f>$L$4</f>
        <v>20.733333333333334</v>
      </c>
      <c r="E61" s="774" t="s">
        <v>202</v>
      </c>
      <c r="F61" s="3631"/>
      <c r="G61" s="3632"/>
      <c r="H61" s="787">
        <v>0</v>
      </c>
      <c r="I61" s="772">
        <f t="shared" si="12"/>
        <v>0</v>
      </c>
      <c r="J61" s="3631"/>
      <c r="K61" s="3632"/>
      <c r="L61" s="779">
        <f t="shared" si="13"/>
        <v>0</v>
      </c>
      <c r="M61" s="3642"/>
      <c r="N61" s="778"/>
    </row>
    <row r="62" spans="1:14" x14ac:dyDescent="0.35">
      <c r="A62" s="773"/>
      <c r="B62" s="774"/>
      <c r="C62" s="775" t="s">
        <v>225</v>
      </c>
      <c r="D62" s="809"/>
      <c r="E62" s="774" t="s">
        <v>215</v>
      </c>
      <c r="F62" s="3631"/>
      <c r="G62" s="3632"/>
      <c r="H62" s="787">
        <v>250</v>
      </c>
      <c r="I62" s="772">
        <f t="shared" si="12"/>
        <v>0</v>
      </c>
      <c r="J62" s="3631"/>
      <c r="K62" s="3632"/>
      <c r="L62" s="779">
        <f t="shared" si="13"/>
        <v>0</v>
      </c>
      <c r="M62" s="3642"/>
      <c r="N62" s="778"/>
    </row>
    <row r="63" spans="1:14" x14ac:dyDescent="0.35">
      <c r="A63" s="773"/>
      <c r="B63" s="774"/>
      <c r="C63" s="775" t="s">
        <v>226</v>
      </c>
      <c r="D63" s="809"/>
      <c r="E63" s="774" t="s">
        <v>199</v>
      </c>
      <c r="F63" s="3631"/>
      <c r="G63" s="3632"/>
      <c r="H63" s="767">
        <v>840</v>
      </c>
      <c r="I63" s="772">
        <f t="shared" si="12"/>
        <v>0</v>
      </c>
      <c r="J63" s="3631"/>
      <c r="K63" s="3632"/>
      <c r="L63" s="769">
        <f t="shared" si="13"/>
        <v>0</v>
      </c>
      <c r="M63" s="3642"/>
      <c r="N63" s="802" t="s">
        <v>227</v>
      </c>
    </row>
    <row r="64" spans="1:14" x14ac:dyDescent="0.35">
      <c r="A64" s="773"/>
      <c r="B64" s="774"/>
      <c r="C64" s="810" t="s">
        <v>228</v>
      </c>
      <c r="D64" s="419"/>
      <c r="E64" s="792" t="s">
        <v>202</v>
      </c>
      <c r="F64" s="3633"/>
      <c r="G64" s="3634"/>
      <c r="H64" s="420">
        <v>1200</v>
      </c>
      <c r="I64" s="811">
        <f t="shared" si="12"/>
        <v>0</v>
      </c>
      <c r="J64" s="3633"/>
      <c r="K64" s="3634"/>
      <c r="L64" s="421">
        <f t="shared" si="13"/>
        <v>0</v>
      </c>
      <c r="M64" s="3643"/>
      <c r="N64" s="812" t="s">
        <v>229</v>
      </c>
    </row>
    <row r="65" spans="1:14" ht="15" hidden="1" customHeight="1" x14ac:dyDescent="0.35">
      <c r="A65" s="3644"/>
      <c r="B65" s="3645"/>
      <c r="C65" s="813" t="s">
        <v>230</v>
      </c>
      <c r="D65" s="3646"/>
      <c r="E65" s="3647"/>
      <c r="F65" s="3647"/>
      <c r="G65" s="3647"/>
      <c r="H65" s="3647"/>
      <c r="I65" s="3647"/>
      <c r="J65" s="3647"/>
      <c r="K65" s="3647"/>
      <c r="L65" s="3648"/>
      <c r="M65" s="814"/>
      <c r="N65" s="801">
        <f>SUM(L66:L80)</f>
        <v>0</v>
      </c>
    </row>
    <row r="66" spans="1:14" ht="15" hidden="1" customHeight="1" x14ac:dyDescent="0.35">
      <c r="A66" s="574"/>
      <c r="B66" s="575"/>
      <c r="C66" s="581" t="s">
        <v>231</v>
      </c>
      <c r="D66" s="582">
        <v>1</v>
      </c>
      <c r="E66" s="575" t="s">
        <v>215</v>
      </c>
      <c r="F66" s="3629"/>
      <c r="G66" s="3630"/>
      <c r="H66" s="3629"/>
      <c r="I66" s="3630"/>
      <c r="J66" s="576">
        <v>0</v>
      </c>
      <c r="K66" s="577">
        <f t="shared" ref="K66:K80" si="14">SUM(D66*J66)</f>
        <v>0</v>
      </c>
      <c r="L66" s="578">
        <f t="shared" ref="L66:L80" si="15">SUM(G66+I66+K66)</f>
        <v>0</v>
      </c>
      <c r="M66" s="578"/>
      <c r="N66" s="584" t="s">
        <v>232</v>
      </c>
    </row>
    <row r="67" spans="1:14" ht="15" hidden="1" customHeight="1" x14ac:dyDescent="0.35">
      <c r="A67" s="773"/>
      <c r="B67" s="774"/>
      <c r="C67" s="775" t="s">
        <v>233</v>
      </c>
      <c r="D67" s="761">
        <f>L4</f>
        <v>20.733333333333334</v>
      </c>
      <c r="E67" s="774" t="s">
        <v>202</v>
      </c>
      <c r="F67" s="3631"/>
      <c r="G67" s="3632"/>
      <c r="H67" s="3631"/>
      <c r="I67" s="3632"/>
      <c r="J67" s="767">
        <v>0</v>
      </c>
      <c r="K67" s="772">
        <f t="shared" si="14"/>
        <v>0</v>
      </c>
      <c r="L67" s="779">
        <f t="shared" si="15"/>
        <v>0</v>
      </c>
      <c r="M67" s="779"/>
      <c r="N67" s="764" t="s">
        <v>232</v>
      </c>
    </row>
    <row r="68" spans="1:14" ht="15" hidden="1" customHeight="1" x14ac:dyDescent="0.35">
      <c r="A68" s="773"/>
      <c r="B68" s="774"/>
      <c r="C68" s="775" t="s">
        <v>210</v>
      </c>
      <c r="D68" s="761">
        <v>1</v>
      </c>
      <c r="E68" s="774" t="s">
        <v>215</v>
      </c>
      <c r="F68" s="3631"/>
      <c r="G68" s="3632"/>
      <c r="H68" s="3631"/>
      <c r="I68" s="3632"/>
      <c r="J68" s="767">
        <v>0</v>
      </c>
      <c r="K68" s="772">
        <f t="shared" si="14"/>
        <v>0</v>
      </c>
      <c r="L68" s="779">
        <f t="shared" si="15"/>
        <v>0</v>
      </c>
      <c r="M68" s="779"/>
      <c r="N68" s="764" t="s">
        <v>232</v>
      </c>
    </row>
    <row r="69" spans="1:14" ht="15" hidden="1" customHeight="1" x14ac:dyDescent="0.35">
      <c r="A69" s="773"/>
      <c r="B69" s="774"/>
      <c r="C69" s="775" t="s">
        <v>234</v>
      </c>
      <c r="D69" s="761">
        <f>L4</f>
        <v>20.733333333333334</v>
      </c>
      <c r="E69" s="774" t="s">
        <v>202</v>
      </c>
      <c r="F69" s="3631"/>
      <c r="G69" s="3632"/>
      <c r="H69" s="3631"/>
      <c r="I69" s="3632"/>
      <c r="J69" s="767">
        <v>0</v>
      </c>
      <c r="K69" s="772">
        <f t="shared" si="14"/>
        <v>0</v>
      </c>
      <c r="L69" s="779">
        <f t="shared" si="15"/>
        <v>0</v>
      </c>
      <c r="M69" s="779"/>
      <c r="N69" s="764" t="s">
        <v>232</v>
      </c>
    </row>
    <row r="70" spans="1:14" ht="15" hidden="1" customHeight="1" x14ac:dyDescent="0.35">
      <c r="A70" s="773"/>
      <c r="B70" s="774"/>
      <c r="C70" s="775" t="s">
        <v>212</v>
      </c>
      <c r="D70" s="761">
        <f>L4+L5</f>
        <v>22.766666666666666</v>
      </c>
      <c r="E70" s="774" t="s">
        <v>202</v>
      </c>
      <c r="F70" s="3631"/>
      <c r="G70" s="3632"/>
      <c r="H70" s="3631"/>
      <c r="I70" s="3632"/>
      <c r="J70" s="767">
        <v>0</v>
      </c>
      <c r="K70" s="772">
        <f t="shared" si="14"/>
        <v>0</v>
      </c>
      <c r="L70" s="779">
        <f t="shared" si="15"/>
        <v>0</v>
      </c>
      <c r="M70" s="779"/>
      <c r="N70" s="764" t="s">
        <v>232</v>
      </c>
    </row>
    <row r="71" spans="1:14" ht="15" hidden="1" customHeight="1" x14ac:dyDescent="0.35">
      <c r="A71" s="773"/>
      <c r="B71" s="774"/>
      <c r="C71" s="775" t="s">
        <v>214</v>
      </c>
      <c r="D71" s="761">
        <v>1</v>
      </c>
      <c r="E71" s="774" t="s">
        <v>215</v>
      </c>
      <c r="F71" s="3631"/>
      <c r="G71" s="3632"/>
      <c r="H71" s="3631"/>
      <c r="I71" s="3632"/>
      <c r="J71" s="767">
        <v>0</v>
      </c>
      <c r="K71" s="772">
        <f t="shared" si="14"/>
        <v>0</v>
      </c>
      <c r="L71" s="779">
        <f t="shared" si="15"/>
        <v>0</v>
      </c>
      <c r="M71" s="779"/>
      <c r="N71" s="764" t="s">
        <v>232</v>
      </c>
    </row>
    <row r="72" spans="1:14" ht="15" hidden="1" customHeight="1" x14ac:dyDescent="0.35">
      <c r="A72" s="773"/>
      <c r="B72" s="774"/>
      <c r="C72" s="775" t="s">
        <v>216</v>
      </c>
      <c r="D72" s="761">
        <f>L4+L5</f>
        <v>22.766666666666666</v>
      </c>
      <c r="E72" s="774" t="s">
        <v>202</v>
      </c>
      <c r="F72" s="3631"/>
      <c r="G72" s="3632"/>
      <c r="H72" s="3631"/>
      <c r="I72" s="3632"/>
      <c r="J72" s="767">
        <v>0</v>
      </c>
      <c r="K72" s="772">
        <f t="shared" si="14"/>
        <v>0</v>
      </c>
      <c r="L72" s="779">
        <f t="shared" si="15"/>
        <v>0</v>
      </c>
      <c r="M72" s="779"/>
      <c r="N72" s="764" t="s">
        <v>232</v>
      </c>
    </row>
    <row r="73" spans="1:14" ht="15" hidden="1" customHeight="1" x14ac:dyDescent="0.35">
      <c r="A73" s="773"/>
      <c r="B73" s="774"/>
      <c r="C73" s="775" t="s">
        <v>217</v>
      </c>
      <c r="D73" s="761">
        <f>L4+L5</f>
        <v>22.766666666666666</v>
      </c>
      <c r="E73" s="774" t="s">
        <v>202</v>
      </c>
      <c r="F73" s="3631"/>
      <c r="G73" s="3632"/>
      <c r="H73" s="3631"/>
      <c r="I73" s="3632"/>
      <c r="J73" s="767">
        <v>0</v>
      </c>
      <c r="K73" s="772">
        <f t="shared" si="14"/>
        <v>0</v>
      </c>
      <c r="L73" s="779">
        <f t="shared" si="15"/>
        <v>0</v>
      </c>
      <c r="M73" s="779"/>
      <c r="N73" s="764" t="s">
        <v>232</v>
      </c>
    </row>
    <row r="74" spans="1:14" ht="15" hidden="1" customHeight="1" x14ac:dyDescent="0.35">
      <c r="A74" s="773"/>
      <c r="B74" s="774"/>
      <c r="C74" s="775" t="s">
        <v>235</v>
      </c>
      <c r="D74" s="761">
        <f>L4</f>
        <v>20.733333333333334</v>
      </c>
      <c r="E74" s="774" t="s">
        <v>202</v>
      </c>
      <c r="F74" s="3631"/>
      <c r="G74" s="3632"/>
      <c r="H74" s="3631"/>
      <c r="I74" s="3632"/>
      <c r="J74" s="767">
        <v>0</v>
      </c>
      <c r="K74" s="772">
        <f t="shared" si="14"/>
        <v>0</v>
      </c>
      <c r="L74" s="779">
        <f t="shared" si="15"/>
        <v>0</v>
      </c>
      <c r="M74" s="779"/>
      <c r="N74" s="764" t="s">
        <v>232</v>
      </c>
    </row>
    <row r="75" spans="1:14" ht="15" hidden="1" customHeight="1" x14ac:dyDescent="0.35">
      <c r="A75" s="773"/>
      <c r="B75" s="774"/>
      <c r="C75" s="775" t="s">
        <v>221</v>
      </c>
      <c r="D75" s="761">
        <v>1</v>
      </c>
      <c r="E75" s="774" t="s">
        <v>215</v>
      </c>
      <c r="F75" s="3631"/>
      <c r="G75" s="3632"/>
      <c r="H75" s="3631"/>
      <c r="I75" s="3632"/>
      <c r="J75" s="767">
        <v>0</v>
      </c>
      <c r="K75" s="772">
        <f t="shared" si="14"/>
        <v>0</v>
      </c>
      <c r="L75" s="779">
        <f t="shared" si="15"/>
        <v>0</v>
      </c>
      <c r="M75" s="779"/>
      <c r="N75" s="764" t="s">
        <v>232</v>
      </c>
    </row>
    <row r="76" spans="1:14" ht="15" hidden="1" customHeight="1" x14ac:dyDescent="0.35">
      <c r="A76" s="773"/>
      <c r="B76" s="774"/>
      <c r="C76" s="775" t="s">
        <v>222</v>
      </c>
      <c r="D76" s="761">
        <v>1</v>
      </c>
      <c r="E76" s="774" t="s">
        <v>215</v>
      </c>
      <c r="F76" s="3631"/>
      <c r="G76" s="3632"/>
      <c r="H76" s="3631"/>
      <c r="I76" s="3632"/>
      <c r="J76" s="767">
        <v>0</v>
      </c>
      <c r="K76" s="772">
        <f t="shared" si="14"/>
        <v>0</v>
      </c>
      <c r="L76" s="779">
        <f t="shared" si="15"/>
        <v>0</v>
      </c>
      <c r="M76" s="779"/>
      <c r="N76" s="764" t="s">
        <v>232</v>
      </c>
    </row>
    <row r="77" spans="1:14" ht="15" hidden="1" customHeight="1" x14ac:dyDescent="0.35">
      <c r="A77" s="773"/>
      <c r="B77" s="774"/>
      <c r="C77" s="775" t="s">
        <v>223</v>
      </c>
      <c r="D77" s="761">
        <f>L4+L5</f>
        <v>22.766666666666666</v>
      </c>
      <c r="E77" s="774" t="s">
        <v>202</v>
      </c>
      <c r="F77" s="3631"/>
      <c r="G77" s="3632"/>
      <c r="H77" s="3631"/>
      <c r="I77" s="3632"/>
      <c r="J77" s="767">
        <v>0</v>
      </c>
      <c r="K77" s="772">
        <f t="shared" si="14"/>
        <v>0</v>
      </c>
      <c r="L77" s="779">
        <f t="shared" si="15"/>
        <v>0</v>
      </c>
      <c r="M77" s="779"/>
      <c r="N77" s="764" t="s">
        <v>232</v>
      </c>
    </row>
    <row r="78" spans="1:14" ht="15" hidden="1" customHeight="1" x14ac:dyDescent="0.35">
      <c r="A78" s="773"/>
      <c r="B78" s="774"/>
      <c r="C78" s="775" t="s">
        <v>236</v>
      </c>
      <c r="D78" s="761">
        <v>1</v>
      </c>
      <c r="E78" s="774" t="s">
        <v>215</v>
      </c>
      <c r="F78" s="3631"/>
      <c r="G78" s="3632"/>
      <c r="H78" s="3631"/>
      <c r="I78" s="3632"/>
      <c r="J78" s="767">
        <v>0</v>
      </c>
      <c r="K78" s="772">
        <f t="shared" si="14"/>
        <v>0</v>
      </c>
      <c r="L78" s="779">
        <f t="shared" si="15"/>
        <v>0</v>
      </c>
      <c r="M78" s="779"/>
      <c r="N78" s="764" t="s">
        <v>232</v>
      </c>
    </row>
    <row r="79" spans="1:14" ht="15" hidden="1" customHeight="1" x14ac:dyDescent="0.35">
      <c r="A79" s="773"/>
      <c r="B79" s="774"/>
      <c r="C79" s="775" t="s">
        <v>224</v>
      </c>
      <c r="D79" s="761">
        <f>L4</f>
        <v>20.733333333333334</v>
      </c>
      <c r="E79" s="774" t="s">
        <v>202</v>
      </c>
      <c r="F79" s="3631"/>
      <c r="G79" s="3632"/>
      <c r="H79" s="3631"/>
      <c r="I79" s="3632"/>
      <c r="J79" s="767">
        <v>0</v>
      </c>
      <c r="K79" s="772">
        <f t="shared" si="14"/>
        <v>0</v>
      </c>
      <c r="L79" s="769">
        <f t="shared" si="15"/>
        <v>0</v>
      </c>
      <c r="M79" s="779"/>
      <c r="N79" s="764" t="s">
        <v>232</v>
      </c>
    </row>
    <row r="80" spans="1:14" ht="15" hidden="1" customHeight="1" x14ac:dyDescent="0.35">
      <c r="A80" s="791"/>
      <c r="B80" s="792"/>
      <c r="C80" s="810" t="s">
        <v>225</v>
      </c>
      <c r="D80" s="417">
        <v>1</v>
      </c>
      <c r="E80" s="792" t="s">
        <v>215</v>
      </c>
      <c r="F80" s="3633"/>
      <c r="G80" s="3634"/>
      <c r="H80" s="3633"/>
      <c r="I80" s="3634"/>
      <c r="J80" s="420">
        <v>0</v>
      </c>
      <c r="K80" s="418">
        <f t="shared" si="14"/>
        <v>0</v>
      </c>
      <c r="L80" s="421">
        <f t="shared" si="15"/>
        <v>0</v>
      </c>
      <c r="M80" s="421"/>
      <c r="N80" s="422" t="s">
        <v>232</v>
      </c>
    </row>
    <row r="81" spans="1:14" hidden="1" x14ac:dyDescent="0.35">
      <c r="A81" s="3644"/>
      <c r="B81" s="3645"/>
      <c r="C81" s="813" t="s">
        <v>237</v>
      </c>
      <c r="D81" s="798"/>
      <c r="E81" s="799"/>
      <c r="F81" s="799"/>
      <c r="G81" s="799"/>
      <c r="H81" s="799"/>
      <c r="I81" s="799"/>
      <c r="J81" s="799"/>
      <c r="K81" s="799"/>
      <c r="L81" s="800">
        <f>SUM(L82:L94)</f>
        <v>0</v>
      </c>
      <c r="M81" s="800"/>
      <c r="N81" s="801"/>
    </row>
    <row r="82" spans="1:14" hidden="1" x14ac:dyDescent="0.35">
      <c r="A82" s="773"/>
      <c r="B82" s="774"/>
      <c r="C82" s="760" t="s">
        <v>238</v>
      </c>
      <c r="D82" s="761">
        <v>0</v>
      </c>
      <c r="E82" s="766" t="s">
        <v>215</v>
      </c>
      <c r="F82" s="3629"/>
      <c r="G82" s="3630"/>
      <c r="H82" s="3629"/>
      <c r="I82" s="3630"/>
      <c r="J82" s="787">
        <v>0</v>
      </c>
      <c r="K82" s="772">
        <f t="shared" ref="K82:K94" si="16">SUM(D82*J82)</f>
        <v>0</v>
      </c>
      <c r="L82" s="779">
        <f t="shared" ref="L82:L94" si="17">SUM(G82+I82+K82)</f>
        <v>0</v>
      </c>
      <c r="M82" s="3641"/>
      <c r="N82" s="585" t="s">
        <v>239</v>
      </c>
    </row>
    <row r="83" spans="1:14" hidden="1" x14ac:dyDescent="0.35">
      <c r="A83" s="773"/>
      <c r="B83" s="774"/>
      <c r="C83" s="775" t="s">
        <v>240</v>
      </c>
      <c r="D83" s="761">
        <v>0</v>
      </c>
      <c r="E83" s="774" t="s">
        <v>202</v>
      </c>
      <c r="F83" s="3631"/>
      <c r="G83" s="3632"/>
      <c r="H83" s="3631"/>
      <c r="I83" s="3632"/>
      <c r="J83" s="787">
        <v>0</v>
      </c>
      <c r="K83" s="772">
        <f t="shared" si="16"/>
        <v>0</v>
      </c>
      <c r="L83" s="779">
        <f t="shared" si="17"/>
        <v>0</v>
      </c>
      <c r="M83" s="3642"/>
      <c r="N83" s="815" t="s">
        <v>241</v>
      </c>
    </row>
    <row r="84" spans="1:14" hidden="1" x14ac:dyDescent="0.35">
      <c r="A84" s="773"/>
      <c r="B84" s="774"/>
      <c r="C84" s="775" t="s">
        <v>242</v>
      </c>
      <c r="D84" s="761">
        <v>0</v>
      </c>
      <c r="E84" s="774" t="s">
        <v>202</v>
      </c>
      <c r="F84" s="3631"/>
      <c r="G84" s="3632"/>
      <c r="H84" s="3631"/>
      <c r="I84" s="3632"/>
      <c r="J84" s="787">
        <v>0</v>
      </c>
      <c r="K84" s="772">
        <f t="shared" si="16"/>
        <v>0</v>
      </c>
      <c r="L84" s="779">
        <f t="shared" si="17"/>
        <v>0</v>
      </c>
      <c r="M84" s="3642"/>
      <c r="N84" s="808" t="s">
        <v>243</v>
      </c>
    </row>
    <row r="85" spans="1:14" hidden="1" x14ac:dyDescent="0.35">
      <c r="A85" s="773"/>
      <c r="B85" s="774"/>
      <c r="C85" s="775" t="s">
        <v>244</v>
      </c>
      <c r="D85" s="761">
        <v>0</v>
      </c>
      <c r="E85" s="774" t="s">
        <v>245</v>
      </c>
      <c r="F85" s="3631"/>
      <c r="G85" s="3632"/>
      <c r="H85" s="3631"/>
      <c r="I85" s="3632"/>
      <c r="J85" s="787">
        <v>0</v>
      </c>
      <c r="K85" s="772">
        <f t="shared" si="16"/>
        <v>0</v>
      </c>
      <c r="L85" s="779">
        <f t="shared" si="17"/>
        <v>0</v>
      </c>
      <c r="M85" s="3642"/>
      <c r="N85" s="816" t="s">
        <v>246</v>
      </c>
    </row>
    <row r="86" spans="1:14" hidden="1" x14ac:dyDescent="0.35">
      <c r="A86" s="773"/>
      <c r="B86" s="774"/>
      <c r="C86" s="775" t="s">
        <v>247</v>
      </c>
      <c r="D86" s="761">
        <v>0</v>
      </c>
      <c r="E86" s="774" t="s">
        <v>215</v>
      </c>
      <c r="F86" s="3631"/>
      <c r="G86" s="3632"/>
      <c r="H86" s="3631"/>
      <c r="I86" s="3632"/>
      <c r="J86" s="787">
        <v>0</v>
      </c>
      <c r="K86" s="772">
        <f t="shared" si="16"/>
        <v>0</v>
      </c>
      <c r="L86" s="779">
        <f t="shared" si="17"/>
        <v>0</v>
      </c>
      <c r="M86" s="3642"/>
      <c r="N86" s="808" t="s">
        <v>243</v>
      </c>
    </row>
    <row r="87" spans="1:14" hidden="1" x14ac:dyDescent="0.35">
      <c r="A87" s="773"/>
      <c r="B87" s="774"/>
      <c r="C87" s="775" t="s">
        <v>248</v>
      </c>
      <c r="D87" s="761">
        <v>0</v>
      </c>
      <c r="E87" s="774" t="s">
        <v>202</v>
      </c>
      <c r="F87" s="3631"/>
      <c r="G87" s="3632"/>
      <c r="H87" s="3631"/>
      <c r="I87" s="3632"/>
      <c r="J87" s="787">
        <v>0</v>
      </c>
      <c r="K87" s="772">
        <f t="shared" si="16"/>
        <v>0</v>
      </c>
      <c r="L87" s="779">
        <f t="shared" si="17"/>
        <v>0</v>
      </c>
      <c r="M87" s="3642"/>
      <c r="N87" s="808"/>
    </row>
    <row r="88" spans="1:14" hidden="1" x14ac:dyDescent="0.35">
      <c r="A88" s="773"/>
      <c r="B88" s="774"/>
      <c r="C88" s="775" t="s">
        <v>249</v>
      </c>
      <c r="D88" s="761">
        <v>0</v>
      </c>
      <c r="E88" s="774" t="s">
        <v>202</v>
      </c>
      <c r="F88" s="3631"/>
      <c r="G88" s="3632"/>
      <c r="H88" s="3631"/>
      <c r="I88" s="3632"/>
      <c r="J88" s="787">
        <v>2035</v>
      </c>
      <c r="K88" s="772">
        <f t="shared" si="16"/>
        <v>0</v>
      </c>
      <c r="L88" s="779">
        <f t="shared" si="17"/>
        <v>0</v>
      </c>
      <c r="M88" s="3642"/>
      <c r="N88" s="802" t="s">
        <v>250</v>
      </c>
    </row>
    <row r="89" spans="1:14" ht="15" hidden="1" customHeight="1" x14ac:dyDescent="0.35">
      <c r="A89" s="773"/>
      <c r="B89" s="774"/>
      <c r="C89" s="760" t="s">
        <v>251</v>
      </c>
      <c r="D89" s="761">
        <v>0</v>
      </c>
      <c r="E89" s="766" t="s">
        <v>199</v>
      </c>
      <c r="F89" s="3631"/>
      <c r="G89" s="3632"/>
      <c r="H89" s="3631"/>
      <c r="I89" s="3632"/>
      <c r="J89" s="787">
        <v>93</v>
      </c>
      <c r="K89" s="772">
        <f t="shared" si="16"/>
        <v>0</v>
      </c>
      <c r="L89" s="779">
        <f t="shared" si="17"/>
        <v>0</v>
      </c>
      <c r="M89" s="3642"/>
      <c r="N89" s="802" t="s">
        <v>250</v>
      </c>
    </row>
    <row r="90" spans="1:14" hidden="1" x14ac:dyDescent="0.35">
      <c r="A90" s="773"/>
      <c r="B90" s="774"/>
      <c r="C90" s="775" t="s">
        <v>252</v>
      </c>
      <c r="D90" s="761">
        <v>0</v>
      </c>
      <c r="E90" s="774" t="s">
        <v>202</v>
      </c>
      <c r="F90" s="3631"/>
      <c r="G90" s="3632"/>
      <c r="H90" s="3631"/>
      <c r="I90" s="3632"/>
      <c r="J90" s="787">
        <f>407*1</f>
        <v>407</v>
      </c>
      <c r="K90" s="772">
        <f t="shared" si="16"/>
        <v>0</v>
      </c>
      <c r="L90" s="779">
        <f t="shared" si="17"/>
        <v>0</v>
      </c>
      <c r="M90" s="3642"/>
      <c r="N90" s="802" t="s">
        <v>250</v>
      </c>
    </row>
    <row r="91" spans="1:14" ht="15" hidden="1" customHeight="1" x14ac:dyDescent="0.35">
      <c r="A91" s="773"/>
      <c r="B91" s="774"/>
      <c r="C91" s="760" t="s">
        <v>253</v>
      </c>
      <c r="D91" s="761">
        <v>0</v>
      </c>
      <c r="E91" s="766" t="s">
        <v>199</v>
      </c>
      <c r="F91" s="3631"/>
      <c r="G91" s="3632"/>
      <c r="H91" s="3631"/>
      <c r="I91" s="3632"/>
      <c r="J91" s="787">
        <v>93</v>
      </c>
      <c r="K91" s="772">
        <f t="shared" si="16"/>
        <v>0</v>
      </c>
      <c r="L91" s="779">
        <f t="shared" si="17"/>
        <v>0</v>
      </c>
      <c r="M91" s="3642"/>
      <c r="N91" s="802" t="s">
        <v>250</v>
      </c>
    </row>
    <row r="92" spans="1:14" hidden="1" x14ac:dyDescent="0.35">
      <c r="A92" s="773"/>
      <c r="B92" s="774"/>
      <c r="C92" s="775" t="s">
        <v>254</v>
      </c>
      <c r="D92" s="761">
        <v>0</v>
      </c>
      <c r="E92" s="774" t="s">
        <v>202</v>
      </c>
      <c r="F92" s="3631"/>
      <c r="G92" s="3632"/>
      <c r="H92" s="3631"/>
      <c r="I92" s="3632"/>
      <c r="J92" s="787">
        <v>500</v>
      </c>
      <c r="K92" s="772">
        <f t="shared" si="16"/>
        <v>0</v>
      </c>
      <c r="L92" s="779">
        <f t="shared" si="17"/>
        <v>0</v>
      </c>
      <c r="M92" s="3642"/>
      <c r="N92" s="815"/>
    </row>
    <row r="93" spans="1:14" hidden="1" x14ac:dyDescent="0.35">
      <c r="A93" s="773"/>
      <c r="B93" s="774"/>
      <c r="C93" s="775" t="s">
        <v>255</v>
      </c>
      <c r="D93" s="761">
        <v>0</v>
      </c>
      <c r="E93" s="774" t="s">
        <v>215</v>
      </c>
      <c r="F93" s="3631"/>
      <c r="G93" s="3632"/>
      <c r="H93" s="3631"/>
      <c r="I93" s="3632"/>
      <c r="J93" s="787">
        <v>0</v>
      </c>
      <c r="K93" s="772">
        <f t="shared" si="16"/>
        <v>0</v>
      </c>
      <c r="L93" s="779">
        <f t="shared" si="17"/>
        <v>0</v>
      </c>
      <c r="M93" s="3642"/>
      <c r="N93" s="815"/>
    </row>
    <row r="94" spans="1:14" ht="15" hidden="1" customHeight="1" x14ac:dyDescent="0.35">
      <c r="A94" s="773"/>
      <c r="B94" s="774"/>
      <c r="C94" s="775" t="s">
        <v>256</v>
      </c>
      <c r="D94" s="761">
        <v>0</v>
      </c>
      <c r="E94" s="774" t="s">
        <v>202</v>
      </c>
      <c r="F94" s="3631"/>
      <c r="G94" s="3632"/>
      <c r="H94" s="3631"/>
      <c r="I94" s="3632"/>
      <c r="J94" s="767">
        <v>0</v>
      </c>
      <c r="K94" s="772">
        <f t="shared" si="16"/>
        <v>0</v>
      </c>
      <c r="L94" s="769">
        <f t="shared" si="17"/>
        <v>0</v>
      </c>
      <c r="M94" s="3642"/>
      <c r="N94" s="817"/>
    </row>
    <row r="95" spans="1:14" ht="15" customHeight="1" x14ac:dyDescent="0.35">
      <c r="A95" s="3644"/>
      <c r="B95" s="3645"/>
      <c r="C95" s="813" t="s">
        <v>257</v>
      </c>
      <c r="D95" s="798"/>
      <c r="E95" s="799"/>
      <c r="F95" s="799"/>
      <c r="G95" s="799"/>
      <c r="H95" s="799"/>
      <c r="I95" s="799"/>
      <c r="J95" s="799"/>
      <c r="K95" s="799"/>
      <c r="L95" s="801">
        <f>SUM(L96:L98)</f>
        <v>82933.333333333343</v>
      </c>
      <c r="M95" s="801"/>
      <c r="N95" s="801"/>
    </row>
    <row r="96" spans="1:14" x14ac:dyDescent="0.35">
      <c r="A96" s="773"/>
      <c r="B96" s="774"/>
      <c r="C96" s="581" t="s">
        <v>258</v>
      </c>
      <c r="D96" s="761">
        <f>$L$4</f>
        <v>20.733333333333334</v>
      </c>
      <c r="E96" s="586" t="s">
        <v>202</v>
      </c>
      <c r="F96" s="3629"/>
      <c r="G96" s="3630"/>
      <c r="H96" s="3629"/>
      <c r="I96" s="3630"/>
      <c r="J96" s="576">
        <v>1500</v>
      </c>
      <c r="K96" s="577">
        <f>SUM(D96*J96)</f>
        <v>31100</v>
      </c>
      <c r="L96" s="578">
        <f>SUM(G96+I96+K96)</f>
        <v>31100</v>
      </c>
      <c r="M96" s="3641"/>
      <c r="N96" s="584"/>
    </row>
    <row r="97" spans="1:14" x14ac:dyDescent="0.35">
      <c r="A97" s="773"/>
      <c r="B97" s="774"/>
      <c r="C97" s="423" t="s">
        <v>259</v>
      </c>
      <c r="D97" s="415">
        <f>L4</f>
        <v>20.733333333333334</v>
      </c>
      <c r="E97" s="774" t="s">
        <v>202</v>
      </c>
      <c r="F97" s="3631"/>
      <c r="G97" s="3632"/>
      <c r="H97" s="3631"/>
      <c r="I97" s="3632"/>
      <c r="J97" s="414">
        <v>2500</v>
      </c>
      <c r="K97" s="424">
        <f>SUM(D97*J97)</f>
        <v>51833.333333333336</v>
      </c>
      <c r="L97" s="425">
        <f>SUM(G97+I97+K97)</f>
        <v>51833.333333333336</v>
      </c>
      <c r="M97" s="3642"/>
      <c r="N97" s="426"/>
    </row>
    <row r="98" spans="1:14" ht="15" customHeight="1" x14ac:dyDescent="0.35">
      <c r="A98" s="773"/>
      <c r="B98" s="774"/>
      <c r="C98" s="810" t="s">
        <v>260</v>
      </c>
      <c r="D98" s="818">
        <v>0</v>
      </c>
      <c r="E98" s="792" t="s">
        <v>215</v>
      </c>
      <c r="F98" s="3633"/>
      <c r="G98" s="3634"/>
      <c r="H98" s="3633"/>
      <c r="I98" s="3634"/>
      <c r="J98" s="795">
        <v>1000</v>
      </c>
      <c r="K98" s="788">
        <f>SUM(D98*J98)</f>
        <v>0</v>
      </c>
      <c r="L98" s="789">
        <f>SUM(G98+I98+K98)</f>
        <v>0</v>
      </c>
      <c r="M98" s="3643"/>
      <c r="N98" s="819"/>
    </row>
    <row r="99" spans="1:14" ht="15" customHeight="1" x14ac:dyDescent="0.35">
      <c r="A99" s="3644"/>
      <c r="B99" s="3645"/>
      <c r="C99" s="813" t="s">
        <v>261</v>
      </c>
      <c r="D99" s="798"/>
      <c r="E99" s="799"/>
      <c r="F99" s="799"/>
      <c r="G99" s="799"/>
      <c r="H99" s="799"/>
      <c r="I99" s="799"/>
      <c r="J99" s="799"/>
      <c r="K99" s="799"/>
      <c r="L99" s="801">
        <f>SUM(L100:L117)</f>
        <v>24513.333333333336</v>
      </c>
      <c r="M99" s="801"/>
      <c r="N99" s="801"/>
    </row>
    <row r="100" spans="1:14" x14ac:dyDescent="0.35">
      <c r="A100" s="773"/>
      <c r="B100" s="774">
        <v>15000</v>
      </c>
      <c r="C100" s="760" t="s">
        <v>262</v>
      </c>
      <c r="D100" s="761">
        <v>0</v>
      </c>
      <c r="E100" s="766" t="s">
        <v>263</v>
      </c>
      <c r="F100" s="3629"/>
      <c r="G100" s="3630"/>
      <c r="H100" s="3629"/>
      <c r="I100" s="3630"/>
      <c r="J100" s="787">
        <v>8.3000000000000007</v>
      </c>
      <c r="K100" s="772">
        <f>J100*D100</f>
        <v>0</v>
      </c>
      <c r="L100" s="779">
        <f t="shared" ref="L100:L117" si="18">SUM(G100+I100+K100)</f>
        <v>0</v>
      </c>
      <c r="M100" s="3641"/>
      <c r="N100" s="820" t="s">
        <v>264</v>
      </c>
    </row>
    <row r="101" spans="1:14" x14ac:dyDescent="0.35">
      <c r="A101" s="773"/>
      <c r="B101" s="774"/>
      <c r="C101" s="760" t="s">
        <v>265</v>
      </c>
      <c r="D101" s="761">
        <v>0</v>
      </c>
      <c r="E101" s="766" t="s">
        <v>263</v>
      </c>
      <c r="F101" s="3631"/>
      <c r="G101" s="3632"/>
      <c r="H101" s="3631"/>
      <c r="I101" s="3632"/>
      <c r="J101" s="787">
        <v>9.8000000000000007</v>
      </c>
      <c r="K101" s="772">
        <f>J101*D101</f>
        <v>0</v>
      </c>
      <c r="L101" s="779">
        <f t="shared" si="18"/>
        <v>0</v>
      </c>
      <c r="M101" s="3642"/>
      <c r="N101" s="820" t="s">
        <v>264</v>
      </c>
    </row>
    <row r="102" spans="1:14" x14ac:dyDescent="0.35">
      <c r="A102" s="773"/>
      <c r="B102" s="774"/>
      <c r="C102" s="760" t="s">
        <v>266</v>
      </c>
      <c r="D102" s="761">
        <v>0</v>
      </c>
      <c r="E102" s="766" t="s">
        <v>263</v>
      </c>
      <c r="F102" s="3631"/>
      <c r="G102" s="3632"/>
      <c r="H102" s="3631"/>
      <c r="I102" s="3632"/>
      <c r="J102" s="787">
        <v>6.49</v>
      </c>
      <c r="K102" s="772">
        <f t="shared" ref="K102:K108" si="19">SUM(D102*J102)</f>
        <v>0</v>
      </c>
      <c r="L102" s="779">
        <f t="shared" si="18"/>
        <v>0</v>
      </c>
      <c r="M102" s="3642"/>
      <c r="N102" s="820" t="s">
        <v>264</v>
      </c>
    </row>
    <row r="103" spans="1:14" x14ac:dyDescent="0.35">
      <c r="A103" s="773"/>
      <c r="B103" s="774"/>
      <c r="C103" s="760" t="s">
        <v>267</v>
      </c>
      <c r="D103" s="761">
        <v>0</v>
      </c>
      <c r="E103" s="766" t="s">
        <v>263</v>
      </c>
      <c r="F103" s="3631"/>
      <c r="G103" s="3632"/>
      <c r="H103" s="3631"/>
      <c r="I103" s="3632"/>
      <c r="J103" s="787">
        <v>7.49</v>
      </c>
      <c r="K103" s="772">
        <f t="shared" si="19"/>
        <v>0</v>
      </c>
      <c r="L103" s="779">
        <f t="shared" si="18"/>
        <v>0</v>
      </c>
      <c r="M103" s="3642"/>
      <c r="N103" s="820" t="s">
        <v>264</v>
      </c>
    </row>
    <row r="104" spans="1:14" x14ac:dyDescent="0.35">
      <c r="A104" s="773"/>
      <c r="B104" s="774"/>
      <c r="C104" s="760" t="s">
        <v>268</v>
      </c>
      <c r="D104" s="809">
        <v>0</v>
      </c>
      <c r="E104" s="766" t="s">
        <v>199</v>
      </c>
      <c r="F104" s="3631"/>
      <c r="G104" s="3632"/>
      <c r="H104" s="3631"/>
      <c r="I104" s="3632"/>
      <c r="J104" s="787">
        <v>800</v>
      </c>
      <c r="K104" s="772">
        <f t="shared" si="19"/>
        <v>0</v>
      </c>
      <c r="L104" s="779">
        <f t="shared" si="18"/>
        <v>0</v>
      </c>
      <c r="M104" s="3642"/>
      <c r="N104" s="820" t="s">
        <v>264</v>
      </c>
    </row>
    <row r="105" spans="1:14" x14ac:dyDescent="0.35">
      <c r="A105" s="773"/>
      <c r="B105" s="774">
        <v>15000</v>
      </c>
      <c r="C105" s="775" t="s">
        <v>269</v>
      </c>
      <c r="D105" s="809">
        <f>L4</f>
        <v>20.733333333333334</v>
      </c>
      <c r="E105" s="774" t="s">
        <v>202</v>
      </c>
      <c r="F105" s="3631"/>
      <c r="G105" s="3632"/>
      <c r="H105" s="3631"/>
      <c r="I105" s="3632"/>
      <c r="J105" s="787">
        <v>150</v>
      </c>
      <c r="K105" s="772">
        <f t="shared" si="19"/>
        <v>3110</v>
      </c>
      <c r="L105" s="779">
        <f t="shared" si="18"/>
        <v>3110</v>
      </c>
      <c r="M105" s="3642"/>
      <c r="N105" s="764"/>
    </row>
    <row r="106" spans="1:14" x14ac:dyDescent="0.35">
      <c r="A106" s="773"/>
      <c r="B106" s="774"/>
      <c r="C106" s="775" t="s">
        <v>270</v>
      </c>
      <c r="D106" s="809">
        <f>K4</f>
        <v>88.857142857142861</v>
      </c>
      <c r="E106" s="774" t="s">
        <v>176</v>
      </c>
      <c r="F106" s="3631"/>
      <c r="G106" s="3632"/>
      <c r="H106" s="3631"/>
      <c r="I106" s="3632"/>
      <c r="J106" s="787">
        <v>0</v>
      </c>
      <c r="K106" s="772">
        <f t="shared" si="19"/>
        <v>0</v>
      </c>
      <c r="L106" s="779">
        <f t="shared" si="18"/>
        <v>0</v>
      </c>
      <c r="M106" s="3642"/>
      <c r="N106" s="815"/>
    </row>
    <row r="107" spans="1:14" x14ac:dyDescent="0.35">
      <c r="A107" s="773"/>
      <c r="B107" s="774"/>
      <c r="C107" s="775" t="s">
        <v>271</v>
      </c>
      <c r="D107" s="809">
        <v>1</v>
      </c>
      <c r="E107" s="774" t="s">
        <v>215</v>
      </c>
      <c r="F107" s="3631"/>
      <c r="G107" s="3632"/>
      <c r="H107" s="3631"/>
      <c r="I107" s="3632"/>
      <c r="J107" s="787">
        <v>10000</v>
      </c>
      <c r="K107" s="772">
        <f t="shared" si="19"/>
        <v>10000</v>
      </c>
      <c r="L107" s="779">
        <f t="shared" si="18"/>
        <v>10000</v>
      </c>
      <c r="M107" s="3642"/>
      <c r="N107" s="778"/>
    </row>
    <row r="108" spans="1:14" x14ac:dyDescent="0.35">
      <c r="A108" s="773"/>
      <c r="B108" s="774">
        <v>15000</v>
      </c>
      <c r="C108" s="775" t="s">
        <v>272</v>
      </c>
      <c r="D108" s="809">
        <v>0</v>
      </c>
      <c r="E108" s="774" t="s">
        <v>215</v>
      </c>
      <c r="F108" s="3631"/>
      <c r="G108" s="3632"/>
      <c r="H108" s="3631"/>
      <c r="I108" s="3632"/>
      <c r="J108" s="787">
        <v>2500</v>
      </c>
      <c r="K108" s="772">
        <f t="shared" si="19"/>
        <v>0</v>
      </c>
      <c r="L108" s="779">
        <f t="shared" si="18"/>
        <v>0</v>
      </c>
      <c r="M108" s="3642"/>
      <c r="N108" s="778"/>
    </row>
    <row r="109" spans="1:14" x14ac:dyDescent="0.35">
      <c r="A109" s="773"/>
      <c r="B109" s="774"/>
      <c r="C109" s="775" t="s">
        <v>273</v>
      </c>
      <c r="D109" s="809">
        <v>0</v>
      </c>
      <c r="E109" s="774" t="s">
        <v>215</v>
      </c>
      <c r="F109" s="3631"/>
      <c r="G109" s="3632"/>
      <c r="H109" s="3631"/>
      <c r="I109" s="3632"/>
      <c r="J109" s="787">
        <v>1500</v>
      </c>
      <c r="K109" s="772">
        <f>J109*D109</f>
        <v>0</v>
      </c>
      <c r="L109" s="779">
        <f t="shared" si="18"/>
        <v>0</v>
      </c>
      <c r="M109" s="3642"/>
      <c r="N109" s="778"/>
    </row>
    <row r="110" spans="1:14" x14ac:dyDescent="0.35">
      <c r="A110" s="773"/>
      <c r="B110" s="774"/>
      <c r="C110" s="775" t="s">
        <v>274</v>
      </c>
      <c r="D110" s="809">
        <v>0</v>
      </c>
      <c r="E110" s="774" t="s">
        <v>215</v>
      </c>
      <c r="F110" s="3631"/>
      <c r="G110" s="3632"/>
      <c r="H110" s="3631"/>
      <c r="I110" s="3632"/>
      <c r="J110" s="787">
        <v>500</v>
      </c>
      <c r="K110" s="772">
        <f>J110*D110</f>
        <v>0</v>
      </c>
      <c r="L110" s="779">
        <f t="shared" si="18"/>
        <v>0</v>
      </c>
      <c r="M110" s="3642"/>
      <c r="N110" s="778"/>
    </row>
    <row r="111" spans="1:14" x14ac:dyDescent="0.35">
      <c r="A111" s="773"/>
      <c r="B111" s="774">
        <v>15000</v>
      </c>
      <c r="C111" s="775" t="s">
        <v>275</v>
      </c>
      <c r="D111" s="809">
        <v>0</v>
      </c>
      <c r="E111" s="774" t="s">
        <v>215</v>
      </c>
      <c r="F111" s="3631"/>
      <c r="G111" s="3632"/>
      <c r="H111" s="3631"/>
      <c r="I111" s="3632"/>
      <c r="J111" s="787">
        <v>5000</v>
      </c>
      <c r="K111" s="772">
        <f t="shared" ref="K111:K117" si="20">SUM(D111*J111)</f>
        <v>0</v>
      </c>
      <c r="L111" s="779">
        <f t="shared" si="18"/>
        <v>0</v>
      </c>
      <c r="M111" s="3642"/>
      <c r="N111" s="778"/>
    </row>
    <row r="112" spans="1:14" x14ac:dyDescent="0.35">
      <c r="A112" s="773"/>
      <c r="B112" s="774"/>
      <c r="C112" s="775" t="s">
        <v>276</v>
      </c>
      <c r="D112" s="809">
        <v>0</v>
      </c>
      <c r="E112" s="774" t="s">
        <v>215</v>
      </c>
      <c r="F112" s="3631"/>
      <c r="G112" s="3632"/>
      <c r="H112" s="3631"/>
      <c r="I112" s="3632"/>
      <c r="J112" s="787">
        <v>0</v>
      </c>
      <c r="K112" s="772">
        <f t="shared" si="20"/>
        <v>0</v>
      </c>
      <c r="L112" s="779">
        <f t="shared" si="18"/>
        <v>0</v>
      </c>
      <c r="M112" s="3642"/>
      <c r="N112" s="778"/>
    </row>
    <row r="113" spans="1:15" x14ac:dyDescent="0.35">
      <c r="A113" s="773"/>
      <c r="B113" s="774">
        <v>15000</v>
      </c>
      <c r="C113" s="775" t="s">
        <v>277</v>
      </c>
      <c r="D113" s="809">
        <v>0</v>
      </c>
      <c r="E113" s="774" t="s">
        <v>215</v>
      </c>
      <c r="F113" s="3631"/>
      <c r="G113" s="3632"/>
      <c r="H113" s="3631"/>
      <c r="I113" s="3632"/>
      <c r="J113" s="787">
        <v>5000</v>
      </c>
      <c r="K113" s="772">
        <f t="shared" si="20"/>
        <v>0</v>
      </c>
      <c r="L113" s="779">
        <f t="shared" si="18"/>
        <v>0</v>
      </c>
      <c r="M113" s="3642"/>
      <c r="N113" s="778"/>
    </row>
    <row r="114" spans="1:15" x14ac:dyDescent="0.35">
      <c r="A114" s="773"/>
      <c r="B114" s="774">
        <v>15000</v>
      </c>
      <c r="C114" s="775" t="s">
        <v>278</v>
      </c>
      <c r="D114" s="809">
        <v>0</v>
      </c>
      <c r="E114" s="774" t="s">
        <v>215</v>
      </c>
      <c r="F114" s="3631"/>
      <c r="G114" s="3632"/>
      <c r="H114" s="3631"/>
      <c r="I114" s="3632"/>
      <c r="J114" s="787">
        <v>5000</v>
      </c>
      <c r="K114" s="772">
        <f t="shared" si="20"/>
        <v>0</v>
      </c>
      <c r="L114" s="779">
        <f t="shared" si="18"/>
        <v>0</v>
      </c>
      <c r="M114" s="3642"/>
      <c r="N114" s="778"/>
    </row>
    <row r="115" spans="1:15" x14ac:dyDescent="0.35">
      <c r="A115" s="773"/>
      <c r="B115" s="774"/>
      <c r="C115" s="775" t="s">
        <v>279</v>
      </c>
      <c r="D115" s="761">
        <f>L4</f>
        <v>20.733333333333334</v>
      </c>
      <c r="E115" s="774" t="s">
        <v>202</v>
      </c>
      <c r="F115" s="3631"/>
      <c r="G115" s="3632"/>
      <c r="H115" s="3631"/>
      <c r="I115" s="3632"/>
      <c r="J115" s="787">
        <v>500</v>
      </c>
      <c r="K115" s="772">
        <f t="shared" si="20"/>
        <v>10366.666666666668</v>
      </c>
      <c r="L115" s="779">
        <f t="shared" si="18"/>
        <v>10366.666666666668</v>
      </c>
      <c r="M115" s="3642"/>
      <c r="N115" s="778"/>
    </row>
    <row r="116" spans="1:15" x14ac:dyDescent="0.35">
      <c r="A116" s="773"/>
      <c r="B116" s="774"/>
      <c r="C116" s="775" t="s">
        <v>280</v>
      </c>
      <c r="D116" s="761">
        <f>L4</f>
        <v>20.733333333333334</v>
      </c>
      <c r="E116" s="774" t="s">
        <v>202</v>
      </c>
      <c r="F116" s="3631"/>
      <c r="G116" s="3632"/>
      <c r="H116" s="3631"/>
      <c r="I116" s="3632"/>
      <c r="J116" s="767">
        <v>50</v>
      </c>
      <c r="K116" s="772">
        <f t="shared" si="20"/>
        <v>1036.6666666666667</v>
      </c>
      <c r="L116" s="769">
        <f t="shared" si="18"/>
        <v>1036.6666666666667</v>
      </c>
      <c r="M116" s="3642"/>
      <c r="N116" s="778"/>
    </row>
    <row r="117" spans="1:15" ht="15" customHeight="1" x14ac:dyDescent="0.35">
      <c r="A117" s="773"/>
      <c r="B117" s="774"/>
      <c r="C117" s="810" t="s">
        <v>281</v>
      </c>
      <c r="D117" s="821">
        <v>0</v>
      </c>
      <c r="E117" s="792" t="s">
        <v>199</v>
      </c>
      <c r="F117" s="3633"/>
      <c r="G117" s="3634"/>
      <c r="H117" s="3633"/>
      <c r="I117" s="3634"/>
      <c r="J117" s="420">
        <v>0</v>
      </c>
      <c r="K117" s="772">
        <f t="shared" si="20"/>
        <v>0</v>
      </c>
      <c r="L117" s="421">
        <f t="shared" si="18"/>
        <v>0</v>
      </c>
      <c r="M117" s="3643"/>
      <c r="N117" s="819"/>
    </row>
    <row r="118" spans="1:15" ht="15" customHeight="1" x14ac:dyDescent="0.35">
      <c r="A118" s="3644"/>
      <c r="B118" s="3645"/>
      <c r="C118" s="813" t="s">
        <v>282</v>
      </c>
      <c r="D118" s="798"/>
      <c r="E118" s="799"/>
      <c r="F118" s="799"/>
      <c r="G118" s="799"/>
      <c r="H118" s="799"/>
      <c r="I118" s="799"/>
      <c r="J118" s="799"/>
      <c r="K118" s="799"/>
      <c r="L118" s="801">
        <f>SUM(L119:L124)</f>
        <v>0</v>
      </c>
      <c r="M118" s="801"/>
      <c r="N118" s="801"/>
    </row>
    <row r="119" spans="1:15" x14ac:dyDescent="0.35">
      <c r="A119" s="587"/>
      <c r="B119" s="586"/>
      <c r="C119" s="588" t="s">
        <v>283</v>
      </c>
      <c r="D119" s="415">
        <v>0</v>
      </c>
      <c r="E119" s="586" t="s">
        <v>176</v>
      </c>
      <c r="F119" s="3629"/>
      <c r="G119" s="3630"/>
      <c r="H119" s="3629"/>
      <c r="I119" s="3630"/>
      <c r="J119" s="589">
        <v>350</v>
      </c>
      <c r="K119" s="590">
        <f t="shared" ref="K119:K124" si="21">SUM(D119*J119)</f>
        <v>0</v>
      </c>
      <c r="L119" s="591">
        <f t="shared" ref="L119:L124" si="22">SUM(G119+I119+K119)</f>
        <v>0</v>
      </c>
      <c r="M119" s="3641"/>
      <c r="N119" s="592" t="s">
        <v>284</v>
      </c>
    </row>
    <row r="120" spans="1:15" x14ac:dyDescent="0.35">
      <c r="A120" s="773"/>
      <c r="B120" s="774"/>
      <c r="C120" s="775" t="s">
        <v>285</v>
      </c>
      <c r="D120" s="822">
        <v>0</v>
      </c>
      <c r="E120" s="774" t="s">
        <v>176</v>
      </c>
      <c r="F120" s="3631"/>
      <c r="G120" s="3632"/>
      <c r="H120" s="3631"/>
      <c r="I120" s="3632"/>
      <c r="J120" s="767">
        <v>400</v>
      </c>
      <c r="K120" s="768">
        <f t="shared" si="21"/>
        <v>0</v>
      </c>
      <c r="L120" s="769">
        <f t="shared" si="22"/>
        <v>0</v>
      </c>
      <c r="M120" s="3642"/>
      <c r="N120" s="823" t="s">
        <v>284</v>
      </c>
    </row>
    <row r="121" spans="1:15" x14ac:dyDescent="0.35">
      <c r="A121" s="765"/>
      <c r="B121" s="766"/>
      <c r="C121" s="760" t="s">
        <v>286</v>
      </c>
      <c r="D121" s="761">
        <f>K6</f>
        <v>0</v>
      </c>
      <c r="E121" s="766" t="s">
        <v>176</v>
      </c>
      <c r="F121" s="3631"/>
      <c r="G121" s="3632"/>
      <c r="H121" s="3631"/>
      <c r="I121" s="3632"/>
      <c r="J121" s="787">
        <v>500</v>
      </c>
      <c r="K121" s="772">
        <f t="shared" si="21"/>
        <v>0</v>
      </c>
      <c r="L121" s="779">
        <f t="shared" si="22"/>
        <v>0</v>
      </c>
      <c r="M121" s="3642"/>
      <c r="N121" s="808" t="s">
        <v>284</v>
      </c>
    </row>
    <row r="122" spans="1:15" x14ac:dyDescent="0.35">
      <c r="A122" s="773"/>
      <c r="B122" s="774"/>
      <c r="C122" s="775" t="s">
        <v>287</v>
      </c>
      <c r="D122" s="761">
        <f>K4</f>
        <v>88.857142857142861</v>
      </c>
      <c r="E122" s="774" t="s">
        <v>176</v>
      </c>
      <c r="F122" s="3631"/>
      <c r="G122" s="3632"/>
      <c r="H122" s="3631"/>
      <c r="I122" s="3632"/>
      <c r="J122" s="767">
        <v>0</v>
      </c>
      <c r="K122" s="772">
        <f t="shared" si="21"/>
        <v>0</v>
      </c>
      <c r="L122" s="779">
        <f t="shared" si="22"/>
        <v>0</v>
      </c>
      <c r="M122" s="3642"/>
      <c r="N122" s="815"/>
    </row>
    <row r="123" spans="1:15" x14ac:dyDescent="0.35">
      <c r="A123" s="773"/>
      <c r="B123" s="774">
        <v>17300</v>
      </c>
      <c r="C123" s="775" t="s">
        <v>288</v>
      </c>
      <c r="D123" s="761">
        <v>0</v>
      </c>
      <c r="E123" s="774" t="s">
        <v>176</v>
      </c>
      <c r="F123" s="3631"/>
      <c r="G123" s="3632"/>
      <c r="H123" s="3631"/>
      <c r="I123" s="3632"/>
      <c r="J123" s="767">
        <f>65*8</f>
        <v>520</v>
      </c>
      <c r="K123" s="772">
        <f t="shared" si="21"/>
        <v>0</v>
      </c>
      <c r="L123" s="779">
        <f t="shared" si="22"/>
        <v>0</v>
      </c>
      <c r="M123" s="3642"/>
      <c r="N123" s="815"/>
    </row>
    <row r="124" spans="1:15" ht="15" customHeight="1" x14ac:dyDescent="0.35">
      <c r="A124" s="791"/>
      <c r="B124" s="792"/>
      <c r="C124" s="810" t="s">
        <v>289</v>
      </c>
      <c r="D124" s="419">
        <v>0</v>
      </c>
      <c r="E124" s="792" t="s">
        <v>245</v>
      </c>
      <c r="F124" s="3633"/>
      <c r="G124" s="3634"/>
      <c r="H124" s="3633"/>
      <c r="I124" s="3634"/>
      <c r="J124" s="824">
        <v>0.5</v>
      </c>
      <c r="K124" s="418">
        <f t="shared" si="21"/>
        <v>0</v>
      </c>
      <c r="L124" s="789">
        <f t="shared" si="22"/>
        <v>0</v>
      </c>
      <c r="M124" s="3643"/>
      <c r="N124" s="817"/>
      <c r="O124" t="s">
        <v>290</v>
      </c>
    </row>
    <row r="125" spans="1:15" ht="15" customHeight="1" x14ac:dyDescent="0.35">
      <c r="A125" s="3644"/>
      <c r="B125" s="3645"/>
      <c r="C125" s="813" t="s">
        <v>291</v>
      </c>
      <c r="D125" s="798"/>
      <c r="E125" s="799"/>
      <c r="F125" s="799"/>
      <c r="G125" s="799"/>
      <c r="H125" s="799"/>
      <c r="I125" s="799"/>
      <c r="J125" s="799"/>
      <c r="K125" s="799"/>
      <c r="L125" s="801">
        <f>SUM(L126:L133)</f>
        <v>47146.666666666672</v>
      </c>
      <c r="M125" s="801"/>
      <c r="N125" s="801"/>
    </row>
    <row r="126" spans="1:15" ht="15" customHeight="1" x14ac:dyDescent="0.35">
      <c r="A126" s="773"/>
      <c r="B126" s="774">
        <v>13200</v>
      </c>
      <c r="C126" s="775" t="s">
        <v>292</v>
      </c>
      <c r="D126" s="761">
        <v>1</v>
      </c>
      <c r="E126" s="774" t="s">
        <v>215</v>
      </c>
      <c r="F126" s="3631"/>
      <c r="G126" s="3632"/>
      <c r="H126" s="3631"/>
      <c r="I126" s="3632"/>
      <c r="J126" s="767">
        <v>10000</v>
      </c>
      <c r="K126" s="772">
        <f t="shared" ref="K126:K133" si="23">SUM(D126*J126)</f>
        <v>10000</v>
      </c>
      <c r="L126" s="779">
        <f t="shared" ref="L126:L133" si="24">SUM(G126+I126+K126)</f>
        <v>10000</v>
      </c>
      <c r="M126" s="3642"/>
      <c r="N126" s="825" t="s">
        <v>293</v>
      </c>
    </row>
    <row r="127" spans="1:15" ht="15" customHeight="1" x14ac:dyDescent="0.35">
      <c r="A127" s="773"/>
      <c r="B127" s="774">
        <v>13200</v>
      </c>
      <c r="C127" s="775" t="s">
        <v>294</v>
      </c>
      <c r="D127" s="761">
        <v>20</v>
      </c>
      <c r="E127" s="774" t="s">
        <v>202</v>
      </c>
      <c r="F127" s="3631"/>
      <c r="G127" s="3632"/>
      <c r="H127" s="3631"/>
      <c r="I127" s="3632"/>
      <c r="J127" s="767">
        <v>1650</v>
      </c>
      <c r="K127" s="826">
        <f t="shared" si="23"/>
        <v>33000</v>
      </c>
      <c r="L127" s="779">
        <f t="shared" si="24"/>
        <v>33000</v>
      </c>
      <c r="M127" s="3642"/>
      <c r="N127" s="825" t="s">
        <v>295</v>
      </c>
    </row>
    <row r="128" spans="1:15" ht="15" customHeight="1" x14ac:dyDescent="0.35">
      <c r="A128" s="773"/>
      <c r="B128" s="774">
        <v>13200</v>
      </c>
      <c r="C128" s="775" t="s">
        <v>296</v>
      </c>
      <c r="D128" s="761">
        <v>0</v>
      </c>
      <c r="E128" s="774" t="s">
        <v>202</v>
      </c>
      <c r="F128" s="3631"/>
      <c r="G128" s="3632"/>
      <c r="H128" s="3631"/>
      <c r="I128" s="3632"/>
      <c r="J128" s="767">
        <v>300</v>
      </c>
      <c r="K128" s="772">
        <f t="shared" si="23"/>
        <v>0</v>
      </c>
      <c r="L128" s="779">
        <f t="shared" si="24"/>
        <v>0</v>
      </c>
      <c r="M128" s="3642"/>
      <c r="N128" s="825" t="s">
        <v>297</v>
      </c>
    </row>
    <row r="129" spans="1:14" x14ac:dyDescent="0.35">
      <c r="A129" s="773"/>
      <c r="B129" s="774">
        <v>13233</v>
      </c>
      <c r="C129" s="775" t="s">
        <v>298</v>
      </c>
      <c r="D129" s="761">
        <f>L4</f>
        <v>20.733333333333334</v>
      </c>
      <c r="E129" s="774" t="s">
        <v>202</v>
      </c>
      <c r="F129" s="3631"/>
      <c r="G129" s="3632"/>
      <c r="H129" s="3631"/>
      <c r="I129" s="3632"/>
      <c r="J129" s="767">
        <v>100</v>
      </c>
      <c r="K129" s="772">
        <f t="shared" si="23"/>
        <v>2073.3333333333335</v>
      </c>
      <c r="L129" s="779">
        <f t="shared" si="24"/>
        <v>2073.3333333333335</v>
      </c>
      <c r="M129" s="3642"/>
      <c r="N129" s="815"/>
    </row>
    <row r="130" spans="1:14" x14ac:dyDescent="0.35">
      <c r="A130" s="773"/>
      <c r="B130" s="774">
        <v>13233</v>
      </c>
      <c r="C130" s="775" t="s">
        <v>299</v>
      </c>
      <c r="D130" s="761">
        <f>L4</f>
        <v>20.733333333333334</v>
      </c>
      <c r="E130" s="774" t="s">
        <v>202</v>
      </c>
      <c r="F130" s="3631"/>
      <c r="G130" s="3632"/>
      <c r="H130" s="3631"/>
      <c r="I130" s="3632"/>
      <c r="J130" s="767">
        <v>100</v>
      </c>
      <c r="K130" s="772">
        <f t="shared" si="23"/>
        <v>2073.3333333333335</v>
      </c>
      <c r="L130" s="769">
        <f t="shared" si="24"/>
        <v>2073.3333333333335</v>
      </c>
      <c r="M130" s="3642"/>
      <c r="N130" s="815"/>
    </row>
    <row r="131" spans="1:14" x14ac:dyDescent="0.35">
      <c r="A131" s="773"/>
      <c r="B131" s="774"/>
      <c r="C131" s="775" t="s">
        <v>300</v>
      </c>
      <c r="D131" s="822">
        <v>0</v>
      </c>
      <c r="E131" s="774" t="s">
        <v>215</v>
      </c>
      <c r="F131" s="3631"/>
      <c r="G131" s="3632"/>
      <c r="H131" s="3631"/>
      <c r="I131" s="3632"/>
      <c r="J131" s="787">
        <v>2500</v>
      </c>
      <c r="K131" s="772">
        <f t="shared" si="23"/>
        <v>0</v>
      </c>
      <c r="L131" s="779">
        <f t="shared" si="24"/>
        <v>0</v>
      </c>
      <c r="M131" s="3642"/>
      <c r="N131" s="827"/>
    </row>
    <row r="132" spans="1:14" x14ac:dyDescent="0.35">
      <c r="A132" s="773"/>
      <c r="B132" s="774">
        <v>13233</v>
      </c>
      <c r="C132" s="760" t="s">
        <v>301</v>
      </c>
      <c r="D132" s="761">
        <v>0</v>
      </c>
      <c r="E132" s="766" t="s">
        <v>215</v>
      </c>
      <c r="F132" s="3631"/>
      <c r="G132" s="3632"/>
      <c r="H132" s="3631"/>
      <c r="I132" s="3632"/>
      <c r="J132" s="767">
        <v>500</v>
      </c>
      <c r="K132" s="772">
        <f t="shared" si="23"/>
        <v>0</v>
      </c>
      <c r="L132" s="769">
        <f t="shared" si="24"/>
        <v>0</v>
      </c>
      <c r="M132" s="3642"/>
      <c r="N132" s="827"/>
    </row>
    <row r="133" spans="1:14" ht="15" customHeight="1" x14ac:dyDescent="0.35">
      <c r="A133" s="773"/>
      <c r="B133" s="774"/>
      <c r="C133" s="780" t="s">
        <v>302</v>
      </c>
      <c r="D133" s="415">
        <v>0</v>
      </c>
      <c r="E133" s="781" t="s">
        <v>215</v>
      </c>
      <c r="F133" s="3633"/>
      <c r="G133" s="3634"/>
      <c r="H133" s="3633"/>
      <c r="I133" s="3634"/>
      <c r="J133" s="414">
        <v>0</v>
      </c>
      <c r="K133" s="772">
        <f t="shared" si="23"/>
        <v>0</v>
      </c>
      <c r="L133" s="425">
        <f t="shared" si="24"/>
        <v>0</v>
      </c>
      <c r="M133" s="3643"/>
      <c r="N133" s="827"/>
    </row>
    <row r="134" spans="1:14" ht="15" customHeight="1" x14ac:dyDescent="0.35">
      <c r="A134" s="3644"/>
      <c r="B134" s="3645"/>
      <c r="C134" s="813" t="s">
        <v>303</v>
      </c>
      <c r="D134" s="798"/>
      <c r="E134" s="799"/>
      <c r="F134" s="799"/>
      <c r="G134" s="799"/>
      <c r="H134" s="799"/>
      <c r="I134" s="799"/>
      <c r="J134" s="799"/>
      <c r="K134" s="799"/>
      <c r="L134" s="801">
        <f>SUM(L135:L139)</f>
        <v>3110</v>
      </c>
      <c r="M134" s="801"/>
      <c r="N134" s="801"/>
    </row>
    <row r="135" spans="1:14" x14ac:dyDescent="0.35">
      <c r="A135" s="773"/>
      <c r="B135" s="774"/>
      <c r="C135" s="760" t="s">
        <v>304</v>
      </c>
      <c r="D135" s="761">
        <v>0</v>
      </c>
      <c r="E135" s="766" t="s">
        <v>215</v>
      </c>
      <c r="F135" s="3629"/>
      <c r="G135" s="3630"/>
      <c r="H135" s="3629"/>
      <c r="I135" s="3630"/>
      <c r="J135" s="767">
        <v>1000</v>
      </c>
      <c r="K135" s="772">
        <f>SUM(D135*J135)</f>
        <v>0</v>
      </c>
      <c r="L135" s="779">
        <f>SUM(G135+I135+K135)</f>
        <v>0</v>
      </c>
      <c r="M135" s="3641"/>
      <c r="N135" s="764"/>
    </row>
    <row r="136" spans="1:14" x14ac:dyDescent="0.35">
      <c r="A136" s="773"/>
      <c r="B136" s="774">
        <v>10550</v>
      </c>
      <c r="C136" s="775" t="s">
        <v>305</v>
      </c>
      <c r="D136" s="761">
        <v>0</v>
      </c>
      <c r="E136" s="774" t="s">
        <v>215</v>
      </c>
      <c r="F136" s="3631"/>
      <c r="G136" s="3632"/>
      <c r="H136" s="3649"/>
      <c r="I136" s="3650"/>
      <c r="J136" s="767">
        <v>500</v>
      </c>
      <c r="K136" s="772">
        <f>SUM(D136*J136)</f>
        <v>0</v>
      </c>
      <c r="L136" s="779">
        <f>SUM(G136+I136+K136)</f>
        <v>0</v>
      </c>
      <c r="M136" s="3642"/>
      <c r="N136" s="778"/>
    </row>
    <row r="137" spans="1:14" x14ac:dyDescent="0.35">
      <c r="A137" s="773"/>
      <c r="B137" s="774"/>
      <c r="C137" s="775" t="s">
        <v>306</v>
      </c>
      <c r="D137" s="761">
        <v>0</v>
      </c>
      <c r="E137" s="774" t="s">
        <v>215</v>
      </c>
      <c r="F137" s="3631"/>
      <c r="G137" s="3632"/>
      <c r="H137" s="767">
        <v>0</v>
      </c>
      <c r="I137" s="772">
        <f>SUM(D137*H137)</f>
        <v>0</v>
      </c>
      <c r="J137" s="3651"/>
      <c r="K137" s="3652"/>
      <c r="L137" s="779">
        <f>SUM(G137+I137+K137)</f>
        <v>0</v>
      </c>
      <c r="M137" s="3642"/>
      <c r="N137" s="778"/>
    </row>
    <row r="138" spans="1:14" x14ac:dyDescent="0.35">
      <c r="A138" s="773"/>
      <c r="B138" s="774"/>
      <c r="C138" s="775" t="s">
        <v>307</v>
      </c>
      <c r="D138" s="761">
        <f>$L$4</f>
        <v>20.733333333333334</v>
      </c>
      <c r="E138" s="774" t="s">
        <v>202</v>
      </c>
      <c r="F138" s="3631"/>
      <c r="G138" s="3632"/>
      <c r="H138" s="767">
        <v>75</v>
      </c>
      <c r="I138" s="772">
        <f>SUM(D138*H138)</f>
        <v>1555</v>
      </c>
      <c r="J138" s="3631"/>
      <c r="K138" s="3632"/>
      <c r="L138" s="769">
        <f>SUM(G138+I138+K138)</f>
        <v>1555</v>
      </c>
      <c r="M138" s="3642"/>
      <c r="N138" s="778"/>
    </row>
    <row r="139" spans="1:14" ht="15" customHeight="1" x14ac:dyDescent="0.35">
      <c r="A139" s="773"/>
      <c r="B139" s="774"/>
      <c r="C139" s="780" t="s">
        <v>308</v>
      </c>
      <c r="D139" s="761">
        <f>$L$4</f>
        <v>20.733333333333334</v>
      </c>
      <c r="E139" s="781" t="s">
        <v>202</v>
      </c>
      <c r="F139" s="3633"/>
      <c r="G139" s="3634"/>
      <c r="H139" s="414">
        <v>75</v>
      </c>
      <c r="I139" s="772">
        <f>SUM(D139*H139)</f>
        <v>1555</v>
      </c>
      <c r="J139" s="3633"/>
      <c r="K139" s="3634"/>
      <c r="L139" s="425">
        <f>SUM(G139+I139+K139)</f>
        <v>1555</v>
      </c>
      <c r="M139" s="3643"/>
      <c r="N139" s="828"/>
    </row>
    <row r="140" spans="1:14" ht="15" customHeight="1" x14ac:dyDescent="0.35">
      <c r="A140" s="3644"/>
      <c r="B140" s="3645"/>
      <c r="C140" s="813" t="s">
        <v>309</v>
      </c>
      <c r="D140" s="798"/>
      <c r="E140" s="799"/>
      <c r="F140" s="799"/>
      <c r="G140" s="799"/>
      <c r="H140" s="799"/>
      <c r="I140" s="799"/>
      <c r="J140" s="799"/>
      <c r="K140" s="799"/>
      <c r="L140" s="801">
        <f>SUM(L141:L143)</f>
        <v>0</v>
      </c>
      <c r="M140" s="801"/>
      <c r="N140" s="801"/>
    </row>
    <row r="141" spans="1:14" x14ac:dyDescent="0.35">
      <c r="A141" s="773"/>
      <c r="B141" s="774"/>
      <c r="C141" s="775" t="s">
        <v>310</v>
      </c>
      <c r="D141" s="809">
        <v>0</v>
      </c>
      <c r="E141" s="774" t="s">
        <v>215</v>
      </c>
      <c r="F141" s="3631"/>
      <c r="G141" s="3632"/>
      <c r="H141" s="3631"/>
      <c r="I141" s="3632"/>
      <c r="J141" s="767">
        <v>0</v>
      </c>
      <c r="K141" s="772">
        <f>SUM(D141*J141)</f>
        <v>0</v>
      </c>
      <c r="L141" s="779">
        <f>SUM(G141+I141+K141)</f>
        <v>0</v>
      </c>
      <c r="M141" s="3641"/>
      <c r="N141" s="808" t="s">
        <v>311</v>
      </c>
    </row>
    <row r="142" spans="1:14" x14ac:dyDescent="0.35">
      <c r="A142" s="773"/>
      <c r="B142" s="774"/>
      <c r="C142" s="775" t="s">
        <v>312</v>
      </c>
      <c r="D142" s="829">
        <v>0</v>
      </c>
      <c r="E142" s="774" t="s">
        <v>199</v>
      </c>
      <c r="F142" s="3631"/>
      <c r="G142" s="3632"/>
      <c r="H142" s="3631"/>
      <c r="I142" s="3632"/>
      <c r="J142" s="767">
        <v>0</v>
      </c>
      <c r="K142" s="772">
        <f>SUM(D142*J142)</f>
        <v>0</v>
      </c>
      <c r="L142" s="769">
        <f>SUM(G142+I142+K142)</f>
        <v>0</v>
      </c>
      <c r="M142" s="3642"/>
      <c r="N142" s="808" t="s">
        <v>311</v>
      </c>
    </row>
    <row r="143" spans="1:14" ht="15" customHeight="1" x14ac:dyDescent="0.35">
      <c r="A143" s="773"/>
      <c r="B143" s="774"/>
      <c r="C143" s="780" t="s">
        <v>313</v>
      </c>
      <c r="D143" s="427">
        <v>0</v>
      </c>
      <c r="E143" s="428" t="s">
        <v>215</v>
      </c>
      <c r="F143" s="3633"/>
      <c r="G143" s="3634"/>
      <c r="H143" s="3633"/>
      <c r="I143" s="3634"/>
      <c r="J143" s="414">
        <v>0</v>
      </c>
      <c r="K143" s="772">
        <f>SUM(D143*J143)</f>
        <v>0</v>
      </c>
      <c r="L143" s="425">
        <f>SUM(G143+I143+K143)</f>
        <v>0</v>
      </c>
      <c r="M143" s="3643"/>
      <c r="N143" s="808" t="s">
        <v>311</v>
      </c>
    </row>
    <row r="144" spans="1:14" ht="15" customHeight="1" x14ac:dyDescent="0.35">
      <c r="A144" s="3644"/>
      <c r="B144" s="3645"/>
      <c r="C144" s="813" t="s">
        <v>314</v>
      </c>
      <c r="D144" s="798"/>
      <c r="E144" s="799"/>
      <c r="F144" s="799"/>
      <c r="G144" s="799"/>
      <c r="H144" s="799"/>
      <c r="I144" s="799"/>
      <c r="J144" s="799"/>
      <c r="K144" s="799"/>
      <c r="L144" s="801">
        <f>SUM(L145:L148)</f>
        <v>0</v>
      </c>
      <c r="M144" s="801"/>
      <c r="N144" s="801"/>
    </row>
    <row r="145" spans="1:135" x14ac:dyDescent="0.35">
      <c r="A145" s="574"/>
      <c r="B145" s="575"/>
      <c r="C145" s="581" t="s">
        <v>315</v>
      </c>
      <c r="D145" s="593">
        <v>0</v>
      </c>
      <c r="E145" s="575" t="s">
        <v>215</v>
      </c>
      <c r="F145" s="3629"/>
      <c r="G145" s="3630"/>
      <c r="H145" s="3629"/>
      <c r="I145" s="3630"/>
      <c r="J145" s="576">
        <v>0</v>
      </c>
      <c r="K145" s="577">
        <f>SUM(D145*J145)</f>
        <v>0</v>
      </c>
      <c r="L145" s="578">
        <f>SUM(G145+I145+K145)</f>
        <v>0</v>
      </c>
      <c r="M145" s="3641"/>
      <c r="N145" s="585" t="s">
        <v>311</v>
      </c>
    </row>
    <row r="146" spans="1:135" x14ac:dyDescent="0.35">
      <c r="A146" s="773"/>
      <c r="B146" s="774"/>
      <c r="C146" s="775" t="s">
        <v>316</v>
      </c>
      <c r="D146" s="809">
        <v>0</v>
      </c>
      <c r="E146" s="774" t="s">
        <v>215</v>
      </c>
      <c r="F146" s="3631"/>
      <c r="G146" s="3632"/>
      <c r="H146" s="3631"/>
      <c r="I146" s="3632"/>
      <c r="J146" s="767">
        <v>0</v>
      </c>
      <c r="K146" s="772">
        <f>SUM(D146*J146)</f>
        <v>0</v>
      </c>
      <c r="L146" s="779">
        <f>SUM(G146+I146+K146)</f>
        <v>0</v>
      </c>
      <c r="M146" s="3642"/>
      <c r="N146" s="808" t="s">
        <v>311</v>
      </c>
    </row>
    <row r="147" spans="1:135" x14ac:dyDescent="0.35">
      <c r="A147" s="773"/>
      <c r="B147" s="774"/>
      <c r="C147" s="775" t="s">
        <v>317</v>
      </c>
      <c r="D147" s="809">
        <v>0</v>
      </c>
      <c r="E147" s="774" t="s">
        <v>199</v>
      </c>
      <c r="F147" s="3631"/>
      <c r="G147" s="3632"/>
      <c r="H147" s="3631"/>
      <c r="I147" s="3632"/>
      <c r="J147" s="830">
        <v>0</v>
      </c>
      <c r="K147" s="772">
        <f>SUM(D147*J147)</f>
        <v>0</v>
      </c>
      <c r="L147" s="769">
        <f>SUM(G147+I147+K147)</f>
        <v>0</v>
      </c>
      <c r="M147" s="3642"/>
      <c r="N147" s="808" t="s">
        <v>311</v>
      </c>
    </row>
    <row r="148" spans="1:135" ht="15" customHeight="1" x14ac:dyDescent="0.35">
      <c r="A148" s="791"/>
      <c r="B148" s="792"/>
      <c r="C148" s="810" t="s">
        <v>318</v>
      </c>
      <c r="D148" s="419">
        <v>0</v>
      </c>
      <c r="E148" s="792" t="s">
        <v>215</v>
      </c>
      <c r="F148" s="3633"/>
      <c r="G148" s="3634"/>
      <c r="H148" s="3633"/>
      <c r="I148" s="3634"/>
      <c r="J148" s="795">
        <v>0</v>
      </c>
      <c r="K148" s="418">
        <f>SUM(D148*J148)</f>
        <v>0</v>
      </c>
      <c r="L148" s="421">
        <f>SUM(G148+I148+K148)</f>
        <v>0</v>
      </c>
      <c r="M148" s="3643"/>
      <c r="N148" s="831" t="s">
        <v>311</v>
      </c>
    </row>
    <row r="149" spans="1:135" ht="15" customHeight="1" x14ac:dyDescent="0.35">
      <c r="A149" s="3644"/>
      <c r="B149" s="3645"/>
      <c r="C149" s="813" t="s">
        <v>319</v>
      </c>
      <c r="D149" s="798"/>
      <c r="E149" s="799"/>
      <c r="F149" s="799"/>
      <c r="G149" s="799"/>
      <c r="H149" s="799"/>
      <c r="I149" s="799"/>
      <c r="J149" s="799"/>
      <c r="K149" s="799"/>
      <c r="L149" s="801">
        <f>SUM(L150:L153)</f>
        <v>101597.48</v>
      </c>
      <c r="M149" s="801"/>
      <c r="N149" s="801"/>
    </row>
    <row r="150" spans="1:135" ht="15" customHeight="1" x14ac:dyDescent="0.35">
      <c r="A150" s="574"/>
      <c r="B150" s="575"/>
      <c r="C150" s="581" t="s">
        <v>320</v>
      </c>
      <c r="D150" s="593">
        <v>0</v>
      </c>
      <c r="E150" s="575" t="s">
        <v>202</v>
      </c>
      <c r="F150" s="3629"/>
      <c r="G150" s="3630"/>
      <c r="H150" s="3629"/>
      <c r="I150" s="3630"/>
      <c r="J150" s="576">
        <v>2000</v>
      </c>
      <c r="K150" s="577">
        <f>SUM(D150*J150)</f>
        <v>0</v>
      </c>
      <c r="L150" s="578">
        <f>SUM(G150+I150+K150)</f>
        <v>0</v>
      </c>
      <c r="M150" s="3641"/>
      <c r="N150" s="594"/>
      <c r="P150">
        <v>250</v>
      </c>
      <c r="Q150" t="s">
        <v>321</v>
      </c>
    </row>
    <row r="151" spans="1:135" ht="15" customHeight="1" x14ac:dyDescent="0.35">
      <c r="A151" s="773"/>
      <c r="B151" s="774"/>
      <c r="C151" s="775" t="s">
        <v>322</v>
      </c>
      <c r="D151" s="809">
        <v>0</v>
      </c>
      <c r="E151" s="575" t="s">
        <v>202</v>
      </c>
      <c r="F151" s="3631"/>
      <c r="G151" s="3632"/>
      <c r="H151" s="3631"/>
      <c r="I151" s="3632"/>
      <c r="J151" s="767">
        <v>1000</v>
      </c>
      <c r="K151" s="772">
        <f>SUM(D151*J151)</f>
        <v>0</v>
      </c>
      <c r="L151" s="779">
        <f>SUM(G151+I151+K151)</f>
        <v>0</v>
      </c>
      <c r="M151" s="3642"/>
      <c r="N151" s="815"/>
      <c r="P151">
        <v>125</v>
      </c>
      <c r="Q151" t="s">
        <v>323</v>
      </c>
      <c r="R151" t="s">
        <v>324</v>
      </c>
    </row>
    <row r="152" spans="1:135" ht="15" customHeight="1" x14ac:dyDescent="0.35">
      <c r="A152" s="773"/>
      <c r="B152" s="774"/>
      <c r="C152" s="775" t="s">
        <v>325</v>
      </c>
      <c r="D152" s="809">
        <v>0</v>
      </c>
      <c r="E152" s="575" t="s">
        <v>202</v>
      </c>
      <c r="F152" s="3631"/>
      <c r="G152" s="3632"/>
      <c r="H152" s="3631"/>
      <c r="I152" s="3632"/>
      <c r="J152" s="830">
        <f>2600*2</f>
        <v>5200</v>
      </c>
      <c r="K152" s="772">
        <f>SUM(D152*J152)</f>
        <v>0</v>
      </c>
      <c r="L152" s="769">
        <f>SUM(G152+I152+K152)</f>
        <v>0</v>
      </c>
      <c r="M152" s="3642"/>
      <c r="N152" s="815"/>
      <c r="P152">
        <v>60</v>
      </c>
      <c r="Q152" t="s">
        <v>326</v>
      </c>
    </row>
    <row r="153" spans="1:135" ht="15" customHeight="1" x14ac:dyDescent="0.35">
      <c r="A153" s="791"/>
      <c r="B153" s="792"/>
      <c r="C153" s="775" t="s">
        <v>335</v>
      </c>
      <c r="D153" s="419">
        <f>L4</f>
        <v>20.733333333333334</v>
      </c>
      <c r="E153" s="575" t="s">
        <v>202</v>
      </c>
      <c r="F153" s="3633"/>
      <c r="G153" s="3634"/>
      <c r="H153" s="3633"/>
      <c r="I153" s="3634"/>
      <c r="J153" s="795">
        <v>4900.2</v>
      </c>
      <c r="K153" s="418">
        <f>SUM(D153*J153)</f>
        <v>101597.48</v>
      </c>
      <c r="L153" s="421">
        <f>SUM(G153+I153+K153)</f>
        <v>101597.48</v>
      </c>
      <c r="M153" s="3643"/>
      <c r="N153" s="817"/>
    </row>
    <row r="154" spans="1:135" ht="15" customHeight="1" x14ac:dyDescent="0.35">
      <c r="A154" s="3644"/>
      <c r="B154" s="3645"/>
      <c r="C154" s="813" t="s">
        <v>327</v>
      </c>
      <c r="D154" s="798"/>
      <c r="E154" s="799"/>
      <c r="F154" s="799"/>
      <c r="G154" s="799"/>
      <c r="H154" s="799"/>
      <c r="I154" s="799"/>
      <c r="J154" s="799"/>
      <c r="K154" s="799"/>
      <c r="L154" s="801">
        <f>SUM(L155:L157)</f>
        <v>30000</v>
      </c>
      <c r="M154" s="801"/>
      <c r="N154" s="801"/>
    </row>
    <row r="155" spans="1:135" x14ac:dyDescent="0.35">
      <c r="A155" s="773"/>
      <c r="B155" s="774"/>
      <c r="C155" s="806" t="s">
        <v>328</v>
      </c>
      <c r="D155" s="761">
        <v>4</v>
      </c>
      <c r="E155" s="766" t="s">
        <v>199</v>
      </c>
      <c r="F155" s="3629"/>
      <c r="G155" s="3630"/>
      <c r="H155" s="3629"/>
      <c r="I155" s="3630"/>
      <c r="J155" s="787">
        <v>7500</v>
      </c>
      <c r="K155" s="772">
        <f>SUM(D155*J155)</f>
        <v>30000</v>
      </c>
      <c r="L155" s="779">
        <f>SUM(G155+I155+K155)</f>
        <v>30000</v>
      </c>
      <c r="M155" s="3641"/>
      <c r="N155" s="833"/>
    </row>
    <row r="156" spans="1:135" x14ac:dyDescent="0.35">
      <c r="A156" s="773"/>
      <c r="B156" s="774"/>
      <c r="C156" s="775" t="s">
        <v>329</v>
      </c>
      <c r="D156" s="761">
        <v>0</v>
      </c>
      <c r="E156" s="774" t="s">
        <v>215</v>
      </c>
      <c r="F156" s="3631"/>
      <c r="G156" s="3632"/>
      <c r="H156" s="3631"/>
      <c r="I156" s="3632"/>
      <c r="J156" s="767">
        <v>0</v>
      </c>
      <c r="K156" s="772">
        <f>SUM(D156*J156)</f>
        <v>0</v>
      </c>
      <c r="L156" s="779">
        <f>SUM(G156+I156+K156)</f>
        <v>0</v>
      </c>
      <c r="M156" s="3642"/>
      <c r="N156" s="815"/>
    </row>
    <row r="157" spans="1:135" ht="15" customHeight="1" x14ac:dyDescent="0.35">
      <c r="A157" s="773"/>
      <c r="B157" s="774"/>
      <c r="C157" s="775" t="s">
        <v>330</v>
      </c>
      <c r="D157" s="761">
        <v>0</v>
      </c>
      <c r="E157" s="774" t="s">
        <v>199</v>
      </c>
      <c r="F157" s="3631"/>
      <c r="G157" s="3632"/>
      <c r="H157" s="3631"/>
      <c r="I157" s="3632"/>
      <c r="J157" s="767">
        <v>0</v>
      </c>
      <c r="K157" s="772">
        <f>SUM(D157*J157)</f>
        <v>0</v>
      </c>
      <c r="L157" s="779">
        <f>SUM(G157+I157+K157)</f>
        <v>0</v>
      </c>
      <c r="M157" s="3642"/>
      <c r="N157" s="815"/>
    </row>
    <row r="158" spans="1:135" s="214" customFormat="1" ht="15" customHeight="1" x14ac:dyDescent="0.35">
      <c r="A158" s="3653"/>
      <c r="B158" s="3654"/>
      <c r="C158" s="429" t="s">
        <v>75</v>
      </c>
      <c r="D158" s="430"/>
      <c r="E158" s="431"/>
      <c r="F158" s="432"/>
      <c r="G158" s="834">
        <f>SUM(G10:G157)</f>
        <v>3880406.6987102395</v>
      </c>
      <c r="H158" s="432"/>
      <c r="I158" s="421">
        <f>SUM(I10:I157)</f>
        <v>303410.63766666671</v>
      </c>
      <c r="J158" s="432"/>
      <c r="K158" s="834">
        <f>SUM(K10:K157)</f>
        <v>286190.81333333335</v>
      </c>
      <c r="L158" s="421">
        <f>SUM(L9:L157)/2</f>
        <v>4470008.1497102408</v>
      </c>
      <c r="M158" s="835"/>
      <c r="N158" s="835"/>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row>
    <row r="159" spans="1:135" s="214" customFormat="1" x14ac:dyDescent="0.35">
      <c r="A159" s="196"/>
      <c r="B159" s="196"/>
      <c r="C159" s="433"/>
      <c r="D159" s="216"/>
      <c r="E159" s="213"/>
      <c r="F159" s="217"/>
      <c r="G159" s="217"/>
      <c r="H159" s="217"/>
      <c r="I159" s="217"/>
      <c r="J159" s="217"/>
      <c r="K159" s="217"/>
      <c r="L159" s="217"/>
      <c r="M159" s="217"/>
      <c r="N159" s="101"/>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row>
    <row r="160" spans="1:135" s="214" customFormat="1" ht="15" customHeight="1" x14ac:dyDescent="0.35">
      <c r="A160" s="196"/>
      <c r="B160" s="196"/>
      <c r="C160" s="433"/>
      <c r="D160" s="216"/>
      <c r="E160" s="213"/>
      <c r="F160" s="217"/>
      <c r="G160" s="217"/>
      <c r="H160" s="217"/>
      <c r="I160" s="217"/>
      <c r="J160" s="3655" t="s">
        <v>331</v>
      </c>
      <c r="K160" s="3656"/>
      <c r="L160" s="836">
        <f>G158</f>
        <v>3880406.6987102395</v>
      </c>
      <c r="M160" s="101">
        <f>L160/L4</f>
        <v>187157.87935901477</v>
      </c>
      <c r="O160"/>
      <c r="X160"/>
    </row>
    <row r="161" spans="1:24" s="214" customFormat="1" ht="15" customHeight="1" x14ac:dyDescent="0.35">
      <c r="A161" s="196"/>
      <c r="B161" s="196"/>
      <c r="D161" s="216"/>
      <c r="E161" s="213"/>
      <c r="F161" s="217"/>
      <c r="G161" s="217"/>
      <c r="H161" s="217"/>
      <c r="I161" s="217"/>
      <c r="J161" s="3657" t="s">
        <v>332</v>
      </c>
      <c r="K161" s="3658"/>
      <c r="L161" s="837">
        <f>I158+K158</f>
        <v>589601.45100000012</v>
      </c>
      <c r="M161" s="101">
        <f>L161/L4</f>
        <v>28437.369019292608</v>
      </c>
      <c r="O161"/>
      <c r="X161"/>
    </row>
    <row r="162" spans="1:24" s="214" customFormat="1" ht="15" customHeight="1" x14ac:dyDescent="0.35">
      <c r="A162" s="196"/>
      <c r="B162" s="196"/>
      <c r="D162" s="216"/>
      <c r="E162" s="213"/>
      <c r="F162" s="217"/>
      <c r="G162" s="217"/>
      <c r="H162" s="217"/>
      <c r="I162" s="217"/>
      <c r="J162" s="3659" t="s">
        <v>333</v>
      </c>
      <c r="K162" s="3660"/>
      <c r="L162" s="838">
        <f>SUM(L160:L161)</f>
        <v>4470008.1497102398</v>
      </c>
      <c r="M162" s="101">
        <f>L162/L4</f>
        <v>215595.24837830738</v>
      </c>
      <c r="N162" t="s">
        <v>334</v>
      </c>
      <c r="O162"/>
      <c r="X162"/>
    </row>
    <row r="163" spans="1:24" s="214" customFormat="1" x14ac:dyDescent="0.35">
      <c r="A163" s="196"/>
      <c r="B163" s="196"/>
      <c r="D163" s="216"/>
      <c r="E163" s="213"/>
      <c r="F163" s="217"/>
      <c r="G163" s="217"/>
      <c r="H163" s="217"/>
      <c r="I163" s="217"/>
      <c r="J163" s="217"/>
      <c r="K163" s="217"/>
      <c r="L163" s="217">
        <f>L158-L162</f>
        <v>0</v>
      </c>
      <c r="M163" s="101"/>
      <c r="N163" s="101"/>
      <c r="O163"/>
      <c r="X163"/>
    </row>
    <row r="164" spans="1:24" s="214" customFormat="1" x14ac:dyDescent="0.35">
      <c r="A164" s="196"/>
      <c r="B164" s="196"/>
      <c r="D164" s="216"/>
      <c r="E164" s="213"/>
      <c r="F164" s="217"/>
      <c r="G164" s="217"/>
      <c r="H164" s="217"/>
      <c r="I164" s="217"/>
      <c r="J164" s="217"/>
      <c r="K164" s="217"/>
      <c r="L164" s="217"/>
      <c r="M164" s="386">
        <v>43206</v>
      </c>
      <c r="N164" s="101"/>
      <c r="O164"/>
      <c r="X164"/>
    </row>
    <row r="165" spans="1:24" s="214" customFormat="1" x14ac:dyDescent="0.35">
      <c r="A165" s="196"/>
      <c r="B165" s="196"/>
      <c r="D165" s="216"/>
      <c r="E165" s="213"/>
      <c r="F165" s="217"/>
      <c r="G165" s="217"/>
      <c r="H165" s="217"/>
      <c r="I165" s="217"/>
      <c r="J165" s="217"/>
      <c r="K165" s="217"/>
      <c r="L165" s="217"/>
      <c r="M165" s="520">
        <f>M162+M164</f>
        <v>258801.24837830738</v>
      </c>
      <c r="N165" s="101"/>
      <c r="O165"/>
      <c r="X165"/>
    </row>
    <row r="166" spans="1:24" s="214" customFormat="1" x14ac:dyDescent="0.35">
      <c r="A166" s="196"/>
      <c r="B166" s="196"/>
      <c r="D166" s="216"/>
      <c r="E166" s="213"/>
      <c r="F166" s="217"/>
      <c r="G166" s="217"/>
      <c r="H166" s="217"/>
      <c r="I166" s="217"/>
      <c r="J166" s="217"/>
      <c r="K166" s="217"/>
      <c r="L166" s="217"/>
      <c r="M166" s="217"/>
      <c r="N166" s="101"/>
      <c r="O166"/>
      <c r="X166"/>
    </row>
    <row r="167" spans="1:24" s="214" customFormat="1" x14ac:dyDescent="0.35">
      <c r="A167" s="196"/>
      <c r="B167" s="196"/>
      <c r="D167" s="216"/>
      <c r="E167" s="213"/>
      <c r="F167" s="217"/>
      <c r="G167" s="217"/>
      <c r="H167" s="217"/>
      <c r="I167" s="217"/>
      <c r="J167" s="217"/>
      <c r="K167" s="217"/>
      <c r="L167" s="217"/>
      <c r="M167" s="217"/>
      <c r="N167" s="101"/>
      <c r="O167"/>
      <c r="X167"/>
    </row>
    <row r="168" spans="1:24" s="214" customFormat="1" x14ac:dyDescent="0.35">
      <c r="A168" s="196"/>
      <c r="B168" s="196"/>
      <c r="D168" s="216"/>
      <c r="E168" s="213"/>
      <c r="F168" s="217"/>
      <c r="G168" s="217"/>
      <c r="H168" s="217"/>
      <c r="I168" s="217"/>
      <c r="J168" s="217"/>
      <c r="K168" s="217"/>
      <c r="L168" s="217"/>
      <c r="M168" s="217"/>
      <c r="N168" s="101"/>
      <c r="O168"/>
    </row>
    <row r="169" spans="1:24" s="214" customFormat="1" x14ac:dyDescent="0.35">
      <c r="A169" s="196"/>
      <c r="B169" s="196"/>
      <c r="D169" s="216"/>
      <c r="E169" s="213"/>
      <c r="F169" s="217"/>
      <c r="G169" s="217"/>
      <c r="H169" s="217"/>
      <c r="I169" s="217"/>
      <c r="J169" s="217"/>
      <c r="K169" s="217"/>
      <c r="L169" s="217"/>
      <c r="M169" s="217"/>
      <c r="N169" s="101"/>
      <c r="O169"/>
    </row>
    <row r="170" spans="1:24" s="214" customFormat="1" x14ac:dyDescent="0.35">
      <c r="A170" s="196"/>
      <c r="B170" s="196"/>
      <c r="D170" s="216"/>
      <c r="E170" s="213"/>
      <c r="F170" s="217"/>
      <c r="G170" s="217"/>
      <c r="H170" s="217"/>
      <c r="I170" s="217"/>
      <c r="J170" s="217"/>
      <c r="K170" s="217"/>
      <c r="L170" s="217"/>
      <c r="M170" s="217"/>
      <c r="N170" s="101"/>
      <c r="O170"/>
    </row>
    <row r="171" spans="1:24" s="214" customFormat="1" x14ac:dyDescent="0.35">
      <c r="A171" s="196"/>
      <c r="B171" s="196"/>
      <c r="D171" s="216"/>
      <c r="E171" s="213"/>
      <c r="F171" s="217"/>
      <c r="G171" s="217"/>
      <c r="H171" s="217"/>
      <c r="I171" s="217"/>
      <c r="J171" s="217"/>
      <c r="K171" s="217"/>
      <c r="L171" s="217"/>
      <c r="M171" s="217"/>
      <c r="N171" s="101"/>
      <c r="O171"/>
    </row>
    <row r="172" spans="1:24" s="214" customFormat="1" x14ac:dyDescent="0.35">
      <c r="A172" s="196"/>
      <c r="B172" s="196"/>
      <c r="D172" s="216"/>
      <c r="E172" s="213"/>
      <c r="F172" s="217"/>
      <c r="G172" s="217"/>
      <c r="H172" s="217"/>
      <c r="I172" s="217"/>
      <c r="J172" s="217"/>
      <c r="K172" s="217"/>
      <c r="L172" s="217"/>
      <c r="M172" s="217"/>
      <c r="N172" s="101"/>
      <c r="O172"/>
    </row>
    <row r="173" spans="1:24" s="214" customFormat="1" x14ac:dyDescent="0.35">
      <c r="A173" s="196"/>
      <c r="B173" s="196"/>
      <c r="D173" s="216"/>
      <c r="E173" s="213"/>
      <c r="F173" s="217"/>
      <c r="G173" s="217"/>
      <c r="H173" s="217"/>
      <c r="I173" s="217"/>
      <c r="J173" s="217"/>
      <c r="K173" s="217"/>
      <c r="L173" s="217"/>
      <c r="M173" s="217"/>
      <c r="N173" s="101"/>
      <c r="O173"/>
    </row>
    <row r="174" spans="1:24" s="214" customFormat="1" x14ac:dyDescent="0.35">
      <c r="A174" s="196"/>
      <c r="B174" s="196"/>
      <c r="D174" s="216"/>
      <c r="E174" s="213"/>
      <c r="F174" s="217"/>
      <c r="G174" s="217"/>
      <c r="H174" s="217"/>
      <c r="I174" s="217"/>
      <c r="J174" s="217"/>
      <c r="K174" s="217"/>
      <c r="L174" s="217"/>
      <c r="M174" s="217"/>
      <c r="N174" s="101"/>
      <c r="O174"/>
    </row>
    <row r="175" spans="1:24" s="214" customFormat="1" x14ac:dyDescent="0.35">
      <c r="A175" s="196"/>
      <c r="B175" s="196"/>
      <c r="D175" s="216"/>
      <c r="E175" s="213"/>
      <c r="F175" s="217"/>
      <c r="G175" s="217"/>
      <c r="H175" s="217"/>
      <c r="I175" s="217"/>
      <c r="J175" s="217"/>
      <c r="K175" s="217"/>
      <c r="L175" s="217"/>
      <c r="M175" s="217"/>
      <c r="N175" s="101"/>
      <c r="O175"/>
    </row>
    <row r="176" spans="1:24" s="214" customFormat="1" x14ac:dyDescent="0.35">
      <c r="A176" s="196"/>
      <c r="B176" s="196"/>
      <c r="D176" s="216"/>
      <c r="E176" s="213"/>
      <c r="F176" s="217"/>
      <c r="G176" s="217"/>
      <c r="H176" s="217"/>
      <c r="I176" s="217"/>
      <c r="J176" s="217"/>
      <c r="K176" s="217"/>
      <c r="L176" s="217"/>
      <c r="M176" s="217"/>
      <c r="N176" s="101"/>
      <c r="O176"/>
    </row>
    <row r="177" spans="1:24" s="214" customFormat="1" x14ac:dyDescent="0.35">
      <c r="A177" s="196"/>
      <c r="B177" s="196"/>
      <c r="D177" s="216"/>
      <c r="E177" s="213"/>
      <c r="F177" s="217"/>
      <c r="G177" s="217"/>
      <c r="H177" s="217"/>
      <c r="I177" s="217"/>
      <c r="J177" s="217"/>
      <c r="K177" s="217"/>
      <c r="L177" s="217"/>
      <c r="M177" s="217"/>
      <c r="N177" s="101"/>
      <c r="O177"/>
    </row>
    <row r="178" spans="1:24" s="214" customFormat="1" x14ac:dyDescent="0.35">
      <c r="A178" s="196"/>
      <c r="B178" s="196"/>
      <c r="D178" s="216"/>
      <c r="E178" s="213"/>
      <c r="F178" s="217"/>
      <c r="G178" s="217"/>
      <c r="H178" s="217"/>
      <c r="I178" s="217"/>
      <c r="J178" s="217"/>
      <c r="K178" s="217"/>
      <c r="L178" s="217"/>
      <c r="M178" s="217"/>
      <c r="N178" s="101"/>
      <c r="O178"/>
    </row>
    <row r="179" spans="1:24" s="214" customFormat="1" x14ac:dyDescent="0.35">
      <c r="A179" s="196"/>
      <c r="B179" s="196"/>
      <c r="D179" s="216"/>
      <c r="E179" s="213"/>
      <c r="F179" s="217"/>
      <c r="G179" s="217"/>
      <c r="H179" s="217"/>
      <c r="I179" s="217"/>
      <c r="J179" s="217"/>
      <c r="K179" s="217"/>
      <c r="L179" s="217"/>
      <c r="M179" s="217"/>
      <c r="N179" s="101"/>
      <c r="O179"/>
    </row>
    <row r="180" spans="1:24" s="214" customFormat="1" x14ac:dyDescent="0.35">
      <c r="A180" s="196"/>
      <c r="B180" s="196"/>
      <c r="D180" s="216"/>
      <c r="E180" s="213"/>
      <c r="F180" s="217"/>
      <c r="G180" s="217"/>
      <c r="H180" s="217"/>
      <c r="I180" s="217"/>
      <c r="J180" s="217"/>
      <c r="K180" s="217"/>
      <c r="L180" s="217"/>
      <c r="M180" s="217"/>
      <c r="N180" s="101"/>
      <c r="O180"/>
    </row>
    <row r="181" spans="1:24" s="214" customFormat="1" x14ac:dyDescent="0.35">
      <c r="A181" s="196"/>
      <c r="B181" s="196"/>
      <c r="D181" s="216"/>
      <c r="E181" s="213"/>
      <c r="F181" s="217"/>
      <c r="G181" s="217"/>
      <c r="H181" s="217"/>
      <c r="I181" s="217"/>
      <c r="J181" s="217"/>
      <c r="K181" s="217"/>
      <c r="L181" s="217"/>
      <c r="M181" s="217"/>
      <c r="N181" s="101"/>
      <c r="O181"/>
    </row>
    <row r="182" spans="1:24" s="214" customFormat="1" x14ac:dyDescent="0.35">
      <c r="A182" s="196"/>
      <c r="B182" s="196"/>
      <c r="D182" s="216"/>
      <c r="E182" s="213"/>
      <c r="F182" s="217"/>
      <c r="G182" s="217"/>
      <c r="H182" s="217"/>
      <c r="I182" s="217"/>
      <c r="J182" s="217"/>
      <c r="K182" s="217"/>
      <c r="L182" s="217"/>
      <c r="M182" s="217"/>
      <c r="N182" s="101"/>
      <c r="O182"/>
    </row>
    <row r="183" spans="1:24" s="214" customFormat="1" x14ac:dyDescent="0.35">
      <c r="A183" s="196"/>
      <c r="B183" s="196"/>
      <c r="D183" s="216"/>
      <c r="E183" s="213"/>
      <c r="F183" s="217"/>
      <c r="G183" s="217"/>
      <c r="H183" s="217"/>
      <c r="I183" s="217"/>
      <c r="J183" s="217"/>
      <c r="K183" s="217"/>
      <c r="L183" s="217"/>
      <c r="M183" s="217"/>
      <c r="N183" s="101"/>
      <c r="O183"/>
    </row>
    <row r="184" spans="1:24" s="214" customFormat="1" x14ac:dyDescent="0.35">
      <c r="A184" s="196"/>
      <c r="B184" s="196"/>
      <c r="D184" s="216"/>
      <c r="E184" s="213"/>
      <c r="F184" s="101"/>
      <c r="G184" s="101"/>
      <c r="H184" s="101"/>
      <c r="I184" s="101"/>
      <c r="J184" s="101"/>
      <c r="K184" s="101"/>
      <c r="L184" s="217"/>
      <c r="M184" s="217"/>
      <c r="N184" s="101"/>
      <c r="O184"/>
    </row>
    <row r="185" spans="1:24" x14ac:dyDescent="0.35">
      <c r="X185" s="214"/>
    </row>
    <row r="186" spans="1:24" x14ac:dyDescent="0.35">
      <c r="X186" s="214"/>
    </row>
    <row r="187" spans="1:24" x14ac:dyDescent="0.35">
      <c r="X187" s="214"/>
    </row>
    <row r="188" spans="1:24" x14ac:dyDescent="0.35">
      <c r="X188" s="214"/>
    </row>
    <row r="189" spans="1:24" x14ac:dyDescent="0.35">
      <c r="X189" s="214"/>
    </row>
    <row r="190" spans="1:24" x14ac:dyDescent="0.35">
      <c r="X190" s="214"/>
    </row>
    <row r="191" spans="1:24" x14ac:dyDescent="0.35">
      <c r="X191" s="214"/>
    </row>
    <row r="192" spans="1:24" x14ac:dyDescent="0.35">
      <c r="X192" s="214"/>
    </row>
  </sheetData>
  <mergeCells count="80">
    <mergeCell ref="J160:K160"/>
    <mergeCell ref="J161:K161"/>
    <mergeCell ref="J162:K162"/>
    <mergeCell ref="A149:B149"/>
    <mergeCell ref="F150:G153"/>
    <mergeCell ref="H150:I153"/>
    <mergeCell ref="A154:B154"/>
    <mergeCell ref="F155:G157"/>
    <mergeCell ref="H155:I157"/>
    <mergeCell ref="M155:M157"/>
    <mergeCell ref="A158:B158"/>
    <mergeCell ref="F141:G143"/>
    <mergeCell ref="H141:I143"/>
    <mergeCell ref="M141:M143"/>
    <mergeCell ref="A144:B144"/>
    <mergeCell ref="M150:M153"/>
    <mergeCell ref="M100:M117"/>
    <mergeCell ref="A118:B118"/>
    <mergeCell ref="F145:G148"/>
    <mergeCell ref="H145:I148"/>
    <mergeCell ref="M145:M148"/>
    <mergeCell ref="A125:B125"/>
    <mergeCell ref="F126:G133"/>
    <mergeCell ref="H126:I133"/>
    <mergeCell ref="M126:M133"/>
    <mergeCell ref="A134:B134"/>
    <mergeCell ref="F135:G139"/>
    <mergeCell ref="H135:I136"/>
    <mergeCell ref="M135:M139"/>
    <mergeCell ref="J137:K139"/>
    <mergeCell ref="A140:B140"/>
    <mergeCell ref="A65:B65"/>
    <mergeCell ref="D65:L65"/>
    <mergeCell ref="F119:G124"/>
    <mergeCell ref="H119:I124"/>
    <mergeCell ref="M119:M124"/>
    <mergeCell ref="A81:B81"/>
    <mergeCell ref="F82:G94"/>
    <mergeCell ref="H82:I94"/>
    <mergeCell ref="M82:M94"/>
    <mergeCell ref="A95:B95"/>
    <mergeCell ref="F96:G98"/>
    <mergeCell ref="H96:I98"/>
    <mergeCell ref="M96:M98"/>
    <mergeCell ref="A99:B99"/>
    <mergeCell ref="F100:G117"/>
    <mergeCell ref="H100:I117"/>
    <mergeCell ref="A27:B27"/>
    <mergeCell ref="H28:I42"/>
    <mergeCell ref="J28:K42"/>
    <mergeCell ref="A43:B43"/>
    <mergeCell ref="F44:G64"/>
    <mergeCell ref="J44:K64"/>
    <mergeCell ref="Q4:R4"/>
    <mergeCell ref="F66:G80"/>
    <mergeCell ref="H66:I80"/>
    <mergeCell ref="H10:I26"/>
    <mergeCell ref="J10:K26"/>
    <mergeCell ref="M44:M64"/>
    <mergeCell ref="C7:C8"/>
    <mergeCell ref="D7:D8"/>
    <mergeCell ref="E7:E8"/>
    <mergeCell ref="Q7:R7"/>
    <mergeCell ref="Q8:R8"/>
    <mergeCell ref="A9:B9"/>
    <mergeCell ref="F5:G5"/>
    <mergeCell ref="Q5:R5"/>
    <mergeCell ref="F6:G6"/>
    <mergeCell ref="H6:I6"/>
    <mergeCell ref="J6:K6"/>
    <mergeCell ref="L6:L8"/>
    <mergeCell ref="A1:A8"/>
    <mergeCell ref="B1:B8"/>
    <mergeCell ref="C1:N2"/>
    <mergeCell ref="O1:X2"/>
    <mergeCell ref="C3:E6"/>
    <mergeCell ref="F3:G3"/>
    <mergeCell ref="M3:M8"/>
    <mergeCell ref="N3:N8"/>
    <mergeCell ref="F4:G4"/>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94CF-600B-4C59-9E95-1CA553A41424}">
  <sheetPr>
    <pageSetUpPr fitToPage="1"/>
  </sheetPr>
  <dimension ref="A1:EE190"/>
  <sheetViews>
    <sheetView topLeftCell="B130" zoomScale="112" zoomScaleNormal="112" workbookViewId="0">
      <selection activeCell="M11" sqref="M11"/>
    </sheetView>
  </sheetViews>
  <sheetFormatPr defaultColWidth="9.1796875" defaultRowHeight="14.5" x14ac:dyDescent="0.35"/>
  <cols>
    <col min="1" max="1" width="3.26953125" style="196" bestFit="1" customWidth="1"/>
    <col min="2" max="2" width="5.81640625" style="196" customWidth="1"/>
    <col min="3" max="3" width="42.453125" customWidth="1"/>
    <col min="4" max="4" width="8.81640625" style="218" bestFit="1" customWidth="1"/>
    <col min="5" max="5" width="5.7265625" style="196" customWidth="1"/>
    <col min="6" max="6" width="9.81640625" style="101" bestFit="1" customWidth="1"/>
    <col min="7" max="7" width="22" style="101" bestFit="1" customWidth="1"/>
    <col min="8" max="8" width="14.26953125" style="101" customWidth="1"/>
    <col min="9" max="9" width="18.7265625" style="101" bestFit="1" customWidth="1"/>
    <col min="10" max="10" width="10.81640625" style="101" bestFit="1" customWidth="1"/>
    <col min="11" max="11" width="11.81640625" style="101" customWidth="1"/>
    <col min="12" max="12" width="12.81640625" style="217" customWidth="1"/>
    <col min="13" max="13" width="10.1796875" style="217" customWidth="1"/>
    <col min="14" max="14" width="10.7265625" style="101" customWidth="1"/>
    <col min="15" max="15" width="13.453125" customWidth="1"/>
    <col min="16" max="16" width="18.7265625" hidden="1" customWidth="1"/>
    <col min="17" max="23" width="0" hidden="1" customWidth="1"/>
    <col min="24" max="24" width="18.453125" hidden="1" customWidth="1"/>
    <col min="25" max="25" width="14.81640625" bestFit="1" customWidth="1"/>
    <col min="27" max="27" width="11.81640625" bestFit="1" customWidth="1"/>
    <col min="28" max="28" width="10.7265625" bestFit="1" customWidth="1"/>
  </cols>
  <sheetData>
    <row r="1" spans="1:135" x14ac:dyDescent="0.35">
      <c r="A1" s="3691" t="s">
        <v>144</v>
      </c>
      <c r="B1" s="3694" t="s">
        <v>145</v>
      </c>
      <c r="C1" s="3697" t="s">
        <v>336</v>
      </c>
      <c r="D1" s="3697"/>
      <c r="E1" s="3697"/>
      <c r="F1" s="3697"/>
      <c r="G1" s="3697"/>
      <c r="H1" s="3697"/>
      <c r="I1" s="3697"/>
      <c r="J1" s="3697"/>
      <c r="K1" s="3697"/>
      <c r="L1" s="3697"/>
      <c r="M1" s="3697"/>
      <c r="N1" s="3698"/>
      <c r="O1" s="3675" t="s">
        <v>337</v>
      </c>
      <c r="P1" s="257"/>
      <c r="Q1" s="257"/>
      <c r="R1" s="257"/>
      <c r="S1" s="257"/>
      <c r="T1" s="257"/>
      <c r="U1" s="257"/>
      <c r="V1" s="257"/>
      <c r="W1" s="257"/>
      <c r="X1" s="257"/>
      <c r="Y1" s="257"/>
      <c r="Z1" s="257"/>
      <c r="AA1" s="257"/>
      <c r="AB1" s="257"/>
      <c r="AC1" s="257"/>
      <c r="AD1" s="257"/>
      <c r="AE1" s="257"/>
      <c r="AF1" s="257"/>
      <c r="AG1" s="257"/>
      <c r="AH1" s="257"/>
      <c r="AI1" s="257"/>
      <c r="AJ1" s="257"/>
      <c r="AK1" s="257"/>
      <c r="AL1" s="257"/>
      <c r="AM1" s="257"/>
      <c r="AN1" s="257"/>
      <c r="AO1" s="257"/>
      <c r="AP1" s="257"/>
      <c r="AQ1" s="257"/>
      <c r="AR1" s="257"/>
      <c r="AS1" s="257"/>
      <c r="AT1" s="257"/>
      <c r="AU1" s="257"/>
      <c r="AV1" s="257"/>
      <c r="AW1" s="257"/>
      <c r="AX1" s="257"/>
      <c r="AY1" s="257"/>
      <c r="AZ1" s="257"/>
      <c r="BA1" s="257"/>
      <c r="BB1" s="257"/>
      <c r="BC1" s="257"/>
      <c r="BD1" s="257"/>
      <c r="BE1" s="257"/>
      <c r="BF1" s="257"/>
      <c r="BG1" s="257"/>
      <c r="BH1" s="257"/>
      <c r="BI1" s="257"/>
      <c r="BJ1" s="257"/>
      <c r="BK1" s="257"/>
      <c r="BL1" s="257"/>
      <c r="BM1" s="257"/>
      <c r="BN1" s="257"/>
      <c r="BO1" s="257"/>
      <c r="BP1" s="257"/>
      <c r="BQ1" s="257"/>
      <c r="BR1" s="257"/>
      <c r="BS1" s="257"/>
      <c r="BT1" s="257"/>
      <c r="BU1" s="257"/>
      <c r="BV1" s="257"/>
      <c r="BW1" s="257"/>
      <c r="BX1" s="257"/>
      <c r="BY1" s="257"/>
      <c r="BZ1" s="257"/>
      <c r="CA1" s="257"/>
      <c r="CB1" s="257"/>
      <c r="CC1" s="257"/>
      <c r="CD1" s="257"/>
      <c r="CE1" s="257"/>
      <c r="CF1" s="257"/>
      <c r="CG1" s="257"/>
      <c r="CH1" s="257"/>
      <c r="CI1" s="257"/>
      <c r="CJ1" s="257"/>
      <c r="CK1" s="257"/>
      <c r="CL1" s="257"/>
      <c r="CM1" s="257"/>
      <c r="CN1" s="257"/>
      <c r="CO1" s="257"/>
      <c r="CP1" s="257"/>
      <c r="CQ1" s="257"/>
      <c r="CR1" s="257"/>
      <c r="CS1" s="257"/>
      <c r="CT1" s="257"/>
      <c r="CU1" s="257"/>
      <c r="CV1" s="257"/>
      <c r="CW1" s="257"/>
      <c r="CX1" s="257"/>
      <c r="CY1" s="257"/>
      <c r="CZ1" s="257"/>
      <c r="DA1" s="257"/>
      <c r="DB1" s="257"/>
      <c r="DC1" s="257"/>
      <c r="DD1" s="257"/>
      <c r="DE1" s="257"/>
      <c r="DF1" s="257"/>
      <c r="DG1" s="257"/>
      <c r="DH1" s="257"/>
      <c r="DI1" s="257"/>
      <c r="DJ1" s="257"/>
      <c r="DK1" s="257"/>
      <c r="DL1" s="257"/>
      <c r="DM1" s="257"/>
      <c r="DN1" s="257"/>
      <c r="DO1" s="257"/>
      <c r="DP1" s="257"/>
      <c r="DQ1" s="257"/>
      <c r="DR1" s="257"/>
      <c r="DS1" s="257"/>
      <c r="DT1" s="257"/>
      <c r="DU1" s="257"/>
      <c r="DV1" s="257"/>
    </row>
    <row r="2" spans="1:135" x14ac:dyDescent="0.35">
      <c r="A2" s="3692"/>
      <c r="B2" s="3695"/>
      <c r="C2" s="3699"/>
      <c r="D2" s="3699"/>
      <c r="E2" s="3699"/>
      <c r="F2" s="3699"/>
      <c r="G2" s="3699"/>
      <c r="H2" s="3699"/>
      <c r="I2" s="3699"/>
      <c r="J2" s="3699"/>
      <c r="K2" s="3699"/>
      <c r="L2" s="3699"/>
      <c r="M2" s="3699"/>
      <c r="N2" s="3700"/>
      <c r="O2" s="3676"/>
      <c r="P2" s="257"/>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c r="AX2" s="257"/>
      <c r="AY2" s="257"/>
      <c r="AZ2" s="257"/>
      <c r="BA2" s="257"/>
      <c r="BB2" s="257"/>
      <c r="BC2" s="257"/>
      <c r="BD2" s="257"/>
      <c r="BE2" s="257"/>
      <c r="BF2" s="257"/>
      <c r="BG2" s="257"/>
      <c r="BH2" s="257"/>
      <c r="BI2" s="257"/>
      <c r="BJ2" s="257"/>
      <c r="BK2" s="257"/>
      <c r="BL2" s="257"/>
      <c r="BM2" s="257"/>
      <c r="BN2" s="257"/>
      <c r="BO2" s="257"/>
      <c r="BP2" s="257"/>
      <c r="BQ2" s="257"/>
      <c r="BR2" s="257"/>
      <c r="BS2" s="257"/>
      <c r="BT2" s="257"/>
      <c r="BU2" s="257"/>
      <c r="BV2" s="257"/>
      <c r="BW2" s="257"/>
      <c r="BX2" s="257"/>
      <c r="BY2" s="257"/>
      <c r="BZ2" s="257"/>
      <c r="CA2" s="257"/>
      <c r="CB2" s="257"/>
      <c r="CC2" s="257"/>
      <c r="CD2" s="257"/>
      <c r="CE2" s="257"/>
      <c r="CF2" s="257"/>
      <c r="CG2" s="257"/>
      <c r="CH2" s="257"/>
      <c r="CI2" s="257"/>
      <c r="CJ2" s="257"/>
      <c r="CK2" s="257"/>
      <c r="CL2" s="257"/>
      <c r="CM2" s="257"/>
      <c r="CN2" s="257"/>
      <c r="CO2" s="257"/>
      <c r="CP2" s="257"/>
      <c r="CQ2" s="257"/>
      <c r="CR2" s="257"/>
      <c r="CS2" s="257"/>
      <c r="CT2" s="257"/>
      <c r="CU2" s="257"/>
      <c r="CV2" s="257"/>
      <c r="CW2" s="257"/>
      <c r="CX2" s="257"/>
      <c r="CY2" s="257"/>
      <c r="CZ2" s="257"/>
      <c r="DA2" s="257"/>
      <c r="DB2" s="257"/>
      <c r="DC2" s="257"/>
      <c r="DD2" s="257"/>
      <c r="DE2" s="257"/>
      <c r="DF2" s="257"/>
      <c r="DG2" s="257"/>
      <c r="DH2" s="257"/>
      <c r="DI2" s="257"/>
      <c r="DJ2" s="257"/>
      <c r="DK2" s="257"/>
      <c r="DL2" s="257"/>
      <c r="DM2" s="257"/>
      <c r="DN2" s="257"/>
      <c r="DO2" s="257"/>
      <c r="DP2" s="257"/>
      <c r="DQ2" s="257"/>
      <c r="DR2" s="257"/>
      <c r="DS2" s="257"/>
      <c r="DT2" s="257"/>
      <c r="DU2" s="257"/>
      <c r="DV2" s="257"/>
    </row>
    <row r="3" spans="1:135" s="213" customFormat="1" ht="15" customHeight="1" thickBot="1" x14ac:dyDescent="0.4">
      <c r="A3" s="3692"/>
      <c r="B3" s="3695"/>
      <c r="C3" s="3701" t="s">
        <v>147</v>
      </c>
      <c r="D3" s="3701"/>
      <c r="E3" s="3702"/>
      <c r="F3" s="3707" t="s">
        <v>338</v>
      </c>
      <c r="G3" s="3708"/>
      <c r="H3" s="595" t="s">
        <v>339</v>
      </c>
      <c r="I3" s="596" t="s">
        <v>340</v>
      </c>
      <c r="J3" s="596" t="s">
        <v>341</v>
      </c>
      <c r="K3" s="596" t="s">
        <v>342</v>
      </c>
      <c r="L3" s="841" t="s">
        <v>343</v>
      </c>
      <c r="M3" s="3709" t="s">
        <v>344</v>
      </c>
      <c r="N3" s="3712" t="s">
        <v>345</v>
      </c>
      <c r="O3" s="258" t="s">
        <v>337</v>
      </c>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c r="DX3"/>
      <c r="DY3"/>
      <c r="DZ3"/>
      <c r="EA3"/>
      <c r="EB3"/>
      <c r="EC3"/>
      <c r="ED3"/>
      <c r="EE3"/>
    </row>
    <row r="4" spans="1:135" s="213" customFormat="1" ht="15" customHeight="1" x14ac:dyDescent="0.35">
      <c r="A4" s="3692"/>
      <c r="B4" s="3695"/>
      <c r="C4" s="3703"/>
      <c r="D4" s="3703"/>
      <c r="E4" s="3704"/>
      <c r="F4" s="3715" t="s">
        <v>346</v>
      </c>
      <c r="G4" s="3716"/>
      <c r="H4" s="842">
        <v>46049</v>
      </c>
      <c r="I4" s="842">
        <v>46674</v>
      </c>
      <c r="J4" s="751">
        <f>SUM(I4-H4)</f>
        <v>625</v>
      </c>
      <c r="K4" s="751">
        <f>SUM(J4/7)</f>
        <v>89.285714285714292</v>
      </c>
      <c r="L4" s="752">
        <f>SUM(J4/30)</f>
        <v>20.833333333333332</v>
      </c>
      <c r="M4" s="3710"/>
      <c r="N4" s="3713"/>
      <c r="O4" s="597" t="s">
        <v>337</v>
      </c>
      <c r="P4" s="259"/>
      <c r="Q4" s="259"/>
      <c r="R4" s="259"/>
      <c r="S4" s="259"/>
      <c r="T4" s="259"/>
      <c r="U4" s="259"/>
      <c r="V4" s="259"/>
      <c r="W4" s="259"/>
      <c r="X4" s="259"/>
      <c r="Y4" s="259"/>
      <c r="Z4" s="259"/>
      <c r="AA4" s="842">
        <v>46008</v>
      </c>
      <c r="AB4" s="842">
        <v>46630</v>
      </c>
      <c r="AC4" s="841">
        <v>622</v>
      </c>
      <c r="AD4" s="841">
        <v>88.86</v>
      </c>
      <c r="AE4" s="843">
        <v>20.73</v>
      </c>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c r="DM4" s="259"/>
      <c r="DN4" s="259"/>
      <c r="DO4" s="259"/>
      <c r="DP4" s="259"/>
      <c r="DQ4" s="259"/>
      <c r="DR4" s="259"/>
      <c r="DS4" s="259"/>
      <c r="DT4" s="259"/>
      <c r="DU4" s="259"/>
      <c r="DV4" s="259"/>
      <c r="DW4"/>
      <c r="DX4"/>
      <c r="DY4"/>
      <c r="DZ4"/>
      <c r="EA4"/>
      <c r="EB4"/>
      <c r="EC4"/>
      <c r="ED4"/>
      <c r="EE4"/>
    </row>
    <row r="5" spans="1:135" s="213" customFormat="1" ht="15" customHeight="1" thickBot="1" x14ac:dyDescent="0.4">
      <c r="A5" s="3692"/>
      <c r="B5" s="3695"/>
      <c r="C5" s="3703"/>
      <c r="D5" s="3703"/>
      <c r="E5" s="3704"/>
      <c r="F5" s="3685" t="s">
        <v>347</v>
      </c>
      <c r="G5" s="3686"/>
      <c r="H5" s="261">
        <v>46675</v>
      </c>
      <c r="I5" s="261">
        <v>46737</v>
      </c>
      <c r="J5" s="751">
        <f>SUM(I5-H5)</f>
        <v>62</v>
      </c>
      <c r="K5" s="751">
        <f>SUM(J5/7)</f>
        <v>8.8571428571428577</v>
      </c>
      <c r="L5" s="752">
        <f>SUM(J5/30)</f>
        <v>2.0666666666666669</v>
      </c>
      <c r="M5" s="3710"/>
      <c r="N5" s="3713"/>
      <c r="O5" s="356" t="s">
        <v>337</v>
      </c>
      <c r="P5" s="259"/>
      <c r="Q5" s="259"/>
      <c r="R5" s="259"/>
      <c r="S5" s="259"/>
      <c r="T5" s="259"/>
      <c r="U5" s="259"/>
      <c r="V5" s="259"/>
      <c r="W5" s="259"/>
      <c r="X5" s="259"/>
      <c r="Y5" s="259"/>
      <c r="Z5" s="259"/>
      <c r="AA5" s="261">
        <v>46566</v>
      </c>
      <c r="AB5" s="261">
        <v>46627</v>
      </c>
      <c r="AC5" s="260">
        <v>61</v>
      </c>
      <c r="AD5" s="260">
        <v>8.7100000000000009</v>
      </c>
      <c r="AE5" s="260">
        <v>2.0299999999999998</v>
      </c>
      <c r="AF5" s="259"/>
      <c r="AG5" s="259"/>
      <c r="AH5" s="259"/>
      <c r="AI5" s="259"/>
      <c r="AJ5" s="259"/>
      <c r="AK5" s="259"/>
      <c r="AL5" s="259"/>
      <c r="AM5" s="259"/>
      <c r="AN5" s="259"/>
      <c r="AO5" s="259"/>
      <c r="AP5" s="259"/>
      <c r="AQ5" s="259"/>
      <c r="AR5" s="259"/>
      <c r="AS5" s="259"/>
      <c r="AT5" s="259"/>
      <c r="AU5" s="259"/>
      <c r="AV5" s="259"/>
      <c r="AW5" s="259"/>
      <c r="AX5" s="259"/>
      <c r="AY5" s="259"/>
      <c r="AZ5" s="259"/>
      <c r="BA5" s="259"/>
      <c r="BB5" s="259"/>
      <c r="BC5" s="259"/>
      <c r="BD5" s="259"/>
      <c r="BE5" s="259"/>
      <c r="BF5" s="259"/>
      <c r="BG5" s="259"/>
      <c r="BH5" s="259"/>
      <c r="BI5" s="259"/>
      <c r="BJ5" s="259"/>
      <c r="BK5" s="259"/>
      <c r="BL5" s="259"/>
      <c r="BM5" s="259"/>
      <c r="BN5" s="259"/>
      <c r="BO5" s="259"/>
      <c r="BP5" s="259"/>
      <c r="BQ5" s="259"/>
      <c r="BR5" s="259"/>
      <c r="BS5" s="259"/>
      <c r="BT5" s="259"/>
      <c r="BU5" s="259"/>
      <c r="BV5" s="259"/>
      <c r="BW5" s="259"/>
      <c r="BX5" s="259"/>
      <c r="BY5" s="259"/>
      <c r="BZ5" s="259"/>
      <c r="CA5" s="259"/>
      <c r="CB5" s="259"/>
      <c r="CC5" s="259"/>
      <c r="CD5" s="259"/>
      <c r="CE5" s="259"/>
      <c r="CF5" s="259"/>
      <c r="CG5" s="259"/>
      <c r="CH5" s="259"/>
      <c r="CI5" s="259"/>
      <c r="CJ5" s="259"/>
      <c r="CK5" s="259"/>
      <c r="CL5" s="259"/>
      <c r="CM5" s="259"/>
      <c r="CN5" s="259"/>
      <c r="CO5" s="259"/>
      <c r="CP5" s="259"/>
      <c r="CQ5" s="259"/>
      <c r="CR5" s="259"/>
      <c r="CS5" s="259"/>
      <c r="CT5" s="259"/>
      <c r="CU5" s="259"/>
      <c r="CV5" s="259"/>
      <c r="CW5" s="259"/>
      <c r="CX5" s="259"/>
      <c r="CY5" s="259"/>
      <c r="CZ5" s="259"/>
      <c r="DA5" s="259"/>
      <c r="DB5" s="259"/>
      <c r="DC5" s="259"/>
      <c r="DD5" s="259"/>
      <c r="DE5" s="259"/>
      <c r="DF5" s="259"/>
      <c r="DG5" s="259"/>
      <c r="DH5" s="259"/>
      <c r="DI5" s="259"/>
      <c r="DJ5" s="259"/>
      <c r="DK5" s="259"/>
      <c r="DL5" s="259"/>
      <c r="DM5" s="259"/>
      <c r="DN5" s="259"/>
      <c r="DO5" s="259"/>
      <c r="DP5" s="259"/>
      <c r="DQ5" s="259"/>
      <c r="DR5" s="259"/>
      <c r="DS5" s="259"/>
      <c r="DT5" s="259"/>
      <c r="DU5" s="259"/>
      <c r="DV5" s="259"/>
      <c r="DW5"/>
      <c r="DX5"/>
      <c r="DY5"/>
      <c r="DZ5"/>
      <c r="EA5"/>
      <c r="EB5"/>
      <c r="EC5"/>
      <c r="ED5"/>
      <c r="EE5"/>
    </row>
    <row r="6" spans="1:135" s="213" customFormat="1" ht="15" customHeight="1" thickBot="1" x14ac:dyDescent="0.4">
      <c r="A6" s="3692"/>
      <c r="B6" s="3695"/>
      <c r="C6" s="3705"/>
      <c r="D6" s="3705"/>
      <c r="E6" s="3706"/>
      <c r="F6" s="3687" t="s">
        <v>348</v>
      </c>
      <c r="G6" s="3688"/>
      <c r="H6" s="3687" t="s">
        <v>349</v>
      </c>
      <c r="I6" s="3688"/>
      <c r="J6" s="3687" t="s">
        <v>350</v>
      </c>
      <c r="K6" s="3688"/>
      <c r="L6" s="3689" t="s">
        <v>351</v>
      </c>
      <c r="M6" s="3710"/>
      <c r="N6" s="3713"/>
      <c r="O6" s="356" t="s">
        <v>337</v>
      </c>
      <c r="P6" s="259"/>
      <c r="Q6" s="259"/>
      <c r="R6" s="259"/>
      <c r="S6" s="259"/>
      <c r="T6" s="259"/>
      <c r="U6" s="259"/>
      <c r="V6" s="259"/>
      <c r="W6" s="259"/>
      <c r="X6" s="259"/>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59"/>
      <c r="BK6" s="259"/>
      <c r="BL6" s="259"/>
      <c r="BM6" s="259"/>
      <c r="BN6" s="259"/>
      <c r="BO6" s="259"/>
      <c r="BP6" s="259"/>
      <c r="BQ6" s="259"/>
      <c r="BR6" s="259"/>
      <c r="BS6" s="259"/>
      <c r="BT6" s="259"/>
      <c r="BU6" s="259"/>
      <c r="BV6" s="259"/>
      <c r="BW6" s="259"/>
      <c r="BX6" s="259"/>
      <c r="BY6" s="259"/>
      <c r="BZ6" s="259"/>
      <c r="CA6" s="259"/>
      <c r="CB6" s="259"/>
      <c r="CC6" s="259"/>
      <c r="CD6" s="259"/>
      <c r="CE6" s="259"/>
      <c r="CF6" s="259"/>
      <c r="CG6" s="259"/>
      <c r="CH6" s="259"/>
      <c r="CI6" s="259"/>
      <c r="CJ6" s="259"/>
      <c r="CK6" s="259"/>
      <c r="CL6" s="259"/>
      <c r="CM6" s="259"/>
      <c r="CN6" s="259"/>
      <c r="CO6" s="259"/>
      <c r="CP6" s="259"/>
      <c r="CQ6" s="259"/>
      <c r="CR6" s="259"/>
      <c r="CS6" s="259"/>
      <c r="CT6" s="259"/>
      <c r="CU6" s="259"/>
      <c r="CV6" s="259"/>
      <c r="CW6" s="259"/>
      <c r="CX6" s="259"/>
      <c r="CY6" s="259"/>
      <c r="CZ6" s="259"/>
      <c r="DA6" s="259"/>
      <c r="DB6" s="259"/>
      <c r="DC6" s="259"/>
      <c r="DD6" s="259"/>
      <c r="DE6" s="259"/>
      <c r="DF6" s="259"/>
      <c r="DG6" s="259"/>
      <c r="DH6" s="259"/>
      <c r="DI6" s="259"/>
      <c r="DJ6" s="259"/>
      <c r="DK6" s="259"/>
      <c r="DL6" s="259"/>
      <c r="DM6" s="259"/>
      <c r="DN6" s="259"/>
      <c r="DO6" s="259"/>
      <c r="DP6" s="259"/>
      <c r="DQ6" s="259"/>
      <c r="DR6" s="259"/>
      <c r="DS6" s="259"/>
      <c r="DT6" s="259"/>
      <c r="DU6" s="259"/>
      <c r="DV6" s="259"/>
      <c r="DW6"/>
      <c r="DX6"/>
      <c r="DY6"/>
      <c r="DZ6"/>
      <c r="EA6"/>
      <c r="EB6"/>
      <c r="EC6"/>
      <c r="ED6"/>
      <c r="EE6"/>
    </row>
    <row r="7" spans="1:135" s="214" customFormat="1" ht="58" x14ac:dyDescent="0.35">
      <c r="A7" s="3692"/>
      <c r="B7" s="3695"/>
      <c r="C7" s="3717" t="s">
        <v>162</v>
      </c>
      <c r="D7" s="3719" t="s">
        <v>163</v>
      </c>
      <c r="E7" s="3721" t="s">
        <v>164</v>
      </c>
      <c r="F7" s="263" t="s">
        <v>352</v>
      </c>
      <c r="G7" s="258" t="s">
        <v>353</v>
      </c>
      <c r="H7" s="262" t="s">
        <v>352</v>
      </c>
      <c r="I7" s="258" t="s">
        <v>354</v>
      </c>
      <c r="J7" s="262" t="s">
        <v>352</v>
      </c>
      <c r="K7" s="258" t="s">
        <v>354</v>
      </c>
      <c r="L7" s="3689"/>
      <c r="M7" s="3710"/>
      <c r="N7" s="3713"/>
      <c r="O7" s="355" t="s">
        <v>168</v>
      </c>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59"/>
      <c r="BK7" s="259"/>
      <c r="BL7" s="259"/>
      <c r="BM7" s="259"/>
      <c r="BN7" s="259"/>
      <c r="BO7" s="259"/>
      <c r="BP7" s="259"/>
      <c r="BQ7" s="259"/>
      <c r="BR7" s="259"/>
      <c r="BS7" s="259"/>
      <c r="BT7" s="259"/>
      <c r="BU7" s="259"/>
      <c r="BV7" s="259"/>
      <c r="BW7" s="259"/>
      <c r="BX7" s="259"/>
      <c r="BY7" s="259"/>
      <c r="BZ7" s="259"/>
      <c r="CA7" s="259"/>
      <c r="CB7" s="259"/>
      <c r="CC7" s="259"/>
      <c r="CD7" s="259"/>
      <c r="CE7" s="259"/>
      <c r="CF7" s="259"/>
      <c r="CG7" s="259"/>
      <c r="CH7" s="259"/>
      <c r="CI7" s="259"/>
      <c r="CJ7" s="259"/>
      <c r="CK7" s="259"/>
      <c r="CL7" s="259"/>
      <c r="CM7" s="259"/>
      <c r="CN7" s="259"/>
      <c r="CO7" s="259"/>
      <c r="CP7" s="259"/>
      <c r="CQ7" s="259"/>
      <c r="CR7" s="259"/>
      <c r="CS7" s="259"/>
      <c r="CT7" s="259"/>
      <c r="CU7" s="259"/>
      <c r="CV7" s="259"/>
      <c r="CW7" s="259"/>
      <c r="CX7" s="259"/>
      <c r="CY7" s="259"/>
      <c r="CZ7" s="259"/>
      <c r="DA7" s="259"/>
      <c r="DB7" s="259"/>
      <c r="DC7" s="259"/>
      <c r="DD7" s="259"/>
      <c r="DE7" s="259"/>
      <c r="DF7" s="259"/>
      <c r="DG7" s="259"/>
      <c r="DH7" s="259"/>
      <c r="DI7" s="259"/>
      <c r="DJ7" s="259"/>
      <c r="DK7" s="259"/>
      <c r="DL7" s="259"/>
      <c r="DM7" s="259"/>
      <c r="DN7" s="259"/>
      <c r="DO7" s="259"/>
      <c r="DP7" s="259"/>
      <c r="DQ7" s="259"/>
      <c r="DR7" s="259"/>
      <c r="DS7" s="259"/>
      <c r="DT7" s="259"/>
      <c r="DU7" s="259"/>
      <c r="DV7" s="259"/>
      <c r="DW7"/>
      <c r="DX7"/>
      <c r="DY7"/>
      <c r="DZ7"/>
      <c r="EA7"/>
      <c r="EB7"/>
      <c r="EC7"/>
      <c r="ED7"/>
      <c r="EE7"/>
    </row>
    <row r="8" spans="1:135" s="213" customFormat="1" ht="15" customHeight="1" thickBot="1" x14ac:dyDescent="0.4">
      <c r="A8" s="3693"/>
      <c r="B8" s="3696"/>
      <c r="C8" s="3718"/>
      <c r="D8" s="3720"/>
      <c r="E8" s="3722"/>
      <c r="F8" s="264" t="s">
        <v>355</v>
      </c>
      <c r="G8" s="260" t="s">
        <v>356</v>
      </c>
      <c r="H8" s="264" t="s">
        <v>355</v>
      </c>
      <c r="I8" s="260" t="s">
        <v>357</v>
      </c>
      <c r="J8" s="264" t="s">
        <v>355</v>
      </c>
      <c r="K8" s="260" t="s">
        <v>357</v>
      </c>
      <c r="L8" s="3690"/>
      <c r="M8" s="3711"/>
      <c r="N8" s="3714"/>
      <c r="O8" s="365" t="s">
        <v>337</v>
      </c>
      <c r="P8" s="259"/>
      <c r="Q8" s="259"/>
      <c r="R8" s="259"/>
      <c r="S8" s="259"/>
      <c r="T8" s="259"/>
      <c r="U8" s="259"/>
      <c r="V8" s="259"/>
      <c r="W8" s="259"/>
      <c r="X8" s="259"/>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c r="BK8" s="259"/>
      <c r="BL8" s="259"/>
      <c r="BM8" s="259"/>
      <c r="BN8" s="259"/>
      <c r="BO8" s="259"/>
      <c r="BP8" s="259"/>
      <c r="BQ8" s="259"/>
      <c r="BR8" s="259"/>
      <c r="BS8" s="259"/>
      <c r="BT8" s="259"/>
      <c r="BU8" s="259"/>
      <c r="BV8" s="259"/>
      <c r="BW8" s="259"/>
      <c r="BX8" s="259"/>
      <c r="BY8" s="259"/>
      <c r="BZ8" s="259"/>
      <c r="CA8" s="259"/>
      <c r="CB8" s="259"/>
      <c r="CC8" s="259"/>
      <c r="CD8" s="259"/>
      <c r="CE8" s="259"/>
      <c r="CF8" s="259"/>
      <c r="CG8" s="259"/>
      <c r="CH8" s="259"/>
      <c r="CI8" s="259"/>
      <c r="CJ8" s="259"/>
      <c r="CK8" s="259"/>
      <c r="CL8" s="259"/>
      <c r="CM8" s="259"/>
      <c r="CN8" s="259"/>
      <c r="CO8" s="259"/>
      <c r="CP8" s="259"/>
      <c r="CQ8" s="259"/>
      <c r="CR8" s="259"/>
      <c r="CS8" s="259"/>
      <c r="CT8" s="259"/>
      <c r="CU8" s="259"/>
      <c r="CV8" s="259"/>
      <c r="CW8" s="259"/>
      <c r="CX8" s="259"/>
      <c r="CY8" s="259"/>
      <c r="CZ8" s="259"/>
      <c r="DA8" s="259"/>
      <c r="DB8" s="259"/>
      <c r="DC8" s="259"/>
      <c r="DD8" s="259"/>
      <c r="DE8" s="259"/>
      <c r="DF8" s="259"/>
      <c r="DG8" s="259"/>
      <c r="DH8" s="259"/>
      <c r="DI8" s="259"/>
      <c r="DJ8" s="259"/>
      <c r="DK8" s="259"/>
      <c r="DL8" s="259"/>
      <c r="DM8" s="259"/>
      <c r="DN8" s="259"/>
      <c r="DO8" s="259"/>
      <c r="DP8" s="259"/>
      <c r="DQ8" s="259"/>
      <c r="DR8" s="259"/>
      <c r="DS8" s="259"/>
      <c r="DT8" s="259"/>
      <c r="DU8" s="259"/>
      <c r="DV8" s="259"/>
      <c r="DW8"/>
      <c r="DX8"/>
      <c r="DY8"/>
      <c r="DZ8"/>
      <c r="EA8"/>
      <c r="EB8"/>
      <c r="EC8"/>
      <c r="ED8"/>
      <c r="EE8"/>
    </row>
    <row r="9" spans="1:135" s="214" customFormat="1" ht="19.5" customHeight="1" thickBot="1" x14ac:dyDescent="0.4">
      <c r="A9" s="3683" t="s">
        <v>337</v>
      </c>
      <c r="B9" s="3684"/>
      <c r="C9" s="844" t="s">
        <v>174</v>
      </c>
      <c r="D9" s="265" t="s">
        <v>337</v>
      </c>
      <c r="E9" s="266" t="s">
        <v>337</v>
      </c>
      <c r="F9" s="266" t="s">
        <v>337</v>
      </c>
      <c r="G9" s="266" t="s">
        <v>337</v>
      </c>
      <c r="H9" s="266" t="s">
        <v>337</v>
      </c>
      <c r="I9" s="266" t="s">
        <v>337</v>
      </c>
      <c r="J9" s="266" t="s">
        <v>337</v>
      </c>
      <c r="K9" s="266" t="s">
        <v>337</v>
      </c>
      <c r="L9" s="845">
        <v>3567861</v>
      </c>
      <c r="M9" s="844" t="s">
        <v>337</v>
      </c>
      <c r="N9" s="846" t="s">
        <v>337</v>
      </c>
      <c r="O9" s="847" t="s">
        <v>337</v>
      </c>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59"/>
      <c r="AY9" s="259"/>
      <c r="AZ9" s="259"/>
      <c r="BA9" s="259"/>
      <c r="BB9" s="259"/>
      <c r="BC9" s="259"/>
      <c r="BD9" s="259"/>
      <c r="BE9" s="259"/>
      <c r="BF9" s="259"/>
      <c r="BG9" s="259"/>
      <c r="BH9" s="259"/>
      <c r="BI9" s="259"/>
      <c r="BJ9" s="259"/>
      <c r="BK9" s="259"/>
      <c r="BL9" s="259"/>
      <c r="BM9" s="259"/>
      <c r="BN9" s="259"/>
      <c r="BO9" s="259"/>
      <c r="BP9" s="259"/>
      <c r="BQ9" s="259"/>
      <c r="BR9" s="259"/>
      <c r="BS9" s="259"/>
      <c r="BT9" s="259"/>
      <c r="BU9" s="259"/>
      <c r="BV9" s="259"/>
      <c r="BW9" s="259"/>
      <c r="BX9" s="259"/>
      <c r="BY9" s="259"/>
      <c r="BZ9" s="259"/>
      <c r="CA9" s="259"/>
      <c r="CB9" s="259"/>
      <c r="CC9" s="259"/>
      <c r="CD9" s="259"/>
      <c r="CE9" s="259"/>
      <c r="CF9" s="259"/>
      <c r="CG9" s="259"/>
      <c r="CH9" s="259"/>
      <c r="CI9" s="259"/>
      <c r="CJ9" s="259"/>
      <c r="CK9" s="259"/>
      <c r="CL9" s="259"/>
      <c r="CM9" s="259"/>
      <c r="CN9" s="259"/>
      <c r="CO9" s="259"/>
      <c r="CP9" s="259"/>
      <c r="CQ9" s="259"/>
      <c r="CR9" s="259"/>
      <c r="CS9" s="259"/>
      <c r="CT9" s="259"/>
      <c r="CU9" s="259"/>
      <c r="CV9" s="259"/>
      <c r="CW9" s="259"/>
      <c r="CX9" s="259"/>
      <c r="CY9" s="259"/>
      <c r="CZ9" s="259"/>
      <c r="DA9" s="259"/>
      <c r="DB9" s="259"/>
      <c r="DC9" s="259"/>
      <c r="DD9" s="259"/>
      <c r="DE9" s="259"/>
      <c r="DF9" s="259"/>
      <c r="DG9" s="259"/>
      <c r="DH9" s="259"/>
      <c r="DI9" s="259"/>
      <c r="DJ9" s="259"/>
      <c r="DK9" s="259"/>
      <c r="DL9" s="259"/>
      <c r="DM9" s="259"/>
      <c r="DN9" s="259"/>
      <c r="DO9" s="259"/>
      <c r="DP9" s="259"/>
      <c r="DQ9" s="259"/>
      <c r="DR9" s="259"/>
      <c r="DS9" s="259"/>
      <c r="DT9" s="259"/>
      <c r="DU9" s="259"/>
      <c r="DV9" s="259"/>
      <c r="DW9"/>
      <c r="DX9"/>
      <c r="DY9"/>
      <c r="DZ9"/>
      <c r="EA9"/>
      <c r="EB9"/>
      <c r="EC9"/>
      <c r="ED9"/>
      <c r="EE9"/>
    </row>
    <row r="10" spans="1:135" ht="17.25" customHeight="1" x14ac:dyDescent="0.35">
      <c r="A10" s="848" t="s">
        <v>337</v>
      </c>
      <c r="B10" s="849" t="s">
        <v>337</v>
      </c>
      <c r="C10" s="850" t="s">
        <v>175</v>
      </c>
      <c r="D10" s="848">
        <v>88.9</v>
      </c>
      <c r="E10" s="851" t="s">
        <v>176</v>
      </c>
      <c r="F10" s="852">
        <f t="shared" ref="F10:F26" si="0">(O10*40)*M10</f>
        <v>4257</v>
      </c>
      <c r="G10" s="853">
        <f t="shared" ref="G10:G26" si="1">SUM(D10*F10)</f>
        <v>378447.30000000005</v>
      </c>
      <c r="H10" s="3677" t="s">
        <v>337</v>
      </c>
      <c r="I10" s="3678"/>
      <c r="J10" s="3677" t="s">
        <v>337</v>
      </c>
      <c r="K10" s="3678"/>
      <c r="L10" s="854">
        <v>378265</v>
      </c>
      <c r="M10" s="855">
        <v>0.5</v>
      </c>
      <c r="N10" s="851" t="s">
        <v>337</v>
      </c>
      <c r="O10" s="856">
        <f>'Labor Rates Calculator'!G10</f>
        <v>212.85</v>
      </c>
      <c r="P10" s="257"/>
      <c r="Q10" s="257"/>
      <c r="R10" s="257"/>
      <c r="S10" s="257"/>
      <c r="T10" s="257"/>
      <c r="U10" s="257"/>
      <c r="V10" s="257"/>
      <c r="W10" s="257"/>
      <c r="X10" s="257"/>
      <c r="Y10" s="257"/>
      <c r="Z10" s="257"/>
      <c r="AA10" s="257"/>
      <c r="AB10" s="257"/>
      <c r="AC10" s="257"/>
      <c r="AD10" s="257"/>
      <c r="AE10" s="257"/>
      <c r="AF10" s="257"/>
      <c r="AG10" s="257"/>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7"/>
      <c r="BD10" s="257"/>
      <c r="BE10" s="257"/>
      <c r="BF10" s="257"/>
      <c r="BG10" s="257"/>
      <c r="BH10" s="257"/>
      <c r="BI10" s="257"/>
      <c r="BJ10" s="257"/>
      <c r="BK10" s="257"/>
      <c r="BL10" s="257"/>
      <c r="BM10" s="257"/>
      <c r="BN10" s="257"/>
      <c r="BO10" s="257"/>
      <c r="BP10" s="257"/>
      <c r="BQ10" s="257"/>
      <c r="BR10" s="257"/>
      <c r="BS10" s="257"/>
      <c r="BT10" s="257"/>
      <c r="BU10" s="257"/>
      <c r="BV10" s="257"/>
      <c r="BW10" s="257"/>
      <c r="BX10" s="257"/>
      <c r="BY10" s="257"/>
      <c r="BZ10" s="257"/>
      <c r="CA10" s="257"/>
      <c r="CB10" s="257"/>
      <c r="CC10" s="257"/>
      <c r="CD10" s="257"/>
      <c r="CE10" s="257"/>
      <c r="CF10" s="257"/>
      <c r="CG10" s="257"/>
      <c r="CH10" s="257"/>
      <c r="CI10" s="257"/>
      <c r="CJ10" s="257"/>
      <c r="CK10" s="257"/>
      <c r="CL10" s="257"/>
      <c r="CM10" s="257"/>
      <c r="CN10" s="257"/>
      <c r="CO10" s="257"/>
      <c r="CP10" s="257"/>
      <c r="CQ10" s="257"/>
      <c r="CR10" s="257"/>
      <c r="CS10" s="257"/>
      <c r="CT10" s="257"/>
      <c r="CU10" s="257"/>
      <c r="CV10" s="257"/>
      <c r="CW10" s="257"/>
      <c r="CX10" s="257"/>
      <c r="CY10" s="257"/>
      <c r="CZ10" s="257"/>
      <c r="DA10" s="257"/>
      <c r="DB10" s="257"/>
      <c r="DC10" s="257"/>
      <c r="DD10" s="257"/>
      <c r="DE10" s="257"/>
      <c r="DF10" s="257"/>
      <c r="DG10" s="257"/>
      <c r="DH10" s="257"/>
      <c r="DI10" s="257"/>
      <c r="DJ10" s="257"/>
      <c r="DK10" s="257"/>
      <c r="DL10" s="257"/>
      <c r="DM10" s="257"/>
      <c r="DN10" s="257"/>
      <c r="DO10" s="257"/>
      <c r="DP10" s="257"/>
      <c r="DQ10" s="257"/>
      <c r="DR10" s="257"/>
      <c r="DS10" s="257"/>
      <c r="DT10" s="257"/>
      <c r="DU10" s="257"/>
      <c r="DV10" s="257"/>
    </row>
    <row r="11" spans="1:135" ht="17.25" customHeight="1" x14ac:dyDescent="0.35">
      <c r="A11" s="848" t="s">
        <v>337</v>
      </c>
      <c r="B11" s="850" t="s">
        <v>337</v>
      </c>
      <c r="C11" s="850" t="s">
        <v>177</v>
      </c>
      <c r="D11" s="848">
        <v>88.9</v>
      </c>
      <c r="E11" s="851" t="s">
        <v>176</v>
      </c>
      <c r="F11" s="852">
        <f t="shared" si="0"/>
        <v>7056.4</v>
      </c>
      <c r="G11" s="853">
        <f t="shared" si="1"/>
        <v>627313.96</v>
      </c>
      <c r="H11" s="3679"/>
      <c r="I11" s="3680"/>
      <c r="J11" s="3679"/>
      <c r="K11" s="3680"/>
      <c r="L11" s="854">
        <v>627015</v>
      </c>
      <c r="M11" s="855">
        <v>1</v>
      </c>
      <c r="N11" s="851" t="s">
        <v>337</v>
      </c>
      <c r="O11" s="856">
        <f>'Labor Rates Calculator'!G11</f>
        <v>176.41</v>
      </c>
      <c r="P11" s="257"/>
      <c r="Q11" s="257"/>
      <c r="R11" s="257"/>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7"/>
      <c r="BK11" s="257"/>
      <c r="BL11" s="257"/>
      <c r="BM11" s="257"/>
      <c r="BN11" s="257"/>
      <c r="BO11" s="257"/>
      <c r="BP11" s="257"/>
      <c r="BQ11" s="257"/>
      <c r="BR11" s="257"/>
      <c r="BS11" s="257"/>
      <c r="BT11" s="257"/>
      <c r="BU11" s="257"/>
      <c r="BV11" s="257"/>
      <c r="BW11" s="257"/>
      <c r="BX11" s="257"/>
      <c r="BY11" s="257"/>
      <c r="BZ11" s="257"/>
      <c r="CA11" s="257"/>
      <c r="CB11" s="257"/>
      <c r="CC11" s="257"/>
      <c r="CD11" s="257"/>
      <c r="CE11" s="257"/>
      <c r="CF11" s="257"/>
      <c r="CG11" s="257"/>
      <c r="CH11" s="257"/>
      <c r="CI11" s="257"/>
      <c r="CJ11" s="257"/>
      <c r="CK11" s="257"/>
      <c r="CL11" s="257"/>
      <c r="CM11" s="257"/>
      <c r="CN11" s="257"/>
      <c r="CO11" s="257"/>
      <c r="CP11" s="257"/>
      <c r="CQ11" s="257"/>
      <c r="CR11" s="257"/>
      <c r="CS11" s="257"/>
      <c r="CT11" s="257"/>
      <c r="CU11" s="257"/>
      <c r="CV11" s="257"/>
      <c r="CW11" s="257"/>
      <c r="CX11" s="257"/>
      <c r="CY11" s="257"/>
      <c r="CZ11" s="257"/>
      <c r="DA11" s="257"/>
      <c r="DB11" s="257"/>
      <c r="DC11" s="257"/>
      <c r="DD11" s="257"/>
      <c r="DE11" s="257"/>
      <c r="DF11" s="257"/>
      <c r="DG11" s="257"/>
      <c r="DH11" s="257"/>
      <c r="DI11" s="257"/>
      <c r="DJ11" s="257"/>
      <c r="DK11" s="257"/>
      <c r="DL11" s="257"/>
      <c r="DM11" s="257"/>
      <c r="DN11" s="257"/>
      <c r="DO11" s="257"/>
      <c r="DP11" s="257"/>
      <c r="DQ11" s="257"/>
      <c r="DR11" s="257"/>
      <c r="DS11" s="257"/>
      <c r="DT11" s="257"/>
      <c r="DU11" s="257"/>
      <c r="DV11" s="257"/>
    </row>
    <row r="12" spans="1:135" ht="17.25" customHeight="1" x14ac:dyDescent="0.35">
      <c r="A12" s="848" t="s">
        <v>337</v>
      </c>
      <c r="B12" s="850" t="s">
        <v>337</v>
      </c>
      <c r="C12" s="850" t="s">
        <v>179</v>
      </c>
      <c r="D12" s="848">
        <v>88.9</v>
      </c>
      <c r="E12" s="851" t="s">
        <v>176</v>
      </c>
      <c r="F12" s="852">
        <f t="shared" si="0"/>
        <v>0</v>
      </c>
      <c r="G12" s="853">
        <f t="shared" si="1"/>
        <v>0</v>
      </c>
      <c r="H12" s="3679"/>
      <c r="I12" s="3680"/>
      <c r="J12" s="3679"/>
      <c r="K12" s="3680"/>
      <c r="L12" s="857" t="s">
        <v>358</v>
      </c>
      <c r="M12" s="855">
        <v>0</v>
      </c>
      <c r="N12" s="851" t="s">
        <v>337</v>
      </c>
      <c r="O12" s="856">
        <f>'Labor Rates Calculator'!G12</f>
        <v>148.69999999999999</v>
      </c>
      <c r="P12" s="257"/>
      <c r="Q12" s="257"/>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57"/>
      <c r="BW12" s="257"/>
      <c r="BX12" s="257"/>
      <c r="BY12" s="257"/>
      <c r="BZ12" s="257"/>
      <c r="CA12" s="257"/>
      <c r="CB12" s="257"/>
      <c r="CC12" s="257"/>
      <c r="CD12" s="257"/>
      <c r="CE12" s="257"/>
      <c r="CF12" s="257"/>
      <c r="CG12" s="257"/>
      <c r="CH12" s="257"/>
      <c r="CI12" s="257"/>
      <c r="CJ12" s="257"/>
      <c r="CK12" s="257"/>
      <c r="CL12" s="257"/>
      <c r="CM12" s="257"/>
      <c r="CN12" s="257"/>
      <c r="CO12" s="257"/>
      <c r="CP12" s="257"/>
      <c r="CQ12" s="257"/>
      <c r="CR12" s="257"/>
      <c r="CS12" s="257"/>
      <c r="CT12" s="257"/>
      <c r="CU12" s="257"/>
      <c r="CV12" s="257"/>
      <c r="CW12" s="257"/>
      <c r="CX12" s="257"/>
      <c r="CY12" s="257"/>
      <c r="CZ12" s="257"/>
      <c r="DA12" s="257"/>
      <c r="DB12" s="257"/>
      <c r="DC12" s="257"/>
      <c r="DD12" s="257"/>
      <c r="DE12" s="257"/>
      <c r="DF12" s="257"/>
      <c r="DG12" s="257"/>
      <c r="DH12" s="257"/>
      <c r="DI12" s="257"/>
      <c r="DJ12" s="257"/>
      <c r="DK12" s="257"/>
      <c r="DL12" s="257"/>
      <c r="DM12" s="257"/>
      <c r="DN12" s="257"/>
      <c r="DO12" s="257"/>
      <c r="DP12" s="257"/>
      <c r="DQ12" s="257"/>
      <c r="DR12" s="257"/>
      <c r="DS12" s="257"/>
      <c r="DT12" s="257"/>
      <c r="DU12" s="257"/>
      <c r="DV12" s="257"/>
    </row>
    <row r="13" spans="1:135" ht="17.25" customHeight="1" x14ac:dyDescent="0.35">
      <c r="A13" s="848" t="s">
        <v>337</v>
      </c>
      <c r="B13" s="850" t="s">
        <v>337</v>
      </c>
      <c r="C13" s="850" t="s">
        <v>180</v>
      </c>
      <c r="D13" s="848">
        <v>88.9</v>
      </c>
      <c r="E13" s="851" t="s">
        <v>176</v>
      </c>
      <c r="F13" s="852">
        <f t="shared" si="0"/>
        <v>0</v>
      </c>
      <c r="G13" s="853">
        <f t="shared" si="1"/>
        <v>0</v>
      </c>
      <c r="H13" s="3679"/>
      <c r="I13" s="3680"/>
      <c r="J13" s="3679"/>
      <c r="K13" s="3680"/>
      <c r="L13" s="857" t="s">
        <v>358</v>
      </c>
      <c r="M13" s="855">
        <v>0</v>
      </c>
      <c r="N13" s="851" t="s">
        <v>337</v>
      </c>
      <c r="O13" s="856">
        <f>'Labor Rates Calculator'!G13</f>
        <v>127.26</v>
      </c>
      <c r="P13" s="257"/>
      <c r="Q13" s="257"/>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7"/>
      <c r="DA13" s="257"/>
      <c r="DB13" s="257"/>
      <c r="DC13" s="257"/>
      <c r="DD13" s="257"/>
      <c r="DE13" s="257"/>
      <c r="DF13" s="257"/>
      <c r="DG13" s="257"/>
      <c r="DH13" s="257"/>
      <c r="DI13" s="257"/>
      <c r="DJ13" s="257"/>
      <c r="DK13" s="257"/>
      <c r="DL13" s="257"/>
      <c r="DM13" s="257"/>
      <c r="DN13" s="257"/>
      <c r="DO13" s="257"/>
      <c r="DP13" s="257"/>
      <c r="DQ13" s="257"/>
      <c r="DR13" s="257"/>
      <c r="DS13" s="257"/>
      <c r="DT13" s="257"/>
      <c r="DU13" s="257"/>
      <c r="DV13" s="257"/>
    </row>
    <row r="14" spans="1:135" ht="17.25" customHeight="1" x14ac:dyDescent="0.35">
      <c r="A14" s="848" t="s">
        <v>337</v>
      </c>
      <c r="B14" s="850" t="s">
        <v>337</v>
      </c>
      <c r="C14" s="850" t="s">
        <v>181</v>
      </c>
      <c r="D14" s="848">
        <v>88.9</v>
      </c>
      <c r="E14" s="851" t="s">
        <v>176</v>
      </c>
      <c r="F14" s="852">
        <f t="shared" si="0"/>
        <v>3591.2</v>
      </c>
      <c r="G14" s="853">
        <f t="shared" si="1"/>
        <v>319257.68</v>
      </c>
      <c r="H14" s="3679"/>
      <c r="I14" s="3680"/>
      <c r="J14" s="3679"/>
      <c r="K14" s="3680"/>
      <c r="L14" s="854">
        <v>319111</v>
      </c>
      <c r="M14" s="855">
        <v>1</v>
      </c>
      <c r="N14" s="851" t="s">
        <v>337</v>
      </c>
      <c r="O14" s="856">
        <f>'Labor Rates Calculator'!G14</f>
        <v>89.78</v>
      </c>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57"/>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7"/>
      <c r="DA14" s="257"/>
      <c r="DB14" s="257"/>
      <c r="DC14" s="257"/>
      <c r="DD14" s="257"/>
      <c r="DE14" s="257"/>
      <c r="DF14" s="257"/>
      <c r="DG14" s="257"/>
      <c r="DH14" s="257"/>
      <c r="DI14" s="257"/>
      <c r="DJ14" s="257"/>
      <c r="DK14" s="257"/>
      <c r="DL14" s="257"/>
      <c r="DM14" s="257"/>
      <c r="DN14" s="257"/>
      <c r="DO14" s="257"/>
      <c r="DP14" s="257"/>
      <c r="DQ14" s="257"/>
      <c r="DR14" s="257"/>
      <c r="DS14" s="257"/>
      <c r="DT14" s="257"/>
      <c r="DU14" s="257"/>
      <c r="DV14" s="257"/>
    </row>
    <row r="15" spans="1:135" ht="17.25" customHeight="1" x14ac:dyDescent="0.35">
      <c r="A15" s="858" t="s">
        <v>337</v>
      </c>
      <c r="B15" s="849" t="s">
        <v>337</v>
      </c>
      <c r="C15" s="850" t="s">
        <v>182</v>
      </c>
      <c r="D15" s="848">
        <v>88.9</v>
      </c>
      <c r="E15" s="850" t="s">
        <v>176</v>
      </c>
      <c r="F15" s="852">
        <f t="shared" si="0"/>
        <v>0</v>
      </c>
      <c r="G15" s="853">
        <f t="shared" si="1"/>
        <v>0</v>
      </c>
      <c r="H15" s="3679"/>
      <c r="I15" s="3680"/>
      <c r="J15" s="3679"/>
      <c r="K15" s="3680"/>
      <c r="L15" s="857" t="s">
        <v>358</v>
      </c>
      <c r="M15" s="855">
        <v>0</v>
      </c>
      <c r="N15" s="851" t="s">
        <v>337</v>
      </c>
      <c r="O15" s="856">
        <f>'Labor Rates Calculator'!G15</f>
        <v>115.84</v>
      </c>
      <c r="P15" s="257"/>
      <c r="Q15" s="257"/>
      <c r="R15" s="257"/>
      <c r="S15" s="257"/>
      <c r="T15" s="257"/>
      <c r="U15" s="257"/>
      <c r="V15" s="257"/>
      <c r="W15" s="257"/>
      <c r="X15" s="257"/>
      <c r="Y15" s="257"/>
      <c r="Z15" s="257"/>
      <c r="AA15" s="257"/>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7"/>
      <c r="BD15" s="257"/>
      <c r="BE15" s="257"/>
      <c r="BF15" s="257"/>
      <c r="BG15" s="257"/>
      <c r="BH15" s="257"/>
      <c r="BI15" s="257"/>
      <c r="BJ15" s="257"/>
      <c r="BK15" s="257"/>
      <c r="BL15" s="257"/>
      <c r="BM15" s="257"/>
      <c r="BN15" s="257"/>
      <c r="BO15" s="257"/>
      <c r="BP15" s="257"/>
      <c r="BQ15" s="257"/>
      <c r="BR15" s="257"/>
      <c r="BS15" s="257"/>
      <c r="BT15" s="257"/>
      <c r="BU15" s="257"/>
      <c r="BV15" s="257"/>
      <c r="BW15" s="257"/>
      <c r="BX15" s="257"/>
      <c r="BY15" s="257"/>
      <c r="BZ15" s="257"/>
      <c r="CA15" s="257"/>
      <c r="CB15" s="257"/>
      <c r="CC15" s="257"/>
      <c r="CD15" s="257"/>
      <c r="CE15" s="257"/>
      <c r="CF15" s="257"/>
      <c r="CG15" s="257"/>
      <c r="CH15" s="257"/>
      <c r="CI15" s="257"/>
      <c r="CJ15" s="257"/>
      <c r="CK15" s="257"/>
      <c r="CL15" s="257"/>
      <c r="CM15" s="257"/>
      <c r="CN15" s="257"/>
      <c r="CO15" s="257"/>
      <c r="CP15" s="257"/>
      <c r="CQ15" s="257"/>
      <c r="CR15" s="257"/>
      <c r="CS15" s="257"/>
      <c r="CT15" s="257"/>
      <c r="CU15" s="257"/>
      <c r="CV15" s="257"/>
      <c r="CW15" s="257"/>
      <c r="CX15" s="257"/>
      <c r="CY15" s="257"/>
      <c r="CZ15" s="257"/>
      <c r="DA15" s="257"/>
      <c r="DB15" s="257"/>
      <c r="DC15" s="257"/>
      <c r="DD15" s="257"/>
      <c r="DE15" s="257"/>
      <c r="DF15" s="257"/>
      <c r="DG15" s="257"/>
      <c r="DH15" s="257"/>
      <c r="DI15" s="257"/>
      <c r="DJ15" s="257"/>
      <c r="DK15" s="257"/>
      <c r="DL15" s="257"/>
      <c r="DM15" s="257"/>
      <c r="DN15" s="257"/>
      <c r="DO15" s="257"/>
      <c r="DP15" s="257"/>
      <c r="DQ15" s="257"/>
      <c r="DR15" s="257"/>
      <c r="DS15" s="257"/>
      <c r="DT15" s="257"/>
      <c r="DU15" s="257"/>
      <c r="DV15" s="257"/>
    </row>
    <row r="16" spans="1:135" ht="15.75" customHeight="1" x14ac:dyDescent="0.35">
      <c r="A16" s="848" t="s">
        <v>337</v>
      </c>
      <c r="B16" s="849" t="s">
        <v>337</v>
      </c>
      <c r="C16" s="850" t="s">
        <v>183</v>
      </c>
      <c r="D16" s="848">
        <v>88.9</v>
      </c>
      <c r="E16" s="850" t="s">
        <v>176</v>
      </c>
      <c r="F16" s="852">
        <f t="shared" si="0"/>
        <v>4467.6000000000004</v>
      </c>
      <c r="G16" s="853">
        <f t="shared" si="1"/>
        <v>397169.64000000007</v>
      </c>
      <c r="H16" s="3679"/>
      <c r="I16" s="3680"/>
      <c r="J16" s="3679"/>
      <c r="K16" s="3680"/>
      <c r="L16" s="854">
        <v>396979</v>
      </c>
      <c r="M16" s="855">
        <v>1</v>
      </c>
      <c r="N16" s="851" t="s">
        <v>337</v>
      </c>
      <c r="O16" s="856">
        <f>'Labor Rates Calculator'!G16</f>
        <v>111.69</v>
      </c>
      <c r="P16" s="257"/>
      <c r="Q16" s="257"/>
      <c r="R16" s="257"/>
      <c r="S16" s="257"/>
      <c r="T16" s="257"/>
      <c r="U16" s="257"/>
      <c r="V16" s="257"/>
      <c r="W16" s="257"/>
      <c r="X16" s="257"/>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7"/>
      <c r="BK16" s="257"/>
      <c r="BL16" s="257"/>
      <c r="BM16" s="257"/>
      <c r="BN16" s="257"/>
      <c r="BO16" s="257"/>
      <c r="BP16" s="257"/>
      <c r="BQ16" s="257"/>
      <c r="BR16" s="257"/>
      <c r="BS16" s="257"/>
      <c r="BT16" s="257"/>
      <c r="BU16" s="257"/>
      <c r="BV16" s="257"/>
      <c r="BW16" s="257"/>
      <c r="BX16" s="257"/>
      <c r="BY16" s="257"/>
      <c r="BZ16" s="257"/>
      <c r="CA16" s="257"/>
      <c r="CB16" s="257"/>
      <c r="CC16" s="257"/>
      <c r="CD16" s="257"/>
      <c r="CE16" s="257"/>
      <c r="CF16" s="257"/>
      <c r="CG16" s="257"/>
      <c r="CH16" s="257"/>
      <c r="CI16" s="257"/>
      <c r="CJ16" s="257"/>
      <c r="CK16" s="257"/>
      <c r="CL16" s="257"/>
      <c r="CM16" s="257"/>
      <c r="CN16" s="257"/>
      <c r="CO16" s="257"/>
      <c r="CP16" s="257"/>
      <c r="CQ16" s="257"/>
      <c r="CR16" s="257"/>
      <c r="CS16" s="257"/>
      <c r="CT16" s="257"/>
      <c r="CU16" s="257"/>
      <c r="CV16" s="257"/>
      <c r="CW16" s="257"/>
      <c r="CX16" s="257"/>
      <c r="CY16" s="257"/>
      <c r="CZ16" s="257"/>
      <c r="DA16" s="257"/>
      <c r="DB16" s="257"/>
      <c r="DC16" s="257"/>
      <c r="DD16" s="257"/>
      <c r="DE16" s="257"/>
      <c r="DF16" s="257"/>
      <c r="DG16" s="257"/>
      <c r="DH16" s="257"/>
      <c r="DI16" s="257"/>
      <c r="DJ16" s="257"/>
      <c r="DK16" s="257"/>
      <c r="DL16" s="257"/>
      <c r="DM16" s="257"/>
      <c r="DN16" s="257"/>
      <c r="DO16" s="257"/>
      <c r="DP16" s="257"/>
      <c r="DQ16" s="257"/>
      <c r="DR16" s="257"/>
      <c r="DS16" s="257"/>
      <c r="DT16" s="257"/>
      <c r="DU16" s="257"/>
      <c r="DV16" s="257"/>
    </row>
    <row r="17" spans="1:135" ht="15.75" customHeight="1" x14ac:dyDescent="0.35">
      <c r="A17" s="848" t="s">
        <v>337</v>
      </c>
      <c r="B17" s="849" t="s">
        <v>337</v>
      </c>
      <c r="C17" s="850" t="s">
        <v>184</v>
      </c>
      <c r="D17" s="848">
        <v>88.9</v>
      </c>
      <c r="E17" s="850" t="s">
        <v>176</v>
      </c>
      <c r="F17" s="852">
        <f t="shared" si="0"/>
        <v>563.36</v>
      </c>
      <c r="G17" s="853">
        <f t="shared" si="1"/>
        <v>50082.704000000005</v>
      </c>
      <c r="H17" s="3679"/>
      <c r="I17" s="3680"/>
      <c r="J17" s="3679"/>
      <c r="K17" s="3680"/>
      <c r="L17" s="854">
        <v>50060</v>
      </c>
      <c r="M17" s="855">
        <v>0.08</v>
      </c>
      <c r="N17" s="851" t="s">
        <v>337</v>
      </c>
      <c r="O17" s="856">
        <f>'Labor Rates Calculator'!G17</f>
        <v>176.05</v>
      </c>
      <c r="P17" s="257"/>
      <c r="Q17" s="257"/>
      <c r="R17" s="257"/>
      <c r="S17" s="257"/>
      <c r="T17" s="257"/>
      <c r="U17" s="257"/>
      <c r="V17" s="257"/>
      <c r="W17" s="257"/>
      <c r="X17" s="257"/>
      <c r="Y17" s="257"/>
      <c r="Z17" s="257"/>
      <c r="AA17" s="257"/>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7"/>
      <c r="BK17" s="257"/>
      <c r="BL17" s="257"/>
      <c r="BM17" s="257"/>
      <c r="BN17" s="257"/>
      <c r="BO17" s="257"/>
      <c r="BP17" s="257"/>
      <c r="BQ17" s="257"/>
      <c r="BR17" s="257"/>
      <c r="BS17" s="257"/>
      <c r="BT17" s="257"/>
      <c r="BU17" s="257"/>
      <c r="BV17" s="257"/>
      <c r="BW17" s="257"/>
      <c r="BX17" s="257"/>
      <c r="BY17" s="257"/>
      <c r="BZ17" s="257"/>
      <c r="CA17" s="257"/>
      <c r="CB17" s="257"/>
      <c r="CC17" s="257"/>
      <c r="CD17" s="257"/>
      <c r="CE17" s="257"/>
      <c r="CF17" s="257"/>
      <c r="CG17" s="257"/>
      <c r="CH17" s="257"/>
      <c r="CI17" s="257"/>
      <c r="CJ17" s="257"/>
      <c r="CK17" s="257"/>
      <c r="CL17" s="257"/>
      <c r="CM17" s="257"/>
      <c r="CN17" s="257"/>
      <c r="CO17" s="257"/>
      <c r="CP17" s="257"/>
      <c r="CQ17" s="257"/>
      <c r="CR17" s="257"/>
      <c r="CS17" s="257"/>
      <c r="CT17" s="257"/>
      <c r="CU17" s="257"/>
      <c r="CV17" s="257"/>
      <c r="CW17" s="257"/>
      <c r="CX17" s="257"/>
      <c r="CY17" s="257"/>
      <c r="CZ17" s="257"/>
      <c r="DA17" s="257"/>
      <c r="DB17" s="257"/>
      <c r="DC17" s="257"/>
      <c r="DD17" s="257"/>
      <c r="DE17" s="257"/>
      <c r="DF17" s="257"/>
      <c r="DG17" s="257"/>
      <c r="DH17" s="257"/>
      <c r="DI17" s="257"/>
      <c r="DJ17" s="257"/>
      <c r="DK17" s="257"/>
      <c r="DL17" s="257"/>
      <c r="DM17" s="257"/>
      <c r="DN17" s="257"/>
      <c r="DO17" s="257"/>
      <c r="DP17" s="257"/>
      <c r="DQ17" s="257"/>
      <c r="DR17" s="257"/>
      <c r="DS17" s="257"/>
      <c r="DT17" s="257"/>
      <c r="DU17" s="257"/>
      <c r="DV17" s="257"/>
    </row>
    <row r="18" spans="1:135" ht="15.75" customHeight="1" x14ac:dyDescent="0.35">
      <c r="A18" s="848" t="s">
        <v>337</v>
      </c>
      <c r="B18" s="849" t="s">
        <v>337</v>
      </c>
      <c r="C18" s="850" t="s">
        <v>185</v>
      </c>
      <c r="D18" s="848">
        <v>88.9</v>
      </c>
      <c r="E18" s="850" t="s">
        <v>176</v>
      </c>
      <c r="F18" s="852">
        <f t="shared" si="0"/>
        <v>5336.1</v>
      </c>
      <c r="G18" s="853">
        <f t="shared" si="1"/>
        <v>474379.29000000004</v>
      </c>
      <c r="H18" s="3679"/>
      <c r="I18" s="3680"/>
      <c r="J18" s="3679"/>
      <c r="K18" s="3680"/>
      <c r="L18" s="854">
        <v>474138</v>
      </c>
      <c r="M18" s="855">
        <v>0.75</v>
      </c>
      <c r="N18" s="851" t="s">
        <v>337</v>
      </c>
      <c r="O18" s="856">
        <f>'Labor Rates Calculator'!G18</f>
        <v>177.87</v>
      </c>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7"/>
      <c r="BK18" s="257"/>
      <c r="BL18" s="257"/>
      <c r="BM18" s="257"/>
      <c r="BN18" s="257"/>
      <c r="BO18" s="257"/>
      <c r="BP18" s="257"/>
      <c r="BQ18" s="257"/>
      <c r="BR18" s="257"/>
      <c r="BS18" s="257"/>
      <c r="BT18" s="257"/>
      <c r="BU18" s="257"/>
      <c r="BV18" s="257"/>
      <c r="BW18" s="257"/>
      <c r="BX18" s="257"/>
      <c r="BY18" s="257"/>
      <c r="BZ18" s="257"/>
      <c r="CA18" s="257"/>
      <c r="CB18" s="257"/>
      <c r="CC18" s="257"/>
      <c r="CD18" s="257"/>
      <c r="CE18" s="257"/>
      <c r="CF18" s="257"/>
      <c r="CG18" s="257"/>
      <c r="CH18" s="257"/>
      <c r="CI18" s="257"/>
      <c r="CJ18" s="257"/>
      <c r="CK18" s="257"/>
      <c r="CL18" s="257"/>
      <c r="CM18" s="257"/>
      <c r="CN18" s="257"/>
      <c r="CO18" s="257"/>
      <c r="CP18" s="257"/>
      <c r="CQ18" s="257"/>
      <c r="CR18" s="257"/>
      <c r="CS18" s="257"/>
      <c r="CT18" s="257"/>
      <c r="CU18" s="257"/>
      <c r="CV18" s="257"/>
      <c r="CW18" s="257"/>
      <c r="CX18" s="257"/>
      <c r="CY18" s="257"/>
      <c r="CZ18" s="257"/>
      <c r="DA18" s="257"/>
      <c r="DB18" s="257"/>
      <c r="DC18" s="257"/>
      <c r="DD18" s="257"/>
      <c r="DE18" s="257"/>
      <c r="DF18" s="257"/>
      <c r="DG18" s="257"/>
      <c r="DH18" s="257"/>
      <c r="DI18" s="257"/>
      <c r="DJ18" s="257"/>
      <c r="DK18" s="257"/>
      <c r="DL18" s="257"/>
      <c r="DM18" s="257"/>
      <c r="DN18" s="257"/>
      <c r="DO18" s="257"/>
      <c r="DP18" s="257"/>
      <c r="DQ18" s="257"/>
      <c r="DR18" s="257"/>
      <c r="DS18" s="257"/>
      <c r="DT18" s="257"/>
      <c r="DU18" s="257"/>
      <c r="DV18" s="257"/>
    </row>
    <row r="19" spans="1:135" ht="15.75" customHeight="1" x14ac:dyDescent="0.35">
      <c r="A19" s="848" t="s">
        <v>337</v>
      </c>
      <c r="B19" s="849" t="s">
        <v>337</v>
      </c>
      <c r="C19" s="850" t="s">
        <v>186</v>
      </c>
      <c r="D19" s="848">
        <v>88.9</v>
      </c>
      <c r="E19" s="850" t="s">
        <v>176</v>
      </c>
      <c r="F19" s="852">
        <f t="shared" si="0"/>
        <v>5972</v>
      </c>
      <c r="G19" s="853">
        <f t="shared" si="1"/>
        <v>530910.80000000005</v>
      </c>
      <c r="H19" s="3679"/>
      <c r="I19" s="3680"/>
      <c r="J19" s="3679"/>
      <c r="K19" s="3680"/>
      <c r="L19" s="854">
        <v>530653</v>
      </c>
      <c r="M19" s="855">
        <v>1</v>
      </c>
      <c r="N19" s="851" t="s">
        <v>337</v>
      </c>
      <c r="O19" s="856">
        <f>'Labor Rates Calculator'!G19</f>
        <v>149.30000000000001</v>
      </c>
      <c r="P19" s="257"/>
      <c r="Q19" s="257"/>
      <c r="R19" s="257"/>
      <c r="S19" s="257"/>
      <c r="T19" s="257"/>
      <c r="U19" s="257"/>
      <c r="V19" s="257"/>
      <c r="W19" s="257"/>
      <c r="X19" s="257"/>
      <c r="Y19" s="257"/>
      <c r="Z19" s="257"/>
      <c r="AA19" s="257"/>
      <c r="AB19" s="257"/>
      <c r="AC19" s="257"/>
      <c r="AD19" s="257"/>
      <c r="AE19" s="257"/>
      <c r="AF19" s="257"/>
      <c r="AG19" s="257"/>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7"/>
      <c r="BD19" s="257"/>
      <c r="BE19" s="257"/>
      <c r="BF19" s="257"/>
      <c r="BG19" s="257"/>
      <c r="BH19" s="257"/>
      <c r="BI19" s="257"/>
      <c r="BJ19" s="257"/>
      <c r="BK19" s="257"/>
      <c r="BL19" s="257"/>
      <c r="BM19" s="257"/>
      <c r="BN19" s="257"/>
      <c r="BO19" s="257"/>
      <c r="BP19" s="257"/>
      <c r="BQ19" s="257"/>
      <c r="BR19" s="257"/>
      <c r="BS19" s="257"/>
      <c r="BT19" s="257"/>
      <c r="BU19" s="257"/>
      <c r="BV19" s="257"/>
      <c r="BW19" s="257"/>
      <c r="BX19" s="257"/>
      <c r="BY19" s="257"/>
      <c r="BZ19" s="257"/>
      <c r="CA19" s="257"/>
      <c r="CB19" s="257"/>
      <c r="CC19" s="257"/>
      <c r="CD19" s="257"/>
      <c r="CE19" s="257"/>
      <c r="CF19" s="257"/>
      <c r="CG19" s="257"/>
      <c r="CH19" s="257"/>
      <c r="CI19" s="257"/>
      <c r="CJ19" s="257"/>
      <c r="CK19" s="257"/>
      <c r="CL19" s="257"/>
      <c r="CM19" s="257"/>
      <c r="CN19" s="257"/>
      <c r="CO19" s="257"/>
      <c r="CP19" s="257"/>
      <c r="CQ19" s="257"/>
      <c r="CR19" s="257"/>
      <c r="CS19" s="257"/>
      <c r="CT19" s="257"/>
      <c r="CU19" s="257"/>
      <c r="CV19" s="257"/>
      <c r="CW19" s="257"/>
      <c r="CX19" s="257"/>
      <c r="CY19" s="257"/>
      <c r="CZ19" s="257"/>
      <c r="DA19" s="257"/>
      <c r="DB19" s="257"/>
      <c r="DC19" s="257"/>
      <c r="DD19" s="257"/>
      <c r="DE19" s="257"/>
      <c r="DF19" s="257"/>
      <c r="DG19" s="257"/>
      <c r="DH19" s="257"/>
      <c r="DI19" s="257"/>
      <c r="DJ19" s="257"/>
      <c r="DK19" s="257"/>
      <c r="DL19" s="257"/>
      <c r="DM19" s="257"/>
      <c r="DN19" s="257"/>
      <c r="DO19" s="257"/>
      <c r="DP19" s="257"/>
      <c r="DQ19" s="257"/>
      <c r="DR19" s="257"/>
      <c r="DS19" s="257"/>
      <c r="DT19" s="257"/>
      <c r="DU19" s="257"/>
      <c r="DV19" s="257"/>
    </row>
    <row r="20" spans="1:135" ht="15.75" customHeight="1" x14ac:dyDescent="0.35">
      <c r="A20" s="848" t="s">
        <v>337</v>
      </c>
      <c r="B20" s="849" t="s">
        <v>337</v>
      </c>
      <c r="C20" s="850" t="s">
        <v>187</v>
      </c>
      <c r="D20" s="848">
        <v>88.9</v>
      </c>
      <c r="E20" s="850" t="s">
        <v>176</v>
      </c>
      <c r="F20" s="852">
        <f t="shared" si="0"/>
        <v>4887.6000000000004</v>
      </c>
      <c r="G20" s="853">
        <f t="shared" si="1"/>
        <v>434507.64000000007</v>
      </c>
      <c r="H20" s="3679"/>
      <c r="I20" s="3680"/>
      <c r="J20" s="3679"/>
      <c r="K20" s="3680"/>
      <c r="L20" s="854">
        <v>434316</v>
      </c>
      <c r="M20" s="855">
        <v>1</v>
      </c>
      <c r="N20" s="851" t="s">
        <v>337</v>
      </c>
      <c r="O20" s="856">
        <f>'Labor Rates Calculator'!G20</f>
        <v>122.19</v>
      </c>
      <c r="P20" s="257"/>
      <c r="Q20" s="257"/>
      <c r="R20" s="257"/>
      <c r="S20" s="257"/>
      <c r="T20" s="257"/>
      <c r="U20" s="257"/>
      <c r="V20" s="257"/>
      <c r="W20" s="257"/>
      <c r="X20" s="257"/>
      <c r="Y20" s="257"/>
      <c r="Z20" s="257"/>
      <c r="AA20" s="257"/>
      <c r="AB20" s="257"/>
      <c r="AC20" s="257"/>
      <c r="AD20" s="257"/>
      <c r="AE20" s="257"/>
      <c r="AF20" s="257"/>
      <c r="AG20" s="257"/>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7"/>
      <c r="BK20" s="257"/>
      <c r="BL20" s="257"/>
      <c r="BM20" s="257"/>
      <c r="BN20" s="257"/>
      <c r="BO20" s="257"/>
      <c r="BP20" s="257"/>
      <c r="BQ20" s="257"/>
      <c r="BR20" s="257"/>
      <c r="BS20" s="257"/>
      <c r="BT20" s="257"/>
      <c r="BU20" s="257"/>
      <c r="BV20" s="257"/>
      <c r="BW20" s="257"/>
      <c r="BX20" s="257"/>
      <c r="BY20" s="257"/>
      <c r="BZ20" s="257"/>
      <c r="CA20" s="257"/>
      <c r="CB20" s="257"/>
      <c r="CC20" s="257"/>
      <c r="CD20" s="257"/>
      <c r="CE20" s="257"/>
      <c r="CF20" s="257"/>
      <c r="CG20" s="257"/>
      <c r="CH20" s="257"/>
      <c r="CI20" s="257"/>
      <c r="CJ20" s="257"/>
      <c r="CK20" s="257"/>
      <c r="CL20" s="257"/>
      <c r="CM20" s="257"/>
      <c r="CN20" s="257"/>
      <c r="CO20" s="257"/>
      <c r="CP20" s="257"/>
      <c r="CQ20" s="257"/>
      <c r="CR20" s="257"/>
      <c r="CS20" s="257"/>
      <c r="CT20" s="257"/>
      <c r="CU20" s="257"/>
      <c r="CV20" s="257"/>
      <c r="CW20" s="257"/>
      <c r="CX20" s="257"/>
      <c r="CY20" s="257"/>
      <c r="CZ20" s="257"/>
      <c r="DA20" s="257"/>
      <c r="DB20" s="257"/>
      <c r="DC20" s="257"/>
      <c r="DD20" s="257"/>
      <c r="DE20" s="257"/>
      <c r="DF20" s="257"/>
      <c r="DG20" s="257"/>
      <c r="DH20" s="257"/>
      <c r="DI20" s="257"/>
      <c r="DJ20" s="257"/>
      <c r="DK20" s="257"/>
      <c r="DL20" s="257"/>
      <c r="DM20" s="257"/>
      <c r="DN20" s="257"/>
      <c r="DO20" s="257"/>
      <c r="DP20" s="257"/>
      <c r="DQ20" s="257"/>
      <c r="DR20" s="257"/>
      <c r="DS20" s="257"/>
      <c r="DT20" s="257"/>
      <c r="DU20" s="257"/>
      <c r="DV20" s="257"/>
    </row>
    <row r="21" spans="1:135" ht="15.75" customHeight="1" x14ac:dyDescent="0.35">
      <c r="A21" s="848" t="s">
        <v>337</v>
      </c>
      <c r="B21" s="849" t="s">
        <v>337</v>
      </c>
      <c r="C21" s="850" t="s">
        <v>188</v>
      </c>
      <c r="D21" s="848">
        <v>88.9</v>
      </c>
      <c r="E21" s="850" t="s">
        <v>176</v>
      </c>
      <c r="F21" s="852">
        <f t="shared" si="0"/>
        <v>0</v>
      </c>
      <c r="G21" s="853">
        <f t="shared" si="1"/>
        <v>0</v>
      </c>
      <c r="H21" s="3679"/>
      <c r="I21" s="3680"/>
      <c r="J21" s="3679"/>
      <c r="K21" s="3680"/>
      <c r="L21" s="857" t="s">
        <v>358</v>
      </c>
      <c r="M21" s="855">
        <v>0</v>
      </c>
      <c r="N21" s="851" t="s">
        <v>337</v>
      </c>
      <c r="O21" s="856">
        <f>'Labor Rates Calculator'!G21</f>
        <v>80.89</v>
      </c>
      <c r="P21" s="257"/>
      <c r="Q21" s="257"/>
      <c r="R21" s="257"/>
      <c r="S21" s="257"/>
      <c r="T21" s="257"/>
      <c r="U21" s="257"/>
      <c r="V21" s="257"/>
      <c r="W21" s="257"/>
      <c r="X21" s="257"/>
      <c r="Y21" s="257"/>
      <c r="Z21" s="257"/>
      <c r="AA21" s="257"/>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7"/>
      <c r="BK21" s="257"/>
      <c r="BL21" s="257"/>
      <c r="BM21" s="257"/>
      <c r="BN21" s="257"/>
      <c r="BO21" s="257"/>
      <c r="BP21" s="257"/>
      <c r="BQ21" s="257"/>
      <c r="BR21" s="257"/>
      <c r="BS21" s="257"/>
      <c r="BT21" s="257"/>
      <c r="BU21" s="257"/>
      <c r="BV21" s="257"/>
      <c r="BW21" s="257"/>
      <c r="BX21" s="257"/>
      <c r="BY21" s="257"/>
      <c r="BZ21" s="257"/>
      <c r="CA21" s="257"/>
      <c r="CB21" s="257"/>
      <c r="CC21" s="257"/>
      <c r="CD21" s="257"/>
      <c r="CE21" s="257"/>
      <c r="CF21" s="257"/>
      <c r="CG21" s="257"/>
      <c r="CH21" s="257"/>
      <c r="CI21" s="257"/>
      <c r="CJ21" s="257"/>
      <c r="CK21" s="257"/>
      <c r="CL21" s="257"/>
      <c r="CM21" s="257"/>
      <c r="CN21" s="257"/>
      <c r="CO21" s="257"/>
      <c r="CP21" s="257"/>
      <c r="CQ21" s="257"/>
      <c r="CR21" s="257"/>
      <c r="CS21" s="257"/>
      <c r="CT21" s="257"/>
      <c r="CU21" s="257"/>
      <c r="CV21" s="257"/>
      <c r="CW21" s="257"/>
      <c r="CX21" s="257"/>
      <c r="CY21" s="257"/>
      <c r="CZ21" s="257"/>
      <c r="DA21" s="257"/>
      <c r="DB21" s="257"/>
      <c r="DC21" s="257"/>
      <c r="DD21" s="257"/>
      <c r="DE21" s="257"/>
      <c r="DF21" s="257"/>
      <c r="DG21" s="257"/>
      <c r="DH21" s="257"/>
      <c r="DI21" s="257"/>
      <c r="DJ21" s="257"/>
      <c r="DK21" s="257"/>
      <c r="DL21" s="257"/>
      <c r="DM21" s="257"/>
      <c r="DN21" s="257"/>
      <c r="DO21" s="257"/>
      <c r="DP21" s="257"/>
      <c r="DQ21" s="257"/>
      <c r="DR21" s="257"/>
      <c r="DS21" s="257"/>
      <c r="DT21" s="257"/>
      <c r="DU21" s="257"/>
      <c r="DV21" s="257"/>
    </row>
    <row r="22" spans="1:135" ht="15.75" customHeight="1" x14ac:dyDescent="0.35">
      <c r="A22" s="848" t="s">
        <v>337</v>
      </c>
      <c r="B22" s="849" t="s">
        <v>337</v>
      </c>
      <c r="C22" s="267" t="s">
        <v>189</v>
      </c>
      <c r="D22" s="848">
        <v>88.9</v>
      </c>
      <c r="E22" s="850" t="s">
        <v>176</v>
      </c>
      <c r="F22" s="852">
        <f t="shared" si="0"/>
        <v>1111.68</v>
      </c>
      <c r="G22" s="853">
        <f t="shared" si="1"/>
        <v>98828.352000000014</v>
      </c>
      <c r="H22" s="3679"/>
      <c r="I22" s="3680"/>
      <c r="J22" s="3679"/>
      <c r="K22" s="3680"/>
      <c r="L22" s="854">
        <v>98780</v>
      </c>
      <c r="M22" s="855">
        <v>0.2</v>
      </c>
      <c r="N22" s="851" t="s">
        <v>337</v>
      </c>
      <c r="O22" s="856">
        <f>'Labor Rates Calculator'!G22</f>
        <v>138.96</v>
      </c>
      <c r="P22" s="257"/>
      <c r="Q22" s="257"/>
      <c r="R22" s="257"/>
      <c r="S22" s="257"/>
      <c r="T22" s="257"/>
      <c r="U22" s="257"/>
      <c r="V22" s="257"/>
      <c r="W22" s="257"/>
      <c r="X22" s="257"/>
      <c r="Y22" s="257"/>
      <c r="Z22" s="257"/>
      <c r="AA22" s="257"/>
      <c r="AB22" s="257"/>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57"/>
      <c r="BK22" s="257"/>
      <c r="BL22" s="257"/>
      <c r="BM22" s="257"/>
      <c r="BN22" s="257"/>
      <c r="BO22" s="257"/>
      <c r="BP22" s="257"/>
      <c r="BQ22" s="257"/>
      <c r="BR22" s="257"/>
      <c r="BS22" s="257"/>
      <c r="BT22" s="257"/>
      <c r="BU22" s="257"/>
      <c r="BV22" s="257"/>
      <c r="BW22" s="257"/>
      <c r="BX22" s="257"/>
      <c r="BY22" s="257"/>
      <c r="BZ22" s="257"/>
      <c r="CA22" s="257"/>
      <c r="CB22" s="257"/>
      <c r="CC22" s="257"/>
      <c r="CD22" s="257"/>
      <c r="CE22" s="257"/>
      <c r="CF22" s="257"/>
      <c r="CG22" s="257"/>
      <c r="CH22" s="257"/>
      <c r="CI22" s="257"/>
      <c r="CJ22" s="257"/>
      <c r="CK22" s="257"/>
      <c r="CL22" s="257"/>
      <c r="CM22" s="257"/>
      <c r="CN22" s="257"/>
      <c r="CO22" s="257"/>
      <c r="CP22" s="257"/>
      <c r="CQ22" s="257"/>
      <c r="CR22" s="257"/>
      <c r="CS22" s="257"/>
      <c r="CT22" s="257"/>
      <c r="CU22" s="257"/>
      <c r="CV22" s="257"/>
      <c r="CW22" s="257"/>
      <c r="CX22" s="257"/>
      <c r="CY22" s="257"/>
      <c r="CZ22" s="257"/>
      <c r="DA22" s="257"/>
      <c r="DB22" s="257"/>
      <c r="DC22" s="257"/>
      <c r="DD22" s="257"/>
      <c r="DE22" s="257"/>
      <c r="DF22" s="257"/>
      <c r="DG22" s="257"/>
      <c r="DH22" s="257"/>
      <c r="DI22" s="257"/>
      <c r="DJ22" s="257"/>
      <c r="DK22" s="257"/>
      <c r="DL22" s="257"/>
      <c r="DM22" s="257"/>
      <c r="DN22" s="257"/>
      <c r="DO22" s="257"/>
      <c r="DP22" s="257"/>
      <c r="DQ22" s="257"/>
      <c r="DR22" s="257"/>
      <c r="DS22" s="257"/>
      <c r="DT22" s="257"/>
      <c r="DU22" s="257"/>
      <c r="DV22" s="257"/>
    </row>
    <row r="23" spans="1:135" ht="15.75" customHeight="1" x14ac:dyDescent="0.35">
      <c r="A23" s="848" t="s">
        <v>337</v>
      </c>
      <c r="B23" s="849" t="s">
        <v>337</v>
      </c>
      <c r="C23" s="859" t="s">
        <v>190</v>
      </c>
      <c r="D23" s="848">
        <v>88.9</v>
      </c>
      <c r="E23" s="267" t="s">
        <v>176</v>
      </c>
      <c r="F23" s="852">
        <f t="shared" si="0"/>
        <v>0</v>
      </c>
      <c r="G23" s="853">
        <f t="shared" si="1"/>
        <v>0</v>
      </c>
      <c r="H23" s="3679"/>
      <c r="I23" s="3680"/>
      <c r="J23" s="3679"/>
      <c r="K23" s="3680"/>
      <c r="L23" s="857" t="s">
        <v>358</v>
      </c>
      <c r="M23" s="855">
        <v>0</v>
      </c>
      <c r="N23" s="851" t="s">
        <v>337</v>
      </c>
      <c r="O23" s="856">
        <f>'Labor Rates Calculator'!G23</f>
        <v>56.06</v>
      </c>
      <c r="P23" s="257"/>
      <c r="Q23" s="257" t="s">
        <v>191</v>
      </c>
      <c r="R23" s="257"/>
      <c r="S23" s="257"/>
      <c r="T23" s="257"/>
      <c r="U23" s="257"/>
      <c r="V23" s="257"/>
      <c r="W23" s="257"/>
      <c r="X23" s="257"/>
      <c r="Y23" s="257"/>
      <c r="Z23" s="257"/>
      <c r="AA23" s="257"/>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7"/>
      <c r="BD23" s="257"/>
      <c r="BE23" s="257"/>
      <c r="BF23" s="257"/>
      <c r="BG23" s="257"/>
      <c r="BH23" s="257"/>
      <c r="BI23" s="257"/>
      <c r="BJ23" s="257"/>
      <c r="BK23" s="257"/>
      <c r="BL23" s="257"/>
      <c r="BM23" s="257"/>
      <c r="BN23" s="257"/>
      <c r="BO23" s="257"/>
      <c r="BP23" s="257"/>
      <c r="BQ23" s="257"/>
      <c r="BR23" s="257"/>
      <c r="BS23" s="257"/>
      <c r="BT23" s="257"/>
      <c r="BU23" s="257"/>
      <c r="BV23" s="257"/>
      <c r="BW23" s="257"/>
      <c r="BX23" s="257"/>
      <c r="BY23" s="257"/>
      <c r="BZ23" s="257"/>
      <c r="CA23" s="257"/>
      <c r="CB23" s="257"/>
      <c r="CC23" s="257"/>
      <c r="CD23" s="257"/>
      <c r="CE23" s="257"/>
      <c r="CF23" s="257"/>
      <c r="CG23" s="257"/>
      <c r="CH23" s="257"/>
      <c r="CI23" s="257"/>
      <c r="CJ23" s="257"/>
      <c r="CK23" s="257"/>
      <c r="CL23" s="257"/>
      <c r="CM23" s="257"/>
      <c r="CN23" s="257"/>
      <c r="CO23" s="257"/>
      <c r="CP23" s="257"/>
      <c r="CQ23" s="257"/>
      <c r="CR23" s="257"/>
      <c r="CS23" s="257"/>
      <c r="CT23" s="257"/>
      <c r="CU23" s="257"/>
      <c r="CV23" s="257"/>
      <c r="CW23" s="257"/>
      <c r="CX23" s="257"/>
      <c r="CY23" s="257"/>
      <c r="CZ23" s="257"/>
      <c r="DA23" s="257"/>
      <c r="DB23" s="257"/>
      <c r="DC23" s="257"/>
      <c r="DD23" s="257"/>
      <c r="DE23" s="257"/>
      <c r="DF23" s="257"/>
      <c r="DG23" s="257"/>
      <c r="DH23" s="257"/>
      <c r="DI23" s="257"/>
      <c r="DJ23" s="257"/>
      <c r="DK23" s="257"/>
      <c r="DL23" s="257"/>
      <c r="DM23" s="257"/>
      <c r="DN23" s="257"/>
      <c r="DO23" s="257"/>
      <c r="DP23" s="257"/>
      <c r="DQ23" s="257"/>
      <c r="DR23" s="257"/>
      <c r="DS23" s="257"/>
      <c r="DT23" s="257"/>
      <c r="DU23" s="257"/>
      <c r="DV23" s="257"/>
    </row>
    <row r="24" spans="1:135" s="215" customFormat="1" ht="15.75" customHeight="1" x14ac:dyDescent="0.35">
      <c r="A24" s="848" t="s">
        <v>337</v>
      </c>
      <c r="B24" s="849" t="s">
        <v>337</v>
      </c>
      <c r="C24" s="859" t="s">
        <v>192</v>
      </c>
      <c r="D24" s="848">
        <v>88.9</v>
      </c>
      <c r="E24" s="860" t="s">
        <v>176</v>
      </c>
      <c r="F24" s="852">
        <f t="shared" si="0"/>
        <v>939.12</v>
      </c>
      <c r="G24" s="853">
        <f t="shared" si="1"/>
        <v>83487.768000000011</v>
      </c>
      <c r="H24" s="3679"/>
      <c r="I24" s="3680"/>
      <c r="J24" s="3679"/>
      <c r="K24" s="3680"/>
      <c r="L24" s="854">
        <v>83445</v>
      </c>
      <c r="M24" s="861">
        <v>0.15</v>
      </c>
      <c r="N24" s="862" t="s">
        <v>337</v>
      </c>
      <c r="O24" s="856">
        <f>'Labor Rates Calculator'!G24</f>
        <v>156.52000000000001</v>
      </c>
      <c r="P24" s="257"/>
      <c r="Q24" s="257"/>
      <c r="R24" s="257"/>
      <c r="S24" s="257"/>
      <c r="T24" s="257"/>
      <c r="U24" s="257"/>
      <c r="V24" s="257"/>
      <c r="W24" s="257"/>
      <c r="X24" s="257"/>
      <c r="Y24" s="257"/>
      <c r="Z24" s="257"/>
      <c r="AA24" s="257"/>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7"/>
      <c r="BK24" s="257"/>
      <c r="BL24" s="257"/>
      <c r="BM24" s="257"/>
      <c r="BN24" s="257"/>
      <c r="BO24" s="257"/>
      <c r="BP24" s="257"/>
      <c r="BQ24" s="257"/>
      <c r="BR24" s="257"/>
      <c r="BS24" s="257"/>
      <c r="BT24" s="257"/>
      <c r="BU24" s="257"/>
      <c r="BV24" s="257"/>
      <c r="BW24" s="257"/>
      <c r="BX24" s="257"/>
      <c r="BY24" s="257"/>
      <c r="BZ24" s="257"/>
      <c r="CA24" s="257"/>
      <c r="CB24" s="257"/>
      <c r="CC24" s="257"/>
      <c r="CD24" s="257"/>
      <c r="CE24" s="257"/>
      <c r="CF24" s="257"/>
      <c r="CG24" s="257"/>
      <c r="CH24" s="257"/>
      <c r="CI24" s="257"/>
      <c r="CJ24" s="257"/>
      <c r="CK24" s="257"/>
      <c r="CL24" s="257"/>
      <c r="CM24" s="257"/>
      <c r="CN24" s="257"/>
      <c r="CO24" s="257"/>
      <c r="CP24" s="257"/>
      <c r="CQ24" s="257"/>
      <c r="CR24" s="257"/>
      <c r="CS24" s="257"/>
      <c r="CT24" s="257"/>
      <c r="CU24" s="257"/>
      <c r="CV24" s="257"/>
      <c r="CW24" s="257"/>
      <c r="CX24" s="257"/>
      <c r="CY24" s="257"/>
      <c r="CZ24" s="257"/>
      <c r="DA24" s="257"/>
      <c r="DB24" s="257"/>
      <c r="DC24" s="257"/>
      <c r="DD24" s="257"/>
      <c r="DE24" s="257"/>
      <c r="DF24" s="257"/>
      <c r="DG24" s="257"/>
      <c r="DH24" s="257"/>
      <c r="DI24" s="257"/>
      <c r="DJ24" s="257"/>
      <c r="DK24" s="257"/>
      <c r="DL24" s="257"/>
      <c r="DM24" s="257"/>
      <c r="DN24" s="257"/>
      <c r="DO24" s="271" t="s">
        <v>337</v>
      </c>
      <c r="DP24" s="271" t="s">
        <v>337</v>
      </c>
      <c r="DQ24" s="271" t="s">
        <v>337</v>
      </c>
      <c r="DR24" s="271" t="s">
        <v>337</v>
      </c>
      <c r="DS24" s="271" t="s">
        <v>337</v>
      </c>
      <c r="DT24" s="271" t="s">
        <v>337</v>
      </c>
      <c r="DU24" s="271" t="s">
        <v>337</v>
      </c>
      <c r="DV24" s="271" t="s">
        <v>337</v>
      </c>
      <c r="DW24"/>
      <c r="DX24"/>
      <c r="DY24"/>
      <c r="DZ24"/>
      <c r="EA24"/>
      <c r="EB24"/>
      <c r="EC24"/>
      <c r="ED24"/>
      <c r="EE24"/>
    </row>
    <row r="25" spans="1:135" ht="15.75" customHeight="1" x14ac:dyDescent="0.35">
      <c r="A25" s="848" t="s">
        <v>337</v>
      </c>
      <c r="B25" s="849" t="s">
        <v>337</v>
      </c>
      <c r="C25" s="859" t="s">
        <v>193</v>
      </c>
      <c r="D25" s="848">
        <v>88.9</v>
      </c>
      <c r="E25" s="267" t="s">
        <v>176</v>
      </c>
      <c r="F25" s="852">
        <f t="shared" si="0"/>
        <v>1109.4400000000003</v>
      </c>
      <c r="G25" s="853">
        <f t="shared" si="1"/>
        <v>98629.216000000029</v>
      </c>
      <c r="H25" s="3679"/>
      <c r="I25" s="3680"/>
      <c r="J25" s="3679"/>
      <c r="K25" s="3680"/>
      <c r="L25" s="854">
        <v>98582</v>
      </c>
      <c r="M25" s="861">
        <v>0.2</v>
      </c>
      <c r="N25" s="862" t="s">
        <v>337</v>
      </c>
      <c r="O25" s="856">
        <f>'Labor Rates Calculator'!G25</f>
        <v>138.68</v>
      </c>
      <c r="P25" s="257"/>
      <c r="Q25" s="257"/>
      <c r="R25" s="257"/>
      <c r="S25" s="257"/>
      <c r="T25" s="257"/>
      <c r="U25" s="257"/>
      <c r="V25" s="257"/>
      <c r="W25" s="257"/>
      <c r="X25" s="257"/>
      <c r="Y25" s="257"/>
      <c r="Z25" s="257"/>
      <c r="AA25" s="257"/>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7"/>
      <c r="CE25" s="257"/>
      <c r="CF25" s="257"/>
      <c r="CG25" s="257"/>
      <c r="CH25" s="257"/>
      <c r="CI25" s="257"/>
      <c r="CJ25" s="257"/>
      <c r="CK25" s="257"/>
      <c r="CL25" s="257"/>
      <c r="CM25" s="257"/>
      <c r="CN25" s="257"/>
      <c r="CO25" s="257"/>
      <c r="CP25" s="257"/>
      <c r="CQ25" s="257"/>
      <c r="CR25" s="257"/>
      <c r="CS25" s="257"/>
      <c r="CT25" s="257"/>
      <c r="CU25" s="257"/>
      <c r="CV25" s="257"/>
      <c r="CW25" s="257"/>
      <c r="CX25" s="257"/>
      <c r="CY25" s="257"/>
      <c r="CZ25" s="257"/>
      <c r="DA25" s="257"/>
      <c r="DB25" s="257"/>
      <c r="DC25" s="257"/>
      <c r="DD25" s="257"/>
      <c r="DE25" s="257"/>
      <c r="DF25" s="257"/>
      <c r="DG25" s="257"/>
      <c r="DH25" s="257"/>
      <c r="DI25" s="257"/>
      <c r="DJ25" s="257"/>
      <c r="DK25" s="257"/>
      <c r="DL25" s="257"/>
      <c r="DM25" s="257"/>
      <c r="DN25" s="257"/>
      <c r="DO25" s="257"/>
      <c r="DP25" s="257"/>
      <c r="DQ25" s="257"/>
      <c r="DR25" s="257"/>
      <c r="DS25" s="257"/>
      <c r="DT25" s="257"/>
      <c r="DU25" s="257"/>
      <c r="DV25" s="257"/>
    </row>
    <row r="26" spans="1:135" s="214" customFormat="1" ht="15.75" customHeight="1" x14ac:dyDescent="0.35">
      <c r="A26" s="268" t="s">
        <v>337</v>
      </c>
      <c r="B26" s="272" t="s">
        <v>337</v>
      </c>
      <c r="C26" s="859" t="s">
        <v>194</v>
      </c>
      <c r="D26" s="268">
        <v>88.9</v>
      </c>
      <c r="E26" s="863" t="s">
        <v>176</v>
      </c>
      <c r="F26" s="852">
        <f t="shared" si="0"/>
        <v>861.12000000000012</v>
      </c>
      <c r="G26" s="853">
        <f t="shared" si="1"/>
        <v>76553.568000000014</v>
      </c>
      <c r="H26" s="3681"/>
      <c r="I26" s="3682"/>
      <c r="J26" s="3681"/>
      <c r="K26" s="3682"/>
      <c r="L26" s="403">
        <v>76517</v>
      </c>
      <c r="M26" s="861">
        <v>0.2</v>
      </c>
      <c r="N26" s="257"/>
      <c r="O26" s="856">
        <f>'Labor Rates Calculator'!G26</f>
        <v>107.64</v>
      </c>
      <c r="P26" s="257"/>
      <c r="Q26" s="257"/>
      <c r="R26" s="257"/>
      <c r="S26" s="257"/>
      <c r="T26" s="257"/>
      <c r="U26" s="257"/>
      <c r="V26" s="257"/>
      <c r="W26" s="257"/>
      <c r="X26" s="257"/>
      <c r="Y26" s="257"/>
      <c r="Z26" s="257"/>
      <c r="AA26" s="257"/>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57"/>
      <c r="BK26" s="257"/>
      <c r="BL26" s="257"/>
      <c r="BM26" s="257"/>
      <c r="BN26" s="257"/>
      <c r="BO26" s="257"/>
      <c r="BP26" s="257"/>
      <c r="BQ26" s="257"/>
      <c r="BR26" s="257"/>
      <c r="BS26" s="257"/>
      <c r="BT26" s="257"/>
      <c r="BU26" s="257"/>
      <c r="BV26" s="257"/>
      <c r="BW26" s="257"/>
      <c r="BX26" s="257"/>
      <c r="BY26" s="257"/>
      <c r="BZ26" s="257"/>
      <c r="CA26" s="257"/>
      <c r="CB26" s="257"/>
      <c r="CC26" s="257"/>
      <c r="CD26" s="257"/>
      <c r="CE26" s="257"/>
      <c r="CF26" s="257"/>
      <c r="CG26" s="257"/>
      <c r="CH26" s="257"/>
      <c r="CI26" s="257"/>
      <c r="CJ26" s="257"/>
      <c r="CK26" s="257"/>
      <c r="CL26" s="257"/>
      <c r="CM26" s="257"/>
      <c r="CN26" s="257"/>
      <c r="CO26" s="257"/>
      <c r="CP26" s="257"/>
      <c r="CQ26" s="257"/>
      <c r="CR26" s="257"/>
      <c r="CS26" s="257"/>
      <c r="CT26" s="257"/>
      <c r="CU26" s="257"/>
      <c r="CV26" s="257"/>
      <c r="CW26" s="257"/>
      <c r="CX26" s="257"/>
      <c r="CY26" s="257"/>
      <c r="CZ26" s="257"/>
      <c r="DA26" s="257"/>
      <c r="DB26" s="257"/>
      <c r="DC26" s="257"/>
      <c r="DD26" s="257"/>
      <c r="DE26" s="257"/>
      <c r="DF26" s="257"/>
      <c r="DG26" s="257"/>
      <c r="DH26" s="257"/>
      <c r="DI26" s="257"/>
      <c r="DJ26" s="257"/>
      <c r="DK26" s="257"/>
      <c r="DL26" s="257"/>
      <c r="DM26" s="257"/>
      <c r="DN26" s="257"/>
      <c r="DO26" s="257"/>
      <c r="DP26" s="257"/>
      <c r="DQ26" s="257"/>
      <c r="DR26" s="257"/>
      <c r="DS26" s="257"/>
      <c r="DT26" s="257"/>
      <c r="DU26" s="257"/>
      <c r="DV26" s="257"/>
      <c r="DW26"/>
      <c r="DX26"/>
      <c r="DY26"/>
      <c r="DZ26"/>
      <c r="EA26"/>
      <c r="EB26"/>
      <c r="EC26"/>
      <c r="ED26"/>
      <c r="EE26"/>
    </row>
    <row r="27" spans="1:135" ht="15.75" customHeight="1" x14ac:dyDescent="0.35">
      <c r="A27" s="3683" t="s">
        <v>337</v>
      </c>
      <c r="B27" s="3684"/>
      <c r="C27" s="844" t="s">
        <v>195</v>
      </c>
      <c r="D27" s="864" t="s">
        <v>337</v>
      </c>
      <c r="E27" s="865" t="s">
        <v>337</v>
      </c>
      <c r="F27" s="865" t="s">
        <v>337</v>
      </c>
      <c r="G27" s="266" t="s">
        <v>337</v>
      </c>
      <c r="H27" s="266" t="s">
        <v>337</v>
      </c>
      <c r="I27" s="266" t="s">
        <v>337</v>
      </c>
      <c r="J27" s="266" t="s">
        <v>337</v>
      </c>
      <c r="K27" s="266" t="s">
        <v>337</v>
      </c>
      <c r="L27" s="277">
        <v>312545</v>
      </c>
      <c r="M27" s="844" t="s">
        <v>337</v>
      </c>
      <c r="N27" s="846" t="s">
        <v>337</v>
      </c>
      <c r="O27" s="847" t="s">
        <v>337</v>
      </c>
      <c r="P27" s="257"/>
      <c r="Q27" s="257"/>
      <c r="R27" s="257"/>
      <c r="S27" s="257"/>
      <c r="T27" s="257"/>
      <c r="U27" s="257"/>
      <c r="V27" s="257"/>
      <c r="W27" s="257"/>
      <c r="X27" s="257"/>
      <c r="Y27" s="257"/>
      <c r="Z27" s="257"/>
      <c r="AA27" s="257"/>
      <c r="AB27" s="257"/>
      <c r="AC27" s="257"/>
      <c r="AD27" s="257"/>
      <c r="AE27" s="257"/>
      <c r="AF27" s="257"/>
      <c r="AG27" s="257"/>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7"/>
      <c r="BD27" s="257"/>
      <c r="BE27" s="257"/>
      <c r="BF27" s="257"/>
      <c r="BG27" s="257"/>
      <c r="BH27" s="257"/>
      <c r="BI27" s="257"/>
      <c r="BJ27" s="257"/>
      <c r="BK27" s="257"/>
      <c r="BL27" s="257"/>
      <c r="BM27" s="257"/>
      <c r="BN27" s="257"/>
      <c r="BO27" s="257"/>
      <c r="BP27" s="257"/>
      <c r="BQ27" s="257"/>
      <c r="BR27" s="257"/>
      <c r="BS27" s="257"/>
      <c r="BT27" s="257"/>
      <c r="BU27" s="257"/>
      <c r="BV27" s="257"/>
      <c r="BW27" s="257"/>
      <c r="BX27" s="257"/>
      <c r="BY27" s="257"/>
      <c r="BZ27" s="257"/>
      <c r="CA27" s="257"/>
      <c r="CB27" s="257"/>
      <c r="CC27" s="257"/>
      <c r="CD27" s="257"/>
      <c r="CE27" s="257"/>
      <c r="CF27" s="257"/>
      <c r="CG27" s="257"/>
      <c r="CH27" s="257"/>
      <c r="CI27" s="257"/>
      <c r="CJ27" s="257"/>
      <c r="CK27" s="257"/>
      <c r="CL27" s="257"/>
      <c r="CM27" s="257"/>
      <c r="CN27" s="257"/>
      <c r="CO27" s="257"/>
      <c r="CP27" s="257"/>
      <c r="CQ27" s="257"/>
      <c r="CR27" s="257"/>
      <c r="CS27" s="257"/>
      <c r="CT27" s="257"/>
      <c r="CU27" s="257"/>
      <c r="CV27" s="257"/>
      <c r="CW27" s="257"/>
      <c r="CX27" s="257"/>
      <c r="CY27" s="257"/>
      <c r="CZ27" s="257"/>
      <c r="DA27" s="257"/>
      <c r="DB27" s="257"/>
      <c r="DC27" s="257"/>
      <c r="DD27" s="257"/>
      <c r="DE27" s="257"/>
      <c r="DF27" s="257"/>
      <c r="DG27" s="257"/>
      <c r="DH27" s="257"/>
      <c r="DI27" s="257"/>
      <c r="DJ27" s="257"/>
      <c r="DK27" s="257"/>
      <c r="DL27" s="257"/>
      <c r="DM27" s="257"/>
      <c r="DN27" s="257"/>
      <c r="DO27" s="259"/>
      <c r="DP27" s="259"/>
      <c r="DQ27" s="259"/>
      <c r="DR27" s="259"/>
      <c r="DS27" s="259"/>
      <c r="DT27" s="259"/>
      <c r="DU27" s="259"/>
      <c r="DV27" s="259"/>
    </row>
    <row r="28" spans="1:135" ht="15.75" customHeight="1" x14ac:dyDescent="0.35">
      <c r="A28" s="848" t="s">
        <v>337</v>
      </c>
      <c r="B28" s="849" t="s">
        <v>337</v>
      </c>
      <c r="C28" s="850" t="s">
        <v>175</v>
      </c>
      <c r="D28" s="866">
        <v>8.6999999999999993</v>
      </c>
      <c r="E28" s="849" t="s">
        <v>176</v>
      </c>
      <c r="F28" s="867">
        <v>1109</v>
      </c>
      <c r="G28" s="868">
        <v>18548</v>
      </c>
      <c r="H28" s="3665" t="s">
        <v>337</v>
      </c>
      <c r="I28" s="3666"/>
      <c r="J28" s="3665" t="s">
        <v>337</v>
      </c>
      <c r="K28" s="3666"/>
      <c r="L28" s="869">
        <v>18548</v>
      </c>
      <c r="M28" s="598">
        <v>0.25</v>
      </c>
      <c r="N28" s="862" t="s">
        <v>337</v>
      </c>
      <c r="O28" s="856">
        <v>212.85</v>
      </c>
      <c r="P28" s="257"/>
      <c r="Q28" s="257"/>
      <c r="R28" s="257"/>
      <c r="S28" s="257"/>
      <c r="T28" s="257"/>
      <c r="U28" s="257"/>
      <c r="V28" s="257"/>
      <c r="W28" s="257"/>
      <c r="X28" s="257"/>
      <c r="Y28" s="257"/>
      <c r="Z28" s="257"/>
      <c r="AA28" s="257"/>
      <c r="AB28" s="257"/>
      <c r="AC28" s="257"/>
      <c r="AD28" s="257"/>
      <c r="AE28" s="257"/>
      <c r="AF28" s="257"/>
      <c r="AG28" s="257"/>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7"/>
      <c r="BD28" s="257"/>
      <c r="BE28" s="257"/>
      <c r="BF28" s="257"/>
      <c r="BG28" s="257"/>
      <c r="BH28" s="257"/>
      <c r="BI28" s="257"/>
      <c r="BJ28" s="257"/>
      <c r="BK28" s="257"/>
      <c r="BL28" s="257"/>
      <c r="BM28" s="257"/>
      <c r="BN28" s="257"/>
      <c r="BO28" s="257"/>
      <c r="BP28" s="257"/>
      <c r="BQ28" s="257"/>
      <c r="BR28" s="257"/>
      <c r="BS28" s="257"/>
      <c r="BT28" s="257"/>
      <c r="BU28" s="257"/>
      <c r="BV28" s="257"/>
      <c r="BW28" s="257"/>
      <c r="BX28" s="257"/>
      <c r="BY28" s="257"/>
      <c r="BZ28" s="257"/>
      <c r="CA28" s="257"/>
      <c r="CB28" s="257"/>
      <c r="CC28" s="257"/>
      <c r="CD28" s="257"/>
      <c r="CE28" s="257"/>
      <c r="CF28" s="257"/>
      <c r="CG28" s="257"/>
      <c r="CH28" s="257"/>
      <c r="CI28" s="257"/>
      <c r="CJ28" s="257"/>
      <c r="CK28" s="257"/>
      <c r="CL28" s="257"/>
      <c r="CM28" s="257"/>
      <c r="CN28" s="257"/>
      <c r="CO28" s="257"/>
      <c r="CP28" s="257"/>
      <c r="CQ28" s="257"/>
      <c r="CR28" s="257"/>
      <c r="CS28" s="257"/>
      <c r="CT28" s="257"/>
      <c r="CU28" s="257"/>
      <c r="CV28" s="257"/>
      <c r="CW28" s="257"/>
      <c r="CX28" s="257"/>
      <c r="CY28" s="257"/>
      <c r="CZ28" s="257"/>
      <c r="DA28" s="257"/>
      <c r="DB28" s="257"/>
      <c r="DC28" s="257"/>
      <c r="DD28" s="257"/>
      <c r="DE28" s="257"/>
      <c r="DF28" s="257"/>
      <c r="DG28" s="257"/>
      <c r="DH28" s="257"/>
      <c r="DI28" s="257"/>
      <c r="DJ28" s="257"/>
      <c r="DK28" s="257"/>
      <c r="DL28" s="257"/>
      <c r="DM28" s="257"/>
      <c r="DN28" s="257"/>
      <c r="DO28" s="257"/>
      <c r="DP28" s="257"/>
      <c r="DQ28" s="257"/>
      <c r="DR28" s="257"/>
      <c r="DS28" s="257"/>
      <c r="DT28" s="257"/>
      <c r="DU28" s="257"/>
      <c r="DV28" s="257"/>
    </row>
    <row r="29" spans="1:135" ht="15.75" customHeight="1" x14ac:dyDescent="0.35">
      <c r="A29" s="848" t="s">
        <v>337</v>
      </c>
      <c r="B29" s="849" t="s">
        <v>337</v>
      </c>
      <c r="C29" s="850" t="s">
        <v>177</v>
      </c>
      <c r="D29" s="848">
        <v>8.6999999999999993</v>
      </c>
      <c r="E29" s="850" t="s">
        <v>176</v>
      </c>
      <c r="F29" s="852">
        <v>7056</v>
      </c>
      <c r="G29" s="868">
        <v>61492</v>
      </c>
      <c r="H29" s="3667"/>
      <c r="I29" s="3668"/>
      <c r="J29" s="3667"/>
      <c r="K29" s="3668"/>
      <c r="L29" s="869">
        <v>61492</v>
      </c>
      <c r="M29" s="870">
        <v>1</v>
      </c>
      <c r="N29" s="851" t="s">
        <v>337</v>
      </c>
      <c r="O29" s="856">
        <v>176.41</v>
      </c>
      <c r="P29" s="257"/>
      <c r="Q29" s="257"/>
      <c r="R29" s="257"/>
      <c r="S29" s="257"/>
      <c r="T29" s="257"/>
      <c r="U29" s="257"/>
      <c r="V29" s="257"/>
      <c r="W29" s="257"/>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57"/>
      <c r="BK29" s="257"/>
      <c r="BL29" s="257"/>
      <c r="BM29" s="257"/>
      <c r="BN29" s="257"/>
      <c r="BO29" s="257"/>
      <c r="BP29" s="257"/>
      <c r="BQ29" s="257"/>
      <c r="BR29" s="257"/>
      <c r="BS29" s="257"/>
      <c r="BT29" s="257"/>
      <c r="BU29" s="257"/>
      <c r="BV29" s="257"/>
      <c r="BW29" s="257"/>
      <c r="BX29" s="257"/>
      <c r="BY29" s="257"/>
      <c r="BZ29" s="257"/>
      <c r="CA29" s="257"/>
      <c r="CB29" s="257"/>
      <c r="CC29" s="257"/>
      <c r="CD29" s="257"/>
      <c r="CE29" s="257"/>
      <c r="CF29" s="257"/>
      <c r="CG29" s="257"/>
      <c r="CH29" s="257"/>
      <c r="CI29" s="257"/>
      <c r="CJ29" s="257"/>
      <c r="CK29" s="257"/>
      <c r="CL29" s="257"/>
      <c r="CM29" s="257"/>
      <c r="CN29" s="257"/>
      <c r="CO29" s="257"/>
      <c r="CP29" s="257"/>
      <c r="CQ29" s="257"/>
      <c r="CR29" s="257"/>
      <c r="CS29" s="257"/>
      <c r="CT29" s="257"/>
      <c r="CU29" s="257"/>
      <c r="CV29" s="257"/>
      <c r="CW29" s="257"/>
      <c r="CX29" s="257"/>
      <c r="CY29" s="257"/>
      <c r="CZ29" s="257"/>
      <c r="DA29" s="257"/>
      <c r="DB29" s="257"/>
      <c r="DC29" s="257"/>
      <c r="DD29" s="257"/>
      <c r="DE29" s="257"/>
      <c r="DF29" s="257"/>
      <c r="DG29" s="257"/>
      <c r="DH29" s="257"/>
      <c r="DI29" s="257"/>
      <c r="DJ29" s="257"/>
      <c r="DK29" s="257"/>
      <c r="DL29" s="257"/>
      <c r="DM29" s="257"/>
      <c r="DN29" s="257"/>
      <c r="DO29" s="257"/>
      <c r="DP29" s="257"/>
      <c r="DQ29" s="257"/>
      <c r="DR29" s="257"/>
      <c r="DS29" s="257"/>
      <c r="DT29" s="257"/>
      <c r="DU29" s="257"/>
      <c r="DV29" s="257"/>
    </row>
    <row r="30" spans="1:135" ht="15.75" customHeight="1" x14ac:dyDescent="0.35">
      <c r="A30" s="848" t="s">
        <v>337</v>
      </c>
      <c r="B30" s="849" t="s">
        <v>337</v>
      </c>
      <c r="C30" s="850" t="s">
        <v>179</v>
      </c>
      <c r="D30" s="848">
        <v>8.6999999999999993</v>
      </c>
      <c r="E30" s="850" t="s">
        <v>176</v>
      </c>
      <c r="F30" s="848" t="s">
        <v>359</v>
      </c>
      <c r="G30" s="871" t="s">
        <v>360</v>
      </c>
      <c r="H30" s="3667"/>
      <c r="I30" s="3668"/>
      <c r="J30" s="3667"/>
      <c r="K30" s="3668"/>
      <c r="L30" s="872" t="s">
        <v>358</v>
      </c>
      <c r="M30" s="855">
        <v>0</v>
      </c>
      <c r="N30" s="851" t="s">
        <v>337</v>
      </c>
      <c r="O30" s="856">
        <v>148.69999999999999</v>
      </c>
      <c r="P30" s="257"/>
      <c r="Q30" s="257"/>
      <c r="R30" s="257"/>
      <c r="S30" s="257"/>
      <c r="T30" s="257"/>
      <c r="U30" s="257"/>
      <c r="V30" s="257"/>
      <c r="W30" s="257"/>
      <c r="X30" s="257"/>
      <c r="Y30" s="257"/>
      <c r="Z30" s="257"/>
      <c r="AA30" s="257"/>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7"/>
      <c r="BD30" s="257"/>
      <c r="BE30" s="257"/>
      <c r="BF30" s="257"/>
      <c r="BG30" s="257"/>
      <c r="BH30" s="257"/>
      <c r="BI30" s="257"/>
      <c r="BJ30" s="257"/>
      <c r="BK30" s="257"/>
      <c r="BL30" s="257"/>
      <c r="BM30" s="257"/>
      <c r="BN30" s="257"/>
      <c r="BO30" s="257"/>
      <c r="BP30" s="257"/>
      <c r="BQ30" s="257"/>
      <c r="BR30" s="257"/>
      <c r="BS30" s="257"/>
      <c r="BT30" s="257"/>
      <c r="BU30" s="257"/>
      <c r="BV30" s="257"/>
      <c r="BW30" s="257"/>
      <c r="BX30" s="257"/>
      <c r="BY30" s="257"/>
      <c r="BZ30" s="257"/>
      <c r="CA30" s="257"/>
      <c r="CB30" s="257"/>
      <c r="CC30" s="257"/>
      <c r="CD30" s="257"/>
      <c r="CE30" s="257"/>
      <c r="CF30" s="257"/>
      <c r="CG30" s="257"/>
      <c r="CH30" s="257"/>
      <c r="CI30" s="257"/>
      <c r="CJ30" s="257"/>
      <c r="CK30" s="257"/>
      <c r="CL30" s="257"/>
      <c r="CM30" s="257"/>
      <c r="CN30" s="257"/>
      <c r="CO30" s="257"/>
      <c r="CP30" s="257"/>
      <c r="CQ30" s="257"/>
      <c r="CR30" s="257"/>
      <c r="CS30" s="257"/>
      <c r="CT30" s="257"/>
      <c r="CU30" s="257"/>
      <c r="CV30" s="257"/>
      <c r="CW30" s="257"/>
      <c r="CX30" s="257"/>
      <c r="CY30" s="257"/>
      <c r="CZ30" s="257"/>
      <c r="DA30" s="257"/>
      <c r="DB30" s="257"/>
      <c r="DC30" s="257"/>
      <c r="DD30" s="257"/>
      <c r="DE30" s="257"/>
      <c r="DF30" s="257"/>
      <c r="DG30" s="257"/>
      <c r="DH30" s="257"/>
      <c r="DI30" s="257"/>
      <c r="DJ30" s="257"/>
      <c r="DK30" s="257"/>
      <c r="DL30" s="257"/>
      <c r="DM30" s="257"/>
      <c r="DN30" s="257"/>
      <c r="DO30" s="257"/>
      <c r="DP30" s="257"/>
      <c r="DQ30" s="257"/>
      <c r="DR30" s="257"/>
      <c r="DS30" s="257"/>
      <c r="DT30" s="257"/>
      <c r="DU30" s="257"/>
      <c r="DV30" s="257"/>
    </row>
    <row r="31" spans="1:135" ht="15.75" customHeight="1" x14ac:dyDescent="0.35">
      <c r="A31" s="848" t="s">
        <v>337</v>
      </c>
      <c r="B31" s="849" t="s">
        <v>337</v>
      </c>
      <c r="C31" s="850" t="s">
        <v>180</v>
      </c>
      <c r="D31" s="848">
        <v>8.6999999999999993</v>
      </c>
      <c r="E31" s="850" t="s">
        <v>176</v>
      </c>
      <c r="F31" s="848" t="s">
        <v>359</v>
      </c>
      <c r="G31" s="871" t="s">
        <v>360</v>
      </c>
      <c r="H31" s="3667"/>
      <c r="I31" s="3668"/>
      <c r="J31" s="3667"/>
      <c r="K31" s="3668"/>
      <c r="L31" s="872" t="s">
        <v>358</v>
      </c>
      <c r="M31" s="855">
        <v>0</v>
      </c>
      <c r="N31" s="851" t="s">
        <v>337</v>
      </c>
      <c r="O31" s="856">
        <v>127.26</v>
      </c>
      <c r="P31" s="257"/>
      <c r="Q31" s="257"/>
      <c r="R31" s="257"/>
      <c r="S31" s="257"/>
      <c r="T31" s="257"/>
      <c r="U31" s="257"/>
      <c r="V31" s="257"/>
      <c r="W31" s="257"/>
      <c r="X31" s="257"/>
      <c r="Y31" s="257"/>
      <c r="Z31" s="257"/>
      <c r="AA31" s="257"/>
      <c r="AB31" s="257"/>
      <c r="AC31" s="257"/>
      <c r="AD31" s="257"/>
      <c r="AE31" s="257"/>
      <c r="AF31" s="257"/>
      <c r="AG31" s="257"/>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7"/>
      <c r="BD31" s="257"/>
      <c r="BE31" s="257"/>
      <c r="BF31" s="257"/>
      <c r="BG31" s="257"/>
      <c r="BH31" s="257"/>
      <c r="BI31" s="257"/>
      <c r="BJ31" s="257"/>
      <c r="BK31" s="257"/>
      <c r="BL31" s="257"/>
      <c r="BM31" s="257"/>
      <c r="BN31" s="257"/>
      <c r="BO31" s="257"/>
      <c r="BP31" s="257"/>
      <c r="BQ31" s="257"/>
      <c r="BR31" s="257"/>
      <c r="BS31" s="257"/>
      <c r="BT31" s="257"/>
      <c r="BU31" s="257"/>
      <c r="BV31" s="257"/>
      <c r="BW31" s="257"/>
      <c r="BX31" s="257"/>
      <c r="BY31" s="257"/>
      <c r="BZ31" s="257"/>
      <c r="CA31" s="257"/>
      <c r="CB31" s="257"/>
      <c r="CC31" s="257"/>
      <c r="CD31" s="257"/>
      <c r="CE31" s="257"/>
      <c r="CF31" s="257"/>
      <c r="CG31" s="257"/>
      <c r="CH31" s="257"/>
      <c r="CI31" s="257"/>
      <c r="CJ31" s="257"/>
      <c r="CK31" s="257"/>
      <c r="CL31" s="257"/>
      <c r="CM31" s="257"/>
      <c r="CN31" s="257"/>
      <c r="CO31" s="257"/>
      <c r="CP31" s="257"/>
      <c r="CQ31" s="257"/>
      <c r="CR31" s="257"/>
      <c r="CS31" s="257"/>
      <c r="CT31" s="257"/>
      <c r="CU31" s="257"/>
      <c r="CV31" s="257"/>
      <c r="CW31" s="257"/>
      <c r="CX31" s="257"/>
      <c r="CY31" s="257"/>
      <c r="CZ31" s="257"/>
      <c r="DA31" s="257"/>
      <c r="DB31" s="257"/>
      <c r="DC31" s="257"/>
      <c r="DD31" s="257"/>
      <c r="DE31" s="257"/>
      <c r="DF31" s="257"/>
      <c r="DG31" s="257"/>
      <c r="DH31" s="257"/>
      <c r="DI31" s="257"/>
      <c r="DJ31" s="257"/>
      <c r="DK31" s="257"/>
      <c r="DL31" s="257"/>
      <c r="DM31" s="257"/>
      <c r="DN31" s="257"/>
      <c r="DO31" s="257"/>
      <c r="DP31" s="257"/>
      <c r="DQ31" s="257"/>
      <c r="DR31" s="257"/>
      <c r="DS31" s="257"/>
      <c r="DT31" s="257"/>
      <c r="DU31" s="257"/>
      <c r="DV31" s="257"/>
    </row>
    <row r="32" spans="1:135" ht="15.75" customHeight="1" x14ac:dyDescent="0.35">
      <c r="A32" s="848" t="s">
        <v>337</v>
      </c>
      <c r="B32" s="849" t="s">
        <v>337</v>
      </c>
      <c r="C32" s="850" t="s">
        <v>181</v>
      </c>
      <c r="D32" s="848">
        <v>8.6999999999999993</v>
      </c>
      <c r="E32" s="850" t="s">
        <v>176</v>
      </c>
      <c r="F32" s="852">
        <v>3591</v>
      </c>
      <c r="G32" s="868">
        <v>31295</v>
      </c>
      <c r="H32" s="3667"/>
      <c r="I32" s="3668"/>
      <c r="J32" s="3667"/>
      <c r="K32" s="3668"/>
      <c r="L32" s="869">
        <v>31295</v>
      </c>
      <c r="M32" s="855">
        <v>1</v>
      </c>
      <c r="N32" s="851" t="s">
        <v>337</v>
      </c>
      <c r="O32" s="856">
        <v>89.78</v>
      </c>
      <c r="P32" s="257"/>
      <c r="Q32" s="257"/>
      <c r="R32" s="257"/>
      <c r="S32" s="257"/>
      <c r="T32" s="257"/>
      <c r="U32" s="257"/>
      <c r="V32" s="257"/>
      <c r="W32" s="257"/>
      <c r="X32" s="257"/>
      <c r="Y32" s="257"/>
      <c r="Z32" s="257"/>
      <c r="AA32" s="257"/>
      <c r="AB32" s="257"/>
      <c r="AC32" s="257"/>
      <c r="AD32" s="257"/>
      <c r="AE32" s="257"/>
      <c r="AF32" s="257"/>
      <c r="AG32" s="257"/>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7"/>
      <c r="BD32" s="257"/>
      <c r="BE32" s="257"/>
      <c r="BF32" s="257"/>
      <c r="BG32" s="257"/>
      <c r="BH32" s="257"/>
      <c r="BI32" s="257"/>
      <c r="BJ32" s="257"/>
      <c r="BK32" s="257"/>
      <c r="BL32" s="257"/>
      <c r="BM32" s="257"/>
      <c r="BN32" s="257"/>
      <c r="BO32" s="257"/>
      <c r="BP32" s="257"/>
      <c r="BQ32" s="257"/>
      <c r="BR32" s="257"/>
      <c r="BS32" s="257"/>
      <c r="BT32" s="257"/>
      <c r="BU32" s="257"/>
      <c r="BV32" s="257"/>
      <c r="BW32" s="257"/>
      <c r="BX32" s="257"/>
      <c r="BY32" s="257"/>
      <c r="BZ32" s="257"/>
      <c r="CA32" s="257"/>
      <c r="CB32" s="257"/>
      <c r="CC32" s="257"/>
      <c r="CD32" s="257"/>
      <c r="CE32" s="257"/>
      <c r="CF32" s="257"/>
      <c r="CG32" s="257"/>
      <c r="CH32" s="257"/>
      <c r="CI32" s="257"/>
      <c r="CJ32" s="257"/>
      <c r="CK32" s="257"/>
      <c r="CL32" s="257"/>
      <c r="CM32" s="257"/>
      <c r="CN32" s="257"/>
      <c r="CO32" s="257"/>
      <c r="CP32" s="257"/>
      <c r="CQ32" s="257"/>
      <c r="CR32" s="257"/>
      <c r="CS32" s="257"/>
      <c r="CT32" s="257"/>
      <c r="CU32" s="257"/>
      <c r="CV32" s="257"/>
      <c r="CW32" s="257"/>
      <c r="CX32" s="257"/>
      <c r="CY32" s="257"/>
      <c r="CZ32" s="257"/>
      <c r="DA32" s="257"/>
      <c r="DB32" s="257"/>
      <c r="DC32" s="257"/>
      <c r="DD32" s="257"/>
      <c r="DE32" s="257"/>
      <c r="DF32" s="257"/>
      <c r="DG32" s="257"/>
      <c r="DH32" s="257"/>
      <c r="DI32" s="257"/>
      <c r="DJ32" s="257"/>
      <c r="DK32" s="257"/>
      <c r="DL32" s="257"/>
      <c r="DM32" s="257"/>
      <c r="DN32" s="257"/>
      <c r="DO32" s="257"/>
      <c r="DP32" s="257"/>
      <c r="DQ32" s="257"/>
      <c r="DR32" s="257"/>
      <c r="DS32" s="257"/>
      <c r="DT32" s="257"/>
      <c r="DU32" s="257"/>
      <c r="DV32" s="257"/>
    </row>
    <row r="33" spans="1:135" ht="15.75" customHeight="1" x14ac:dyDescent="0.35">
      <c r="A33" s="848" t="s">
        <v>337</v>
      </c>
      <c r="B33" s="849" t="s">
        <v>337</v>
      </c>
      <c r="C33" s="850" t="s">
        <v>196</v>
      </c>
      <c r="D33" s="848">
        <v>8.6999999999999993</v>
      </c>
      <c r="E33" s="850" t="s">
        <v>176</v>
      </c>
      <c r="F33" s="848" t="s">
        <v>359</v>
      </c>
      <c r="G33" s="871" t="s">
        <v>360</v>
      </c>
      <c r="H33" s="3667"/>
      <c r="I33" s="3668"/>
      <c r="J33" s="3667"/>
      <c r="K33" s="3668"/>
      <c r="L33" s="872" t="s">
        <v>358</v>
      </c>
      <c r="M33" s="855">
        <v>0</v>
      </c>
      <c r="N33" s="851" t="s">
        <v>337</v>
      </c>
      <c r="O33" s="856">
        <v>115.84</v>
      </c>
      <c r="P33" s="257"/>
      <c r="Q33" s="257"/>
      <c r="R33" s="257"/>
      <c r="S33" s="257"/>
      <c r="T33" s="257"/>
      <c r="U33" s="257"/>
      <c r="V33" s="257"/>
      <c r="W33" s="257"/>
      <c r="X33" s="257"/>
      <c r="Y33" s="257"/>
      <c r="Z33" s="257"/>
      <c r="AA33" s="257"/>
      <c r="AB33" s="257"/>
      <c r="AC33" s="257"/>
      <c r="AD33" s="257"/>
      <c r="AE33" s="257"/>
      <c r="AF33" s="257"/>
      <c r="AG33" s="257"/>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7"/>
      <c r="BD33" s="257"/>
      <c r="BE33" s="257"/>
      <c r="BF33" s="257"/>
      <c r="BG33" s="257"/>
      <c r="BH33" s="257"/>
      <c r="BI33" s="257"/>
      <c r="BJ33" s="257"/>
      <c r="BK33" s="257"/>
      <c r="BL33" s="257"/>
      <c r="BM33" s="257"/>
      <c r="BN33" s="257"/>
      <c r="BO33" s="257"/>
      <c r="BP33" s="257"/>
      <c r="BQ33" s="257"/>
      <c r="BR33" s="257"/>
      <c r="BS33" s="257"/>
      <c r="BT33" s="257"/>
      <c r="BU33" s="257"/>
      <c r="BV33" s="257"/>
      <c r="BW33" s="257"/>
      <c r="BX33" s="257"/>
      <c r="BY33" s="257"/>
      <c r="BZ33" s="257"/>
      <c r="CA33" s="257"/>
      <c r="CB33" s="257"/>
      <c r="CC33" s="257"/>
      <c r="CD33" s="257"/>
      <c r="CE33" s="257"/>
      <c r="CF33" s="257"/>
      <c r="CG33" s="257"/>
      <c r="CH33" s="257"/>
      <c r="CI33" s="257"/>
      <c r="CJ33" s="257"/>
      <c r="CK33" s="257"/>
      <c r="CL33" s="257"/>
      <c r="CM33" s="257"/>
      <c r="CN33" s="257"/>
      <c r="CO33" s="257"/>
      <c r="CP33" s="257"/>
      <c r="CQ33" s="257"/>
      <c r="CR33" s="257"/>
      <c r="CS33" s="257"/>
      <c r="CT33" s="257"/>
      <c r="CU33" s="257"/>
      <c r="CV33" s="257"/>
      <c r="CW33" s="257"/>
      <c r="CX33" s="257"/>
      <c r="CY33" s="257"/>
      <c r="CZ33" s="257"/>
      <c r="DA33" s="257"/>
      <c r="DB33" s="257"/>
      <c r="DC33" s="257"/>
      <c r="DD33" s="257"/>
      <c r="DE33" s="257"/>
      <c r="DF33" s="257"/>
      <c r="DG33" s="257"/>
      <c r="DH33" s="257"/>
      <c r="DI33" s="257"/>
      <c r="DJ33" s="257"/>
      <c r="DK33" s="257"/>
      <c r="DL33" s="257"/>
      <c r="DM33" s="257"/>
      <c r="DN33" s="257"/>
      <c r="DO33" s="257"/>
      <c r="DP33" s="257"/>
      <c r="DQ33" s="257"/>
      <c r="DR33" s="257"/>
      <c r="DS33" s="257"/>
      <c r="DT33" s="257"/>
      <c r="DU33" s="257"/>
      <c r="DV33" s="257"/>
    </row>
    <row r="34" spans="1:135" ht="15.75" customHeight="1" x14ac:dyDescent="0.35">
      <c r="A34" s="848" t="s">
        <v>337</v>
      </c>
      <c r="B34" s="849" t="s">
        <v>337</v>
      </c>
      <c r="C34" s="850" t="s">
        <v>183</v>
      </c>
      <c r="D34" s="848">
        <v>8.6999999999999993</v>
      </c>
      <c r="E34" s="850" t="s">
        <v>176</v>
      </c>
      <c r="F34" s="852">
        <v>4468</v>
      </c>
      <c r="G34" s="868">
        <v>38932</v>
      </c>
      <c r="H34" s="3667"/>
      <c r="I34" s="3668"/>
      <c r="J34" s="3667"/>
      <c r="K34" s="3668"/>
      <c r="L34" s="869">
        <v>38932</v>
      </c>
      <c r="M34" s="855">
        <v>1</v>
      </c>
      <c r="N34" s="851" t="s">
        <v>337</v>
      </c>
      <c r="O34" s="856">
        <v>111.69</v>
      </c>
      <c r="P34" s="257"/>
      <c r="Q34" s="257"/>
      <c r="R34" s="257"/>
      <c r="S34" s="257"/>
      <c r="T34" s="257"/>
      <c r="U34" s="257"/>
      <c r="V34" s="257"/>
      <c r="W34" s="257"/>
      <c r="X34" s="257"/>
      <c r="Y34" s="257"/>
      <c r="Z34" s="257"/>
      <c r="AA34" s="257"/>
      <c r="AB34" s="257"/>
      <c r="AC34" s="257"/>
      <c r="AD34" s="257"/>
      <c r="AE34" s="257"/>
      <c r="AF34" s="257"/>
      <c r="AG34" s="257"/>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7"/>
      <c r="BD34" s="257"/>
      <c r="BE34" s="257"/>
      <c r="BF34" s="257"/>
      <c r="BG34" s="257"/>
      <c r="BH34" s="257"/>
      <c r="BI34" s="257"/>
      <c r="BJ34" s="257"/>
      <c r="BK34" s="257"/>
      <c r="BL34" s="257"/>
      <c r="BM34" s="257"/>
      <c r="BN34" s="257"/>
      <c r="BO34" s="257"/>
      <c r="BP34" s="257"/>
      <c r="BQ34" s="257"/>
      <c r="BR34" s="257"/>
      <c r="BS34" s="257"/>
      <c r="BT34" s="257"/>
      <c r="BU34" s="257"/>
      <c r="BV34" s="257"/>
      <c r="BW34" s="257"/>
      <c r="BX34" s="257"/>
      <c r="BY34" s="257"/>
      <c r="BZ34" s="257"/>
      <c r="CA34" s="257"/>
      <c r="CB34" s="257"/>
      <c r="CC34" s="257"/>
      <c r="CD34" s="257"/>
      <c r="CE34" s="257"/>
      <c r="CF34" s="257"/>
      <c r="CG34" s="257"/>
      <c r="CH34" s="257"/>
      <c r="CI34" s="257"/>
      <c r="CJ34" s="257"/>
      <c r="CK34" s="257"/>
      <c r="CL34" s="257"/>
      <c r="CM34" s="257"/>
      <c r="CN34" s="257"/>
      <c r="CO34" s="257"/>
      <c r="CP34" s="257"/>
      <c r="CQ34" s="257"/>
      <c r="CR34" s="257"/>
      <c r="CS34" s="257"/>
      <c r="CT34" s="257"/>
      <c r="CU34" s="257"/>
      <c r="CV34" s="257"/>
      <c r="CW34" s="257"/>
      <c r="CX34" s="257"/>
      <c r="CY34" s="257"/>
      <c r="CZ34" s="257"/>
      <c r="DA34" s="257"/>
      <c r="DB34" s="257"/>
      <c r="DC34" s="257"/>
      <c r="DD34" s="257"/>
      <c r="DE34" s="257"/>
      <c r="DF34" s="257"/>
      <c r="DG34" s="257"/>
      <c r="DH34" s="257"/>
      <c r="DI34" s="257"/>
      <c r="DJ34" s="257"/>
      <c r="DK34" s="257"/>
      <c r="DL34" s="257"/>
      <c r="DM34" s="257"/>
      <c r="DN34" s="257"/>
      <c r="DO34" s="257"/>
      <c r="DP34" s="257"/>
      <c r="DQ34" s="257"/>
      <c r="DR34" s="257"/>
      <c r="DS34" s="257"/>
      <c r="DT34" s="257"/>
      <c r="DU34" s="257"/>
      <c r="DV34" s="257"/>
    </row>
    <row r="35" spans="1:135" ht="15.75" customHeight="1" x14ac:dyDescent="0.35">
      <c r="A35" s="268" t="s">
        <v>337</v>
      </c>
      <c r="B35" s="272" t="s">
        <v>337</v>
      </c>
      <c r="C35" s="267" t="s">
        <v>185</v>
      </c>
      <c r="D35" s="848">
        <v>8.6999999999999993</v>
      </c>
      <c r="E35" s="850" t="s">
        <v>176</v>
      </c>
      <c r="F35" s="852">
        <v>5336</v>
      </c>
      <c r="G35" s="868">
        <v>46499</v>
      </c>
      <c r="H35" s="3667"/>
      <c r="I35" s="3668"/>
      <c r="J35" s="3667"/>
      <c r="K35" s="3668"/>
      <c r="L35" s="869">
        <v>46499</v>
      </c>
      <c r="M35" s="855">
        <v>0.75</v>
      </c>
      <c r="N35" s="851" t="s">
        <v>337</v>
      </c>
      <c r="O35" s="856">
        <v>177.87</v>
      </c>
      <c r="P35" s="257"/>
      <c r="Q35" s="257"/>
      <c r="R35" s="257"/>
      <c r="S35" s="257"/>
      <c r="T35" s="257"/>
      <c r="U35" s="257"/>
      <c r="V35" s="257"/>
      <c r="W35" s="257"/>
      <c r="X35" s="257"/>
      <c r="Y35" s="257"/>
      <c r="Z35" s="257"/>
      <c r="AA35" s="257"/>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7"/>
      <c r="BD35" s="257"/>
      <c r="BE35" s="257"/>
      <c r="BF35" s="257"/>
      <c r="BG35" s="257"/>
      <c r="BH35" s="257"/>
      <c r="BI35" s="257"/>
      <c r="BJ35" s="257"/>
      <c r="BK35" s="257"/>
      <c r="BL35" s="257"/>
      <c r="BM35" s="257"/>
      <c r="BN35" s="257"/>
      <c r="BO35" s="257"/>
      <c r="BP35" s="257"/>
      <c r="BQ35" s="257"/>
      <c r="BR35" s="257"/>
      <c r="BS35" s="257"/>
      <c r="BT35" s="257"/>
      <c r="BU35" s="257"/>
      <c r="BV35" s="257"/>
      <c r="BW35" s="257"/>
      <c r="BX35" s="257"/>
      <c r="BY35" s="257"/>
      <c r="BZ35" s="257"/>
      <c r="CA35" s="257"/>
      <c r="CB35" s="257"/>
      <c r="CC35" s="257"/>
      <c r="CD35" s="257"/>
      <c r="CE35" s="257"/>
      <c r="CF35" s="257"/>
      <c r="CG35" s="257"/>
      <c r="CH35" s="257"/>
      <c r="CI35" s="257"/>
      <c r="CJ35" s="257"/>
      <c r="CK35" s="257"/>
      <c r="CL35" s="257"/>
      <c r="CM35" s="257"/>
      <c r="CN35" s="257"/>
      <c r="CO35" s="257"/>
      <c r="CP35" s="257"/>
      <c r="CQ35" s="257"/>
      <c r="CR35" s="257"/>
      <c r="CS35" s="257"/>
      <c r="CT35" s="257"/>
      <c r="CU35" s="257"/>
      <c r="CV35" s="257"/>
      <c r="CW35" s="257"/>
      <c r="CX35" s="257"/>
      <c r="CY35" s="257"/>
      <c r="CZ35" s="257"/>
      <c r="DA35" s="257"/>
      <c r="DB35" s="257"/>
      <c r="DC35" s="257"/>
      <c r="DD35" s="257"/>
      <c r="DE35" s="257"/>
      <c r="DF35" s="257"/>
      <c r="DG35" s="257"/>
      <c r="DH35" s="257"/>
      <c r="DI35" s="257"/>
      <c r="DJ35" s="257"/>
      <c r="DK35" s="257"/>
      <c r="DL35" s="257"/>
      <c r="DM35" s="257"/>
      <c r="DN35" s="257"/>
      <c r="DO35" s="257"/>
      <c r="DP35" s="257"/>
      <c r="DQ35" s="257"/>
      <c r="DR35" s="257"/>
      <c r="DS35" s="257"/>
      <c r="DT35" s="257"/>
      <c r="DU35" s="257"/>
      <c r="DV35" s="257"/>
    </row>
    <row r="36" spans="1:135" ht="15.75" customHeight="1" x14ac:dyDescent="0.35">
      <c r="A36" s="873" t="s">
        <v>337</v>
      </c>
      <c r="B36" s="874" t="s">
        <v>337</v>
      </c>
      <c r="C36" s="859" t="s">
        <v>186</v>
      </c>
      <c r="D36" s="848">
        <v>8.6999999999999993</v>
      </c>
      <c r="E36" s="850" t="s">
        <v>176</v>
      </c>
      <c r="F36" s="852">
        <v>5972</v>
      </c>
      <c r="G36" s="868">
        <v>52042</v>
      </c>
      <c r="H36" s="3667"/>
      <c r="I36" s="3668"/>
      <c r="J36" s="3667"/>
      <c r="K36" s="3668"/>
      <c r="L36" s="869">
        <v>52042</v>
      </c>
      <c r="M36" s="855">
        <v>1</v>
      </c>
      <c r="N36" s="851" t="s">
        <v>337</v>
      </c>
      <c r="O36" s="856">
        <v>149.30000000000001</v>
      </c>
      <c r="P36" s="257"/>
      <c r="Q36" s="257"/>
      <c r="R36" s="257"/>
      <c r="S36" s="257"/>
      <c r="T36" s="257"/>
      <c r="U36" s="257"/>
      <c r="V36" s="257"/>
      <c r="W36" s="257"/>
      <c r="X36" s="257"/>
      <c r="Y36" s="257"/>
      <c r="Z36" s="257"/>
      <c r="AA36" s="257"/>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7"/>
      <c r="BD36" s="257"/>
      <c r="BE36" s="257"/>
      <c r="BF36" s="257"/>
      <c r="BG36" s="257"/>
      <c r="BH36" s="257"/>
      <c r="BI36" s="257"/>
      <c r="BJ36" s="257"/>
      <c r="BK36" s="257"/>
      <c r="BL36" s="257"/>
      <c r="BM36" s="257"/>
      <c r="BN36" s="257"/>
      <c r="BO36" s="257"/>
      <c r="BP36" s="257"/>
      <c r="BQ36" s="257"/>
      <c r="BR36" s="257"/>
      <c r="BS36" s="257"/>
      <c r="BT36" s="257"/>
      <c r="BU36" s="257"/>
      <c r="BV36" s="257"/>
      <c r="BW36" s="257"/>
      <c r="BX36" s="257"/>
      <c r="BY36" s="257"/>
      <c r="BZ36" s="257"/>
      <c r="CA36" s="257"/>
      <c r="CB36" s="257"/>
      <c r="CC36" s="257"/>
      <c r="CD36" s="257"/>
      <c r="CE36" s="257"/>
      <c r="CF36" s="257"/>
      <c r="CG36" s="257"/>
      <c r="CH36" s="257"/>
      <c r="CI36" s="257"/>
      <c r="CJ36" s="257"/>
      <c r="CK36" s="257"/>
      <c r="CL36" s="257"/>
      <c r="CM36" s="257"/>
      <c r="CN36" s="257"/>
      <c r="CO36" s="257"/>
      <c r="CP36" s="257"/>
      <c r="CQ36" s="257"/>
      <c r="CR36" s="257"/>
      <c r="CS36" s="257"/>
      <c r="CT36" s="257"/>
      <c r="CU36" s="257"/>
      <c r="CV36" s="257"/>
      <c r="CW36" s="257"/>
      <c r="CX36" s="257"/>
      <c r="CY36" s="257"/>
      <c r="CZ36" s="257"/>
      <c r="DA36" s="257"/>
      <c r="DB36" s="257"/>
      <c r="DC36" s="257"/>
      <c r="DD36" s="257"/>
      <c r="DE36" s="257"/>
      <c r="DF36" s="257"/>
      <c r="DG36" s="257"/>
      <c r="DH36" s="257"/>
      <c r="DI36" s="257"/>
      <c r="DJ36" s="257"/>
      <c r="DK36" s="257"/>
      <c r="DL36" s="257"/>
      <c r="DM36" s="257"/>
      <c r="DN36" s="257"/>
      <c r="DO36" s="257"/>
      <c r="DP36" s="257"/>
      <c r="DQ36" s="257"/>
      <c r="DR36" s="257"/>
      <c r="DS36" s="257"/>
      <c r="DT36" s="257"/>
      <c r="DU36" s="257"/>
      <c r="DV36" s="257"/>
    </row>
    <row r="37" spans="1:135" ht="15.75" customHeight="1" x14ac:dyDescent="0.35">
      <c r="A37" s="873" t="s">
        <v>337</v>
      </c>
      <c r="B37" s="874" t="s">
        <v>337</v>
      </c>
      <c r="C37" s="859" t="s">
        <v>187</v>
      </c>
      <c r="D37" s="848">
        <v>8.6999999999999993</v>
      </c>
      <c r="E37" s="850" t="s">
        <v>176</v>
      </c>
      <c r="F37" s="852">
        <v>4888</v>
      </c>
      <c r="G37" s="868">
        <v>42594</v>
      </c>
      <c r="H37" s="3667"/>
      <c r="I37" s="3668"/>
      <c r="J37" s="3667"/>
      <c r="K37" s="3668"/>
      <c r="L37" s="869">
        <v>42594</v>
      </c>
      <c r="M37" s="855">
        <v>1</v>
      </c>
      <c r="N37" s="851" t="s">
        <v>337</v>
      </c>
      <c r="O37" s="856">
        <v>122.19</v>
      </c>
      <c r="P37" s="257"/>
      <c r="Q37" s="257"/>
      <c r="R37" s="257"/>
      <c r="S37" s="257"/>
      <c r="T37" s="257"/>
      <c r="U37" s="257"/>
      <c r="V37" s="257"/>
      <c r="W37" s="257"/>
      <c r="X37" s="257"/>
      <c r="Y37" s="257"/>
      <c r="Z37" s="257"/>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7"/>
      <c r="BI37" s="257"/>
      <c r="BJ37" s="257"/>
      <c r="BK37" s="257"/>
      <c r="BL37" s="257"/>
      <c r="BM37" s="257"/>
      <c r="BN37" s="257"/>
      <c r="BO37" s="257"/>
      <c r="BP37" s="257"/>
      <c r="BQ37" s="257"/>
      <c r="BR37" s="257"/>
      <c r="BS37" s="257"/>
      <c r="BT37" s="257"/>
      <c r="BU37" s="257"/>
      <c r="BV37" s="257"/>
      <c r="BW37" s="257"/>
      <c r="BX37" s="257"/>
      <c r="BY37" s="257"/>
      <c r="BZ37" s="257"/>
      <c r="CA37" s="257"/>
      <c r="CB37" s="257"/>
      <c r="CC37" s="257"/>
      <c r="CD37" s="257"/>
      <c r="CE37" s="257"/>
      <c r="CF37" s="257"/>
      <c r="CG37" s="257"/>
      <c r="CH37" s="257"/>
      <c r="CI37" s="257"/>
      <c r="CJ37" s="257"/>
      <c r="CK37" s="257"/>
      <c r="CL37" s="257"/>
      <c r="CM37" s="257"/>
      <c r="CN37" s="257"/>
      <c r="CO37" s="257"/>
      <c r="CP37" s="257"/>
      <c r="CQ37" s="257"/>
      <c r="CR37" s="257"/>
      <c r="CS37" s="257"/>
      <c r="CT37" s="257"/>
      <c r="CU37" s="257"/>
      <c r="CV37" s="257"/>
      <c r="CW37" s="257"/>
      <c r="CX37" s="257"/>
      <c r="CY37" s="257"/>
      <c r="CZ37" s="257"/>
      <c r="DA37" s="257"/>
      <c r="DB37" s="257"/>
      <c r="DC37" s="257"/>
      <c r="DD37" s="257"/>
      <c r="DE37" s="257"/>
      <c r="DF37" s="257"/>
      <c r="DG37" s="257"/>
      <c r="DH37" s="257"/>
      <c r="DI37" s="257"/>
      <c r="DJ37" s="257"/>
      <c r="DK37" s="257"/>
      <c r="DL37" s="257"/>
      <c r="DM37" s="257"/>
      <c r="DN37" s="257"/>
      <c r="DO37" s="257"/>
      <c r="DP37" s="257"/>
      <c r="DQ37" s="257"/>
      <c r="DR37" s="257"/>
      <c r="DS37" s="257"/>
      <c r="DT37" s="257"/>
      <c r="DU37" s="257"/>
      <c r="DV37" s="257"/>
    </row>
    <row r="38" spans="1:135" ht="15.75" customHeight="1" x14ac:dyDescent="0.35">
      <c r="A38" s="873" t="s">
        <v>337</v>
      </c>
      <c r="B38" s="874" t="s">
        <v>337</v>
      </c>
      <c r="C38" s="859" t="s">
        <v>188</v>
      </c>
      <c r="D38" s="848">
        <v>8.6999999999999993</v>
      </c>
      <c r="E38" s="850" t="s">
        <v>176</v>
      </c>
      <c r="F38" s="848" t="s">
        <v>359</v>
      </c>
      <c r="G38" s="871" t="s">
        <v>360</v>
      </c>
      <c r="H38" s="3667"/>
      <c r="I38" s="3668"/>
      <c r="J38" s="3667"/>
      <c r="K38" s="3668"/>
      <c r="L38" s="872" t="s">
        <v>358</v>
      </c>
      <c r="M38" s="855">
        <v>0</v>
      </c>
      <c r="N38" s="851" t="s">
        <v>337</v>
      </c>
      <c r="O38" s="856">
        <v>80.89</v>
      </c>
      <c r="P38" s="257"/>
      <c r="Q38" s="257"/>
      <c r="R38" s="257"/>
      <c r="S38" s="257"/>
      <c r="T38" s="257"/>
      <c r="U38" s="257"/>
      <c r="V38" s="257"/>
      <c r="W38" s="257"/>
      <c r="X38" s="257"/>
      <c r="Y38" s="257"/>
      <c r="Z38" s="257"/>
      <c r="AA38" s="257"/>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7"/>
      <c r="BD38" s="257"/>
      <c r="BE38" s="257"/>
      <c r="BF38" s="257"/>
      <c r="BG38" s="257"/>
      <c r="BH38" s="257"/>
      <c r="BI38" s="257"/>
      <c r="BJ38" s="257"/>
      <c r="BK38" s="257"/>
      <c r="BL38" s="257"/>
      <c r="BM38" s="257"/>
      <c r="BN38" s="257"/>
      <c r="BO38" s="257"/>
      <c r="BP38" s="257"/>
      <c r="BQ38" s="257"/>
      <c r="BR38" s="257"/>
      <c r="BS38" s="257"/>
      <c r="BT38" s="257"/>
      <c r="BU38" s="257"/>
      <c r="BV38" s="257"/>
      <c r="BW38" s="257"/>
      <c r="BX38" s="257"/>
      <c r="BY38" s="257"/>
      <c r="BZ38" s="257"/>
      <c r="CA38" s="257"/>
      <c r="CB38" s="257"/>
      <c r="CC38" s="257"/>
      <c r="CD38" s="257"/>
      <c r="CE38" s="257"/>
      <c r="CF38" s="257"/>
      <c r="CG38" s="257"/>
      <c r="CH38" s="257"/>
      <c r="CI38" s="257"/>
      <c r="CJ38" s="257"/>
      <c r="CK38" s="257"/>
      <c r="CL38" s="257"/>
      <c r="CM38" s="257"/>
      <c r="CN38" s="257"/>
      <c r="CO38" s="257"/>
      <c r="CP38" s="257"/>
      <c r="CQ38" s="257"/>
      <c r="CR38" s="257"/>
      <c r="CS38" s="257"/>
      <c r="CT38" s="257"/>
      <c r="CU38" s="257"/>
      <c r="CV38" s="257"/>
      <c r="CW38" s="257"/>
      <c r="CX38" s="257"/>
      <c r="CY38" s="257"/>
      <c r="CZ38" s="257"/>
      <c r="DA38" s="257"/>
      <c r="DB38" s="257"/>
      <c r="DC38" s="257"/>
      <c r="DD38" s="257"/>
      <c r="DE38" s="257"/>
      <c r="DF38" s="257"/>
      <c r="DG38" s="257"/>
      <c r="DH38" s="257"/>
      <c r="DI38" s="257"/>
      <c r="DJ38" s="257"/>
      <c r="DK38" s="257"/>
      <c r="DL38" s="257"/>
      <c r="DM38" s="257"/>
      <c r="DN38" s="257"/>
      <c r="DO38" s="257"/>
      <c r="DP38" s="257"/>
      <c r="DQ38" s="257"/>
      <c r="DR38" s="257"/>
      <c r="DS38" s="257"/>
      <c r="DT38" s="257"/>
      <c r="DU38" s="257"/>
      <c r="DV38" s="257"/>
    </row>
    <row r="39" spans="1:135" ht="15.75" customHeight="1" x14ac:dyDescent="0.35">
      <c r="A39" s="873" t="s">
        <v>337</v>
      </c>
      <c r="B39" s="874" t="s">
        <v>337</v>
      </c>
      <c r="C39" s="859" t="s">
        <v>190</v>
      </c>
      <c r="D39" s="848">
        <v>8.6999999999999993</v>
      </c>
      <c r="E39" s="850" t="s">
        <v>176</v>
      </c>
      <c r="F39" s="848" t="s">
        <v>359</v>
      </c>
      <c r="G39" s="871" t="s">
        <v>360</v>
      </c>
      <c r="H39" s="3667"/>
      <c r="I39" s="3668"/>
      <c r="J39" s="3667"/>
      <c r="K39" s="3668"/>
      <c r="L39" s="872" t="s">
        <v>358</v>
      </c>
      <c r="M39" s="855">
        <v>0</v>
      </c>
      <c r="N39" s="851" t="s">
        <v>337</v>
      </c>
      <c r="O39" s="856">
        <v>56.06</v>
      </c>
      <c r="P39" s="257"/>
      <c r="Q39" s="257"/>
      <c r="R39" s="257"/>
      <c r="S39" s="257"/>
      <c r="T39" s="257"/>
      <c r="U39" s="257"/>
      <c r="V39" s="257"/>
      <c r="W39" s="257"/>
      <c r="X39" s="257"/>
      <c r="Y39" s="257"/>
      <c r="Z39" s="257"/>
      <c r="AA39" s="257"/>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7"/>
      <c r="BD39" s="257"/>
      <c r="BE39" s="257"/>
      <c r="BF39" s="257"/>
      <c r="BG39" s="257"/>
      <c r="BH39" s="257"/>
      <c r="BI39" s="257"/>
      <c r="BJ39" s="257"/>
      <c r="BK39" s="257"/>
      <c r="BL39" s="257"/>
      <c r="BM39" s="257"/>
      <c r="BN39" s="257"/>
      <c r="BO39" s="257"/>
      <c r="BP39" s="257"/>
      <c r="BQ39" s="257"/>
      <c r="BR39" s="257"/>
      <c r="BS39" s="257"/>
      <c r="BT39" s="257"/>
      <c r="BU39" s="257"/>
      <c r="BV39" s="257"/>
      <c r="BW39" s="257"/>
      <c r="BX39" s="257"/>
      <c r="BY39" s="257"/>
      <c r="BZ39" s="257"/>
      <c r="CA39" s="257"/>
      <c r="CB39" s="257"/>
      <c r="CC39" s="257"/>
      <c r="CD39" s="257"/>
      <c r="CE39" s="257"/>
      <c r="CF39" s="257"/>
      <c r="CG39" s="257"/>
      <c r="CH39" s="257"/>
      <c r="CI39" s="257"/>
      <c r="CJ39" s="257"/>
      <c r="CK39" s="257"/>
      <c r="CL39" s="257"/>
      <c r="CM39" s="257"/>
      <c r="CN39" s="257"/>
      <c r="CO39" s="257"/>
      <c r="CP39" s="257"/>
      <c r="CQ39" s="257"/>
      <c r="CR39" s="257"/>
      <c r="CS39" s="257"/>
      <c r="CT39" s="257"/>
      <c r="CU39" s="257"/>
      <c r="CV39" s="257"/>
      <c r="CW39" s="257"/>
      <c r="CX39" s="257"/>
      <c r="CY39" s="257"/>
      <c r="CZ39" s="257"/>
      <c r="DA39" s="257"/>
      <c r="DB39" s="257"/>
      <c r="DC39" s="257"/>
      <c r="DD39" s="257"/>
      <c r="DE39" s="257"/>
      <c r="DF39" s="257"/>
      <c r="DG39" s="257"/>
      <c r="DH39" s="257"/>
      <c r="DI39" s="257"/>
      <c r="DJ39" s="257"/>
      <c r="DK39" s="257"/>
      <c r="DL39" s="257"/>
      <c r="DM39" s="257"/>
      <c r="DN39" s="257"/>
      <c r="DO39" s="257"/>
      <c r="DP39" s="257"/>
      <c r="DQ39" s="257"/>
      <c r="DR39" s="257"/>
      <c r="DS39" s="257"/>
      <c r="DT39" s="257"/>
      <c r="DU39" s="257"/>
      <c r="DV39" s="257"/>
    </row>
    <row r="40" spans="1:135" ht="15.75" customHeight="1" x14ac:dyDescent="0.35">
      <c r="A40" s="873" t="s">
        <v>337</v>
      </c>
      <c r="B40" s="874" t="s">
        <v>337</v>
      </c>
      <c r="C40" s="859" t="s">
        <v>192</v>
      </c>
      <c r="D40" s="848">
        <v>8.6999999999999993</v>
      </c>
      <c r="E40" s="850" t="s">
        <v>176</v>
      </c>
      <c r="F40" s="852">
        <v>1565</v>
      </c>
      <c r="G40" s="868">
        <v>13639</v>
      </c>
      <c r="H40" s="3667"/>
      <c r="I40" s="3668"/>
      <c r="J40" s="3667"/>
      <c r="K40" s="3668"/>
      <c r="L40" s="869">
        <v>13639</v>
      </c>
      <c r="M40" s="855">
        <v>0.25</v>
      </c>
      <c r="N40" s="851" t="s">
        <v>337</v>
      </c>
      <c r="O40" s="856">
        <v>156.52000000000001</v>
      </c>
      <c r="P40" s="257"/>
      <c r="Q40" s="257"/>
      <c r="R40" s="257"/>
      <c r="S40" s="257"/>
      <c r="T40" s="257"/>
      <c r="U40" s="257"/>
      <c r="V40" s="257"/>
      <c r="W40" s="257"/>
      <c r="X40" s="257"/>
      <c r="Y40" s="257"/>
      <c r="Z40" s="257"/>
      <c r="AA40" s="257"/>
      <c r="AB40" s="257"/>
      <c r="AC40" s="257"/>
      <c r="AD40" s="257"/>
      <c r="AE40" s="257"/>
      <c r="AF40" s="257"/>
      <c r="AG40" s="257"/>
      <c r="AH40" s="257"/>
      <c r="AI40" s="257"/>
      <c r="AJ40" s="257"/>
      <c r="AK40" s="257"/>
      <c r="AL40" s="257"/>
      <c r="AM40" s="257"/>
      <c r="AN40" s="257"/>
      <c r="AO40" s="257"/>
      <c r="AP40" s="257"/>
      <c r="AQ40" s="257"/>
      <c r="AR40" s="257"/>
      <c r="AS40" s="257"/>
      <c r="AT40" s="257"/>
      <c r="AU40" s="257"/>
      <c r="AV40" s="257"/>
      <c r="AW40" s="257"/>
      <c r="AX40" s="257"/>
      <c r="AY40" s="257"/>
      <c r="AZ40" s="257"/>
      <c r="BA40" s="257"/>
      <c r="BB40" s="257"/>
      <c r="BC40" s="257"/>
      <c r="BD40" s="257"/>
      <c r="BE40" s="257"/>
      <c r="BF40" s="257"/>
      <c r="BG40" s="257"/>
      <c r="BH40" s="257"/>
      <c r="BI40" s="257"/>
      <c r="BJ40" s="257"/>
      <c r="BK40" s="257"/>
      <c r="BL40" s="257"/>
      <c r="BM40" s="257"/>
      <c r="BN40" s="257"/>
      <c r="BO40" s="257"/>
      <c r="BP40" s="257"/>
      <c r="BQ40" s="257"/>
      <c r="BR40" s="257"/>
      <c r="BS40" s="257"/>
      <c r="BT40" s="257"/>
      <c r="BU40" s="257"/>
      <c r="BV40" s="257"/>
      <c r="BW40" s="257"/>
      <c r="BX40" s="257"/>
      <c r="BY40" s="257"/>
      <c r="BZ40" s="257"/>
      <c r="CA40" s="257"/>
      <c r="CB40" s="257"/>
      <c r="CC40" s="257"/>
      <c r="CD40" s="257"/>
      <c r="CE40" s="257"/>
      <c r="CF40" s="257"/>
      <c r="CG40" s="257"/>
      <c r="CH40" s="257"/>
      <c r="CI40" s="257"/>
      <c r="CJ40" s="257"/>
      <c r="CK40" s="257"/>
      <c r="CL40" s="257"/>
      <c r="CM40" s="257"/>
      <c r="CN40" s="257"/>
      <c r="CO40" s="257"/>
      <c r="CP40" s="257"/>
      <c r="CQ40" s="257"/>
      <c r="CR40" s="257"/>
      <c r="CS40" s="257"/>
      <c r="CT40" s="257"/>
      <c r="CU40" s="257"/>
      <c r="CV40" s="257"/>
      <c r="CW40" s="257"/>
      <c r="CX40" s="257"/>
      <c r="CY40" s="257"/>
      <c r="CZ40" s="257"/>
      <c r="DA40" s="257"/>
      <c r="DB40" s="257"/>
      <c r="DC40" s="257"/>
      <c r="DD40" s="257"/>
      <c r="DE40" s="257"/>
      <c r="DF40" s="257"/>
      <c r="DG40" s="257"/>
      <c r="DH40" s="257"/>
      <c r="DI40" s="257"/>
      <c r="DJ40" s="257"/>
      <c r="DK40" s="257"/>
      <c r="DL40" s="257"/>
      <c r="DM40" s="257"/>
      <c r="DN40" s="257"/>
      <c r="DO40" s="257"/>
      <c r="DP40" s="257"/>
      <c r="DQ40" s="257"/>
      <c r="DR40" s="257"/>
      <c r="DS40" s="257"/>
      <c r="DT40" s="257"/>
      <c r="DU40" s="257"/>
      <c r="DV40" s="257"/>
    </row>
    <row r="41" spans="1:135" s="215" customFormat="1" ht="15.75" customHeight="1" x14ac:dyDescent="0.35">
      <c r="A41" s="873" t="s">
        <v>337</v>
      </c>
      <c r="B41" s="874" t="s">
        <v>337</v>
      </c>
      <c r="C41" s="859" t="s">
        <v>193</v>
      </c>
      <c r="D41" s="848">
        <v>8.6999999999999993</v>
      </c>
      <c r="E41" s="850" t="s">
        <v>176</v>
      </c>
      <c r="F41" s="848" t="s">
        <v>359</v>
      </c>
      <c r="G41" s="871" t="s">
        <v>360</v>
      </c>
      <c r="H41" s="3667"/>
      <c r="I41" s="3668"/>
      <c r="J41" s="3667"/>
      <c r="K41" s="3668"/>
      <c r="L41" s="872" t="s">
        <v>358</v>
      </c>
      <c r="M41" s="855">
        <v>0</v>
      </c>
      <c r="N41" s="851" t="s">
        <v>337</v>
      </c>
      <c r="O41" s="856">
        <v>138.68</v>
      </c>
      <c r="P41" s="257"/>
      <c r="Q41" s="257"/>
      <c r="R41" s="257"/>
      <c r="S41" s="257"/>
      <c r="T41" s="257"/>
      <c r="U41" s="257"/>
      <c r="V41" s="257"/>
      <c r="W41" s="257"/>
      <c r="X41" s="257"/>
      <c r="Y41" s="257"/>
      <c r="Z41" s="257"/>
      <c r="AA41" s="257"/>
      <c r="AB41" s="257"/>
      <c r="AC41" s="257"/>
      <c r="AD41" s="257"/>
      <c r="AE41" s="257"/>
      <c r="AF41" s="257"/>
      <c r="AG41" s="257"/>
      <c r="AH41" s="257"/>
      <c r="AI41" s="257"/>
      <c r="AJ41" s="257"/>
      <c r="AK41" s="257"/>
      <c r="AL41" s="257"/>
      <c r="AM41" s="257"/>
      <c r="AN41" s="257"/>
      <c r="AO41" s="257"/>
      <c r="AP41" s="257"/>
      <c r="AQ41" s="257"/>
      <c r="AR41" s="257"/>
      <c r="AS41" s="257"/>
      <c r="AT41" s="257"/>
      <c r="AU41" s="257"/>
      <c r="AV41" s="257"/>
      <c r="AW41" s="257"/>
      <c r="AX41" s="257"/>
      <c r="AY41" s="257"/>
      <c r="AZ41" s="257"/>
      <c r="BA41" s="257"/>
      <c r="BB41" s="257"/>
      <c r="BC41" s="257"/>
      <c r="BD41" s="257"/>
      <c r="BE41" s="257"/>
      <c r="BF41" s="257"/>
      <c r="BG41" s="257"/>
      <c r="BH41" s="257"/>
      <c r="BI41" s="257"/>
      <c r="BJ41" s="257"/>
      <c r="BK41" s="257"/>
      <c r="BL41" s="257"/>
      <c r="BM41" s="257"/>
      <c r="BN41" s="257"/>
      <c r="BO41" s="257"/>
      <c r="BP41" s="257"/>
      <c r="BQ41" s="257"/>
      <c r="BR41" s="257"/>
      <c r="BS41" s="257"/>
      <c r="BT41" s="257"/>
      <c r="BU41" s="257"/>
      <c r="BV41" s="257"/>
      <c r="BW41" s="257"/>
      <c r="BX41" s="257"/>
      <c r="BY41" s="257"/>
      <c r="BZ41" s="257"/>
      <c r="CA41" s="257"/>
      <c r="CB41" s="257"/>
      <c r="CC41" s="257"/>
      <c r="CD41" s="257"/>
      <c r="CE41" s="257"/>
      <c r="CF41" s="257"/>
      <c r="CG41" s="257"/>
      <c r="CH41" s="257"/>
      <c r="CI41" s="257"/>
      <c r="CJ41" s="257"/>
      <c r="CK41" s="257"/>
      <c r="CL41" s="257"/>
      <c r="CM41" s="257"/>
      <c r="CN41" s="257"/>
      <c r="CO41" s="257"/>
      <c r="CP41" s="257"/>
      <c r="CQ41" s="257"/>
      <c r="CR41" s="257"/>
      <c r="CS41" s="257"/>
      <c r="CT41" s="257"/>
      <c r="CU41" s="257"/>
      <c r="CV41" s="257"/>
      <c r="CW41" s="257"/>
      <c r="CX41" s="257"/>
      <c r="CY41" s="257"/>
      <c r="CZ41" s="257"/>
      <c r="DA41" s="257"/>
      <c r="DB41" s="257"/>
      <c r="DC41" s="257"/>
      <c r="DD41" s="257"/>
      <c r="DE41" s="257"/>
      <c r="DF41" s="257"/>
      <c r="DG41" s="257"/>
      <c r="DH41" s="257"/>
      <c r="DI41" s="257"/>
      <c r="DJ41" s="257"/>
      <c r="DK41" s="257"/>
      <c r="DL41" s="257"/>
      <c r="DM41" s="257"/>
      <c r="DN41" s="257"/>
      <c r="DO41" s="257"/>
      <c r="DP41" s="257"/>
      <c r="DQ41" s="257"/>
      <c r="DR41" s="257"/>
      <c r="DS41" s="257"/>
      <c r="DT41" s="257"/>
      <c r="DU41" s="257"/>
      <c r="DV41" s="257"/>
      <c r="DW41"/>
      <c r="DX41"/>
      <c r="DY41"/>
      <c r="DZ41"/>
      <c r="EA41"/>
      <c r="EB41"/>
      <c r="EC41"/>
      <c r="ED41"/>
      <c r="EE41"/>
    </row>
    <row r="42" spans="1:135" ht="33.75" customHeight="1" thickBot="1" x14ac:dyDescent="0.4">
      <c r="A42" s="875" t="s">
        <v>337</v>
      </c>
      <c r="B42" s="876" t="s">
        <v>337</v>
      </c>
      <c r="C42" s="877" t="s">
        <v>194</v>
      </c>
      <c r="D42" s="278">
        <v>8.6999999999999993</v>
      </c>
      <c r="E42" s="279" t="s">
        <v>176</v>
      </c>
      <c r="F42" s="280">
        <v>861</v>
      </c>
      <c r="G42" s="282">
        <v>7504</v>
      </c>
      <c r="H42" s="3669"/>
      <c r="I42" s="3670"/>
      <c r="J42" s="3669"/>
      <c r="K42" s="3670"/>
      <c r="L42" s="276">
        <v>7504</v>
      </c>
      <c r="M42" s="283">
        <v>0.2</v>
      </c>
      <c r="N42" s="271" t="s">
        <v>337</v>
      </c>
      <c r="O42" s="285">
        <v>107.64</v>
      </c>
      <c r="P42" s="257"/>
      <c r="Q42" s="257"/>
      <c r="R42" s="257"/>
      <c r="S42" s="257"/>
      <c r="T42" s="257"/>
      <c r="U42" s="257"/>
      <c r="V42" s="257"/>
      <c r="W42" s="257"/>
      <c r="X42" s="257"/>
      <c r="Y42" s="257"/>
      <c r="Z42" s="257"/>
      <c r="AA42" s="257"/>
      <c r="AB42" s="257"/>
      <c r="AC42" s="257"/>
      <c r="AD42" s="257"/>
      <c r="AE42" s="257"/>
      <c r="AF42" s="257"/>
      <c r="AG42" s="257"/>
      <c r="AH42" s="257"/>
      <c r="AI42" s="257"/>
      <c r="AJ42" s="257"/>
      <c r="AK42" s="257"/>
      <c r="AL42" s="257"/>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57"/>
      <c r="BK42" s="257"/>
      <c r="BL42" s="257"/>
      <c r="BM42" s="257"/>
      <c r="BN42" s="257"/>
      <c r="BO42" s="257"/>
      <c r="BP42" s="257"/>
      <c r="BQ42" s="257"/>
      <c r="BR42" s="257"/>
      <c r="BS42" s="257"/>
      <c r="BT42" s="257"/>
      <c r="BU42" s="257"/>
      <c r="BV42" s="257"/>
      <c r="BW42" s="257"/>
      <c r="BX42" s="257"/>
      <c r="BY42" s="257"/>
      <c r="BZ42" s="257"/>
      <c r="CA42" s="257"/>
      <c r="CB42" s="257"/>
      <c r="CC42" s="257"/>
      <c r="CD42" s="257"/>
      <c r="CE42" s="257"/>
      <c r="CF42" s="257"/>
      <c r="CG42" s="257"/>
      <c r="CH42" s="257"/>
      <c r="CI42" s="257"/>
      <c r="CJ42" s="257"/>
      <c r="CK42" s="257"/>
      <c r="CL42" s="257"/>
      <c r="CM42" s="257"/>
      <c r="CN42" s="257"/>
      <c r="CO42" s="257"/>
      <c r="CP42" s="257"/>
      <c r="CQ42" s="257"/>
      <c r="CR42" s="257"/>
      <c r="CS42" s="257"/>
      <c r="CT42" s="257"/>
      <c r="CU42" s="257"/>
      <c r="CV42" s="257"/>
      <c r="CW42" s="257"/>
      <c r="CX42" s="257"/>
      <c r="CY42" s="257"/>
      <c r="CZ42" s="257"/>
      <c r="DA42" s="257"/>
      <c r="DB42" s="257"/>
      <c r="DC42" s="257"/>
      <c r="DD42" s="257"/>
      <c r="DE42" s="257"/>
      <c r="DF42" s="257"/>
      <c r="DG42" s="257"/>
      <c r="DH42" s="257"/>
      <c r="DI42" s="257"/>
      <c r="DJ42" s="257"/>
      <c r="DK42" s="257"/>
      <c r="DL42" s="257"/>
      <c r="DM42" s="257"/>
      <c r="DN42" s="257"/>
      <c r="DO42" s="257"/>
      <c r="DP42" s="257"/>
      <c r="DQ42" s="257"/>
      <c r="DR42" s="257"/>
      <c r="DS42" s="257"/>
      <c r="DT42" s="257"/>
      <c r="DU42" s="257"/>
      <c r="DV42" s="257"/>
    </row>
    <row r="43" spans="1:135" ht="15.65" customHeight="1" thickBot="1" x14ac:dyDescent="0.4">
      <c r="A43" s="3673" t="s">
        <v>337</v>
      </c>
      <c r="B43" s="3674"/>
      <c r="C43" s="880" t="s">
        <v>197</v>
      </c>
      <c r="D43" s="286" t="s">
        <v>337</v>
      </c>
      <c r="E43" s="287" t="s">
        <v>337</v>
      </c>
      <c r="F43" s="881" t="s">
        <v>337</v>
      </c>
      <c r="G43" s="287" t="s">
        <v>337</v>
      </c>
      <c r="H43" s="287" t="s">
        <v>337</v>
      </c>
      <c r="I43" s="287" t="s">
        <v>337</v>
      </c>
      <c r="J43" s="287" t="s">
        <v>337</v>
      </c>
      <c r="K43" s="287" t="s">
        <v>337</v>
      </c>
      <c r="L43" s="288">
        <v>326217</v>
      </c>
      <c r="M43" s="289" t="s">
        <v>337</v>
      </c>
      <c r="N43" s="879" t="s">
        <v>337</v>
      </c>
      <c r="O43" s="257"/>
      <c r="P43" s="257"/>
      <c r="Q43" s="257"/>
      <c r="R43" s="257"/>
      <c r="S43" s="257"/>
      <c r="T43" s="257"/>
      <c r="U43" s="257"/>
      <c r="V43" s="257"/>
      <c r="W43" s="257"/>
      <c r="X43" s="257"/>
      <c r="Y43" s="257"/>
      <c r="Z43" s="257"/>
      <c r="AA43" s="257"/>
      <c r="AB43" s="257"/>
      <c r="AC43" s="257"/>
      <c r="AD43" s="257"/>
      <c r="AE43" s="257"/>
      <c r="AF43" s="257"/>
      <c r="AG43" s="257"/>
      <c r="AH43" s="257"/>
      <c r="AI43" s="257"/>
      <c r="AJ43" s="257"/>
      <c r="AK43" s="257"/>
      <c r="AL43" s="257"/>
      <c r="AM43" s="257"/>
      <c r="AN43" s="257"/>
      <c r="AO43" s="257"/>
      <c r="AP43" s="257"/>
      <c r="AQ43" s="257"/>
      <c r="AR43" s="257"/>
      <c r="AS43" s="257"/>
      <c r="AT43" s="257"/>
      <c r="AU43" s="257"/>
      <c r="AV43" s="257"/>
      <c r="AW43" s="257"/>
      <c r="AX43" s="257"/>
      <c r="AY43" s="257"/>
      <c r="AZ43" s="257"/>
      <c r="BA43" s="257"/>
      <c r="BB43" s="257"/>
      <c r="BC43" s="257"/>
      <c r="BD43" s="257"/>
      <c r="BE43" s="257"/>
      <c r="BF43" s="257"/>
      <c r="BG43" s="257"/>
      <c r="BH43" s="257"/>
      <c r="BI43" s="257"/>
      <c r="BJ43" s="257"/>
      <c r="BK43" s="257"/>
      <c r="BL43" s="257"/>
      <c r="BM43" s="257"/>
      <c r="BN43" s="257"/>
      <c r="BO43" s="257"/>
      <c r="BP43" s="257"/>
      <c r="BQ43" s="257"/>
      <c r="BR43" s="257"/>
      <c r="BS43" s="257"/>
      <c r="BT43" s="257"/>
      <c r="BU43" s="257"/>
      <c r="BV43" s="257"/>
      <c r="BW43" s="257"/>
      <c r="BX43" s="257"/>
      <c r="BY43" s="257"/>
      <c r="BZ43" s="257"/>
      <c r="CA43" s="257"/>
      <c r="CB43" s="257"/>
      <c r="CC43" s="257"/>
      <c r="CD43" s="257"/>
      <c r="CE43" s="257"/>
      <c r="CF43" s="257"/>
      <c r="CG43" s="257"/>
      <c r="CH43" s="257"/>
      <c r="CI43" s="257"/>
      <c r="CJ43" s="257"/>
      <c r="CK43" s="257"/>
      <c r="CL43" s="257"/>
      <c r="CM43" s="257"/>
      <c r="CN43" s="257"/>
      <c r="CO43" s="257"/>
      <c r="CP43" s="257"/>
      <c r="CQ43" s="257"/>
      <c r="CR43" s="257"/>
      <c r="CS43" s="257"/>
      <c r="CT43" s="257"/>
      <c r="CU43" s="257"/>
      <c r="CV43" s="257"/>
      <c r="CW43" s="257"/>
      <c r="CX43" s="257"/>
      <c r="CY43" s="257"/>
      <c r="CZ43" s="257"/>
      <c r="DA43" s="257"/>
      <c r="DB43" s="257"/>
      <c r="DC43" s="257"/>
      <c r="DD43" s="257"/>
      <c r="DE43" s="257"/>
      <c r="DF43" s="257"/>
      <c r="DG43" s="257"/>
      <c r="DH43" s="257"/>
      <c r="DI43" s="257"/>
      <c r="DJ43" s="257"/>
      <c r="DK43" s="257"/>
      <c r="DL43" s="257"/>
      <c r="DM43" s="257"/>
      <c r="DN43" s="257"/>
      <c r="DO43" s="257"/>
      <c r="DP43" s="257"/>
      <c r="DQ43" s="257"/>
      <c r="DR43" s="257"/>
      <c r="DS43" s="257"/>
      <c r="DT43" s="257"/>
      <c r="DU43" s="257"/>
      <c r="DV43" s="257"/>
    </row>
    <row r="44" spans="1:135" ht="15.65" customHeight="1" x14ac:dyDescent="0.35">
      <c r="A44" s="848" t="s">
        <v>337</v>
      </c>
      <c r="B44" s="849" t="s">
        <v>337</v>
      </c>
      <c r="C44" s="599" t="s">
        <v>198</v>
      </c>
      <c r="D44" s="866">
        <v>1</v>
      </c>
      <c r="E44" s="849" t="s">
        <v>199</v>
      </c>
      <c r="F44" s="3665" t="s">
        <v>337</v>
      </c>
      <c r="G44" s="3666"/>
      <c r="H44" s="852">
        <v>15000</v>
      </c>
      <c r="I44" s="868">
        <v>15000</v>
      </c>
      <c r="J44" s="3665" t="s">
        <v>361</v>
      </c>
      <c r="K44" s="3666"/>
      <c r="L44" s="869">
        <v>15000</v>
      </c>
      <c r="M44" s="3671" t="s">
        <v>337</v>
      </c>
      <c r="N44" s="600" t="s">
        <v>337</v>
      </c>
      <c r="O44" s="257"/>
      <c r="P44" s="257"/>
      <c r="Q44" s="257"/>
      <c r="R44" s="257"/>
      <c r="S44" s="257"/>
      <c r="T44" s="257"/>
      <c r="U44" s="257"/>
      <c r="V44" s="257"/>
      <c r="W44" s="257"/>
      <c r="X44" s="257"/>
      <c r="Y44" s="257"/>
      <c r="Z44" s="257"/>
      <c r="AA44" s="257"/>
      <c r="AB44" s="257"/>
      <c r="AC44" s="257"/>
      <c r="AD44" s="257"/>
      <c r="AE44" s="257"/>
      <c r="AF44" s="257"/>
      <c r="AG44" s="257"/>
      <c r="AH44" s="257"/>
      <c r="AI44" s="257"/>
      <c r="AJ44" s="257"/>
      <c r="AK44" s="257"/>
      <c r="AL44" s="257"/>
      <c r="AM44" s="257"/>
      <c r="AN44" s="257"/>
      <c r="AO44" s="257"/>
      <c r="AP44" s="257"/>
      <c r="AQ44" s="257"/>
      <c r="AR44" s="257"/>
      <c r="AS44" s="257"/>
      <c r="AT44" s="257"/>
      <c r="AU44" s="257"/>
      <c r="AV44" s="257"/>
      <c r="AW44" s="257"/>
      <c r="AX44" s="257"/>
      <c r="AY44" s="257"/>
      <c r="AZ44" s="257"/>
      <c r="BA44" s="257"/>
      <c r="BB44" s="257"/>
      <c r="BC44" s="257"/>
      <c r="BD44" s="257"/>
      <c r="BE44" s="257"/>
      <c r="BF44" s="257"/>
      <c r="BG44" s="257"/>
      <c r="BH44" s="257"/>
      <c r="BI44" s="257"/>
      <c r="BJ44" s="257"/>
      <c r="BK44" s="257"/>
      <c r="BL44" s="257"/>
      <c r="BM44" s="257"/>
      <c r="BN44" s="257"/>
      <c r="BO44" s="257"/>
      <c r="BP44" s="257"/>
      <c r="BQ44" s="257"/>
      <c r="BR44" s="257"/>
      <c r="BS44" s="257"/>
      <c r="BT44" s="257"/>
      <c r="BU44" s="257"/>
      <c r="BV44" s="257"/>
      <c r="BW44" s="257"/>
      <c r="BX44" s="257"/>
      <c r="BY44" s="257"/>
      <c r="BZ44" s="257"/>
      <c r="CA44" s="257"/>
      <c r="CB44" s="257"/>
      <c r="CC44" s="257"/>
      <c r="CD44" s="257"/>
      <c r="CE44" s="257"/>
      <c r="CF44" s="257"/>
      <c r="CG44" s="257"/>
      <c r="CH44" s="257"/>
      <c r="CI44" s="257"/>
      <c r="CJ44" s="257"/>
      <c r="CK44" s="257"/>
      <c r="CL44" s="257"/>
      <c r="CM44" s="257"/>
      <c r="CN44" s="257"/>
      <c r="CO44" s="257"/>
      <c r="CP44" s="257"/>
      <c r="CQ44" s="257"/>
      <c r="CR44" s="257"/>
      <c r="CS44" s="257"/>
      <c r="CT44" s="257"/>
      <c r="CU44" s="257"/>
      <c r="CV44" s="257"/>
      <c r="CW44" s="257"/>
      <c r="CX44" s="257"/>
      <c r="CY44" s="257"/>
      <c r="CZ44" s="257"/>
      <c r="DA44" s="257"/>
      <c r="DB44" s="257"/>
      <c r="DC44" s="257"/>
      <c r="DD44" s="257"/>
      <c r="DE44" s="257"/>
      <c r="DF44" s="257"/>
      <c r="DG44" s="257"/>
      <c r="DH44" s="257"/>
      <c r="DI44" s="257"/>
      <c r="DJ44" s="257"/>
      <c r="DK44" s="257"/>
      <c r="DL44" s="257"/>
      <c r="DM44" s="257"/>
      <c r="DN44" s="257"/>
      <c r="DO44" s="257"/>
      <c r="DP44" s="257"/>
      <c r="DQ44" s="257"/>
      <c r="DR44" s="257"/>
      <c r="DS44" s="257"/>
      <c r="DT44" s="257"/>
      <c r="DU44" s="257"/>
      <c r="DV44" s="257"/>
    </row>
    <row r="45" spans="1:135" ht="15.65" customHeight="1" x14ac:dyDescent="0.35">
      <c r="A45" s="848" t="s">
        <v>337</v>
      </c>
      <c r="B45" s="849" t="s">
        <v>337</v>
      </c>
      <c r="C45" s="850" t="s">
        <v>201</v>
      </c>
      <c r="D45" s="848">
        <v>20.7</v>
      </c>
      <c r="E45" s="850" t="s">
        <v>202</v>
      </c>
      <c r="F45" s="3667"/>
      <c r="G45" s="3668"/>
      <c r="H45" s="867">
        <v>3500</v>
      </c>
      <c r="I45" s="882">
        <v>72567</v>
      </c>
      <c r="J45" s="3667"/>
      <c r="K45" s="3668"/>
      <c r="L45" s="869">
        <v>72567</v>
      </c>
      <c r="M45" s="3671"/>
      <c r="N45" s="883" t="s">
        <v>337</v>
      </c>
      <c r="O45" s="257"/>
      <c r="P45" s="257"/>
      <c r="Q45" s="257"/>
      <c r="R45" s="257"/>
      <c r="S45" s="257"/>
      <c r="T45" s="257"/>
      <c r="U45" s="257"/>
      <c r="V45" s="257"/>
      <c r="W45" s="257"/>
      <c r="X45" s="257"/>
      <c r="Y45" s="257"/>
      <c r="Z45" s="257"/>
      <c r="AA45" s="257"/>
      <c r="AB45" s="257"/>
      <c r="AC45" s="257"/>
      <c r="AD45" s="257"/>
      <c r="AE45" s="257"/>
      <c r="AF45" s="257"/>
      <c r="AG45" s="257"/>
      <c r="AH45" s="257"/>
      <c r="AI45" s="257"/>
      <c r="AJ45" s="257"/>
      <c r="AK45" s="257"/>
      <c r="AL45" s="257"/>
      <c r="AM45" s="257"/>
      <c r="AN45" s="257"/>
      <c r="AO45" s="257"/>
      <c r="AP45" s="257"/>
      <c r="AQ45" s="257"/>
      <c r="AR45" s="257"/>
      <c r="AS45" s="257"/>
      <c r="AT45" s="257"/>
      <c r="AU45" s="257"/>
      <c r="AV45" s="257"/>
      <c r="AW45" s="257"/>
      <c r="AX45" s="257"/>
      <c r="AY45" s="257"/>
      <c r="AZ45" s="257"/>
      <c r="BA45" s="257"/>
      <c r="BB45" s="257"/>
      <c r="BC45" s="257"/>
      <c r="BD45" s="257"/>
      <c r="BE45" s="257"/>
      <c r="BF45" s="257"/>
      <c r="BG45" s="257"/>
      <c r="BH45" s="257"/>
      <c r="BI45" s="257"/>
      <c r="BJ45" s="257"/>
      <c r="BK45" s="257"/>
      <c r="BL45" s="257"/>
      <c r="BM45" s="257"/>
      <c r="BN45" s="257"/>
      <c r="BO45" s="257"/>
      <c r="BP45" s="257"/>
      <c r="BQ45" s="257"/>
      <c r="BR45" s="257"/>
      <c r="BS45" s="257"/>
      <c r="BT45" s="257"/>
      <c r="BU45" s="257"/>
      <c r="BV45" s="257"/>
      <c r="BW45" s="257"/>
      <c r="BX45" s="257"/>
      <c r="BY45" s="257"/>
      <c r="BZ45" s="257"/>
      <c r="CA45" s="257"/>
      <c r="CB45" s="257"/>
      <c r="CC45" s="257"/>
      <c r="CD45" s="257"/>
      <c r="CE45" s="257"/>
      <c r="CF45" s="257"/>
      <c r="CG45" s="257"/>
      <c r="CH45" s="257"/>
      <c r="CI45" s="257"/>
      <c r="CJ45" s="257"/>
      <c r="CK45" s="257"/>
      <c r="CL45" s="257"/>
      <c r="CM45" s="257"/>
      <c r="CN45" s="257"/>
      <c r="CO45" s="257"/>
      <c r="CP45" s="257"/>
      <c r="CQ45" s="257"/>
      <c r="CR45" s="257"/>
      <c r="CS45" s="257"/>
      <c r="CT45" s="257"/>
      <c r="CU45" s="257"/>
      <c r="CV45" s="257"/>
      <c r="CW45" s="257"/>
      <c r="CX45" s="257"/>
      <c r="CY45" s="257"/>
      <c r="CZ45" s="257"/>
      <c r="DA45" s="257"/>
      <c r="DB45" s="257"/>
      <c r="DC45" s="257"/>
      <c r="DD45" s="257"/>
      <c r="DE45" s="257"/>
      <c r="DF45" s="257"/>
      <c r="DG45" s="257"/>
      <c r="DH45" s="257"/>
      <c r="DI45" s="257"/>
      <c r="DJ45" s="257"/>
      <c r="DK45" s="257"/>
      <c r="DL45" s="257"/>
      <c r="DM45" s="257"/>
      <c r="DN45" s="257"/>
      <c r="DO45" s="257"/>
      <c r="DP45" s="257"/>
      <c r="DQ45" s="257"/>
      <c r="DR45" s="257"/>
      <c r="DS45" s="257"/>
      <c r="DT45" s="257"/>
      <c r="DU45" s="257"/>
      <c r="DV45" s="257"/>
    </row>
    <row r="46" spans="1:135" ht="15.65" customHeight="1" x14ac:dyDescent="0.35">
      <c r="A46" s="848" t="s">
        <v>337</v>
      </c>
      <c r="B46" s="849" t="s">
        <v>337</v>
      </c>
      <c r="C46" s="850" t="s">
        <v>203</v>
      </c>
      <c r="D46" s="848">
        <v>0</v>
      </c>
      <c r="E46" s="850" t="s">
        <v>199</v>
      </c>
      <c r="F46" s="3667"/>
      <c r="G46" s="3668"/>
      <c r="H46" s="867">
        <v>15958</v>
      </c>
      <c r="I46" s="884" t="s">
        <v>362</v>
      </c>
      <c r="J46" s="3667"/>
      <c r="K46" s="3668"/>
      <c r="L46" s="872" t="s">
        <v>358</v>
      </c>
      <c r="M46" s="3671"/>
      <c r="N46" s="883" t="s">
        <v>363</v>
      </c>
      <c r="O46" s="257"/>
      <c r="P46" s="257"/>
      <c r="Q46" s="257"/>
      <c r="R46" s="257"/>
      <c r="S46" s="257"/>
      <c r="T46" s="257"/>
      <c r="U46" s="257"/>
      <c r="V46" s="257"/>
      <c r="W46" s="257"/>
      <c r="X46" s="257"/>
      <c r="Y46" s="257"/>
      <c r="Z46" s="257"/>
      <c r="AA46" s="257"/>
      <c r="AB46" s="257"/>
      <c r="AC46" s="257"/>
      <c r="AD46" s="257"/>
      <c r="AE46" s="257"/>
      <c r="AF46" s="257"/>
      <c r="AG46" s="257"/>
      <c r="AH46" s="257"/>
      <c r="AI46" s="257"/>
      <c r="AJ46" s="257"/>
      <c r="AK46" s="257"/>
      <c r="AL46" s="257"/>
      <c r="AM46" s="257"/>
      <c r="AN46" s="257"/>
      <c r="AO46" s="257"/>
      <c r="AP46" s="257"/>
      <c r="AQ46" s="257"/>
      <c r="AR46" s="257"/>
      <c r="AS46" s="257"/>
      <c r="AT46" s="257"/>
      <c r="AU46" s="257"/>
      <c r="AV46" s="257"/>
      <c r="AW46" s="257"/>
      <c r="AX46" s="257"/>
      <c r="AY46" s="257"/>
      <c r="AZ46" s="257"/>
      <c r="BA46" s="257"/>
      <c r="BB46" s="257"/>
      <c r="BC46" s="257"/>
      <c r="BD46" s="257"/>
      <c r="BE46" s="257"/>
      <c r="BF46" s="257"/>
      <c r="BG46" s="257"/>
      <c r="BH46" s="257"/>
      <c r="BI46" s="257"/>
      <c r="BJ46" s="257"/>
      <c r="BK46" s="257"/>
      <c r="BL46" s="257"/>
      <c r="BM46" s="257"/>
      <c r="BN46" s="257"/>
      <c r="BO46" s="257"/>
      <c r="BP46" s="257"/>
      <c r="BQ46" s="257"/>
      <c r="BR46" s="257"/>
      <c r="BS46" s="257"/>
      <c r="BT46" s="257"/>
      <c r="BU46" s="257"/>
      <c r="BV46" s="257"/>
      <c r="BW46" s="257"/>
      <c r="BX46" s="257"/>
      <c r="BY46" s="257"/>
      <c r="BZ46" s="257"/>
      <c r="CA46" s="257"/>
      <c r="CB46" s="257"/>
      <c r="CC46" s="257"/>
      <c r="CD46" s="257"/>
      <c r="CE46" s="257"/>
      <c r="CF46" s="257"/>
      <c r="CG46" s="257"/>
      <c r="CH46" s="257"/>
      <c r="CI46" s="257"/>
      <c r="CJ46" s="257"/>
      <c r="CK46" s="257"/>
      <c r="CL46" s="257"/>
      <c r="CM46" s="257"/>
      <c r="CN46" s="257"/>
      <c r="CO46" s="257"/>
      <c r="CP46" s="257"/>
      <c r="CQ46" s="257"/>
      <c r="CR46" s="257"/>
      <c r="CS46" s="257"/>
      <c r="CT46" s="257"/>
      <c r="CU46" s="257"/>
      <c r="CV46" s="257"/>
      <c r="CW46" s="257"/>
      <c r="CX46" s="257"/>
      <c r="CY46" s="257"/>
      <c r="CZ46" s="257"/>
      <c r="DA46" s="257"/>
      <c r="DB46" s="257"/>
      <c r="DC46" s="257"/>
      <c r="DD46" s="257"/>
      <c r="DE46" s="257"/>
      <c r="DF46" s="257"/>
      <c r="DG46" s="257"/>
      <c r="DH46" s="257"/>
      <c r="DI46" s="257"/>
      <c r="DJ46" s="257"/>
      <c r="DK46" s="257"/>
      <c r="DL46" s="257"/>
      <c r="DM46" s="257"/>
      <c r="DN46" s="257"/>
      <c r="DO46" s="257"/>
      <c r="DP46" s="257"/>
      <c r="DQ46" s="257"/>
      <c r="DR46" s="257"/>
      <c r="DS46" s="257"/>
      <c r="DT46" s="257"/>
      <c r="DU46" s="257"/>
      <c r="DV46" s="257"/>
    </row>
    <row r="47" spans="1:135" ht="15.65" customHeight="1" x14ac:dyDescent="0.35">
      <c r="A47" s="848" t="s">
        <v>337</v>
      </c>
      <c r="B47" s="849" t="s">
        <v>337</v>
      </c>
      <c r="C47" s="850" t="s">
        <v>205</v>
      </c>
      <c r="D47" s="848">
        <v>0</v>
      </c>
      <c r="E47" s="850" t="s">
        <v>202</v>
      </c>
      <c r="F47" s="3667"/>
      <c r="G47" s="3668"/>
      <c r="H47" s="867">
        <v>1732</v>
      </c>
      <c r="I47" s="884" t="s">
        <v>362</v>
      </c>
      <c r="J47" s="3667"/>
      <c r="K47" s="3668"/>
      <c r="L47" s="872" t="s">
        <v>358</v>
      </c>
      <c r="M47" s="3671"/>
      <c r="N47" s="883" t="s">
        <v>363</v>
      </c>
      <c r="O47" s="257"/>
      <c r="P47" s="257"/>
      <c r="Q47" s="257"/>
      <c r="R47" s="257"/>
      <c r="S47" s="257"/>
      <c r="T47" s="257"/>
      <c r="U47" s="257"/>
      <c r="V47" s="257"/>
      <c r="W47" s="257"/>
      <c r="X47" s="257"/>
      <c r="Y47" s="257"/>
      <c r="Z47" s="257"/>
      <c r="AA47" s="257"/>
      <c r="AB47" s="257"/>
      <c r="AC47" s="257"/>
      <c r="AD47" s="257"/>
      <c r="AE47" s="257"/>
      <c r="AF47" s="257"/>
      <c r="AG47" s="257"/>
      <c r="AH47" s="257"/>
      <c r="AI47" s="257"/>
      <c r="AJ47" s="257"/>
      <c r="AK47" s="257"/>
      <c r="AL47" s="257"/>
      <c r="AM47" s="257"/>
      <c r="AN47" s="257"/>
      <c r="AO47" s="257"/>
      <c r="AP47" s="257"/>
      <c r="AQ47" s="257"/>
      <c r="AR47" s="257"/>
      <c r="AS47" s="257"/>
      <c r="AT47" s="257"/>
      <c r="AU47" s="257"/>
      <c r="AV47" s="257"/>
      <c r="AW47" s="257"/>
      <c r="AX47" s="257"/>
      <c r="AY47" s="257"/>
      <c r="AZ47" s="257"/>
      <c r="BA47" s="257"/>
      <c r="BB47" s="257"/>
      <c r="BC47" s="257"/>
      <c r="BD47" s="257"/>
      <c r="BE47" s="257"/>
      <c r="BF47" s="257"/>
      <c r="BG47" s="257"/>
      <c r="BH47" s="257"/>
      <c r="BI47" s="257"/>
      <c r="BJ47" s="257"/>
      <c r="BK47" s="257"/>
      <c r="BL47" s="257"/>
      <c r="BM47" s="257"/>
      <c r="BN47" s="257"/>
      <c r="BO47" s="257"/>
      <c r="BP47" s="257"/>
      <c r="BQ47" s="257"/>
      <c r="BR47" s="257"/>
      <c r="BS47" s="257"/>
      <c r="BT47" s="257"/>
      <c r="BU47" s="257"/>
      <c r="BV47" s="257"/>
      <c r="BW47" s="257"/>
      <c r="BX47" s="257"/>
      <c r="BY47" s="257"/>
      <c r="BZ47" s="257"/>
      <c r="CA47" s="257"/>
      <c r="CB47" s="257"/>
      <c r="CC47" s="257"/>
      <c r="CD47" s="257"/>
      <c r="CE47" s="257"/>
      <c r="CF47" s="257"/>
      <c r="CG47" s="257"/>
      <c r="CH47" s="257"/>
      <c r="CI47" s="257"/>
      <c r="CJ47" s="257"/>
      <c r="CK47" s="257"/>
      <c r="CL47" s="257"/>
      <c r="CM47" s="257"/>
      <c r="CN47" s="257"/>
      <c r="CO47" s="257"/>
      <c r="CP47" s="257"/>
      <c r="CQ47" s="257"/>
      <c r="CR47" s="257"/>
      <c r="CS47" s="257"/>
      <c r="CT47" s="257"/>
      <c r="CU47" s="257"/>
      <c r="CV47" s="257"/>
      <c r="CW47" s="257"/>
      <c r="CX47" s="257"/>
      <c r="CY47" s="257"/>
      <c r="CZ47" s="257"/>
      <c r="DA47" s="257"/>
      <c r="DB47" s="257"/>
      <c r="DC47" s="257"/>
      <c r="DD47" s="257"/>
      <c r="DE47" s="257"/>
      <c r="DF47" s="257"/>
      <c r="DG47" s="257"/>
      <c r="DH47" s="257"/>
      <c r="DI47" s="257"/>
      <c r="DJ47" s="257"/>
      <c r="DK47" s="257"/>
      <c r="DL47" s="257"/>
      <c r="DM47" s="257"/>
      <c r="DN47" s="257"/>
      <c r="DO47" s="257"/>
      <c r="DP47" s="257"/>
      <c r="DQ47" s="257"/>
      <c r="DR47" s="257"/>
      <c r="DS47" s="257"/>
      <c r="DT47" s="257"/>
      <c r="DU47" s="257"/>
      <c r="DV47" s="257"/>
    </row>
    <row r="48" spans="1:135" ht="15.65" customHeight="1" x14ac:dyDescent="0.35">
      <c r="A48" s="848" t="s">
        <v>337</v>
      </c>
      <c r="B48" s="849" t="s">
        <v>337</v>
      </c>
      <c r="C48" s="850" t="s">
        <v>206</v>
      </c>
      <c r="D48" s="848" t="s">
        <v>337</v>
      </c>
      <c r="E48" s="850" t="s">
        <v>199</v>
      </c>
      <c r="F48" s="3667"/>
      <c r="G48" s="3668"/>
      <c r="H48" s="867">
        <v>1371</v>
      </c>
      <c r="I48" s="884" t="s">
        <v>364</v>
      </c>
      <c r="J48" s="3667"/>
      <c r="K48" s="3668"/>
      <c r="L48" s="872" t="s">
        <v>364</v>
      </c>
      <c r="M48" s="3671"/>
      <c r="N48" s="883" t="s">
        <v>365</v>
      </c>
      <c r="O48" s="257"/>
      <c r="P48" s="257"/>
      <c r="Q48" s="257"/>
      <c r="R48" s="257"/>
      <c r="S48" s="257"/>
      <c r="T48" s="257"/>
      <c r="U48" s="257"/>
      <c r="V48" s="257"/>
      <c r="W48" s="257"/>
      <c r="X48" s="257"/>
      <c r="Y48" s="257"/>
      <c r="Z48" s="257"/>
      <c r="AA48" s="257"/>
      <c r="AB48" s="257"/>
      <c r="AC48" s="257"/>
      <c r="AD48" s="257"/>
      <c r="AE48" s="257"/>
      <c r="AF48" s="257"/>
      <c r="AG48" s="257"/>
      <c r="AH48" s="257"/>
      <c r="AI48" s="257"/>
      <c r="AJ48" s="257"/>
      <c r="AK48" s="257"/>
      <c r="AL48" s="257"/>
      <c r="AM48" s="257"/>
      <c r="AN48" s="257"/>
      <c r="AO48" s="257"/>
      <c r="AP48" s="257"/>
      <c r="AQ48" s="257"/>
      <c r="AR48" s="257"/>
      <c r="AS48" s="257"/>
      <c r="AT48" s="257"/>
      <c r="AU48" s="257"/>
      <c r="AV48" s="257"/>
      <c r="AW48" s="257"/>
      <c r="AX48" s="257"/>
      <c r="AY48" s="257"/>
      <c r="AZ48" s="257"/>
      <c r="BA48" s="257"/>
      <c r="BB48" s="257"/>
      <c r="BC48" s="257"/>
      <c r="BD48" s="257"/>
      <c r="BE48" s="257"/>
      <c r="BF48" s="257"/>
      <c r="BG48" s="257"/>
      <c r="BH48" s="257"/>
      <c r="BI48" s="257"/>
      <c r="BJ48" s="257"/>
      <c r="BK48" s="257"/>
      <c r="BL48" s="257"/>
      <c r="BM48" s="257"/>
      <c r="BN48" s="257"/>
      <c r="BO48" s="257"/>
      <c r="BP48" s="257"/>
      <c r="BQ48" s="257"/>
      <c r="BR48" s="257"/>
      <c r="BS48" s="257"/>
      <c r="BT48" s="257"/>
      <c r="BU48" s="257"/>
      <c r="BV48" s="257"/>
      <c r="BW48" s="257"/>
      <c r="BX48" s="257"/>
      <c r="BY48" s="257"/>
      <c r="BZ48" s="257"/>
      <c r="CA48" s="257"/>
      <c r="CB48" s="257"/>
      <c r="CC48" s="257"/>
      <c r="CD48" s="257"/>
      <c r="CE48" s="257"/>
      <c r="CF48" s="257"/>
      <c r="CG48" s="257"/>
      <c r="CH48" s="257"/>
      <c r="CI48" s="257"/>
      <c r="CJ48" s="257"/>
      <c r="CK48" s="257"/>
      <c r="CL48" s="257"/>
      <c r="CM48" s="257"/>
      <c r="CN48" s="257"/>
      <c r="CO48" s="257"/>
      <c r="CP48" s="257"/>
      <c r="CQ48" s="257"/>
      <c r="CR48" s="257"/>
      <c r="CS48" s="257"/>
      <c r="CT48" s="257"/>
      <c r="CU48" s="257"/>
      <c r="CV48" s="257"/>
      <c r="CW48" s="257"/>
      <c r="CX48" s="257"/>
      <c r="CY48" s="257"/>
      <c r="CZ48" s="257"/>
      <c r="DA48" s="257"/>
      <c r="DB48" s="257"/>
      <c r="DC48" s="257"/>
      <c r="DD48" s="257"/>
      <c r="DE48" s="257"/>
      <c r="DF48" s="257"/>
      <c r="DG48" s="257"/>
      <c r="DH48" s="257"/>
      <c r="DI48" s="257"/>
      <c r="DJ48" s="257"/>
      <c r="DK48" s="257"/>
      <c r="DL48" s="257"/>
      <c r="DM48" s="257"/>
      <c r="DN48" s="257"/>
      <c r="DO48" s="257"/>
      <c r="DP48" s="257"/>
      <c r="DQ48" s="257"/>
      <c r="DR48" s="257"/>
      <c r="DS48" s="257"/>
      <c r="DT48" s="257"/>
      <c r="DU48" s="257"/>
      <c r="DV48" s="257"/>
    </row>
    <row r="49" spans="1:126" ht="15.65" customHeight="1" x14ac:dyDescent="0.35">
      <c r="A49" s="848" t="s">
        <v>337</v>
      </c>
      <c r="B49" s="849" t="s">
        <v>337</v>
      </c>
      <c r="C49" s="850" t="s">
        <v>209</v>
      </c>
      <c r="D49" s="848" t="s">
        <v>337</v>
      </c>
      <c r="E49" s="850" t="s">
        <v>202</v>
      </c>
      <c r="F49" s="3667"/>
      <c r="G49" s="3668"/>
      <c r="H49" s="867">
        <v>573</v>
      </c>
      <c r="I49" s="884" t="s">
        <v>364</v>
      </c>
      <c r="J49" s="3667"/>
      <c r="K49" s="3668"/>
      <c r="L49" s="872" t="s">
        <v>364</v>
      </c>
      <c r="M49" s="3671"/>
      <c r="N49" s="883" t="s">
        <v>365</v>
      </c>
      <c r="O49" s="257"/>
      <c r="P49" s="257"/>
      <c r="Q49" s="257"/>
      <c r="R49" s="257"/>
      <c r="S49" s="257"/>
      <c r="T49" s="257"/>
      <c r="U49" s="257"/>
      <c r="V49" s="257"/>
      <c r="W49" s="257"/>
      <c r="X49" s="257"/>
      <c r="Y49" s="257"/>
      <c r="Z49" s="257"/>
      <c r="AA49" s="257"/>
      <c r="AB49" s="257"/>
      <c r="AC49" s="257"/>
      <c r="AD49" s="257"/>
      <c r="AE49" s="257"/>
      <c r="AF49" s="257"/>
      <c r="AG49" s="257"/>
      <c r="AH49" s="257"/>
      <c r="AI49" s="257"/>
      <c r="AJ49" s="257"/>
      <c r="AK49" s="257"/>
      <c r="AL49" s="257"/>
      <c r="AM49" s="257"/>
      <c r="AN49" s="257"/>
      <c r="AO49" s="257"/>
      <c r="AP49" s="257"/>
      <c r="AQ49" s="257"/>
      <c r="AR49" s="257"/>
      <c r="AS49" s="257"/>
      <c r="AT49" s="257"/>
      <c r="AU49" s="257"/>
      <c r="AV49" s="257"/>
      <c r="AW49" s="257"/>
      <c r="AX49" s="257"/>
      <c r="AY49" s="257"/>
      <c r="AZ49" s="257"/>
      <c r="BA49" s="257"/>
      <c r="BB49" s="257"/>
      <c r="BC49" s="257"/>
      <c r="BD49" s="257"/>
      <c r="BE49" s="257"/>
      <c r="BF49" s="257"/>
      <c r="BG49" s="257"/>
      <c r="BH49" s="257"/>
      <c r="BI49" s="257"/>
      <c r="BJ49" s="257"/>
      <c r="BK49" s="257"/>
      <c r="BL49" s="257"/>
      <c r="BM49" s="257"/>
      <c r="BN49" s="257"/>
      <c r="BO49" s="257"/>
      <c r="BP49" s="257"/>
      <c r="BQ49" s="257"/>
      <c r="BR49" s="257"/>
      <c r="BS49" s="257"/>
      <c r="BT49" s="257"/>
      <c r="BU49" s="257"/>
      <c r="BV49" s="257"/>
      <c r="BW49" s="257"/>
      <c r="BX49" s="257"/>
      <c r="BY49" s="257"/>
      <c r="BZ49" s="257"/>
      <c r="CA49" s="257"/>
      <c r="CB49" s="257"/>
      <c r="CC49" s="257"/>
      <c r="CD49" s="257"/>
      <c r="CE49" s="257"/>
      <c r="CF49" s="257"/>
      <c r="CG49" s="257"/>
      <c r="CH49" s="257"/>
      <c r="CI49" s="257"/>
      <c r="CJ49" s="257"/>
      <c r="CK49" s="257"/>
      <c r="CL49" s="257"/>
      <c r="CM49" s="257"/>
      <c r="CN49" s="257"/>
      <c r="CO49" s="257"/>
      <c r="CP49" s="257"/>
      <c r="CQ49" s="257"/>
      <c r="CR49" s="257"/>
      <c r="CS49" s="257"/>
      <c r="CT49" s="257"/>
      <c r="CU49" s="257"/>
      <c r="CV49" s="257"/>
      <c r="CW49" s="257"/>
      <c r="CX49" s="257"/>
      <c r="CY49" s="257"/>
      <c r="CZ49" s="257"/>
      <c r="DA49" s="257"/>
      <c r="DB49" s="257"/>
      <c r="DC49" s="257"/>
      <c r="DD49" s="257"/>
      <c r="DE49" s="257"/>
      <c r="DF49" s="257"/>
      <c r="DG49" s="257"/>
      <c r="DH49" s="257"/>
      <c r="DI49" s="257"/>
      <c r="DJ49" s="257"/>
      <c r="DK49" s="257"/>
      <c r="DL49" s="257"/>
      <c r="DM49" s="257"/>
      <c r="DN49" s="257"/>
      <c r="DO49" s="257"/>
      <c r="DP49" s="257"/>
      <c r="DQ49" s="257"/>
      <c r="DR49" s="257"/>
      <c r="DS49" s="257"/>
      <c r="DT49" s="257"/>
      <c r="DU49" s="257"/>
      <c r="DV49" s="257"/>
    </row>
    <row r="50" spans="1:126" ht="13.15" customHeight="1" x14ac:dyDescent="0.35">
      <c r="A50" s="848" t="s">
        <v>337</v>
      </c>
      <c r="B50" s="849" t="s">
        <v>337</v>
      </c>
      <c r="C50" s="850" t="s">
        <v>210</v>
      </c>
      <c r="D50" s="848">
        <v>0</v>
      </c>
      <c r="E50" s="850" t="s">
        <v>199</v>
      </c>
      <c r="F50" s="3667"/>
      <c r="G50" s="3668"/>
      <c r="H50" s="867">
        <v>2000</v>
      </c>
      <c r="I50" s="884" t="s">
        <v>362</v>
      </c>
      <c r="J50" s="3667"/>
      <c r="K50" s="3668"/>
      <c r="L50" s="872" t="s">
        <v>358</v>
      </c>
      <c r="M50" s="3671"/>
      <c r="N50" s="883" t="s">
        <v>337</v>
      </c>
      <c r="O50" s="257"/>
      <c r="P50" s="257"/>
      <c r="Q50" s="257"/>
      <c r="R50" s="257"/>
      <c r="S50" s="257"/>
      <c r="T50" s="257"/>
      <c r="U50" s="257"/>
      <c r="V50" s="257"/>
      <c r="W50" s="257"/>
      <c r="X50" s="257"/>
      <c r="Y50" s="257"/>
      <c r="Z50" s="257"/>
      <c r="AA50" s="257"/>
      <c r="AB50" s="257"/>
      <c r="AC50" s="257"/>
      <c r="AD50" s="257"/>
      <c r="AE50" s="257"/>
      <c r="AF50" s="257"/>
      <c r="AG50" s="257"/>
      <c r="AH50" s="257"/>
      <c r="AI50" s="257"/>
      <c r="AJ50" s="257"/>
      <c r="AK50" s="257"/>
      <c r="AL50" s="257"/>
      <c r="AM50" s="257"/>
      <c r="AN50" s="257"/>
      <c r="AO50" s="257"/>
      <c r="AP50" s="257"/>
      <c r="AQ50" s="257"/>
      <c r="AR50" s="257"/>
      <c r="AS50" s="257"/>
      <c r="AT50" s="257"/>
      <c r="AU50" s="257"/>
      <c r="AV50" s="257"/>
      <c r="AW50" s="257"/>
      <c r="AX50" s="257"/>
      <c r="AY50" s="257"/>
      <c r="AZ50" s="257"/>
      <c r="BA50" s="257"/>
      <c r="BB50" s="257"/>
      <c r="BC50" s="257"/>
      <c r="BD50" s="257"/>
      <c r="BE50" s="257"/>
      <c r="BF50" s="257"/>
      <c r="BG50" s="257"/>
      <c r="BH50" s="257"/>
      <c r="BI50" s="257"/>
      <c r="BJ50" s="257"/>
      <c r="BK50" s="257"/>
      <c r="BL50" s="257"/>
      <c r="BM50" s="257"/>
      <c r="BN50" s="257"/>
      <c r="BO50" s="257"/>
      <c r="BP50" s="257"/>
      <c r="BQ50" s="257"/>
      <c r="BR50" s="257"/>
      <c r="BS50" s="257"/>
      <c r="BT50" s="257"/>
      <c r="BU50" s="257"/>
      <c r="BV50" s="257"/>
      <c r="BW50" s="257"/>
      <c r="BX50" s="257"/>
      <c r="BY50" s="257"/>
      <c r="BZ50" s="257"/>
      <c r="CA50" s="257"/>
      <c r="CB50" s="257"/>
      <c r="CC50" s="257"/>
      <c r="CD50" s="257"/>
      <c r="CE50" s="257"/>
      <c r="CF50" s="257"/>
      <c r="CG50" s="257"/>
      <c r="CH50" s="257"/>
      <c r="CI50" s="257"/>
      <c r="CJ50" s="257"/>
      <c r="CK50" s="257"/>
      <c r="CL50" s="257"/>
      <c r="CM50" s="257"/>
      <c r="CN50" s="257"/>
      <c r="CO50" s="257"/>
      <c r="CP50" s="257"/>
      <c r="CQ50" s="257"/>
      <c r="CR50" s="257"/>
      <c r="CS50" s="257"/>
      <c r="CT50" s="257"/>
      <c r="CU50" s="257"/>
      <c r="CV50" s="257"/>
      <c r="CW50" s="257"/>
      <c r="CX50" s="257"/>
      <c r="CY50" s="257"/>
      <c r="CZ50" s="257"/>
      <c r="DA50" s="257"/>
      <c r="DB50" s="257"/>
      <c r="DC50" s="257"/>
      <c r="DD50" s="257"/>
      <c r="DE50" s="257"/>
      <c r="DF50" s="257"/>
      <c r="DG50" s="257"/>
      <c r="DH50" s="257"/>
      <c r="DI50" s="257"/>
      <c r="DJ50" s="257"/>
      <c r="DK50" s="257"/>
      <c r="DL50" s="257"/>
      <c r="DM50" s="257"/>
      <c r="DN50" s="257"/>
      <c r="DO50" s="257"/>
      <c r="DP50" s="257"/>
      <c r="DQ50" s="257"/>
      <c r="DR50" s="257"/>
      <c r="DS50" s="257"/>
      <c r="DT50" s="257"/>
      <c r="DU50" s="257"/>
      <c r="DV50" s="257"/>
    </row>
    <row r="51" spans="1:126" ht="13.15" customHeight="1" x14ac:dyDescent="0.35">
      <c r="A51" s="848" t="s">
        <v>337</v>
      </c>
      <c r="B51" s="849" t="s">
        <v>337</v>
      </c>
      <c r="C51" s="850" t="s">
        <v>211</v>
      </c>
      <c r="D51" s="848">
        <v>20.7</v>
      </c>
      <c r="E51" s="850" t="s">
        <v>202</v>
      </c>
      <c r="F51" s="3667"/>
      <c r="G51" s="3668"/>
      <c r="H51" s="867">
        <v>250</v>
      </c>
      <c r="I51" s="882">
        <v>5183</v>
      </c>
      <c r="J51" s="3667"/>
      <c r="K51" s="3668"/>
      <c r="L51" s="869">
        <v>5183</v>
      </c>
      <c r="M51" s="3671"/>
      <c r="N51" s="883" t="s">
        <v>337</v>
      </c>
      <c r="O51" s="257"/>
      <c r="P51" s="257"/>
      <c r="Q51" s="257"/>
      <c r="R51" s="257"/>
      <c r="S51" s="257"/>
      <c r="T51" s="257"/>
      <c r="U51" s="257"/>
      <c r="V51" s="257"/>
      <c r="W51" s="257"/>
      <c r="X51" s="257"/>
      <c r="Y51" s="257"/>
      <c r="Z51" s="257"/>
      <c r="AA51" s="257"/>
      <c r="AB51" s="257"/>
      <c r="AC51" s="257"/>
      <c r="AD51" s="257"/>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7"/>
      <c r="BB51" s="257"/>
      <c r="BC51" s="257"/>
      <c r="BD51" s="257"/>
      <c r="BE51" s="257"/>
      <c r="BF51" s="257"/>
      <c r="BG51" s="257"/>
      <c r="BH51" s="257"/>
      <c r="BI51" s="257"/>
      <c r="BJ51" s="257"/>
      <c r="BK51" s="257"/>
      <c r="BL51" s="257"/>
      <c r="BM51" s="257"/>
      <c r="BN51" s="257"/>
      <c r="BO51" s="257"/>
      <c r="BP51" s="257"/>
      <c r="BQ51" s="257"/>
      <c r="BR51" s="257"/>
      <c r="BS51" s="257"/>
      <c r="BT51" s="257"/>
      <c r="BU51" s="257"/>
      <c r="BV51" s="257"/>
      <c r="BW51" s="257"/>
      <c r="BX51" s="257"/>
      <c r="BY51" s="257"/>
      <c r="BZ51" s="257"/>
      <c r="CA51" s="257"/>
      <c r="CB51" s="257"/>
      <c r="CC51" s="257"/>
      <c r="CD51" s="257"/>
      <c r="CE51" s="257"/>
      <c r="CF51" s="257"/>
      <c r="CG51" s="257"/>
      <c r="CH51" s="257"/>
      <c r="CI51" s="257"/>
      <c r="CJ51" s="257"/>
      <c r="CK51" s="257"/>
      <c r="CL51" s="257"/>
      <c r="CM51" s="257"/>
      <c r="CN51" s="257"/>
      <c r="CO51" s="257"/>
      <c r="CP51" s="257"/>
      <c r="CQ51" s="257"/>
      <c r="CR51" s="257"/>
      <c r="CS51" s="257"/>
      <c r="CT51" s="257"/>
      <c r="CU51" s="257"/>
      <c r="CV51" s="257"/>
      <c r="CW51" s="257"/>
      <c r="CX51" s="257"/>
      <c r="CY51" s="257"/>
      <c r="CZ51" s="257"/>
      <c r="DA51" s="257"/>
      <c r="DB51" s="257"/>
      <c r="DC51" s="257"/>
      <c r="DD51" s="257"/>
      <c r="DE51" s="257"/>
      <c r="DF51" s="257"/>
      <c r="DG51" s="257"/>
      <c r="DH51" s="257"/>
      <c r="DI51" s="257"/>
      <c r="DJ51" s="257"/>
      <c r="DK51" s="257"/>
      <c r="DL51" s="257"/>
      <c r="DM51" s="257"/>
      <c r="DN51" s="257"/>
      <c r="DO51" s="257"/>
      <c r="DP51" s="257"/>
      <c r="DQ51" s="257"/>
      <c r="DR51" s="257"/>
      <c r="DS51" s="257"/>
      <c r="DT51" s="257"/>
      <c r="DU51" s="257"/>
      <c r="DV51" s="257"/>
    </row>
    <row r="52" spans="1:126" x14ac:dyDescent="0.35">
      <c r="A52" s="848" t="s">
        <v>337</v>
      </c>
      <c r="B52" s="849" t="s">
        <v>337</v>
      </c>
      <c r="C52" s="850" t="s">
        <v>212</v>
      </c>
      <c r="D52" s="848">
        <v>20.7</v>
      </c>
      <c r="E52" s="850" t="s">
        <v>202</v>
      </c>
      <c r="F52" s="3667"/>
      <c r="G52" s="3668"/>
      <c r="H52" s="866" t="s">
        <v>366</v>
      </c>
      <c r="I52" s="884" t="s">
        <v>362</v>
      </c>
      <c r="J52" s="3667"/>
      <c r="K52" s="3668"/>
      <c r="L52" s="872" t="s">
        <v>358</v>
      </c>
      <c r="M52" s="3671"/>
      <c r="N52" s="883" t="s">
        <v>367</v>
      </c>
      <c r="O52" s="257"/>
      <c r="P52" s="257"/>
      <c r="Q52" s="257"/>
      <c r="R52" s="257"/>
      <c r="S52" s="257"/>
      <c r="T52" s="257"/>
      <c r="U52" s="257"/>
      <c r="V52" s="257"/>
      <c r="W52" s="257"/>
      <c r="X52" s="257"/>
      <c r="Y52" s="257"/>
      <c r="Z52" s="257"/>
      <c r="AA52" s="257"/>
      <c r="AB52" s="257"/>
      <c r="AC52" s="257"/>
      <c r="AD52" s="257"/>
      <c r="AE52" s="257"/>
      <c r="AF52" s="257"/>
      <c r="AG52" s="257"/>
      <c r="AH52" s="257"/>
      <c r="AI52" s="257"/>
      <c r="AJ52" s="257"/>
      <c r="AK52" s="257"/>
      <c r="AL52" s="257"/>
      <c r="AM52" s="257"/>
      <c r="AN52" s="257"/>
      <c r="AO52" s="257"/>
      <c r="AP52" s="257"/>
      <c r="AQ52" s="257"/>
      <c r="AR52" s="257"/>
      <c r="AS52" s="257"/>
      <c r="AT52" s="257"/>
      <c r="AU52" s="257"/>
      <c r="AV52" s="257"/>
      <c r="AW52" s="257"/>
      <c r="AX52" s="257"/>
      <c r="AY52" s="257"/>
      <c r="AZ52" s="257"/>
      <c r="BA52" s="257"/>
      <c r="BB52" s="257"/>
      <c r="BC52" s="257"/>
      <c r="BD52" s="257"/>
      <c r="BE52" s="257"/>
      <c r="BF52" s="257"/>
      <c r="BG52" s="257"/>
      <c r="BH52" s="257"/>
      <c r="BI52" s="257"/>
      <c r="BJ52" s="257"/>
      <c r="BK52" s="257"/>
      <c r="BL52" s="257"/>
      <c r="BM52" s="257"/>
      <c r="BN52" s="257"/>
      <c r="BO52" s="257"/>
      <c r="BP52" s="257"/>
      <c r="BQ52" s="257"/>
      <c r="BR52" s="257"/>
      <c r="BS52" s="257"/>
      <c r="BT52" s="257"/>
      <c r="BU52" s="257"/>
      <c r="BV52" s="257"/>
      <c r="BW52" s="257"/>
      <c r="BX52" s="257"/>
      <c r="BY52" s="257"/>
      <c r="BZ52" s="257"/>
      <c r="CA52" s="257"/>
      <c r="CB52" s="257"/>
      <c r="CC52" s="257"/>
      <c r="CD52" s="257"/>
      <c r="CE52" s="257"/>
      <c r="CF52" s="257"/>
      <c r="CG52" s="257"/>
      <c r="CH52" s="257"/>
      <c r="CI52" s="257"/>
      <c r="CJ52" s="257"/>
      <c r="CK52" s="257"/>
      <c r="CL52" s="257"/>
      <c r="CM52" s="257"/>
      <c r="CN52" s="257"/>
      <c r="CO52" s="257"/>
      <c r="CP52" s="257"/>
      <c r="CQ52" s="257"/>
      <c r="CR52" s="257"/>
      <c r="CS52" s="257"/>
      <c r="CT52" s="257"/>
      <c r="CU52" s="257"/>
      <c r="CV52" s="257"/>
      <c r="CW52" s="257"/>
      <c r="CX52" s="257"/>
      <c r="CY52" s="257"/>
      <c r="CZ52" s="257"/>
      <c r="DA52" s="257"/>
      <c r="DB52" s="257"/>
      <c r="DC52" s="257"/>
      <c r="DD52" s="257"/>
      <c r="DE52" s="257"/>
      <c r="DF52" s="257"/>
      <c r="DG52" s="257"/>
      <c r="DH52" s="257"/>
      <c r="DI52" s="257"/>
      <c r="DJ52" s="257"/>
      <c r="DK52" s="257"/>
      <c r="DL52" s="257"/>
      <c r="DM52" s="257"/>
      <c r="DN52" s="257"/>
      <c r="DO52" s="257"/>
      <c r="DP52" s="257"/>
      <c r="DQ52" s="257"/>
      <c r="DR52" s="257"/>
      <c r="DS52" s="257"/>
      <c r="DT52" s="257"/>
      <c r="DU52" s="257"/>
      <c r="DV52" s="257"/>
    </row>
    <row r="53" spans="1:126" ht="13.15" customHeight="1" x14ac:dyDescent="0.35">
      <c r="A53" s="848" t="s">
        <v>337</v>
      </c>
      <c r="B53" s="849" t="s">
        <v>337</v>
      </c>
      <c r="C53" s="850" t="s">
        <v>214</v>
      </c>
      <c r="D53" s="848">
        <v>0</v>
      </c>
      <c r="E53" s="850" t="s">
        <v>215</v>
      </c>
      <c r="F53" s="3667"/>
      <c r="G53" s="3668"/>
      <c r="H53" s="867">
        <v>2000</v>
      </c>
      <c r="I53" s="884" t="s">
        <v>362</v>
      </c>
      <c r="J53" s="3667"/>
      <c r="K53" s="3668"/>
      <c r="L53" s="872" t="s">
        <v>358</v>
      </c>
      <c r="M53" s="3671"/>
      <c r="N53" s="883" t="s">
        <v>337</v>
      </c>
      <c r="O53" s="257"/>
      <c r="P53" s="257"/>
      <c r="Q53" s="257"/>
      <c r="R53" s="257"/>
      <c r="S53" s="257"/>
      <c r="T53" s="257"/>
      <c r="U53" s="257"/>
      <c r="V53" s="257"/>
      <c r="W53" s="257"/>
      <c r="X53" s="257"/>
      <c r="Y53" s="257"/>
      <c r="Z53" s="257"/>
      <c r="AA53" s="257"/>
      <c r="AB53" s="257"/>
      <c r="AC53" s="257"/>
      <c r="AD53" s="257"/>
      <c r="AE53" s="257"/>
      <c r="AF53" s="257"/>
      <c r="AG53" s="257"/>
      <c r="AH53" s="257"/>
      <c r="AI53" s="257"/>
      <c r="AJ53" s="257"/>
      <c r="AK53" s="257"/>
      <c r="AL53" s="257"/>
      <c r="AM53" s="257"/>
      <c r="AN53" s="257"/>
      <c r="AO53" s="257"/>
      <c r="AP53" s="257"/>
      <c r="AQ53" s="257"/>
      <c r="AR53" s="257"/>
      <c r="AS53" s="257"/>
      <c r="AT53" s="257"/>
      <c r="AU53" s="257"/>
      <c r="AV53" s="257"/>
      <c r="AW53" s="257"/>
      <c r="AX53" s="257"/>
      <c r="AY53" s="257"/>
      <c r="AZ53" s="257"/>
      <c r="BA53" s="257"/>
      <c r="BB53" s="257"/>
      <c r="BC53" s="257"/>
      <c r="BD53" s="257"/>
      <c r="BE53" s="257"/>
      <c r="BF53" s="257"/>
      <c r="BG53" s="257"/>
      <c r="BH53" s="257"/>
      <c r="BI53" s="257"/>
      <c r="BJ53" s="257"/>
      <c r="BK53" s="257"/>
      <c r="BL53" s="257"/>
      <c r="BM53" s="257"/>
      <c r="BN53" s="257"/>
      <c r="BO53" s="257"/>
      <c r="BP53" s="257"/>
      <c r="BQ53" s="257"/>
      <c r="BR53" s="257"/>
      <c r="BS53" s="257"/>
      <c r="BT53" s="257"/>
      <c r="BU53" s="257"/>
      <c r="BV53" s="257"/>
      <c r="BW53" s="257"/>
      <c r="BX53" s="257"/>
      <c r="BY53" s="257"/>
      <c r="BZ53" s="257"/>
      <c r="CA53" s="257"/>
      <c r="CB53" s="257"/>
      <c r="CC53" s="257"/>
      <c r="CD53" s="257"/>
      <c r="CE53" s="257"/>
      <c r="CF53" s="257"/>
      <c r="CG53" s="257"/>
      <c r="CH53" s="257"/>
      <c r="CI53" s="257"/>
      <c r="CJ53" s="257"/>
      <c r="CK53" s="257"/>
      <c r="CL53" s="257"/>
      <c r="CM53" s="257"/>
      <c r="CN53" s="257"/>
      <c r="CO53" s="257"/>
      <c r="CP53" s="257"/>
      <c r="CQ53" s="257"/>
      <c r="CR53" s="257"/>
      <c r="CS53" s="257"/>
      <c r="CT53" s="257"/>
      <c r="CU53" s="257"/>
      <c r="CV53" s="257"/>
      <c r="CW53" s="257"/>
      <c r="CX53" s="257"/>
      <c r="CY53" s="257"/>
      <c r="CZ53" s="257"/>
      <c r="DA53" s="257"/>
      <c r="DB53" s="257"/>
      <c r="DC53" s="257"/>
      <c r="DD53" s="257"/>
      <c r="DE53" s="257"/>
      <c r="DF53" s="257"/>
      <c r="DG53" s="257"/>
      <c r="DH53" s="257"/>
      <c r="DI53" s="257"/>
      <c r="DJ53" s="257"/>
      <c r="DK53" s="257"/>
      <c r="DL53" s="257"/>
      <c r="DM53" s="257"/>
      <c r="DN53" s="257"/>
      <c r="DO53" s="257"/>
      <c r="DP53" s="257"/>
      <c r="DQ53" s="257"/>
      <c r="DR53" s="257"/>
      <c r="DS53" s="257"/>
      <c r="DT53" s="257"/>
      <c r="DU53" s="257"/>
      <c r="DV53" s="257"/>
    </row>
    <row r="54" spans="1:126" x14ac:dyDescent="0.35">
      <c r="A54" s="848" t="s">
        <v>337</v>
      </c>
      <c r="B54" s="849" t="s">
        <v>337</v>
      </c>
      <c r="C54" s="850" t="s">
        <v>216</v>
      </c>
      <c r="D54" s="848">
        <v>20.7</v>
      </c>
      <c r="E54" s="850" t="s">
        <v>202</v>
      </c>
      <c r="F54" s="3667"/>
      <c r="G54" s="3668"/>
      <c r="H54" s="867">
        <v>100</v>
      </c>
      <c r="I54" s="882">
        <v>2073</v>
      </c>
      <c r="J54" s="3667"/>
      <c r="K54" s="3668"/>
      <c r="L54" s="869">
        <v>2073</v>
      </c>
      <c r="M54" s="3671"/>
      <c r="N54" s="883" t="s">
        <v>337</v>
      </c>
      <c r="O54" s="257"/>
      <c r="P54" s="257"/>
      <c r="Q54" s="257"/>
      <c r="R54" s="257"/>
      <c r="S54" s="257"/>
      <c r="T54" s="257"/>
      <c r="U54" s="257"/>
      <c r="V54" s="257"/>
      <c r="W54" s="257"/>
      <c r="X54" s="257"/>
      <c r="Y54" s="257"/>
      <c r="Z54" s="257"/>
      <c r="AA54" s="257"/>
      <c r="AB54" s="257"/>
      <c r="AC54" s="257"/>
      <c r="AD54" s="257"/>
      <c r="AE54" s="257"/>
      <c r="AF54" s="257"/>
      <c r="AG54" s="257"/>
      <c r="AH54" s="257"/>
      <c r="AI54" s="257"/>
      <c r="AJ54" s="257"/>
      <c r="AK54" s="257"/>
      <c r="AL54" s="257"/>
      <c r="AM54" s="257"/>
      <c r="AN54" s="257"/>
      <c r="AO54" s="257"/>
      <c r="AP54" s="257"/>
      <c r="AQ54" s="257"/>
      <c r="AR54" s="257"/>
      <c r="AS54" s="257"/>
      <c r="AT54" s="257"/>
      <c r="AU54" s="257"/>
      <c r="AV54" s="257"/>
      <c r="AW54" s="257"/>
      <c r="AX54" s="257"/>
      <c r="AY54" s="257"/>
      <c r="AZ54" s="257"/>
      <c r="BA54" s="257"/>
      <c r="BB54" s="257"/>
      <c r="BC54" s="257"/>
      <c r="BD54" s="257"/>
      <c r="BE54" s="257"/>
      <c r="BF54" s="257"/>
      <c r="BG54" s="257"/>
      <c r="BH54" s="257"/>
      <c r="BI54" s="257"/>
      <c r="BJ54" s="257"/>
      <c r="BK54" s="257"/>
      <c r="BL54" s="257"/>
      <c r="BM54" s="257"/>
      <c r="BN54" s="257"/>
      <c r="BO54" s="257"/>
      <c r="BP54" s="257"/>
      <c r="BQ54" s="257"/>
      <c r="BR54" s="257"/>
      <c r="BS54" s="257"/>
      <c r="BT54" s="257"/>
      <c r="BU54" s="257"/>
      <c r="BV54" s="257"/>
      <c r="BW54" s="257"/>
      <c r="BX54" s="257"/>
      <c r="BY54" s="257"/>
      <c r="BZ54" s="257"/>
      <c r="CA54" s="257"/>
      <c r="CB54" s="257"/>
      <c r="CC54" s="257"/>
      <c r="CD54" s="257"/>
      <c r="CE54" s="257"/>
      <c r="CF54" s="257"/>
      <c r="CG54" s="257"/>
      <c r="CH54" s="257"/>
      <c r="CI54" s="257"/>
      <c r="CJ54" s="257"/>
      <c r="CK54" s="257"/>
      <c r="CL54" s="257"/>
      <c r="CM54" s="257"/>
      <c r="CN54" s="257"/>
      <c r="CO54" s="257"/>
      <c r="CP54" s="257"/>
      <c r="CQ54" s="257"/>
      <c r="CR54" s="257"/>
      <c r="CS54" s="257"/>
      <c r="CT54" s="257"/>
      <c r="CU54" s="257"/>
      <c r="CV54" s="257"/>
      <c r="CW54" s="257"/>
      <c r="CX54" s="257"/>
      <c r="CY54" s="257"/>
      <c r="CZ54" s="257"/>
      <c r="DA54" s="257"/>
      <c r="DB54" s="257"/>
      <c r="DC54" s="257"/>
      <c r="DD54" s="257"/>
      <c r="DE54" s="257"/>
      <c r="DF54" s="257"/>
      <c r="DG54" s="257"/>
      <c r="DH54" s="257"/>
      <c r="DI54" s="257"/>
      <c r="DJ54" s="257"/>
      <c r="DK54" s="257"/>
      <c r="DL54" s="257"/>
      <c r="DM54" s="257"/>
      <c r="DN54" s="257"/>
      <c r="DO54" s="257"/>
      <c r="DP54" s="257"/>
      <c r="DQ54" s="257"/>
      <c r="DR54" s="257"/>
      <c r="DS54" s="257"/>
      <c r="DT54" s="257"/>
      <c r="DU54" s="257"/>
      <c r="DV54" s="257"/>
    </row>
    <row r="55" spans="1:126" x14ac:dyDescent="0.35">
      <c r="A55" s="848" t="s">
        <v>337</v>
      </c>
      <c r="B55" s="849" t="s">
        <v>337</v>
      </c>
      <c r="C55" s="850" t="s">
        <v>217</v>
      </c>
      <c r="D55" s="848">
        <v>20.7</v>
      </c>
      <c r="E55" s="850" t="s">
        <v>202</v>
      </c>
      <c r="F55" s="3667"/>
      <c r="G55" s="3668"/>
      <c r="H55" s="867">
        <v>50</v>
      </c>
      <c r="I55" s="882">
        <v>1037</v>
      </c>
      <c r="J55" s="3667"/>
      <c r="K55" s="3668"/>
      <c r="L55" s="869">
        <v>1037</v>
      </c>
      <c r="M55" s="3671"/>
      <c r="N55" s="883" t="s">
        <v>337</v>
      </c>
      <c r="O55" s="257"/>
      <c r="P55" s="257"/>
      <c r="Q55" s="257"/>
      <c r="R55" s="257"/>
      <c r="S55" s="257"/>
      <c r="T55" s="257"/>
      <c r="U55" s="257"/>
      <c r="V55" s="257"/>
      <c r="W55" s="257"/>
      <c r="X55" s="257"/>
      <c r="Y55" s="257"/>
      <c r="Z55" s="257"/>
      <c r="AA55" s="257"/>
      <c r="AB55" s="257"/>
      <c r="AC55" s="257"/>
      <c r="AD55" s="257"/>
      <c r="AE55" s="257"/>
      <c r="AF55" s="257"/>
      <c r="AG55" s="257"/>
      <c r="AH55" s="257"/>
      <c r="AI55" s="257"/>
      <c r="AJ55" s="257"/>
      <c r="AK55" s="257"/>
      <c r="AL55" s="257"/>
      <c r="AM55" s="257"/>
      <c r="AN55" s="257"/>
      <c r="AO55" s="257"/>
      <c r="AP55" s="257"/>
      <c r="AQ55" s="257"/>
      <c r="AR55" s="257"/>
      <c r="AS55" s="257"/>
      <c r="AT55" s="257"/>
      <c r="AU55" s="257"/>
      <c r="AV55" s="257"/>
      <c r="AW55" s="257"/>
      <c r="AX55" s="257"/>
      <c r="AY55" s="257"/>
      <c r="AZ55" s="257"/>
      <c r="BA55" s="257"/>
      <c r="BB55" s="257"/>
      <c r="BC55" s="257"/>
      <c r="BD55" s="257"/>
      <c r="BE55" s="257"/>
      <c r="BF55" s="257"/>
      <c r="BG55" s="257"/>
      <c r="BH55" s="257"/>
      <c r="BI55" s="257"/>
      <c r="BJ55" s="257"/>
      <c r="BK55" s="257"/>
      <c r="BL55" s="257"/>
      <c r="BM55" s="257"/>
      <c r="BN55" s="257"/>
      <c r="BO55" s="257"/>
      <c r="BP55" s="257"/>
      <c r="BQ55" s="257"/>
      <c r="BR55" s="257"/>
      <c r="BS55" s="257"/>
      <c r="BT55" s="257"/>
      <c r="BU55" s="257"/>
      <c r="BV55" s="257"/>
      <c r="BW55" s="257"/>
      <c r="BX55" s="257"/>
      <c r="BY55" s="257"/>
      <c r="BZ55" s="257"/>
      <c r="CA55" s="257"/>
      <c r="CB55" s="257"/>
      <c r="CC55" s="257"/>
      <c r="CD55" s="257"/>
      <c r="CE55" s="257"/>
      <c r="CF55" s="257"/>
      <c r="CG55" s="257"/>
      <c r="CH55" s="257"/>
      <c r="CI55" s="257"/>
      <c r="CJ55" s="257"/>
      <c r="CK55" s="257"/>
      <c r="CL55" s="257"/>
      <c r="CM55" s="257"/>
      <c r="CN55" s="257"/>
      <c r="CO55" s="257"/>
      <c r="CP55" s="257"/>
      <c r="CQ55" s="257"/>
      <c r="CR55" s="257"/>
      <c r="CS55" s="257"/>
      <c r="CT55" s="257"/>
      <c r="CU55" s="257"/>
      <c r="CV55" s="257"/>
      <c r="CW55" s="257"/>
      <c r="CX55" s="257"/>
      <c r="CY55" s="257"/>
      <c r="CZ55" s="257"/>
      <c r="DA55" s="257"/>
      <c r="DB55" s="257"/>
      <c r="DC55" s="257"/>
      <c r="DD55" s="257"/>
      <c r="DE55" s="257"/>
      <c r="DF55" s="257"/>
      <c r="DG55" s="257"/>
      <c r="DH55" s="257"/>
      <c r="DI55" s="257"/>
      <c r="DJ55" s="257"/>
      <c r="DK55" s="257"/>
      <c r="DL55" s="257"/>
      <c r="DM55" s="257"/>
      <c r="DN55" s="257"/>
      <c r="DO55" s="257"/>
      <c r="DP55" s="257"/>
      <c r="DQ55" s="257"/>
      <c r="DR55" s="257"/>
      <c r="DS55" s="257"/>
      <c r="DT55" s="257"/>
      <c r="DU55" s="257"/>
      <c r="DV55" s="257"/>
    </row>
    <row r="56" spans="1:126" x14ac:dyDescent="0.35">
      <c r="A56" s="848" t="s">
        <v>337</v>
      </c>
      <c r="B56" s="849" t="s">
        <v>337</v>
      </c>
      <c r="C56" s="850" t="s">
        <v>218</v>
      </c>
      <c r="D56" s="848">
        <v>20.7</v>
      </c>
      <c r="E56" s="850" t="s">
        <v>202</v>
      </c>
      <c r="F56" s="3667"/>
      <c r="G56" s="3668"/>
      <c r="H56" s="867">
        <v>250</v>
      </c>
      <c r="I56" s="882">
        <v>5183</v>
      </c>
      <c r="J56" s="3667"/>
      <c r="K56" s="3668"/>
      <c r="L56" s="869">
        <v>5183</v>
      </c>
      <c r="M56" s="3671"/>
      <c r="N56" s="883" t="s">
        <v>337</v>
      </c>
      <c r="O56" s="257"/>
      <c r="P56" s="257"/>
      <c r="Q56" s="257"/>
      <c r="R56" s="257"/>
      <c r="S56" s="257"/>
      <c r="T56" s="257"/>
      <c r="U56" s="257"/>
      <c r="V56" s="257"/>
      <c r="W56" s="257"/>
      <c r="X56" s="257"/>
      <c r="Y56" s="257"/>
      <c r="Z56" s="257"/>
      <c r="AA56" s="257"/>
      <c r="AB56" s="257"/>
      <c r="AC56" s="257"/>
      <c r="AD56" s="257"/>
      <c r="AE56" s="257"/>
      <c r="AF56" s="257"/>
      <c r="AG56" s="257"/>
      <c r="AH56" s="257"/>
      <c r="AI56" s="257"/>
      <c r="AJ56" s="257"/>
      <c r="AK56" s="257"/>
      <c r="AL56" s="257"/>
      <c r="AM56" s="257"/>
      <c r="AN56" s="257"/>
      <c r="AO56" s="257"/>
      <c r="AP56" s="257"/>
      <c r="AQ56" s="257"/>
      <c r="AR56" s="257"/>
      <c r="AS56" s="257"/>
      <c r="AT56" s="257"/>
      <c r="AU56" s="257"/>
      <c r="AV56" s="257"/>
      <c r="AW56" s="257"/>
      <c r="AX56" s="257"/>
      <c r="AY56" s="257"/>
      <c r="AZ56" s="257"/>
      <c r="BA56" s="257"/>
      <c r="BB56" s="257"/>
      <c r="BC56" s="257"/>
      <c r="BD56" s="257"/>
      <c r="BE56" s="257"/>
      <c r="BF56" s="257"/>
      <c r="BG56" s="257"/>
      <c r="BH56" s="257"/>
      <c r="BI56" s="257"/>
      <c r="BJ56" s="257"/>
      <c r="BK56" s="257"/>
      <c r="BL56" s="257"/>
      <c r="BM56" s="257"/>
      <c r="BN56" s="257"/>
      <c r="BO56" s="257"/>
      <c r="BP56" s="257"/>
      <c r="BQ56" s="257"/>
      <c r="BR56" s="257"/>
      <c r="BS56" s="257"/>
      <c r="BT56" s="257"/>
      <c r="BU56" s="257"/>
      <c r="BV56" s="257"/>
      <c r="BW56" s="257"/>
      <c r="BX56" s="257"/>
      <c r="BY56" s="257"/>
      <c r="BZ56" s="257"/>
      <c r="CA56" s="257"/>
      <c r="CB56" s="257"/>
      <c r="CC56" s="257"/>
      <c r="CD56" s="257"/>
      <c r="CE56" s="257"/>
      <c r="CF56" s="257"/>
      <c r="CG56" s="257"/>
      <c r="CH56" s="257"/>
      <c r="CI56" s="257"/>
      <c r="CJ56" s="257"/>
      <c r="CK56" s="257"/>
      <c r="CL56" s="257"/>
      <c r="CM56" s="257"/>
      <c r="CN56" s="257"/>
      <c r="CO56" s="257"/>
      <c r="CP56" s="257"/>
      <c r="CQ56" s="257"/>
      <c r="CR56" s="257"/>
      <c r="CS56" s="257"/>
      <c r="CT56" s="257"/>
      <c r="CU56" s="257"/>
      <c r="CV56" s="257"/>
      <c r="CW56" s="257"/>
      <c r="CX56" s="257"/>
      <c r="CY56" s="257"/>
      <c r="CZ56" s="257"/>
      <c r="DA56" s="257"/>
      <c r="DB56" s="257"/>
      <c r="DC56" s="257"/>
      <c r="DD56" s="257"/>
      <c r="DE56" s="257"/>
      <c r="DF56" s="257"/>
      <c r="DG56" s="257"/>
      <c r="DH56" s="257"/>
      <c r="DI56" s="257"/>
      <c r="DJ56" s="257"/>
      <c r="DK56" s="257"/>
      <c r="DL56" s="257"/>
      <c r="DM56" s="257"/>
      <c r="DN56" s="257"/>
      <c r="DO56" s="257"/>
      <c r="DP56" s="257"/>
      <c r="DQ56" s="257"/>
      <c r="DR56" s="257"/>
      <c r="DS56" s="257"/>
      <c r="DT56" s="257"/>
      <c r="DU56" s="257"/>
      <c r="DV56" s="257"/>
    </row>
    <row r="57" spans="1:126" x14ac:dyDescent="0.35">
      <c r="A57" s="848" t="s">
        <v>337</v>
      </c>
      <c r="B57" s="849" t="s">
        <v>337</v>
      </c>
      <c r="C57" s="850" t="s">
        <v>219</v>
      </c>
      <c r="D57" s="885">
        <v>1.5E-3</v>
      </c>
      <c r="E57" s="850" t="s">
        <v>34</v>
      </c>
      <c r="F57" s="3667"/>
      <c r="G57" s="3668"/>
      <c r="H57" s="867">
        <v>95773314</v>
      </c>
      <c r="I57" s="882">
        <v>143660</v>
      </c>
      <c r="J57" s="3667"/>
      <c r="K57" s="3668"/>
      <c r="L57" s="869">
        <v>143660</v>
      </c>
      <c r="M57" s="3671"/>
      <c r="N57" s="886" t="s">
        <v>368</v>
      </c>
      <c r="O57" s="257"/>
      <c r="P57" s="257"/>
      <c r="Q57" s="257"/>
      <c r="R57" s="257"/>
      <c r="S57" s="257"/>
      <c r="T57" s="257"/>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c r="AU57" s="257"/>
      <c r="AV57" s="257"/>
      <c r="AW57" s="257"/>
      <c r="AX57" s="257"/>
      <c r="AY57" s="257"/>
      <c r="AZ57" s="257"/>
      <c r="BA57" s="257"/>
      <c r="BB57" s="257"/>
      <c r="BC57" s="257"/>
      <c r="BD57" s="257"/>
      <c r="BE57" s="257"/>
      <c r="BF57" s="257"/>
      <c r="BG57" s="257"/>
      <c r="BH57" s="257"/>
      <c r="BI57" s="257"/>
      <c r="BJ57" s="257"/>
      <c r="BK57" s="257"/>
      <c r="BL57" s="257"/>
      <c r="BM57" s="257"/>
      <c r="BN57" s="257"/>
      <c r="BO57" s="257"/>
      <c r="BP57" s="257"/>
      <c r="BQ57" s="257"/>
      <c r="BR57" s="257"/>
      <c r="BS57" s="257"/>
      <c r="BT57" s="257"/>
      <c r="BU57" s="257"/>
      <c r="BV57" s="257"/>
      <c r="BW57" s="257"/>
      <c r="BX57" s="257"/>
      <c r="BY57" s="257"/>
      <c r="BZ57" s="257"/>
      <c r="CA57" s="257"/>
      <c r="CB57" s="257"/>
      <c r="CC57" s="257"/>
      <c r="CD57" s="257"/>
      <c r="CE57" s="257"/>
      <c r="CF57" s="257"/>
      <c r="CG57" s="257"/>
      <c r="CH57" s="257"/>
      <c r="CI57" s="257"/>
      <c r="CJ57" s="257"/>
      <c r="CK57" s="257"/>
      <c r="CL57" s="257"/>
      <c r="CM57" s="257"/>
      <c r="CN57" s="257"/>
      <c r="CO57" s="257"/>
      <c r="CP57" s="257"/>
      <c r="CQ57" s="257"/>
      <c r="CR57" s="257"/>
      <c r="CS57" s="257"/>
      <c r="CT57" s="257"/>
      <c r="CU57" s="257"/>
      <c r="CV57" s="257"/>
      <c r="CW57" s="257"/>
      <c r="CX57" s="257"/>
      <c r="CY57" s="257"/>
      <c r="CZ57" s="257"/>
      <c r="DA57" s="257"/>
      <c r="DB57" s="257"/>
      <c r="DC57" s="257"/>
      <c r="DD57" s="257"/>
      <c r="DE57" s="257"/>
      <c r="DF57" s="257"/>
      <c r="DG57" s="257"/>
      <c r="DH57" s="257"/>
      <c r="DI57" s="257"/>
      <c r="DJ57" s="257"/>
      <c r="DK57" s="257"/>
      <c r="DL57" s="257"/>
      <c r="DM57" s="257"/>
      <c r="DN57" s="257"/>
      <c r="DO57" s="257"/>
      <c r="DP57" s="257"/>
      <c r="DQ57" s="257"/>
      <c r="DR57" s="257"/>
      <c r="DS57" s="257"/>
      <c r="DT57" s="257"/>
      <c r="DU57" s="257"/>
      <c r="DV57" s="257"/>
    </row>
    <row r="58" spans="1:126" x14ac:dyDescent="0.35">
      <c r="A58" s="848" t="s">
        <v>337</v>
      </c>
      <c r="B58" s="849" t="s">
        <v>337</v>
      </c>
      <c r="C58" s="850" t="s">
        <v>221</v>
      </c>
      <c r="D58" s="887">
        <v>0</v>
      </c>
      <c r="E58" s="850" t="s">
        <v>215</v>
      </c>
      <c r="F58" s="3667"/>
      <c r="G58" s="3668"/>
      <c r="H58" s="866" t="s">
        <v>366</v>
      </c>
      <c r="I58" s="884" t="s">
        <v>362</v>
      </c>
      <c r="J58" s="3667"/>
      <c r="K58" s="3668"/>
      <c r="L58" s="872" t="s">
        <v>358</v>
      </c>
      <c r="M58" s="3671"/>
      <c r="N58" s="857" t="s">
        <v>337</v>
      </c>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57"/>
      <c r="BK58" s="257"/>
      <c r="BL58" s="257"/>
      <c r="BM58" s="257"/>
      <c r="BN58" s="257"/>
      <c r="BO58" s="257"/>
      <c r="BP58" s="257"/>
      <c r="BQ58" s="257"/>
      <c r="BR58" s="257"/>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57"/>
      <c r="CZ58" s="257"/>
      <c r="DA58" s="257"/>
      <c r="DB58" s="257"/>
      <c r="DC58" s="257"/>
      <c r="DD58" s="257"/>
      <c r="DE58" s="257"/>
      <c r="DF58" s="257"/>
      <c r="DG58" s="257"/>
      <c r="DH58" s="257"/>
      <c r="DI58" s="257"/>
      <c r="DJ58" s="257"/>
      <c r="DK58" s="257"/>
      <c r="DL58" s="257"/>
      <c r="DM58" s="257"/>
      <c r="DN58" s="257"/>
      <c r="DO58" s="257"/>
      <c r="DP58" s="257"/>
      <c r="DQ58" s="257"/>
      <c r="DR58" s="257"/>
      <c r="DS58" s="257"/>
      <c r="DT58" s="257"/>
      <c r="DU58" s="257"/>
      <c r="DV58" s="257"/>
    </row>
    <row r="59" spans="1:126" x14ac:dyDescent="0.35">
      <c r="A59" s="848" t="s">
        <v>337</v>
      </c>
      <c r="B59" s="849" t="s">
        <v>337</v>
      </c>
      <c r="C59" s="850" t="s">
        <v>222</v>
      </c>
      <c r="D59" s="887">
        <v>1</v>
      </c>
      <c r="E59" s="850" t="s">
        <v>215</v>
      </c>
      <c r="F59" s="3667"/>
      <c r="G59" s="3668"/>
      <c r="H59" s="867">
        <v>4000</v>
      </c>
      <c r="I59" s="882">
        <v>4000</v>
      </c>
      <c r="J59" s="3667"/>
      <c r="K59" s="3668"/>
      <c r="L59" s="869">
        <v>4000</v>
      </c>
      <c r="M59" s="3671"/>
      <c r="N59" s="857" t="s">
        <v>337</v>
      </c>
      <c r="O59" s="257"/>
      <c r="P59" s="257"/>
      <c r="Q59" s="257"/>
      <c r="R59" s="257"/>
      <c r="S59" s="257"/>
      <c r="T59" s="257"/>
      <c r="U59" s="257"/>
      <c r="V59" s="257"/>
      <c r="W59" s="257"/>
      <c r="X59" s="257"/>
      <c r="Y59" s="257"/>
      <c r="Z59" s="257"/>
      <c r="AA59" s="257"/>
      <c r="AB59" s="257"/>
      <c r="AC59" s="257"/>
      <c r="AD59" s="257"/>
      <c r="AE59" s="257"/>
      <c r="AF59" s="257"/>
      <c r="AG59" s="257"/>
      <c r="AH59" s="257"/>
      <c r="AI59" s="257"/>
      <c r="AJ59" s="257"/>
      <c r="AK59" s="257"/>
      <c r="AL59" s="257"/>
      <c r="AM59" s="257"/>
      <c r="AN59" s="257"/>
      <c r="AO59" s="257"/>
      <c r="AP59" s="257"/>
      <c r="AQ59" s="257"/>
      <c r="AR59" s="257"/>
      <c r="AS59" s="257"/>
      <c r="AT59" s="257"/>
      <c r="AU59" s="257"/>
      <c r="AV59" s="257"/>
      <c r="AW59" s="257"/>
      <c r="AX59" s="257"/>
      <c r="AY59" s="257"/>
      <c r="AZ59" s="257"/>
      <c r="BA59" s="257"/>
      <c r="BB59" s="257"/>
      <c r="BC59" s="257"/>
      <c r="BD59" s="257"/>
      <c r="BE59" s="257"/>
      <c r="BF59" s="257"/>
      <c r="BG59" s="257"/>
      <c r="BH59" s="257"/>
      <c r="BI59" s="257"/>
      <c r="BJ59" s="257"/>
      <c r="BK59" s="257"/>
      <c r="BL59" s="257"/>
      <c r="BM59" s="257"/>
      <c r="BN59" s="257"/>
      <c r="BO59" s="257"/>
      <c r="BP59" s="257"/>
      <c r="BQ59" s="257"/>
      <c r="BR59" s="257"/>
      <c r="BS59" s="257"/>
      <c r="BT59" s="257"/>
      <c r="BU59" s="257"/>
      <c r="BV59" s="257"/>
      <c r="BW59" s="257"/>
      <c r="BX59" s="257"/>
      <c r="BY59" s="257"/>
      <c r="BZ59" s="257"/>
      <c r="CA59" s="257"/>
      <c r="CB59" s="257"/>
      <c r="CC59" s="257"/>
      <c r="CD59" s="257"/>
      <c r="CE59" s="257"/>
      <c r="CF59" s="257"/>
      <c r="CG59" s="257"/>
      <c r="CH59" s="257"/>
      <c r="CI59" s="257"/>
      <c r="CJ59" s="257"/>
      <c r="CK59" s="257"/>
      <c r="CL59" s="257"/>
      <c r="CM59" s="257"/>
      <c r="CN59" s="257"/>
      <c r="CO59" s="257"/>
      <c r="CP59" s="257"/>
      <c r="CQ59" s="257"/>
      <c r="CR59" s="257"/>
      <c r="CS59" s="257"/>
      <c r="CT59" s="257"/>
      <c r="CU59" s="257"/>
      <c r="CV59" s="257"/>
      <c r="CW59" s="257"/>
      <c r="CX59" s="257"/>
      <c r="CY59" s="257"/>
      <c r="CZ59" s="257"/>
      <c r="DA59" s="257"/>
      <c r="DB59" s="257"/>
      <c r="DC59" s="257"/>
      <c r="DD59" s="257"/>
      <c r="DE59" s="257"/>
      <c r="DF59" s="257"/>
      <c r="DG59" s="257"/>
      <c r="DH59" s="257"/>
      <c r="DI59" s="257"/>
      <c r="DJ59" s="257"/>
      <c r="DK59" s="257"/>
      <c r="DL59" s="257"/>
      <c r="DM59" s="257"/>
      <c r="DN59" s="257"/>
      <c r="DO59" s="257"/>
      <c r="DP59" s="257"/>
      <c r="DQ59" s="257"/>
      <c r="DR59" s="257"/>
      <c r="DS59" s="257"/>
      <c r="DT59" s="257"/>
      <c r="DU59" s="257"/>
      <c r="DV59" s="257"/>
    </row>
    <row r="60" spans="1:126" x14ac:dyDescent="0.35">
      <c r="A60" s="848" t="s">
        <v>337</v>
      </c>
      <c r="B60" s="849" t="s">
        <v>337</v>
      </c>
      <c r="C60" s="850" t="s">
        <v>223</v>
      </c>
      <c r="D60" s="887">
        <v>2</v>
      </c>
      <c r="E60" s="850" t="s">
        <v>215</v>
      </c>
      <c r="F60" s="3667"/>
      <c r="G60" s="3668"/>
      <c r="H60" s="867">
        <v>2500</v>
      </c>
      <c r="I60" s="882">
        <f>D60*H60</f>
        <v>5000</v>
      </c>
      <c r="J60" s="3667"/>
      <c r="K60" s="3668"/>
      <c r="L60" s="869">
        <f>I60</f>
        <v>5000</v>
      </c>
      <c r="M60" s="3671"/>
      <c r="N60" s="857" t="s">
        <v>337</v>
      </c>
      <c r="O60" s="257"/>
      <c r="P60" s="257"/>
      <c r="Q60" s="257"/>
      <c r="R60" s="257"/>
      <c r="S60" s="257"/>
      <c r="T60" s="257"/>
      <c r="U60" s="257"/>
      <c r="V60" s="257"/>
      <c r="W60" s="257"/>
      <c r="X60" s="257"/>
      <c r="Y60" s="257"/>
      <c r="Z60" s="257"/>
      <c r="AA60" s="257"/>
      <c r="AB60" s="257"/>
      <c r="AC60" s="257"/>
      <c r="AD60" s="257"/>
      <c r="AE60" s="257"/>
      <c r="AF60" s="257"/>
      <c r="AG60" s="257"/>
      <c r="AH60" s="257"/>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57"/>
      <c r="BK60" s="257"/>
      <c r="BL60" s="257"/>
      <c r="BM60" s="257"/>
      <c r="BN60" s="257"/>
      <c r="BO60" s="257"/>
      <c r="BP60" s="257"/>
      <c r="BQ60" s="257"/>
      <c r="BR60" s="257"/>
      <c r="BS60" s="257"/>
      <c r="BT60" s="257"/>
      <c r="BU60" s="257"/>
      <c r="BV60" s="257"/>
      <c r="BW60" s="257"/>
      <c r="BX60" s="257"/>
      <c r="BY60" s="257"/>
      <c r="BZ60" s="257"/>
      <c r="CA60" s="257"/>
      <c r="CB60" s="257"/>
      <c r="CC60" s="257"/>
      <c r="CD60" s="257"/>
      <c r="CE60" s="257"/>
      <c r="CF60" s="257"/>
      <c r="CG60" s="257"/>
      <c r="CH60" s="257"/>
      <c r="CI60" s="257"/>
      <c r="CJ60" s="257"/>
      <c r="CK60" s="257"/>
      <c r="CL60" s="257"/>
      <c r="CM60" s="257"/>
      <c r="CN60" s="257"/>
      <c r="CO60" s="257"/>
      <c r="CP60" s="257"/>
      <c r="CQ60" s="257"/>
      <c r="CR60" s="257"/>
      <c r="CS60" s="257"/>
      <c r="CT60" s="257"/>
      <c r="CU60" s="257"/>
      <c r="CV60" s="257"/>
      <c r="CW60" s="257"/>
      <c r="CX60" s="257"/>
      <c r="CY60" s="257"/>
      <c r="CZ60" s="257"/>
      <c r="DA60" s="257"/>
      <c r="DB60" s="257"/>
      <c r="DC60" s="257"/>
      <c r="DD60" s="257"/>
      <c r="DE60" s="257"/>
      <c r="DF60" s="257"/>
      <c r="DG60" s="257"/>
      <c r="DH60" s="257"/>
      <c r="DI60" s="257"/>
      <c r="DJ60" s="257"/>
      <c r="DK60" s="257"/>
      <c r="DL60" s="257"/>
      <c r="DM60" s="257"/>
      <c r="DN60" s="257"/>
      <c r="DO60" s="257"/>
      <c r="DP60" s="257"/>
      <c r="DQ60" s="257"/>
      <c r="DR60" s="257"/>
      <c r="DS60" s="257"/>
      <c r="DT60" s="257"/>
      <c r="DU60" s="257"/>
      <c r="DV60" s="257"/>
    </row>
    <row r="61" spans="1:126" x14ac:dyDescent="0.35">
      <c r="A61" s="848" t="s">
        <v>337</v>
      </c>
      <c r="B61" s="849" t="s">
        <v>337</v>
      </c>
      <c r="C61" s="850" t="s">
        <v>224</v>
      </c>
      <c r="D61" s="887">
        <v>20.7</v>
      </c>
      <c r="E61" s="850" t="s">
        <v>202</v>
      </c>
      <c r="F61" s="3667"/>
      <c r="G61" s="3668"/>
      <c r="H61" s="866" t="s">
        <v>366</v>
      </c>
      <c r="I61" s="884" t="s">
        <v>362</v>
      </c>
      <c r="J61" s="3667"/>
      <c r="K61" s="3668"/>
      <c r="L61" s="872" t="s">
        <v>358</v>
      </c>
      <c r="M61" s="3671"/>
      <c r="N61" s="857" t="s">
        <v>337</v>
      </c>
      <c r="O61" s="257"/>
      <c r="P61" s="257"/>
      <c r="Q61" s="257"/>
      <c r="R61" s="257"/>
      <c r="S61" s="257"/>
      <c r="T61" s="257"/>
      <c r="U61" s="257"/>
      <c r="V61" s="257"/>
      <c r="W61" s="257"/>
      <c r="X61" s="257"/>
      <c r="Y61" s="257"/>
      <c r="Z61" s="257"/>
      <c r="AA61" s="257"/>
      <c r="AB61" s="257"/>
      <c r="AC61" s="257"/>
      <c r="AD61" s="257"/>
      <c r="AE61" s="257"/>
      <c r="AF61" s="257"/>
      <c r="AG61" s="257"/>
      <c r="AH61" s="257"/>
      <c r="AI61" s="257"/>
      <c r="AJ61" s="257"/>
      <c r="AK61" s="257"/>
      <c r="AL61" s="257"/>
      <c r="AM61" s="257"/>
      <c r="AN61" s="257"/>
      <c r="AO61" s="257"/>
      <c r="AP61" s="257"/>
      <c r="AQ61" s="257"/>
      <c r="AR61" s="257"/>
      <c r="AS61" s="257"/>
      <c r="AT61" s="257"/>
      <c r="AU61" s="257"/>
      <c r="AV61" s="257"/>
      <c r="AW61" s="257"/>
      <c r="AX61" s="257"/>
      <c r="AY61" s="257"/>
      <c r="AZ61" s="257"/>
      <c r="BA61" s="257"/>
      <c r="BB61" s="257"/>
      <c r="BC61" s="257"/>
      <c r="BD61" s="257"/>
      <c r="BE61" s="257"/>
      <c r="BF61" s="257"/>
      <c r="BG61" s="257"/>
      <c r="BH61" s="257"/>
      <c r="BI61" s="257"/>
      <c r="BJ61" s="257"/>
      <c r="BK61" s="257"/>
      <c r="BL61" s="257"/>
      <c r="BM61" s="257"/>
      <c r="BN61" s="257"/>
      <c r="BO61" s="257"/>
      <c r="BP61" s="257"/>
      <c r="BQ61" s="257"/>
      <c r="BR61" s="257"/>
      <c r="BS61" s="257"/>
      <c r="BT61" s="257"/>
      <c r="BU61" s="257"/>
      <c r="BV61" s="257"/>
      <c r="BW61" s="257"/>
      <c r="BX61" s="257"/>
      <c r="BY61" s="257"/>
      <c r="BZ61" s="257"/>
      <c r="CA61" s="257"/>
      <c r="CB61" s="257"/>
      <c r="CC61" s="257"/>
      <c r="CD61" s="257"/>
      <c r="CE61" s="257"/>
      <c r="CF61" s="257"/>
      <c r="CG61" s="257"/>
      <c r="CH61" s="257"/>
      <c r="CI61" s="257"/>
      <c r="CJ61" s="257"/>
      <c r="CK61" s="257"/>
      <c r="CL61" s="257"/>
      <c r="CM61" s="257"/>
      <c r="CN61" s="257"/>
      <c r="CO61" s="257"/>
      <c r="CP61" s="257"/>
      <c r="CQ61" s="257"/>
      <c r="CR61" s="257"/>
      <c r="CS61" s="257"/>
      <c r="CT61" s="257"/>
      <c r="CU61" s="257"/>
      <c r="CV61" s="257"/>
      <c r="CW61" s="257"/>
      <c r="CX61" s="257"/>
      <c r="CY61" s="257"/>
      <c r="CZ61" s="257"/>
      <c r="DA61" s="257"/>
      <c r="DB61" s="257"/>
      <c r="DC61" s="257"/>
      <c r="DD61" s="257"/>
      <c r="DE61" s="257"/>
      <c r="DF61" s="257"/>
      <c r="DG61" s="257"/>
      <c r="DH61" s="257"/>
      <c r="DI61" s="257"/>
      <c r="DJ61" s="257"/>
      <c r="DK61" s="257"/>
      <c r="DL61" s="257"/>
      <c r="DM61" s="257"/>
      <c r="DN61" s="257"/>
      <c r="DO61" s="257"/>
      <c r="DP61" s="257"/>
      <c r="DQ61" s="257"/>
      <c r="DR61" s="257"/>
      <c r="DS61" s="257"/>
      <c r="DT61" s="257"/>
      <c r="DU61" s="257"/>
      <c r="DV61" s="257"/>
    </row>
    <row r="62" spans="1:126" ht="15" thickBot="1" x14ac:dyDescent="0.4">
      <c r="A62" s="848" t="s">
        <v>337</v>
      </c>
      <c r="B62" s="849" t="s">
        <v>337</v>
      </c>
      <c r="C62" s="850" t="s">
        <v>225</v>
      </c>
      <c r="D62" s="887" t="s">
        <v>337</v>
      </c>
      <c r="E62" s="850" t="s">
        <v>215</v>
      </c>
      <c r="F62" s="3667"/>
      <c r="G62" s="3668"/>
      <c r="H62" s="867">
        <v>250</v>
      </c>
      <c r="I62" s="884" t="s">
        <v>362</v>
      </c>
      <c r="J62" s="3667"/>
      <c r="K62" s="3668"/>
      <c r="L62" s="872" t="s">
        <v>358</v>
      </c>
      <c r="M62" s="3671"/>
      <c r="N62" s="857" t="s">
        <v>337</v>
      </c>
      <c r="O62" s="257"/>
      <c r="P62" s="257"/>
      <c r="Q62" s="257"/>
      <c r="R62" s="257"/>
      <c r="S62" s="257"/>
      <c r="T62" s="257"/>
      <c r="U62" s="257"/>
      <c r="V62" s="257"/>
      <c r="W62" s="257"/>
      <c r="X62" s="257"/>
      <c r="Y62" s="257"/>
      <c r="Z62" s="257"/>
      <c r="AA62" s="257"/>
      <c r="AB62" s="257"/>
      <c r="AC62" s="257"/>
      <c r="AD62" s="257"/>
      <c r="AE62" s="257"/>
      <c r="AF62" s="257"/>
      <c r="AG62" s="257"/>
      <c r="AH62" s="257"/>
      <c r="AI62" s="257"/>
      <c r="AJ62" s="257"/>
      <c r="AK62" s="257"/>
      <c r="AL62" s="257"/>
      <c r="AM62" s="257"/>
      <c r="AN62" s="257"/>
      <c r="AO62" s="257"/>
      <c r="AP62" s="257"/>
      <c r="AQ62" s="257"/>
      <c r="AR62" s="257"/>
      <c r="AS62" s="257"/>
      <c r="AT62" s="257"/>
      <c r="AU62" s="257"/>
      <c r="AV62" s="257"/>
      <c r="AW62" s="257"/>
      <c r="AX62" s="257"/>
      <c r="AY62" s="257"/>
      <c r="AZ62" s="257"/>
      <c r="BA62" s="257"/>
      <c r="BB62" s="257"/>
      <c r="BC62" s="257"/>
      <c r="BD62" s="257"/>
      <c r="BE62" s="257"/>
      <c r="BF62" s="257"/>
      <c r="BG62" s="257"/>
      <c r="BH62" s="257"/>
      <c r="BI62" s="257"/>
      <c r="BJ62" s="257"/>
      <c r="BK62" s="257"/>
      <c r="BL62" s="257"/>
      <c r="BM62" s="257"/>
      <c r="BN62" s="257"/>
      <c r="BO62" s="257"/>
      <c r="BP62" s="257"/>
      <c r="BQ62" s="257"/>
      <c r="BR62" s="257"/>
      <c r="BS62" s="257"/>
      <c r="BT62" s="257"/>
      <c r="BU62" s="257"/>
      <c r="BV62" s="257"/>
      <c r="BW62" s="257"/>
      <c r="BX62" s="257"/>
      <c r="BY62" s="257"/>
      <c r="BZ62" s="257"/>
      <c r="CA62" s="257"/>
      <c r="CB62" s="257"/>
      <c r="CC62" s="257"/>
      <c r="CD62" s="257"/>
      <c r="CE62" s="257"/>
      <c r="CF62" s="257"/>
      <c r="CG62" s="257"/>
      <c r="CH62" s="257"/>
      <c r="CI62" s="257"/>
      <c r="CJ62" s="257"/>
      <c r="CK62" s="257"/>
      <c r="CL62" s="257"/>
      <c r="CM62" s="257"/>
      <c r="CN62" s="257"/>
      <c r="CO62" s="257"/>
      <c r="CP62" s="257"/>
      <c r="CQ62" s="257"/>
      <c r="CR62" s="257"/>
      <c r="CS62" s="257"/>
      <c r="CT62" s="257"/>
      <c r="CU62" s="257"/>
      <c r="CV62" s="257"/>
      <c r="CW62" s="257"/>
      <c r="CX62" s="257"/>
      <c r="CY62" s="257"/>
      <c r="CZ62" s="257"/>
      <c r="DA62" s="257"/>
      <c r="DB62" s="257"/>
      <c r="DC62" s="257"/>
      <c r="DD62" s="257"/>
      <c r="DE62" s="257"/>
      <c r="DF62" s="257"/>
      <c r="DG62" s="257"/>
      <c r="DH62" s="257"/>
      <c r="DI62" s="257"/>
      <c r="DJ62" s="257"/>
      <c r="DK62" s="257"/>
      <c r="DL62" s="257"/>
      <c r="DM62" s="257"/>
      <c r="DN62" s="257"/>
      <c r="DO62" s="257"/>
      <c r="DP62" s="257"/>
      <c r="DQ62" s="257"/>
      <c r="DR62" s="257"/>
      <c r="DS62" s="257"/>
      <c r="DT62" s="257"/>
      <c r="DU62" s="257"/>
      <c r="DV62" s="257"/>
    </row>
    <row r="63" spans="1:126" ht="15" hidden="1" customHeight="1" x14ac:dyDescent="0.35">
      <c r="A63" s="848" t="s">
        <v>337</v>
      </c>
      <c r="B63" s="849" t="s">
        <v>337</v>
      </c>
      <c r="C63" s="850" t="s">
        <v>226</v>
      </c>
      <c r="D63" s="887">
        <v>2</v>
      </c>
      <c r="E63" s="850" t="s">
        <v>199</v>
      </c>
      <c r="F63" s="3667"/>
      <c r="G63" s="3668"/>
      <c r="H63" s="888">
        <v>840</v>
      </c>
      <c r="I63" s="868">
        <v>1680</v>
      </c>
      <c r="J63" s="3667"/>
      <c r="K63" s="3668"/>
      <c r="L63" s="869">
        <v>1680</v>
      </c>
      <c r="M63" s="3671"/>
      <c r="N63" s="883" t="s">
        <v>369</v>
      </c>
      <c r="O63" s="257"/>
      <c r="P63" s="257"/>
      <c r="Q63" s="257"/>
      <c r="R63" s="257"/>
      <c r="S63" s="257"/>
      <c r="T63" s="257"/>
      <c r="U63" s="257"/>
      <c r="V63" s="257"/>
      <c r="W63" s="257"/>
      <c r="X63" s="257"/>
      <c r="Y63" s="257"/>
      <c r="Z63" s="257"/>
      <c r="AA63" s="257"/>
      <c r="AB63" s="257"/>
      <c r="AC63" s="257"/>
      <c r="AD63" s="257"/>
      <c r="AE63" s="257"/>
      <c r="AF63" s="257"/>
      <c r="AG63" s="257"/>
      <c r="AH63" s="257"/>
      <c r="AI63" s="257"/>
      <c r="AJ63" s="257"/>
      <c r="AK63" s="257"/>
      <c r="AL63" s="257"/>
      <c r="AM63" s="257"/>
      <c r="AN63" s="257"/>
      <c r="AO63" s="257"/>
      <c r="AP63" s="257"/>
      <c r="AQ63" s="257"/>
      <c r="AR63" s="257"/>
      <c r="AS63" s="257"/>
      <c r="AT63" s="257"/>
      <c r="AU63" s="257"/>
      <c r="AV63" s="257"/>
      <c r="AW63" s="257"/>
      <c r="AX63" s="257"/>
      <c r="AY63" s="257"/>
      <c r="AZ63" s="257"/>
      <c r="BA63" s="257"/>
      <c r="BB63" s="257"/>
      <c r="BC63" s="257"/>
      <c r="BD63" s="257"/>
      <c r="BE63" s="257"/>
      <c r="BF63" s="257"/>
      <c r="BG63" s="257"/>
      <c r="BH63" s="257"/>
      <c r="BI63" s="257"/>
      <c r="BJ63" s="257"/>
      <c r="BK63" s="257"/>
      <c r="BL63" s="257"/>
      <c r="BM63" s="257"/>
      <c r="BN63" s="257"/>
      <c r="BO63" s="257"/>
      <c r="BP63" s="257"/>
      <c r="BQ63" s="257"/>
      <c r="BR63" s="257"/>
      <c r="BS63" s="257"/>
      <c r="BT63" s="257"/>
      <c r="BU63" s="257"/>
      <c r="BV63" s="257"/>
      <c r="BW63" s="257"/>
      <c r="BX63" s="257"/>
      <c r="BY63" s="257"/>
      <c r="BZ63" s="257"/>
      <c r="CA63" s="257"/>
      <c r="CB63" s="257"/>
      <c r="CC63" s="257"/>
      <c r="CD63" s="257"/>
      <c r="CE63" s="257"/>
      <c r="CF63" s="257"/>
      <c r="CG63" s="257"/>
      <c r="CH63" s="257"/>
      <c r="CI63" s="257"/>
      <c r="CJ63" s="257"/>
      <c r="CK63" s="257"/>
      <c r="CL63" s="257"/>
      <c r="CM63" s="257"/>
      <c r="CN63" s="257"/>
      <c r="CO63" s="257"/>
      <c r="CP63" s="257"/>
      <c r="CQ63" s="257"/>
      <c r="CR63" s="257"/>
      <c r="CS63" s="257"/>
      <c r="CT63" s="257"/>
      <c r="CU63" s="257"/>
      <c r="CV63" s="257"/>
      <c r="CW63" s="257"/>
      <c r="CX63" s="257"/>
      <c r="CY63" s="257"/>
      <c r="CZ63" s="257"/>
      <c r="DA63" s="257"/>
      <c r="DB63" s="257"/>
      <c r="DC63" s="257"/>
      <c r="DD63" s="257"/>
      <c r="DE63" s="257"/>
      <c r="DF63" s="257"/>
      <c r="DG63" s="257"/>
      <c r="DH63" s="257"/>
      <c r="DI63" s="257"/>
      <c r="DJ63" s="257"/>
      <c r="DK63" s="257"/>
      <c r="DL63" s="257"/>
      <c r="DM63" s="257"/>
      <c r="DN63" s="257"/>
      <c r="DO63" s="257"/>
      <c r="DP63" s="257"/>
      <c r="DQ63" s="257"/>
      <c r="DR63" s="257"/>
      <c r="DS63" s="257"/>
      <c r="DT63" s="257"/>
      <c r="DU63" s="257"/>
      <c r="DV63" s="257"/>
    </row>
    <row r="64" spans="1:126" ht="15" hidden="1" customHeight="1" x14ac:dyDescent="0.35">
      <c r="A64" s="848" t="s">
        <v>337</v>
      </c>
      <c r="B64" s="849" t="s">
        <v>337</v>
      </c>
      <c r="C64" s="291" t="s">
        <v>228</v>
      </c>
      <c r="D64" s="290">
        <v>20</v>
      </c>
      <c r="E64" s="291" t="s">
        <v>202</v>
      </c>
      <c r="F64" s="3669"/>
      <c r="G64" s="3670"/>
      <c r="H64" s="293">
        <v>1200</v>
      </c>
      <c r="I64" s="884">
        <v>24000</v>
      </c>
      <c r="J64" s="3669"/>
      <c r="K64" s="3670"/>
      <c r="L64" s="274">
        <v>24000</v>
      </c>
      <c r="M64" s="3672"/>
      <c r="N64" s="294" t="s">
        <v>370</v>
      </c>
      <c r="O64" s="257"/>
      <c r="P64" s="257"/>
      <c r="Q64" s="257"/>
      <c r="R64" s="257"/>
      <c r="S64" s="257"/>
      <c r="T64" s="257"/>
      <c r="U64" s="257"/>
      <c r="V64" s="257"/>
      <c r="W64" s="257"/>
      <c r="X64" s="257"/>
      <c r="Y64" s="257"/>
      <c r="Z64" s="257"/>
      <c r="AA64" s="257"/>
      <c r="AB64" s="257"/>
      <c r="AC64" s="257"/>
      <c r="AD64" s="257"/>
      <c r="AE64" s="257"/>
      <c r="AF64" s="257"/>
      <c r="AG64" s="257"/>
      <c r="AH64" s="257"/>
      <c r="AI64" s="257"/>
      <c r="AJ64" s="257"/>
      <c r="AK64" s="257"/>
      <c r="AL64" s="257"/>
      <c r="AM64" s="257"/>
      <c r="AN64" s="257"/>
      <c r="AO64" s="257"/>
      <c r="AP64" s="257"/>
      <c r="AQ64" s="257"/>
      <c r="AR64" s="257"/>
      <c r="AS64" s="257"/>
      <c r="AT64" s="257"/>
      <c r="AU64" s="257"/>
      <c r="AV64" s="257"/>
      <c r="AW64" s="257"/>
      <c r="AX64" s="257"/>
      <c r="AY64" s="257"/>
      <c r="AZ64" s="257"/>
      <c r="BA64" s="257"/>
      <c r="BB64" s="257"/>
      <c r="BC64" s="257"/>
      <c r="BD64" s="257"/>
      <c r="BE64" s="257"/>
      <c r="BF64" s="257"/>
      <c r="BG64" s="257"/>
      <c r="BH64" s="257"/>
      <c r="BI64" s="257"/>
      <c r="BJ64" s="257"/>
      <c r="BK64" s="257"/>
      <c r="BL64" s="257"/>
      <c r="BM64" s="257"/>
      <c r="BN64" s="257"/>
      <c r="BO64" s="257"/>
      <c r="BP64" s="257"/>
      <c r="BQ64" s="257"/>
      <c r="BR64" s="257"/>
      <c r="BS64" s="257"/>
      <c r="BT64" s="257"/>
      <c r="BU64" s="257"/>
      <c r="BV64" s="257"/>
      <c r="BW64" s="257"/>
      <c r="BX64" s="257"/>
      <c r="BY64" s="257"/>
      <c r="BZ64" s="257"/>
      <c r="CA64" s="257"/>
      <c r="CB64" s="257"/>
      <c r="CC64" s="257"/>
      <c r="CD64" s="257"/>
      <c r="CE64" s="257"/>
      <c r="CF64" s="257"/>
      <c r="CG64" s="257"/>
      <c r="CH64" s="257"/>
      <c r="CI64" s="257"/>
      <c r="CJ64" s="257"/>
      <c r="CK64" s="257"/>
      <c r="CL64" s="257"/>
      <c r="CM64" s="257"/>
      <c r="CN64" s="257"/>
      <c r="CO64" s="257"/>
      <c r="CP64" s="257"/>
      <c r="CQ64" s="257"/>
      <c r="CR64" s="257"/>
      <c r="CS64" s="257"/>
      <c r="CT64" s="257"/>
      <c r="CU64" s="257"/>
      <c r="CV64" s="257"/>
      <c r="CW64" s="257"/>
      <c r="CX64" s="257"/>
      <c r="CY64" s="257"/>
      <c r="CZ64" s="257"/>
      <c r="DA64" s="257"/>
      <c r="DB64" s="257"/>
      <c r="DC64" s="257"/>
      <c r="DD64" s="257"/>
      <c r="DE64" s="257"/>
      <c r="DF64" s="257"/>
      <c r="DG64" s="257"/>
      <c r="DH64" s="257"/>
      <c r="DI64" s="257"/>
      <c r="DJ64" s="257"/>
      <c r="DK64" s="257"/>
      <c r="DL64" s="257"/>
      <c r="DM64" s="257"/>
      <c r="DN64" s="257"/>
      <c r="DO64" s="257"/>
      <c r="DP64" s="257"/>
      <c r="DQ64" s="257"/>
      <c r="DR64" s="257"/>
      <c r="DS64" s="257"/>
      <c r="DT64" s="257"/>
      <c r="DU64" s="257"/>
      <c r="DV64" s="257"/>
    </row>
    <row r="65" spans="1:126" ht="15" hidden="1" customHeight="1" x14ac:dyDescent="0.35">
      <c r="A65" s="3673" t="s">
        <v>337</v>
      </c>
      <c r="B65" s="3674"/>
      <c r="C65" s="366" t="s">
        <v>237</v>
      </c>
      <c r="D65" s="286" t="s">
        <v>337</v>
      </c>
      <c r="E65" s="287" t="s">
        <v>337</v>
      </c>
      <c r="F65" s="287" t="s">
        <v>337</v>
      </c>
      <c r="G65" s="287" t="s">
        <v>337</v>
      </c>
      <c r="H65" s="287" t="s">
        <v>337</v>
      </c>
      <c r="I65" s="287" t="s">
        <v>337</v>
      </c>
      <c r="J65" s="287" t="s">
        <v>337</v>
      </c>
      <c r="K65" s="287" t="s">
        <v>337</v>
      </c>
      <c r="L65" s="889">
        <v>95681</v>
      </c>
      <c r="M65" s="879" t="s">
        <v>337</v>
      </c>
      <c r="N65" s="890" t="s">
        <v>337</v>
      </c>
      <c r="O65" s="257"/>
      <c r="P65" s="257"/>
      <c r="Q65" s="257"/>
      <c r="R65" s="257"/>
      <c r="S65" s="257"/>
      <c r="T65" s="257"/>
      <c r="U65" s="257"/>
      <c r="V65" s="257"/>
      <c r="W65" s="257"/>
      <c r="X65" s="257"/>
      <c r="Y65" s="257"/>
      <c r="Z65" s="257"/>
      <c r="AA65" s="257"/>
      <c r="AB65" s="257"/>
      <c r="AC65" s="257"/>
      <c r="AD65" s="257"/>
      <c r="AE65" s="257"/>
      <c r="AF65" s="257"/>
      <c r="AG65" s="257"/>
      <c r="AH65" s="257"/>
      <c r="AI65" s="257"/>
      <c r="AJ65" s="257"/>
      <c r="AK65" s="257"/>
      <c r="AL65" s="257"/>
      <c r="AM65" s="257"/>
      <c r="AN65" s="257"/>
      <c r="AO65" s="257"/>
      <c r="AP65" s="257"/>
      <c r="AQ65" s="257"/>
      <c r="AR65" s="257"/>
      <c r="AS65" s="257"/>
      <c r="AT65" s="257"/>
      <c r="AU65" s="257"/>
      <c r="AV65" s="257"/>
      <c r="AW65" s="257"/>
      <c r="AX65" s="257"/>
      <c r="AY65" s="257"/>
      <c r="AZ65" s="257"/>
      <c r="BA65" s="257"/>
      <c r="BB65" s="257"/>
      <c r="BC65" s="257"/>
      <c r="BD65" s="257"/>
      <c r="BE65" s="257"/>
      <c r="BF65" s="257"/>
      <c r="BG65" s="257"/>
      <c r="BH65" s="257"/>
      <c r="BI65" s="257"/>
      <c r="BJ65" s="257"/>
      <c r="BK65" s="257"/>
      <c r="BL65" s="257"/>
      <c r="BM65" s="257"/>
      <c r="BN65" s="257"/>
      <c r="BO65" s="257"/>
      <c r="BP65" s="257"/>
      <c r="BQ65" s="257"/>
      <c r="BR65" s="257"/>
      <c r="BS65" s="257"/>
      <c r="BT65" s="257"/>
      <c r="BU65" s="257"/>
      <c r="BV65" s="257"/>
      <c r="BW65" s="257"/>
      <c r="BX65" s="257"/>
      <c r="BY65" s="257"/>
      <c r="BZ65" s="257"/>
      <c r="CA65" s="257"/>
      <c r="CB65" s="257"/>
      <c r="CC65" s="257"/>
      <c r="CD65" s="257"/>
      <c r="CE65" s="257"/>
      <c r="CF65" s="257"/>
      <c r="CG65" s="257"/>
      <c r="CH65" s="257"/>
      <c r="CI65" s="257"/>
      <c r="CJ65" s="257"/>
      <c r="CK65" s="257"/>
      <c r="CL65" s="257"/>
      <c r="CM65" s="257"/>
      <c r="CN65" s="257"/>
      <c r="CO65" s="257"/>
      <c r="CP65" s="257"/>
      <c r="CQ65" s="257"/>
      <c r="CR65" s="257"/>
      <c r="CS65" s="257"/>
      <c r="CT65" s="257"/>
      <c r="CU65" s="257"/>
      <c r="CV65" s="257"/>
      <c r="CW65" s="257"/>
      <c r="CX65" s="257"/>
      <c r="CY65" s="257"/>
      <c r="CZ65" s="257"/>
      <c r="DA65" s="257"/>
      <c r="DB65" s="257"/>
      <c r="DC65" s="257"/>
      <c r="DD65" s="257"/>
      <c r="DE65" s="257"/>
      <c r="DF65" s="257"/>
      <c r="DG65" s="257"/>
      <c r="DH65" s="257"/>
      <c r="DI65" s="257"/>
      <c r="DJ65" s="257"/>
      <c r="DK65" s="257"/>
      <c r="DL65" s="257"/>
      <c r="DM65" s="257"/>
      <c r="DN65" s="257"/>
      <c r="DO65" s="257"/>
      <c r="DP65" s="257"/>
      <c r="DQ65" s="257"/>
      <c r="DR65" s="257"/>
      <c r="DS65" s="257"/>
      <c r="DT65" s="257"/>
      <c r="DU65" s="257"/>
      <c r="DV65" s="257"/>
    </row>
    <row r="66" spans="1:126" ht="15" hidden="1" customHeight="1" x14ac:dyDescent="0.35">
      <c r="A66" s="858" t="s">
        <v>337</v>
      </c>
      <c r="B66" s="891" t="s">
        <v>337</v>
      </c>
      <c r="C66" s="850" t="s">
        <v>238</v>
      </c>
      <c r="D66" s="848">
        <v>0</v>
      </c>
      <c r="E66" s="850" t="s">
        <v>215</v>
      </c>
      <c r="F66" s="3665" t="s">
        <v>337</v>
      </c>
      <c r="G66" s="3666"/>
      <c r="H66" s="3665" t="s">
        <v>337</v>
      </c>
      <c r="I66" s="3666"/>
      <c r="J66" s="848" t="s">
        <v>371</v>
      </c>
      <c r="K66" s="884" t="s">
        <v>366</v>
      </c>
      <c r="L66" s="872" t="s">
        <v>358</v>
      </c>
      <c r="M66" s="3671" t="s">
        <v>337</v>
      </c>
      <c r="N66" s="886" t="s">
        <v>372</v>
      </c>
      <c r="O66" s="257"/>
      <c r="P66" s="257"/>
      <c r="Q66" s="257"/>
      <c r="R66" s="257"/>
      <c r="S66" s="257"/>
      <c r="T66" s="257"/>
      <c r="U66" s="257"/>
      <c r="V66" s="257"/>
      <c r="W66" s="257"/>
      <c r="X66" s="257"/>
      <c r="Y66" s="257"/>
      <c r="Z66" s="257"/>
      <c r="AA66" s="257"/>
      <c r="AB66" s="257"/>
      <c r="AC66" s="257"/>
      <c r="AD66" s="257"/>
      <c r="AE66" s="257"/>
      <c r="AF66" s="257"/>
      <c r="AG66" s="257"/>
      <c r="AH66" s="257"/>
      <c r="AI66" s="257"/>
      <c r="AJ66" s="257"/>
      <c r="AK66" s="257"/>
      <c r="AL66" s="257"/>
      <c r="AM66" s="257"/>
      <c r="AN66" s="257"/>
      <c r="AO66" s="257"/>
      <c r="AP66" s="257"/>
      <c r="AQ66" s="257"/>
      <c r="AR66" s="257"/>
      <c r="AS66" s="257"/>
      <c r="AT66" s="257"/>
      <c r="AU66" s="257"/>
      <c r="AV66" s="257"/>
      <c r="AW66" s="257"/>
      <c r="AX66" s="257"/>
      <c r="AY66" s="257"/>
      <c r="AZ66" s="257"/>
      <c r="BA66" s="257"/>
      <c r="BB66" s="257"/>
      <c r="BC66" s="257"/>
      <c r="BD66" s="257"/>
      <c r="BE66" s="257"/>
      <c r="BF66" s="257"/>
      <c r="BG66" s="257"/>
      <c r="BH66" s="257"/>
      <c r="BI66" s="257"/>
      <c r="BJ66" s="257"/>
      <c r="BK66" s="257"/>
      <c r="BL66" s="257"/>
      <c r="BM66" s="257"/>
      <c r="BN66" s="257"/>
      <c r="BO66" s="257"/>
      <c r="BP66" s="257"/>
      <c r="BQ66" s="257"/>
      <c r="BR66" s="257"/>
      <c r="BS66" s="257"/>
      <c r="BT66" s="257"/>
      <c r="BU66" s="257"/>
      <c r="BV66" s="257"/>
      <c r="BW66" s="257"/>
      <c r="BX66" s="257"/>
      <c r="BY66" s="257"/>
      <c r="BZ66" s="257"/>
      <c r="CA66" s="257"/>
      <c r="CB66" s="257"/>
      <c r="CC66" s="257"/>
      <c r="CD66" s="257"/>
      <c r="CE66" s="257"/>
      <c r="CF66" s="257"/>
      <c r="CG66" s="257"/>
      <c r="CH66" s="257"/>
      <c r="CI66" s="257"/>
      <c r="CJ66" s="257"/>
      <c r="CK66" s="257"/>
      <c r="CL66" s="257"/>
      <c r="CM66" s="257"/>
      <c r="CN66" s="257"/>
      <c r="CO66" s="257"/>
      <c r="CP66" s="257"/>
      <c r="CQ66" s="257"/>
      <c r="CR66" s="257"/>
      <c r="CS66" s="257"/>
      <c r="CT66" s="257"/>
      <c r="CU66" s="257"/>
      <c r="CV66" s="257"/>
      <c r="CW66" s="257"/>
      <c r="CX66" s="257"/>
      <c r="CY66" s="257"/>
      <c r="CZ66" s="257"/>
      <c r="DA66" s="257"/>
      <c r="DB66" s="257"/>
      <c r="DC66" s="257"/>
      <c r="DD66" s="257"/>
      <c r="DE66" s="257"/>
      <c r="DF66" s="257"/>
      <c r="DG66" s="257"/>
      <c r="DH66" s="257"/>
      <c r="DI66" s="257"/>
      <c r="DJ66" s="257"/>
      <c r="DK66" s="257"/>
      <c r="DL66" s="257"/>
      <c r="DM66" s="257"/>
      <c r="DN66" s="257"/>
      <c r="DO66" s="257"/>
      <c r="DP66" s="257"/>
      <c r="DQ66" s="257"/>
      <c r="DR66" s="257"/>
      <c r="DS66" s="257"/>
      <c r="DT66" s="257"/>
      <c r="DU66" s="257"/>
      <c r="DV66" s="257"/>
    </row>
    <row r="67" spans="1:126" ht="15" hidden="1" customHeight="1" x14ac:dyDescent="0.35">
      <c r="A67" s="848" t="s">
        <v>337</v>
      </c>
      <c r="B67" s="849" t="s">
        <v>337</v>
      </c>
      <c r="C67" s="850" t="s">
        <v>240</v>
      </c>
      <c r="D67" s="887">
        <v>20.7</v>
      </c>
      <c r="E67" s="850" t="s">
        <v>202</v>
      </c>
      <c r="F67" s="3667"/>
      <c r="G67" s="3668"/>
      <c r="H67" s="3667"/>
      <c r="I67" s="3668"/>
      <c r="J67" s="848" t="s">
        <v>371</v>
      </c>
      <c r="K67" s="884" t="s">
        <v>366</v>
      </c>
      <c r="L67" s="872" t="s">
        <v>358</v>
      </c>
      <c r="M67" s="3671"/>
      <c r="N67" s="892" t="s">
        <v>373</v>
      </c>
      <c r="O67" s="257"/>
      <c r="P67" s="257"/>
      <c r="Q67" s="257"/>
      <c r="R67" s="257"/>
      <c r="S67" s="257"/>
      <c r="T67" s="257"/>
      <c r="U67" s="257"/>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57"/>
      <c r="BK67" s="257"/>
      <c r="BL67" s="257"/>
      <c r="BM67" s="257"/>
      <c r="BN67" s="257"/>
      <c r="BO67" s="257"/>
      <c r="BP67" s="257"/>
      <c r="BQ67" s="257"/>
      <c r="BR67" s="257"/>
      <c r="BS67" s="257"/>
      <c r="BT67" s="257"/>
      <c r="BU67" s="257"/>
      <c r="BV67" s="257"/>
      <c r="BW67" s="257"/>
      <c r="BX67" s="257"/>
      <c r="BY67" s="257"/>
      <c r="BZ67" s="257"/>
      <c r="CA67" s="257"/>
      <c r="CB67" s="257"/>
      <c r="CC67" s="257"/>
      <c r="CD67" s="257"/>
      <c r="CE67" s="257"/>
      <c r="CF67" s="257"/>
      <c r="CG67" s="257"/>
      <c r="CH67" s="257"/>
      <c r="CI67" s="257"/>
      <c r="CJ67" s="257"/>
      <c r="CK67" s="257"/>
      <c r="CL67" s="257"/>
      <c r="CM67" s="257"/>
      <c r="CN67" s="257"/>
      <c r="CO67" s="257"/>
      <c r="CP67" s="257"/>
      <c r="CQ67" s="257"/>
      <c r="CR67" s="257"/>
      <c r="CS67" s="257"/>
      <c r="CT67" s="257"/>
      <c r="CU67" s="257"/>
      <c r="CV67" s="257"/>
      <c r="CW67" s="257"/>
      <c r="CX67" s="257"/>
      <c r="CY67" s="257"/>
      <c r="CZ67" s="257"/>
      <c r="DA67" s="257"/>
      <c r="DB67" s="257"/>
      <c r="DC67" s="257"/>
      <c r="DD67" s="257"/>
      <c r="DE67" s="257"/>
      <c r="DF67" s="257"/>
      <c r="DG67" s="257"/>
      <c r="DH67" s="257"/>
      <c r="DI67" s="257"/>
      <c r="DJ67" s="257"/>
      <c r="DK67" s="257"/>
      <c r="DL67" s="257"/>
      <c r="DM67" s="257"/>
      <c r="DN67" s="257"/>
      <c r="DO67" s="257"/>
      <c r="DP67" s="257"/>
      <c r="DQ67" s="257"/>
      <c r="DR67" s="257"/>
      <c r="DS67" s="257"/>
      <c r="DT67" s="257"/>
      <c r="DU67" s="257"/>
      <c r="DV67" s="257"/>
    </row>
    <row r="68" spans="1:126" ht="15" hidden="1" customHeight="1" x14ac:dyDescent="0.35">
      <c r="A68" s="848" t="s">
        <v>337</v>
      </c>
      <c r="B68" s="849" t="s">
        <v>337</v>
      </c>
      <c r="C68" s="850" t="s">
        <v>242</v>
      </c>
      <c r="D68" s="887">
        <v>20.7</v>
      </c>
      <c r="E68" s="850" t="s">
        <v>202</v>
      </c>
      <c r="F68" s="3667"/>
      <c r="G68" s="3668"/>
      <c r="H68" s="3667"/>
      <c r="I68" s="3668"/>
      <c r="J68" s="848" t="s">
        <v>371</v>
      </c>
      <c r="K68" s="884" t="s">
        <v>366</v>
      </c>
      <c r="L68" s="872" t="s">
        <v>358</v>
      </c>
      <c r="M68" s="3671"/>
      <c r="N68" s="886" t="s">
        <v>374</v>
      </c>
      <c r="O68" s="257"/>
      <c r="P68" s="257"/>
      <c r="Q68" s="257"/>
      <c r="R68" s="257"/>
      <c r="S68" s="257"/>
      <c r="T68" s="257"/>
      <c r="U68" s="257"/>
      <c r="V68" s="257"/>
      <c r="W68" s="257"/>
      <c r="X68" s="257"/>
      <c r="Y68" s="257"/>
      <c r="Z68" s="257"/>
      <c r="AA68" s="257"/>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c r="BL68" s="257"/>
      <c r="BM68" s="257"/>
      <c r="BN68" s="257"/>
      <c r="BO68" s="257"/>
      <c r="BP68" s="257"/>
      <c r="BQ68" s="257"/>
      <c r="BR68" s="257"/>
      <c r="BS68" s="257"/>
      <c r="BT68" s="257"/>
      <c r="BU68" s="257"/>
      <c r="BV68" s="257"/>
      <c r="BW68" s="257"/>
      <c r="BX68" s="257"/>
      <c r="BY68" s="257"/>
      <c r="BZ68" s="257"/>
      <c r="CA68" s="257"/>
      <c r="CB68" s="257"/>
      <c r="CC68" s="257"/>
      <c r="CD68" s="257"/>
      <c r="CE68" s="257"/>
      <c r="CF68" s="257"/>
      <c r="CG68" s="257"/>
      <c r="CH68" s="257"/>
      <c r="CI68" s="257"/>
      <c r="CJ68" s="257"/>
      <c r="CK68" s="257"/>
      <c r="CL68" s="257"/>
      <c r="CM68" s="257"/>
      <c r="CN68" s="257"/>
      <c r="CO68" s="257"/>
      <c r="CP68" s="257"/>
      <c r="CQ68" s="257"/>
      <c r="CR68" s="257"/>
      <c r="CS68" s="257"/>
      <c r="CT68" s="257"/>
      <c r="CU68" s="257"/>
      <c r="CV68" s="257"/>
      <c r="CW68" s="257"/>
      <c r="CX68" s="257"/>
      <c r="CY68" s="257"/>
      <c r="CZ68" s="257"/>
      <c r="DA68" s="257"/>
      <c r="DB68" s="257"/>
      <c r="DC68" s="257"/>
      <c r="DD68" s="257"/>
      <c r="DE68" s="257"/>
      <c r="DF68" s="257"/>
      <c r="DG68" s="257"/>
      <c r="DH68" s="257"/>
      <c r="DI68" s="257"/>
      <c r="DJ68" s="257"/>
      <c r="DK68" s="257"/>
      <c r="DL68" s="257"/>
      <c r="DM68" s="257"/>
      <c r="DN68" s="257"/>
      <c r="DO68" s="257"/>
      <c r="DP68" s="257"/>
      <c r="DQ68" s="257"/>
      <c r="DR68" s="257"/>
      <c r="DS68" s="257"/>
      <c r="DT68" s="257"/>
      <c r="DU68" s="257"/>
      <c r="DV68" s="257"/>
    </row>
    <row r="69" spans="1:126" ht="15" hidden="1" customHeight="1" x14ac:dyDescent="0.35">
      <c r="A69" s="848" t="s">
        <v>337</v>
      </c>
      <c r="B69" s="849" t="s">
        <v>337</v>
      </c>
      <c r="C69" s="850" t="s">
        <v>244</v>
      </c>
      <c r="D69" s="887">
        <v>0</v>
      </c>
      <c r="E69" s="850" t="s">
        <v>245</v>
      </c>
      <c r="F69" s="3667"/>
      <c r="G69" s="3668"/>
      <c r="H69" s="3667"/>
      <c r="I69" s="3668"/>
      <c r="J69" s="848" t="s">
        <v>371</v>
      </c>
      <c r="K69" s="884" t="s">
        <v>366</v>
      </c>
      <c r="L69" s="872" t="s">
        <v>358</v>
      </c>
      <c r="M69" s="3671"/>
      <c r="N69" s="886" t="s">
        <v>375</v>
      </c>
      <c r="O69" s="257"/>
      <c r="P69" s="257"/>
      <c r="Q69" s="257"/>
      <c r="R69" s="257"/>
      <c r="S69" s="257"/>
      <c r="T69" s="257"/>
      <c r="U69" s="257"/>
      <c r="V69" s="257"/>
      <c r="W69" s="257"/>
      <c r="X69" s="257"/>
      <c r="Y69" s="257"/>
      <c r="Z69" s="257"/>
      <c r="AA69" s="257"/>
      <c r="AB69" s="257"/>
      <c r="AC69" s="257"/>
      <c r="AD69" s="257"/>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c r="BL69" s="257"/>
      <c r="BM69" s="257"/>
      <c r="BN69" s="257"/>
      <c r="BO69" s="257"/>
      <c r="BP69" s="257"/>
      <c r="BQ69" s="257"/>
      <c r="BR69" s="257"/>
      <c r="BS69" s="257"/>
      <c r="BT69" s="257"/>
      <c r="BU69" s="257"/>
      <c r="BV69" s="257"/>
      <c r="BW69" s="257"/>
      <c r="BX69" s="257"/>
      <c r="BY69" s="257"/>
      <c r="BZ69" s="257"/>
      <c r="CA69" s="257"/>
      <c r="CB69" s="257"/>
      <c r="CC69" s="257"/>
      <c r="CD69" s="257"/>
      <c r="CE69" s="257"/>
      <c r="CF69" s="257"/>
      <c r="CG69" s="257"/>
      <c r="CH69" s="257"/>
      <c r="CI69" s="257"/>
      <c r="CJ69" s="257"/>
      <c r="CK69" s="257"/>
      <c r="CL69" s="257"/>
      <c r="CM69" s="257"/>
      <c r="CN69" s="257"/>
      <c r="CO69" s="257"/>
      <c r="CP69" s="257"/>
      <c r="CQ69" s="257"/>
      <c r="CR69" s="257"/>
      <c r="CS69" s="257"/>
      <c r="CT69" s="257"/>
      <c r="CU69" s="257"/>
      <c r="CV69" s="257"/>
      <c r="CW69" s="257"/>
      <c r="CX69" s="257"/>
      <c r="CY69" s="257"/>
      <c r="CZ69" s="257"/>
      <c r="DA69" s="257"/>
      <c r="DB69" s="257"/>
      <c r="DC69" s="257"/>
      <c r="DD69" s="257"/>
      <c r="DE69" s="257"/>
      <c r="DF69" s="257"/>
      <c r="DG69" s="257"/>
      <c r="DH69" s="257"/>
      <c r="DI69" s="257"/>
      <c r="DJ69" s="257"/>
      <c r="DK69" s="257"/>
      <c r="DL69" s="257"/>
      <c r="DM69" s="257"/>
      <c r="DN69" s="257"/>
      <c r="DO69" s="257"/>
      <c r="DP69" s="257"/>
      <c r="DQ69" s="257"/>
      <c r="DR69" s="257"/>
      <c r="DS69" s="257"/>
      <c r="DT69" s="257"/>
      <c r="DU69" s="257"/>
      <c r="DV69" s="257"/>
    </row>
    <row r="70" spans="1:126" ht="15" hidden="1" customHeight="1" x14ac:dyDescent="0.35">
      <c r="A70" s="848" t="s">
        <v>337</v>
      </c>
      <c r="B70" s="849" t="s">
        <v>337</v>
      </c>
      <c r="C70" s="850" t="s">
        <v>247</v>
      </c>
      <c r="D70" s="887">
        <v>0</v>
      </c>
      <c r="E70" s="850" t="s">
        <v>215</v>
      </c>
      <c r="F70" s="3667"/>
      <c r="G70" s="3668"/>
      <c r="H70" s="3667"/>
      <c r="I70" s="3668"/>
      <c r="J70" s="848" t="s">
        <v>371</v>
      </c>
      <c r="K70" s="884" t="s">
        <v>366</v>
      </c>
      <c r="L70" s="872" t="s">
        <v>358</v>
      </c>
      <c r="M70" s="3671"/>
      <c r="N70" s="886" t="s">
        <v>374</v>
      </c>
      <c r="O70" s="257"/>
      <c r="P70" s="257"/>
      <c r="Q70" s="257"/>
      <c r="R70" s="257"/>
      <c r="S70" s="257"/>
      <c r="T70" s="257"/>
      <c r="U70" s="257"/>
      <c r="V70" s="257"/>
      <c r="W70" s="257"/>
      <c r="X70" s="257"/>
      <c r="Y70" s="257"/>
      <c r="Z70" s="257"/>
      <c r="AA70" s="257"/>
      <c r="AB70" s="257"/>
      <c r="AC70" s="257"/>
      <c r="AD70" s="257"/>
      <c r="AE70" s="257"/>
      <c r="AF70" s="257"/>
      <c r="AG70" s="257"/>
      <c r="AH70" s="25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c r="BL70" s="257"/>
      <c r="BM70" s="257"/>
      <c r="BN70" s="257"/>
      <c r="BO70" s="257"/>
      <c r="BP70" s="257"/>
      <c r="BQ70" s="257"/>
      <c r="BR70" s="257"/>
      <c r="BS70" s="257"/>
      <c r="BT70" s="257"/>
      <c r="BU70" s="257"/>
      <c r="BV70" s="257"/>
      <c r="BW70" s="257"/>
      <c r="BX70" s="257"/>
      <c r="BY70" s="257"/>
      <c r="BZ70" s="257"/>
      <c r="CA70" s="257"/>
      <c r="CB70" s="257"/>
      <c r="CC70" s="257"/>
      <c r="CD70" s="257"/>
      <c r="CE70" s="257"/>
      <c r="CF70" s="257"/>
      <c r="CG70" s="257"/>
      <c r="CH70" s="257"/>
      <c r="CI70" s="257"/>
      <c r="CJ70" s="257"/>
      <c r="CK70" s="257"/>
      <c r="CL70" s="257"/>
      <c r="CM70" s="257"/>
      <c r="CN70" s="257"/>
      <c r="CO70" s="257"/>
      <c r="CP70" s="257"/>
      <c r="CQ70" s="257"/>
      <c r="CR70" s="257"/>
      <c r="CS70" s="257"/>
      <c r="CT70" s="257"/>
      <c r="CU70" s="257"/>
      <c r="CV70" s="257"/>
      <c r="CW70" s="257"/>
      <c r="CX70" s="257"/>
      <c r="CY70" s="257"/>
      <c r="CZ70" s="257"/>
      <c r="DA70" s="257"/>
      <c r="DB70" s="257"/>
      <c r="DC70" s="257"/>
      <c r="DD70" s="257"/>
      <c r="DE70" s="257"/>
      <c r="DF70" s="257"/>
      <c r="DG70" s="257"/>
      <c r="DH70" s="257"/>
      <c r="DI70" s="257"/>
      <c r="DJ70" s="257"/>
      <c r="DK70" s="257"/>
      <c r="DL70" s="257"/>
      <c r="DM70" s="257"/>
      <c r="DN70" s="257"/>
      <c r="DO70" s="257"/>
      <c r="DP70" s="257"/>
      <c r="DQ70" s="257"/>
      <c r="DR70" s="257"/>
      <c r="DS70" s="257"/>
      <c r="DT70" s="257"/>
      <c r="DU70" s="257"/>
      <c r="DV70" s="257"/>
    </row>
    <row r="71" spans="1:126" ht="15" hidden="1" customHeight="1" x14ac:dyDescent="0.35">
      <c r="A71" s="848" t="s">
        <v>337</v>
      </c>
      <c r="B71" s="849" t="s">
        <v>337</v>
      </c>
      <c r="C71" s="850" t="s">
        <v>248</v>
      </c>
      <c r="D71" s="887">
        <v>20.7</v>
      </c>
      <c r="E71" s="850" t="s">
        <v>202</v>
      </c>
      <c r="F71" s="3667"/>
      <c r="G71" s="3668"/>
      <c r="H71" s="3667"/>
      <c r="I71" s="3668"/>
      <c r="J71" s="848" t="s">
        <v>371</v>
      </c>
      <c r="K71" s="884" t="s">
        <v>366</v>
      </c>
      <c r="L71" s="872" t="s">
        <v>358</v>
      </c>
      <c r="M71" s="3671"/>
      <c r="N71" s="886" t="s">
        <v>337</v>
      </c>
      <c r="O71" s="257"/>
      <c r="P71" s="257"/>
      <c r="Q71" s="257"/>
      <c r="R71" s="257"/>
      <c r="S71" s="257"/>
      <c r="T71" s="257"/>
      <c r="U71" s="257"/>
      <c r="V71" s="257"/>
      <c r="W71" s="257"/>
      <c r="X71" s="257"/>
      <c r="Y71" s="257"/>
      <c r="Z71" s="257"/>
      <c r="AA71" s="257"/>
      <c r="AB71" s="257"/>
      <c r="AC71" s="257"/>
      <c r="AD71" s="257"/>
      <c r="AE71" s="257"/>
      <c r="AF71" s="257"/>
      <c r="AG71" s="257"/>
      <c r="AH71" s="25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c r="BL71" s="257"/>
      <c r="BM71" s="257"/>
      <c r="BN71" s="257"/>
      <c r="BO71" s="257"/>
      <c r="BP71" s="257"/>
      <c r="BQ71" s="257"/>
      <c r="BR71" s="257"/>
      <c r="BS71" s="257"/>
      <c r="BT71" s="257"/>
      <c r="BU71" s="257"/>
      <c r="BV71" s="257"/>
      <c r="BW71" s="257"/>
      <c r="BX71" s="257"/>
      <c r="BY71" s="257"/>
      <c r="BZ71" s="257"/>
      <c r="CA71" s="257"/>
      <c r="CB71" s="257"/>
      <c r="CC71" s="257"/>
      <c r="CD71" s="257"/>
      <c r="CE71" s="257"/>
      <c r="CF71" s="257"/>
      <c r="CG71" s="257"/>
      <c r="CH71" s="257"/>
      <c r="CI71" s="257"/>
      <c r="CJ71" s="257"/>
      <c r="CK71" s="257"/>
      <c r="CL71" s="257"/>
      <c r="CM71" s="257"/>
      <c r="CN71" s="257"/>
      <c r="CO71" s="257"/>
      <c r="CP71" s="257"/>
      <c r="CQ71" s="257"/>
      <c r="CR71" s="257"/>
      <c r="CS71" s="257"/>
      <c r="CT71" s="257"/>
      <c r="CU71" s="257"/>
      <c r="CV71" s="257"/>
      <c r="CW71" s="257"/>
      <c r="CX71" s="257"/>
      <c r="CY71" s="257"/>
      <c r="CZ71" s="257"/>
      <c r="DA71" s="257"/>
      <c r="DB71" s="257"/>
      <c r="DC71" s="257"/>
      <c r="DD71" s="257"/>
      <c r="DE71" s="257"/>
      <c r="DF71" s="257"/>
      <c r="DG71" s="257"/>
      <c r="DH71" s="257"/>
      <c r="DI71" s="257"/>
      <c r="DJ71" s="257"/>
      <c r="DK71" s="257"/>
      <c r="DL71" s="257"/>
      <c r="DM71" s="257"/>
      <c r="DN71" s="257"/>
      <c r="DO71" s="257"/>
      <c r="DP71" s="257"/>
      <c r="DQ71" s="257"/>
      <c r="DR71" s="257"/>
      <c r="DS71" s="257"/>
      <c r="DT71" s="257"/>
      <c r="DU71" s="257"/>
      <c r="DV71" s="257"/>
    </row>
    <row r="72" spans="1:126" ht="15" hidden="1" customHeight="1" x14ac:dyDescent="0.35">
      <c r="A72" s="848" t="s">
        <v>337</v>
      </c>
      <c r="B72" s="849" t="s">
        <v>337</v>
      </c>
      <c r="C72" s="850" t="s">
        <v>249</v>
      </c>
      <c r="D72" s="848">
        <v>20.7</v>
      </c>
      <c r="E72" s="850" t="s">
        <v>202</v>
      </c>
      <c r="F72" s="3667"/>
      <c r="G72" s="3668"/>
      <c r="H72" s="3667"/>
      <c r="I72" s="3668"/>
      <c r="J72" s="852">
        <v>4070</v>
      </c>
      <c r="K72" s="882">
        <v>84385</v>
      </c>
      <c r="L72" s="869">
        <v>84385</v>
      </c>
      <c r="M72" s="3671"/>
      <c r="N72" s="883" t="s">
        <v>376</v>
      </c>
      <c r="O72" s="257"/>
      <c r="P72" s="257"/>
      <c r="Q72" s="257"/>
      <c r="R72" s="257"/>
      <c r="S72" s="257"/>
      <c r="T72" s="257"/>
      <c r="U72" s="257"/>
      <c r="V72" s="257"/>
      <c r="W72" s="257"/>
      <c r="X72" s="257"/>
      <c r="Y72" s="257"/>
      <c r="Z72" s="257"/>
      <c r="AA72" s="257"/>
      <c r="AB72" s="257"/>
      <c r="AC72" s="257"/>
      <c r="AD72" s="257"/>
      <c r="AE72" s="257"/>
      <c r="AF72" s="257"/>
      <c r="AG72" s="257"/>
      <c r="AH72" s="25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c r="BL72" s="257"/>
      <c r="BM72" s="257"/>
      <c r="BN72" s="257"/>
      <c r="BO72" s="257"/>
      <c r="BP72" s="257"/>
      <c r="BQ72" s="257"/>
      <c r="BR72" s="257"/>
      <c r="BS72" s="257"/>
      <c r="BT72" s="257"/>
      <c r="BU72" s="257"/>
      <c r="BV72" s="257"/>
      <c r="BW72" s="257"/>
      <c r="BX72" s="257"/>
      <c r="BY72" s="257"/>
      <c r="BZ72" s="257"/>
      <c r="CA72" s="257"/>
      <c r="CB72" s="257"/>
      <c r="CC72" s="257"/>
      <c r="CD72" s="257"/>
      <c r="CE72" s="257"/>
      <c r="CF72" s="257"/>
      <c r="CG72" s="257"/>
      <c r="CH72" s="257"/>
      <c r="CI72" s="257"/>
      <c r="CJ72" s="257"/>
      <c r="CK72" s="257"/>
      <c r="CL72" s="257"/>
      <c r="CM72" s="257"/>
      <c r="CN72" s="257"/>
      <c r="CO72" s="257"/>
      <c r="CP72" s="257"/>
      <c r="CQ72" s="257"/>
      <c r="CR72" s="257"/>
      <c r="CS72" s="257"/>
      <c r="CT72" s="257"/>
      <c r="CU72" s="257"/>
      <c r="CV72" s="257"/>
      <c r="CW72" s="257"/>
      <c r="CX72" s="257"/>
      <c r="CY72" s="257"/>
      <c r="CZ72" s="257"/>
      <c r="DA72" s="257"/>
      <c r="DB72" s="257"/>
      <c r="DC72" s="257"/>
      <c r="DD72" s="257"/>
      <c r="DE72" s="257"/>
      <c r="DF72" s="257"/>
      <c r="DG72" s="257"/>
      <c r="DH72" s="257"/>
      <c r="DI72" s="257"/>
      <c r="DJ72" s="257"/>
      <c r="DK72" s="257"/>
      <c r="DL72" s="257"/>
      <c r="DM72" s="257"/>
      <c r="DN72" s="257"/>
      <c r="DO72" s="257"/>
      <c r="DP72" s="257"/>
      <c r="DQ72" s="257"/>
      <c r="DR72" s="257"/>
      <c r="DS72" s="257"/>
      <c r="DT72" s="257"/>
      <c r="DU72" s="257"/>
      <c r="DV72" s="257"/>
    </row>
    <row r="73" spans="1:126" ht="15" hidden="1" customHeight="1" x14ac:dyDescent="0.35">
      <c r="A73" s="848" t="s">
        <v>337</v>
      </c>
      <c r="B73" s="849" t="s">
        <v>337</v>
      </c>
      <c r="C73" s="850" t="s">
        <v>251</v>
      </c>
      <c r="D73" s="848">
        <v>10</v>
      </c>
      <c r="E73" s="850" t="s">
        <v>199</v>
      </c>
      <c r="F73" s="3667"/>
      <c r="G73" s="3668"/>
      <c r="H73" s="3667"/>
      <c r="I73" s="3668"/>
      <c r="J73" s="852">
        <v>93</v>
      </c>
      <c r="K73" s="882">
        <v>930</v>
      </c>
      <c r="L73" s="869">
        <v>930</v>
      </c>
      <c r="M73" s="3671"/>
      <c r="N73" s="883" t="s">
        <v>376</v>
      </c>
      <c r="O73" s="257"/>
      <c r="P73" s="257"/>
      <c r="Q73" s="257"/>
      <c r="R73" s="257"/>
      <c r="S73" s="257"/>
      <c r="T73" s="257"/>
      <c r="U73" s="257"/>
      <c r="V73" s="257"/>
      <c r="W73" s="257"/>
      <c r="X73" s="257"/>
      <c r="Y73" s="257"/>
      <c r="Z73" s="257"/>
      <c r="AA73" s="257"/>
      <c r="AB73" s="257"/>
      <c r="AC73" s="257"/>
      <c r="AD73" s="257"/>
      <c r="AE73" s="257"/>
      <c r="AF73" s="257"/>
      <c r="AG73" s="257"/>
      <c r="AH73" s="25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c r="BL73" s="257"/>
      <c r="BM73" s="257"/>
      <c r="BN73" s="257"/>
      <c r="BO73" s="257"/>
      <c r="BP73" s="257"/>
      <c r="BQ73" s="257"/>
      <c r="BR73" s="257"/>
      <c r="BS73" s="257"/>
      <c r="BT73" s="257"/>
      <c r="BU73" s="257"/>
      <c r="BV73" s="257"/>
      <c r="BW73" s="257"/>
      <c r="BX73" s="257"/>
      <c r="BY73" s="257"/>
      <c r="BZ73" s="257"/>
      <c r="CA73" s="257"/>
      <c r="CB73" s="257"/>
      <c r="CC73" s="257"/>
      <c r="CD73" s="257"/>
      <c r="CE73" s="257"/>
      <c r="CF73" s="257"/>
      <c r="CG73" s="257"/>
      <c r="CH73" s="257"/>
      <c r="CI73" s="257"/>
      <c r="CJ73" s="257"/>
      <c r="CK73" s="257"/>
      <c r="CL73" s="257"/>
      <c r="CM73" s="257"/>
      <c r="CN73" s="257"/>
      <c r="CO73" s="257"/>
      <c r="CP73" s="257"/>
      <c r="CQ73" s="257"/>
      <c r="CR73" s="257"/>
      <c r="CS73" s="257"/>
      <c r="CT73" s="257"/>
      <c r="CU73" s="257"/>
      <c r="CV73" s="257"/>
      <c r="CW73" s="257"/>
      <c r="CX73" s="257"/>
      <c r="CY73" s="257"/>
      <c r="CZ73" s="257"/>
      <c r="DA73" s="257"/>
      <c r="DB73" s="257"/>
      <c r="DC73" s="257"/>
      <c r="DD73" s="257"/>
      <c r="DE73" s="257"/>
      <c r="DF73" s="257"/>
      <c r="DG73" s="257"/>
      <c r="DH73" s="257"/>
      <c r="DI73" s="257"/>
      <c r="DJ73" s="257"/>
      <c r="DK73" s="257"/>
      <c r="DL73" s="257"/>
      <c r="DM73" s="257"/>
      <c r="DN73" s="257"/>
      <c r="DO73" s="257"/>
      <c r="DP73" s="257"/>
      <c r="DQ73" s="257"/>
      <c r="DR73" s="257"/>
      <c r="DS73" s="257"/>
      <c r="DT73" s="257"/>
      <c r="DU73" s="257"/>
      <c r="DV73" s="257"/>
    </row>
    <row r="74" spans="1:126" ht="15" hidden="1" customHeight="1" x14ac:dyDescent="0.35">
      <c r="A74" s="848" t="s">
        <v>337</v>
      </c>
      <c r="B74" s="849" t="s">
        <v>337</v>
      </c>
      <c r="C74" s="850" t="s">
        <v>252</v>
      </c>
      <c r="D74" s="848">
        <v>0</v>
      </c>
      <c r="E74" s="850" t="s">
        <v>202</v>
      </c>
      <c r="F74" s="3667"/>
      <c r="G74" s="3668"/>
      <c r="H74" s="3667"/>
      <c r="I74" s="3668"/>
      <c r="J74" s="852">
        <v>407</v>
      </c>
      <c r="K74" s="884" t="s">
        <v>366</v>
      </c>
      <c r="L74" s="872" t="s">
        <v>358</v>
      </c>
      <c r="M74" s="3671"/>
      <c r="N74" s="883" t="s">
        <v>376</v>
      </c>
      <c r="O74" s="257"/>
      <c r="P74" s="257"/>
      <c r="Q74" s="257"/>
      <c r="R74" s="257"/>
      <c r="S74" s="257"/>
      <c r="T74" s="257"/>
      <c r="U74" s="257"/>
      <c r="V74" s="257"/>
      <c r="W74" s="257"/>
      <c r="X74" s="257"/>
      <c r="Y74" s="257"/>
      <c r="Z74" s="257"/>
      <c r="AA74" s="257"/>
      <c r="AB74" s="257"/>
      <c r="AC74" s="257"/>
      <c r="AD74" s="257"/>
      <c r="AE74" s="257"/>
      <c r="AF74" s="257"/>
      <c r="AG74" s="257"/>
      <c r="AH74" s="25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c r="BL74" s="257"/>
      <c r="BM74" s="257"/>
      <c r="BN74" s="257"/>
      <c r="BO74" s="257"/>
      <c r="BP74" s="257"/>
      <c r="BQ74" s="257"/>
      <c r="BR74" s="257"/>
      <c r="BS74" s="257"/>
      <c r="BT74" s="257"/>
      <c r="BU74" s="257"/>
      <c r="BV74" s="257"/>
      <c r="BW74" s="257"/>
      <c r="BX74" s="257"/>
      <c r="BY74" s="257"/>
      <c r="BZ74" s="257"/>
      <c r="CA74" s="257"/>
      <c r="CB74" s="257"/>
      <c r="CC74" s="257"/>
      <c r="CD74" s="257"/>
      <c r="CE74" s="257"/>
      <c r="CF74" s="257"/>
      <c r="CG74" s="257"/>
      <c r="CH74" s="257"/>
      <c r="CI74" s="257"/>
      <c r="CJ74" s="257"/>
      <c r="CK74" s="257"/>
      <c r="CL74" s="257"/>
      <c r="CM74" s="257"/>
      <c r="CN74" s="257"/>
      <c r="CO74" s="257"/>
      <c r="CP74" s="257"/>
      <c r="CQ74" s="257"/>
      <c r="CR74" s="257"/>
      <c r="CS74" s="257"/>
      <c r="CT74" s="257"/>
      <c r="CU74" s="257"/>
      <c r="CV74" s="257"/>
      <c r="CW74" s="257"/>
      <c r="CX74" s="257"/>
      <c r="CY74" s="257"/>
      <c r="CZ74" s="257"/>
      <c r="DA74" s="257"/>
      <c r="DB74" s="257"/>
      <c r="DC74" s="257"/>
      <c r="DD74" s="257"/>
      <c r="DE74" s="257"/>
      <c r="DF74" s="257"/>
      <c r="DG74" s="257"/>
      <c r="DH74" s="257"/>
      <c r="DI74" s="257"/>
      <c r="DJ74" s="257"/>
      <c r="DK74" s="257"/>
      <c r="DL74" s="257"/>
      <c r="DM74" s="257"/>
      <c r="DN74" s="257"/>
      <c r="DO74" s="257"/>
      <c r="DP74" s="257"/>
      <c r="DQ74" s="257"/>
      <c r="DR74" s="257"/>
      <c r="DS74" s="257"/>
      <c r="DT74" s="257"/>
      <c r="DU74" s="257"/>
      <c r="DV74" s="257"/>
    </row>
    <row r="75" spans="1:126" ht="15" hidden="1" customHeight="1" x14ac:dyDescent="0.35">
      <c r="A75" s="848" t="s">
        <v>337</v>
      </c>
      <c r="B75" s="849" t="s">
        <v>337</v>
      </c>
      <c r="C75" s="850" t="s">
        <v>253</v>
      </c>
      <c r="D75" s="848">
        <v>0</v>
      </c>
      <c r="E75" s="850" t="s">
        <v>199</v>
      </c>
      <c r="F75" s="3667"/>
      <c r="G75" s="3668"/>
      <c r="H75" s="3667"/>
      <c r="I75" s="3668"/>
      <c r="J75" s="852">
        <v>93</v>
      </c>
      <c r="K75" s="884" t="s">
        <v>366</v>
      </c>
      <c r="L75" s="872" t="s">
        <v>358</v>
      </c>
      <c r="M75" s="3671"/>
      <c r="N75" s="883" t="s">
        <v>376</v>
      </c>
      <c r="O75" s="257"/>
      <c r="P75" s="257"/>
      <c r="Q75" s="257"/>
      <c r="R75" s="257"/>
      <c r="S75" s="257"/>
      <c r="T75" s="257"/>
      <c r="U75" s="257"/>
      <c r="V75" s="257"/>
      <c r="W75" s="257"/>
      <c r="X75" s="257"/>
      <c r="Y75" s="257"/>
      <c r="Z75" s="257"/>
      <c r="AA75" s="257"/>
      <c r="AB75" s="257"/>
      <c r="AC75" s="257"/>
      <c r="AD75" s="257"/>
      <c r="AE75" s="257"/>
      <c r="AF75" s="257"/>
      <c r="AG75" s="257"/>
      <c r="AH75" s="257"/>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c r="BL75" s="257"/>
      <c r="BM75" s="257"/>
      <c r="BN75" s="257"/>
      <c r="BO75" s="257"/>
      <c r="BP75" s="257"/>
      <c r="BQ75" s="257"/>
      <c r="BR75" s="257"/>
      <c r="BS75" s="257"/>
      <c r="BT75" s="257"/>
      <c r="BU75" s="257"/>
      <c r="BV75" s="257"/>
      <c r="BW75" s="257"/>
      <c r="BX75" s="257"/>
      <c r="BY75" s="257"/>
      <c r="BZ75" s="257"/>
      <c r="CA75" s="257"/>
      <c r="CB75" s="257"/>
      <c r="CC75" s="257"/>
      <c r="CD75" s="257"/>
      <c r="CE75" s="257"/>
      <c r="CF75" s="257"/>
      <c r="CG75" s="257"/>
      <c r="CH75" s="257"/>
      <c r="CI75" s="257"/>
      <c r="CJ75" s="257"/>
      <c r="CK75" s="257"/>
      <c r="CL75" s="257"/>
      <c r="CM75" s="257"/>
      <c r="CN75" s="257"/>
      <c r="CO75" s="257"/>
      <c r="CP75" s="257"/>
      <c r="CQ75" s="257"/>
      <c r="CR75" s="257"/>
      <c r="CS75" s="257"/>
      <c r="CT75" s="257"/>
      <c r="CU75" s="257"/>
      <c r="CV75" s="257"/>
      <c r="CW75" s="257"/>
      <c r="CX75" s="257"/>
      <c r="CY75" s="257"/>
      <c r="CZ75" s="257"/>
      <c r="DA75" s="257"/>
      <c r="DB75" s="257"/>
      <c r="DC75" s="257"/>
      <c r="DD75" s="257"/>
      <c r="DE75" s="257"/>
      <c r="DF75" s="257"/>
      <c r="DG75" s="257"/>
      <c r="DH75" s="257"/>
      <c r="DI75" s="257"/>
      <c r="DJ75" s="257"/>
      <c r="DK75" s="257"/>
      <c r="DL75" s="257"/>
      <c r="DM75" s="257"/>
      <c r="DN75" s="257"/>
      <c r="DO75" s="257"/>
      <c r="DP75" s="257"/>
      <c r="DQ75" s="257"/>
      <c r="DR75" s="257"/>
      <c r="DS75" s="257"/>
      <c r="DT75" s="257"/>
      <c r="DU75" s="257"/>
      <c r="DV75" s="257"/>
    </row>
    <row r="76" spans="1:126" ht="15" hidden="1" customHeight="1" x14ac:dyDescent="0.35">
      <c r="A76" s="848" t="s">
        <v>337</v>
      </c>
      <c r="B76" s="849" t="s">
        <v>337</v>
      </c>
      <c r="C76" s="850" t="s">
        <v>254</v>
      </c>
      <c r="D76" s="887">
        <v>20.7</v>
      </c>
      <c r="E76" s="850" t="s">
        <v>202</v>
      </c>
      <c r="F76" s="3667"/>
      <c r="G76" s="3668"/>
      <c r="H76" s="3667"/>
      <c r="I76" s="3668"/>
      <c r="J76" s="852">
        <v>500</v>
      </c>
      <c r="K76" s="882">
        <v>10367</v>
      </c>
      <c r="L76" s="869">
        <v>10367</v>
      </c>
      <c r="M76" s="3671"/>
      <c r="N76" s="892" t="s">
        <v>337</v>
      </c>
      <c r="O76" s="257"/>
      <c r="P76" s="257"/>
      <c r="Q76" s="257"/>
      <c r="R76" s="257"/>
      <c r="S76" s="257"/>
      <c r="T76" s="257"/>
      <c r="U76" s="257"/>
      <c r="V76" s="257"/>
      <c r="W76" s="257"/>
      <c r="X76" s="257"/>
      <c r="Y76" s="257"/>
      <c r="Z76" s="257"/>
      <c r="AA76" s="257"/>
      <c r="AB76" s="257"/>
      <c r="AC76" s="257"/>
      <c r="AD76" s="257"/>
      <c r="AE76" s="257"/>
      <c r="AF76" s="257"/>
      <c r="AG76" s="257"/>
      <c r="AH76" s="257"/>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c r="BL76" s="257"/>
      <c r="BM76" s="257"/>
      <c r="BN76" s="257"/>
      <c r="BO76" s="257"/>
      <c r="BP76" s="257"/>
      <c r="BQ76" s="257"/>
      <c r="BR76" s="257"/>
      <c r="BS76" s="257"/>
      <c r="BT76" s="257"/>
      <c r="BU76" s="257"/>
      <c r="BV76" s="257"/>
      <c r="BW76" s="257"/>
      <c r="BX76" s="257"/>
      <c r="BY76" s="257"/>
      <c r="BZ76" s="257"/>
      <c r="CA76" s="257"/>
      <c r="CB76" s="257"/>
      <c r="CC76" s="257"/>
      <c r="CD76" s="257"/>
      <c r="CE76" s="257"/>
      <c r="CF76" s="257"/>
      <c r="CG76" s="257"/>
      <c r="CH76" s="257"/>
      <c r="CI76" s="257"/>
      <c r="CJ76" s="257"/>
      <c r="CK76" s="257"/>
      <c r="CL76" s="257"/>
      <c r="CM76" s="257"/>
      <c r="CN76" s="257"/>
      <c r="CO76" s="257"/>
      <c r="CP76" s="257"/>
      <c r="CQ76" s="257"/>
      <c r="CR76" s="257"/>
      <c r="CS76" s="257"/>
      <c r="CT76" s="257"/>
      <c r="CU76" s="257"/>
      <c r="CV76" s="257"/>
      <c r="CW76" s="257"/>
      <c r="CX76" s="257"/>
      <c r="CY76" s="257"/>
      <c r="CZ76" s="257"/>
      <c r="DA76" s="257"/>
      <c r="DB76" s="257"/>
      <c r="DC76" s="257"/>
      <c r="DD76" s="257"/>
      <c r="DE76" s="257"/>
      <c r="DF76" s="257"/>
      <c r="DG76" s="257"/>
      <c r="DH76" s="257"/>
      <c r="DI76" s="257"/>
      <c r="DJ76" s="257"/>
      <c r="DK76" s="257"/>
      <c r="DL76" s="257"/>
      <c r="DM76" s="257"/>
      <c r="DN76" s="257"/>
      <c r="DO76" s="257"/>
      <c r="DP76" s="257"/>
      <c r="DQ76" s="257"/>
      <c r="DR76" s="257"/>
      <c r="DS76" s="257"/>
      <c r="DT76" s="257"/>
      <c r="DU76" s="257"/>
      <c r="DV76" s="257"/>
    </row>
    <row r="77" spans="1:126" ht="15" hidden="1" customHeight="1" x14ac:dyDescent="0.35">
      <c r="A77" s="848" t="s">
        <v>337</v>
      </c>
      <c r="B77" s="849" t="s">
        <v>337</v>
      </c>
      <c r="C77" s="850" t="s">
        <v>255</v>
      </c>
      <c r="D77" s="887">
        <v>0</v>
      </c>
      <c r="E77" s="850" t="s">
        <v>215</v>
      </c>
      <c r="F77" s="3667"/>
      <c r="G77" s="3668"/>
      <c r="H77" s="3667"/>
      <c r="I77" s="3668"/>
      <c r="J77" s="848" t="s">
        <v>371</v>
      </c>
      <c r="K77" s="884" t="s">
        <v>366</v>
      </c>
      <c r="L77" s="872" t="s">
        <v>358</v>
      </c>
      <c r="M77" s="3671"/>
      <c r="N77" s="892" t="s">
        <v>337</v>
      </c>
      <c r="O77" s="257"/>
      <c r="P77" s="257"/>
      <c r="Q77" s="257"/>
      <c r="R77" s="257"/>
      <c r="S77" s="257"/>
      <c r="T77" s="257"/>
      <c r="U77" s="257"/>
      <c r="V77" s="257"/>
      <c r="W77" s="257"/>
      <c r="X77" s="257"/>
      <c r="Y77" s="257"/>
      <c r="Z77" s="257"/>
      <c r="AA77" s="257"/>
      <c r="AB77" s="257"/>
      <c r="AC77" s="257"/>
      <c r="AD77" s="257"/>
      <c r="AE77" s="257"/>
      <c r="AF77" s="257"/>
      <c r="AG77" s="257"/>
      <c r="AH77" s="257"/>
      <c r="AI77" s="257"/>
      <c r="AJ77" s="257"/>
      <c r="AK77" s="257"/>
      <c r="AL77" s="257"/>
      <c r="AM77" s="257"/>
      <c r="AN77" s="257"/>
      <c r="AO77" s="257"/>
      <c r="AP77" s="257"/>
      <c r="AQ77" s="257"/>
      <c r="AR77" s="257"/>
      <c r="AS77" s="257"/>
      <c r="AT77" s="257"/>
      <c r="AU77" s="257"/>
      <c r="AV77" s="257"/>
      <c r="AW77" s="257"/>
      <c r="AX77" s="257"/>
      <c r="AY77" s="257"/>
      <c r="AZ77" s="257"/>
      <c r="BA77" s="257"/>
      <c r="BB77" s="257"/>
      <c r="BC77" s="257"/>
      <c r="BD77" s="257"/>
      <c r="BE77" s="257"/>
      <c r="BF77" s="257"/>
      <c r="BG77" s="257"/>
      <c r="BH77" s="257"/>
      <c r="BI77" s="257"/>
      <c r="BJ77" s="257"/>
      <c r="BK77" s="257"/>
      <c r="BL77" s="257"/>
      <c r="BM77" s="257"/>
      <c r="BN77" s="257"/>
      <c r="BO77" s="257"/>
      <c r="BP77" s="257"/>
      <c r="BQ77" s="257"/>
      <c r="BR77" s="257"/>
      <c r="BS77" s="257"/>
      <c r="BT77" s="257"/>
      <c r="BU77" s="257"/>
      <c r="BV77" s="257"/>
      <c r="BW77" s="257"/>
      <c r="BX77" s="257"/>
      <c r="BY77" s="257"/>
      <c r="BZ77" s="257"/>
      <c r="CA77" s="257"/>
      <c r="CB77" s="257"/>
      <c r="CC77" s="257"/>
      <c r="CD77" s="257"/>
      <c r="CE77" s="257"/>
      <c r="CF77" s="257"/>
      <c r="CG77" s="257"/>
      <c r="CH77" s="257"/>
      <c r="CI77" s="257"/>
      <c r="CJ77" s="257"/>
      <c r="CK77" s="257"/>
      <c r="CL77" s="257"/>
      <c r="CM77" s="257"/>
      <c r="CN77" s="257"/>
      <c r="CO77" s="257"/>
      <c r="CP77" s="257"/>
      <c r="CQ77" s="257"/>
      <c r="CR77" s="257"/>
      <c r="CS77" s="257"/>
      <c r="CT77" s="257"/>
      <c r="CU77" s="257"/>
      <c r="CV77" s="257"/>
      <c r="CW77" s="257"/>
      <c r="CX77" s="257"/>
      <c r="CY77" s="257"/>
      <c r="CZ77" s="257"/>
      <c r="DA77" s="257"/>
      <c r="DB77" s="257"/>
      <c r="DC77" s="257"/>
      <c r="DD77" s="257"/>
      <c r="DE77" s="257"/>
      <c r="DF77" s="257"/>
      <c r="DG77" s="257"/>
      <c r="DH77" s="257"/>
      <c r="DI77" s="257"/>
      <c r="DJ77" s="257"/>
      <c r="DK77" s="257"/>
      <c r="DL77" s="257"/>
      <c r="DM77" s="257"/>
      <c r="DN77" s="257"/>
      <c r="DO77" s="257"/>
      <c r="DP77" s="257"/>
      <c r="DQ77" s="257"/>
      <c r="DR77" s="257"/>
      <c r="DS77" s="257"/>
      <c r="DT77" s="257"/>
      <c r="DU77" s="257"/>
      <c r="DV77" s="257"/>
    </row>
    <row r="78" spans="1:126" ht="15" hidden="1" customHeight="1" x14ac:dyDescent="0.35">
      <c r="A78" s="848" t="s">
        <v>337</v>
      </c>
      <c r="B78" s="849" t="s">
        <v>337</v>
      </c>
      <c r="C78" s="850" t="s">
        <v>256</v>
      </c>
      <c r="D78" s="887">
        <v>20.7</v>
      </c>
      <c r="E78" s="850" t="s">
        <v>202</v>
      </c>
      <c r="F78" s="3667"/>
      <c r="G78" s="3668"/>
      <c r="H78" s="3667"/>
      <c r="I78" s="3668"/>
      <c r="J78" s="893" t="s">
        <v>371</v>
      </c>
      <c r="K78" s="871" t="s">
        <v>366</v>
      </c>
      <c r="L78" s="872" t="s">
        <v>358</v>
      </c>
      <c r="M78" s="3671"/>
      <c r="N78" s="305" t="s">
        <v>337</v>
      </c>
      <c r="O78" s="257"/>
      <c r="P78" s="257"/>
      <c r="Q78" s="257"/>
      <c r="R78" s="257"/>
      <c r="S78" s="257"/>
      <c r="T78" s="257"/>
      <c r="U78" s="257"/>
      <c r="V78" s="257"/>
      <c r="W78" s="257"/>
      <c r="X78" s="257"/>
      <c r="Y78" s="257"/>
      <c r="Z78" s="257"/>
      <c r="AA78" s="257"/>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7"/>
      <c r="BI78" s="257"/>
      <c r="BJ78" s="257"/>
      <c r="BK78" s="257"/>
      <c r="BL78" s="257"/>
      <c r="BM78" s="257"/>
      <c r="BN78" s="257"/>
      <c r="BO78" s="257"/>
      <c r="BP78" s="257"/>
      <c r="BQ78" s="257"/>
      <c r="BR78" s="257"/>
      <c r="BS78" s="257"/>
      <c r="BT78" s="257"/>
      <c r="BU78" s="257"/>
      <c r="BV78" s="257"/>
      <c r="BW78" s="257"/>
      <c r="BX78" s="257"/>
      <c r="BY78" s="257"/>
      <c r="BZ78" s="257"/>
      <c r="CA78" s="257"/>
      <c r="CB78" s="257"/>
      <c r="CC78" s="257"/>
      <c r="CD78" s="257"/>
      <c r="CE78" s="257"/>
      <c r="CF78" s="257"/>
      <c r="CG78" s="257"/>
      <c r="CH78" s="257"/>
      <c r="CI78" s="257"/>
      <c r="CJ78" s="257"/>
      <c r="CK78" s="257"/>
      <c r="CL78" s="257"/>
      <c r="CM78" s="257"/>
      <c r="CN78" s="257"/>
      <c r="CO78" s="257"/>
      <c r="CP78" s="257"/>
      <c r="CQ78" s="257"/>
      <c r="CR78" s="257"/>
      <c r="CS78" s="257"/>
      <c r="CT78" s="257"/>
      <c r="CU78" s="257"/>
      <c r="CV78" s="257"/>
      <c r="CW78" s="257"/>
      <c r="CX78" s="257"/>
      <c r="CY78" s="257"/>
      <c r="CZ78" s="257"/>
      <c r="DA78" s="257"/>
      <c r="DB78" s="257"/>
      <c r="DC78" s="257"/>
      <c r="DD78" s="257"/>
      <c r="DE78" s="257"/>
      <c r="DF78" s="257"/>
      <c r="DG78" s="257"/>
      <c r="DH78" s="257"/>
      <c r="DI78" s="257"/>
      <c r="DJ78" s="257"/>
      <c r="DK78" s="257"/>
      <c r="DL78" s="257"/>
      <c r="DM78" s="257"/>
      <c r="DN78" s="257"/>
      <c r="DO78" s="257"/>
      <c r="DP78" s="257"/>
      <c r="DQ78" s="257"/>
      <c r="DR78" s="257"/>
      <c r="DS78" s="257"/>
      <c r="DT78" s="257"/>
      <c r="DU78" s="257"/>
      <c r="DV78" s="257"/>
    </row>
    <row r="79" spans="1:126" ht="15" thickBot="1" x14ac:dyDescent="0.4">
      <c r="A79" s="3673" t="s">
        <v>337</v>
      </c>
      <c r="B79" s="3674"/>
      <c r="C79" s="894" t="s">
        <v>257</v>
      </c>
      <c r="D79" s="878" t="s">
        <v>337</v>
      </c>
      <c r="E79" s="881" t="s">
        <v>337</v>
      </c>
      <c r="F79" s="881" t="s">
        <v>337</v>
      </c>
      <c r="G79" s="881" t="s">
        <v>337</v>
      </c>
      <c r="H79" s="881" t="s">
        <v>337</v>
      </c>
      <c r="I79" s="881" t="s">
        <v>337</v>
      </c>
      <c r="J79" s="881" t="s">
        <v>337</v>
      </c>
      <c r="K79" s="881" t="s">
        <v>337</v>
      </c>
      <c r="L79" s="895">
        <v>82933</v>
      </c>
      <c r="M79" s="879" t="s">
        <v>337</v>
      </c>
      <c r="N79" s="364" t="s">
        <v>337</v>
      </c>
      <c r="O79" s="257"/>
      <c r="P79" s="257"/>
      <c r="Q79" s="257"/>
      <c r="R79" s="257"/>
      <c r="S79" s="257"/>
      <c r="T79" s="257"/>
      <c r="U79" s="257"/>
      <c r="V79" s="257"/>
      <c r="W79" s="257"/>
      <c r="X79" s="257"/>
      <c r="Y79" s="257"/>
      <c r="Z79" s="257"/>
      <c r="AA79" s="257"/>
      <c r="AB79" s="257"/>
      <c r="AC79" s="257"/>
      <c r="AD79" s="257"/>
      <c r="AE79" s="257"/>
      <c r="AF79" s="257"/>
      <c r="AG79" s="257"/>
      <c r="AH79" s="257"/>
      <c r="AI79" s="257"/>
      <c r="AJ79" s="257"/>
      <c r="AK79" s="257"/>
      <c r="AL79" s="257"/>
      <c r="AM79" s="257"/>
      <c r="AN79" s="257"/>
      <c r="AO79" s="257"/>
      <c r="AP79" s="257"/>
      <c r="AQ79" s="257"/>
      <c r="AR79" s="257"/>
      <c r="AS79" s="257"/>
      <c r="AT79" s="257"/>
      <c r="AU79" s="257"/>
      <c r="AV79" s="257"/>
      <c r="AW79" s="257"/>
      <c r="AX79" s="257"/>
      <c r="AY79" s="257"/>
      <c r="AZ79" s="257"/>
      <c r="BA79" s="257"/>
      <c r="BB79" s="257"/>
      <c r="BC79" s="257"/>
      <c r="BD79" s="257"/>
      <c r="BE79" s="257"/>
      <c r="BF79" s="257"/>
      <c r="BG79" s="257"/>
      <c r="BH79" s="257"/>
      <c r="BI79" s="257"/>
      <c r="BJ79" s="257"/>
      <c r="BK79" s="257"/>
      <c r="BL79" s="257"/>
      <c r="BM79" s="257"/>
      <c r="BN79" s="257"/>
      <c r="BO79" s="257"/>
      <c r="BP79" s="257"/>
      <c r="BQ79" s="257"/>
      <c r="BR79" s="257"/>
      <c r="BS79" s="257"/>
      <c r="BT79" s="257"/>
      <c r="BU79" s="257"/>
      <c r="BV79" s="257"/>
      <c r="BW79" s="257"/>
      <c r="BX79" s="257"/>
      <c r="BY79" s="257"/>
      <c r="BZ79" s="257"/>
      <c r="CA79" s="257"/>
      <c r="CB79" s="257"/>
      <c r="CC79" s="257"/>
      <c r="CD79" s="257"/>
      <c r="CE79" s="257"/>
      <c r="CF79" s="257"/>
      <c r="CG79" s="257"/>
      <c r="CH79" s="257"/>
      <c r="CI79" s="257"/>
      <c r="CJ79" s="257"/>
      <c r="CK79" s="257"/>
      <c r="CL79" s="257"/>
      <c r="CM79" s="257"/>
      <c r="CN79" s="257"/>
      <c r="CO79" s="257"/>
      <c r="CP79" s="257"/>
      <c r="CQ79" s="257"/>
      <c r="CR79" s="257"/>
      <c r="CS79" s="257"/>
      <c r="CT79" s="257"/>
      <c r="CU79" s="257"/>
      <c r="CV79" s="257"/>
      <c r="CW79" s="257"/>
      <c r="CX79" s="257"/>
      <c r="CY79" s="257"/>
      <c r="CZ79" s="257"/>
      <c r="DA79" s="257"/>
      <c r="DB79" s="257"/>
      <c r="DC79" s="257"/>
      <c r="DD79" s="257"/>
      <c r="DE79" s="257"/>
      <c r="DF79" s="257"/>
      <c r="DG79" s="257"/>
      <c r="DH79" s="257"/>
      <c r="DI79" s="257"/>
      <c r="DJ79" s="257"/>
      <c r="DK79" s="257"/>
      <c r="DL79" s="257"/>
      <c r="DM79" s="257"/>
      <c r="DN79" s="257"/>
      <c r="DO79" s="257"/>
      <c r="DP79" s="257"/>
      <c r="DQ79" s="257"/>
      <c r="DR79" s="257"/>
      <c r="DS79" s="257"/>
      <c r="DT79" s="257"/>
      <c r="DU79" s="257"/>
      <c r="DV79" s="257"/>
    </row>
    <row r="80" spans="1:126" x14ac:dyDescent="0.35">
      <c r="A80" s="858" t="s">
        <v>337</v>
      </c>
      <c r="B80" s="891" t="s">
        <v>337</v>
      </c>
      <c r="C80" s="850" t="s">
        <v>258</v>
      </c>
      <c r="D80" s="848">
        <v>20.7</v>
      </c>
      <c r="E80" s="267" t="s">
        <v>202</v>
      </c>
      <c r="F80" s="3665" t="s">
        <v>337</v>
      </c>
      <c r="G80" s="3666"/>
      <c r="H80" s="3665" t="s">
        <v>337</v>
      </c>
      <c r="I80" s="3666"/>
      <c r="J80" s="852">
        <v>1500</v>
      </c>
      <c r="K80" s="868">
        <v>31100</v>
      </c>
      <c r="L80" s="869">
        <v>31100</v>
      </c>
      <c r="M80" s="3671" t="s">
        <v>337</v>
      </c>
      <c r="N80" s="857" t="s">
        <v>337</v>
      </c>
      <c r="O80" s="257"/>
      <c r="P80" s="257"/>
      <c r="Q80" s="257"/>
      <c r="R80" s="257"/>
      <c r="S80" s="257"/>
      <c r="T80" s="257"/>
      <c r="U80" s="257"/>
      <c r="V80" s="257"/>
      <c r="W80" s="257"/>
      <c r="X80" s="257"/>
      <c r="Y80" s="257"/>
      <c r="Z80" s="257"/>
      <c r="AA80" s="257"/>
      <c r="AB80" s="257"/>
      <c r="AC80" s="257"/>
      <c r="AD80" s="257"/>
      <c r="AE80" s="257"/>
      <c r="AF80" s="257"/>
      <c r="AG80" s="257"/>
      <c r="AH80" s="257"/>
      <c r="AI80" s="257"/>
      <c r="AJ80" s="257"/>
      <c r="AK80" s="257"/>
      <c r="AL80" s="257"/>
      <c r="AM80" s="257"/>
      <c r="AN80" s="257"/>
      <c r="AO80" s="257"/>
      <c r="AP80" s="257"/>
      <c r="AQ80" s="257"/>
      <c r="AR80" s="257"/>
      <c r="AS80" s="257"/>
      <c r="AT80" s="257"/>
      <c r="AU80" s="257"/>
      <c r="AV80" s="257"/>
      <c r="AW80" s="257"/>
      <c r="AX80" s="257"/>
      <c r="AY80" s="257"/>
      <c r="AZ80" s="257"/>
      <c r="BA80" s="257"/>
      <c r="BB80" s="257"/>
      <c r="BC80" s="257"/>
      <c r="BD80" s="257"/>
      <c r="BE80" s="257"/>
      <c r="BF80" s="257"/>
      <c r="BG80" s="257"/>
      <c r="BH80" s="257"/>
      <c r="BI80" s="257"/>
      <c r="BJ80" s="257"/>
      <c r="BK80" s="257"/>
      <c r="BL80" s="257"/>
      <c r="BM80" s="257"/>
      <c r="BN80" s="257"/>
      <c r="BO80" s="257"/>
      <c r="BP80" s="257"/>
      <c r="BQ80" s="257"/>
      <c r="BR80" s="257"/>
      <c r="BS80" s="257"/>
      <c r="BT80" s="257"/>
      <c r="BU80" s="257"/>
      <c r="BV80" s="257"/>
      <c r="BW80" s="257"/>
      <c r="BX80" s="257"/>
      <c r="BY80" s="257"/>
      <c r="BZ80" s="257"/>
      <c r="CA80" s="257"/>
      <c r="CB80" s="257"/>
      <c r="CC80" s="257"/>
      <c r="CD80" s="257"/>
      <c r="CE80" s="257"/>
      <c r="CF80" s="257"/>
      <c r="CG80" s="257"/>
      <c r="CH80" s="257"/>
      <c r="CI80" s="257"/>
      <c r="CJ80" s="257"/>
      <c r="CK80" s="257"/>
      <c r="CL80" s="257"/>
      <c r="CM80" s="257"/>
      <c r="CN80" s="257"/>
      <c r="CO80" s="257"/>
      <c r="CP80" s="257"/>
      <c r="CQ80" s="257"/>
      <c r="CR80" s="257"/>
      <c r="CS80" s="257"/>
      <c r="CT80" s="257"/>
      <c r="CU80" s="257"/>
      <c r="CV80" s="257"/>
      <c r="CW80" s="257"/>
      <c r="CX80" s="257"/>
      <c r="CY80" s="257"/>
      <c r="CZ80" s="257"/>
      <c r="DA80" s="257"/>
      <c r="DB80" s="257"/>
      <c r="DC80" s="257"/>
      <c r="DD80" s="257"/>
      <c r="DE80" s="257"/>
      <c r="DF80" s="257"/>
      <c r="DG80" s="257"/>
      <c r="DH80" s="257"/>
      <c r="DI80" s="257"/>
      <c r="DJ80" s="257"/>
      <c r="DK80" s="257"/>
      <c r="DL80" s="257"/>
      <c r="DM80" s="257"/>
      <c r="DN80" s="257"/>
      <c r="DO80" s="257"/>
      <c r="DP80" s="257"/>
      <c r="DQ80" s="257"/>
      <c r="DR80" s="257"/>
      <c r="DS80" s="257"/>
      <c r="DT80" s="257"/>
      <c r="DU80" s="257"/>
      <c r="DV80" s="257"/>
    </row>
    <row r="81" spans="1:126" x14ac:dyDescent="0.35">
      <c r="A81" s="848" t="s">
        <v>337</v>
      </c>
      <c r="B81" s="849" t="s">
        <v>337</v>
      </c>
      <c r="C81" s="267" t="s">
        <v>259</v>
      </c>
      <c r="D81" s="268">
        <v>20.7</v>
      </c>
      <c r="E81" s="860" t="s">
        <v>202</v>
      </c>
      <c r="F81" s="3667"/>
      <c r="G81" s="3668"/>
      <c r="H81" s="3667"/>
      <c r="I81" s="3668"/>
      <c r="J81" s="296">
        <v>2500</v>
      </c>
      <c r="K81" s="297">
        <v>51833</v>
      </c>
      <c r="L81" s="299">
        <v>51833</v>
      </c>
      <c r="M81" s="3671"/>
      <c r="N81" s="270" t="s">
        <v>337</v>
      </c>
      <c r="O81" s="257"/>
      <c r="P81" s="257"/>
      <c r="Q81" s="257"/>
      <c r="R81" s="257"/>
      <c r="S81" s="257"/>
      <c r="T81" s="257"/>
      <c r="U81" s="257"/>
      <c r="V81" s="257"/>
      <c r="W81" s="257"/>
      <c r="X81" s="257"/>
      <c r="Y81" s="257"/>
      <c r="Z81" s="257"/>
      <c r="AA81" s="257"/>
      <c r="AB81" s="257"/>
      <c r="AC81" s="257"/>
      <c r="AD81" s="257"/>
      <c r="AE81" s="257"/>
      <c r="AF81" s="257"/>
      <c r="AG81" s="257"/>
      <c r="AH81" s="257"/>
      <c r="AI81" s="257"/>
      <c r="AJ81" s="257"/>
      <c r="AK81" s="257"/>
      <c r="AL81" s="257"/>
      <c r="AM81" s="257"/>
      <c r="AN81" s="257"/>
      <c r="AO81" s="257"/>
      <c r="AP81" s="257"/>
      <c r="AQ81" s="257"/>
      <c r="AR81" s="257"/>
      <c r="AS81" s="257"/>
      <c r="AT81" s="257"/>
      <c r="AU81" s="257"/>
      <c r="AV81" s="257"/>
      <c r="AW81" s="257"/>
      <c r="AX81" s="257"/>
      <c r="AY81" s="257"/>
      <c r="AZ81" s="257"/>
      <c r="BA81" s="257"/>
      <c r="BB81" s="257"/>
      <c r="BC81" s="257"/>
      <c r="BD81" s="257"/>
      <c r="BE81" s="257"/>
      <c r="BF81" s="257"/>
      <c r="BG81" s="257"/>
      <c r="BH81" s="257"/>
      <c r="BI81" s="257"/>
      <c r="BJ81" s="257"/>
      <c r="BK81" s="257"/>
      <c r="BL81" s="257"/>
      <c r="BM81" s="257"/>
      <c r="BN81" s="257"/>
      <c r="BO81" s="257"/>
      <c r="BP81" s="257"/>
      <c r="BQ81" s="257"/>
      <c r="BR81" s="257"/>
      <c r="BS81" s="257"/>
      <c r="BT81" s="257"/>
      <c r="BU81" s="257"/>
      <c r="BV81" s="257"/>
      <c r="BW81" s="257"/>
      <c r="BX81" s="257"/>
      <c r="BY81" s="257"/>
      <c r="BZ81" s="257"/>
      <c r="CA81" s="257"/>
      <c r="CB81" s="257"/>
      <c r="CC81" s="257"/>
      <c r="CD81" s="257"/>
      <c r="CE81" s="257"/>
      <c r="CF81" s="257"/>
      <c r="CG81" s="257"/>
      <c r="CH81" s="257"/>
      <c r="CI81" s="257"/>
      <c r="CJ81" s="257"/>
      <c r="CK81" s="257"/>
      <c r="CL81" s="257"/>
      <c r="CM81" s="257"/>
      <c r="CN81" s="257"/>
      <c r="CO81" s="257"/>
      <c r="CP81" s="257"/>
      <c r="CQ81" s="257"/>
      <c r="CR81" s="257"/>
      <c r="CS81" s="257"/>
      <c r="CT81" s="257"/>
      <c r="CU81" s="257"/>
      <c r="CV81" s="257"/>
      <c r="CW81" s="257"/>
      <c r="CX81" s="257"/>
      <c r="CY81" s="257"/>
      <c r="CZ81" s="257"/>
      <c r="DA81" s="257"/>
      <c r="DB81" s="257"/>
      <c r="DC81" s="257"/>
      <c r="DD81" s="257"/>
      <c r="DE81" s="257"/>
      <c r="DF81" s="257"/>
      <c r="DG81" s="257"/>
      <c r="DH81" s="257"/>
      <c r="DI81" s="257"/>
      <c r="DJ81" s="257"/>
      <c r="DK81" s="257"/>
      <c r="DL81" s="257"/>
      <c r="DM81" s="257"/>
      <c r="DN81" s="257"/>
      <c r="DO81" s="257"/>
      <c r="DP81" s="257"/>
      <c r="DQ81" s="257"/>
      <c r="DR81" s="257"/>
      <c r="DS81" s="257"/>
      <c r="DT81" s="257"/>
      <c r="DU81" s="257"/>
      <c r="DV81" s="257"/>
    </row>
    <row r="82" spans="1:126" ht="15" thickBot="1" x14ac:dyDescent="0.4">
      <c r="A82" s="848" t="s">
        <v>337</v>
      </c>
      <c r="B82" s="849" t="s">
        <v>337</v>
      </c>
      <c r="C82" s="896" t="s">
        <v>260</v>
      </c>
      <c r="D82" s="897">
        <v>0</v>
      </c>
      <c r="E82" s="300" t="s">
        <v>215</v>
      </c>
      <c r="F82" s="3669"/>
      <c r="G82" s="3670"/>
      <c r="H82" s="3669"/>
      <c r="I82" s="3670"/>
      <c r="J82" s="898">
        <v>1000</v>
      </c>
      <c r="K82" s="899" t="s">
        <v>366</v>
      </c>
      <c r="L82" s="900" t="s">
        <v>358</v>
      </c>
      <c r="M82" s="3672"/>
      <c r="N82" s="901" t="s">
        <v>337</v>
      </c>
      <c r="O82" s="257"/>
      <c r="P82" s="257"/>
      <c r="Q82" s="257"/>
      <c r="R82" s="257"/>
      <c r="S82" s="257"/>
      <c r="T82" s="257"/>
      <c r="U82" s="257"/>
      <c r="V82" s="257"/>
      <c r="W82" s="257"/>
      <c r="X82" s="257"/>
      <c r="Y82" s="257"/>
      <c r="Z82" s="257"/>
      <c r="AA82" s="257"/>
      <c r="AB82" s="257"/>
      <c r="AC82" s="257"/>
      <c r="AD82" s="257"/>
      <c r="AE82" s="257"/>
      <c r="AF82" s="257"/>
      <c r="AG82" s="257"/>
      <c r="AH82" s="257"/>
      <c r="AI82" s="257"/>
      <c r="AJ82" s="257"/>
      <c r="AK82" s="257"/>
      <c r="AL82" s="257"/>
      <c r="AM82" s="257"/>
      <c r="AN82" s="257"/>
      <c r="AO82" s="257"/>
      <c r="AP82" s="257"/>
      <c r="AQ82" s="257"/>
      <c r="AR82" s="257"/>
      <c r="AS82" s="257"/>
      <c r="AT82" s="257"/>
      <c r="AU82" s="257"/>
      <c r="AV82" s="257"/>
      <c r="AW82" s="257"/>
      <c r="AX82" s="257"/>
      <c r="AY82" s="257"/>
      <c r="AZ82" s="257"/>
      <c r="BA82" s="257"/>
      <c r="BB82" s="257"/>
      <c r="BC82" s="257"/>
      <c r="BD82" s="257"/>
      <c r="BE82" s="257"/>
      <c r="BF82" s="257"/>
      <c r="BG82" s="257"/>
      <c r="BH82" s="257"/>
      <c r="BI82" s="257"/>
      <c r="BJ82" s="257"/>
      <c r="BK82" s="257"/>
      <c r="BL82" s="257"/>
      <c r="BM82" s="257"/>
      <c r="BN82" s="257"/>
      <c r="BO82" s="257"/>
      <c r="BP82" s="257"/>
      <c r="BQ82" s="257"/>
      <c r="BR82" s="257"/>
      <c r="BS82" s="257"/>
      <c r="BT82" s="257"/>
      <c r="BU82" s="257"/>
      <c r="BV82" s="257"/>
      <c r="BW82" s="257"/>
      <c r="BX82" s="257"/>
      <c r="BY82" s="257"/>
      <c r="BZ82" s="257"/>
      <c r="CA82" s="257"/>
      <c r="CB82" s="257"/>
      <c r="CC82" s="257"/>
      <c r="CD82" s="257"/>
      <c r="CE82" s="257"/>
      <c r="CF82" s="257"/>
      <c r="CG82" s="257"/>
      <c r="CH82" s="257"/>
      <c r="CI82" s="257"/>
      <c r="CJ82" s="257"/>
      <c r="CK82" s="257"/>
      <c r="CL82" s="257"/>
      <c r="CM82" s="257"/>
      <c r="CN82" s="257"/>
      <c r="CO82" s="257"/>
      <c r="CP82" s="257"/>
      <c r="CQ82" s="257"/>
      <c r="CR82" s="257"/>
      <c r="CS82" s="257"/>
      <c r="CT82" s="257"/>
      <c r="CU82" s="257"/>
      <c r="CV82" s="257"/>
      <c r="CW82" s="257"/>
      <c r="CX82" s="257"/>
      <c r="CY82" s="257"/>
      <c r="CZ82" s="257"/>
      <c r="DA82" s="257"/>
      <c r="DB82" s="257"/>
      <c r="DC82" s="257"/>
      <c r="DD82" s="257"/>
      <c r="DE82" s="257"/>
      <c r="DF82" s="257"/>
      <c r="DG82" s="257"/>
      <c r="DH82" s="257"/>
      <c r="DI82" s="257"/>
      <c r="DJ82" s="257"/>
      <c r="DK82" s="257"/>
      <c r="DL82" s="257"/>
      <c r="DM82" s="257"/>
      <c r="DN82" s="257"/>
      <c r="DO82" s="257"/>
      <c r="DP82" s="257"/>
      <c r="DQ82" s="257"/>
      <c r="DR82" s="257"/>
      <c r="DS82" s="257"/>
      <c r="DT82" s="257"/>
      <c r="DU82" s="257"/>
      <c r="DV82" s="257"/>
    </row>
    <row r="83" spans="1:126" ht="15" thickBot="1" x14ac:dyDescent="0.4">
      <c r="A83" s="3673" t="s">
        <v>337</v>
      </c>
      <c r="B83" s="3674"/>
      <c r="C83" s="366" t="s">
        <v>261</v>
      </c>
      <c r="D83" s="878" t="s">
        <v>337</v>
      </c>
      <c r="E83" s="287" t="s">
        <v>337</v>
      </c>
      <c r="F83" s="287" t="s">
        <v>337</v>
      </c>
      <c r="G83" s="287" t="s">
        <v>337</v>
      </c>
      <c r="H83" s="287" t="s">
        <v>337</v>
      </c>
      <c r="I83" s="287" t="s">
        <v>337</v>
      </c>
      <c r="J83" s="881" t="s">
        <v>337</v>
      </c>
      <c r="K83" s="287" t="s">
        <v>337</v>
      </c>
      <c r="L83" s="301">
        <v>24513</v>
      </c>
      <c r="M83" s="879" t="s">
        <v>337</v>
      </c>
      <c r="N83" s="364" t="s">
        <v>337</v>
      </c>
      <c r="O83" s="257"/>
      <c r="P83" s="257"/>
      <c r="Q83" s="257"/>
      <c r="R83" s="257"/>
      <c r="S83" s="257"/>
      <c r="T83" s="257"/>
      <c r="U83" s="257"/>
      <c r="V83" s="257"/>
      <c r="W83" s="257"/>
      <c r="X83" s="257"/>
      <c r="Y83" s="257"/>
      <c r="Z83" s="257"/>
      <c r="AA83" s="257"/>
      <c r="AB83" s="257"/>
      <c r="AC83" s="257"/>
      <c r="AD83" s="257"/>
      <c r="AE83" s="257"/>
      <c r="AF83" s="257"/>
      <c r="AG83" s="257"/>
      <c r="AH83" s="257"/>
      <c r="AI83" s="257"/>
      <c r="AJ83" s="257"/>
      <c r="AK83" s="257"/>
      <c r="AL83" s="257"/>
      <c r="AM83" s="257"/>
      <c r="AN83" s="257"/>
      <c r="AO83" s="257"/>
      <c r="AP83" s="257"/>
      <c r="AQ83" s="257"/>
      <c r="AR83" s="257"/>
      <c r="AS83" s="257"/>
      <c r="AT83" s="257"/>
      <c r="AU83" s="257"/>
      <c r="AV83" s="257"/>
      <c r="AW83" s="257"/>
      <c r="AX83" s="257"/>
      <c r="AY83" s="257"/>
      <c r="AZ83" s="257"/>
      <c r="BA83" s="257"/>
      <c r="BB83" s="257"/>
      <c r="BC83" s="257"/>
      <c r="BD83" s="257"/>
      <c r="BE83" s="257"/>
      <c r="BF83" s="257"/>
      <c r="BG83" s="257"/>
      <c r="BH83" s="257"/>
      <c r="BI83" s="257"/>
      <c r="BJ83" s="257"/>
      <c r="BK83" s="257"/>
      <c r="BL83" s="257"/>
      <c r="BM83" s="257"/>
      <c r="BN83" s="257"/>
      <c r="BO83" s="257"/>
      <c r="BP83" s="257"/>
      <c r="BQ83" s="257"/>
      <c r="BR83" s="257"/>
      <c r="BS83" s="257"/>
      <c r="BT83" s="257"/>
      <c r="BU83" s="257"/>
      <c r="BV83" s="257"/>
      <c r="BW83" s="257"/>
      <c r="BX83" s="257"/>
      <c r="BY83" s="257"/>
      <c r="BZ83" s="257"/>
      <c r="CA83" s="257"/>
      <c r="CB83" s="257"/>
      <c r="CC83" s="257"/>
      <c r="CD83" s="257"/>
      <c r="CE83" s="257"/>
      <c r="CF83" s="257"/>
      <c r="CG83" s="257"/>
      <c r="CH83" s="257"/>
      <c r="CI83" s="257"/>
      <c r="CJ83" s="257"/>
      <c r="CK83" s="257"/>
      <c r="CL83" s="257"/>
      <c r="CM83" s="257"/>
      <c r="CN83" s="257"/>
      <c r="CO83" s="257"/>
      <c r="CP83" s="257"/>
      <c r="CQ83" s="257"/>
      <c r="CR83" s="257"/>
      <c r="CS83" s="257"/>
      <c r="CT83" s="257"/>
      <c r="CU83" s="257"/>
      <c r="CV83" s="257"/>
      <c r="CW83" s="257"/>
      <c r="CX83" s="257"/>
      <c r="CY83" s="257"/>
      <c r="CZ83" s="257"/>
      <c r="DA83" s="257"/>
      <c r="DB83" s="257"/>
      <c r="DC83" s="257"/>
      <c r="DD83" s="257"/>
      <c r="DE83" s="257"/>
      <c r="DF83" s="257"/>
      <c r="DG83" s="257"/>
      <c r="DH83" s="257"/>
      <c r="DI83" s="257"/>
      <c r="DJ83" s="257"/>
      <c r="DK83" s="257"/>
      <c r="DL83" s="257"/>
      <c r="DM83" s="257"/>
      <c r="DN83" s="257"/>
      <c r="DO83" s="257"/>
      <c r="DP83" s="257"/>
      <c r="DQ83" s="257"/>
      <c r="DR83" s="257"/>
      <c r="DS83" s="257"/>
      <c r="DT83" s="257"/>
      <c r="DU83" s="257"/>
      <c r="DV83" s="257"/>
    </row>
    <row r="84" spans="1:126" x14ac:dyDescent="0.35">
      <c r="A84" s="858" t="s">
        <v>337</v>
      </c>
      <c r="B84" s="891">
        <v>15000</v>
      </c>
      <c r="C84" s="850" t="s">
        <v>262</v>
      </c>
      <c r="D84" s="848">
        <v>0</v>
      </c>
      <c r="E84" s="850" t="s">
        <v>263</v>
      </c>
      <c r="F84" s="3665" t="s">
        <v>337</v>
      </c>
      <c r="G84" s="3666"/>
      <c r="H84" s="3665" t="s">
        <v>337</v>
      </c>
      <c r="I84" s="3666"/>
      <c r="J84" s="867">
        <v>8</v>
      </c>
      <c r="K84" s="884" t="s">
        <v>366</v>
      </c>
      <c r="L84" s="872" t="s">
        <v>358</v>
      </c>
      <c r="M84" s="3671" t="s">
        <v>337</v>
      </c>
      <c r="N84" s="883" t="s">
        <v>377</v>
      </c>
      <c r="O84" s="257"/>
      <c r="P84" s="257"/>
      <c r="Q84" s="257"/>
      <c r="R84" s="257"/>
      <c r="S84" s="257"/>
      <c r="T84" s="257"/>
      <c r="U84" s="257"/>
      <c r="V84" s="257"/>
      <c r="W84" s="257"/>
      <c r="X84" s="257"/>
      <c r="Y84" s="257"/>
      <c r="Z84" s="257"/>
      <c r="AA84" s="257"/>
      <c r="AB84" s="257"/>
      <c r="AC84" s="257"/>
      <c r="AD84" s="257"/>
      <c r="AE84" s="257"/>
      <c r="AF84" s="257"/>
      <c r="AG84" s="257"/>
      <c r="AH84" s="257"/>
      <c r="AI84" s="257"/>
      <c r="AJ84" s="257"/>
      <c r="AK84" s="257"/>
      <c r="AL84" s="257"/>
      <c r="AM84" s="257"/>
      <c r="AN84" s="257"/>
      <c r="AO84" s="257"/>
      <c r="AP84" s="257"/>
      <c r="AQ84" s="257"/>
      <c r="AR84" s="257"/>
      <c r="AS84" s="257"/>
      <c r="AT84" s="257"/>
      <c r="AU84" s="257"/>
      <c r="AV84" s="257"/>
      <c r="AW84" s="257"/>
      <c r="AX84" s="257"/>
      <c r="AY84" s="257"/>
      <c r="AZ84" s="257"/>
      <c r="BA84" s="257"/>
      <c r="BB84" s="257"/>
      <c r="BC84" s="257"/>
      <c r="BD84" s="257"/>
      <c r="BE84" s="257"/>
      <c r="BF84" s="257"/>
      <c r="BG84" s="257"/>
      <c r="BH84" s="257"/>
      <c r="BI84" s="257"/>
      <c r="BJ84" s="257"/>
      <c r="BK84" s="257"/>
      <c r="BL84" s="257"/>
      <c r="BM84" s="257"/>
      <c r="BN84" s="257"/>
      <c r="BO84" s="257"/>
      <c r="BP84" s="257"/>
      <c r="BQ84" s="257"/>
      <c r="BR84" s="257"/>
      <c r="BS84" s="257"/>
      <c r="BT84" s="257"/>
      <c r="BU84" s="257"/>
      <c r="BV84" s="257"/>
      <c r="BW84" s="257"/>
      <c r="BX84" s="257"/>
      <c r="BY84" s="257"/>
      <c r="BZ84" s="257"/>
      <c r="CA84" s="257"/>
      <c r="CB84" s="257"/>
      <c r="CC84" s="257"/>
      <c r="CD84" s="257"/>
      <c r="CE84" s="257"/>
      <c r="CF84" s="257"/>
      <c r="CG84" s="257"/>
      <c r="CH84" s="257"/>
      <c r="CI84" s="257"/>
      <c r="CJ84" s="257"/>
      <c r="CK84" s="257"/>
      <c r="CL84" s="257"/>
      <c r="CM84" s="257"/>
      <c r="CN84" s="257"/>
      <c r="CO84" s="257"/>
      <c r="CP84" s="257"/>
      <c r="CQ84" s="257"/>
      <c r="CR84" s="257"/>
      <c r="CS84" s="257"/>
      <c r="CT84" s="257"/>
      <c r="CU84" s="257"/>
      <c r="CV84" s="257"/>
      <c r="CW84" s="257"/>
      <c r="CX84" s="257"/>
      <c r="CY84" s="257"/>
      <c r="CZ84" s="257"/>
      <c r="DA84" s="257"/>
      <c r="DB84" s="257"/>
      <c r="DC84" s="257"/>
      <c r="DD84" s="257"/>
      <c r="DE84" s="257"/>
      <c r="DF84" s="257"/>
      <c r="DG84" s="257"/>
      <c r="DH84" s="257"/>
      <c r="DI84" s="257"/>
      <c r="DJ84" s="257"/>
      <c r="DK84" s="257"/>
      <c r="DL84" s="257"/>
      <c r="DM84" s="257"/>
      <c r="DN84" s="257"/>
      <c r="DO84" s="257"/>
      <c r="DP84" s="257"/>
      <c r="DQ84" s="257"/>
      <c r="DR84" s="257"/>
      <c r="DS84" s="257"/>
      <c r="DT84" s="257"/>
      <c r="DU84" s="257"/>
      <c r="DV84" s="257"/>
    </row>
    <row r="85" spans="1:126" x14ac:dyDescent="0.35">
      <c r="A85" s="848" t="s">
        <v>337</v>
      </c>
      <c r="B85" s="849" t="s">
        <v>337</v>
      </c>
      <c r="C85" s="850" t="s">
        <v>265</v>
      </c>
      <c r="D85" s="848">
        <v>0</v>
      </c>
      <c r="E85" s="850" t="s">
        <v>263</v>
      </c>
      <c r="F85" s="3667"/>
      <c r="G85" s="3668"/>
      <c r="H85" s="3667"/>
      <c r="I85" s="3668"/>
      <c r="J85" s="867">
        <v>10</v>
      </c>
      <c r="K85" s="884" t="s">
        <v>366</v>
      </c>
      <c r="L85" s="872" t="s">
        <v>358</v>
      </c>
      <c r="M85" s="3671"/>
      <c r="N85" s="883" t="s">
        <v>377</v>
      </c>
      <c r="O85" s="257"/>
      <c r="P85" s="257"/>
      <c r="Q85" s="257"/>
      <c r="R85" s="257"/>
      <c r="S85" s="257"/>
      <c r="T85" s="257"/>
      <c r="U85" s="257"/>
      <c r="V85" s="257"/>
      <c r="W85" s="257"/>
      <c r="X85" s="257"/>
      <c r="Y85" s="257"/>
      <c r="Z85" s="257"/>
      <c r="AA85" s="257"/>
      <c r="AB85" s="257"/>
      <c r="AC85" s="257"/>
      <c r="AD85" s="257"/>
      <c r="AE85" s="257"/>
      <c r="AF85" s="257"/>
      <c r="AG85" s="257"/>
      <c r="AH85" s="257"/>
      <c r="AI85" s="257"/>
      <c r="AJ85" s="257"/>
      <c r="AK85" s="257"/>
      <c r="AL85" s="257"/>
      <c r="AM85" s="257"/>
      <c r="AN85" s="257"/>
      <c r="AO85" s="257"/>
      <c r="AP85" s="257"/>
      <c r="AQ85" s="257"/>
      <c r="AR85" s="257"/>
      <c r="AS85" s="257"/>
      <c r="AT85" s="257"/>
      <c r="AU85" s="257"/>
      <c r="AV85" s="257"/>
      <c r="AW85" s="257"/>
      <c r="AX85" s="257"/>
      <c r="AY85" s="257"/>
      <c r="AZ85" s="257"/>
      <c r="BA85" s="257"/>
      <c r="BB85" s="257"/>
      <c r="BC85" s="257"/>
      <c r="BD85" s="257"/>
      <c r="BE85" s="257"/>
      <c r="BF85" s="257"/>
      <c r="BG85" s="257"/>
      <c r="BH85" s="257"/>
      <c r="BI85" s="257"/>
      <c r="BJ85" s="257"/>
      <c r="BK85" s="257"/>
      <c r="BL85" s="257"/>
      <c r="BM85" s="257"/>
      <c r="BN85" s="257"/>
      <c r="BO85" s="257"/>
      <c r="BP85" s="257"/>
      <c r="BQ85" s="257"/>
      <c r="BR85" s="257"/>
      <c r="BS85" s="257"/>
      <c r="BT85" s="257"/>
      <c r="BU85" s="257"/>
      <c r="BV85" s="257"/>
      <c r="BW85" s="257"/>
      <c r="BX85" s="257"/>
      <c r="BY85" s="257"/>
      <c r="BZ85" s="257"/>
      <c r="CA85" s="257"/>
      <c r="CB85" s="257"/>
      <c r="CC85" s="257"/>
      <c r="CD85" s="257"/>
      <c r="CE85" s="257"/>
      <c r="CF85" s="257"/>
      <c r="CG85" s="257"/>
      <c r="CH85" s="257"/>
      <c r="CI85" s="257"/>
      <c r="CJ85" s="257"/>
      <c r="CK85" s="257"/>
      <c r="CL85" s="257"/>
      <c r="CM85" s="257"/>
      <c r="CN85" s="257"/>
      <c r="CO85" s="257"/>
      <c r="CP85" s="257"/>
      <c r="CQ85" s="257"/>
      <c r="CR85" s="257"/>
      <c r="CS85" s="257"/>
      <c r="CT85" s="257"/>
      <c r="CU85" s="257"/>
      <c r="CV85" s="257"/>
      <c r="CW85" s="257"/>
      <c r="CX85" s="257"/>
      <c r="CY85" s="257"/>
      <c r="CZ85" s="257"/>
      <c r="DA85" s="257"/>
      <c r="DB85" s="257"/>
      <c r="DC85" s="257"/>
      <c r="DD85" s="257"/>
      <c r="DE85" s="257"/>
      <c r="DF85" s="257"/>
      <c r="DG85" s="257"/>
      <c r="DH85" s="257"/>
      <c r="DI85" s="257"/>
      <c r="DJ85" s="257"/>
      <c r="DK85" s="257"/>
      <c r="DL85" s="257"/>
      <c r="DM85" s="257"/>
      <c r="DN85" s="257"/>
      <c r="DO85" s="257"/>
      <c r="DP85" s="257"/>
      <c r="DQ85" s="257"/>
      <c r="DR85" s="257"/>
      <c r="DS85" s="257"/>
      <c r="DT85" s="257"/>
      <c r="DU85" s="257"/>
      <c r="DV85" s="257"/>
    </row>
    <row r="86" spans="1:126" x14ac:dyDescent="0.35">
      <c r="A86" s="848" t="s">
        <v>337</v>
      </c>
      <c r="B86" s="849" t="s">
        <v>337</v>
      </c>
      <c r="C86" s="850" t="s">
        <v>266</v>
      </c>
      <c r="D86" s="848">
        <v>0</v>
      </c>
      <c r="E86" s="850" t="s">
        <v>263</v>
      </c>
      <c r="F86" s="3667"/>
      <c r="G86" s="3668"/>
      <c r="H86" s="3667"/>
      <c r="I86" s="3668"/>
      <c r="J86" s="867">
        <v>6</v>
      </c>
      <c r="K86" s="884" t="s">
        <v>366</v>
      </c>
      <c r="L86" s="872" t="s">
        <v>358</v>
      </c>
      <c r="M86" s="3671"/>
      <c r="N86" s="883" t="s">
        <v>377</v>
      </c>
      <c r="O86" s="257"/>
      <c r="P86" s="257"/>
      <c r="Q86" s="257"/>
      <c r="R86" s="257"/>
      <c r="S86" s="257"/>
      <c r="T86" s="257"/>
      <c r="U86" s="257"/>
      <c r="V86" s="257"/>
      <c r="W86" s="257"/>
      <c r="X86" s="257"/>
      <c r="Y86" s="257"/>
      <c r="Z86" s="257"/>
      <c r="AA86" s="257"/>
      <c r="AB86" s="257"/>
      <c r="AC86" s="257"/>
      <c r="AD86" s="257"/>
      <c r="AE86" s="257"/>
      <c r="AF86" s="257"/>
      <c r="AG86" s="257"/>
      <c r="AH86" s="257"/>
      <c r="AI86" s="257"/>
      <c r="AJ86" s="257"/>
      <c r="AK86" s="257"/>
      <c r="AL86" s="257"/>
      <c r="AM86" s="257"/>
      <c r="AN86" s="257"/>
      <c r="AO86" s="257"/>
      <c r="AP86" s="257"/>
      <c r="AQ86" s="257"/>
      <c r="AR86" s="257"/>
      <c r="AS86" s="257"/>
      <c r="AT86" s="257"/>
      <c r="AU86" s="257"/>
      <c r="AV86" s="257"/>
      <c r="AW86" s="257"/>
      <c r="AX86" s="257"/>
      <c r="AY86" s="257"/>
      <c r="AZ86" s="257"/>
      <c r="BA86" s="257"/>
      <c r="BB86" s="257"/>
      <c r="BC86" s="257"/>
      <c r="BD86" s="257"/>
      <c r="BE86" s="257"/>
      <c r="BF86" s="257"/>
      <c r="BG86" s="257"/>
      <c r="BH86" s="257"/>
      <c r="BI86" s="257"/>
      <c r="BJ86" s="257"/>
      <c r="BK86" s="257"/>
      <c r="BL86" s="257"/>
      <c r="BM86" s="257"/>
      <c r="BN86" s="257"/>
      <c r="BO86" s="257"/>
      <c r="BP86" s="257"/>
      <c r="BQ86" s="257"/>
      <c r="BR86" s="257"/>
      <c r="BS86" s="257"/>
      <c r="BT86" s="257"/>
      <c r="BU86" s="257"/>
      <c r="BV86" s="257"/>
      <c r="BW86" s="257"/>
      <c r="BX86" s="257"/>
      <c r="BY86" s="257"/>
      <c r="BZ86" s="257"/>
      <c r="CA86" s="257"/>
      <c r="CB86" s="257"/>
      <c r="CC86" s="257"/>
      <c r="CD86" s="257"/>
      <c r="CE86" s="257"/>
      <c r="CF86" s="257"/>
      <c r="CG86" s="257"/>
      <c r="CH86" s="257"/>
      <c r="CI86" s="257"/>
      <c r="CJ86" s="257"/>
      <c r="CK86" s="257"/>
      <c r="CL86" s="257"/>
      <c r="CM86" s="257"/>
      <c r="CN86" s="257"/>
      <c r="CO86" s="257"/>
      <c r="CP86" s="257"/>
      <c r="CQ86" s="257"/>
      <c r="CR86" s="257"/>
      <c r="CS86" s="257"/>
      <c r="CT86" s="257"/>
      <c r="CU86" s="257"/>
      <c r="CV86" s="257"/>
      <c r="CW86" s="257"/>
      <c r="CX86" s="257"/>
      <c r="CY86" s="257"/>
      <c r="CZ86" s="257"/>
      <c r="DA86" s="257"/>
      <c r="DB86" s="257"/>
      <c r="DC86" s="257"/>
      <c r="DD86" s="257"/>
      <c r="DE86" s="257"/>
      <c r="DF86" s="257"/>
      <c r="DG86" s="257"/>
      <c r="DH86" s="257"/>
      <c r="DI86" s="257"/>
      <c r="DJ86" s="257"/>
      <c r="DK86" s="257"/>
      <c r="DL86" s="257"/>
      <c r="DM86" s="257"/>
      <c r="DN86" s="257"/>
      <c r="DO86" s="257"/>
      <c r="DP86" s="257"/>
      <c r="DQ86" s="257"/>
      <c r="DR86" s="257"/>
      <c r="DS86" s="257"/>
      <c r="DT86" s="257"/>
      <c r="DU86" s="257"/>
      <c r="DV86" s="257"/>
    </row>
    <row r="87" spans="1:126" ht="15.65" customHeight="1" x14ac:dyDescent="0.35">
      <c r="A87" s="848" t="s">
        <v>337</v>
      </c>
      <c r="B87" s="849" t="s">
        <v>337</v>
      </c>
      <c r="C87" s="850" t="s">
        <v>267</v>
      </c>
      <c r="D87" s="848">
        <v>0</v>
      </c>
      <c r="E87" s="850" t="s">
        <v>263</v>
      </c>
      <c r="F87" s="3667"/>
      <c r="G87" s="3668"/>
      <c r="H87" s="3667"/>
      <c r="I87" s="3668"/>
      <c r="J87" s="867">
        <v>7</v>
      </c>
      <c r="K87" s="884" t="s">
        <v>366</v>
      </c>
      <c r="L87" s="872" t="s">
        <v>358</v>
      </c>
      <c r="M87" s="3671"/>
      <c r="N87" s="883" t="s">
        <v>377</v>
      </c>
      <c r="O87" s="257"/>
      <c r="P87" s="257"/>
      <c r="Q87" s="257"/>
      <c r="R87" s="257"/>
      <c r="S87" s="257"/>
      <c r="T87" s="257"/>
      <c r="U87" s="257"/>
      <c r="V87" s="257"/>
      <c r="W87" s="257"/>
      <c r="X87" s="257"/>
      <c r="Y87" s="257"/>
      <c r="Z87" s="257"/>
      <c r="AA87" s="257"/>
      <c r="AB87" s="257"/>
      <c r="AC87" s="257"/>
      <c r="AD87" s="257"/>
      <c r="AE87" s="257"/>
      <c r="AF87" s="257"/>
      <c r="AG87" s="257"/>
      <c r="AH87" s="257"/>
      <c r="AI87" s="257"/>
      <c r="AJ87" s="257"/>
      <c r="AK87" s="257"/>
      <c r="AL87" s="257"/>
      <c r="AM87" s="257"/>
      <c r="AN87" s="257"/>
      <c r="AO87" s="257"/>
      <c r="AP87" s="257"/>
      <c r="AQ87" s="257"/>
      <c r="AR87" s="257"/>
      <c r="AS87" s="257"/>
      <c r="AT87" s="257"/>
      <c r="AU87" s="257"/>
      <c r="AV87" s="257"/>
      <c r="AW87" s="257"/>
      <c r="AX87" s="257"/>
      <c r="AY87" s="257"/>
      <c r="AZ87" s="257"/>
      <c r="BA87" s="257"/>
      <c r="BB87" s="257"/>
      <c r="BC87" s="257"/>
      <c r="BD87" s="257"/>
      <c r="BE87" s="257"/>
      <c r="BF87" s="257"/>
      <c r="BG87" s="257"/>
      <c r="BH87" s="257"/>
      <c r="BI87" s="257"/>
      <c r="BJ87" s="257"/>
      <c r="BK87" s="257"/>
      <c r="BL87" s="257"/>
      <c r="BM87" s="257"/>
      <c r="BN87" s="257"/>
      <c r="BO87" s="257"/>
      <c r="BP87" s="257"/>
      <c r="BQ87" s="257"/>
      <c r="BR87" s="257"/>
      <c r="BS87" s="257"/>
      <c r="BT87" s="257"/>
      <c r="BU87" s="257"/>
      <c r="BV87" s="257"/>
      <c r="BW87" s="257"/>
      <c r="BX87" s="257"/>
      <c r="BY87" s="257"/>
      <c r="BZ87" s="257"/>
      <c r="CA87" s="257"/>
      <c r="CB87" s="257"/>
      <c r="CC87" s="257"/>
      <c r="CD87" s="257"/>
      <c r="CE87" s="257"/>
      <c r="CF87" s="257"/>
      <c r="CG87" s="257"/>
      <c r="CH87" s="257"/>
      <c r="CI87" s="257"/>
      <c r="CJ87" s="257"/>
      <c r="CK87" s="257"/>
      <c r="CL87" s="257"/>
      <c r="CM87" s="257"/>
      <c r="CN87" s="257"/>
      <c r="CO87" s="257"/>
      <c r="CP87" s="257"/>
      <c r="CQ87" s="257"/>
      <c r="CR87" s="257"/>
      <c r="CS87" s="257"/>
      <c r="CT87" s="257"/>
      <c r="CU87" s="257"/>
      <c r="CV87" s="257"/>
      <c r="CW87" s="257"/>
      <c r="CX87" s="257"/>
      <c r="CY87" s="257"/>
      <c r="CZ87" s="257"/>
      <c r="DA87" s="257"/>
      <c r="DB87" s="257"/>
      <c r="DC87" s="257"/>
      <c r="DD87" s="257"/>
      <c r="DE87" s="257"/>
      <c r="DF87" s="257"/>
      <c r="DG87" s="257"/>
      <c r="DH87" s="257"/>
      <c r="DI87" s="257"/>
      <c r="DJ87" s="257"/>
      <c r="DK87" s="257"/>
      <c r="DL87" s="257"/>
      <c r="DM87" s="257"/>
      <c r="DN87" s="257"/>
      <c r="DO87" s="257"/>
      <c r="DP87" s="257"/>
      <c r="DQ87" s="257"/>
      <c r="DR87" s="257"/>
      <c r="DS87" s="257"/>
      <c r="DT87" s="257"/>
      <c r="DU87" s="257"/>
      <c r="DV87" s="257"/>
    </row>
    <row r="88" spans="1:126" x14ac:dyDescent="0.35">
      <c r="A88" s="848" t="s">
        <v>337</v>
      </c>
      <c r="B88" s="849" t="s">
        <v>337</v>
      </c>
      <c r="C88" s="850" t="s">
        <v>268</v>
      </c>
      <c r="D88" s="887">
        <v>0</v>
      </c>
      <c r="E88" s="850" t="s">
        <v>199</v>
      </c>
      <c r="F88" s="3667"/>
      <c r="G88" s="3668"/>
      <c r="H88" s="3667"/>
      <c r="I88" s="3668"/>
      <c r="J88" s="867">
        <v>800</v>
      </c>
      <c r="K88" s="884" t="s">
        <v>366</v>
      </c>
      <c r="L88" s="872" t="s">
        <v>358</v>
      </c>
      <c r="M88" s="3671"/>
      <c r="N88" s="883" t="s">
        <v>377</v>
      </c>
      <c r="O88" s="257"/>
      <c r="P88" s="257"/>
      <c r="Q88" s="257"/>
      <c r="R88" s="257"/>
      <c r="S88" s="257"/>
      <c r="T88" s="257"/>
      <c r="U88" s="257"/>
      <c r="V88" s="257"/>
      <c r="W88" s="257"/>
      <c r="X88" s="257"/>
      <c r="Y88" s="257"/>
      <c r="Z88" s="257"/>
      <c r="AA88" s="257"/>
      <c r="AB88" s="257"/>
      <c r="AC88" s="257"/>
      <c r="AD88" s="257"/>
      <c r="AE88" s="257"/>
      <c r="AF88" s="257"/>
      <c r="AG88" s="257"/>
      <c r="AH88" s="257"/>
      <c r="AI88" s="257"/>
      <c r="AJ88" s="257"/>
      <c r="AK88" s="257"/>
      <c r="AL88" s="257"/>
      <c r="AM88" s="257"/>
      <c r="AN88" s="257"/>
      <c r="AO88" s="257"/>
      <c r="AP88" s="257"/>
      <c r="AQ88" s="257"/>
      <c r="AR88" s="257"/>
      <c r="AS88" s="257"/>
      <c r="AT88" s="257"/>
      <c r="AU88" s="257"/>
      <c r="AV88" s="257"/>
      <c r="AW88" s="257"/>
      <c r="AX88" s="257"/>
      <c r="AY88" s="257"/>
      <c r="AZ88" s="257"/>
      <c r="BA88" s="257"/>
      <c r="BB88" s="257"/>
      <c r="BC88" s="257"/>
      <c r="BD88" s="257"/>
      <c r="BE88" s="257"/>
      <c r="BF88" s="257"/>
      <c r="BG88" s="257"/>
      <c r="BH88" s="257"/>
      <c r="BI88" s="257"/>
      <c r="BJ88" s="257"/>
      <c r="BK88" s="257"/>
      <c r="BL88" s="257"/>
      <c r="BM88" s="257"/>
      <c r="BN88" s="257"/>
      <c r="BO88" s="257"/>
      <c r="BP88" s="257"/>
      <c r="BQ88" s="257"/>
      <c r="BR88" s="257"/>
      <c r="BS88" s="257"/>
      <c r="BT88" s="257"/>
      <c r="BU88" s="257"/>
      <c r="BV88" s="257"/>
      <c r="BW88" s="257"/>
      <c r="BX88" s="257"/>
      <c r="BY88" s="257"/>
      <c r="BZ88" s="257"/>
      <c r="CA88" s="257"/>
      <c r="CB88" s="257"/>
      <c r="CC88" s="257"/>
      <c r="CD88" s="257"/>
      <c r="CE88" s="257"/>
      <c r="CF88" s="257"/>
      <c r="CG88" s="257"/>
      <c r="CH88" s="257"/>
      <c r="CI88" s="257"/>
      <c r="CJ88" s="257"/>
      <c r="CK88" s="257"/>
      <c r="CL88" s="257"/>
      <c r="CM88" s="257"/>
      <c r="CN88" s="257"/>
      <c r="CO88" s="257"/>
      <c r="CP88" s="257"/>
      <c r="CQ88" s="257"/>
      <c r="CR88" s="257"/>
      <c r="CS88" s="257"/>
      <c r="CT88" s="257"/>
      <c r="CU88" s="257"/>
      <c r="CV88" s="257"/>
      <c r="CW88" s="257"/>
      <c r="CX88" s="257"/>
      <c r="CY88" s="257"/>
      <c r="CZ88" s="257"/>
      <c r="DA88" s="257"/>
      <c r="DB88" s="257"/>
      <c r="DC88" s="257"/>
      <c r="DD88" s="257"/>
      <c r="DE88" s="257"/>
      <c r="DF88" s="257"/>
      <c r="DG88" s="257"/>
      <c r="DH88" s="257"/>
      <c r="DI88" s="257"/>
      <c r="DJ88" s="257"/>
      <c r="DK88" s="257"/>
      <c r="DL88" s="257"/>
      <c r="DM88" s="257"/>
      <c r="DN88" s="257"/>
      <c r="DO88" s="257"/>
      <c r="DP88" s="257"/>
      <c r="DQ88" s="257"/>
      <c r="DR88" s="257"/>
      <c r="DS88" s="257"/>
      <c r="DT88" s="257"/>
      <c r="DU88" s="257"/>
      <c r="DV88" s="257"/>
    </row>
    <row r="89" spans="1:126" ht="15.65" customHeight="1" x14ac:dyDescent="0.35">
      <c r="A89" s="848" t="s">
        <v>337</v>
      </c>
      <c r="B89" s="849">
        <v>15000</v>
      </c>
      <c r="C89" s="850" t="s">
        <v>269</v>
      </c>
      <c r="D89" s="887">
        <v>20.7</v>
      </c>
      <c r="E89" s="850" t="s">
        <v>202</v>
      </c>
      <c r="F89" s="3667"/>
      <c r="G89" s="3668"/>
      <c r="H89" s="3667"/>
      <c r="I89" s="3668"/>
      <c r="J89" s="867">
        <v>150</v>
      </c>
      <c r="K89" s="882">
        <v>3110</v>
      </c>
      <c r="L89" s="869">
        <v>3110</v>
      </c>
      <c r="M89" s="3671"/>
      <c r="N89" s="857" t="s">
        <v>337</v>
      </c>
      <c r="O89" s="257"/>
      <c r="P89" s="257"/>
      <c r="Q89" s="257"/>
      <c r="R89" s="257"/>
      <c r="S89" s="257"/>
      <c r="T89" s="257"/>
      <c r="U89" s="257"/>
      <c r="V89" s="257"/>
      <c r="W89" s="257"/>
      <c r="X89" s="257"/>
      <c r="Y89" s="257"/>
      <c r="Z89" s="257"/>
      <c r="AA89" s="257"/>
      <c r="AB89" s="257"/>
      <c r="AC89" s="257"/>
      <c r="AD89" s="257"/>
      <c r="AE89" s="257"/>
      <c r="AF89" s="257"/>
      <c r="AG89" s="257"/>
      <c r="AH89" s="257"/>
      <c r="AI89" s="257"/>
      <c r="AJ89" s="257"/>
      <c r="AK89" s="257"/>
      <c r="AL89" s="257"/>
      <c r="AM89" s="257"/>
      <c r="AN89" s="257"/>
      <c r="AO89" s="257"/>
      <c r="AP89" s="257"/>
      <c r="AQ89" s="257"/>
      <c r="AR89" s="257"/>
      <c r="AS89" s="257"/>
      <c r="AT89" s="257"/>
      <c r="AU89" s="257"/>
      <c r="AV89" s="257"/>
      <c r="AW89" s="257"/>
      <c r="AX89" s="257"/>
      <c r="AY89" s="257"/>
      <c r="AZ89" s="257"/>
      <c r="BA89" s="257"/>
      <c r="BB89" s="257"/>
      <c r="BC89" s="257"/>
      <c r="BD89" s="257"/>
      <c r="BE89" s="257"/>
      <c r="BF89" s="257"/>
      <c r="BG89" s="257"/>
      <c r="BH89" s="257"/>
      <c r="BI89" s="257"/>
      <c r="BJ89" s="257"/>
      <c r="BK89" s="257"/>
      <c r="BL89" s="257"/>
      <c r="BM89" s="257"/>
      <c r="BN89" s="257"/>
      <c r="BO89" s="257"/>
      <c r="BP89" s="257"/>
      <c r="BQ89" s="257"/>
      <c r="BR89" s="257"/>
      <c r="BS89" s="257"/>
      <c r="BT89" s="257"/>
      <c r="BU89" s="257"/>
      <c r="BV89" s="257"/>
      <c r="BW89" s="257"/>
      <c r="BX89" s="257"/>
      <c r="BY89" s="257"/>
      <c r="BZ89" s="257"/>
      <c r="CA89" s="257"/>
      <c r="CB89" s="257"/>
      <c r="CC89" s="257"/>
      <c r="CD89" s="257"/>
      <c r="CE89" s="257"/>
      <c r="CF89" s="257"/>
      <c r="CG89" s="257"/>
      <c r="CH89" s="257"/>
      <c r="CI89" s="257"/>
      <c r="CJ89" s="257"/>
      <c r="CK89" s="257"/>
      <c r="CL89" s="257"/>
      <c r="CM89" s="257"/>
      <c r="CN89" s="257"/>
      <c r="CO89" s="257"/>
      <c r="CP89" s="257"/>
      <c r="CQ89" s="257"/>
      <c r="CR89" s="257"/>
      <c r="CS89" s="257"/>
      <c r="CT89" s="257"/>
      <c r="CU89" s="257"/>
      <c r="CV89" s="257"/>
      <c r="CW89" s="257"/>
      <c r="CX89" s="257"/>
      <c r="CY89" s="257"/>
      <c r="CZ89" s="257"/>
      <c r="DA89" s="257"/>
      <c r="DB89" s="257"/>
      <c r="DC89" s="257"/>
      <c r="DD89" s="257"/>
      <c r="DE89" s="257"/>
      <c r="DF89" s="257"/>
      <c r="DG89" s="257"/>
      <c r="DH89" s="257"/>
      <c r="DI89" s="257"/>
      <c r="DJ89" s="257"/>
      <c r="DK89" s="257"/>
      <c r="DL89" s="257"/>
      <c r="DM89" s="257"/>
      <c r="DN89" s="257"/>
      <c r="DO89" s="257"/>
      <c r="DP89" s="257"/>
      <c r="DQ89" s="257"/>
      <c r="DR89" s="257"/>
      <c r="DS89" s="257"/>
      <c r="DT89" s="257"/>
      <c r="DU89" s="257"/>
      <c r="DV89" s="257"/>
    </row>
    <row r="90" spans="1:126" x14ac:dyDescent="0.35">
      <c r="A90" s="848" t="s">
        <v>337</v>
      </c>
      <c r="B90" s="849" t="s">
        <v>337</v>
      </c>
      <c r="C90" s="850" t="s">
        <v>270</v>
      </c>
      <c r="D90" s="887">
        <v>88.9</v>
      </c>
      <c r="E90" s="850" t="s">
        <v>176</v>
      </c>
      <c r="F90" s="3667"/>
      <c r="G90" s="3668"/>
      <c r="H90" s="3667"/>
      <c r="I90" s="3668"/>
      <c r="J90" s="866" t="s">
        <v>371</v>
      </c>
      <c r="K90" s="884" t="s">
        <v>366</v>
      </c>
      <c r="L90" s="872" t="s">
        <v>358</v>
      </c>
      <c r="M90" s="3671"/>
      <c r="N90" s="892" t="s">
        <v>337</v>
      </c>
      <c r="O90" s="257"/>
      <c r="P90" s="257"/>
      <c r="Q90" s="257"/>
      <c r="R90" s="257"/>
      <c r="S90" s="257"/>
      <c r="T90" s="257"/>
      <c r="U90" s="257"/>
      <c r="V90" s="257"/>
      <c r="W90" s="257"/>
      <c r="X90" s="257"/>
      <c r="Y90" s="257"/>
      <c r="Z90" s="257"/>
      <c r="AA90" s="257"/>
      <c r="AB90" s="257"/>
      <c r="AC90" s="257"/>
      <c r="AD90" s="257"/>
      <c r="AE90" s="257"/>
      <c r="AF90" s="257"/>
      <c r="AG90" s="257"/>
      <c r="AH90" s="257"/>
      <c r="AI90" s="257"/>
      <c r="AJ90" s="257"/>
      <c r="AK90" s="257"/>
      <c r="AL90" s="257"/>
      <c r="AM90" s="257"/>
      <c r="AN90" s="257"/>
      <c r="AO90" s="257"/>
      <c r="AP90" s="257"/>
      <c r="AQ90" s="257"/>
      <c r="AR90" s="257"/>
      <c r="AS90" s="257"/>
      <c r="AT90" s="257"/>
      <c r="AU90" s="257"/>
      <c r="AV90" s="257"/>
      <c r="AW90" s="257"/>
      <c r="AX90" s="257"/>
      <c r="AY90" s="257"/>
      <c r="AZ90" s="257"/>
      <c r="BA90" s="257"/>
      <c r="BB90" s="257"/>
      <c r="BC90" s="257"/>
      <c r="BD90" s="257"/>
      <c r="BE90" s="257"/>
      <c r="BF90" s="257"/>
      <c r="BG90" s="257"/>
      <c r="BH90" s="257"/>
      <c r="BI90" s="257"/>
      <c r="BJ90" s="257"/>
      <c r="BK90" s="257"/>
      <c r="BL90" s="257"/>
      <c r="BM90" s="257"/>
      <c r="BN90" s="257"/>
      <c r="BO90" s="257"/>
      <c r="BP90" s="257"/>
      <c r="BQ90" s="257"/>
      <c r="BR90" s="257"/>
      <c r="BS90" s="257"/>
      <c r="BT90" s="257"/>
      <c r="BU90" s="257"/>
      <c r="BV90" s="257"/>
      <c r="BW90" s="257"/>
      <c r="BX90" s="257"/>
      <c r="BY90" s="257"/>
      <c r="BZ90" s="257"/>
      <c r="CA90" s="257"/>
      <c r="CB90" s="257"/>
      <c r="CC90" s="257"/>
      <c r="CD90" s="257"/>
      <c r="CE90" s="257"/>
      <c r="CF90" s="257"/>
      <c r="CG90" s="257"/>
      <c r="CH90" s="257"/>
      <c r="CI90" s="257"/>
      <c r="CJ90" s="257"/>
      <c r="CK90" s="257"/>
      <c r="CL90" s="257"/>
      <c r="CM90" s="257"/>
      <c r="CN90" s="257"/>
      <c r="CO90" s="257"/>
      <c r="CP90" s="257"/>
      <c r="CQ90" s="257"/>
      <c r="CR90" s="257"/>
      <c r="CS90" s="257"/>
      <c r="CT90" s="257"/>
      <c r="CU90" s="257"/>
      <c r="CV90" s="257"/>
      <c r="CW90" s="257"/>
      <c r="CX90" s="257"/>
      <c r="CY90" s="257"/>
      <c r="CZ90" s="257"/>
      <c r="DA90" s="257"/>
      <c r="DB90" s="257"/>
      <c r="DC90" s="257"/>
      <c r="DD90" s="257"/>
      <c r="DE90" s="257"/>
      <c r="DF90" s="257"/>
      <c r="DG90" s="257"/>
      <c r="DH90" s="257"/>
      <c r="DI90" s="257"/>
      <c r="DJ90" s="257"/>
      <c r="DK90" s="257"/>
      <c r="DL90" s="257"/>
      <c r="DM90" s="257"/>
      <c r="DN90" s="257"/>
      <c r="DO90" s="257"/>
      <c r="DP90" s="257"/>
      <c r="DQ90" s="257"/>
      <c r="DR90" s="257"/>
      <c r="DS90" s="257"/>
      <c r="DT90" s="257"/>
      <c r="DU90" s="257"/>
      <c r="DV90" s="257"/>
    </row>
    <row r="91" spans="1:126" x14ac:dyDescent="0.35">
      <c r="A91" s="848" t="s">
        <v>337</v>
      </c>
      <c r="B91" s="849" t="s">
        <v>337</v>
      </c>
      <c r="C91" s="850" t="s">
        <v>271</v>
      </c>
      <c r="D91" s="887">
        <v>1</v>
      </c>
      <c r="E91" s="850" t="s">
        <v>215</v>
      </c>
      <c r="F91" s="3667"/>
      <c r="G91" s="3668"/>
      <c r="H91" s="3667"/>
      <c r="I91" s="3668"/>
      <c r="J91" s="867">
        <v>10000</v>
      </c>
      <c r="K91" s="882">
        <v>10000</v>
      </c>
      <c r="L91" s="869">
        <v>10000</v>
      </c>
      <c r="M91" s="3671"/>
      <c r="N91" s="857" t="s">
        <v>337</v>
      </c>
      <c r="O91" s="257"/>
      <c r="P91" s="257"/>
      <c r="Q91" s="257"/>
      <c r="R91" s="257"/>
      <c r="S91" s="257"/>
      <c r="T91" s="257"/>
      <c r="U91" s="257"/>
      <c r="V91" s="257"/>
      <c r="W91" s="257"/>
      <c r="X91" s="257"/>
      <c r="Y91" s="257"/>
      <c r="Z91" s="257"/>
      <c r="AA91" s="257"/>
      <c r="AB91" s="257"/>
      <c r="AC91" s="257"/>
      <c r="AD91" s="257"/>
      <c r="AE91" s="257"/>
      <c r="AF91" s="257"/>
      <c r="AG91" s="257"/>
      <c r="AH91" s="257"/>
      <c r="AI91" s="257"/>
      <c r="AJ91" s="257"/>
      <c r="AK91" s="257"/>
      <c r="AL91" s="257"/>
      <c r="AM91" s="257"/>
      <c r="AN91" s="257"/>
      <c r="AO91" s="257"/>
      <c r="AP91" s="257"/>
      <c r="AQ91" s="257"/>
      <c r="AR91" s="257"/>
      <c r="AS91" s="257"/>
      <c r="AT91" s="257"/>
      <c r="AU91" s="257"/>
      <c r="AV91" s="257"/>
      <c r="AW91" s="257"/>
      <c r="AX91" s="257"/>
      <c r="AY91" s="257"/>
      <c r="AZ91" s="257"/>
      <c r="BA91" s="257"/>
      <c r="BB91" s="257"/>
      <c r="BC91" s="257"/>
      <c r="BD91" s="257"/>
      <c r="BE91" s="257"/>
      <c r="BF91" s="257"/>
      <c r="BG91" s="257"/>
      <c r="BH91" s="257"/>
      <c r="BI91" s="257"/>
      <c r="BJ91" s="257"/>
      <c r="BK91" s="257"/>
      <c r="BL91" s="257"/>
      <c r="BM91" s="257"/>
      <c r="BN91" s="257"/>
      <c r="BO91" s="257"/>
      <c r="BP91" s="257"/>
      <c r="BQ91" s="257"/>
      <c r="BR91" s="257"/>
      <c r="BS91" s="257"/>
      <c r="BT91" s="257"/>
      <c r="BU91" s="257"/>
      <c r="BV91" s="257"/>
      <c r="BW91" s="257"/>
      <c r="BX91" s="257"/>
      <c r="BY91" s="257"/>
      <c r="BZ91" s="257"/>
      <c r="CA91" s="257"/>
      <c r="CB91" s="257"/>
      <c r="CC91" s="257"/>
      <c r="CD91" s="257"/>
      <c r="CE91" s="257"/>
      <c r="CF91" s="257"/>
      <c r="CG91" s="257"/>
      <c r="CH91" s="257"/>
      <c r="CI91" s="257"/>
      <c r="CJ91" s="257"/>
      <c r="CK91" s="257"/>
      <c r="CL91" s="257"/>
      <c r="CM91" s="257"/>
      <c r="CN91" s="257"/>
      <c r="CO91" s="257"/>
      <c r="CP91" s="257"/>
      <c r="CQ91" s="257"/>
      <c r="CR91" s="257"/>
      <c r="CS91" s="257"/>
      <c r="CT91" s="257"/>
      <c r="CU91" s="257"/>
      <c r="CV91" s="257"/>
      <c r="CW91" s="257"/>
      <c r="CX91" s="257"/>
      <c r="CY91" s="257"/>
      <c r="CZ91" s="257"/>
      <c r="DA91" s="257"/>
      <c r="DB91" s="257"/>
      <c r="DC91" s="257"/>
      <c r="DD91" s="257"/>
      <c r="DE91" s="257"/>
      <c r="DF91" s="257"/>
      <c r="DG91" s="257"/>
      <c r="DH91" s="257"/>
      <c r="DI91" s="257"/>
      <c r="DJ91" s="257"/>
      <c r="DK91" s="257"/>
      <c r="DL91" s="257"/>
      <c r="DM91" s="257"/>
      <c r="DN91" s="257"/>
      <c r="DO91" s="257"/>
      <c r="DP91" s="257"/>
      <c r="DQ91" s="257"/>
      <c r="DR91" s="257"/>
      <c r="DS91" s="257"/>
      <c r="DT91" s="257"/>
      <c r="DU91" s="257"/>
      <c r="DV91" s="257"/>
    </row>
    <row r="92" spans="1:126" x14ac:dyDescent="0.35">
      <c r="A92" s="848" t="s">
        <v>337</v>
      </c>
      <c r="B92" s="849">
        <v>15000</v>
      </c>
      <c r="C92" s="850" t="s">
        <v>272</v>
      </c>
      <c r="D92" s="887">
        <v>0</v>
      </c>
      <c r="E92" s="850" t="s">
        <v>215</v>
      </c>
      <c r="F92" s="3667"/>
      <c r="G92" s="3668"/>
      <c r="H92" s="3667"/>
      <c r="I92" s="3668"/>
      <c r="J92" s="867">
        <v>2500</v>
      </c>
      <c r="K92" s="884" t="s">
        <v>366</v>
      </c>
      <c r="L92" s="872" t="s">
        <v>358</v>
      </c>
      <c r="M92" s="3671"/>
      <c r="N92" s="857" t="s">
        <v>337</v>
      </c>
      <c r="O92" s="257"/>
      <c r="P92" s="257"/>
      <c r="Q92" s="257"/>
      <c r="R92" s="257"/>
      <c r="S92" s="257"/>
      <c r="T92" s="257"/>
      <c r="U92" s="257"/>
      <c r="V92" s="257"/>
      <c r="W92" s="257"/>
      <c r="X92" s="257"/>
      <c r="Y92" s="257"/>
      <c r="Z92" s="257"/>
      <c r="AA92" s="257"/>
      <c r="AB92" s="257"/>
      <c r="AC92" s="257"/>
      <c r="AD92" s="257"/>
      <c r="AE92" s="257"/>
      <c r="AF92" s="257"/>
      <c r="AG92" s="257"/>
      <c r="AH92" s="257"/>
      <c r="AI92" s="257"/>
      <c r="AJ92" s="257"/>
      <c r="AK92" s="257"/>
      <c r="AL92" s="257"/>
      <c r="AM92" s="257"/>
      <c r="AN92" s="257"/>
      <c r="AO92" s="257"/>
      <c r="AP92" s="257"/>
      <c r="AQ92" s="257"/>
      <c r="AR92" s="257"/>
      <c r="AS92" s="257"/>
      <c r="AT92" s="257"/>
      <c r="AU92" s="257"/>
      <c r="AV92" s="257"/>
      <c r="AW92" s="257"/>
      <c r="AX92" s="257"/>
      <c r="AY92" s="257"/>
      <c r="AZ92" s="257"/>
      <c r="BA92" s="257"/>
      <c r="BB92" s="257"/>
      <c r="BC92" s="257"/>
      <c r="BD92" s="257"/>
      <c r="BE92" s="257"/>
      <c r="BF92" s="257"/>
      <c r="BG92" s="257"/>
      <c r="BH92" s="257"/>
      <c r="BI92" s="257"/>
      <c r="BJ92" s="257"/>
      <c r="BK92" s="257"/>
      <c r="BL92" s="257"/>
      <c r="BM92" s="257"/>
      <c r="BN92" s="257"/>
      <c r="BO92" s="257"/>
      <c r="BP92" s="257"/>
      <c r="BQ92" s="257"/>
      <c r="BR92" s="257"/>
      <c r="BS92" s="257"/>
      <c r="BT92" s="257"/>
      <c r="BU92" s="257"/>
      <c r="BV92" s="257"/>
      <c r="BW92" s="257"/>
      <c r="BX92" s="257"/>
      <c r="BY92" s="257"/>
      <c r="BZ92" s="257"/>
      <c r="CA92" s="257"/>
      <c r="CB92" s="257"/>
      <c r="CC92" s="257"/>
      <c r="CD92" s="257"/>
      <c r="CE92" s="257"/>
      <c r="CF92" s="257"/>
      <c r="CG92" s="257"/>
      <c r="CH92" s="257"/>
      <c r="CI92" s="257"/>
      <c r="CJ92" s="257"/>
      <c r="CK92" s="257"/>
      <c r="CL92" s="257"/>
      <c r="CM92" s="257"/>
      <c r="CN92" s="257"/>
      <c r="CO92" s="257"/>
      <c r="CP92" s="257"/>
      <c r="CQ92" s="257"/>
      <c r="CR92" s="257"/>
      <c r="CS92" s="257"/>
      <c r="CT92" s="257"/>
      <c r="CU92" s="257"/>
      <c r="CV92" s="257"/>
      <c r="CW92" s="257"/>
      <c r="CX92" s="257"/>
      <c r="CY92" s="257"/>
      <c r="CZ92" s="257"/>
      <c r="DA92" s="257"/>
      <c r="DB92" s="257"/>
      <c r="DC92" s="257"/>
      <c r="DD92" s="257"/>
      <c r="DE92" s="257"/>
      <c r="DF92" s="257"/>
      <c r="DG92" s="257"/>
      <c r="DH92" s="257"/>
      <c r="DI92" s="257"/>
      <c r="DJ92" s="257"/>
      <c r="DK92" s="257"/>
      <c r="DL92" s="257"/>
      <c r="DM92" s="257"/>
      <c r="DN92" s="257"/>
      <c r="DO92" s="257"/>
      <c r="DP92" s="257"/>
      <c r="DQ92" s="257"/>
      <c r="DR92" s="257"/>
      <c r="DS92" s="257"/>
      <c r="DT92" s="257"/>
      <c r="DU92" s="257"/>
      <c r="DV92" s="257"/>
    </row>
    <row r="93" spans="1:126" x14ac:dyDescent="0.35">
      <c r="A93" s="848" t="s">
        <v>337</v>
      </c>
      <c r="B93" s="849" t="s">
        <v>337</v>
      </c>
      <c r="C93" s="850" t="s">
        <v>273</v>
      </c>
      <c r="D93" s="887">
        <v>0</v>
      </c>
      <c r="E93" s="850" t="s">
        <v>215</v>
      </c>
      <c r="F93" s="3667"/>
      <c r="G93" s="3668"/>
      <c r="H93" s="3667"/>
      <c r="I93" s="3668"/>
      <c r="J93" s="867">
        <v>1500</v>
      </c>
      <c r="K93" s="884" t="s">
        <v>366</v>
      </c>
      <c r="L93" s="872" t="s">
        <v>358</v>
      </c>
      <c r="M93" s="3671"/>
      <c r="N93" s="857" t="s">
        <v>337</v>
      </c>
      <c r="O93" s="257"/>
      <c r="P93" s="257"/>
      <c r="Q93" s="257"/>
      <c r="R93" s="257"/>
      <c r="S93" s="257"/>
      <c r="T93" s="257"/>
      <c r="U93" s="257"/>
      <c r="V93" s="257"/>
      <c r="W93" s="257"/>
      <c r="X93" s="257"/>
      <c r="Y93" s="257"/>
      <c r="Z93" s="257"/>
      <c r="AA93" s="257"/>
      <c r="AB93" s="257"/>
      <c r="AC93" s="257"/>
      <c r="AD93" s="257"/>
      <c r="AE93" s="257"/>
      <c r="AF93" s="257"/>
      <c r="AG93" s="257"/>
      <c r="AH93" s="257"/>
      <c r="AI93" s="257"/>
      <c r="AJ93" s="257"/>
      <c r="AK93" s="257"/>
      <c r="AL93" s="257"/>
      <c r="AM93" s="257"/>
      <c r="AN93" s="257"/>
      <c r="AO93" s="257"/>
      <c r="AP93" s="257"/>
      <c r="AQ93" s="257"/>
      <c r="AR93" s="257"/>
      <c r="AS93" s="257"/>
      <c r="AT93" s="257"/>
      <c r="AU93" s="257"/>
      <c r="AV93" s="257"/>
      <c r="AW93" s="257"/>
      <c r="AX93" s="257"/>
      <c r="AY93" s="257"/>
      <c r="AZ93" s="257"/>
      <c r="BA93" s="257"/>
      <c r="BB93" s="257"/>
      <c r="BC93" s="257"/>
      <c r="BD93" s="257"/>
      <c r="BE93" s="257"/>
      <c r="BF93" s="257"/>
      <c r="BG93" s="257"/>
      <c r="BH93" s="257"/>
      <c r="BI93" s="257"/>
      <c r="BJ93" s="257"/>
      <c r="BK93" s="257"/>
      <c r="BL93" s="257"/>
      <c r="BM93" s="257"/>
      <c r="BN93" s="257"/>
      <c r="BO93" s="257"/>
      <c r="BP93" s="257"/>
      <c r="BQ93" s="257"/>
      <c r="BR93" s="257"/>
      <c r="BS93" s="257"/>
      <c r="BT93" s="257"/>
      <c r="BU93" s="257"/>
      <c r="BV93" s="257"/>
      <c r="BW93" s="257"/>
      <c r="BX93" s="257"/>
      <c r="BY93" s="257"/>
      <c r="BZ93" s="257"/>
      <c r="CA93" s="257"/>
      <c r="CB93" s="257"/>
      <c r="CC93" s="257"/>
      <c r="CD93" s="257"/>
      <c r="CE93" s="257"/>
      <c r="CF93" s="257"/>
      <c r="CG93" s="257"/>
      <c r="CH93" s="257"/>
      <c r="CI93" s="257"/>
      <c r="CJ93" s="257"/>
      <c r="CK93" s="257"/>
      <c r="CL93" s="257"/>
      <c r="CM93" s="257"/>
      <c r="CN93" s="257"/>
      <c r="CO93" s="257"/>
      <c r="CP93" s="257"/>
      <c r="CQ93" s="257"/>
      <c r="CR93" s="257"/>
      <c r="CS93" s="257"/>
      <c r="CT93" s="257"/>
      <c r="CU93" s="257"/>
      <c r="CV93" s="257"/>
      <c r="CW93" s="257"/>
      <c r="CX93" s="257"/>
      <c r="CY93" s="257"/>
      <c r="CZ93" s="257"/>
      <c r="DA93" s="257"/>
      <c r="DB93" s="257"/>
      <c r="DC93" s="257"/>
      <c r="DD93" s="257"/>
      <c r="DE93" s="257"/>
      <c r="DF93" s="257"/>
      <c r="DG93" s="257"/>
      <c r="DH93" s="257"/>
      <c r="DI93" s="257"/>
      <c r="DJ93" s="257"/>
      <c r="DK93" s="257"/>
      <c r="DL93" s="257"/>
      <c r="DM93" s="257"/>
      <c r="DN93" s="257"/>
      <c r="DO93" s="257"/>
      <c r="DP93" s="257"/>
      <c r="DQ93" s="257"/>
      <c r="DR93" s="257"/>
      <c r="DS93" s="257"/>
      <c r="DT93" s="257"/>
      <c r="DU93" s="257"/>
      <c r="DV93" s="257"/>
    </row>
    <row r="94" spans="1:126" x14ac:dyDescent="0.35">
      <c r="A94" s="848" t="s">
        <v>337</v>
      </c>
      <c r="B94" s="849" t="s">
        <v>337</v>
      </c>
      <c r="C94" s="850" t="s">
        <v>274</v>
      </c>
      <c r="D94" s="887">
        <v>0</v>
      </c>
      <c r="E94" s="850" t="s">
        <v>215</v>
      </c>
      <c r="F94" s="3667"/>
      <c r="G94" s="3668"/>
      <c r="H94" s="3667"/>
      <c r="I94" s="3668"/>
      <c r="J94" s="867">
        <v>500</v>
      </c>
      <c r="K94" s="884" t="s">
        <v>366</v>
      </c>
      <c r="L94" s="872" t="s">
        <v>358</v>
      </c>
      <c r="M94" s="3671"/>
      <c r="N94" s="857" t="s">
        <v>337</v>
      </c>
      <c r="O94" s="257"/>
      <c r="P94" s="257"/>
      <c r="Q94" s="257"/>
      <c r="R94" s="257"/>
      <c r="S94" s="257"/>
      <c r="T94" s="257"/>
      <c r="U94" s="257"/>
      <c r="V94" s="257"/>
      <c r="W94" s="257"/>
      <c r="X94" s="257"/>
      <c r="Y94" s="257"/>
      <c r="Z94" s="257"/>
      <c r="AA94" s="257"/>
      <c r="AB94" s="257"/>
      <c r="AC94" s="257"/>
      <c r="AD94" s="257"/>
      <c r="AE94" s="257"/>
      <c r="AF94" s="257"/>
      <c r="AG94" s="257"/>
      <c r="AH94" s="257"/>
      <c r="AI94" s="257"/>
      <c r="AJ94" s="257"/>
      <c r="AK94" s="257"/>
      <c r="AL94" s="257"/>
      <c r="AM94" s="257"/>
      <c r="AN94" s="257"/>
      <c r="AO94" s="257"/>
      <c r="AP94" s="257"/>
      <c r="AQ94" s="257"/>
      <c r="AR94" s="257"/>
      <c r="AS94" s="257"/>
      <c r="AT94" s="257"/>
      <c r="AU94" s="257"/>
      <c r="AV94" s="257"/>
      <c r="AW94" s="257"/>
      <c r="AX94" s="257"/>
      <c r="AY94" s="257"/>
      <c r="AZ94" s="257"/>
      <c r="BA94" s="257"/>
      <c r="BB94" s="257"/>
      <c r="BC94" s="257"/>
      <c r="BD94" s="257"/>
      <c r="BE94" s="257"/>
      <c r="BF94" s="257"/>
      <c r="BG94" s="257"/>
      <c r="BH94" s="257"/>
      <c r="BI94" s="257"/>
      <c r="BJ94" s="257"/>
      <c r="BK94" s="257"/>
      <c r="BL94" s="257"/>
      <c r="BM94" s="257"/>
      <c r="BN94" s="257"/>
      <c r="BO94" s="257"/>
      <c r="BP94" s="257"/>
      <c r="BQ94" s="257"/>
      <c r="BR94" s="257"/>
      <c r="BS94" s="257"/>
      <c r="BT94" s="257"/>
      <c r="BU94" s="257"/>
      <c r="BV94" s="257"/>
      <c r="BW94" s="257"/>
      <c r="BX94" s="257"/>
      <c r="BY94" s="257"/>
      <c r="BZ94" s="257"/>
      <c r="CA94" s="257"/>
      <c r="CB94" s="257"/>
      <c r="CC94" s="257"/>
      <c r="CD94" s="257"/>
      <c r="CE94" s="257"/>
      <c r="CF94" s="257"/>
      <c r="CG94" s="257"/>
      <c r="CH94" s="257"/>
      <c r="CI94" s="257"/>
      <c r="CJ94" s="257"/>
      <c r="CK94" s="257"/>
      <c r="CL94" s="257"/>
      <c r="CM94" s="257"/>
      <c r="CN94" s="257"/>
      <c r="CO94" s="257"/>
      <c r="CP94" s="257"/>
      <c r="CQ94" s="257"/>
      <c r="CR94" s="257"/>
      <c r="CS94" s="257"/>
      <c r="CT94" s="257"/>
      <c r="CU94" s="257"/>
      <c r="CV94" s="257"/>
      <c r="CW94" s="257"/>
      <c r="CX94" s="257"/>
      <c r="CY94" s="257"/>
      <c r="CZ94" s="257"/>
      <c r="DA94" s="257"/>
      <c r="DB94" s="257"/>
      <c r="DC94" s="257"/>
      <c r="DD94" s="257"/>
      <c r="DE94" s="257"/>
      <c r="DF94" s="257"/>
      <c r="DG94" s="257"/>
      <c r="DH94" s="257"/>
      <c r="DI94" s="257"/>
      <c r="DJ94" s="257"/>
      <c r="DK94" s="257"/>
      <c r="DL94" s="257"/>
      <c r="DM94" s="257"/>
      <c r="DN94" s="257"/>
      <c r="DO94" s="257"/>
      <c r="DP94" s="257"/>
      <c r="DQ94" s="257"/>
      <c r="DR94" s="257"/>
      <c r="DS94" s="257"/>
      <c r="DT94" s="257"/>
      <c r="DU94" s="257"/>
      <c r="DV94" s="257"/>
    </row>
    <row r="95" spans="1:126" x14ac:dyDescent="0.35">
      <c r="A95" s="848" t="s">
        <v>337</v>
      </c>
      <c r="B95" s="849">
        <v>15000</v>
      </c>
      <c r="C95" s="850" t="s">
        <v>275</v>
      </c>
      <c r="D95" s="887">
        <v>0</v>
      </c>
      <c r="E95" s="850" t="s">
        <v>215</v>
      </c>
      <c r="F95" s="3667"/>
      <c r="G95" s="3668"/>
      <c r="H95" s="3667"/>
      <c r="I95" s="3668"/>
      <c r="J95" s="867">
        <v>5000</v>
      </c>
      <c r="K95" s="884" t="s">
        <v>366</v>
      </c>
      <c r="L95" s="872" t="s">
        <v>358</v>
      </c>
      <c r="M95" s="3671"/>
      <c r="N95" s="857" t="s">
        <v>337</v>
      </c>
      <c r="O95" s="257"/>
      <c r="P95" s="257"/>
      <c r="Q95" s="257"/>
      <c r="R95" s="257"/>
      <c r="S95" s="257"/>
      <c r="T95" s="257"/>
      <c r="U95" s="257"/>
      <c r="V95" s="257"/>
      <c r="W95" s="257"/>
      <c r="X95" s="257"/>
      <c r="Y95" s="257"/>
      <c r="Z95" s="257"/>
      <c r="AA95" s="257"/>
      <c r="AB95" s="257"/>
      <c r="AC95" s="257"/>
      <c r="AD95" s="257"/>
      <c r="AE95" s="257"/>
      <c r="AF95" s="257"/>
      <c r="AG95" s="257"/>
      <c r="AH95" s="257"/>
      <c r="AI95" s="257"/>
      <c r="AJ95" s="257"/>
      <c r="AK95" s="257"/>
      <c r="AL95" s="257"/>
      <c r="AM95" s="257"/>
      <c r="AN95" s="257"/>
      <c r="AO95" s="257"/>
      <c r="AP95" s="257"/>
      <c r="AQ95" s="257"/>
      <c r="AR95" s="257"/>
      <c r="AS95" s="257"/>
      <c r="AT95" s="257"/>
      <c r="AU95" s="257"/>
      <c r="AV95" s="257"/>
      <c r="AW95" s="257"/>
      <c r="AX95" s="257"/>
      <c r="AY95" s="257"/>
      <c r="AZ95" s="257"/>
      <c r="BA95" s="257"/>
      <c r="BB95" s="257"/>
      <c r="BC95" s="257"/>
      <c r="BD95" s="257"/>
      <c r="BE95" s="257"/>
      <c r="BF95" s="257"/>
      <c r="BG95" s="257"/>
      <c r="BH95" s="257"/>
      <c r="BI95" s="257"/>
      <c r="BJ95" s="257"/>
      <c r="BK95" s="257"/>
      <c r="BL95" s="257"/>
      <c r="BM95" s="257"/>
      <c r="BN95" s="257"/>
      <c r="BO95" s="257"/>
      <c r="BP95" s="257"/>
      <c r="BQ95" s="257"/>
      <c r="BR95" s="257"/>
      <c r="BS95" s="257"/>
      <c r="BT95" s="257"/>
      <c r="BU95" s="257"/>
      <c r="BV95" s="257"/>
      <c r="BW95" s="257"/>
      <c r="BX95" s="257"/>
      <c r="BY95" s="257"/>
      <c r="BZ95" s="257"/>
      <c r="CA95" s="257"/>
      <c r="CB95" s="257"/>
      <c r="CC95" s="257"/>
      <c r="CD95" s="257"/>
      <c r="CE95" s="257"/>
      <c r="CF95" s="257"/>
      <c r="CG95" s="257"/>
      <c r="CH95" s="257"/>
      <c r="CI95" s="257"/>
      <c r="CJ95" s="257"/>
      <c r="CK95" s="257"/>
      <c r="CL95" s="257"/>
      <c r="CM95" s="257"/>
      <c r="CN95" s="257"/>
      <c r="CO95" s="257"/>
      <c r="CP95" s="257"/>
      <c r="CQ95" s="257"/>
      <c r="CR95" s="257"/>
      <c r="CS95" s="257"/>
      <c r="CT95" s="257"/>
      <c r="CU95" s="257"/>
      <c r="CV95" s="257"/>
      <c r="CW95" s="257"/>
      <c r="CX95" s="257"/>
      <c r="CY95" s="257"/>
      <c r="CZ95" s="257"/>
      <c r="DA95" s="257"/>
      <c r="DB95" s="257"/>
      <c r="DC95" s="257"/>
      <c r="DD95" s="257"/>
      <c r="DE95" s="257"/>
      <c r="DF95" s="257"/>
      <c r="DG95" s="257"/>
      <c r="DH95" s="257"/>
      <c r="DI95" s="257"/>
      <c r="DJ95" s="257"/>
      <c r="DK95" s="257"/>
      <c r="DL95" s="257"/>
      <c r="DM95" s="257"/>
      <c r="DN95" s="257"/>
      <c r="DO95" s="257"/>
      <c r="DP95" s="257"/>
      <c r="DQ95" s="257"/>
      <c r="DR95" s="257"/>
      <c r="DS95" s="257"/>
      <c r="DT95" s="257"/>
      <c r="DU95" s="257"/>
      <c r="DV95" s="257"/>
    </row>
    <row r="96" spans="1:126" x14ac:dyDescent="0.35">
      <c r="A96" s="848" t="s">
        <v>337</v>
      </c>
      <c r="B96" s="849" t="s">
        <v>337</v>
      </c>
      <c r="C96" s="850" t="s">
        <v>276</v>
      </c>
      <c r="D96" s="887">
        <v>0</v>
      </c>
      <c r="E96" s="850" t="s">
        <v>215</v>
      </c>
      <c r="F96" s="3667"/>
      <c r="G96" s="3668"/>
      <c r="H96" s="3667"/>
      <c r="I96" s="3668"/>
      <c r="J96" s="866" t="s">
        <v>371</v>
      </c>
      <c r="K96" s="884" t="s">
        <v>366</v>
      </c>
      <c r="L96" s="872" t="s">
        <v>358</v>
      </c>
      <c r="M96" s="3671"/>
      <c r="N96" s="857" t="s">
        <v>337</v>
      </c>
      <c r="O96" s="257"/>
      <c r="P96" s="257"/>
      <c r="Q96" s="257"/>
      <c r="R96" s="257"/>
      <c r="S96" s="257"/>
      <c r="T96" s="257"/>
      <c r="U96" s="257"/>
      <c r="V96" s="257"/>
      <c r="W96" s="257"/>
      <c r="X96" s="257"/>
      <c r="Y96" s="257"/>
      <c r="Z96" s="257"/>
      <c r="AA96" s="257"/>
      <c r="AB96" s="257"/>
      <c r="AC96" s="257"/>
      <c r="AD96" s="257"/>
      <c r="AE96" s="257"/>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57"/>
      <c r="BK96" s="257"/>
      <c r="BL96" s="257"/>
      <c r="BM96" s="257"/>
      <c r="BN96" s="257"/>
      <c r="BO96" s="257"/>
      <c r="BP96" s="257"/>
      <c r="BQ96" s="257"/>
      <c r="BR96" s="257"/>
      <c r="BS96" s="257"/>
      <c r="BT96" s="257"/>
      <c r="BU96" s="257"/>
      <c r="BV96" s="257"/>
      <c r="BW96" s="257"/>
      <c r="BX96" s="257"/>
      <c r="BY96" s="257"/>
      <c r="BZ96" s="257"/>
      <c r="CA96" s="257"/>
      <c r="CB96" s="257"/>
      <c r="CC96" s="257"/>
      <c r="CD96" s="257"/>
      <c r="CE96" s="257"/>
      <c r="CF96" s="257"/>
      <c r="CG96" s="257"/>
      <c r="CH96" s="257"/>
      <c r="CI96" s="257"/>
      <c r="CJ96" s="257"/>
      <c r="CK96" s="257"/>
      <c r="CL96" s="257"/>
      <c r="CM96" s="257"/>
      <c r="CN96" s="257"/>
      <c r="CO96" s="257"/>
      <c r="CP96" s="257"/>
      <c r="CQ96" s="257"/>
      <c r="CR96" s="257"/>
      <c r="CS96" s="257"/>
      <c r="CT96" s="257"/>
      <c r="CU96" s="257"/>
      <c r="CV96" s="257"/>
      <c r="CW96" s="257"/>
      <c r="CX96" s="257"/>
      <c r="CY96" s="257"/>
      <c r="CZ96" s="257"/>
      <c r="DA96" s="257"/>
      <c r="DB96" s="257"/>
      <c r="DC96" s="257"/>
      <c r="DD96" s="257"/>
      <c r="DE96" s="257"/>
      <c r="DF96" s="257"/>
      <c r="DG96" s="257"/>
      <c r="DH96" s="257"/>
      <c r="DI96" s="257"/>
      <c r="DJ96" s="257"/>
      <c r="DK96" s="257"/>
      <c r="DL96" s="257"/>
      <c r="DM96" s="257"/>
      <c r="DN96" s="257"/>
      <c r="DO96" s="257"/>
      <c r="DP96" s="257"/>
      <c r="DQ96" s="257"/>
      <c r="DR96" s="257"/>
      <c r="DS96" s="257"/>
      <c r="DT96" s="257"/>
      <c r="DU96" s="257"/>
      <c r="DV96" s="257"/>
    </row>
    <row r="97" spans="1:135" x14ac:dyDescent="0.35">
      <c r="A97" s="848" t="s">
        <v>337</v>
      </c>
      <c r="B97" s="849">
        <v>15000</v>
      </c>
      <c r="C97" s="850" t="s">
        <v>277</v>
      </c>
      <c r="D97" s="887">
        <v>0</v>
      </c>
      <c r="E97" s="850" t="s">
        <v>215</v>
      </c>
      <c r="F97" s="3667"/>
      <c r="G97" s="3668"/>
      <c r="H97" s="3667"/>
      <c r="I97" s="3668"/>
      <c r="J97" s="867">
        <v>5000</v>
      </c>
      <c r="K97" s="884" t="s">
        <v>366</v>
      </c>
      <c r="L97" s="872" t="s">
        <v>358</v>
      </c>
      <c r="M97" s="3671"/>
      <c r="N97" s="857" t="s">
        <v>337</v>
      </c>
      <c r="O97" s="257"/>
      <c r="P97" s="257"/>
      <c r="Q97" s="257"/>
      <c r="R97" s="257"/>
      <c r="S97" s="257"/>
      <c r="T97" s="257"/>
      <c r="U97" s="257"/>
      <c r="V97" s="257"/>
      <c r="W97" s="257"/>
      <c r="X97" s="257"/>
      <c r="Y97" s="257"/>
      <c r="Z97" s="257"/>
      <c r="AA97" s="257"/>
      <c r="AB97" s="257"/>
      <c r="AC97" s="257"/>
      <c r="AD97" s="257"/>
      <c r="AE97" s="257"/>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57"/>
      <c r="BK97" s="257"/>
      <c r="BL97" s="257"/>
      <c r="BM97" s="257"/>
      <c r="BN97" s="257"/>
      <c r="BO97" s="257"/>
      <c r="BP97" s="257"/>
      <c r="BQ97" s="257"/>
      <c r="BR97" s="257"/>
      <c r="BS97" s="257"/>
      <c r="BT97" s="257"/>
      <c r="BU97" s="257"/>
      <c r="BV97" s="257"/>
      <c r="BW97" s="257"/>
      <c r="BX97" s="257"/>
      <c r="BY97" s="257"/>
      <c r="BZ97" s="257"/>
      <c r="CA97" s="257"/>
      <c r="CB97" s="257"/>
      <c r="CC97" s="257"/>
      <c r="CD97" s="257"/>
      <c r="CE97" s="257"/>
      <c r="CF97" s="257"/>
      <c r="CG97" s="257"/>
      <c r="CH97" s="257"/>
      <c r="CI97" s="257"/>
      <c r="CJ97" s="257"/>
      <c r="CK97" s="257"/>
      <c r="CL97" s="257"/>
      <c r="CM97" s="257"/>
      <c r="CN97" s="257"/>
      <c r="CO97" s="257"/>
      <c r="CP97" s="257"/>
      <c r="CQ97" s="257"/>
      <c r="CR97" s="257"/>
      <c r="CS97" s="257"/>
      <c r="CT97" s="257"/>
      <c r="CU97" s="257"/>
      <c r="CV97" s="257"/>
      <c r="CW97" s="257"/>
      <c r="CX97" s="257"/>
      <c r="CY97" s="257"/>
      <c r="CZ97" s="257"/>
      <c r="DA97" s="257"/>
      <c r="DB97" s="257"/>
      <c r="DC97" s="257"/>
      <c r="DD97" s="257"/>
      <c r="DE97" s="257"/>
      <c r="DF97" s="257"/>
      <c r="DG97" s="257"/>
      <c r="DH97" s="257"/>
      <c r="DI97" s="257"/>
      <c r="DJ97" s="257"/>
      <c r="DK97" s="257"/>
      <c r="DL97" s="257"/>
      <c r="DM97" s="257"/>
      <c r="DN97" s="257"/>
      <c r="DO97" s="257"/>
      <c r="DP97" s="257"/>
      <c r="DQ97" s="257"/>
      <c r="DR97" s="257"/>
      <c r="DS97" s="257"/>
      <c r="DT97" s="257"/>
      <c r="DU97" s="257"/>
      <c r="DV97" s="257"/>
    </row>
    <row r="98" spans="1:135" x14ac:dyDescent="0.35">
      <c r="A98" s="848" t="s">
        <v>337</v>
      </c>
      <c r="B98" s="849">
        <v>15000</v>
      </c>
      <c r="C98" s="850" t="s">
        <v>278</v>
      </c>
      <c r="D98" s="887">
        <v>0</v>
      </c>
      <c r="E98" s="850" t="s">
        <v>215</v>
      </c>
      <c r="F98" s="3667"/>
      <c r="G98" s="3668"/>
      <c r="H98" s="3667"/>
      <c r="I98" s="3668"/>
      <c r="J98" s="867">
        <v>5000</v>
      </c>
      <c r="K98" s="884" t="s">
        <v>366</v>
      </c>
      <c r="L98" s="872" t="s">
        <v>358</v>
      </c>
      <c r="M98" s="3671"/>
      <c r="N98" s="857" t="s">
        <v>337</v>
      </c>
      <c r="O98" s="257"/>
      <c r="P98" s="257"/>
      <c r="Q98" s="257"/>
      <c r="R98" s="257"/>
      <c r="S98" s="257"/>
      <c r="T98" s="257"/>
      <c r="U98" s="257"/>
      <c r="V98" s="257"/>
      <c r="W98" s="257"/>
      <c r="X98" s="257"/>
      <c r="Y98" s="257"/>
      <c r="Z98" s="257"/>
      <c r="AA98" s="257"/>
      <c r="AB98" s="257"/>
      <c r="AC98" s="257"/>
      <c r="AD98" s="257"/>
      <c r="AE98" s="257"/>
      <c r="AF98" s="257"/>
      <c r="AG98" s="257"/>
      <c r="AH98" s="257"/>
      <c r="AI98" s="257"/>
      <c r="AJ98" s="257"/>
      <c r="AK98" s="257"/>
      <c r="AL98" s="257"/>
      <c r="AM98" s="257"/>
      <c r="AN98" s="257"/>
      <c r="AO98" s="257"/>
      <c r="AP98" s="257"/>
      <c r="AQ98" s="257"/>
      <c r="AR98" s="257"/>
      <c r="AS98" s="257"/>
      <c r="AT98" s="257"/>
      <c r="AU98" s="257"/>
      <c r="AV98" s="257"/>
      <c r="AW98" s="257"/>
      <c r="AX98" s="257"/>
      <c r="AY98" s="257"/>
      <c r="AZ98" s="257"/>
      <c r="BA98" s="257"/>
      <c r="BB98" s="257"/>
      <c r="BC98" s="257"/>
      <c r="BD98" s="257"/>
      <c r="BE98" s="257"/>
      <c r="BF98" s="257"/>
      <c r="BG98" s="257"/>
      <c r="BH98" s="257"/>
      <c r="BI98" s="257"/>
      <c r="BJ98" s="257"/>
      <c r="BK98" s="257"/>
      <c r="BL98" s="257"/>
      <c r="BM98" s="257"/>
      <c r="BN98" s="257"/>
      <c r="BO98" s="257"/>
      <c r="BP98" s="257"/>
      <c r="BQ98" s="257"/>
      <c r="BR98" s="257"/>
      <c r="BS98" s="257"/>
      <c r="BT98" s="257"/>
      <c r="BU98" s="257"/>
      <c r="BV98" s="257"/>
      <c r="BW98" s="257"/>
      <c r="BX98" s="257"/>
      <c r="BY98" s="257"/>
      <c r="BZ98" s="257"/>
      <c r="CA98" s="257"/>
      <c r="CB98" s="257"/>
      <c r="CC98" s="257"/>
      <c r="CD98" s="257"/>
      <c r="CE98" s="257"/>
      <c r="CF98" s="257"/>
      <c r="CG98" s="257"/>
      <c r="CH98" s="257"/>
      <c r="CI98" s="257"/>
      <c r="CJ98" s="257"/>
      <c r="CK98" s="257"/>
      <c r="CL98" s="257"/>
      <c r="CM98" s="257"/>
      <c r="CN98" s="257"/>
      <c r="CO98" s="257"/>
      <c r="CP98" s="257"/>
      <c r="CQ98" s="257"/>
      <c r="CR98" s="257"/>
      <c r="CS98" s="257"/>
      <c r="CT98" s="257"/>
      <c r="CU98" s="257"/>
      <c r="CV98" s="257"/>
      <c r="CW98" s="257"/>
      <c r="CX98" s="257"/>
      <c r="CY98" s="257"/>
      <c r="CZ98" s="257"/>
      <c r="DA98" s="257"/>
      <c r="DB98" s="257"/>
      <c r="DC98" s="257"/>
      <c r="DD98" s="257"/>
      <c r="DE98" s="257"/>
      <c r="DF98" s="257"/>
      <c r="DG98" s="257"/>
      <c r="DH98" s="257"/>
      <c r="DI98" s="257"/>
      <c r="DJ98" s="257"/>
      <c r="DK98" s="257"/>
      <c r="DL98" s="257"/>
      <c r="DM98" s="257"/>
      <c r="DN98" s="257"/>
      <c r="DO98" s="257"/>
      <c r="DP98" s="257"/>
      <c r="DQ98" s="257"/>
      <c r="DR98" s="257"/>
      <c r="DS98" s="257"/>
      <c r="DT98" s="257"/>
      <c r="DU98" s="257"/>
      <c r="DV98" s="257"/>
    </row>
    <row r="99" spans="1:135" x14ac:dyDescent="0.35">
      <c r="A99" s="848" t="s">
        <v>337</v>
      </c>
      <c r="B99" s="849" t="s">
        <v>337</v>
      </c>
      <c r="C99" s="850" t="s">
        <v>279</v>
      </c>
      <c r="D99" s="848">
        <v>20.7</v>
      </c>
      <c r="E99" s="850" t="s">
        <v>202</v>
      </c>
      <c r="F99" s="3667"/>
      <c r="G99" s="3668"/>
      <c r="H99" s="3667"/>
      <c r="I99" s="3668"/>
      <c r="J99" s="867">
        <v>500</v>
      </c>
      <c r="K99" s="882">
        <v>10367</v>
      </c>
      <c r="L99" s="869">
        <v>10367</v>
      </c>
      <c r="M99" s="3671"/>
      <c r="N99" s="857" t="s">
        <v>337</v>
      </c>
      <c r="O99" s="257"/>
      <c r="P99" s="257"/>
      <c r="Q99" s="257"/>
      <c r="R99" s="257"/>
      <c r="S99" s="257"/>
      <c r="T99" s="257"/>
      <c r="U99" s="257"/>
      <c r="V99" s="257"/>
      <c r="W99" s="257"/>
      <c r="X99" s="257"/>
      <c r="Y99" s="257"/>
      <c r="Z99" s="257"/>
      <c r="AA99" s="257"/>
      <c r="AB99" s="257"/>
      <c r="AC99" s="257"/>
      <c r="AD99" s="257"/>
      <c r="AE99" s="257"/>
      <c r="AF99" s="257"/>
      <c r="AG99" s="257"/>
      <c r="AH99" s="257"/>
      <c r="AI99" s="257"/>
      <c r="AJ99" s="257"/>
      <c r="AK99" s="257"/>
      <c r="AL99" s="257"/>
      <c r="AM99" s="257"/>
      <c r="AN99" s="257"/>
      <c r="AO99" s="257"/>
      <c r="AP99" s="257"/>
      <c r="AQ99" s="257"/>
      <c r="AR99" s="257"/>
      <c r="AS99" s="257"/>
      <c r="AT99" s="257"/>
      <c r="AU99" s="257"/>
      <c r="AV99" s="257"/>
      <c r="AW99" s="257"/>
      <c r="AX99" s="257"/>
      <c r="AY99" s="257"/>
      <c r="AZ99" s="257"/>
      <c r="BA99" s="257"/>
      <c r="BB99" s="257"/>
      <c r="BC99" s="257"/>
      <c r="BD99" s="257"/>
      <c r="BE99" s="257"/>
      <c r="BF99" s="257"/>
      <c r="BG99" s="257"/>
      <c r="BH99" s="257"/>
      <c r="BI99" s="257"/>
      <c r="BJ99" s="257"/>
      <c r="BK99" s="257"/>
      <c r="BL99" s="257"/>
      <c r="BM99" s="257"/>
      <c r="BN99" s="257"/>
      <c r="BO99" s="257"/>
      <c r="BP99" s="257"/>
      <c r="BQ99" s="257"/>
      <c r="BR99" s="257"/>
      <c r="BS99" s="257"/>
      <c r="BT99" s="257"/>
      <c r="BU99" s="257"/>
      <c r="BV99" s="257"/>
      <c r="BW99" s="257"/>
      <c r="BX99" s="257"/>
      <c r="BY99" s="257"/>
      <c r="BZ99" s="257"/>
      <c r="CA99" s="257"/>
      <c r="CB99" s="257"/>
      <c r="CC99" s="257"/>
      <c r="CD99" s="257"/>
      <c r="CE99" s="257"/>
      <c r="CF99" s="257"/>
      <c r="CG99" s="257"/>
      <c r="CH99" s="257"/>
      <c r="CI99" s="257"/>
      <c r="CJ99" s="257"/>
      <c r="CK99" s="257"/>
      <c r="CL99" s="257"/>
      <c r="CM99" s="257"/>
      <c r="CN99" s="257"/>
      <c r="CO99" s="257"/>
      <c r="CP99" s="257"/>
      <c r="CQ99" s="257"/>
      <c r="CR99" s="257"/>
      <c r="CS99" s="257"/>
      <c r="CT99" s="257"/>
      <c r="CU99" s="257"/>
      <c r="CV99" s="257"/>
      <c r="CW99" s="257"/>
      <c r="CX99" s="257"/>
      <c r="CY99" s="257"/>
      <c r="CZ99" s="257"/>
      <c r="DA99" s="257"/>
      <c r="DB99" s="257"/>
      <c r="DC99" s="257"/>
      <c r="DD99" s="257"/>
      <c r="DE99" s="257"/>
      <c r="DF99" s="257"/>
      <c r="DG99" s="257"/>
      <c r="DH99" s="257"/>
      <c r="DI99" s="257"/>
      <c r="DJ99" s="257"/>
      <c r="DK99" s="257"/>
      <c r="DL99" s="257"/>
      <c r="DM99" s="257"/>
      <c r="DN99" s="257"/>
      <c r="DO99" s="257"/>
      <c r="DP99" s="257"/>
      <c r="DQ99" s="257"/>
      <c r="DR99" s="257"/>
      <c r="DS99" s="257"/>
      <c r="DT99" s="257"/>
      <c r="DU99" s="257"/>
      <c r="DV99" s="257"/>
    </row>
    <row r="100" spans="1:135" x14ac:dyDescent="0.35">
      <c r="A100" s="848" t="s">
        <v>337</v>
      </c>
      <c r="B100" s="849" t="s">
        <v>337</v>
      </c>
      <c r="C100" s="850" t="s">
        <v>280</v>
      </c>
      <c r="D100" s="848">
        <v>20.7</v>
      </c>
      <c r="E100" s="850" t="s">
        <v>202</v>
      </c>
      <c r="F100" s="3667"/>
      <c r="G100" s="3668"/>
      <c r="H100" s="3667"/>
      <c r="I100" s="3668"/>
      <c r="J100" s="888">
        <v>50</v>
      </c>
      <c r="K100" s="868">
        <v>1037</v>
      </c>
      <c r="L100" s="869">
        <v>1037</v>
      </c>
      <c r="M100" s="3671"/>
      <c r="N100" s="857" t="s">
        <v>337</v>
      </c>
      <c r="O100" s="257"/>
      <c r="P100" s="257"/>
      <c r="Q100" s="257"/>
      <c r="R100" s="257"/>
      <c r="S100" s="257"/>
      <c r="T100" s="257"/>
      <c r="U100" s="257"/>
      <c r="V100" s="257"/>
      <c r="W100" s="257"/>
      <c r="X100" s="257"/>
      <c r="Y100" s="257"/>
      <c r="Z100" s="257"/>
      <c r="AA100" s="257"/>
      <c r="AB100" s="257"/>
      <c r="AC100" s="257"/>
      <c r="AD100" s="257"/>
      <c r="AE100" s="257"/>
      <c r="AF100" s="257"/>
      <c r="AG100" s="257"/>
      <c r="AH100" s="257"/>
      <c r="AI100" s="257"/>
      <c r="AJ100" s="257"/>
      <c r="AK100" s="257"/>
      <c r="AL100" s="257"/>
      <c r="AM100" s="257"/>
      <c r="AN100" s="257"/>
      <c r="AO100" s="257"/>
      <c r="AP100" s="257"/>
      <c r="AQ100" s="257"/>
      <c r="AR100" s="257"/>
      <c r="AS100" s="257"/>
      <c r="AT100" s="257"/>
      <c r="AU100" s="257"/>
      <c r="AV100" s="257"/>
      <c r="AW100" s="257"/>
      <c r="AX100" s="257"/>
      <c r="AY100" s="257"/>
      <c r="AZ100" s="257"/>
      <c r="BA100" s="257"/>
      <c r="BB100" s="257"/>
      <c r="BC100" s="257"/>
      <c r="BD100" s="257"/>
      <c r="BE100" s="257"/>
      <c r="BF100" s="257"/>
      <c r="BG100" s="257"/>
      <c r="BH100" s="257"/>
      <c r="BI100" s="257"/>
      <c r="BJ100" s="257"/>
      <c r="BK100" s="257"/>
      <c r="BL100" s="257"/>
      <c r="BM100" s="257"/>
      <c r="BN100" s="257"/>
      <c r="BO100" s="257"/>
      <c r="BP100" s="257"/>
      <c r="BQ100" s="257"/>
      <c r="BR100" s="257"/>
      <c r="BS100" s="257"/>
      <c r="BT100" s="257"/>
      <c r="BU100" s="257"/>
      <c r="BV100" s="257"/>
      <c r="BW100" s="257"/>
      <c r="BX100" s="257"/>
      <c r="BY100" s="257"/>
      <c r="BZ100" s="257"/>
      <c r="CA100" s="257"/>
      <c r="CB100" s="257"/>
      <c r="CC100" s="257"/>
      <c r="CD100" s="257"/>
      <c r="CE100" s="257"/>
      <c r="CF100" s="257"/>
      <c r="CG100" s="257"/>
      <c r="CH100" s="257"/>
      <c r="CI100" s="257"/>
      <c r="CJ100" s="257"/>
      <c r="CK100" s="257"/>
      <c r="CL100" s="257"/>
      <c r="CM100" s="257"/>
      <c r="CN100" s="257"/>
      <c r="CO100" s="257"/>
      <c r="CP100" s="257"/>
      <c r="CQ100" s="257"/>
      <c r="CR100" s="257"/>
      <c r="CS100" s="257"/>
      <c r="CT100" s="257"/>
      <c r="CU100" s="257"/>
      <c r="CV100" s="257"/>
      <c r="CW100" s="257"/>
      <c r="CX100" s="257"/>
      <c r="CY100" s="257"/>
      <c r="CZ100" s="257"/>
      <c r="DA100" s="257"/>
      <c r="DB100" s="257"/>
      <c r="DC100" s="257"/>
      <c r="DD100" s="257"/>
      <c r="DE100" s="257"/>
      <c r="DF100" s="257"/>
      <c r="DG100" s="257"/>
      <c r="DH100" s="257"/>
      <c r="DI100" s="257"/>
      <c r="DJ100" s="257"/>
      <c r="DK100" s="257"/>
      <c r="DL100" s="257"/>
      <c r="DM100" s="257"/>
      <c r="DN100" s="257"/>
      <c r="DO100" s="257"/>
      <c r="DP100" s="257"/>
      <c r="DQ100" s="257"/>
      <c r="DR100" s="257"/>
      <c r="DS100" s="257"/>
      <c r="DT100" s="257"/>
      <c r="DU100" s="257"/>
      <c r="DV100" s="257"/>
    </row>
    <row r="101" spans="1:135" ht="15" thickBot="1" x14ac:dyDescent="0.4">
      <c r="A101" s="848" t="s">
        <v>337</v>
      </c>
      <c r="B101" s="849" t="s">
        <v>337</v>
      </c>
      <c r="C101" s="291" t="s">
        <v>281</v>
      </c>
      <c r="D101" s="902">
        <v>0</v>
      </c>
      <c r="E101" s="300" t="s">
        <v>199</v>
      </c>
      <c r="F101" s="3669"/>
      <c r="G101" s="3670"/>
      <c r="H101" s="3669"/>
      <c r="I101" s="3670"/>
      <c r="J101" s="292" t="s">
        <v>371</v>
      </c>
      <c r="K101" s="884" t="s">
        <v>366</v>
      </c>
      <c r="L101" s="273" t="s">
        <v>358</v>
      </c>
      <c r="M101" s="3672"/>
      <c r="N101" s="284" t="s">
        <v>337</v>
      </c>
      <c r="O101" s="257"/>
      <c r="P101" s="257"/>
      <c r="Q101" s="257"/>
      <c r="R101" s="257"/>
      <c r="S101" s="257"/>
      <c r="T101" s="257"/>
      <c r="U101" s="257"/>
      <c r="V101" s="257"/>
      <c r="W101" s="257"/>
      <c r="X101" s="257"/>
      <c r="Y101" s="257"/>
      <c r="Z101" s="257"/>
      <c r="AA101" s="257"/>
      <c r="AB101" s="257"/>
      <c r="AC101" s="257"/>
      <c r="AD101" s="257"/>
      <c r="AE101" s="257"/>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57"/>
      <c r="BK101" s="257"/>
      <c r="BL101" s="257"/>
      <c r="BM101" s="257"/>
      <c r="BN101" s="257"/>
      <c r="BO101" s="257"/>
      <c r="BP101" s="257"/>
      <c r="BQ101" s="257"/>
      <c r="BR101" s="257"/>
      <c r="BS101" s="257"/>
      <c r="BT101" s="257"/>
      <c r="BU101" s="257"/>
      <c r="BV101" s="257"/>
      <c r="BW101" s="257"/>
      <c r="BX101" s="257"/>
      <c r="BY101" s="257"/>
      <c r="BZ101" s="257"/>
      <c r="CA101" s="257"/>
      <c r="CB101" s="257"/>
      <c r="CC101" s="257"/>
      <c r="CD101" s="257"/>
      <c r="CE101" s="257"/>
      <c r="CF101" s="257"/>
      <c r="CG101" s="257"/>
      <c r="CH101" s="257"/>
      <c r="CI101" s="257"/>
      <c r="CJ101" s="257"/>
      <c r="CK101" s="257"/>
      <c r="CL101" s="257"/>
      <c r="CM101" s="257"/>
      <c r="CN101" s="257"/>
      <c r="CO101" s="257"/>
      <c r="CP101" s="257"/>
      <c r="CQ101" s="257"/>
      <c r="CR101" s="257"/>
      <c r="CS101" s="257"/>
      <c r="CT101" s="257"/>
      <c r="CU101" s="257"/>
      <c r="CV101" s="257"/>
      <c r="CW101" s="257"/>
      <c r="CX101" s="257"/>
      <c r="CY101" s="257"/>
      <c r="CZ101" s="257"/>
      <c r="DA101" s="257"/>
      <c r="DB101" s="257"/>
      <c r="DC101" s="257"/>
      <c r="DD101" s="257"/>
      <c r="DE101" s="257"/>
      <c r="DF101" s="257"/>
      <c r="DG101" s="257"/>
      <c r="DH101" s="257"/>
      <c r="DI101" s="257"/>
      <c r="DJ101" s="257"/>
      <c r="DK101" s="257"/>
      <c r="DL101" s="257"/>
      <c r="DM101" s="257"/>
      <c r="DN101" s="257"/>
      <c r="DO101" s="257"/>
      <c r="DP101" s="257"/>
      <c r="DQ101" s="257"/>
      <c r="DR101" s="257"/>
      <c r="DS101" s="257"/>
      <c r="DT101" s="257"/>
      <c r="DU101" s="257"/>
      <c r="DV101" s="257"/>
    </row>
    <row r="102" spans="1:135" ht="15" thickBot="1" x14ac:dyDescent="0.4">
      <c r="A102" s="3673" t="s">
        <v>337</v>
      </c>
      <c r="B102" s="3674"/>
      <c r="C102" s="366" t="s">
        <v>282</v>
      </c>
      <c r="D102" s="878" t="s">
        <v>337</v>
      </c>
      <c r="E102" s="287" t="s">
        <v>337</v>
      </c>
      <c r="F102" s="287" t="s">
        <v>337</v>
      </c>
      <c r="G102" s="287" t="s">
        <v>337</v>
      </c>
      <c r="H102" s="287" t="s">
        <v>337</v>
      </c>
      <c r="I102" s="287" t="s">
        <v>337</v>
      </c>
      <c r="J102" s="287" t="s">
        <v>337</v>
      </c>
      <c r="K102" s="881" t="s">
        <v>337</v>
      </c>
      <c r="L102" s="890" t="s">
        <v>358</v>
      </c>
      <c r="M102" s="879" t="s">
        <v>337</v>
      </c>
      <c r="N102" s="364" t="s">
        <v>337</v>
      </c>
      <c r="O102" s="257"/>
      <c r="P102" s="257"/>
      <c r="Q102" s="257"/>
      <c r="R102" s="257"/>
      <c r="S102" s="257"/>
      <c r="T102" s="257"/>
      <c r="U102" s="257"/>
      <c r="V102" s="257"/>
      <c r="W102" s="257"/>
      <c r="X102" s="257"/>
      <c r="Y102" s="257"/>
      <c r="Z102" s="257"/>
      <c r="AA102" s="257"/>
      <c r="AB102" s="257"/>
      <c r="AC102" s="257"/>
      <c r="AD102" s="257"/>
      <c r="AE102" s="257"/>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57"/>
      <c r="BK102" s="257"/>
      <c r="BL102" s="257"/>
      <c r="BM102" s="257"/>
      <c r="BN102" s="257"/>
      <c r="BO102" s="257"/>
      <c r="BP102" s="257"/>
      <c r="BQ102" s="257"/>
      <c r="BR102" s="257"/>
      <c r="BS102" s="257"/>
      <c r="BT102" s="257"/>
      <c r="BU102" s="257"/>
      <c r="BV102" s="257"/>
      <c r="BW102" s="257"/>
      <c r="BX102" s="257"/>
      <c r="BY102" s="257"/>
      <c r="BZ102" s="257"/>
      <c r="CA102" s="257"/>
      <c r="CB102" s="257"/>
      <c r="CC102" s="257"/>
      <c r="CD102" s="257"/>
      <c r="CE102" s="257"/>
      <c r="CF102" s="257"/>
      <c r="CG102" s="257"/>
      <c r="CH102" s="257"/>
      <c r="CI102" s="257"/>
      <c r="CJ102" s="257"/>
      <c r="CK102" s="257"/>
      <c r="CL102" s="257"/>
      <c r="CM102" s="257"/>
      <c r="CN102" s="257"/>
      <c r="CO102" s="257"/>
      <c r="CP102" s="257"/>
      <c r="CQ102" s="257"/>
      <c r="CR102" s="257"/>
      <c r="CS102" s="257"/>
      <c r="CT102" s="257"/>
      <c r="CU102" s="257"/>
      <c r="CV102" s="257"/>
      <c r="CW102" s="257"/>
      <c r="CX102" s="257"/>
      <c r="CY102" s="257"/>
      <c r="CZ102" s="257"/>
      <c r="DA102" s="257"/>
      <c r="DB102" s="257"/>
      <c r="DC102" s="257"/>
      <c r="DD102" s="257"/>
      <c r="DE102" s="257"/>
      <c r="DF102" s="257"/>
      <c r="DG102" s="257"/>
      <c r="DH102" s="257"/>
      <c r="DI102" s="257"/>
      <c r="DJ102" s="257"/>
      <c r="DK102" s="257"/>
      <c r="DL102" s="257"/>
      <c r="DM102" s="257"/>
      <c r="DN102" s="257"/>
      <c r="DO102" s="257"/>
      <c r="DP102" s="257"/>
      <c r="DQ102" s="257"/>
      <c r="DR102" s="257"/>
      <c r="DS102" s="257"/>
      <c r="DT102" s="257"/>
      <c r="DU102" s="257"/>
      <c r="DV102" s="257"/>
    </row>
    <row r="103" spans="1:135" x14ac:dyDescent="0.35">
      <c r="A103" s="268" t="s">
        <v>337</v>
      </c>
      <c r="B103" s="267" t="s">
        <v>337</v>
      </c>
      <c r="C103" s="267" t="s">
        <v>283</v>
      </c>
      <c r="D103" s="268">
        <v>0</v>
      </c>
      <c r="E103" s="267" t="s">
        <v>176</v>
      </c>
      <c r="F103" s="3665" t="s">
        <v>337</v>
      </c>
      <c r="G103" s="3666"/>
      <c r="H103" s="3665" t="s">
        <v>337</v>
      </c>
      <c r="I103" s="3666"/>
      <c r="J103" s="296">
        <v>350</v>
      </c>
      <c r="K103" s="302" t="s">
        <v>366</v>
      </c>
      <c r="L103" s="298" t="s">
        <v>358</v>
      </c>
      <c r="M103" s="3671" t="s">
        <v>337</v>
      </c>
      <c r="N103" s="303" t="s">
        <v>378</v>
      </c>
      <c r="O103" s="257"/>
      <c r="P103" s="257"/>
      <c r="Q103" s="257"/>
      <c r="R103" s="257"/>
      <c r="S103" s="257"/>
      <c r="T103" s="257"/>
      <c r="U103" s="257"/>
      <c r="V103" s="257"/>
      <c r="W103" s="257"/>
      <c r="X103" s="257"/>
      <c r="Y103" s="257"/>
      <c r="Z103" s="257"/>
      <c r="AA103" s="257"/>
      <c r="AB103" s="257"/>
      <c r="AC103" s="257"/>
      <c r="AD103" s="257"/>
      <c r="AE103" s="257"/>
      <c r="AF103" s="257"/>
      <c r="AG103" s="257"/>
      <c r="AH103" s="257"/>
      <c r="AI103" s="257"/>
      <c r="AJ103" s="257"/>
      <c r="AK103" s="257"/>
      <c r="AL103" s="257"/>
      <c r="AM103" s="257"/>
      <c r="AN103" s="257"/>
      <c r="AO103" s="257"/>
      <c r="AP103" s="257"/>
      <c r="AQ103" s="257"/>
      <c r="AR103" s="257"/>
      <c r="AS103" s="257"/>
      <c r="AT103" s="257"/>
      <c r="AU103" s="257"/>
      <c r="AV103" s="257"/>
      <c r="AW103" s="257"/>
      <c r="AX103" s="257"/>
      <c r="AY103" s="257"/>
      <c r="AZ103" s="257"/>
      <c r="BA103" s="257"/>
      <c r="BB103" s="257"/>
      <c r="BC103" s="257"/>
      <c r="BD103" s="257"/>
      <c r="BE103" s="257"/>
      <c r="BF103" s="257"/>
      <c r="BG103" s="257"/>
      <c r="BH103" s="257"/>
      <c r="BI103" s="257"/>
      <c r="BJ103" s="257"/>
      <c r="BK103" s="257"/>
      <c r="BL103" s="257"/>
      <c r="BM103" s="257"/>
      <c r="BN103" s="257"/>
      <c r="BO103" s="257"/>
      <c r="BP103" s="257"/>
      <c r="BQ103" s="257"/>
      <c r="BR103" s="257"/>
      <c r="BS103" s="257"/>
      <c r="BT103" s="257"/>
      <c r="BU103" s="257"/>
      <c r="BV103" s="257"/>
      <c r="BW103" s="257"/>
      <c r="BX103" s="257"/>
      <c r="BY103" s="257"/>
      <c r="BZ103" s="257"/>
      <c r="CA103" s="257"/>
      <c r="CB103" s="257"/>
      <c r="CC103" s="257"/>
      <c r="CD103" s="257"/>
      <c r="CE103" s="257"/>
      <c r="CF103" s="257"/>
      <c r="CG103" s="257"/>
      <c r="CH103" s="257"/>
      <c r="CI103" s="257"/>
      <c r="CJ103" s="257"/>
      <c r="CK103" s="257"/>
      <c r="CL103" s="257"/>
      <c r="CM103" s="257"/>
      <c r="CN103" s="257"/>
      <c r="CO103" s="257"/>
      <c r="CP103" s="257"/>
      <c r="CQ103" s="257"/>
      <c r="CR103" s="257"/>
      <c r="CS103" s="257"/>
      <c r="CT103" s="257"/>
      <c r="CU103" s="257"/>
      <c r="CV103" s="257"/>
      <c r="CW103" s="257"/>
      <c r="CX103" s="257"/>
      <c r="CY103" s="257"/>
      <c r="CZ103" s="257"/>
      <c r="DA103" s="257"/>
      <c r="DB103" s="257"/>
      <c r="DC103" s="257"/>
      <c r="DD103" s="257"/>
      <c r="DE103" s="257"/>
      <c r="DF103" s="257"/>
      <c r="DG103" s="257"/>
      <c r="DH103" s="257"/>
      <c r="DI103" s="257"/>
      <c r="DJ103" s="257"/>
      <c r="DK103" s="257"/>
      <c r="DL103" s="257"/>
      <c r="DM103" s="257"/>
      <c r="DN103" s="257"/>
      <c r="DO103" s="257"/>
      <c r="DP103" s="257"/>
      <c r="DQ103" s="257"/>
      <c r="DR103" s="257"/>
      <c r="DS103" s="257"/>
      <c r="DT103" s="257"/>
      <c r="DU103" s="257"/>
      <c r="DV103" s="257"/>
    </row>
    <row r="104" spans="1:135" x14ac:dyDescent="0.35">
      <c r="A104" s="858" t="s">
        <v>337</v>
      </c>
      <c r="B104" s="891" t="s">
        <v>337</v>
      </c>
      <c r="C104" s="860" t="s">
        <v>285</v>
      </c>
      <c r="D104" s="893">
        <v>0</v>
      </c>
      <c r="E104" s="891" t="s">
        <v>176</v>
      </c>
      <c r="F104" s="3667"/>
      <c r="G104" s="3668"/>
      <c r="H104" s="3667"/>
      <c r="I104" s="3668"/>
      <c r="J104" s="888">
        <v>400</v>
      </c>
      <c r="K104" s="903" t="s">
        <v>366</v>
      </c>
      <c r="L104" s="904" t="s">
        <v>358</v>
      </c>
      <c r="M104" s="3671"/>
      <c r="N104" s="905" t="s">
        <v>378</v>
      </c>
      <c r="O104" s="257"/>
      <c r="P104" s="257"/>
      <c r="Q104" s="257"/>
      <c r="R104" s="257"/>
      <c r="S104" s="257"/>
      <c r="T104" s="257"/>
      <c r="U104" s="257"/>
      <c r="V104" s="257"/>
      <c r="W104" s="257"/>
      <c r="X104" s="257"/>
      <c r="Y104" s="257"/>
      <c r="Z104" s="257"/>
      <c r="AA104" s="257"/>
      <c r="AB104" s="257"/>
      <c r="AC104" s="257"/>
      <c r="AD104" s="257"/>
      <c r="AE104" s="257"/>
      <c r="AF104" s="257"/>
      <c r="AG104" s="257"/>
      <c r="AH104" s="257"/>
      <c r="AI104" s="257"/>
      <c r="AJ104" s="257"/>
      <c r="AK104" s="257"/>
      <c r="AL104" s="257"/>
      <c r="AM104" s="257"/>
      <c r="AN104" s="257"/>
      <c r="AO104" s="257"/>
      <c r="AP104" s="257"/>
      <c r="AQ104" s="257"/>
      <c r="AR104" s="257"/>
      <c r="AS104" s="257"/>
      <c r="AT104" s="257"/>
      <c r="AU104" s="257"/>
      <c r="AV104" s="257"/>
      <c r="AW104" s="257"/>
      <c r="AX104" s="257"/>
      <c r="AY104" s="257"/>
      <c r="AZ104" s="257"/>
      <c r="BA104" s="257"/>
      <c r="BB104" s="257"/>
      <c r="BC104" s="257"/>
      <c r="BD104" s="257"/>
      <c r="BE104" s="257"/>
      <c r="BF104" s="257"/>
      <c r="BG104" s="257"/>
      <c r="BH104" s="257"/>
      <c r="BI104" s="257"/>
      <c r="BJ104" s="257"/>
      <c r="BK104" s="257"/>
      <c r="BL104" s="257"/>
      <c r="BM104" s="257"/>
      <c r="BN104" s="257"/>
      <c r="BO104" s="257"/>
      <c r="BP104" s="257"/>
      <c r="BQ104" s="257"/>
      <c r="BR104" s="257"/>
      <c r="BS104" s="257"/>
      <c r="BT104" s="257"/>
      <c r="BU104" s="257"/>
      <c r="BV104" s="257"/>
      <c r="BW104" s="257"/>
      <c r="BX104" s="257"/>
      <c r="BY104" s="257"/>
      <c r="BZ104" s="257"/>
      <c r="CA104" s="257"/>
      <c r="CB104" s="257"/>
      <c r="CC104" s="257"/>
      <c r="CD104" s="257"/>
      <c r="CE104" s="257"/>
      <c r="CF104" s="257"/>
      <c r="CG104" s="257"/>
      <c r="CH104" s="257"/>
      <c r="CI104" s="257"/>
      <c r="CJ104" s="257"/>
      <c r="CK104" s="257"/>
      <c r="CL104" s="257"/>
      <c r="CM104" s="257"/>
      <c r="CN104" s="257"/>
      <c r="CO104" s="257"/>
      <c r="CP104" s="257"/>
      <c r="CQ104" s="257"/>
      <c r="CR104" s="257"/>
      <c r="CS104" s="257"/>
      <c r="CT104" s="257"/>
      <c r="CU104" s="257"/>
      <c r="CV104" s="257"/>
      <c r="CW104" s="257"/>
      <c r="CX104" s="257"/>
      <c r="CY104" s="257"/>
      <c r="CZ104" s="257"/>
      <c r="DA104" s="257"/>
      <c r="DB104" s="257"/>
      <c r="DC104" s="257"/>
      <c r="DD104" s="257"/>
      <c r="DE104" s="257"/>
      <c r="DF104" s="257"/>
      <c r="DG104" s="257"/>
      <c r="DH104" s="257"/>
      <c r="DI104" s="257"/>
      <c r="DJ104" s="257"/>
      <c r="DK104" s="257"/>
      <c r="DL104" s="257"/>
      <c r="DM104" s="257"/>
      <c r="DN104" s="257"/>
      <c r="DO104" s="257"/>
      <c r="DP104" s="257"/>
      <c r="DQ104" s="257"/>
      <c r="DR104" s="257"/>
      <c r="DS104" s="257"/>
      <c r="DT104" s="257"/>
      <c r="DU104" s="257"/>
      <c r="DV104" s="257"/>
    </row>
    <row r="105" spans="1:135" x14ac:dyDescent="0.35">
      <c r="A105" s="848" t="s">
        <v>337</v>
      </c>
      <c r="B105" s="850" t="s">
        <v>337</v>
      </c>
      <c r="C105" s="850" t="s">
        <v>286</v>
      </c>
      <c r="D105" s="848">
        <v>0</v>
      </c>
      <c r="E105" s="850" t="s">
        <v>176</v>
      </c>
      <c r="F105" s="3667"/>
      <c r="G105" s="3668"/>
      <c r="H105" s="3667"/>
      <c r="I105" s="3668"/>
      <c r="J105" s="867">
        <v>500</v>
      </c>
      <c r="K105" s="884" t="s">
        <v>366</v>
      </c>
      <c r="L105" s="872" t="s">
        <v>358</v>
      </c>
      <c r="M105" s="3671"/>
      <c r="N105" s="906" t="s">
        <v>378</v>
      </c>
      <c r="O105" s="257"/>
      <c r="P105" s="257"/>
      <c r="Q105" s="257"/>
      <c r="R105" s="257"/>
      <c r="S105" s="257"/>
      <c r="T105" s="257"/>
      <c r="U105" s="257"/>
      <c r="V105" s="257"/>
      <c r="W105" s="257"/>
      <c r="X105" s="257"/>
      <c r="Y105" s="257"/>
      <c r="Z105" s="257"/>
      <c r="AA105" s="257"/>
      <c r="AB105" s="257"/>
      <c r="AC105" s="257"/>
      <c r="AD105" s="257"/>
      <c r="AE105" s="257"/>
      <c r="AF105" s="257"/>
      <c r="AG105" s="257"/>
      <c r="AH105" s="257"/>
      <c r="AI105" s="257"/>
      <c r="AJ105" s="257"/>
      <c r="AK105" s="257"/>
      <c r="AL105" s="257"/>
      <c r="AM105" s="257"/>
      <c r="AN105" s="257"/>
      <c r="AO105" s="257"/>
      <c r="AP105" s="257"/>
      <c r="AQ105" s="257"/>
      <c r="AR105" s="257"/>
      <c r="AS105" s="257"/>
      <c r="AT105" s="257"/>
      <c r="AU105" s="257"/>
      <c r="AV105" s="257"/>
      <c r="AW105" s="257"/>
      <c r="AX105" s="257"/>
      <c r="AY105" s="257"/>
      <c r="AZ105" s="257"/>
      <c r="BA105" s="257"/>
      <c r="BB105" s="257"/>
      <c r="BC105" s="257"/>
      <c r="BD105" s="257"/>
      <c r="BE105" s="257"/>
      <c r="BF105" s="257"/>
      <c r="BG105" s="257"/>
      <c r="BH105" s="257"/>
      <c r="BI105" s="257"/>
      <c r="BJ105" s="257"/>
      <c r="BK105" s="257"/>
      <c r="BL105" s="257"/>
      <c r="BM105" s="257"/>
      <c r="BN105" s="257"/>
      <c r="BO105" s="257"/>
      <c r="BP105" s="257"/>
      <c r="BQ105" s="257"/>
      <c r="BR105" s="257"/>
      <c r="BS105" s="257"/>
      <c r="BT105" s="257"/>
      <c r="BU105" s="257"/>
      <c r="BV105" s="257"/>
      <c r="BW105" s="257"/>
      <c r="BX105" s="257"/>
      <c r="BY105" s="257"/>
      <c r="BZ105" s="257"/>
      <c r="CA105" s="257"/>
      <c r="CB105" s="257"/>
      <c r="CC105" s="257"/>
      <c r="CD105" s="257"/>
      <c r="CE105" s="257"/>
      <c r="CF105" s="257"/>
      <c r="CG105" s="257"/>
      <c r="CH105" s="257"/>
      <c r="CI105" s="257"/>
      <c r="CJ105" s="257"/>
      <c r="CK105" s="257"/>
      <c r="CL105" s="257"/>
      <c r="CM105" s="257"/>
      <c r="CN105" s="257"/>
      <c r="CO105" s="257"/>
      <c r="CP105" s="257"/>
      <c r="CQ105" s="257"/>
      <c r="CR105" s="257"/>
      <c r="CS105" s="257"/>
      <c r="CT105" s="257"/>
      <c r="CU105" s="257"/>
      <c r="CV105" s="257"/>
      <c r="CW105" s="257"/>
      <c r="CX105" s="257"/>
      <c r="CY105" s="257"/>
      <c r="CZ105" s="257"/>
      <c r="DA105" s="257"/>
      <c r="DB105" s="257"/>
      <c r="DC105" s="257"/>
      <c r="DD105" s="257"/>
      <c r="DE105" s="257"/>
      <c r="DF105" s="257"/>
      <c r="DG105" s="257"/>
      <c r="DH105" s="257"/>
      <c r="DI105" s="257"/>
      <c r="DJ105" s="257"/>
      <c r="DK105" s="257"/>
      <c r="DL105" s="257"/>
      <c r="DM105" s="257"/>
      <c r="DN105" s="257"/>
      <c r="DO105" s="257"/>
      <c r="DP105" s="257"/>
      <c r="DQ105" s="257"/>
      <c r="DR105" s="257"/>
      <c r="DS105" s="257"/>
      <c r="DT105" s="257"/>
      <c r="DU105" s="257"/>
      <c r="DV105" s="257"/>
    </row>
    <row r="106" spans="1:135" x14ac:dyDescent="0.35">
      <c r="A106" s="858" t="s">
        <v>337</v>
      </c>
      <c r="B106" s="849" t="s">
        <v>337</v>
      </c>
      <c r="C106" s="850" t="s">
        <v>287</v>
      </c>
      <c r="D106" s="848">
        <v>88.9</v>
      </c>
      <c r="E106" s="850" t="s">
        <v>176</v>
      </c>
      <c r="F106" s="3667"/>
      <c r="G106" s="3668"/>
      <c r="H106" s="3667"/>
      <c r="I106" s="3668"/>
      <c r="J106" s="858" t="s">
        <v>371</v>
      </c>
      <c r="K106" s="871" t="s">
        <v>366</v>
      </c>
      <c r="L106" s="872" t="s">
        <v>358</v>
      </c>
      <c r="M106" s="3671"/>
      <c r="N106" s="892" t="s">
        <v>337</v>
      </c>
      <c r="O106" s="257"/>
      <c r="P106" s="257"/>
      <c r="Q106" s="257"/>
      <c r="R106" s="257"/>
      <c r="S106" s="257"/>
      <c r="T106" s="257"/>
      <c r="U106" s="257"/>
      <c r="V106" s="257"/>
      <c r="W106" s="257"/>
      <c r="X106" s="257"/>
      <c r="Y106" s="257"/>
      <c r="Z106" s="257"/>
      <c r="AA106" s="257"/>
      <c r="AB106" s="257"/>
      <c r="AC106" s="257"/>
      <c r="AD106" s="257"/>
      <c r="AE106" s="257"/>
      <c r="AF106" s="257"/>
      <c r="AG106" s="257"/>
      <c r="AH106" s="257"/>
      <c r="AI106" s="257"/>
      <c r="AJ106" s="257"/>
      <c r="AK106" s="257"/>
      <c r="AL106" s="257"/>
      <c r="AM106" s="257"/>
      <c r="AN106" s="257"/>
      <c r="AO106" s="257"/>
      <c r="AP106" s="257"/>
      <c r="AQ106" s="257"/>
      <c r="AR106" s="257"/>
      <c r="AS106" s="257"/>
      <c r="AT106" s="257"/>
      <c r="AU106" s="257"/>
      <c r="AV106" s="257"/>
      <c r="AW106" s="257"/>
      <c r="AX106" s="257"/>
      <c r="AY106" s="257"/>
      <c r="AZ106" s="257"/>
      <c r="BA106" s="257"/>
      <c r="BB106" s="257"/>
      <c r="BC106" s="257"/>
      <c r="BD106" s="257"/>
      <c r="BE106" s="257"/>
      <c r="BF106" s="257"/>
      <c r="BG106" s="257"/>
      <c r="BH106" s="257"/>
      <c r="BI106" s="257"/>
      <c r="BJ106" s="257"/>
      <c r="BK106" s="257"/>
      <c r="BL106" s="257"/>
      <c r="BM106" s="257"/>
      <c r="BN106" s="257"/>
      <c r="BO106" s="257"/>
      <c r="BP106" s="257"/>
      <c r="BQ106" s="257"/>
      <c r="BR106" s="257"/>
      <c r="BS106" s="257"/>
      <c r="BT106" s="257"/>
      <c r="BU106" s="257"/>
      <c r="BV106" s="257"/>
      <c r="BW106" s="257"/>
      <c r="BX106" s="257"/>
      <c r="BY106" s="257"/>
      <c r="BZ106" s="257"/>
      <c r="CA106" s="257"/>
      <c r="CB106" s="257"/>
      <c r="CC106" s="257"/>
      <c r="CD106" s="257"/>
      <c r="CE106" s="257"/>
      <c r="CF106" s="257"/>
      <c r="CG106" s="257"/>
      <c r="CH106" s="257"/>
      <c r="CI106" s="257"/>
      <c r="CJ106" s="257"/>
      <c r="CK106" s="257"/>
      <c r="CL106" s="257"/>
      <c r="CM106" s="257"/>
      <c r="CN106" s="257"/>
      <c r="CO106" s="257"/>
      <c r="CP106" s="257"/>
      <c r="CQ106" s="257"/>
      <c r="CR106" s="257"/>
      <c r="CS106" s="257"/>
      <c r="CT106" s="257"/>
      <c r="CU106" s="257"/>
      <c r="CV106" s="257"/>
      <c r="CW106" s="257"/>
      <c r="CX106" s="257"/>
      <c r="CY106" s="257"/>
      <c r="CZ106" s="257"/>
      <c r="DA106" s="257"/>
      <c r="DB106" s="257"/>
      <c r="DC106" s="257"/>
      <c r="DD106" s="257"/>
      <c r="DE106" s="257"/>
      <c r="DF106" s="257"/>
      <c r="DG106" s="257"/>
      <c r="DH106" s="257"/>
      <c r="DI106" s="257"/>
      <c r="DJ106" s="257"/>
      <c r="DK106" s="257"/>
      <c r="DL106" s="257"/>
      <c r="DM106" s="257"/>
      <c r="DN106" s="257"/>
      <c r="DO106" s="257"/>
      <c r="DP106" s="257"/>
      <c r="DQ106" s="257"/>
      <c r="DR106" s="257"/>
      <c r="DS106" s="257"/>
      <c r="DT106" s="257"/>
      <c r="DU106" s="257"/>
      <c r="DV106" s="257"/>
    </row>
    <row r="107" spans="1:135" x14ac:dyDescent="0.35">
      <c r="A107" s="848" t="s">
        <v>337</v>
      </c>
      <c r="B107" s="849">
        <v>17300</v>
      </c>
      <c r="C107" s="850" t="s">
        <v>288</v>
      </c>
      <c r="D107" s="848">
        <v>0</v>
      </c>
      <c r="E107" s="850" t="s">
        <v>176</v>
      </c>
      <c r="F107" s="3667"/>
      <c r="G107" s="3668"/>
      <c r="H107" s="3667"/>
      <c r="I107" s="3668"/>
      <c r="J107" s="852">
        <v>520</v>
      </c>
      <c r="K107" s="871" t="s">
        <v>366</v>
      </c>
      <c r="L107" s="872" t="s">
        <v>358</v>
      </c>
      <c r="M107" s="3671"/>
      <c r="N107" s="892" t="s">
        <v>337</v>
      </c>
      <c r="O107" s="257"/>
      <c r="P107" s="257"/>
      <c r="Q107" s="257"/>
      <c r="R107" s="257"/>
      <c r="S107" s="257"/>
      <c r="T107" s="257"/>
      <c r="U107" s="257"/>
      <c r="V107" s="257"/>
      <c r="W107" s="257"/>
      <c r="X107" s="257"/>
      <c r="Y107" s="257"/>
      <c r="Z107" s="257"/>
      <c r="AA107" s="257"/>
      <c r="AB107" s="257"/>
      <c r="AC107" s="257"/>
      <c r="AD107" s="257"/>
      <c r="AE107" s="257"/>
      <c r="AF107" s="257"/>
      <c r="AG107" s="257"/>
      <c r="AH107" s="257"/>
      <c r="AI107" s="257"/>
      <c r="AJ107" s="257"/>
      <c r="AK107" s="257"/>
      <c r="AL107" s="257"/>
      <c r="AM107" s="257"/>
      <c r="AN107" s="257"/>
      <c r="AO107" s="257"/>
      <c r="AP107" s="257"/>
      <c r="AQ107" s="257"/>
      <c r="AR107" s="257"/>
      <c r="AS107" s="257"/>
      <c r="AT107" s="257"/>
      <c r="AU107" s="257"/>
      <c r="AV107" s="257"/>
      <c r="AW107" s="257"/>
      <c r="AX107" s="257"/>
      <c r="AY107" s="257"/>
      <c r="AZ107" s="257"/>
      <c r="BA107" s="257"/>
      <c r="BB107" s="257"/>
      <c r="BC107" s="257"/>
      <c r="BD107" s="257"/>
      <c r="BE107" s="257"/>
      <c r="BF107" s="257"/>
      <c r="BG107" s="257"/>
      <c r="BH107" s="257"/>
      <c r="BI107" s="257"/>
      <c r="BJ107" s="257"/>
      <c r="BK107" s="257"/>
      <c r="BL107" s="257"/>
      <c r="BM107" s="257"/>
      <c r="BN107" s="257"/>
      <c r="BO107" s="257"/>
      <c r="BP107" s="257"/>
      <c r="BQ107" s="257"/>
      <c r="BR107" s="257"/>
      <c r="BS107" s="257"/>
      <c r="BT107" s="257"/>
      <c r="BU107" s="257"/>
      <c r="BV107" s="257"/>
      <c r="BW107" s="257"/>
      <c r="BX107" s="257"/>
      <c r="BY107" s="257"/>
      <c r="BZ107" s="257"/>
      <c r="CA107" s="257"/>
      <c r="CB107" s="257"/>
      <c r="CC107" s="257"/>
      <c r="CD107" s="257"/>
      <c r="CE107" s="257"/>
      <c r="CF107" s="257"/>
      <c r="CG107" s="257"/>
      <c r="CH107" s="257"/>
      <c r="CI107" s="257"/>
      <c r="CJ107" s="257"/>
      <c r="CK107" s="257"/>
      <c r="CL107" s="257"/>
      <c r="CM107" s="257"/>
      <c r="CN107" s="257"/>
      <c r="CO107" s="257"/>
      <c r="CP107" s="257"/>
      <c r="CQ107" s="257"/>
      <c r="CR107" s="257"/>
      <c r="CS107" s="257"/>
      <c r="CT107" s="257"/>
      <c r="CU107" s="257"/>
      <c r="CV107" s="257"/>
      <c r="CW107" s="257"/>
      <c r="CX107" s="257"/>
      <c r="CY107" s="257"/>
      <c r="CZ107" s="257"/>
      <c r="DA107" s="257"/>
      <c r="DB107" s="257"/>
      <c r="DC107" s="257"/>
      <c r="DD107" s="257"/>
      <c r="DE107" s="257"/>
      <c r="DF107" s="257"/>
      <c r="DG107" s="257"/>
      <c r="DH107" s="257"/>
      <c r="DI107" s="257"/>
      <c r="DJ107" s="257"/>
      <c r="DK107" s="257"/>
      <c r="DL107" s="257"/>
      <c r="DM107" s="257"/>
      <c r="DN107" s="257"/>
      <c r="DO107" s="257"/>
      <c r="DP107" s="257"/>
      <c r="DQ107" s="257"/>
      <c r="DR107" s="257"/>
      <c r="DS107" s="257"/>
      <c r="DT107" s="257"/>
      <c r="DU107" s="257"/>
      <c r="DV107" s="257"/>
    </row>
    <row r="108" spans="1:135" ht="15" thickBot="1" x14ac:dyDescent="0.4">
      <c r="A108" s="278" t="s">
        <v>337</v>
      </c>
      <c r="B108" s="300" t="s">
        <v>337</v>
      </c>
      <c r="C108" s="291" t="s">
        <v>289</v>
      </c>
      <c r="D108" s="290">
        <v>0</v>
      </c>
      <c r="E108" s="291" t="s">
        <v>245</v>
      </c>
      <c r="F108" s="3669"/>
      <c r="G108" s="3670"/>
      <c r="H108" s="3669"/>
      <c r="I108" s="3670"/>
      <c r="J108" s="304">
        <v>0.5</v>
      </c>
      <c r="K108" s="281" t="s">
        <v>366</v>
      </c>
      <c r="L108" s="275" t="s">
        <v>358</v>
      </c>
      <c r="M108" s="3672"/>
      <c r="N108" s="305" t="s">
        <v>337</v>
      </c>
      <c r="O108" s="257"/>
      <c r="P108" s="257"/>
      <c r="Q108" s="257"/>
      <c r="R108" s="257"/>
      <c r="S108" s="257"/>
      <c r="T108" s="257"/>
      <c r="U108" s="257"/>
      <c r="V108" s="257"/>
      <c r="W108" s="257"/>
      <c r="X108" s="257"/>
      <c r="Y108" s="257" t="s">
        <v>290</v>
      </c>
      <c r="Z108" s="257"/>
      <c r="AA108" s="257"/>
      <c r="AB108" s="257"/>
      <c r="AC108" s="257"/>
      <c r="AD108" s="257"/>
      <c r="AE108" s="257"/>
      <c r="AF108" s="257"/>
      <c r="AG108" s="257"/>
      <c r="AH108" s="257"/>
      <c r="AI108" s="257"/>
      <c r="AJ108" s="257"/>
      <c r="AK108" s="257"/>
      <c r="AL108" s="257"/>
      <c r="AM108" s="257"/>
      <c r="AN108" s="257"/>
      <c r="AO108" s="257"/>
      <c r="AP108" s="257"/>
      <c r="AQ108" s="257"/>
      <c r="AR108" s="257"/>
      <c r="AS108" s="257"/>
      <c r="AT108" s="257"/>
      <c r="AU108" s="257"/>
      <c r="AV108" s="257"/>
      <c r="AW108" s="257"/>
      <c r="AX108" s="257"/>
      <c r="AY108" s="257"/>
      <c r="AZ108" s="257"/>
      <c r="BA108" s="257"/>
      <c r="BB108" s="257"/>
      <c r="BC108" s="257"/>
      <c r="BD108" s="257"/>
      <c r="BE108" s="257"/>
      <c r="BF108" s="257"/>
      <c r="BG108" s="257"/>
      <c r="BH108" s="257"/>
      <c r="BI108" s="257"/>
      <c r="BJ108" s="257"/>
      <c r="BK108" s="257"/>
      <c r="BL108" s="257"/>
      <c r="BM108" s="257"/>
      <c r="BN108" s="257"/>
      <c r="BO108" s="257"/>
      <c r="BP108" s="257"/>
      <c r="BQ108" s="257"/>
      <c r="BR108" s="257"/>
      <c r="BS108" s="257"/>
      <c r="BT108" s="257"/>
      <c r="BU108" s="257"/>
      <c r="BV108" s="257"/>
      <c r="BW108" s="257"/>
      <c r="BX108" s="257"/>
      <c r="BY108" s="257"/>
      <c r="BZ108" s="257"/>
      <c r="CA108" s="257"/>
      <c r="CB108" s="257"/>
      <c r="CC108" s="257"/>
      <c r="CD108" s="257"/>
      <c r="CE108" s="257"/>
      <c r="CF108" s="257"/>
      <c r="CG108" s="257"/>
      <c r="CH108" s="257"/>
      <c r="CI108" s="257"/>
      <c r="CJ108" s="257"/>
      <c r="CK108" s="257"/>
      <c r="CL108" s="257"/>
      <c r="CM108" s="257"/>
      <c r="CN108" s="257"/>
      <c r="CO108" s="257"/>
      <c r="CP108" s="257"/>
      <c r="CQ108" s="257"/>
      <c r="CR108" s="257"/>
      <c r="CS108" s="257"/>
      <c r="CT108" s="257"/>
      <c r="CU108" s="257"/>
      <c r="CV108" s="257"/>
      <c r="CW108" s="257"/>
      <c r="CX108" s="257"/>
      <c r="CY108" s="257"/>
      <c r="CZ108" s="257"/>
      <c r="DA108" s="257"/>
      <c r="DB108" s="257"/>
      <c r="DC108" s="257"/>
      <c r="DD108" s="257"/>
      <c r="DE108" s="257"/>
      <c r="DF108" s="257"/>
      <c r="DG108" s="257"/>
      <c r="DH108" s="257"/>
      <c r="DI108" s="257"/>
      <c r="DJ108" s="257"/>
      <c r="DK108" s="257"/>
      <c r="DL108" s="257"/>
      <c r="DM108" s="257"/>
      <c r="DN108" s="257"/>
      <c r="DO108" s="257"/>
      <c r="DP108" s="257"/>
      <c r="DQ108" s="257"/>
      <c r="DR108" s="257"/>
      <c r="DS108" s="257"/>
      <c r="DT108" s="257"/>
      <c r="DU108" s="257"/>
      <c r="DV108" s="257"/>
      <c r="DW108" s="257"/>
      <c r="DX108" s="257"/>
      <c r="DY108" s="257"/>
      <c r="DZ108" s="257"/>
      <c r="EA108" s="257"/>
      <c r="EB108" s="257"/>
      <c r="EC108" s="257"/>
      <c r="ED108" s="257"/>
      <c r="EE108" s="257"/>
    </row>
    <row r="109" spans="1:135" ht="15" thickBot="1" x14ac:dyDescent="0.4">
      <c r="A109" s="3673" t="s">
        <v>337</v>
      </c>
      <c r="B109" s="3674"/>
      <c r="C109" s="366" t="s">
        <v>291</v>
      </c>
      <c r="D109" s="286" t="s">
        <v>337</v>
      </c>
      <c r="E109" s="287" t="s">
        <v>337</v>
      </c>
      <c r="F109" s="287" t="s">
        <v>337</v>
      </c>
      <c r="G109" s="287" t="s">
        <v>337</v>
      </c>
      <c r="H109" s="287" t="s">
        <v>337</v>
      </c>
      <c r="I109" s="287" t="s">
        <v>337</v>
      </c>
      <c r="J109" s="881" t="s">
        <v>337</v>
      </c>
      <c r="K109" s="287" t="s">
        <v>337</v>
      </c>
      <c r="L109" s="301">
        <v>47147</v>
      </c>
      <c r="M109" s="879" t="s">
        <v>337</v>
      </c>
      <c r="N109" s="364" t="s">
        <v>337</v>
      </c>
      <c r="O109" s="257"/>
      <c r="P109" s="257"/>
      <c r="Q109" s="257"/>
      <c r="R109" s="257"/>
      <c r="S109" s="257"/>
      <c r="T109" s="257"/>
      <c r="U109" s="257"/>
      <c r="V109" s="257"/>
      <c r="W109" s="257"/>
      <c r="X109" s="257"/>
      <c r="Y109" s="257"/>
      <c r="Z109" s="257"/>
      <c r="AA109" s="257"/>
      <c r="AB109" s="257"/>
      <c r="AC109" s="257"/>
      <c r="AD109" s="257"/>
      <c r="AE109" s="257"/>
      <c r="AF109" s="257"/>
      <c r="AG109" s="257"/>
      <c r="AH109" s="257"/>
      <c r="AI109" s="257"/>
      <c r="AJ109" s="257"/>
      <c r="AK109" s="257"/>
      <c r="AL109" s="257"/>
      <c r="AM109" s="257"/>
      <c r="AN109" s="257"/>
      <c r="AO109" s="257"/>
      <c r="AP109" s="257"/>
      <c r="AQ109" s="257"/>
      <c r="AR109" s="257"/>
      <c r="AS109" s="257"/>
      <c r="AT109" s="257"/>
      <c r="AU109" s="257"/>
      <c r="AV109" s="257"/>
      <c r="AW109" s="257"/>
      <c r="AX109" s="257"/>
      <c r="AY109" s="257"/>
      <c r="AZ109" s="257"/>
      <c r="BA109" s="257"/>
      <c r="BB109" s="257"/>
      <c r="BC109" s="257"/>
      <c r="BD109" s="257"/>
      <c r="BE109" s="257"/>
      <c r="BF109" s="257"/>
      <c r="BG109" s="257"/>
      <c r="BH109" s="257"/>
      <c r="BI109" s="257"/>
      <c r="BJ109" s="257"/>
      <c r="BK109" s="257"/>
      <c r="BL109" s="257"/>
      <c r="BM109" s="257"/>
      <c r="BN109" s="257"/>
      <c r="BO109" s="257"/>
      <c r="BP109" s="257"/>
      <c r="BQ109" s="257"/>
      <c r="BR109" s="257"/>
      <c r="BS109" s="257"/>
      <c r="BT109" s="257"/>
      <c r="BU109" s="257"/>
      <c r="BV109" s="257"/>
      <c r="BW109" s="257"/>
      <c r="BX109" s="257"/>
      <c r="BY109" s="257"/>
      <c r="BZ109" s="257"/>
      <c r="CA109" s="257"/>
      <c r="CB109" s="257"/>
      <c r="CC109" s="257"/>
      <c r="CD109" s="257"/>
      <c r="CE109" s="257"/>
      <c r="CF109" s="257"/>
      <c r="CG109" s="257"/>
      <c r="CH109" s="257"/>
      <c r="CI109" s="257"/>
      <c r="CJ109" s="257"/>
      <c r="CK109" s="257"/>
      <c r="CL109" s="257"/>
      <c r="CM109" s="257"/>
      <c r="CN109" s="257"/>
      <c r="CO109" s="257"/>
      <c r="CP109" s="257"/>
      <c r="CQ109" s="257"/>
      <c r="CR109" s="257"/>
      <c r="CS109" s="257"/>
      <c r="CT109" s="257"/>
      <c r="CU109" s="257"/>
      <c r="CV109" s="257"/>
      <c r="CW109" s="257"/>
      <c r="CX109" s="257"/>
      <c r="CY109" s="257"/>
      <c r="CZ109" s="257"/>
      <c r="DA109" s="257"/>
      <c r="DB109" s="257"/>
      <c r="DC109" s="257"/>
      <c r="DD109" s="257"/>
      <c r="DE109" s="257"/>
      <c r="DF109" s="257"/>
      <c r="DG109" s="257"/>
      <c r="DH109" s="257"/>
      <c r="DI109" s="257"/>
      <c r="DJ109" s="257"/>
      <c r="DK109" s="257"/>
      <c r="DL109" s="257"/>
      <c r="DM109" s="257"/>
      <c r="DN109" s="257"/>
      <c r="DO109" s="257"/>
      <c r="DP109" s="257"/>
      <c r="DQ109" s="257"/>
      <c r="DR109" s="257"/>
      <c r="DS109" s="257"/>
      <c r="DT109" s="257"/>
      <c r="DU109" s="257"/>
      <c r="DV109" s="257"/>
    </row>
    <row r="110" spans="1:135" ht="18.75" customHeight="1" x14ac:dyDescent="0.35">
      <c r="A110" s="858" t="s">
        <v>337</v>
      </c>
      <c r="B110" s="891">
        <v>13200</v>
      </c>
      <c r="C110" s="860" t="s">
        <v>292</v>
      </c>
      <c r="D110" s="848">
        <v>1</v>
      </c>
      <c r="E110" s="860" t="s">
        <v>215</v>
      </c>
      <c r="F110" s="3667" t="s">
        <v>337</v>
      </c>
      <c r="G110" s="3668"/>
      <c r="H110" s="3667" t="s">
        <v>337</v>
      </c>
      <c r="I110" s="3668"/>
      <c r="J110" s="888">
        <v>10000</v>
      </c>
      <c r="K110" s="868">
        <v>10000</v>
      </c>
      <c r="L110" s="869">
        <v>10000</v>
      </c>
      <c r="M110" s="3671" t="s">
        <v>337</v>
      </c>
      <c r="N110" s="907" t="s">
        <v>379</v>
      </c>
      <c r="O110" s="257"/>
      <c r="P110" s="257"/>
      <c r="Q110" s="257"/>
      <c r="R110" s="257"/>
      <c r="S110" s="257"/>
      <c r="T110" s="257"/>
      <c r="U110" s="257"/>
      <c r="V110" s="257"/>
      <c r="W110" s="257"/>
      <c r="X110" s="257"/>
      <c r="Y110" s="257"/>
      <c r="Z110" s="257"/>
      <c r="AA110" s="257"/>
      <c r="AB110" s="257"/>
      <c r="AC110" s="257"/>
      <c r="AD110" s="257"/>
      <c r="AE110" s="257"/>
      <c r="AF110" s="257"/>
      <c r="AG110" s="257"/>
      <c r="AH110" s="257"/>
      <c r="AI110" s="257"/>
      <c r="AJ110" s="257"/>
      <c r="AK110" s="257"/>
      <c r="AL110" s="257"/>
      <c r="AM110" s="257"/>
      <c r="AN110" s="257"/>
      <c r="AO110" s="257"/>
      <c r="AP110" s="257"/>
      <c r="AQ110" s="257"/>
      <c r="AR110" s="257"/>
      <c r="AS110" s="257"/>
      <c r="AT110" s="257"/>
      <c r="AU110" s="257"/>
      <c r="AV110" s="257"/>
      <c r="AW110" s="257"/>
      <c r="AX110" s="257"/>
      <c r="AY110" s="257"/>
      <c r="AZ110" s="257"/>
      <c r="BA110" s="257"/>
      <c r="BB110" s="257"/>
      <c r="BC110" s="257"/>
      <c r="BD110" s="257"/>
      <c r="BE110" s="257"/>
      <c r="BF110" s="257"/>
      <c r="BG110" s="257"/>
      <c r="BH110" s="257"/>
      <c r="BI110" s="257"/>
      <c r="BJ110" s="257"/>
      <c r="BK110" s="257"/>
      <c r="BL110" s="257"/>
      <c r="BM110" s="257"/>
      <c r="BN110" s="257"/>
      <c r="BO110" s="257"/>
      <c r="BP110" s="257"/>
      <c r="BQ110" s="257"/>
      <c r="BR110" s="257"/>
      <c r="BS110" s="257"/>
      <c r="BT110" s="257"/>
      <c r="BU110" s="257"/>
      <c r="BV110" s="257"/>
      <c r="BW110" s="257"/>
      <c r="BX110" s="257"/>
      <c r="BY110" s="257"/>
      <c r="BZ110" s="257"/>
      <c r="CA110" s="257"/>
      <c r="CB110" s="257"/>
      <c r="CC110" s="257"/>
      <c r="CD110" s="257"/>
      <c r="CE110" s="257"/>
      <c r="CF110" s="257"/>
      <c r="CG110" s="257"/>
      <c r="CH110" s="257"/>
      <c r="CI110" s="257"/>
      <c r="CJ110" s="257"/>
      <c r="CK110" s="257"/>
      <c r="CL110" s="257"/>
      <c r="CM110" s="257"/>
      <c r="CN110" s="257"/>
      <c r="CO110" s="257"/>
      <c r="CP110" s="257"/>
      <c r="CQ110" s="257"/>
      <c r="CR110" s="257"/>
      <c r="CS110" s="257"/>
      <c r="CT110" s="257"/>
      <c r="CU110" s="257"/>
      <c r="CV110" s="257"/>
      <c r="CW110" s="257"/>
      <c r="CX110" s="257"/>
      <c r="CY110" s="257"/>
      <c r="CZ110" s="257"/>
      <c r="DA110" s="257"/>
      <c r="DB110" s="257"/>
      <c r="DC110" s="257"/>
      <c r="DD110" s="257"/>
      <c r="DE110" s="257"/>
      <c r="DF110" s="257"/>
      <c r="DG110" s="257"/>
      <c r="DH110" s="257"/>
      <c r="DI110" s="257"/>
      <c r="DJ110" s="257"/>
      <c r="DK110" s="257"/>
      <c r="DL110" s="257"/>
      <c r="DM110" s="257"/>
      <c r="DN110" s="257"/>
      <c r="DO110" s="257"/>
      <c r="DP110" s="257"/>
      <c r="DQ110" s="257"/>
      <c r="DR110" s="257"/>
      <c r="DS110" s="257"/>
      <c r="DT110" s="257"/>
      <c r="DU110" s="257"/>
      <c r="DV110" s="257"/>
    </row>
    <row r="111" spans="1:135" ht="17.25" customHeight="1" x14ac:dyDescent="0.35">
      <c r="A111" s="848" t="s">
        <v>337</v>
      </c>
      <c r="B111" s="849">
        <v>13200</v>
      </c>
      <c r="C111" s="850" t="s">
        <v>294</v>
      </c>
      <c r="D111" s="848">
        <v>20</v>
      </c>
      <c r="E111" s="850" t="s">
        <v>202</v>
      </c>
      <c r="F111" s="3667"/>
      <c r="G111" s="3668"/>
      <c r="H111" s="3667"/>
      <c r="I111" s="3668"/>
      <c r="J111" s="852">
        <v>1650</v>
      </c>
      <c r="K111" s="908">
        <v>33000</v>
      </c>
      <c r="L111" s="869">
        <v>33000</v>
      </c>
      <c r="M111" s="3671"/>
      <c r="N111" s="909" t="s">
        <v>380</v>
      </c>
      <c r="O111" s="257"/>
      <c r="P111" s="257"/>
      <c r="Q111" s="257"/>
      <c r="R111" s="257"/>
      <c r="S111" s="257"/>
      <c r="T111" s="257"/>
      <c r="U111" s="257"/>
      <c r="V111" s="257"/>
      <c r="W111" s="257"/>
      <c r="X111" s="257"/>
      <c r="Y111" s="257"/>
      <c r="Z111" s="257"/>
      <c r="AA111" s="257"/>
      <c r="AB111" s="257"/>
      <c r="AC111" s="257"/>
      <c r="AD111" s="257"/>
      <c r="AE111" s="257"/>
      <c r="AF111" s="257"/>
      <c r="AG111" s="257"/>
      <c r="AH111" s="257"/>
      <c r="AI111" s="257"/>
      <c r="AJ111" s="257"/>
      <c r="AK111" s="257"/>
      <c r="AL111" s="257"/>
      <c r="AM111" s="257"/>
      <c r="AN111" s="257"/>
      <c r="AO111" s="257"/>
      <c r="AP111" s="257"/>
      <c r="AQ111" s="257"/>
      <c r="AR111" s="257"/>
      <c r="AS111" s="257"/>
      <c r="AT111" s="257"/>
      <c r="AU111" s="257"/>
      <c r="AV111" s="257"/>
      <c r="AW111" s="257"/>
      <c r="AX111" s="257"/>
      <c r="AY111" s="257"/>
      <c r="AZ111" s="257"/>
      <c r="BA111" s="257"/>
      <c r="BB111" s="257"/>
      <c r="BC111" s="257"/>
      <c r="BD111" s="257"/>
      <c r="BE111" s="257"/>
      <c r="BF111" s="257"/>
      <c r="BG111" s="257"/>
      <c r="BH111" s="257"/>
      <c r="BI111" s="257"/>
      <c r="BJ111" s="257"/>
      <c r="BK111" s="257"/>
      <c r="BL111" s="257"/>
      <c r="BM111" s="257"/>
      <c r="BN111" s="257"/>
      <c r="BO111" s="257"/>
      <c r="BP111" s="257"/>
      <c r="BQ111" s="257"/>
      <c r="BR111" s="257"/>
      <c r="BS111" s="257"/>
      <c r="BT111" s="257"/>
      <c r="BU111" s="257"/>
      <c r="BV111" s="257"/>
      <c r="BW111" s="257"/>
      <c r="BX111" s="257"/>
      <c r="BY111" s="257"/>
      <c r="BZ111" s="257"/>
      <c r="CA111" s="257"/>
      <c r="CB111" s="257"/>
      <c r="CC111" s="257"/>
      <c r="CD111" s="257"/>
      <c r="CE111" s="257"/>
      <c r="CF111" s="257"/>
      <c r="CG111" s="257"/>
      <c r="CH111" s="257"/>
      <c r="CI111" s="257"/>
      <c r="CJ111" s="257"/>
      <c r="CK111" s="257"/>
      <c r="CL111" s="257"/>
      <c r="CM111" s="257"/>
      <c r="CN111" s="257"/>
      <c r="CO111" s="257"/>
      <c r="CP111" s="257"/>
      <c r="CQ111" s="257"/>
      <c r="CR111" s="257"/>
      <c r="CS111" s="257"/>
      <c r="CT111" s="257"/>
      <c r="CU111" s="257"/>
      <c r="CV111" s="257"/>
      <c r="CW111" s="257"/>
      <c r="CX111" s="257"/>
      <c r="CY111" s="257"/>
      <c r="CZ111" s="257"/>
      <c r="DA111" s="257"/>
      <c r="DB111" s="257"/>
      <c r="DC111" s="257"/>
      <c r="DD111" s="257"/>
      <c r="DE111" s="257"/>
      <c r="DF111" s="257"/>
      <c r="DG111" s="257"/>
      <c r="DH111" s="257"/>
      <c r="DI111" s="257"/>
      <c r="DJ111" s="257"/>
      <c r="DK111" s="257"/>
      <c r="DL111" s="257"/>
      <c r="DM111" s="257"/>
      <c r="DN111" s="257"/>
      <c r="DO111" s="257"/>
      <c r="DP111" s="257"/>
      <c r="DQ111" s="257"/>
      <c r="DR111" s="257"/>
      <c r="DS111" s="257"/>
      <c r="DT111" s="257"/>
      <c r="DU111" s="257"/>
      <c r="DV111" s="257"/>
    </row>
    <row r="112" spans="1:135" ht="20.25" customHeight="1" x14ac:dyDescent="0.35">
      <c r="A112" s="848" t="s">
        <v>337</v>
      </c>
      <c r="B112" s="849">
        <v>13200</v>
      </c>
      <c r="C112" s="850" t="s">
        <v>296</v>
      </c>
      <c r="D112" s="848">
        <v>0</v>
      </c>
      <c r="E112" s="850" t="s">
        <v>202</v>
      </c>
      <c r="F112" s="3667"/>
      <c r="G112" s="3668"/>
      <c r="H112" s="3667"/>
      <c r="I112" s="3668"/>
      <c r="J112" s="852">
        <v>300</v>
      </c>
      <c r="K112" s="871" t="s">
        <v>366</v>
      </c>
      <c r="L112" s="872" t="s">
        <v>358</v>
      </c>
      <c r="M112" s="3671"/>
      <c r="N112" s="909" t="s">
        <v>381</v>
      </c>
      <c r="O112" s="257"/>
      <c r="P112" s="257"/>
      <c r="Q112" s="257"/>
      <c r="R112" s="257"/>
      <c r="S112" s="257"/>
      <c r="T112" s="257"/>
      <c r="U112" s="257"/>
      <c r="V112" s="257"/>
      <c r="W112" s="257"/>
      <c r="X112" s="257"/>
      <c r="Y112" s="257"/>
      <c r="Z112" s="257"/>
      <c r="AA112" s="257"/>
      <c r="AB112" s="257"/>
      <c r="AC112" s="257"/>
      <c r="AD112" s="257"/>
      <c r="AE112" s="257"/>
      <c r="AF112" s="257"/>
      <c r="AG112" s="257"/>
      <c r="AH112" s="257"/>
      <c r="AI112" s="257"/>
      <c r="AJ112" s="257"/>
      <c r="AK112" s="257"/>
      <c r="AL112" s="257"/>
      <c r="AM112" s="257"/>
      <c r="AN112" s="257"/>
      <c r="AO112" s="257"/>
      <c r="AP112" s="257"/>
      <c r="AQ112" s="257"/>
      <c r="AR112" s="257"/>
      <c r="AS112" s="257"/>
      <c r="AT112" s="257"/>
      <c r="AU112" s="257"/>
      <c r="AV112" s="257"/>
      <c r="AW112" s="257"/>
      <c r="AX112" s="257"/>
      <c r="AY112" s="257"/>
      <c r="AZ112" s="257"/>
      <c r="BA112" s="257"/>
      <c r="BB112" s="257"/>
      <c r="BC112" s="257"/>
      <c r="BD112" s="257"/>
      <c r="BE112" s="257"/>
      <c r="BF112" s="257"/>
      <c r="BG112" s="257"/>
      <c r="BH112" s="257"/>
      <c r="BI112" s="257"/>
      <c r="BJ112" s="257"/>
      <c r="BK112" s="257"/>
      <c r="BL112" s="257"/>
      <c r="BM112" s="257"/>
      <c r="BN112" s="257"/>
      <c r="BO112" s="257"/>
      <c r="BP112" s="257"/>
      <c r="BQ112" s="257"/>
      <c r="BR112" s="257"/>
      <c r="BS112" s="257"/>
      <c r="BT112" s="257"/>
      <c r="BU112" s="257"/>
      <c r="BV112" s="257"/>
      <c r="BW112" s="257"/>
      <c r="BX112" s="257"/>
      <c r="BY112" s="257"/>
      <c r="BZ112" s="257"/>
      <c r="CA112" s="257"/>
      <c r="CB112" s="257"/>
      <c r="CC112" s="257"/>
      <c r="CD112" s="257"/>
      <c r="CE112" s="257"/>
      <c r="CF112" s="257"/>
      <c r="CG112" s="257"/>
      <c r="CH112" s="257"/>
      <c r="CI112" s="257"/>
      <c r="CJ112" s="257"/>
      <c r="CK112" s="257"/>
      <c r="CL112" s="257"/>
      <c r="CM112" s="257"/>
      <c r="CN112" s="257"/>
      <c r="CO112" s="257"/>
      <c r="CP112" s="257"/>
      <c r="CQ112" s="257"/>
      <c r="CR112" s="257"/>
      <c r="CS112" s="257"/>
      <c r="CT112" s="257"/>
      <c r="CU112" s="257"/>
      <c r="CV112" s="257"/>
      <c r="CW112" s="257"/>
      <c r="CX112" s="257"/>
      <c r="CY112" s="257"/>
      <c r="CZ112" s="257"/>
      <c r="DA112" s="257"/>
      <c r="DB112" s="257"/>
      <c r="DC112" s="257"/>
      <c r="DD112" s="257"/>
      <c r="DE112" s="257"/>
      <c r="DF112" s="257"/>
      <c r="DG112" s="257"/>
      <c r="DH112" s="257"/>
      <c r="DI112" s="257"/>
      <c r="DJ112" s="257"/>
      <c r="DK112" s="257"/>
      <c r="DL112" s="257"/>
      <c r="DM112" s="257"/>
      <c r="DN112" s="257"/>
      <c r="DO112" s="257"/>
      <c r="DP112" s="257"/>
      <c r="DQ112" s="257"/>
      <c r="DR112" s="257"/>
      <c r="DS112" s="257"/>
      <c r="DT112" s="257"/>
      <c r="DU112" s="257"/>
      <c r="DV112" s="257"/>
    </row>
    <row r="113" spans="1:126" x14ac:dyDescent="0.35">
      <c r="A113" s="848" t="s">
        <v>337</v>
      </c>
      <c r="B113" s="849">
        <v>13233</v>
      </c>
      <c r="C113" s="850" t="s">
        <v>298</v>
      </c>
      <c r="D113" s="848">
        <v>20.7</v>
      </c>
      <c r="E113" s="850" t="s">
        <v>202</v>
      </c>
      <c r="F113" s="3667"/>
      <c r="G113" s="3668"/>
      <c r="H113" s="3667"/>
      <c r="I113" s="3668"/>
      <c r="J113" s="852">
        <v>100</v>
      </c>
      <c r="K113" s="868">
        <v>2073</v>
      </c>
      <c r="L113" s="869">
        <v>2073</v>
      </c>
      <c r="M113" s="3671"/>
      <c r="N113" s="892" t="s">
        <v>337</v>
      </c>
      <c r="O113" s="257"/>
      <c r="P113" s="257"/>
      <c r="Q113" s="257"/>
      <c r="R113" s="257"/>
      <c r="S113" s="257"/>
      <c r="T113" s="257"/>
      <c r="U113" s="257"/>
      <c r="V113" s="257"/>
      <c r="W113" s="257"/>
      <c r="X113" s="257"/>
      <c r="Y113" s="257"/>
      <c r="Z113" s="257"/>
      <c r="AA113" s="257"/>
      <c r="AB113" s="257"/>
      <c r="AC113" s="257"/>
      <c r="AD113" s="257"/>
      <c r="AE113" s="257"/>
      <c r="AF113" s="257"/>
      <c r="AG113" s="257"/>
      <c r="AH113" s="257"/>
      <c r="AI113" s="257"/>
      <c r="AJ113" s="257"/>
      <c r="AK113" s="257"/>
      <c r="AL113" s="257"/>
      <c r="AM113" s="257"/>
      <c r="AN113" s="257"/>
      <c r="AO113" s="257"/>
      <c r="AP113" s="257"/>
      <c r="AQ113" s="257"/>
      <c r="AR113" s="257"/>
      <c r="AS113" s="257"/>
      <c r="AT113" s="257"/>
      <c r="AU113" s="257"/>
      <c r="AV113" s="257"/>
      <c r="AW113" s="257"/>
      <c r="AX113" s="257"/>
      <c r="AY113" s="257"/>
      <c r="AZ113" s="257"/>
      <c r="BA113" s="257"/>
      <c r="BB113" s="257"/>
      <c r="BC113" s="257"/>
      <c r="BD113" s="257"/>
      <c r="BE113" s="257"/>
      <c r="BF113" s="257"/>
      <c r="BG113" s="257"/>
      <c r="BH113" s="257"/>
      <c r="BI113" s="257"/>
      <c r="BJ113" s="257"/>
      <c r="BK113" s="257"/>
      <c r="BL113" s="257"/>
      <c r="BM113" s="257"/>
      <c r="BN113" s="257"/>
      <c r="BO113" s="257"/>
      <c r="BP113" s="257"/>
      <c r="BQ113" s="257"/>
      <c r="BR113" s="257"/>
      <c r="BS113" s="257"/>
      <c r="BT113" s="257"/>
      <c r="BU113" s="257"/>
      <c r="BV113" s="257"/>
      <c r="BW113" s="257"/>
      <c r="BX113" s="257"/>
      <c r="BY113" s="257"/>
      <c r="BZ113" s="257"/>
      <c r="CA113" s="257"/>
      <c r="CB113" s="257"/>
      <c r="CC113" s="257"/>
      <c r="CD113" s="257"/>
      <c r="CE113" s="257"/>
      <c r="CF113" s="257"/>
      <c r="CG113" s="257"/>
      <c r="CH113" s="257"/>
      <c r="CI113" s="257"/>
      <c r="CJ113" s="257"/>
      <c r="CK113" s="257"/>
      <c r="CL113" s="257"/>
      <c r="CM113" s="257"/>
      <c r="CN113" s="257"/>
      <c r="CO113" s="257"/>
      <c r="CP113" s="257"/>
      <c r="CQ113" s="257"/>
      <c r="CR113" s="257"/>
      <c r="CS113" s="257"/>
      <c r="CT113" s="257"/>
      <c r="CU113" s="257"/>
      <c r="CV113" s="257"/>
      <c r="CW113" s="257"/>
      <c r="CX113" s="257"/>
      <c r="CY113" s="257"/>
      <c r="CZ113" s="257"/>
      <c r="DA113" s="257"/>
      <c r="DB113" s="257"/>
      <c r="DC113" s="257"/>
      <c r="DD113" s="257"/>
      <c r="DE113" s="257"/>
      <c r="DF113" s="257"/>
      <c r="DG113" s="257"/>
      <c r="DH113" s="257"/>
      <c r="DI113" s="257"/>
      <c r="DJ113" s="257"/>
      <c r="DK113" s="257"/>
      <c r="DL113" s="257"/>
      <c r="DM113" s="257"/>
      <c r="DN113" s="257"/>
      <c r="DO113" s="257"/>
      <c r="DP113" s="257"/>
      <c r="DQ113" s="257"/>
      <c r="DR113" s="257"/>
      <c r="DS113" s="257"/>
      <c r="DT113" s="257"/>
      <c r="DU113" s="257"/>
      <c r="DV113" s="257"/>
    </row>
    <row r="114" spans="1:126" x14ac:dyDescent="0.35">
      <c r="A114" s="848" t="s">
        <v>337</v>
      </c>
      <c r="B114" s="849">
        <v>13233</v>
      </c>
      <c r="C114" s="850" t="s">
        <v>299</v>
      </c>
      <c r="D114" s="848">
        <v>20.7</v>
      </c>
      <c r="E114" s="850" t="s">
        <v>202</v>
      </c>
      <c r="F114" s="3667"/>
      <c r="G114" s="3668"/>
      <c r="H114" s="3667"/>
      <c r="I114" s="3668"/>
      <c r="J114" s="852">
        <v>100</v>
      </c>
      <c r="K114" s="868">
        <v>2073</v>
      </c>
      <c r="L114" s="869">
        <v>2073</v>
      </c>
      <c r="M114" s="3671"/>
      <c r="N114" s="892" t="s">
        <v>337</v>
      </c>
      <c r="O114" s="257"/>
      <c r="P114" s="257"/>
      <c r="Q114" s="257"/>
      <c r="R114" s="257"/>
      <c r="S114" s="257"/>
      <c r="T114" s="257"/>
      <c r="U114" s="257"/>
      <c r="V114" s="257"/>
      <c r="W114" s="257"/>
      <c r="X114" s="257"/>
      <c r="Y114" s="257"/>
      <c r="Z114" s="257"/>
      <c r="AA114" s="257"/>
      <c r="AB114" s="257"/>
      <c r="AC114" s="257"/>
      <c r="AD114" s="257"/>
      <c r="AE114" s="257"/>
      <c r="AF114" s="257"/>
      <c r="AG114" s="257"/>
      <c r="AH114" s="257"/>
      <c r="AI114" s="257"/>
      <c r="AJ114" s="257"/>
      <c r="AK114" s="257"/>
      <c r="AL114" s="257"/>
      <c r="AM114" s="257"/>
      <c r="AN114" s="257"/>
      <c r="AO114" s="257"/>
      <c r="AP114" s="257"/>
      <c r="AQ114" s="257"/>
      <c r="AR114" s="257"/>
      <c r="AS114" s="257"/>
      <c r="AT114" s="257"/>
      <c r="AU114" s="257"/>
      <c r="AV114" s="257"/>
      <c r="AW114" s="257"/>
      <c r="AX114" s="257"/>
      <c r="AY114" s="257"/>
      <c r="AZ114" s="257"/>
      <c r="BA114" s="257"/>
      <c r="BB114" s="257"/>
      <c r="BC114" s="257"/>
      <c r="BD114" s="257"/>
      <c r="BE114" s="257"/>
      <c r="BF114" s="257"/>
      <c r="BG114" s="257"/>
      <c r="BH114" s="257"/>
      <c r="BI114" s="257"/>
      <c r="BJ114" s="257"/>
      <c r="BK114" s="257"/>
      <c r="BL114" s="257"/>
      <c r="BM114" s="257"/>
      <c r="BN114" s="257"/>
      <c r="BO114" s="257"/>
      <c r="BP114" s="257"/>
      <c r="BQ114" s="257"/>
      <c r="BR114" s="257"/>
      <c r="BS114" s="257"/>
      <c r="BT114" s="257"/>
      <c r="BU114" s="257"/>
      <c r="BV114" s="257"/>
      <c r="BW114" s="257"/>
      <c r="BX114" s="257"/>
      <c r="BY114" s="257"/>
      <c r="BZ114" s="257"/>
      <c r="CA114" s="257"/>
      <c r="CB114" s="257"/>
      <c r="CC114" s="257"/>
      <c r="CD114" s="257"/>
      <c r="CE114" s="257"/>
      <c r="CF114" s="257"/>
      <c r="CG114" s="257"/>
      <c r="CH114" s="257"/>
      <c r="CI114" s="257"/>
      <c r="CJ114" s="257"/>
      <c r="CK114" s="257"/>
      <c r="CL114" s="257"/>
      <c r="CM114" s="257"/>
      <c r="CN114" s="257"/>
      <c r="CO114" s="257"/>
      <c r="CP114" s="257"/>
      <c r="CQ114" s="257"/>
      <c r="CR114" s="257"/>
      <c r="CS114" s="257"/>
      <c r="CT114" s="257"/>
      <c r="CU114" s="257"/>
      <c r="CV114" s="257"/>
      <c r="CW114" s="257"/>
      <c r="CX114" s="257"/>
      <c r="CY114" s="257"/>
      <c r="CZ114" s="257"/>
      <c r="DA114" s="257"/>
      <c r="DB114" s="257"/>
      <c r="DC114" s="257"/>
      <c r="DD114" s="257"/>
      <c r="DE114" s="257"/>
      <c r="DF114" s="257"/>
      <c r="DG114" s="257"/>
      <c r="DH114" s="257"/>
      <c r="DI114" s="257"/>
      <c r="DJ114" s="257"/>
      <c r="DK114" s="257"/>
      <c r="DL114" s="257"/>
      <c r="DM114" s="257"/>
      <c r="DN114" s="257"/>
      <c r="DO114" s="257"/>
      <c r="DP114" s="257"/>
      <c r="DQ114" s="257"/>
      <c r="DR114" s="257"/>
      <c r="DS114" s="257"/>
      <c r="DT114" s="257"/>
      <c r="DU114" s="257"/>
      <c r="DV114" s="257"/>
    </row>
    <row r="115" spans="1:126" x14ac:dyDescent="0.35">
      <c r="A115" s="848" t="s">
        <v>337</v>
      </c>
      <c r="B115" s="849" t="s">
        <v>337</v>
      </c>
      <c r="C115" s="850" t="s">
        <v>300</v>
      </c>
      <c r="D115" s="893">
        <v>0</v>
      </c>
      <c r="E115" s="849" t="s">
        <v>215</v>
      </c>
      <c r="F115" s="3667"/>
      <c r="G115" s="3668"/>
      <c r="H115" s="3667"/>
      <c r="I115" s="3668"/>
      <c r="J115" s="867">
        <v>2500</v>
      </c>
      <c r="K115" s="884" t="s">
        <v>366</v>
      </c>
      <c r="L115" s="872" t="s">
        <v>358</v>
      </c>
      <c r="M115" s="3671"/>
      <c r="N115" s="306" t="s">
        <v>337</v>
      </c>
      <c r="O115" s="257"/>
      <c r="P115" s="257"/>
      <c r="Q115" s="257"/>
      <c r="R115" s="257"/>
      <c r="S115" s="257"/>
      <c r="T115" s="257"/>
      <c r="U115" s="257"/>
      <c r="V115" s="257"/>
      <c r="W115" s="257"/>
      <c r="X115" s="257"/>
      <c r="Y115" s="257"/>
      <c r="Z115" s="257"/>
      <c r="AA115" s="257"/>
      <c r="AB115" s="257"/>
      <c r="AC115" s="257"/>
      <c r="AD115" s="257"/>
      <c r="AE115" s="257"/>
      <c r="AF115" s="257"/>
      <c r="AG115" s="257"/>
      <c r="AH115" s="257"/>
      <c r="AI115" s="257"/>
      <c r="AJ115" s="257"/>
      <c r="AK115" s="257"/>
      <c r="AL115" s="257"/>
      <c r="AM115" s="257"/>
      <c r="AN115" s="257"/>
      <c r="AO115" s="257"/>
      <c r="AP115" s="257"/>
      <c r="AQ115" s="257"/>
      <c r="AR115" s="257"/>
      <c r="AS115" s="257"/>
      <c r="AT115" s="257"/>
      <c r="AU115" s="257"/>
      <c r="AV115" s="257"/>
      <c r="AW115" s="257"/>
      <c r="AX115" s="257"/>
      <c r="AY115" s="257"/>
      <c r="AZ115" s="257"/>
      <c r="BA115" s="257"/>
      <c r="BB115" s="257"/>
      <c r="BC115" s="257"/>
      <c r="BD115" s="257"/>
      <c r="BE115" s="257"/>
      <c r="BF115" s="257"/>
      <c r="BG115" s="257"/>
      <c r="BH115" s="257"/>
      <c r="BI115" s="257"/>
      <c r="BJ115" s="257"/>
      <c r="BK115" s="257"/>
      <c r="BL115" s="257"/>
      <c r="BM115" s="257"/>
      <c r="BN115" s="257"/>
      <c r="BO115" s="257"/>
      <c r="BP115" s="257"/>
      <c r="BQ115" s="257"/>
      <c r="BR115" s="257"/>
      <c r="BS115" s="257"/>
      <c r="BT115" s="257"/>
      <c r="BU115" s="257"/>
      <c r="BV115" s="257"/>
      <c r="BW115" s="257"/>
      <c r="BX115" s="257"/>
      <c r="BY115" s="257"/>
      <c r="BZ115" s="257"/>
      <c r="CA115" s="257"/>
      <c r="CB115" s="257"/>
      <c r="CC115" s="257"/>
      <c r="CD115" s="257"/>
      <c r="CE115" s="257"/>
      <c r="CF115" s="257"/>
      <c r="CG115" s="257"/>
      <c r="CH115" s="257"/>
      <c r="CI115" s="257"/>
      <c r="CJ115" s="257"/>
      <c r="CK115" s="257"/>
      <c r="CL115" s="257"/>
      <c r="CM115" s="257"/>
      <c r="CN115" s="257"/>
      <c r="CO115" s="257"/>
      <c r="CP115" s="257"/>
      <c r="CQ115" s="257"/>
      <c r="CR115" s="257"/>
      <c r="CS115" s="257"/>
      <c r="CT115" s="257"/>
      <c r="CU115" s="257"/>
      <c r="CV115" s="257"/>
      <c r="CW115" s="257"/>
      <c r="CX115" s="257"/>
      <c r="CY115" s="257"/>
      <c r="CZ115" s="257"/>
      <c r="DA115" s="257"/>
      <c r="DB115" s="257"/>
      <c r="DC115" s="257"/>
      <c r="DD115" s="257"/>
      <c r="DE115" s="257"/>
      <c r="DF115" s="257"/>
      <c r="DG115" s="257"/>
      <c r="DH115" s="257"/>
      <c r="DI115" s="257"/>
      <c r="DJ115" s="257"/>
      <c r="DK115" s="257"/>
      <c r="DL115" s="257"/>
      <c r="DM115" s="257"/>
      <c r="DN115" s="257"/>
      <c r="DO115" s="257"/>
      <c r="DP115" s="257"/>
      <c r="DQ115" s="257"/>
      <c r="DR115" s="257"/>
      <c r="DS115" s="257"/>
      <c r="DT115" s="257"/>
      <c r="DU115" s="257"/>
      <c r="DV115" s="257"/>
    </row>
    <row r="116" spans="1:126" x14ac:dyDescent="0.35">
      <c r="A116" s="848" t="s">
        <v>337</v>
      </c>
      <c r="B116" s="849">
        <v>13233</v>
      </c>
      <c r="C116" s="850" t="s">
        <v>301</v>
      </c>
      <c r="D116" s="848">
        <v>0</v>
      </c>
      <c r="E116" s="850" t="s">
        <v>215</v>
      </c>
      <c r="F116" s="3667"/>
      <c r="G116" s="3668"/>
      <c r="H116" s="3667"/>
      <c r="I116" s="3668"/>
      <c r="J116" s="888">
        <v>500</v>
      </c>
      <c r="K116" s="871" t="s">
        <v>366</v>
      </c>
      <c r="L116" s="872" t="s">
        <v>358</v>
      </c>
      <c r="M116" s="3671"/>
      <c r="N116" s="910" t="s">
        <v>337</v>
      </c>
      <c r="O116" s="257"/>
      <c r="P116" s="257"/>
      <c r="Q116" s="257"/>
      <c r="R116" s="257"/>
      <c r="S116" s="257"/>
      <c r="T116" s="257"/>
      <c r="U116" s="257"/>
      <c r="V116" s="257"/>
      <c r="W116" s="257"/>
      <c r="X116" s="257"/>
      <c r="Y116" s="257"/>
      <c r="Z116" s="257"/>
      <c r="AA116" s="257"/>
      <c r="AB116" s="257"/>
      <c r="AC116" s="257"/>
      <c r="AD116" s="257"/>
      <c r="AE116" s="257"/>
      <c r="AF116" s="257"/>
      <c r="AG116" s="257"/>
      <c r="AH116" s="257"/>
      <c r="AI116" s="257"/>
      <c r="AJ116" s="257"/>
      <c r="AK116" s="257"/>
      <c r="AL116" s="257"/>
      <c r="AM116" s="257"/>
      <c r="AN116" s="257"/>
      <c r="AO116" s="257"/>
      <c r="AP116" s="257"/>
      <c r="AQ116" s="257"/>
      <c r="AR116" s="257"/>
      <c r="AS116" s="257"/>
      <c r="AT116" s="257"/>
      <c r="AU116" s="257"/>
      <c r="AV116" s="257"/>
      <c r="AW116" s="257"/>
      <c r="AX116" s="257"/>
      <c r="AY116" s="257"/>
      <c r="AZ116" s="257"/>
      <c r="BA116" s="257"/>
      <c r="BB116" s="257"/>
      <c r="BC116" s="257"/>
      <c r="BD116" s="257"/>
      <c r="BE116" s="257"/>
      <c r="BF116" s="257"/>
      <c r="BG116" s="257"/>
      <c r="BH116" s="257"/>
      <c r="BI116" s="257"/>
      <c r="BJ116" s="257"/>
      <c r="BK116" s="257"/>
      <c r="BL116" s="257"/>
      <c r="BM116" s="257"/>
      <c r="BN116" s="257"/>
      <c r="BO116" s="257"/>
      <c r="BP116" s="257"/>
      <c r="BQ116" s="257"/>
      <c r="BR116" s="257"/>
      <c r="BS116" s="257"/>
      <c r="BT116" s="257"/>
      <c r="BU116" s="257"/>
      <c r="BV116" s="257"/>
      <c r="BW116" s="257"/>
      <c r="BX116" s="257"/>
      <c r="BY116" s="257"/>
      <c r="BZ116" s="257"/>
      <c r="CA116" s="257"/>
      <c r="CB116" s="257"/>
      <c r="CC116" s="257"/>
      <c r="CD116" s="257"/>
      <c r="CE116" s="257"/>
      <c r="CF116" s="257"/>
      <c r="CG116" s="257"/>
      <c r="CH116" s="257"/>
      <c r="CI116" s="257"/>
      <c r="CJ116" s="257"/>
      <c r="CK116" s="257"/>
      <c r="CL116" s="257"/>
      <c r="CM116" s="257"/>
      <c r="CN116" s="257"/>
      <c r="CO116" s="257"/>
      <c r="CP116" s="257"/>
      <c r="CQ116" s="257"/>
      <c r="CR116" s="257"/>
      <c r="CS116" s="257"/>
      <c r="CT116" s="257"/>
      <c r="CU116" s="257"/>
      <c r="CV116" s="257"/>
      <c r="CW116" s="257"/>
      <c r="CX116" s="257"/>
      <c r="CY116" s="257"/>
      <c r="CZ116" s="257"/>
      <c r="DA116" s="257"/>
      <c r="DB116" s="257"/>
      <c r="DC116" s="257"/>
      <c r="DD116" s="257"/>
      <c r="DE116" s="257"/>
      <c r="DF116" s="257"/>
      <c r="DG116" s="257"/>
      <c r="DH116" s="257"/>
      <c r="DI116" s="257"/>
      <c r="DJ116" s="257"/>
      <c r="DK116" s="257"/>
      <c r="DL116" s="257"/>
      <c r="DM116" s="257"/>
      <c r="DN116" s="257"/>
      <c r="DO116" s="257"/>
      <c r="DP116" s="257"/>
      <c r="DQ116" s="257"/>
      <c r="DR116" s="257"/>
      <c r="DS116" s="257"/>
      <c r="DT116" s="257"/>
      <c r="DU116" s="257"/>
      <c r="DV116" s="257"/>
    </row>
    <row r="117" spans="1:126" ht="15" thickBot="1" x14ac:dyDescent="0.4">
      <c r="A117" s="848" t="s">
        <v>337</v>
      </c>
      <c r="B117" s="849" t="s">
        <v>337</v>
      </c>
      <c r="C117" s="267" t="s">
        <v>302</v>
      </c>
      <c r="D117" s="268">
        <v>0</v>
      </c>
      <c r="E117" s="267" t="s">
        <v>215</v>
      </c>
      <c r="F117" s="3669"/>
      <c r="G117" s="3670"/>
      <c r="H117" s="3669"/>
      <c r="I117" s="3670"/>
      <c r="J117" s="295" t="s">
        <v>371</v>
      </c>
      <c r="K117" s="884" t="s">
        <v>366</v>
      </c>
      <c r="L117" s="302" t="s">
        <v>358</v>
      </c>
      <c r="M117" s="3672"/>
      <c r="N117" s="910" t="s">
        <v>337</v>
      </c>
      <c r="O117" s="257"/>
      <c r="P117" s="257"/>
      <c r="Q117" s="257"/>
      <c r="R117" s="257"/>
      <c r="S117" s="257"/>
      <c r="T117" s="257"/>
      <c r="U117" s="257"/>
      <c r="V117" s="257"/>
      <c r="W117" s="257"/>
      <c r="X117" s="257"/>
      <c r="Y117" s="257"/>
      <c r="Z117" s="257"/>
      <c r="AA117" s="257"/>
      <c r="AB117" s="257"/>
      <c r="AC117" s="257"/>
      <c r="AD117" s="257"/>
      <c r="AE117" s="257"/>
      <c r="AF117" s="257"/>
      <c r="AG117" s="257"/>
      <c r="AH117" s="257"/>
      <c r="AI117" s="257"/>
      <c r="AJ117" s="257"/>
      <c r="AK117" s="257"/>
      <c r="AL117" s="257"/>
      <c r="AM117" s="257"/>
      <c r="AN117" s="257"/>
      <c r="AO117" s="257"/>
      <c r="AP117" s="257"/>
      <c r="AQ117" s="257"/>
      <c r="AR117" s="257"/>
      <c r="AS117" s="257"/>
      <c r="AT117" s="257"/>
      <c r="AU117" s="257"/>
      <c r="AV117" s="257"/>
      <c r="AW117" s="257"/>
      <c r="AX117" s="257"/>
      <c r="AY117" s="257"/>
      <c r="AZ117" s="257"/>
      <c r="BA117" s="257"/>
      <c r="BB117" s="257"/>
      <c r="BC117" s="257"/>
      <c r="BD117" s="257"/>
      <c r="BE117" s="257"/>
      <c r="BF117" s="257"/>
      <c r="BG117" s="257"/>
      <c r="BH117" s="257"/>
      <c r="BI117" s="257"/>
      <c r="BJ117" s="257"/>
      <c r="BK117" s="257"/>
      <c r="BL117" s="257"/>
      <c r="BM117" s="257"/>
      <c r="BN117" s="257"/>
      <c r="BO117" s="257"/>
      <c r="BP117" s="257"/>
      <c r="BQ117" s="257"/>
      <c r="BR117" s="257"/>
      <c r="BS117" s="257"/>
      <c r="BT117" s="257"/>
      <c r="BU117" s="257"/>
      <c r="BV117" s="257"/>
      <c r="BW117" s="257"/>
      <c r="BX117" s="257"/>
      <c r="BY117" s="257"/>
      <c r="BZ117" s="257"/>
      <c r="CA117" s="257"/>
      <c r="CB117" s="257"/>
      <c r="CC117" s="257"/>
      <c r="CD117" s="257"/>
      <c r="CE117" s="257"/>
      <c r="CF117" s="257"/>
      <c r="CG117" s="257"/>
      <c r="CH117" s="257"/>
      <c r="CI117" s="257"/>
      <c r="CJ117" s="257"/>
      <c r="CK117" s="257"/>
      <c r="CL117" s="257"/>
      <c r="CM117" s="257"/>
      <c r="CN117" s="257"/>
      <c r="CO117" s="257"/>
      <c r="CP117" s="257"/>
      <c r="CQ117" s="257"/>
      <c r="CR117" s="257"/>
      <c r="CS117" s="257"/>
      <c r="CT117" s="257"/>
      <c r="CU117" s="257"/>
      <c r="CV117" s="257"/>
      <c r="CW117" s="257"/>
      <c r="CX117" s="257"/>
      <c r="CY117" s="257"/>
      <c r="CZ117" s="257"/>
      <c r="DA117" s="257"/>
      <c r="DB117" s="257"/>
      <c r="DC117" s="257"/>
      <c r="DD117" s="257"/>
      <c r="DE117" s="257"/>
      <c r="DF117" s="257"/>
      <c r="DG117" s="257"/>
      <c r="DH117" s="257"/>
      <c r="DI117" s="257"/>
      <c r="DJ117" s="257"/>
      <c r="DK117" s="257"/>
      <c r="DL117" s="257"/>
      <c r="DM117" s="257"/>
      <c r="DN117" s="257"/>
      <c r="DO117" s="257"/>
      <c r="DP117" s="257"/>
      <c r="DQ117" s="257"/>
      <c r="DR117" s="257"/>
      <c r="DS117" s="257"/>
      <c r="DT117" s="257"/>
      <c r="DU117" s="257"/>
      <c r="DV117" s="257"/>
    </row>
    <row r="118" spans="1:126" ht="15" thickBot="1" x14ac:dyDescent="0.4">
      <c r="A118" s="3673" t="s">
        <v>337</v>
      </c>
      <c r="B118" s="3674"/>
      <c r="C118" s="894" t="s">
        <v>303</v>
      </c>
      <c r="D118" s="878" t="s">
        <v>337</v>
      </c>
      <c r="E118" s="881" t="s">
        <v>337</v>
      </c>
      <c r="F118" s="287" t="s">
        <v>337</v>
      </c>
      <c r="G118" s="287" t="s">
        <v>337</v>
      </c>
      <c r="H118" s="287" t="s">
        <v>337</v>
      </c>
      <c r="I118" s="287" t="s">
        <v>337</v>
      </c>
      <c r="J118" s="881" t="s">
        <v>337</v>
      </c>
      <c r="K118" s="881" t="s">
        <v>337</v>
      </c>
      <c r="L118" s="895">
        <v>3110</v>
      </c>
      <c r="M118" s="879" t="s">
        <v>337</v>
      </c>
      <c r="N118" s="890" t="s">
        <v>337</v>
      </c>
      <c r="O118" s="257"/>
      <c r="P118" s="257"/>
      <c r="Q118" s="257"/>
      <c r="R118" s="257"/>
      <c r="S118" s="257"/>
      <c r="T118" s="257"/>
      <c r="U118" s="257"/>
      <c r="V118" s="257"/>
      <c r="W118" s="257"/>
      <c r="X118" s="257"/>
      <c r="Y118" s="257"/>
      <c r="Z118" s="257"/>
      <c r="AA118" s="257"/>
      <c r="AB118" s="257"/>
      <c r="AC118" s="257"/>
      <c r="AD118" s="257"/>
      <c r="AE118" s="257"/>
      <c r="AF118" s="257"/>
      <c r="AG118" s="257"/>
      <c r="AH118" s="257"/>
      <c r="AI118" s="257"/>
      <c r="AJ118" s="257"/>
      <c r="AK118" s="257"/>
      <c r="AL118" s="257"/>
      <c r="AM118" s="257"/>
      <c r="AN118" s="257"/>
      <c r="AO118" s="257"/>
      <c r="AP118" s="257"/>
      <c r="AQ118" s="257"/>
      <c r="AR118" s="257"/>
      <c r="AS118" s="257"/>
      <c r="AT118" s="257"/>
      <c r="AU118" s="257"/>
      <c r="AV118" s="257"/>
      <c r="AW118" s="257"/>
      <c r="AX118" s="257"/>
      <c r="AY118" s="257"/>
      <c r="AZ118" s="257"/>
      <c r="BA118" s="257"/>
      <c r="BB118" s="257"/>
      <c r="BC118" s="257"/>
      <c r="BD118" s="257"/>
      <c r="BE118" s="257"/>
      <c r="BF118" s="257"/>
      <c r="BG118" s="257"/>
      <c r="BH118" s="257"/>
      <c r="BI118" s="257"/>
      <c r="BJ118" s="257"/>
      <c r="BK118" s="257"/>
      <c r="BL118" s="257"/>
      <c r="BM118" s="257"/>
      <c r="BN118" s="257"/>
      <c r="BO118" s="257"/>
      <c r="BP118" s="257"/>
      <c r="BQ118" s="257"/>
      <c r="BR118" s="257"/>
      <c r="BS118" s="257"/>
      <c r="BT118" s="257"/>
      <c r="BU118" s="257"/>
      <c r="BV118" s="257"/>
      <c r="BW118" s="257"/>
      <c r="BX118" s="257"/>
      <c r="BY118" s="257"/>
      <c r="BZ118" s="257"/>
      <c r="CA118" s="257"/>
      <c r="CB118" s="257"/>
      <c r="CC118" s="257"/>
      <c r="CD118" s="257"/>
      <c r="CE118" s="257"/>
      <c r="CF118" s="257"/>
      <c r="CG118" s="257"/>
      <c r="CH118" s="257"/>
      <c r="CI118" s="257"/>
      <c r="CJ118" s="257"/>
      <c r="CK118" s="257"/>
      <c r="CL118" s="257"/>
      <c r="CM118" s="257"/>
      <c r="CN118" s="257"/>
      <c r="CO118" s="257"/>
      <c r="CP118" s="257"/>
      <c r="CQ118" s="257"/>
      <c r="CR118" s="257"/>
      <c r="CS118" s="257"/>
      <c r="CT118" s="257"/>
      <c r="CU118" s="257"/>
      <c r="CV118" s="257"/>
      <c r="CW118" s="257"/>
      <c r="CX118" s="257"/>
      <c r="CY118" s="257"/>
      <c r="CZ118" s="257"/>
      <c r="DA118" s="257"/>
      <c r="DB118" s="257"/>
      <c r="DC118" s="257"/>
      <c r="DD118" s="257"/>
      <c r="DE118" s="257"/>
      <c r="DF118" s="257"/>
      <c r="DG118" s="257"/>
      <c r="DH118" s="257"/>
      <c r="DI118" s="257"/>
      <c r="DJ118" s="257"/>
      <c r="DK118" s="257"/>
      <c r="DL118" s="257"/>
      <c r="DM118" s="257"/>
      <c r="DN118" s="257"/>
      <c r="DO118" s="257"/>
      <c r="DP118" s="257"/>
      <c r="DQ118" s="257"/>
      <c r="DR118" s="257"/>
      <c r="DS118" s="257"/>
      <c r="DT118" s="257"/>
      <c r="DU118" s="257"/>
      <c r="DV118" s="257"/>
    </row>
    <row r="119" spans="1:126" x14ac:dyDescent="0.35">
      <c r="A119" s="858" t="s">
        <v>337</v>
      </c>
      <c r="B119" s="891" t="s">
        <v>337</v>
      </c>
      <c r="C119" s="850" t="s">
        <v>304</v>
      </c>
      <c r="D119" s="848">
        <v>0</v>
      </c>
      <c r="E119" s="850" t="s">
        <v>215</v>
      </c>
      <c r="F119" s="3665" t="s">
        <v>337</v>
      </c>
      <c r="G119" s="3666"/>
      <c r="H119" s="3665" t="s">
        <v>337</v>
      </c>
      <c r="I119" s="3666"/>
      <c r="J119" s="911">
        <v>1000</v>
      </c>
      <c r="K119" s="871" t="s">
        <v>366</v>
      </c>
      <c r="L119" s="872" t="s">
        <v>358</v>
      </c>
      <c r="M119" s="3671" t="s">
        <v>337</v>
      </c>
      <c r="N119" s="857" t="s">
        <v>337</v>
      </c>
      <c r="O119" s="257"/>
      <c r="P119" s="257"/>
      <c r="Q119" s="257"/>
      <c r="R119" s="257"/>
      <c r="S119" s="257"/>
      <c r="T119" s="257"/>
      <c r="U119" s="257"/>
      <c r="V119" s="257"/>
      <c r="W119" s="257"/>
      <c r="X119" s="257"/>
      <c r="Y119" s="257"/>
      <c r="Z119" s="257"/>
      <c r="AA119" s="257"/>
      <c r="AB119" s="257"/>
      <c r="AC119" s="257"/>
      <c r="AD119" s="257"/>
      <c r="AE119" s="257"/>
      <c r="AF119" s="257"/>
      <c r="AG119" s="257"/>
      <c r="AH119" s="257"/>
      <c r="AI119" s="257"/>
      <c r="AJ119" s="257"/>
      <c r="AK119" s="257"/>
      <c r="AL119" s="257"/>
      <c r="AM119" s="257"/>
      <c r="AN119" s="257"/>
      <c r="AO119" s="257"/>
      <c r="AP119" s="257"/>
      <c r="AQ119" s="257"/>
      <c r="AR119" s="257"/>
      <c r="AS119" s="257"/>
      <c r="AT119" s="257"/>
      <c r="AU119" s="257"/>
      <c r="AV119" s="257"/>
      <c r="AW119" s="257"/>
      <c r="AX119" s="257"/>
      <c r="AY119" s="257"/>
      <c r="AZ119" s="257"/>
      <c r="BA119" s="257"/>
      <c r="BB119" s="257"/>
      <c r="BC119" s="257"/>
      <c r="BD119" s="257"/>
      <c r="BE119" s="257"/>
      <c r="BF119" s="257"/>
      <c r="BG119" s="257"/>
      <c r="BH119" s="257"/>
      <c r="BI119" s="257"/>
      <c r="BJ119" s="257"/>
      <c r="BK119" s="257"/>
      <c r="BL119" s="257"/>
      <c r="BM119" s="257"/>
      <c r="BN119" s="257"/>
      <c r="BO119" s="257"/>
      <c r="BP119" s="257"/>
      <c r="BQ119" s="257"/>
      <c r="BR119" s="257"/>
      <c r="BS119" s="257"/>
      <c r="BT119" s="257"/>
      <c r="BU119" s="257"/>
      <c r="BV119" s="257"/>
      <c r="BW119" s="257"/>
      <c r="BX119" s="257"/>
      <c r="BY119" s="257"/>
      <c r="BZ119" s="257"/>
      <c r="CA119" s="257"/>
      <c r="CB119" s="257"/>
      <c r="CC119" s="257"/>
      <c r="CD119" s="257"/>
      <c r="CE119" s="257"/>
      <c r="CF119" s="257"/>
      <c r="CG119" s="257"/>
      <c r="CH119" s="257"/>
      <c r="CI119" s="257"/>
      <c r="CJ119" s="257"/>
      <c r="CK119" s="257"/>
      <c r="CL119" s="257"/>
      <c r="CM119" s="257"/>
      <c r="CN119" s="257"/>
      <c r="CO119" s="257"/>
      <c r="CP119" s="257"/>
      <c r="CQ119" s="257"/>
      <c r="CR119" s="257"/>
      <c r="CS119" s="257"/>
      <c r="CT119" s="257"/>
      <c r="CU119" s="257"/>
      <c r="CV119" s="257"/>
      <c r="CW119" s="257"/>
      <c r="CX119" s="257"/>
      <c r="CY119" s="257"/>
      <c r="CZ119" s="257"/>
      <c r="DA119" s="257"/>
      <c r="DB119" s="257"/>
      <c r="DC119" s="257"/>
      <c r="DD119" s="257"/>
      <c r="DE119" s="257"/>
      <c r="DF119" s="257"/>
      <c r="DG119" s="257"/>
      <c r="DH119" s="257"/>
      <c r="DI119" s="257"/>
      <c r="DJ119" s="257"/>
      <c r="DK119" s="257"/>
      <c r="DL119" s="257"/>
      <c r="DM119" s="257"/>
      <c r="DN119" s="257"/>
      <c r="DO119" s="257"/>
      <c r="DP119" s="257"/>
      <c r="DQ119" s="257"/>
      <c r="DR119" s="257"/>
      <c r="DS119" s="257"/>
      <c r="DT119" s="257"/>
      <c r="DU119" s="257"/>
      <c r="DV119" s="257"/>
    </row>
    <row r="120" spans="1:126" x14ac:dyDescent="0.35">
      <c r="A120" s="848" t="s">
        <v>337</v>
      </c>
      <c r="B120" s="849">
        <v>10550</v>
      </c>
      <c r="C120" s="850" t="s">
        <v>305</v>
      </c>
      <c r="D120" s="848">
        <v>0</v>
      </c>
      <c r="E120" s="850" t="s">
        <v>215</v>
      </c>
      <c r="F120" s="3667"/>
      <c r="G120" s="3668"/>
      <c r="H120" s="3723"/>
      <c r="I120" s="3724"/>
      <c r="J120" s="867">
        <v>500</v>
      </c>
      <c r="K120" s="871" t="s">
        <v>366</v>
      </c>
      <c r="L120" s="872" t="s">
        <v>358</v>
      </c>
      <c r="M120" s="3671"/>
      <c r="N120" s="857" t="s">
        <v>337</v>
      </c>
      <c r="O120" s="257"/>
      <c r="P120" s="257"/>
      <c r="Q120" s="257"/>
      <c r="R120" s="257"/>
      <c r="S120" s="257"/>
      <c r="T120" s="257"/>
      <c r="U120" s="257"/>
      <c r="V120" s="257"/>
      <c r="W120" s="257"/>
      <c r="X120" s="257"/>
      <c r="Y120" s="257"/>
      <c r="Z120" s="257"/>
      <c r="AA120" s="257"/>
      <c r="AB120" s="257"/>
      <c r="AC120" s="257"/>
      <c r="AD120" s="257"/>
      <c r="AE120" s="257"/>
      <c r="AF120" s="257"/>
      <c r="AG120" s="257"/>
      <c r="AH120" s="257"/>
      <c r="AI120" s="257"/>
      <c r="AJ120" s="257"/>
      <c r="AK120" s="257"/>
      <c r="AL120" s="257"/>
      <c r="AM120" s="257"/>
      <c r="AN120" s="257"/>
      <c r="AO120" s="257"/>
      <c r="AP120" s="257"/>
      <c r="AQ120" s="257"/>
      <c r="AR120" s="257"/>
      <c r="AS120" s="257"/>
      <c r="AT120" s="257"/>
      <c r="AU120" s="257"/>
      <c r="AV120" s="257"/>
      <c r="AW120" s="257"/>
      <c r="AX120" s="257"/>
      <c r="AY120" s="257"/>
      <c r="AZ120" s="257"/>
      <c r="BA120" s="257"/>
      <c r="BB120" s="257"/>
      <c r="BC120" s="257"/>
      <c r="BD120" s="257"/>
      <c r="BE120" s="257"/>
      <c r="BF120" s="257"/>
      <c r="BG120" s="257"/>
      <c r="BH120" s="257"/>
      <c r="BI120" s="257"/>
      <c r="BJ120" s="257"/>
      <c r="BK120" s="257"/>
      <c r="BL120" s="257"/>
      <c r="BM120" s="257"/>
      <c r="BN120" s="257"/>
      <c r="BO120" s="257"/>
      <c r="BP120" s="257"/>
      <c r="BQ120" s="257"/>
      <c r="BR120" s="257"/>
      <c r="BS120" s="257"/>
      <c r="BT120" s="257"/>
      <c r="BU120" s="257"/>
      <c r="BV120" s="257"/>
      <c r="BW120" s="257"/>
      <c r="BX120" s="257"/>
      <c r="BY120" s="257"/>
      <c r="BZ120" s="257"/>
      <c r="CA120" s="257"/>
      <c r="CB120" s="257"/>
      <c r="CC120" s="257"/>
      <c r="CD120" s="257"/>
      <c r="CE120" s="257"/>
      <c r="CF120" s="257"/>
      <c r="CG120" s="257"/>
      <c r="CH120" s="257"/>
      <c r="CI120" s="257"/>
      <c r="CJ120" s="257"/>
      <c r="CK120" s="257"/>
      <c r="CL120" s="257"/>
      <c r="CM120" s="257"/>
      <c r="CN120" s="257"/>
      <c r="CO120" s="257"/>
      <c r="CP120" s="257"/>
      <c r="CQ120" s="257"/>
      <c r="CR120" s="257"/>
      <c r="CS120" s="257"/>
      <c r="CT120" s="257"/>
      <c r="CU120" s="257"/>
      <c r="CV120" s="257"/>
      <c r="CW120" s="257"/>
      <c r="CX120" s="257"/>
      <c r="CY120" s="257"/>
      <c r="CZ120" s="257"/>
      <c r="DA120" s="257"/>
      <c r="DB120" s="257"/>
      <c r="DC120" s="257"/>
      <c r="DD120" s="257"/>
      <c r="DE120" s="257"/>
      <c r="DF120" s="257"/>
      <c r="DG120" s="257"/>
      <c r="DH120" s="257"/>
      <c r="DI120" s="257"/>
      <c r="DJ120" s="257"/>
      <c r="DK120" s="257"/>
      <c r="DL120" s="257"/>
      <c r="DM120" s="257"/>
      <c r="DN120" s="257"/>
      <c r="DO120" s="257"/>
      <c r="DP120" s="257"/>
      <c r="DQ120" s="257"/>
      <c r="DR120" s="257"/>
      <c r="DS120" s="257"/>
      <c r="DT120" s="257"/>
      <c r="DU120" s="257"/>
      <c r="DV120" s="257"/>
    </row>
    <row r="121" spans="1:126" x14ac:dyDescent="0.35">
      <c r="A121" s="848" t="s">
        <v>337</v>
      </c>
      <c r="B121" s="849" t="s">
        <v>337</v>
      </c>
      <c r="C121" s="850" t="s">
        <v>306</v>
      </c>
      <c r="D121" s="848">
        <v>0</v>
      </c>
      <c r="E121" s="850" t="s">
        <v>215</v>
      </c>
      <c r="F121" s="3667"/>
      <c r="G121" s="3668"/>
      <c r="H121" s="848" t="s">
        <v>366</v>
      </c>
      <c r="I121" s="871" t="s">
        <v>362</v>
      </c>
      <c r="J121" s="3725" t="s">
        <v>337</v>
      </c>
      <c r="K121" s="3726"/>
      <c r="L121" s="872" t="s">
        <v>358</v>
      </c>
      <c r="M121" s="3671"/>
      <c r="N121" s="857" t="s">
        <v>337</v>
      </c>
      <c r="O121" s="257"/>
      <c r="P121" s="257"/>
      <c r="Q121" s="257"/>
      <c r="R121" s="257"/>
      <c r="S121" s="257"/>
      <c r="T121" s="257"/>
      <c r="U121" s="257"/>
      <c r="V121" s="257"/>
      <c r="W121" s="257"/>
      <c r="X121" s="257"/>
      <c r="Y121" s="257"/>
      <c r="Z121" s="257"/>
      <c r="AA121" s="257"/>
      <c r="AB121" s="257"/>
      <c r="AC121" s="257"/>
      <c r="AD121" s="257"/>
      <c r="AE121" s="257"/>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7"/>
      <c r="BI121" s="257"/>
      <c r="BJ121" s="257"/>
      <c r="BK121" s="257"/>
      <c r="BL121" s="257"/>
      <c r="BM121" s="257"/>
      <c r="BN121" s="257"/>
      <c r="BO121" s="257"/>
      <c r="BP121" s="257"/>
      <c r="BQ121" s="257"/>
      <c r="BR121" s="257"/>
      <c r="BS121" s="257"/>
      <c r="BT121" s="257"/>
      <c r="BU121" s="257"/>
      <c r="BV121" s="257"/>
      <c r="BW121" s="257"/>
      <c r="BX121" s="257"/>
      <c r="BY121" s="257"/>
      <c r="BZ121" s="257"/>
      <c r="CA121" s="257"/>
      <c r="CB121" s="257"/>
      <c r="CC121" s="257"/>
      <c r="CD121" s="257"/>
      <c r="CE121" s="257"/>
      <c r="CF121" s="257"/>
      <c r="CG121" s="257"/>
      <c r="CH121" s="257"/>
      <c r="CI121" s="257"/>
      <c r="CJ121" s="257"/>
      <c r="CK121" s="257"/>
      <c r="CL121" s="257"/>
      <c r="CM121" s="257"/>
      <c r="CN121" s="257"/>
      <c r="CO121" s="257"/>
      <c r="CP121" s="257"/>
      <c r="CQ121" s="257"/>
      <c r="CR121" s="257"/>
      <c r="CS121" s="257"/>
      <c r="CT121" s="257"/>
      <c r="CU121" s="257"/>
      <c r="CV121" s="257"/>
      <c r="CW121" s="257"/>
      <c r="CX121" s="257"/>
      <c r="CY121" s="257"/>
      <c r="CZ121" s="257"/>
      <c r="DA121" s="257"/>
      <c r="DB121" s="257"/>
      <c r="DC121" s="257"/>
      <c r="DD121" s="257"/>
      <c r="DE121" s="257"/>
      <c r="DF121" s="257"/>
      <c r="DG121" s="257"/>
      <c r="DH121" s="257"/>
      <c r="DI121" s="257"/>
      <c r="DJ121" s="257"/>
      <c r="DK121" s="257"/>
      <c r="DL121" s="257"/>
      <c r="DM121" s="257"/>
      <c r="DN121" s="257"/>
      <c r="DO121" s="257"/>
      <c r="DP121" s="257"/>
      <c r="DQ121" s="257"/>
      <c r="DR121" s="257"/>
      <c r="DS121" s="257"/>
      <c r="DT121" s="257"/>
      <c r="DU121" s="257"/>
      <c r="DV121" s="257"/>
    </row>
    <row r="122" spans="1:126" x14ac:dyDescent="0.35">
      <c r="A122" s="848" t="s">
        <v>337</v>
      </c>
      <c r="B122" s="849" t="s">
        <v>337</v>
      </c>
      <c r="C122" s="850" t="s">
        <v>307</v>
      </c>
      <c r="D122" s="848">
        <v>20.7</v>
      </c>
      <c r="E122" s="850" t="s">
        <v>202</v>
      </c>
      <c r="F122" s="3667"/>
      <c r="G122" s="3668"/>
      <c r="H122" s="852">
        <v>75</v>
      </c>
      <c r="I122" s="868">
        <v>1555</v>
      </c>
      <c r="J122" s="3667"/>
      <c r="K122" s="3668"/>
      <c r="L122" s="869">
        <v>1555</v>
      </c>
      <c r="M122" s="3671"/>
      <c r="N122" s="857" t="s">
        <v>337</v>
      </c>
      <c r="O122" s="257"/>
      <c r="P122" s="257"/>
      <c r="Q122" s="257"/>
      <c r="R122" s="257"/>
      <c r="S122" s="257"/>
      <c r="T122" s="257"/>
      <c r="U122" s="257"/>
      <c r="V122" s="257"/>
      <c r="W122" s="257"/>
      <c r="X122" s="257"/>
      <c r="Y122" s="257"/>
      <c r="Z122" s="257"/>
      <c r="AA122" s="257"/>
      <c r="AB122" s="257"/>
      <c r="AC122" s="257"/>
      <c r="AD122" s="257"/>
      <c r="AE122" s="257"/>
      <c r="AF122" s="257"/>
      <c r="AG122" s="257"/>
      <c r="AH122" s="257"/>
      <c r="AI122" s="257"/>
      <c r="AJ122" s="257"/>
      <c r="AK122" s="257"/>
      <c r="AL122" s="257"/>
      <c r="AM122" s="257"/>
      <c r="AN122" s="257"/>
      <c r="AO122" s="257"/>
      <c r="AP122" s="257"/>
      <c r="AQ122" s="257"/>
      <c r="AR122" s="257"/>
      <c r="AS122" s="257"/>
      <c r="AT122" s="257"/>
      <c r="AU122" s="257"/>
      <c r="AV122" s="257"/>
      <c r="AW122" s="257"/>
      <c r="AX122" s="257"/>
      <c r="AY122" s="257"/>
      <c r="AZ122" s="257"/>
      <c r="BA122" s="257"/>
      <c r="BB122" s="257"/>
      <c r="BC122" s="257"/>
      <c r="BD122" s="257"/>
      <c r="BE122" s="257"/>
      <c r="BF122" s="257"/>
      <c r="BG122" s="257"/>
      <c r="BH122" s="257"/>
      <c r="BI122" s="257"/>
      <c r="BJ122" s="257"/>
      <c r="BK122" s="257"/>
      <c r="BL122" s="257"/>
      <c r="BM122" s="257"/>
      <c r="BN122" s="257"/>
      <c r="BO122" s="257"/>
      <c r="BP122" s="257"/>
      <c r="BQ122" s="257"/>
      <c r="BR122" s="257"/>
      <c r="BS122" s="257"/>
      <c r="BT122" s="257"/>
      <c r="BU122" s="257"/>
      <c r="BV122" s="257"/>
      <c r="BW122" s="257"/>
      <c r="BX122" s="257"/>
      <c r="BY122" s="257"/>
      <c r="BZ122" s="257"/>
      <c r="CA122" s="257"/>
      <c r="CB122" s="257"/>
      <c r="CC122" s="257"/>
      <c r="CD122" s="257"/>
      <c r="CE122" s="257"/>
      <c r="CF122" s="257"/>
      <c r="CG122" s="257"/>
      <c r="CH122" s="257"/>
      <c r="CI122" s="257"/>
      <c r="CJ122" s="257"/>
      <c r="CK122" s="257"/>
      <c r="CL122" s="257"/>
      <c r="CM122" s="257"/>
      <c r="CN122" s="257"/>
      <c r="CO122" s="257"/>
      <c r="CP122" s="257"/>
      <c r="CQ122" s="257"/>
      <c r="CR122" s="257"/>
      <c r="CS122" s="257"/>
      <c r="CT122" s="257"/>
      <c r="CU122" s="257"/>
      <c r="CV122" s="257"/>
      <c r="CW122" s="257"/>
      <c r="CX122" s="257"/>
      <c r="CY122" s="257"/>
      <c r="CZ122" s="257"/>
      <c r="DA122" s="257"/>
      <c r="DB122" s="257"/>
      <c r="DC122" s="257"/>
      <c r="DD122" s="257"/>
      <c r="DE122" s="257"/>
      <c r="DF122" s="257"/>
      <c r="DG122" s="257"/>
      <c r="DH122" s="257"/>
      <c r="DI122" s="257"/>
      <c r="DJ122" s="257"/>
      <c r="DK122" s="257"/>
      <c r="DL122" s="257"/>
      <c r="DM122" s="257"/>
      <c r="DN122" s="257"/>
      <c r="DO122" s="257"/>
      <c r="DP122" s="257"/>
      <c r="DQ122" s="257"/>
      <c r="DR122" s="257"/>
      <c r="DS122" s="257"/>
      <c r="DT122" s="257"/>
      <c r="DU122" s="257"/>
      <c r="DV122" s="257"/>
    </row>
    <row r="123" spans="1:126" ht="15" thickBot="1" x14ac:dyDescent="0.4">
      <c r="A123" s="848" t="s">
        <v>337</v>
      </c>
      <c r="B123" s="849" t="s">
        <v>337</v>
      </c>
      <c r="C123" s="267" t="s">
        <v>308</v>
      </c>
      <c r="D123" s="848">
        <v>20.7</v>
      </c>
      <c r="E123" s="267" t="s">
        <v>202</v>
      </c>
      <c r="F123" s="3669"/>
      <c r="G123" s="3670"/>
      <c r="H123" s="296">
        <v>75</v>
      </c>
      <c r="I123" s="882">
        <v>1555</v>
      </c>
      <c r="J123" s="3669"/>
      <c r="K123" s="3670"/>
      <c r="L123" s="307">
        <v>1555</v>
      </c>
      <c r="M123" s="3672"/>
      <c r="N123" s="270" t="s">
        <v>337</v>
      </c>
      <c r="O123" s="257"/>
      <c r="P123" s="257"/>
      <c r="Q123" s="257"/>
      <c r="R123" s="257"/>
      <c r="S123" s="257"/>
      <c r="T123" s="257"/>
      <c r="U123" s="257"/>
      <c r="V123" s="257"/>
      <c r="W123" s="257"/>
      <c r="X123" s="257"/>
      <c r="Y123" s="257"/>
      <c r="Z123" s="257"/>
      <c r="AA123" s="257"/>
      <c r="AB123" s="257"/>
      <c r="AC123" s="257"/>
      <c r="AD123" s="257"/>
      <c r="AE123" s="257"/>
      <c r="AF123" s="257"/>
      <c r="AG123" s="257"/>
      <c r="AH123" s="257"/>
      <c r="AI123" s="257"/>
      <c r="AJ123" s="257"/>
      <c r="AK123" s="257"/>
      <c r="AL123" s="257"/>
      <c r="AM123" s="257"/>
      <c r="AN123" s="257"/>
      <c r="AO123" s="257"/>
      <c r="AP123" s="257"/>
      <c r="AQ123" s="257"/>
      <c r="AR123" s="257"/>
      <c r="AS123" s="257"/>
      <c r="AT123" s="257"/>
      <c r="AU123" s="257"/>
      <c r="AV123" s="257"/>
      <c r="AW123" s="257"/>
      <c r="AX123" s="257"/>
      <c r="AY123" s="257"/>
      <c r="AZ123" s="257"/>
      <c r="BA123" s="257"/>
      <c r="BB123" s="257"/>
      <c r="BC123" s="257"/>
      <c r="BD123" s="257"/>
      <c r="BE123" s="257"/>
      <c r="BF123" s="257"/>
      <c r="BG123" s="257"/>
      <c r="BH123" s="257"/>
      <c r="BI123" s="257"/>
      <c r="BJ123" s="257"/>
      <c r="BK123" s="257"/>
      <c r="BL123" s="257"/>
      <c r="BM123" s="257"/>
      <c r="BN123" s="257"/>
      <c r="BO123" s="257"/>
      <c r="BP123" s="257"/>
      <c r="BQ123" s="257"/>
      <c r="BR123" s="257"/>
      <c r="BS123" s="257"/>
      <c r="BT123" s="257"/>
      <c r="BU123" s="257"/>
      <c r="BV123" s="257"/>
      <c r="BW123" s="257"/>
      <c r="BX123" s="257"/>
      <c r="BY123" s="257"/>
      <c r="BZ123" s="257"/>
      <c r="CA123" s="257"/>
      <c r="CB123" s="257"/>
      <c r="CC123" s="257"/>
      <c r="CD123" s="257"/>
      <c r="CE123" s="257"/>
      <c r="CF123" s="257"/>
      <c r="CG123" s="257"/>
      <c r="CH123" s="257"/>
      <c r="CI123" s="257"/>
      <c r="CJ123" s="257"/>
      <c r="CK123" s="257"/>
      <c r="CL123" s="257"/>
      <c r="CM123" s="257"/>
      <c r="CN123" s="257"/>
      <c r="CO123" s="257"/>
      <c r="CP123" s="257"/>
      <c r="CQ123" s="257"/>
      <c r="CR123" s="257"/>
      <c r="CS123" s="257"/>
      <c r="CT123" s="257"/>
      <c r="CU123" s="257"/>
      <c r="CV123" s="257"/>
      <c r="CW123" s="257"/>
      <c r="CX123" s="257"/>
      <c r="CY123" s="257"/>
      <c r="CZ123" s="257"/>
      <c r="DA123" s="257"/>
      <c r="DB123" s="257"/>
      <c r="DC123" s="257"/>
      <c r="DD123" s="257"/>
      <c r="DE123" s="257"/>
      <c r="DF123" s="257"/>
      <c r="DG123" s="257"/>
      <c r="DH123" s="257"/>
      <c r="DI123" s="257"/>
      <c r="DJ123" s="257"/>
      <c r="DK123" s="257"/>
      <c r="DL123" s="257"/>
      <c r="DM123" s="257"/>
      <c r="DN123" s="257"/>
      <c r="DO123" s="257"/>
      <c r="DP123" s="257"/>
      <c r="DQ123" s="257"/>
      <c r="DR123" s="257"/>
      <c r="DS123" s="257"/>
      <c r="DT123" s="257"/>
      <c r="DU123" s="257"/>
      <c r="DV123" s="257"/>
    </row>
    <row r="124" spans="1:126" ht="15" thickBot="1" x14ac:dyDescent="0.4">
      <c r="A124" s="3673" t="s">
        <v>337</v>
      </c>
      <c r="B124" s="3674"/>
      <c r="C124" s="894" t="s">
        <v>309</v>
      </c>
      <c r="D124" s="878" t="s">
        <v>337</v>
      </c>
      <c r="E124" s="881" t="s">
        <v>337</v>
      </c>
      <c r="F124" s="287" t="s">
        <v>337</v>
      </c>
      <c r="G124" s="287" t="s">
        <v>337</v>
      </c>
      <c r="H124" s="881" t="s">
        <v>337</v>
      </c>
      <c r="I124" s="881" t="s">
        <v>337</v>
      </c>
      <c r="J124" s="287" t="s">
        <v>337</v>
      </c>
      <c r="K124" s="287" t="s">
        <v>337</v>
      </c>
      <c r="L124" s="890" t="s">
        <v>358</v>
      </c>
      <c r="M124" s="879" t="s">
        <v>337</v>
      </c>
      <c r="N124" s="890" t="s">
        <v>337</v>
      </c>
      <c r="O124" s="257"/>
      <c r="P124" s="257"/>
      <c r="Q124" s="257"/>
      <c r="R124" s="257"/>
      <c r="S124" s="257"/>
      <c r="T124" s="257"/>
      <c r="U124" s="257"/>
      <c r="V124" s="257"/>
      <c r="W124" s="257"/>
      <c r="X124" s="257"/>
      <c r="Y124" s="257"/>
      <c r="Z124" s="257"/>
      <c r="AA124" s="257"/>
      <c r="AB124" s="257"/>
      <c r="AC124" s="257"/>
      <c r="AD124" s="257"/>
      <c r="AE124" s="257"/>
      <c r="AF124" s="257"/>
      <c r="AG124" s="257"/>
      <c r="AH124" s="257"/>
      <c r="AI124" s="257"/>
      <c r="AJ124" s="257"/>
      <c r="AK124" s="257"/>
      <c r="AL124" s="257"/>
      <c r="AM124" s="257"/>
      <c r="AN124" s="257"/>
      <c r="AO124" s="257"/>
      <c r="AP124" s="257"/>
      <c r="AQ124" s="257"/>
      <c r="AR124" s="257"/>
      <c r="AS124" s="257"/>
      <c r="AT124" s="257"/>
      <c r="AU124" s="257"/>
      <c r="AV124" s="257"/>
      <c r="AW124" s="257"/>
      <c r="AX124" s="257"/>
      <c r="AY124" s="257"/>
      <c r="AZ124" s="257"/>
      <c r="BA124" s="257"/>
      <c r="BB124" s="257"/>
      <c r="BC124" s="257"/>
      <c r="BD124" s="257"/>
      <c r="BE124" s="257"/>
      <c r="BF124" s="257"/>
      <c r="BG124" s="257"/>
      <c r="BH124" s="257"/>
      <c r="BI124" s="257"/>
      <c r="BJ124" s="257"/>
      <c r="BK124" s="257"/>
      <c r="BL124" s="257"/>
      <c r="BM124" s="257"/>
      <c r="BN124" s="257"/>
      <c r="BO124" s="257"/>
      <c r="BP124" s="257"/>
      <c r="BQ124" s="257"/>
      <c r="BR124" s="257"/>
      <c r="BS124" s="257"/>
      <c r="BT124" s="257"/>
      <c r="BU124" s="257"/>
      <c r="BV124" s="257"/>
      <c r="BW124" s="257"/>
      <c r="BX124" s="257"/>
      <c r="BY124" s="257"/>
      <c r="BZ124" s="257"/>
      <c r="CA124" s="257"/>
      <c r="CB124" s="257"/>
      <c r="CC124" s="257"/>
      <c r="CD124" s="257"/>
      <c r="CE124" s="257"/>
      <c r="CF124" s="257"/>
      <c r="CG124" s="257"/>
      <c r="CH124" s="257"/>
      <c r="CI124" s="257"/>
      <c r="CJ124" s="257"/>
      <c r="CK124" s="257"/>
      <c r="CL124" s="257"/>
      <c r="CM124" s="257"/>
      <c r="CN124" s="257"/>
      <c r="CO124" s="257"/>
      <c r="CP124" s="257"/>
      <c r="CQ124" s="257"/>
      <c r="CR124" s="257"/>
      <c r="CS124" s="257"/>
      <c r="CT124" s="257"/>
      <c r="CU124" s="257"/>
      <c r="CV124" s="257"/>
      <c r="CW124" s="257"/>
      <c r="CX124" s="257"/>
      <c r="CY124" s="257"/>
      <c r="CZ124" s="257"/>
      <c r="DA124" s="257"/>
      <c r="DB124" s="257"/>
      <c r="DC124" s="257"/>
      <c r="DD124" s="257"/>
      <c r="DE124" s="257"/>
      <c r="DF124" s="257"/>
      <c r="DG124" s="257"/>
      <c r="DH124" s="257"/>
      <c r="DI124" s="257"/>
      <c r="DJ124" s="257"/>
      <c r="DK124" s="257"/>
      <c r="DL124" s="257"/>
      <c r="DM124" s="257"/>
      <c r="DN124" s="257"/>
      <c r="DO124" s="257"/>
      <c r="DP124" s="257"/>
      <c r="DQ124" s="257"/>
      <c r="DR124" s="257"/>
      <c r="DS124" s="257"/>
      <c r="DT124" s="257"/>
      <c r="DU124" s="257"/>
      <c r="DV124" s="257"/>
    </row>
    <row r="125" spans="1:126" x14ac:dyDescent="0.35">
      <c r="A125" s="858" t="s">
        <v>337</v>
      </c>
      <c r="B125" s="891" t="s">
        <v>337</v>
      </c>
      <c r="C125" s="860" t="s">
        <v>310</v>
      </c>
      <c r="D125" s="887">
        <v>0</v>
      </c>
      <c r="E125" s="860" t="s">
        <v>215</v>
      </c>
      <c r="F125" s="3667" t="s">
        <v>337</v>
      </c>
      <c r="G125" s="3668"/>
      <c r="H125" s="3667" t="s">
        <v>337</v>
      </c>
      <c r="I125" s="3668"/>
      <c r="J125" s="858" t="s">
        <v>371</v>
      </c>
      <c r="K125" s="871" t="s">
        <v>366</v>
      </c>
      <c r="L125" s="872" t="s">
        <v>358</v>
      </c>
      <c r="M125" s="3671" t="s">
        <v>337</v>
      </c>
      <c r="N125" s="906" t="s">
        <v>382</v>
      </c>
      <c r="O125" s="257"/>
      <c r="P125" s="257"/>
      <c r="Q125" s="257"/>
      <c r="R125" s="257"/>
      <c r="S125" s="257"/>
      <c r="T125" s="257"/>
      <c r="U125" s="257"/>
      <c r="V125" s="257"/>
      <c r="W125" s="257"/>
      <c r="X125" s="257"/>
      <c r="Y125" s="257"/>
      <c r="Z125" s="257"/>
      <c r="AA125" s="257"/>
      <c r="AB125" s="257"/>
      <c r="AC125" s="257"/>
      <c r="AD125" s="257"/>
      <c r="AE125" s="257"/>
      <c r="AF125" s="257"/>
      <c r="AG125" s="257"/>
      <c r="AH125" s="257"/>
      <c r="AI125" s="257"/>
      <c r="AJ125" s="257"/>
      <c r="AK125" s="257"/>
      <c r="AL125" s="257"/>
      <c r="AM125" s="257"/>
      <c r="AN125" s="257"/>
      <c r="AO125" s="257"/>
      <c r="AP125" s="257"/>
      <c r="AQ125" s="257"/>
      <c r="AR125" s="257"/>
      <c r="AS125" s="257"/>
      <c r="AT125" s="257"/>
      <c r="AU125" s="257"/>
      <c r="AV125" s="257"/>
      <c r="AW125" s="257"/>
      <c r="AX125" s="257"/>
      <c r="AY125" s="257"/>
      <c r="AZ125" s="257"/>
      <c r="BA125" s="257"/>
      <c r="BB125" s="257"/>
      <c r="BC125" s="257"/>
      <c r="BD125" s="257"/>
      <c r="BE125" s="257"/>
      <c r="BF125" s="257"/>
      <c r="BG125" s="257"/>
      <c r="BH125" s="257"/>
      <c r="BI125" s="257"/>
      <c r="BJ125" s="257"/>
      <c r="BK125" s="257"/>
      <c r="BL125" s="257"/>
      <c r="BM125" s="257"/>
      <c r="BN125" s="257"/>
      <c r="BO125" s="257"/>
      <c r="BP125" s="257"/>
      <c r="BQ125" s="257"/>
      <c r="BR125" s="257"/>
      <c r="BS125" s="257"/>
      <c r="BT125" s="257"/>
      <c r="BU125" s="257"/>
      <c r="BV125" s="257"/>
      <c r="BW125" s="257"/>
      <c r="BX125" s="257"/>
      <c r="BY125" s="257"/>
      <c r="BZ125" s="257"/>
      <c r="CA125" s="257"/>
      <c r="CB125" s="257"/>
      <c r="CC125" s="257"/>
      <c r="CD125" s="257"/>
      <c r="CE125" s="257"/>
      <c r="CF125" s="257"/>
      <c r="CG125" s="257"/>
      <c r="CH125" s="257"/>
      <c r="CI125" s="257"/>
      <c r="CJ125" s="257"/>
      <c r="CK125" s="257"/>
      <c r="CL125" s="257"/>
      <c r="CM125" s="257"/>
      <c r="CN125" s="257"/>
      <c r="CO125" s="257"/>
      <c r="CP125" s="257"/>
      <c r="CQ125" s="257"/>
      <c r="CR125" s="257"/>
      <c r="CS125" s="257"/>
      <c r="CT125" s="257"/>
      <c r="CU125" s="257"/>
      <c r="CV125" s="257"/>
      <c r="CW125" s="257"/>
      <c r="CX125" s="257"/>
      <c r="CY125" s="257"/>
      <c r="CZ125" s="257"/>
      <c r="DA125" s="257"/>
      <c r="DB125" s="257"/>
      <c r="DC125" s="257"/>
      <c r="DD125" s="257"/>
      <c r="DE125" s="257"/>
      <c r="DF125" s="257"/>
      <c r="DG125" s="257"/>
      <c r="DH125" s="257"/>
      <c r="DI125" s="257"/>
      <c r="DJ125" s="257"/>
      <c r="DK125" s="257"/>
      <c r="DL125" s="257"/>
      <c r="DM125" s="257"/>
      <c r="DN125" s="257"/>
      <c r="DO125" s="257"/>
      <c r="DP125" s="257"/>
      <c r="DQ125" s="257"/>
      <c r="DR125" s="257"/>
      <c r="DS125" s="257"/>
      <c r="DT125" s="257"/>
      <c r="DU125" s="257"/>
      <c r="DV125" s="257"/>
    </row>
    <row r="126" spans="1:126" x14ac:dyDescent="0.35">
      <c r="A126" s="848" t="s">
        <v>337</v>
      </c>
      <c r="B126" s="849" t="s">
        <v>337</v>
      </c>
      <c r="C126" s="850" t="s">
        <v>312</v>
      </c>
      <c r="D126" s="912">
        <v>0</v>
      </c>
      <c r="E126" s="849" t="s">
        <v>199</v>
      </c>
      <c r="F126" s="3667"/>
      <c r="G126" s="3668"/>
      <c r="H126" s="3667"/>
      <c r="I126" s="3668"/>
      <c r="J126" s="848" t="s">
        <v>371</v>
      </c>
      <c r="K126" s="871" t="s">
        <v>366</v>
      </c>
      <c r="L126" s="872" t="s">
        <v>358</v>
      </c>
      <c r="M126" s="3671"/>
      <c r="N126" s="886" t="s">
        <v>382</v>
      </c>
      <c r="O126" s="257"/>
      <c r="P126" s="257"/>
      <c r="Q126" s="257"/>
      <c r="R126" s="257"/>
      <c r="S126" s="257"/>
      <c r="T126" s="257"/>
      <c r="U126" s="257"/>
      <c r="V126" s="257"/>
      <c r="W126" s="257"/>
      <c r="X126" s="257"/>
      <c r="Y126" s="257"/>
      <c r="Z126" s="257"/>
      <c r="AA126" s="257"/>
      <c r="AB126" s="257"/>
      <c r="AC126" s="257"/>
      <c r="AD126" s="257"/>
      <c r="AE126" s="257"/>
      <c r="AF126" s="257"/>
      <c r="AG126" s="257"/>
      <c r="AH126" s="257"/>
      <c r="AI126" s="257"/>
      <c r="AJ126" s="257"/>
      <c r="AK126" s="257"/>
      <c r="AL126" s="257"/>
      <c r="AM126" s="257"/>
      <c r="AN126" s="257"/>
      <c r="AO126" s="257"/>
      <c r="AP126" s="257"/>
      <c r="AQ126" s="257"/>
      <c r="AR126" s="257"/>
      <c r="AS126" s="257"/>
      <c r="AT126" s="257"/>
      <c r="AU126" s="257"/>
      <c r="AV126" s="257"/>
      <c r="AW126" s="257"/>
      <c r="AX126" s="257"/>
      <c r="AY126" s="257"/>
      <c r="AZ126" s="257"/>
      <c r="BA126" s="257"/>
      <c r="BB126" s="257"/>
      <c r="BC126" s="257"/>
      <c r="BD126" s="257"/>
      <c r="BE126" s="257"/>
      <c r="BF126" s="257"/>
      <c r="BG126" s="257"/>
      <c r="BH126" s="257"/>
      <c r="BI126" s="257"/>
      <c r="BJ126" s="257"/>
      <c r="BK126" s="257"/>
      <c r="BL126" s="257"/>
      <c r="BM126" s="257"/>
      <c r="BN126" s="257"/>
      <c r="BO126" s="257"/>
      <c r="BP126" s="257"/>
      <c r="BQ126" s="257"/>
      <c r="BR126" s="257"/>
      <c r="BS126" s="257"/>
      <c r="BT126" s="257"/>
      <c r="BU126" s="257"/>
      <c r="BV126" s="257"/>
      <c r="BW126" s="257"/>
      <c r="BX126" s="257"/>
      <c r="BY126" s="257"/>
      <c r="BZ126" s="257"/>
      <c r="CA126" s="257"/>
      <c r="CB126" s="257"/>
      <c r="CC126" s="257"/>
      <c r="CD126" s="257"/>
      <c r="CE126" s="257"/>
      <c r="CF126" s="257"/>
      <c r="CG126" s="257"/>
      <c r="CH126" s="257"/>
      <c r="CI126" s="257"/>
      <c r="CJ126" s="257"/>
      <c r="CK126" s="257"/>
      <c r="CL126" s="257"/>
      <c r="CM126" s="257"/>
      <c r="CN126" s="257"/>
      <c r="CO126" s="257"/>
      <c r="CP126" s="257"/>
      <c r="CQ126" s="257"/>
      <c r="CR126" s="257"/>
      <c r="CS126" s="257"/>
      <c r="CT126" s="257"/>
      <c r="CU126" s="257"/>
      <c r="CV126" s="257"/>
      <c r="CW126" s="257"/>
      <c r="CX126" s="257"/>
      <c r="CY126" s="257"/>
      <c r="CZ126" s="257"/>
      <c r="DA126" s="257"/>
      <c r="DB126" s="257"/>
      <c r="DC126" s="257"/>
      <c r="DD126" s="257"/>
      <c r="DE126" s="257"/>
      <c r="DF126" s="257"/>
      <c r="DG126" s="257"/>
      <c r="DH126" s="257"/>
      <c r="DI126" s="257"/>
      <c r="DJ126" s="257"/>
      <c r="DK126" s="257"/>
      <c r="DL126" s="257"/>
      <c r="DM126" s="257"/>
      <c r="DN126" s="257"/>
      <c r="DO126" s="257"/>
      <c r="DP126" s="257"/>
      <c r="DQ126" s="257"/>
      <c r="DR126" s="257"/>
      <c r="DS126" s="257"/>
      <c r="DT126" s="257"/>
      <c r="DU126" s="257"/>
      <c r="DV126" s="257"/>
    </row>
    <row r="127" spans="1:126" ht="15" thickBot="1" x14ac:dyDescent="0.4">
      <c r="A127" s="848" t="s">
        <v>337</v>
      </c>
      <c r="B127" s="849" t="s">
        <v>337</v>
      </c>
      <c r="C127" s="267" t="s">
        <v>313</v>
      </c>
      <c r="D127" s="308">
        <v>0</v>
      </c>
      <c r="E127" s="272" t="s">
        <v>215</v>
      </c>
      <c r="F127" s="3669"/>
      <c r="G127" s="3670"/>
      <c r="H127" s="3669"/>
      <c r="I127" s="3670"/>
      <c r="J127" s="295" t="s">
        <v>371</v>
      </c>
      <c r="K127" s="884" t="s">
        <v>366</v>
      </c>
      <c r="L127" s="302" t="s">
        <v>358</v>
      </c>
      <c r="M127" s="3672"/>
      <c r="N127" s="886" t="s">
        <v>382</v>
      </c>
      <c r="O127" s="257"/>
      <c r="P127" s="257"/>
      <c r="Q127" s="257"/>
      <c r="R127" s="257"/>
      <c r="S127" s="257"/>
      <c r="T127" s="257"/>
      <c r="U127" s="257"/>
      <c r="V127" s="257"/>
      <c r="W127" s="257"/>
      <c r="X127" s="257"/>
      <c r="Y127" s="257"/>
      <c r="Z127" s="257"/>
      <c r="AA127" s="257"/>
      <c r="AB127" s="257"/>
      <c r="AC127" s="257"/>
      <c r="AD127" s="257"/>
      <c r="AE127" s="257"/>
      <c r="AF127" s="257"/>
      <c r="AG127" s="257"/>
      <c r="AH127" s="257"/>
      <c r="AI127" s="257"/>
      <c r="AJ127" s="257"/>
      <c r="AK127" s="257"/>
      <c r="AL127" s="257"/>
      <c r="AM127" s="257"/>
      <c r="AN127" s="257"/>
      <c r="AO127" s="257"/>
      <c r="AP127" s="257"/>
      <c r="AQ127" s="257"/>
      <c r="AR127" s="257"/>
      <c r="AS127" s="257"/>
      <c r="AT127" s="257"/>
      <c r="AU127" s="257"/>
      <c r="AV127" s="257"/>
      <c r="AW127" s="257"/>
      <c r="AX127" s="257"/>
      <c r="AY127" s="257"/>
      <c r="AZ127" s="257"/>
      <c r="BA127" s="257"/>
      <c r="BB127" s="257"/>
      <c r="BC127" s="257"/>
      <c r="BD127" s="257"/>
      <c r="BE127" s="257"/>
      <c r="BF127" s="257"/>
      <c r="BG127" s="257"/>
      <c r="BH127" s="257"/>
      <c r="BI127" s="257"/>
      <c r="BJ127" s="257"/>
      <c r="BK127" s="257"/>
      <c r="BL127" s="257"/>
      <c r="BM127" s="257"/>
      <c r="BN127" s="257"/>
      <c r="BO127" s="257"/>
      <c r="BP127" s="257"/>
      <c r="BQ127" s="257"/>
      <c r="BR127" s="257"/>
      <c r="BS127" s="257"/>
      <c r="BT127" s="257"/>
      <c r="BU127" s="257"/>
      <c r="BV127" s="257"/>
      <c r="BW127" s="257"/>
      <c r="BX127" s="257"/>
      <c r="BY127" s="257"/>
      <c r="BZ127" s="257"/>
      <c r="CA127" s="257"/>
      <c r="CB127" s="257"/>
      <c r="CC127" s="257"/>
      <c r="CD127" s="257"/>
      <c r="CE127" s="257"/>
      <c r="CF127" s="257"/>
      <c r="CG127" s="257"/>
      <c r="CH127" s="257"/>
      <c r="CI127" s="257"/>
      <c r="CJ127" s="257"/>
      <c r="CK127" s="257"/>
      <c r="CL127" s="257"/>
      <c r="CM127" s="257"/>
      <c r="CN127" s="257"/>
      <c r="CO127" s="257"/>
      <c r="CP127" s="257"/>
      <c r="CQ127" s="257"/>
      <c r="CR127" s="257"/>
      <c r="CS127" s="257"/>
      <c r="CT127" s="257"/>
      <c r="CU127" s="257"/>
      <c r="CV127" s="257"/>
      <c r="CW127" s="257"/>
      <c r="CX127" s="257"/>
      <c r="CY127" s="257"/>
      <c r="CZ127" s="257"/>
      <c r="DA127" s="257"/>
      <c r="DB127" s="257"/>
      <c r="DC127" s="257"/>
      <c r="DD127" s="257"/>
      <c r="DE127" s="257"/>
      <c r="DF127" s="257"/>
      <c r="DG127" s="257"/>
      <c r="DH127" s="257"/>
      <c r="DI127" s="257"/>
      <c r="DJ127" s="257"/>
      <c r="DK127" s="257"/>
      <c r="DL127" s="257"/>
      <c r="DM127" s="257"/>
      <c r="DN127" s="257"/>
      <c r="DO127" s="257"/>
      <c r="DP127" s="257"/>
      <c r="DQ127" s="257"/>
      <c r="DR127" s="257"/>
      <c r="DS127" s="257"/>
      <c r="DT127" s="257"/>
      <c r="DU127" s="257"/>
      <c r="DV127" s="257"/>
    </row>
    <row r="128" spans="1:126" ht="15" thickBot="1" x14ac:dyDescent="0.4">
      <c r="A128" s="3673" t="s">
        <v>337</v>
      </c>
      <c r="B128" s="3674"/>
      <c r="C128" s="894" t="s">
        <v>314</v>
      </c>
      <c r="D128" s="878" t="s">
        <v>337</v>
      </c>
      <c r="E128" s="881" t="s">
        <v>337</v>
      </c>
      <c r="F128" s="287" t="s">
        <v>337</v>
      </c>
      <c r="G128" s="287" t="s">
        <v>337</v>
      </c>
      <c r="H128" s="287" t="s">
        <v>337</v>
      </c>
      <c r="I128" s="287" t="s">
        <v>337</v>
      </c>
      <c r="J128" s="881" t="s">
        <v>337</v>
      </c>
      <c r="K128" s="881" t="s">
        <v>337</v>
      </c>
      <c r="L128" s="890" t="s">
        <v>358</v>
      </c>
      <c r="M128" s="879" t="s">
        <v>337</v>
      </c>
      <c r="N128" s="890" t="s">
        <v>337</v>
      </c>
      <c r="O128" s="257"/>
      <c r="P128" s="257"/>
      <c r="Q128" s="257"/>
      <c r="R128" s="257"/>
      <c r="S128" s="257"/>
      <c r="T128" s="257"/>
      <c r="U128" s="257"/>
      <c r="V128" s="257"/>
      <c r="W128" s="257"/>
      <c r="X128" s="257"/>
      <c r="Y128" s="257"/>
      <c r="Z128" s="257"/>
      <c r="AA128" s="257"/>
      <c r="AB128" s="257"/>
      <c r="AC128" s="257"/>
      <c r="AD128" s="257"/>
      <c r="AE128" s="257"/>
      <c r="AF128" s="257"/>
      <c r="AG128" s="257"/>
      <c r="AH128" s="257"/>
      <c r="AI128" s="257"/>
      <c r="AJ128" s="257"/>
      <c r="AK128" s="257"/>
      <c r="AL128" s="257"/>
      <c r="AM128" s="257"/>
      <c r="AN128" s="257"/>
      <c r="AO128" s="257"/>
      <c r="AP128" s="257"/>
      <c r="AQ128" s="257"/>
      <c r="AR128" s="257"/>
      <c r="AS128" s="257"/>
      <c r="AT128" s="257"/>
      <c r="AU128" s="257"/>
      <c r="AV128" s="257"/>
      <c r="AW128" s="257"/>
      <c r="AX128" s="257"/>
      <c r="AY128" s="257"/>
      <c r="AZ128" s="257"/>
      <c r="BA128" s="257"/>
      <c r="BB128" s="257"/>
      <c r="BC128" s="257"/>
      <c r="BD128" s="257"/>
      <c r="BE128" s="257"/>
      <c r="BF128" s="257"/>
      <c r="BG128" s="257"/>
      <c r="BH128" s="257"/>
      <c r="BI128" s="257"/>
      <c r="BJ128" s="257"/>
      <c r="BK128" s="257"/>
      <c r="BL128" s="257"/>
      <c r="BM128" s="257"/>
      <c r="BN128" s="257"/>
      <c r="BO128" s="257"/>
      <c r="BP128" s="257"/>
      <c r="BQ128" s="257"/>
      <c r="BR128" s="257"/>
      <c r="BS128" s="257"/>
      <c r="BT128" s="257"/>
      <c r="BU128" s="257"/>
      <c r="BV128" s="257"/>
      <c r="BW128" s="257"/>
      <c r="BX128" s="257"/>
      <c r="BY128" s="257"/>
      <c r="BZ128" s="257"/>
      <c r="CA128" s="257"/>
      <c r="CB128" s="257"/>
      <c r="CC128" s="257"/>
      <c r="CD128" s="257"/>
      <c r="CE128" s="257"/>
      <c r="CF128" s="257"/>
      <c r="CG128" s="257"/>
      <c r="CH128" s="257"/>
      <c r="CI128" s="257"/>
      <c r="CJ128" s="257"/>
      <c r="CK128" s="257"/>
      <c r="CL128" s="257"/>
      <c r="CM128" s="257"/>
      <c r="CN128" s="257"/>
      <c r="CO128" s="257"/>
      <c r="CP128" s="257"/>
      <c r="CQ128" s="257"/>
      <c r="CR128" s="257"/>
      <c r="CS128" s="257"/>
      <c r="CT128" s="257"/>
      <c r="CU128" s="257"/>
      <c r="CV128" s="257"/>
      <c r="CW128" s="257"/>
      <c r="CX128" s="257"/>
      <c r="CY128" s="257"/>
      <c r="CZ128" s="257"/>
      <c r="DA128" s="257"/>
      <c r="DB128" s="257"/>
      <c r="DC128" s="257"/>
      <c r="DD128" s="257"/>
      <c r="DE128" s="257"/>
      <c r="DF128" s="257"/>
      <c r="DG128" s="257"/>
      <c r="DH128" s="257"/>
      <c r="DI128" s="257"/>
      <c r="DJ128" s="257"/>
      <c r="DK128" s="257"/>
      <c r="DL128" s="257"/>
      <c r="DM128" s="257"/>
      <c r="DN128" s="257"/>
      <c r="DO128" s="257"/>
      <c r="DP128" s="257"/>
      <c r="DQ128" s="257"/>
      <c r="DR128" s="257"/>
      <c r="DS128" s="257"/>
      <c r="DT128" s="257"/>
      <c r="DU128" s="257"/>
      <c r="DV128" s="257"/>
    </row>
    <row r="129" spans="1:126" x14ac:dyDescent="0.35">
      <c r="A129" s="848" t="s">
        <v>337</v>
      </c>
      <c r="B129" s="849" t="s">
        <v>337</v>
      </c>
      <c r="C129" s="850" t="s">
        <v>315</v>
      </c>
      <c r="D129" s="913">
        <v>0</v>
      </c>
      <c r="E129" s="849" t="s">
        <v>215</v>
      </c>
      <c r="F129" s="3665" t="s">
        <v>337</v>
      </c>
      <c r="G129" s="3666"/>
      <c r="H129" s="3665" t="s">
        <v>337</v>
      </c>
      <c r="I129" s="3666"/>
      <c r="J129" s="848" t="s">
        <v>371</v>
      </c>
      <c r="K129" s="871" t="s">
        <v>366</v>
      </c>
      <c r="L129" s="872" t="s">
        <v>358</v>
      </c>
      <c r="M129" s="3671" t="s">
        <v>337</v>
      </c>
      <c r="N129" s="886" t="s">
        <v>382</v>
      </c>
      <c r="O129" s="257"/>
      <c r="P129" s="257"/>
      <c r="Q129" s="257"/>
      <c r="R129" s="257"/>
      <c r="S129" s="257"/>
      <c r="T129" s="257"/>
      <c r="U129" s="257"/>
      <c r="V129" s="257"/>
      <c r="W129" s="257"/>
      <c r="X129" s="257"/>
      <c r="Y129" s="257"/>
      <c r="Z129" s="257"/>
      <c r="AA129" s="257"/>
      <c r="AB129" s="257"/>
      <c r="AC129" s="257"/>
      <c r="AD129" s="257"/>
      <c r="AE129" s="257"/>
      <c r="AF129" s="257"/>
      <c r="AG129" s="257"/>
      <c r="AH129" s="257"/>
      <c r="AI129" s="257"/>
      <c r="AJ129" s="257"/>
      <c r="AK129" s="257"/>
      <c r="AL129" s="257"/>
      <c r="AM129" s="257"/>
      <c r="AN129" s="257"/>
      <c r="AO129" s="257"/>
      <c r="AP129" s="257"/>
      <c r="AQ129" s="257"/>
      <c r="AR129" s="257"/>
      <c r="AS129" s="257"/>
      <c r="AT129" s="257"/>
      <c r="AU129" s="257"/>
      <c r="AV129" s="257"/>
      <c r="AW129" s="257"/>
      <c r="AX129" s="257"/>
      <c r="AY129" s="257"/>
      <c r="AZ129" s="257"/>
      <c r="BA129" s="257"/>
      <c r="BB129" s="257"/>
      <c r="BC129" s="257"/>
      <c r="BD129" s="257"/>
      <c r="BE129" s="257"/>
      <c r="BF129" s="257"/>
      <c r="BG129" s="257"/>
      <c r="BH129" s="257"/>
      <c r="BI129" s="257"/>
      <c r="BJ129" s="257"/>
      <c r="BK129" s="257"/>
      <c r="BL129" s="257"/>
      <c r="BM129" s="257"/>
      <c r="BN129" s="257"/>
      <c r="BO129" s="257"/>
      <c r="BP129" s="257"/>
      <c r="BQ129" s="257"/>
      <c r="BR129" s="257"/>
      <c r="BS129" s="257"/>
      <c r="BT129" s="257"/>
      <c r="BU129" s="257"/>
      <c r="BV129" s="257"/>
      <c r="BW129" s="257"/>
      <c r="BX129" s="257"/>
      <c r="BY129" s="257"/>
      <c r="BZ129" s="257"/>
      <c r="CA129" s="257"/>
      <c r="CB129" s="257"/>
      <c r="CC129" s="257"/>
      <c r="CD129" s="257"/>
      <c r="CE129" s="257"/>
      <c r="CF129" s="257"/>
      <c r="CG129" s="257"/>
      <c r="CH129" s="257"/>
      <c r="CI129" s="257"/>
      <c r="CJ129" s="257"/>
      <c r="CK129" s="257"/>
      <c r="CL129" s="257"/>
      <c r="CM129" s="257"/>
      <c r="CN129" s="257"/>
      <c r="CO129" s="257"/>
      <c r="CP129" s="257"/>
      <c r="CQ129" s="257"/>
      <c r="CR129" s="257"/>
      <c r="CS129" s="257"/>
      <c r="CT129" s="257"/>
      <c r="CU129" s="257"/>
      <c r="CV129" s="257"/>
      <c r="CW129" s="257"/>
      <c r="CX129" s="257"/>
      <c r="CY129" s="257"/>
      <c r="CZ129" s="257"/>
      <c r="DA129" s="257"/>
      <c r="DB129" s="257"/>
      <c r="DC129" s="257"/>
      <c r="DD129" s="257"/>
      <c r="DE129" s="257"/>
      <c r="DF129" s="257"/>
      <c r="DG129" s="257"/>
      <c r="DH129" s="257"/>
      <c r="DI129" s="257"/>
      <c r="DJ129" s="257"/>
      <c r="DK129" s="257"/>
      <c r="DL129" s="257"/>
      <c r="DM129" s="257"/>
      <c r="DN129" s="257"/>
      <c r="DO129" s="257"/>
      <c r="DP129" s="257"/>
      <c r="DQ129" s="257"/>
      <c r="DR129" s="257"/>
      <c r="DS129" s="257"/>
      <c r="DT129" s="257"/>
      <c r="DU129" s="257"/>
      <c r="DV129" s="257"/>
    </row>
    <row r="130" spans="1:126" x14ac:dyDescent="0.35">
      <c r="A130" s="848" t="s">
        <v>337</v>
      </c>
      <c r="B130" s="849" t="s">
        <v>337</v>
      </c>
      <c r="C130" s="850" t="s">
        <v>316</v>
      </c>
      <c r="D130" s="887">
        <v>0</v>
      </c>
      <c r="E130" s="850" t="s">
        <v>215</v>
      </c>
      <c r="F130" s="3667"/>
      <c r="G130" s="3668"/>
      <c r="H130" s="3667"/>
      <c r="I130" s="3668"/>
      <c r="J130" s="848" t="s">
        <v>371</v>
      </c>
      <c r="K130" s="871" t="s">
        <v>366</v>
      </c>
      <c r="L130" s="872" t="s">
        <v>358</v>
      </c>
      <c r="M130" s="3671"/>
      <c r="N130" s="886" t="s">
        <v>382</v>
      </c>
      <c r="O130" s="257"/>
      <c r="P130" s="257"/>
      <c r="Q130" s="257"/>
      <c r="R130" s="257"/>
      <c r="S130" s="257"/>
      <c r="T130" s="257"/>
      <c r="U130" s="257"/>
      <c r="V130" s="257"/>
      <c r="W130" s="257"/>
      <c r="X130" s="257"/>
      <c r="Y130" s="257"/>
      <c r="Z130" s="257"/>
      <c r="AA130" s="257"/>
      <c r="AB130" s="257"/>
      <c r="AC130" s="257"/>
      <c r="AD130" s="257"/>
      <c r="AE130" s="257"/>
      <c r="AF130" s="257"/>
      <c r="AG130" s="257"/>
      <c r="AH130" s="257"/>
      <c r="AI130" s="257"/>
      <c r="AJ130" s="257"/>
      <c r="AK130" s="257"/>
      <c r="AL130" s="257"/>
      <c r="AM130" s="257"/>
      <c r="AN130" s="257"/>
      <c r="AO130" s="257"/>
      <c r="AP130" s="257"/>
      <c r="AQ130" s="257"/>
      <c r="AR130" s="257"/>
      <c r="AS130" s="257"/>
      <c r="AT130" s="257"/>
      <c r="AU130" s="257"/>
      <c r="AV130" s="257"/>
      <c r="AW130" s="257"/>
      <c r="AX130" s="257"/>
      <c r="AY130" s="257"/>
      <c r="AZ130" s="257"/>
      <c r="BA130" s="257"/>
      <c r="BB130" s="257"/>
      <c r="BC130" s="257"/>
      <c r="BD130" s="257"/>
      <c r="BE130" s="257"/>
      <c r="BF130" s="257"/>
      <c r="BG130" s="257"/>
      <c r="BH130" s="257"/>
      <c r="BI130" s="257"/>
      <c r="BJ130" s="257"/>
      <c r="BK130" s="257"/>
      <c r="BL130" s="257"/>
      <c r="BM130" s="257"/>
      <c r="BN130" s="257"/>
      <c r="BO130" s="257"/>
      <c r="BP130" s="257"/>
      <c r="BQ130" s="257"/>
      <c r="BR130" s="257"/>
      <c r="BS130" s="257"/>
      <c r="BT130" s="257"/>
      <c r="BU130" s="257"/>
      <c r="BV130" s="257"/>
      <c r="BW130" s="257"/>
      <c r="BX130" s="257"/>
      <c r="BY130" s="257"/>
      <c r="BZ130" s="257"/>
      <c r="CA130" s="257"/>
      <c r="CB130" s="257"/>
      <c r="CC130" s="257"/>
      <c r="CD130" s="257"/>
      <c r="CE130" s="257"/>
      <c r="CF130" s="257"/>
      <c r="CG130" s="257"/>
      <c r="CH130" s="257"/>
      <c r="CI130" s="257"/>
      <c r="CJ130" s="257"/>
      <c r="CK130" s="257"/>
      <c r="CL130" s="257"/>
      <c r="CM130" s="257"/>
      <c r="CN130" s="257"/>
      <c r="CO130" s="257"/>
      <c r="CP130" s="257"/>
      <c r="CQ130" s="257"/>
      <c r="CR130" s="257"/>
      <c r="CS130" s="257"/>
      <c r="CT130" s="257"/>
      <c r="CU130" s="257"/>
      <c r="CV130" s="257"/>
      <c r="CW130" s="257"/>
      <c r="CX130" s="257"/>
      <c r="CY130" s="257"/>
      <c r="CZ130" s="257"/>
      <c r="DA130" s="257"/>
      <c r="DB130" s="257"/>
      <c r="DC130" s="257"/>
      <c r="DD130" s="257"/>
      <c r="DE130" s="257"/>
      <c r="DF130" s="257"/>
      <c r="DG130" s="257"/>
      <c r="DH130" s="257"/>
      <c r="DI130" s="257"/>
      <c r="DJ130" s="257"/>
      <c r="DK130" s="257"/>
      <c r="DL130" s="257"/>
      <c r="DM130" s="257"/>
      <c r="DN130" s="257"/>
      <c r="DO130" s="257"/>
      <c r="DP130" s="257"/>
      <c r="DQ130" s="257"/>
      <c r="DR130" s="257"/>
      <c r="DS130" s="257"/>
      <c r="DT130" s="257"/>
      <c r="DU130" s="257"/>
      <c r="DV130" s="257"/>
    </row>
    <row r="131" spans="1:126" x14ac:dyDescent="0.35">
      <c r="A131" s="848" t="s">
        <v>337</v>
      </c>
      <c r="B131" s="849" t="s">
        <v>337</v>
      </c>
      <c r="C131" s="850" t="s">
        <v>317</v>
      </c>
      <c r="D131" s="887">
        <v>0</v>
      </c>
      <c r="E131" s="850" t="s">
        <v>199</v>
      </c>
      <c r="F131" s="3667"/>
      <c r="G131" s="3668"/>
      <c r="H131" s="3667"/>
      <c r="I131" s="3668"/>
      <c r="J131" s="268" t="s">
        <v>371</v>
      </c>
      <c r="K131" s="871" t="s">
        <v>366</v>
      </c>
      <c r="L131" s="872" t="s">
        <v>358</v>
      </c>
      <c r="M131" s="3671"/>
      <c r="N131" s="886" t="s">
        <v>382</v>
      </c>
      <c r="O131" s="257"/>
      <c r="P131" s="257"/>
      <c r="Q131" s="257"/>
      <c r="R131" s="257"/>
      <c r="S131" s="257"/>
      <c r="T131" s="257"/>
      <c r="U131" s="257"/>
      <c r="V131" s="257"/>
      <c r="W131" s="257"/>
      <c r="X131" s="257"/>
      <c r="Y131" s="257"/>
      <c r="Z131" s="257"/>
      <c r="AA131" s="257"/>
      <c r="AB131" s="257"/>
      <c r="AC131" s="257"/>
      <c r="AD131" s="257"/>
      <c r="AE131" s="257"/>
      <c r="AF131" s="257"/>
      <c r="AG131" s="257"/>
      <c r="AH131" s="257"/>
      <c r="AI131" s="257"/>
      <c r="AJ131" s="257"/>
      <c r="AK131" s="257"/>
      <c r="AL131" s="257"/>
      <c r="AM131" s="257"/>
      <c r="AN131" s="257"/>
      <c r="AO131" s="257"/>
      <c r="AP131" s="257"/>
      <c r="AQ131" s="257"/>
      <c r="AR131" s="257"/>
      <c r="AS131" s="257"/>
      <c r="AT131" s="257"/>
      <c r="AU131" s="257"/>
      <c r="AV131" s="257"/>
      <c r="AW131" s="257"/>
      <c r="AX131" s="257"/>
      <c r="AY131" s="257"/>
      <c r="AZ131" s="257"/>
      <c r="BA131" s="257"/>
      <c r="BB131" s="257"/>
      <c r="BC131" s="257"/>
      <c r="BD131" s="257"/>
      <c r="BE131" s="257"/>
      <c r="BF131" s="257"/>
      <c r="BG131" s="257"/>
      <c r="BH131" s="257"/>
      <c r="BI131" s="257"/>
      <c r="BJ131" s="257"/>
      <c r="BK131" s="257"/>
      <c r="BL131" s="257"/>
      <c r="BM131" s="257"/>
      <c r="BN131" s="257"/>
      <c r="BO131" s="257"/>
      <c r="BP131" s="257"/>
      <c r="BQ131" s="257"/>
      <c r="BR131" s="257"/>
      <c r="BS131" s="257"/>
      <c r="BT131" s="257"/>
      <c r="BU131" s="257"/>
      <c r="BV131" s="257"/>
      <c r="BW131" s="257"/>
      <c r="BX131" s="257"/>
      <c r="BY131" s="257"/>
      <c r="BZ131" s="257"/>
      <c r="CA131" s="257"/>
      <c r="CB131" s="257"/>
      <c r="CC131" s="257"/>
      <c r="CD131" s="257"/>
      <c r="CE131" s="257"/>
      <c r="CF131" s="257"/>
      <c r="CG131" s="257"/>
      <c r="CH131" s="257"/>
      <c r="CI131" s="257"/>
      <c r="CJ131" s="257"/>
      <c r="CK131" s="257"/>
      <c r="CL131" s="257"/>
      <c r="CM131" s="257"/>
      <c r="CN131" s="257"/>
      <c r="CO131" s="257"/>
      <c r="CP131" s="257"/>
      <c r="CQ131" s="257"/>
      <c r="CR131" s="257"/>
      <c r="CS131" s="257"/>
      <c r="CT131" s="257"/>
      <c r="CU131" s="257"/>
      <c r="CV131" s="257"/>
      <c r="CW131" s="257"/>
      <c r="CX131" s="257"/>
      <c r="CY131" s="257"/>
      <c r="CZ131" s="257"/>
      <c r="DA131" s="257"/>
      <c r="DB131" s="257"/>
      <c r="DC131" s="257"/>
      <c r="DD131" s="257"/>
      <c r="DE131" s="257"/>
      <c r="DF131" s="257"/>
      <c r="DG131" s="257"/>
      <c r="DH131" s="257"/>
      <c r="DI131" s="257"/>
      <c r="DJ131" s="257"/>
      <c r="DK131" s="257"/>
      <c r="DL131" s="257"/>
      <c r="DM131" s="257"/>
      <c r="DN131" s="257"/>
      <c r="DO131" s="257"/>
      <c r="DP131" s="257"/>
      <c r="DQ131" s="257"/>
      <c r="DR131" s="257"/>
      <c r="DS131" s="257"/>
      <c r="DT131" s="257"/>
      <c r="DU131" s="257"/>
      <c r="DV131" s="257"/>
    </row>
    <row r="132" spans="1:126" ht="15" thickBot="1" x14ac:dyDescent="0.4">
      <c r="A132" s="278" t="s">
        <v>337</v>
      </c>
      <c r="B132" s="300" t="s">
        <v>337</v>
      </c>
      <c r="C132" s="291" t="s">
        <v>318</v>
      </c>
      <c r="D132" s="290">
        <v>0</v>
      </c>
      <c r="E132" s="291" t="s">
        <v>215</v>
      </c>
      <c r="F132" s="3669"/>
      <c r="G132" s="3670"/>
      <c r="H132" s="3669"/>
      <c r="I132" s="3670"/>
      <c r="J132" s="875" t="s">
        <v>371</v>
      </c>
      <c r="K132" s="281" t="s">
        <v>366</v>
      </c>
      <c r="L132" s="273" t="s">
        <v>358</v>
      </c>
      <c r="M132" s="3672"/>
      <c r="N132" s="309" t="s">
        <v>382</v>
      </c>
      <c r="O132" s="257"/>
      <c r="P132" s="257"/>
      <c r="Q132" s="257"/>
      <c r="R132" s="257"/>
      <c r="S132" s="257"/>
      <c r="T132" s="257"/>
      <c r="U132" s="257"/>
      <c r="V132" s="257"/>
      <c r="W132" s="257"/>
      <c r="X132" s="257"/>
      <c r="Y132" s="257"/>
      <c r="Z132" s="257"/>
      <c r="AA132" s="257"/>
      <c r="AB132" s="257"/>
      <c r="AC132" s="257"/>
      <c r="AD132" s="257"/>
      <c r="AE132" s="257"/>
      <c r="AF132" s="257"/>
      <c r="AG132" s="257"/>
      <c r="AH132" s="257"/>
      <c r="AI132" s="257"/>
      <c r="AJ132" s="257"/>
      <c r="AK132" s="257"/>
      <c r="AL132" s="257"/>
      <c r="AM132" s="257"/>
      <c r="AN132" s="257"/>
      <c r="AO132" s="257"/>
      <c r="AP132" s="257"/>
      <c r="AQ132" s="257"/>
      <c r="AR132" s="257"/>
      <c r="AS132" s="257"/>
      <c r="AT132" s="257"/>
      <c r="AU132" s="257"/>
      <c r="AV132" s="257"/>
      <c r="AW132" s="257"/>
      <c r="AX132" s="257"/>
      <c r="AY132" s="257"/>
      <c r="AZ132" s="257"/>
      <c r="BA132" s="257"/>
      <c r="BB132" s="257"/>
      <c r="BC132" s="257"/>
      <c r="BD132" s="257"/>
      <c r="BE132" s="257"/>
      <c r="BF132" s="257"/>
      <c r="BG132" s="257"/>
      <c r="BH132" s="257"/>
      <c r="BI132" s="257"/>
      <c r="BJ132" s="257"/>
      <c r="BK132" s="257"/>
      <c r="BL132" s="257"/>
      <c r="BM132" s="257"/>
      <c r="BN132" s="257"/>
      <c r="BO132" s="257"/>
      <c r="BP132" s="257"/>
      <c r="BQ132" s="257"/>
      <c r="BR132" s="257"/>
      <c r="BS132" s="257"/>
      <c r="BT132" s="257"/>
      <c r="BU132" s="257"/>
      <c r="BV132" s="257"/>
      <c r="BW132" s="257"/>
      <c r="BX132" s="257"/>
      <c r="BY132" s="257"/>
      <c r="BZ132" s="257"/>
      <c r="CA132" s="257"/>
      <c r="CB132" s="257"/>
      <c r="CC132" s="257"/>
      <c r="CD132" s="257"/>
      <c r="CE132" s="257"/>
      <c r="CF132" s="257"/>
      <c r="CG132" s="257"/>
      <c r="CH132" s="257"/>
      <c r="CI132" s="257"/>
      <c r="CJ132" s="257"/>
      <c r="CK132" s="257"/>
      <c r="CL132" s="257"/>
      <c r="CM132" s="257"/>
      <c r="CN132" s="257"/>
      <c r="CO132" s="257"/>
      <c r="CP132" s="257"/>
      <c r="CQ132" s="257"/>
      <c r="CR132" s="257"/>
      <c r="CS132" s="257"/>
      <c r="CT132" s="257"/>
      <c r="CU132" s="257"/>
      <c r="CV132" s="257"/>
      <c r="CW132" s="257"/>
      <c r="CX132" s="257"/>
      <c r="CY132" s="257"/>
      <c r="CZ132" s="257"/>
      <c r="DA132" s="257"/>
      <c r="DB132" s="257"/>
      <c r="DC132" s="257"/>
      <c r="DD132" s="257"/>
      <c r="DE132" s="257"/>
      <c r="DF132" s="257"/>
      <c r="DG132" s="257"/>
      <c r="DH132" s="257"/>
      <c r="DI132" s="257"/>
      <c r="DJ132" s="257"/>
      <c r="DK132" s="257"/>
      <c r="DL132" s="257"/>
      <c r="DM132" s="257"/>
      <c r="DN132" s="257"/>
      <c r="DO132" s="257"/>
      <c r="DP132" s="257"/>
      <c r="DQ132" s="257"/>
      <c r="DR132" s="257"/>
      <c r="DS132" s="257"/>
      <c r="DT132" s="257"/>
      <c r="DU132" s="257"/>
      <c r="DV132" s="257"/>
    </row>
    <row r="133" spans="1:126" ht="15" thickBot="1" x14ac:dyDescent="0.4">
      <c r="A133" s="3673" t="s">
        <v>337</v>
      </c>
      <c r="B133" s="3674"/>
      <c r="C133" s="366" t="s">
        <v>319</v>
      </c>
      <c r="D133" s="286" t="s">
        <v>337</v>
      </c>
      <c r="E133" s="287" t="s">
        <v>337</v>
      </c>
      <c r="F133" s="287" t="s">
        <v>337</v>
      </c>
      <c r="G133" s="287" t="s">
        <v>337</v>
      </c>
      <c r="H133" s="287" t="s">
        <v>337</v>
      </c>
      <c r="I133" s="287" t="s">
        <v>337</v>
      </c>
      <c r="J133" s="881" t="s">
        <v>337</v>
      </c>
      <c r="K133" s="287" t="s">
        <v>337</v>
      </c>
      <c r="L133" s="890" t="s">
        <v>358</v>
      </c>
      <c r="M133" s="879" t="s">
        <v>337</v>
      </c>
      <c r="N133" s="364" t="s">
        <v>337</v>
      </c>
      <c r="O133" s="257"/>
      <c r="P133" s="257"/>
      <c r="Q133" s="257"/>
      <c r="R133" s="257"/>
      <c r="S133" s="257"/>
      <c r="T133" s="257"/>
      <c r="U133" s="257"/>
      <c r="V133" s="257"/>
      <c r="W133" s="257"/>
      <c r="X133" s="257"/>
      <c r="Y133" s="257"/>
      <c r="Z133" s="257"/>
      <c r="AA133" s="257"/>
      <c r="AB133" s="257"/>
      <c r="AC133" s="257"/>
      <c r="AD133" s="257"/>
      <c r="AE133" s="257"/>
      <c r="AF133" s="257"/>
      <c r="AG133" s="257"/>
      <c r="AH133" s="257"/>
      <c r="AI133" s="257"/>
      <c r="AJ133" s="257"/>
      <c r="AK133" s="257"/>
      <c r="AL133" s="257"/>
      <c r="AM133" s="257"/>
      <c r="AN133" s="257"/>
      <c r="AO133" s="257"/>
      <c r="AP133" s="257"/>
      <c r="AQ133" s="257"/>
      <c r="AR133" s="257"/>
      <c r="AS133" s="257"/>
      <c r="AT133" s="257"/>
      <c r="AU133" s="257"/>
      <c r="AV133" s="257"/>
      <c r="AW133" s="257"/>
      <c r="AX133" s="257"/>
      <c r="AY133" s="257"/>
      <c r="AZ133" s="257"/>
      <c r="BA133" s="257"/>
      <c r="BB133" s="257"/>
      <c r="BC133" s="257"/>
      <c r="BD133" s="257"/>
      <c r="BE133" s="257"/>
      <c r="BF133" s="257"/>
      <c r="BG133" s="257"/>
      <c r="BH133" s="257"/>
      <c r="BI133" s="257"/>
      <c r="BJ133" s="257"/>
      <c r="BK133" s="257"/>
      <c r="BL133" s="257"/>
      <c r="BM133" s="257"/>
      <c r="BN133" s="257"/>
      <c r="BO133" s="257"/>
      <c r="BP133" s="257"/>
      <c r="BQ133" s="257"/>
      <c r="BR133" s="257"/>
      <c r="BS133" s="257"/>
      <c r="BT133" s="257"/>
      <c r="BU133" s="257"/>
      <c r="BV133" s="257"/>
      <c r="BW133" s="257"/>
      <c r="BX133" s="257"/>
      <c r="BY133" s="257"/>
      <c r="BZ133" s="257"/>
      <c r="CA133" s="257"/>
      <c r="CB133" s="257"/>
      <c r="CC133" s="257"/>
      <c r="CD133" s="257"/>
      <c r="CE133" s="257"/>
      <c r="CF133" s="257"/>
      <c r="CG133" s="257"/>
      <c r="CH133" s="257"/>
      <c r="CI133" s="257"/>
      <c r="CJ133" s="257"/>
      <c r="CK133" s="257"/>
      <c r="CL133" s="257"/>
      <c r="CM133" s="257"/>
      <c r="CN133" s="257"/>
      <c r="CO133" s="257"/>
      <c r="CP133" s="257"/>
      <c r="CQ133" s="257"/>
      <c r="CR133" s="257"/>
      <c r="CS133" s="257"/>
      <c r="CT133" s="257"/>
      <c r="CU133" s="257"/>
      <c r="CV133" s="257"/>
      <c r="CW133" s="257"/>
      <c r="CX133" s="257"/>
      <c r="CY133" s="257"/>
      <c r="CZ133" s="257"/>
      <c r="DA133" s="257"/>
      <c r="DB133" s="257"/>
      <c r="DC133" s="257"/>
      <c r="DD133" s="257"/>
      <c r="DE133" s="257"/>
      <c r="DF133" s="257"/>
      <c r="DG133" s="257"/>
      <c r="DH133" s="257"/>
      <c r="DI133" s="257"/>
      <c r="DJ133" s="257"/>
      <c r="DK133" s="257"/>
      <c r="DL133" s="257"/>
      <c r="DM133" s="257"/>
      <c r="DN133" s="257"/>
      <c r="DO133" s="257"/>
      <c r="DP133" s="257"/>
      <c r="DQ133" s="257"/>
      <c r="DR133" s="257"/>
      <c r="DS133" s="257"/>
      <c r="DT133" s="257"/>
      <c r="DU133" s="257"/>
      <c r="DV133" s="257"/>
    </row>
    <row r="134" spans="1:126" ht="15" thickBot="1" x14ac:dyDescent="0.4">
      <c r="A134" s="848" t="s">
        <v>337</v>
      </c>
      <c r="B134" s="849" t="s">
        <v>337</v>
      </c>
      <c r="C134" s="850" t="s">
        <v>320</v>
      </c>
      <c r="D134" s="913">
        <v>0</v>
      </c>
      <c r="E134" s="849" t="s">
        <v>202</v>
      </c>
      <c r="F134" s="3665" t="s">
        <v>337</v>
      </c>
      <c r="G134" s="3666"/>
      <c r="H134" s="3665" t="s">
        <v>337</v>
      </c>
      <c r="I134" s="3666"/>
      <c r="J134" s="852">
        <v>2000</v>
      </c>
      <c r="K134" s="871" t="s">
        <v>366</v>
      </c>
      <c r="L134" s="872" t="s">
        <v>358</v>
      </c>
      <c r="M134" s="3671" t="s">
        <v>337</v>
      </c>
      <c r="N134" s="892" t="s">
        <v>337</v>
      </c>
      <c r="O134" s="257"/>
      <c r="P134" s="257"/>
      <c r="Q134" s="257"/>
      <c r="R134" s="257"/>
      <c r="S134" s="257"/>
      <c r="T134" s="257"/>
      <c r="U134" s="257"/>
      <c r="V134" s="257"/>
      <c r="W134" s="257"/>
      <c r="X134" s="257"/>
      <c r="Y134" s="257"/>
      <c r="Z134" s="257"/>
      <c r="AA134" s="257"/>
      <c r="AB134" s="257"/>
      <c r="AC134" s="257"/>
      <c r="AD134" s="257"/>
      <c r="AE134" s="257"/>
      <c r="AF134" s="257"/>
      <c r="AG134" s="257"/>
      <c r="AH134" s="257"/>
      <c r="AI134" s="257"/>
      <c r="AJ134" s="257"/>
      <c r="AK134" s="257"/>
      <c r="AL134" s="257"/>
      <c r="AM134" s="257"/>
      <c r="AN134" s="257"/>
      <c r="AO134" s="257"/>
      <c r="AP134" s="257"/>
      <c r="AQ134" s="257"/>
      <c r="AR134" s="257"/>
      <c r="AS134" s="257"/>
      <c r="AT134" s="257"/>
      <c r="AU134" s="257"/>
      <c r="AV134" s="257"/>
      <c r="AW134" s="257"/>
      <c r="AX134" s="257"/>
      <c r="AY134" s="257"/>
      <c r="AZ134" s="257"/>
      <c r="BA134" s="257"/>
      <c r="BB134" s="257"/>
      <c r="BC134" s="257"/>
      <c r="BD134" s="257"/>
      <c r="BE134" s="257"/>
      <c r="BF134" s="257"/>
      <c r="BG134" s="257"/>
      <c r="BH134" s="257"/>
      <c r="BI134" s="257"/>
      <c r="BJ134" s="257"/>
      <c r="BK134" s="257"/>
      <c r="BL134" s="257"/>
      <c r="BM134" s="257"/>
      <c r="BN134" s="257"/>
      <c r="BO134" s="257"/>
      <c r="BP134" s="257"/>
      <c r="BQ134" s="257"/>
      <c r="BR134" s="257"/>
      <c r="BS134" s="257"/>
      <c r="BT134" s="257"/>
      <c r="BU134" s="257"/>
      <c r="BV134" s="257"/>
      <c r="BW134" s="257"/>
      <c r="BX134" s="257"/>
      <c r="BY134" s="257"/>
      <c r="BZ134" s="257"/>
      <c r="CA134" s="257"/>
      <c r="CB134" s="257"/>
      <c r="CC134" s="257"/>
      <c r="CD134" s="257"/>
      <c r="CE134" s="257"/>
      <c r="CF134" s="257"/>
      <c r="CG134" s="257"/>
      <c r="CH134" s="257"/>
      <c r="CI134" s="257"/>
      <c r="CJ134" s="257"/>
      <c r="CK134" s="257"/>
      <c r="CL134" s="257"/>
      <c r="CM134" s="257"/>
      <c r="CN134" s="257"/>
      <c r="CO134" s="257"/>
      <c r="CP134" s="257"/>
      <c r="CQ134" s="257"/>
      <c r="CR134" s="257"/>
      <c r="CS134" s="257"/>
      <c r="CT134" s="257"/>
      <c r="CU134" s="257"/>
      <c r="CV134" s="257"/>
      <c r="CW134" s="257"/>
      <c r="CX134" s="257"/>
      <c r="CY134" s="257"/>
      <c r="CZ134" s="257"/>
      <c r="DA134" s="257"/>
      <c r="DB134" s="257"/>
      <c r="DC134" s="257"/>
      <c r="DD134" s="257"/>
      <c r="DE134" s="257"/>
      <c r="DF134" s="257"/>
      <c r="DG134" s="257"/>
      <c r="DH134" s="257"/>
      <c r="DI134" s="257"/>
      <c r="DJ134" s="257"/>
      <c r="DK134" s="257"/>
      <c r="DL134" s="257"/>
      <c r="DM134" s="257"/>
      <c r="DN134" s="257"/>
      <c r="DO134" s="257"/>
      <c r="DP134" s="257"/>
      <c r="DQ134" s="257"/>
      <c r="DR134" s="257"/>
      <c r="DS134" s="257"/>
      <c r="DT134" s="257"/>
      <c r="DU134" s="257"/>
      <c r="DV134" s="257"/>
    </row>
    <row r="135" spans="1:126" ht="15" thickBot="1" x14ac:dyDescent="0.4">
      <c r="A135" s="848" t="s">
        <v>337</v>
      </c>
      <c r="B135" s="849" t="s">
        <v>337</v>
      </c>
      <c r="C135" s="850" t="s">
        <v>322</v>
      </c>
      <c r="D135" s="887">
        <v>0</v>
      </c>
      <c r="E135" s="599" t="s">
        <v>202</v>
      </c>
      <c r="F135" s="3667"/>
      <c r="G135" s="3668"/>
      <c r="H135" s="3667"/>
      <c r="I135" s="3668"/>
      <c r="J135" s="852">
        <v>1000</v>
      </c>
      <c r="K135" s="871" t="s">
        <v>366</v>
      </c>
      <c r="L135" s="872" t="s">
        <v>358</v>
      </c>
      <c r="M135" s="3671"/>
      <c r="N135" s="892" t="s">
        <v>337</v>
      </c>
      <c r="O135" s="257"/>
      <c r="P135" s="257"/>
      <c r="Q135" s="257"/>
      <c r="R135" s="257"/>
      <c r="S135" s="257"/>
      <c r="T135" s="257"/>
      <c r="U135" s="257"/>
      <c r="V135" s="257"/>
      <c r="W135" s="257"/>
      <c r="X135" s="257"/>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257"/>
      <c r="BF135" s="257"/>
      <c r="BG135" s="257"/>
      <c r="BH135" s="257"/>
      <c r="BI135" s="257"/>
      <c r="BJ135" s="257"/>
      <c r="BK135" s="257"/>
      <c r="BL135" s="257"/>
      <c r="BM135" s="257"/>
      <c r="BN135" s="257"/>
      <c r="BO135" s="257"/>
      <c r="BP135" s="257"/>
      <c r="BQ135" s="257"/>
      <c r="BR135" s="257"/>
      <c r="BS135" s="257"/>
      <c r="BT135" s="257"/>
      <c r="BU135" s="257"/>
      <c r="BV135" s="257"/>
      <c r="BW135" s="257"/>
      <c r="BX135" s="257"/>
      <c r="BY135" s="257"/>
      <c r="BZ135" s="257"/>
      <c r="CA135" s="257"/>
      <c r="CB135" s="257"/>
      <c r="CC135" s="257"/>
      <c r="CD135" s="257"/>
      <c r="CE135" s="257"/>
      <c r="CF135" s="257"/>
      <c r="CG135" s="257"/>
      <c r="CH135" s="257"/>
      <c r="CI135" s="257"/>
      <c r="CJ135" s="257"/>
      <c r="CK135" s="257"/>
      <c r="CL135" s="257"/>
      <c r="CM135" s="257"/>
      <c r="CN135" s="257"/>
      <c r="CO135" s="257"/>
      <c r="CP135" s="257"/>
      <c r="CQ135" s="257"/>
      <c r="CR135" s="257"/>
      <c r="CS135" s="257"/>
      <c r="CT135" s="257"/>
      <c r="CU135" s="257"/>
      <c r="CV135" s="257"/>
      <c r="CW135" s="257"/>
      <c r="CX135" s="257"/>
      <c r="CY135" s="257"/>
      <c r="CZ135" s="257"/>
      <c r="DA135" s="257"/>
      <c r="DB135" s="257"/>
      <c r="DC135" s="257"/>
      <c r="DD135" s="257"/>
      <c r="DE135" s="257"/>
      <c r="DF135" s="257"/>
      <c r="DG135" s="257"/>
      <c r="DH135" s="257"/>
      <c r="DI135" s="257"/>
      <c r="DJ135" s="257"/>
      <c r="DK135" s="257"/>
      <c r="DL135" s="257"/>
      <c r="DM135" s="257"/>
      <c r="DN135" s="257"/>
      <c r="DO135" s="257"/>
      <c r="DP135" s="257"/>
      <c r="DQ135" s="257"/>
      <c r="DR135" s="257"/>
      <c r="DS135" s="257"/>
      <c r="DT135" s="257"/>
      <c r="DU135" s="257"/>
      <c r="DV135" s="257"/>
    </row>
    <row r="136" spans="1:126" ht="15" thickBot="1" x14ac:dyDescent="0.4">
      <c r="A136" s="848" t="s">
        <v>337</v>
      </c>
      <c r="B136" s="849" t="s">
        <v>337</v>
      </c>
      <c r="C136" s="850" t="s">
        <v>325</v>
      </c>
      <c r="D136" s="887">
        <v>0</v>
      </c>
      <c r="E136" s="599" t="s">
        <v>202</v>
      </c>
      <c r="F136" s="3667"/>
      <c r="G136" s="3668"/>
      <c r="H136" s="3667"/>
      <c r="I136" s="3668"/>
      <c r="J136" s="269">
        <v>5200</v>
      </c>
      <c r="K136" s="871" t="s">
        <v>366</v>
      </c>
      <c r="L136" s="872" t="s">
        <v>358</v>
      </c>
      <c r="M136" s="3671"/>
      <c r="N136" s="892" t="s">
        <v>337</v>
      </c>
      <c r="O136" s="257"/>
      <c r="P136" s="257"/>
      <c r="Q136" s="257"/>
      <c r="R136" s="257"/>
      <c r="S136" s="257"/>
      <c r="T136" s="257"/>
      <c r="U136" s="257"/>
      <c r="V136" s="257"/>
      <c r="W136" s="257"/>
      <c r="X136" s="257"/>
      <c r="Y136" s="257"/>
      <c r="Z136" s="257"/>
      <c r="AA136" s="257"/>
      <c r="AB136" s="257"/>
      <c r="AC136" s="257"/>
      <c r="AD136" s="257"/>
      <c r="AE136" s="257"/>
      <c r="AF136" s="257"/>
      <c r="AG136" s="257"/>
      <c r="AH136" s="257"/>
      <c r="AI136" s="257"/>
      <c r="AJ136" s="257"/>
      <c r="AK136" s="257"/>
      <c r="AL136" s="257"/>
      <c r="AM136" s="257"/>
      <c r="AN136" s="257"/>
      <c r="AO136" s="257"/>
      <c r="AP136" s="257"/>
      <c r="AQ136" s="257"/>
      <c r="AR136" s="257"/>
      <c r="AS136" s="257"/>
      <c r="AT136" s="257"/>
      <c r="AU136" s="257"/>
      <c r="AV136" s="257"/>
      <c r="AW136" s="257"/>
      <c r="AX136" s="257"/>
      <c r="AY136" s="257"/>
      <c r="AZ136" s="257"/>
      <c r="BA136" s="257"/>
      <c r="BB136" s="257"/>
      <c r="BC136" s="257"/>
      <c r="BD136" s="257"/>
      <c r="BE136" s="257"/>
      <c r="BF136" s="257"/>
      <c r="BG136" s="257"/>
      <c r="BH136" s="257"/>
      <c r="BI136" s="257"/>
      <c r="BJ136" s="257"/>
      <c r="BK136" s="257"/>
      <c r="BL136" s="257"/>
      <c r="BM136" s="257"/>
      <c r="BN136" s="257"/>
      <c r="BO136" s="257"/>
      <c r="BP136" s="257"/>
      <c r="BQ136" s="257"/>
      <c r="BR136" s="257"/>
      <c r="BS136" s="257"/>
      <c r="BT136" s="257"/>
      <c r="BU136" s="257"/>
      <c r="BV136" s="257"/>
      <c r="BW136" s="257"/>
      <c r="BX136" s="257"/>
      <c r="BY136" s="257"/>
      <c r="BZ136" s="257"/>
      <c r="CA136" s="257"/>
      <c r="CB136" s="257"/>
      <c r="CC136" s="257"/>
      <c r="CD136" s="257"/>
      <c r="CE136" s="257"/>
      <c r="CF136" s="257"/>
      <c r="CG136" s="257"/>
      <c r="CH136" s="257"/>
      <c r="CI136" s="257"/>
      <c r="CJ136" s="257"/>
      <c r="CK136" s="257"/>
      <c r="CL136" s="257"/>
      <c r="CM136" s="257"/>
      <c r="CN136" s="257"/>
      <c r="CO136" s="257"/>
      <c r="CP136" s="257"/>
      <c r="CQ136" s="257"/>
      <c r="CR136" s="257"/>
      <c r="CS136" s="257"/>
      <c r="CT136" s="257"/>
      <c r="CU136" s="257"/>
      <c r="CV136" s="257"/>
      <c r="CW136" s="257"/>
      <c r="CX136" s="257"/>
      <c r="CY136" s="257"/>
      <c r="CZ136" s="257"/>
      <c r="DA136" s="257"/>
      <c r="DB136" s="257"/>
      <c r="DC136" s="257"/>
      <c r="DD136" s="257"/>
      <c r="DE136" s="257"/>
      <c r="DF136" s="257"/>
      <c r="DG136" s="257"/>
      <c r="DH136" s="257"/>
      <c r="DI136" s="257"/>
      <c r="DJ136" s="257"/>
      <c r="DK136" s="257"/>
      <c r="DL136" s="257"/>
      <c r="DM136" s="257"/>
      <c r="DN136" s="257"/>
      <c r="DO136" s="257"/>
      <c r="DP136" s="257"/>
      <c r="DQ136" s="257"/>
      <c r="DR136" s="257"/>
      <c r="DS136" s="257"/>
      <c r="DT136" s="257"/>
      <c r="DU136" s="257"/>
      <c r="DV136" s="257"/>
    </row>
    <row r="137" spans="1:126" ht="15" thickBot="1" x14ac:dyDescent="0.4">
      <c r="A137" s="278" t="s">
        <v>337</v>
      </c>
      <c r="B137" s="300" t="s">
        <v>337</v>
      </c>
      <c r="C137" s="291" t="s">
        <v>327</v>
      </c>
      <c r="D137" s="290">
        <v>0</v>
      </c>
      <c r="E137" s="599" t="s">
        <v>202</v>
      </c>
      <c r="F137" s="3669"/>
      <c r="G137" s="3670"/>
      <c r="H137" s="3669"/>
      <c r="I137" s="3670"/>
      <c r="J137" s="875" t="s">
        <v>371</v>
      </c>
      <c r="K137" s="281" t="s">
        <v>366</v>
      </c>
      <c r="L137" s="273" t="s">
        <v>358</v>
      </c>
      <c r="M137" s="3672"/>
      <c r="N137" s="305" t="s">
        <v>337</v>
      </c>
      <c r="O137" s="257"/>
      <c r="P137" s="257"/>
      <c r="Q137" s="257"/>
      <c r="R137" s="257"/>
      <c r="S137" s="257"/>
      <c r="T137" s="257"/>
      <c r="U137" s="257"/>
      <c r="V137" s="257"/>
      <c r="W137" s="257"/>
      <c r="X137" s="257"/>
      <c r="Y137" s="257"/>
      <c r="Z137" s="257"/>
      <c r="AA137" s="257"/>
      <c r="AB137" s="257"/>
      <c r="AC137" s="257"/>
      <c r="AD137" s="257"/>
      <c r="AE137" s="257"/>
      <c r="AF137" s="257"/>
      <c r="AG137" s="257"/>
      <c r="AH137" s="257"/>
      <c r="AI137" s="257"/>
      <c r="AJ137" s="257"/>
      <c r="AK137" s="257"/>
      <c r="AL137" s="257"/>
      <c r="AM137" s="257"/>
      <c r="AN137" s="257"/>
      <c r="AO137" s="257"/>
      <c r="AP137" s="257"/>
      <c r="AQ137" s="257"/>
      <c r="AR137" s="257"/>
      <c r="AS137" s="257"/>
      <c r="AT137" s="257"/>
      <c r="AU137" s="257"/>
      <c r="AV137" s="257"/>
      <c r="AW137" s="257"/>
      <c r="AX137" s="257"/>
      <c r="AY137" s="257"/>
      <c r="AZ137" s="257"/>
      <c r="BA137" s="257"/>
      <c r="BB137" s="257"/>
      <c r="BC137" s="257"/>
      <c r="BD137" s="257"/>
      <c r="BE137" s="257"/>
      <c r="BF137" s="257"/>
      <c r="BG137" s="257"/>
      <c r="BH137" s="257"/>
      <c r="BI137" s="257"/>
      <c r="BJ137" s="257"/>
      <c r="BK137" s="257"/>
      <c r="BL137" s="257"/>
      <c r="BM137" s="257"/>
      <c r="BN137" s="257"/>
      <c r="BO137" s="257"/>
      <c r="BP137" s="257"/>
      <c r="BQ137" s="257"/>
      <c r="BR137" s="257"/>
      <c r="BS137" s="257"/>
      <c r="BT137" s="257"/>
      <c r="BU137" s="257"/>
      <c r="BV137" s="257"/>
      <c r="BW137" s="257"/>
      <c r="BX137" s="257"/>
      <c r="BY137" s="257"/>
      <c r="BZ137" s="257"/>
      <c r="CA137" s="257"/>
      <c r="CB137" s="257"/>
      <c r="CC137" s="257"/>
      <c r="CD137" s="257"/>
      <c r="CE137" s="257"/>
      <c r="CF137" s="257"/>
      <c r="CG137" s="257"/>
      <c r="CH137" s="257"/>
      <c r="CI137" s="257"/>
      <c r="CJ137" s="257"/>
      <c r="CK137" s="257"/>
      <c r="CL137" s="257"/>
      <c r="CM137" s="257"/>
      <c r="CN137" s="257"/>
      <c r="CO137" s="257"/>
      <c r="CP137" s="257"/>
      <c r="CQ137" s="257"/>
      <c r="CR137" s="257"/>
      <c r="CS137" s="257"/>
      <c r="CT137" s="257"/>
      <c r="CU137" s="257"/>
      <c r="CV137" s="257"/>
      <c r="CW137" s="257"/>
      <c r="CX137" s="257"/>
      <c r="CY137" s="257"/>
      <c r="CZ137" s="257"/>
      <c r="DA137" s="257"/>
      <c r="DB137" s="257"/>
      <c r="DC137" s="257"/>
      <c r="DD137" s="257"/>
      <c r="DE137" s="257"/>
      <c r="DF137" s="257"/>
      <c r="DG137" s="257"/>
      <c r="DH137" s="257"/>
      <c r="DI137" s="257"/>
      <c r="DJ137" s="257"/>
      <c r="DK137" s="257"/>
      <c r="DL137" s="257"/>
      <c r="DM137" s="257"/>
      <c r="DN137" s="257"/>
      <c r="DO137" s="257"/>
      <c r="DP137" s="257"/>
      <c r="DQ137" s="257"/>
      <c r="DR137" s="257"/>
      <c r="DS137" s="257"/>
      <c r="DT137" s="257"/>
      <c r="DU137" s="257"/>
      <c r="DV137" s="257"/>
    </row>
    <row r="138" spans="1:126" ht="15" thickBot="1" x14ac:dyDescent="0.4">
      <c r="A138" s="3673" t="s">
        <v>337</v>
      </c>
      <c r="B138" s="3674"/>
      <c r="C138" s="366" t="s">
        <v>327</v>
      </c>
      <c r="D138" s="286" t="s">
        <v>337</v>
      </c>
      <c r="E138" s="881" t="s">
        <v>337</v>
      </c>
      <c r="F138" s="287" t="s">
        <v>337</v>
      </c>
      <c r="G138" s="287" t="s">
        <v>337</v>
      </c>
      <c r="H138" s="287" t="s">
        <v>337</v>
      </c>
      <c r="I138" s="287" t="s">
        <v>337</v>
      </c>
      <c r="J138" s="881" t="s">
        <v>337</v>
      </c>
      <c r="K138" s="287" t="s">
        <v>337</v>
      </c>
      <c r="L138" s="895">
        <v>10000</v>
      </c>
      <c r="M138" s="879" t="s">
        <v>337</v>
      </c>
      <c r="N138" s="364" t="s">
        <v>337</v>
      </c>
      <c r="O138" s="257"/>
      <c r="P138" s="257"/>
      <c r="Q138" s="257"/>
      <c r="R138" s="257"/>
      <c r="S138" s="257"/>
      <c r="T138" s="257"/>
      <c r="U138" s="257"/>
      <c r="V138" s="257"/>
      <c r="W138" s="257"/>
      <c r="X138" s="257"/>
      <c r="Y138" s="257"/>
      <c r="Z138" s="257"/>
      <c r="AA138" s="257"/>
      <c r="AB138" s="257"/>
      <c r="AC138" s="257"/>
      <c r="AD138" s="257"/>
      <c r="AE138" s="257"/>
      <c r="AF138" s="257"/>
      <c r="AG138" s="257"/>
      <c r="AH138" s="257"/>
      <c r="AI138" s="257"/>
      <c r="AJ138" s="257"/>
      <c r="AK138" s="257"/>
      <c r="AL138" s="257"/>
      <c r="AM138" s="257"/>
      <c r="AN138" s="257"/>
      <c r="AO138" s="257"/>
      <c r="AP138" s="257"/>
      <c r="AQ138" s="257"/>
      <c r="AR138" s="257"/>
      <c r="AS138" s="257"/>
      <c r="AT138" s="257"/>
      <c r="AU138" s="257"/>
      <c r="AV138" s="257"/>
      <c r="AW138" s="257"/>
      <c r="AX138" s="257"/>
      <c r="AY138" s="257"/>
      <c r="AZ138" s="257"/>
      <c r="BA138" s="257"/>
      <c r="BB138" s="257"/>
      <c r="BC138" s="257"/>
      <c r="BD138" s="257"/>
      <c r="BE138" s="257"/>
      <c r="BF138" s="257"/>
      <c r="BG138" s="257"/>
      <c r="BH138" s="257"/>
      <c r="BI138" s="257"/>
      <c r="BJ138" s="257"/>
      <c r="BK138" s="257"/>
      <c r="BL138" s="257"/>
      <c r="BM138" s="257"/>
      <c r="BN138" s="257"/>
      <c r="BO138" s="257"/>
      <c r="BP138" s="257"/>
      <c r="BQ138" s="257"/>
      <c r="BR138" s="257"/>
      <c r="BS138" s="257"/>
      <c r="BT138" s="257"/>
      <c r="BU138" s="257"/>
      <c r="BV138" s="257"/>
      <c r="BW138" s="257"/>
      <c r="BX138" s="257"/>
      <c r="BY138" s="257"/>
      <c r="BZ138" s="257"/>
      <c r="CA138" s="257"/>
      <c r="CB138" s="257"/>
      <c r="CC138" s="257"/>
      <c r="CD138" s="257"/>
      <c r="CE138" s="257"/>
      <c r="CF138" s="257"/>
      <c r="CG138" s="257"/>
      <c r="CH138" s="257"/>
      <c r="CI138" s="257"/>
      <c r="CJ138" s="257"/>
      <c r="CK138" s="257"/>
      <c r="CL138" s="257"/>
      <c r="CM138" s="257"/>
      <c r="CN138" s="257"/>
      <c r="CO138" s="257"/>
      <c r="CP138" s="257"/>
      <c r="CQ138" s="257"/>
      <c r="CR138" s="257"/>
      <c r="CS138" s="257"/>
      <c r="CT138" s="257"/>
      <c r="CU138" s="257"/>
      <c r="CV138" s="257"/>
      <c r="CW138" s="257"/>
      <c r="CX138" s="257"/>
      <c r="CY138" s="257"/>
      <c r="CZ138" s="257"/>
      <c r="DA138" s="257"/>
      <c r="DB138" s="257"/>
      <c r="DC138" s="257"/>
      <c r="DD138" s="257"/>
      <c r="DE138" s="257"/>
      <c r="DF138" s="257"/>
      <c r="DG138" s="257"/>
      <c r="DH138" s="257"/>
      <c r="DI138" s="257"/>
      <c r="DJ138" s="257"/>
      <c r="DK138" s="257"/>
      <c r="DL138" s="257"/>
      <c r="DM138" s="257"/>
      <c r="DN138" s="257"/>
      <c r="DO138" s="257"/>
      <c r="DP138" s="257"/>
      <c r="DQ138" s="257"/>
      <c r="DR138" s="257"/>
      <c r="DS138" s="257"/>
      <c r="DT138" s="257"/>
      <c r="DU138" s="257"/>
      <c r="DV138" s="257"/>
    </row>
    <row r="139" spans="1:126" x14ac:dyDescent="0.35">
      <c r="A139" s="858" t="s">
        <v>337</v>
      </c>
      <c r="B139" s="891" t="s">
        <v>337</v>
      </c>
      <c r="C139" s="850" t="s">
        <v>328</v>
      </c>
      <c r="D139" s="848">
        <v>2</v>
      </c>
      <c r="E139" s="850" t="s">
        <v>199</v>
      </c>
      <c r="F139" s="3665" t="s">
        <v>337</v>
      </c>
      <c r="G139" s="3666"/>
      <c r="H139" s="3665" t="s">
        <v>337</v>
      </c>
      <c r="I139" s="3666"/>
      <c r="J139" s="852">
        <v>5000</v>
      </c>
      <c r="K139" s="882">
        <v>10000</v>
      </c>
      <c r="L139" s="869">
        <v>10000</v>
      </c>
      <c r="M139" s="3671" t="s">
        <v>337</v>
      </c>
      <c r="N139" s="892" t="s">
        <v>337</v>
      </c>
      <c r="O139" s="257"/>
      <c r="P139" s="257"/>
      <c r="Q139" s="257"/>
      <c r="R139" s="257"/>
      <c r="S139" s="257"/>
      <c r="T139" s="257"/>
      <c r="U139" s="257"/>
      <c r="V139" s="257"/>
      <c r="W139" s="257"/>
      <c r="X139" s="257"/>
      <c r="Y139" s="257"/>
      <c r="Z139" s="257"/>
      <c r="AA139" s="257"/>
      <c r="AB139" s="257"/>
      <c r="AC139" s="257"/>
      <c r="AD139" s="257"/>
      <c r="AE139" s="257"/>
      <c r="AF139" s="257"/>
      <c r="AG139" s="257"/>
      <c r="AH139" s="257"/>
      <c r="AI139" s="257"/>
      <c r="AJ139" s="257"/>
      <c r="AK139" s="257"/>
      <c r="AL139" s="257"/>
      <c r="AM139" s="257"/>
      <c r="AN139" s="257"/>
      <c r="AO139" s="257"/>
      <c r="AP139" s="257"/>
      <c r="AQ139" s="257"/>
      <c r="AR139" s="257"/>
      <c r="AS139" s="257"/>
      <c r="AT139" s="257"/>
      <c r="AU139" s="257"/>
      <c r="AV139" s="257"/>
      <c r="AW139" s="257"/>
      <c r="AX139" s="257"/>
      <c r="AY139" s="257"/>
      <c r="AZ139" s="257"/>
      <c r="BA139" s="257"/>
      <c r="BB139" s="257"/>
      <c r="BC139" s="257"/>
      <c r="BD139" s="257"/>
      <c r="BE139" s="257"/>
      <c r="BF139" s="257"/>
      <c r="BG139" s="257"/>
      <c r="BH139" s="257"/>
      <c r="BI139" s="257"/>
      <c r="BJ139" s="257"/>
      <c r="BK139" s="257"/>
      <c r="BL139" s="257"/>
      <c r="BM139" s="257"/>
      <c r="BN139" s="257"/>
      <c r="BO139" s="257"/>
      <c r="BP139" s="257"/>
      <c r="BQ139" s="257"/>
      <c r="BR139" s="257"/>
      <c r="BS139" s="257"/>
      <c r="BT139" s="257"/>
      <c r="BU139" s="257"/>
      <c r="BV139" s="257"/>
      <c r="BW139" s="257"/>
      <c r="BX139" s="257"/>
      <c r="BY139" s="257"/>
      <c r="BZ139" s="257"/>
      <c r="CA139" s="257"/>
      <c r="CB139" s="257"/>
      <c r="CC139" s="257"/>
      <c r="CD139" s="257"/>
      <c r="CE139" s="257"/>
      <c r="CF139" s="257"/>
      <c r="CG139" s="257"/>
      <c r="CH139" s="257"/>
      <c r="CI139" s="257"/>
      <c r="CJ139" s="257"/>
      <c r="CK139" s="257"/>
      <c r="CL139" s="257"/>
      <c r="CM139" s="257"/>
      <c r="CN139" s="257"/>
      <c r="CO139" s="257"/>
      <c r="CP139" s="257"/>
      <c r="CQ139" s="257"/>
      <c r="CR139" s="257"/>
      <c r="CS139" s="257"/>
      <c r="CT139" s="257"/>
      <c r="CU139" s="257"/>
      <c r="CV139" s="257"/>
      <c r="CW139" s="257"/>
      <c r="CX139" s="257"/>
      <c r="CY139" s="257"/>
      <c r="CZ139" s="257"/>
      <c r="DA139" s="257"/>
      <c r="DB139" s="257"/>
      <c r="DC139" s="257"/>
      <c r="DD139" s="257"/>
      <c r="DE139" s="257"/>
      <c r="DF139" s="257"/>
      <c r="DG139" s="257"/>
      <c r="DH139" s="257"/>
      <c r="DI139" s="257"/>
      <c r="DJ139" s="257"/>
      <c r="DK139" s="257"/>
      <c r="DL139" s="257"/>
      <c r="DM139" s="257"/>
      <c r="DN139" s="257"/>
      <c r="DO139" s="257"/>
      <c r="DP139" s="257"/>
      <c r="DQ139" s="257"/>
      <c r="DR139" s="257"/>
      <c r="DS139" s="257"/>
      <c r="DT139" s="257"/>
      <c r="DU139" s="257"/>
      <c r="DV139" s="257"/>
    </row>
    <row r="140" spans="1:126" x14ac:dyDescent="0.35">
      <c r="A140" s="848" t="s">
        <v>337</v>
      </c>
      <c r="B140" s="849" t="s">
        <v>337</v>
      </c>
      <c r="C140" s="850" t="s">
        <v>329</v>
      </c>
      <c r="D140" s="848">
        <v>0</v>
      </c>
      <c r="E140" s="850" t="s">
        <v>215</v>
      </c>
      <c r="F140" s="3667"/>
      <c r="G140" s="3668"/>
      <c r="H140" s="3667"/>
      <c r="I140" s="3668"/>
      <c r="J140" s="893" t="s">
        <v>371</v>
      </c>
      <c r="K140" s="871" t="s">
        <v>366</v>
      </c>
      <c r="L140" s="872" t="s">
        <v>358</v>
      </c>
      <c r="M140" s="3671"/>
      <c r="N140" s="892" t="s">
        <v>337</v>
      </c>
      <c r="O140" s="257"/>
      <c r="P140" s="257"/>
      <c r="Q140" s="257"/>
      <c r="R140" s="257"/>
      <c r="S140" s="257"/>
      <c r="T140" s="257"/>
      <c r="U140" s="257"/>
      <c r="V140" s="257"/>
      <c r="W140" s="257"/>
      <c r="X140" s="257"/>
      <c r="Y140" s="257"/>
      <c r="Z140" s="257"/>
      <c r="AA140" s="257"/>
      <c r="AB140" s="257"/>
      <c r="AC140" s="257"/>
      <c r="AD140" s="257"/>
      <c r="AE140" s="257"/>
      <c r="AF140" s="257"/>
      <c r="AG140" s="257"/>
      <c r="AH140" s="257"/>
      <c r="AI140" s="257"/>
      <c r="AJ140" s="257"/>
      <c r="AK140" s="257"/>
      <c r="AL140" s="257"/>
      <c r="AM140" s="257"/>
      <c r="AN140" s="257"/>
      <c r="AO140" s="257"/>
      <c r="AP140" s="257"/>
      <c r="AQ140" s="257"/>
      <c r="AR140" s="257"/>
      <c r="AS140" s="257"/>
      <c r="AT140" s="257"/>
      <c r="AU140" s="257"/>
      <c r="AV140" s="257"/>
      <c r="AW140" s="257"/>
      <c r="AX140" s="257"/>
      <c r="AY140" s="257"/>
      <c r="AZ140" s="257"/>
      <c r="BA140" s="257"/>
      <c r="BB140" s="257"/>
      <c r="BC140" s="257"/>
      <c r="BD140" s="257"/>
      <c r="BE140" s="257"/>
      <c r="BF140" s="257"/>
      <c r="BG140" s="257"/>
      <c r="BH140" s="257"/>
      <c r="BI140" s="257"/>
      <c r="BJ140" s="257"/>
      <c r="BK140" s="257"/>
      <c r="BL140" s="257"/>
      <c r="BM140" s="257"/>
      <c r="BN140" s="257"/>
      <c r="BO140" s="257"/>
      <c r="BP140" s="257"/>
      <c r="BQ140" s="257"/>
      <c r="BR140" s="257"/>
      <c r="BS140" s="257"/>
      <c r="BT140" s="257"/>
      <c r="BU140" s="257"/>
      <c r="BV140" s="257"/>
      <c r="BW140" s="257"/>
      <c r="BX140" s="257"/>
      <c r="BY140" s="257"/>
      <c r="BZ140" s="257"/>
      <c r="CA140" s="257"/>
      <c r="CB140" s="257"/>
      <c r="CC140" s="257"/>
      <c r="CD140" s="257"/>
      <c r="CE140" s="257"/>
      <c r="CF140" s="257"/>
      <c r="CG140" s="257"/>
      <c r="CH140" s="257"/>
      <c r="CI140" s="257"/>
      <c r="CJ140" s="257"/>
      <c r="CK140" s="257"/>
      <c r="CL140" s="257"/>
      <c r="CM140" s="257"/>
      <c r="CN140" s="257"/>
      <c r="CO140" s="257"/>
      <c r="CP140" s="257"/>
      <c r="CQ140" s="257"/>
      <c r="CR140" s="257"/>
      <c r="CS140" s="257"/>
      <c r="CT140" s="257"/>
      <c r="CU140" s="257"/>
      <c r="CV140" s="257"/>
      <c r="CW140" s="257"/>
      <c r="CX140" s="257"/>
      <c r="CY140" s="257"/>
      <c r="CZ140" s="257"/>
      <c r="DA140" s="257"/>
      <c r="DB140" s="257"/>
      <c r="DC140" s="257"/>
      <c r="DD140" s="257"/>
      <c r="DE140" s="257"/>
      <c r="DF140" s="257"/>
      <c r="DG140" s="257"/>
      <c r="DH140" s="257"/>
      <c r="DI140" s="257"/>
      <c r="DJ140" s="257"/>
      <c r="DK140" s="257"/>
      <c r="DL140" s="257"/>
      <c r="DM140" s="257"/>
      <c r="DN140" s="257"/>
      <c r="DO140" s="257"/>
      <c r="DP140" s="257"/>
      <c r="DQ140" s="257"/>
      <c r="DR140" s="257"/>
      <c r="DS140" s="257"/>
      <c r="DT140" s="257"/>
      <c r="DU140" s="257"/>
      <c r="DV140" s="257"/>
    </row>
    <row r="141" spans="1:126" ht="15" thickBot="1" x14ac:dyDescent="0.4">
      <c r="A141" s="848" t="s">
        <v>337</v>
      </c>
      <c r="B141" s="849" t="s">
        <v>337</v>
      </c>
      <c r="C141" s="850" t="s">
        <v>330</v>
      </c>
      <c r="D141" s="848">
        <v>0</v>
      </c>
      <c r="E141" s="850" t="s">
        <v>199</v>
      </c>
      <c r="F141" s="3667"/>
      <c r="G141" s="3668"/>
      <c r="H141" s="3667"/>
      <c r="I141" s="3668"/>
      <c r="J141" s="866" t="s">
        <v>371</v>
      </c>
      <c r="K141" s="871" t="s">
        <v>366</v>
      </c>
      <c r="L141" s="872" t="s">
        <v>358</v>
      </c>
      <c r="M141" s="3671"/>
      <c r="N141" s="892" t="s">
        <v>337</v>
      </c>
      <c r="O141" s="257"/>
      <c r="P141" s="257"/>
      <c r="Q141" s="257"/>
      <c r="R141" s="257"/>
      <c r="S141" s="257"/>
      <c r="T141" s="257"/>
      <c r="U141" s="257"/>
      <c r="V141" s="257"/>
      <c r="W141" s="257"/>
      <c r="X141" s="257"/>
      <c r="Y141" s="257"/>
      <c r="Z141" s="257"/>
      <c r="AA141" s="257"/>
      <c r="AB141" s="257"/>
      <c r="AC141" s="257"/>
      <c r="AD141" s="257"/>
      <c r="AE141" s="257"/>
      <c r="AF141" s="257"/>
      <c r="AG141" s="257"/>
      <c r="AH141" s="257"/>
      <c r="AI141" s="257"/>
      <c r="AJ141" s="257"/>
      <c r="AK141" s="257"/>
      <c r="AL141" s="257"/>
      <c r="AM141" s="257"/>
      <c r="AN141" s="257"/>
      <c r="AO141" s="257"/>
      <c r="AP141" s="257"/>
      <c r="AQ141" s="257"/>
      <c r="AR141" s="257"/>
      <c r="AS141" s="257"/>
      <c r="AT141" s="257"/>
      <c r="AU141" s="257"/>
      <c r="AV141" s="257"/>
      <c r="AW141" s="257"/>
      <c r="AX141" s="257"/>
      <c r="AY141" s="257"/>
      <c r="AZ141" s="257"/>
      <c r="BA141" s="257"/>
      <c r="BB141" s="257"/>
      <c r="BC141" s="257"/>
      <c r="BD141" s="257"/>
      <c r="BE141" s="257"/>
      <c r="BF141" s="257"/>
      <c r="BG141" s="257"/>
      <c r="BH141" s="257"/>
      <c r="BI141" s="257"/>
      <c r="BJ141" s="257"/>
      <c r="BK141" s="257"/>
      <c r="BL141" s="257"/>
      <c r="BM141" s="257"/>
      <c r="BN141" s="257"/>
      <c r="BO141" s="257"/>
      <c r="BP141" s="257"/>
      <c r="BQ141" s="257"/>
      <c r="BR141" s="257"/>
      <c r="BS141" s="257"/>
      <c r="BT141" s="257"/>
      <c r="BU141" s="257"/>
      <c r="BV141" s="257"/>
      <c r="BW141" s="257"/>
      <c r="BX141" s="257"/>
      <c r="BY141" s="257"/>
      <c r="BZ141" s="257"/>
      <c r="CA141" s="257"/>
      <c r="CB141" s="257"/>
      <c r="CC141" s="257"/>
      <c r="CD141" s="257"/>
      <c r="CE141" s="257"/>
      <c r="CF141" s="257"/>
      <c r="CG141" s="257"/>
      <c r="CH141" s="257"/>
      <c r="CI141" s="257"/>
      <c r="CJ141" s="257"/>
      <c r="CK141" s="257"/>
      <c r="CL141" s="257"/>
      <c r="CM141" s="257"/>
      <c r="CN141" s="257"/>
      <c r="CO141" s="257"/>
      <c r="CP141" s="257"/>
      <c r="CQ141" s="257"/>
      <c r="CR141" s="257"/>
      <c r="CS141" s="257"/>
      <c r="CT141" s="257"/>
      <c r="CU141" s="257"/>
      <c r="CV141" s="257"/>
      <c r="CW141" s="257"/>
      <c r="CX141" s="257"/>
      <c r="CY141" s="257"/>
      <c r="CZ141" s="257"/>
      <c r="DA141" s="257"/>
      <c r="DB141" s="257"/>
      <c r="DC141" s="257"/>
      <c r="DD141" s="257"/>
      <c r="DE141" s="257"/>
      <c r="DF141" s="257"/>
      <c r="DG141" s="257"/>
      <c r="DH141" s="257"/>
      <c r="DI141" s="257"/>
      <c r="DJ141" s="257"/>
      <c r="DK141" s="257"/>
      <c r="DL141" s="257"/>
      <c r="DM141" s="257"/>
      <c r="DN141" s="257"/>
      <c r="DO141" s="257"/>
      <c r="DP141" s="257"/>
      <c r="DQ141" s="257"/>
      <c r="DR141" s="257"/>
      <c r="DS141" s="257"/>
      <c r="DT141" s="257"/>
      <c r="DU141" s="257"/>
      <c r="DV141" s="257"/>
    </row>
    <row r="142" spans="1:126" ht="15" thickBot="1" x14ac:dyDescent="0.4">
      <c r="A142" s="3727" t="s">
        <v>337</v>
      </c>
      <c r="B142" s="3728"/>
      <c r="C142" s="273" t="s">
        <v>75</v>
      </c>
      <c r="D142" s="310" t="s">
        <v>337</v>
      </c>
      <c r="E142" s="311" t="s">
        <v>337</v>
      </c>
      <c r="F142" s="312" t="s">
        <v>337</v>
      </c>
      <c r="G142" s="914">
        <v>3880407</v>
      </c>
      <c r="H142" s="313" t="s">
        <v>337</v>
      </c>
      <c r="I142" s="276">
        <v>329327</v>
      </c>
      <c r="J142" s="312" t="s">
        <v>337</v>
      </c>
      <c r="K142" s="914">
        <v>260275</v>
      </c>
      <c r="L142" s="276">
        <v>4470008</v>
      </c>
      <c r="M142" s="915" t="s">
        <v>337</v>
      </c>
      <c r="N142" s="915" t="s">
        <v>337</v>
      </c>
      <c r="O142" s="257"/>
      <c r="P142" s="257"/>
      <c r="Q142" s="257"/>
      <c r="R142" s="257"/>
      <c r="S142" s="257"/>
      <c r="T142" s="257"/>
      <c r="U142" s="257"/>
      <c r="V142" s="257"/>
      <c r="W142" s="257"/>
      <c r="X142" s="257"/>
      <c r="Y142" s="257"/>
      <c r="Z142" s="257"/>
      <c r="AA142" s="257"/>
      <c r="AB142" s="257"/>
      <c r="AC142" s="257"/>
      <c r="AD142" s="257"/>
      <c r="AE142" s="257"/>
      <c r="AF142" s="257"/>
      <c r="AG142" s="257"/>
      <c r="AH142" s="257"/>
      <c r="AI142" s="257"/>
      <c r="AJ142" s="257"/>
      <c r="AK142" s="257"/>
      <c r="AL142" s="257"/>
      <c r="AM142" s="257"/>
      <c r="AN142" s="257"/>
      <c r="AO142" s="257"/>
      <c r="AP142" s="257"/>
      <c r="AQ142" s="257"/>
      <c r="AR142" s="257"/>
      <c r="AS142" s="257"/>
      <c r="AT142" s="257"/>
      <c r="AU142" s="257"/>
      <c r="AV142" s="257"/>
      <c r="AW142" s="257"/>
      <c r="AX142" s="257"/>
      <c r="AY142" s="257"/>
      <c r="AZ142" s="257"/>
      <c r="BA142" s="257"/>
      <c r="BB142" s="257"/>
      <c r="BC142" s="257"/>
      <c r="BD142" s="257"/>
      <c r="BE142" s="257"/>
      <c r="BF142" s="257"/>
      <c r="BG142" s="257"/>
      <c r="BH142" s="257"/>
      <c r="BI142" s="257"/>
      <c r="BJ142" s="257"/>
      <c r="BK142" s="257"/>
      <c r="BL142" s="257"/>
      <c r="BM142" s="257"/>
      <c r="BN142" s="257"/>
      <c r="BO142" s="257"/>
      <c r="BP142" s="257"/>
      <c r="BQ142" s="257"/>
      <c r="BR142" s="257"/>
      <c r="BS142" s="257"/>
      <c r="BT142" s="257"/>
      <c r="BU142" s="257"/>
      <c r="BV142" s="257"/>
      <c r="BW142" s="257"/>
      <c r="BX142" s="257"/>
      <c r="BY142" s="257"/>
      <c r="BZ142" s="257"/>
      <c r="CA142" s="257"/>
      <c r="CB142" s="257"/>
      <c r="CC142" s="257"/>
      <c r="CD142" s="257"/>
      <c r="CE142" s="257"/>
      <c r="CF142" s="257"/>
      <c r="CG142" s="257"/>
      <c r="CH142" s="257"/>
      <c r="CI142" s="257"/>
      <c r="CJ142" s="257"/>
      <c r="CK142" s="257"/>
      <c r="CL142" s="257"/>
      <c r="CM142" s="257"/>
      <c r="CN142" s="257"/>
      <c r="CO142" s="257"/>
      <c r="CP142" s="257"/>
      <c r="CQ142" s="257"/>
      <c r="CR142" s="257"/>
      <c r="CS142" s="257"/>
      <c r="CT142" s="257"/>
      <c r="CU142" s="257"/>
      <c r="CV142" s="257"/>
      <c r="CW142" s="257"/>
      <c r="CX142" s="257"/>
      <c r="CY142" s="257"/>
      <c r="CZ142" s="257"/>
      <c r="DA142" s="257"/>
      <c r="DB142" s="257"/>
      <c r="DC142" s="257"/>
      <c r="DD142" s="257"/>
      <c r="DE142" s="257"/>
      <c r="DF142" s="257"/>
      <c r="DG142" s="257"/>
      <c r="DH142" s="257"/>
      <c r="DI142" s="257"/>
      <c r="DJ142" s="257"/>
      <c r="DK142" s="257"/>
      <c r="DL142" s="257"/>
      <c r="DM142" s="257"/>
      <c r="DN142" s="257"/>
      <c r="DO142" s="257"/>
      <c r="DP142" s="257"/>
      <c r="DQ142" s="257"/>
      <c r="DR142" s="257"/>
      <c r="DS142" s="257"/>
      <c r="DT142" s="257"/>
      <c r="DU142" s="257"/>
      <c r="DV142" s="257"/>
    </row>
    <row r="143" spans="1:126" ht="15" thickBot="1" x14ac:dyDescent="0.4">
      <c r="A143" s="257"/>
      <c r="B143" s="257"/>
      <c r="C143" s="257"/>
      <c r="D143" s="259"/>
      <c r="E143" s="259"/>
      <c r="F143" s="259"/>
      <c r="G143" s="259"/>
      <c r="H143" s="259"/>
      <c r="I143" s="259"/>
      <c r="J143" s="259"/>
      <c r="K143" s="259"/>
      <c r="L143" s="259"/>
      <c r="M143" s="259"/>
      <c r="N143" s="257"/>
      <c r="O143" s="257"/>
      <c r="P143" s="257"/>
      <c r="Q143" s="257"/>
      <c r="R143" s="257"/>
      <c r="S143" s="257"/>
      <c r="T143" s="257"/>
      <c r="U143" s="257"/>
      <c r="V143" s="257"/>
      <c r="W143" s="257"/>
      <c r="X143" s="257"/>
      <c r="Y143" s="257"/>
      <c r="Z143" s="257"/>
      <c r="AA143" s="257"/>
      <c r="AB143" s="257"/>
      <c r="AC143" s="257"/>
      <c r="AD143" s="257"/>
      <c r="AE143" s="257"/>
      <c r="AF143" s="257"/>
      <c r="AG143" s="257"/>
      <c r="AH143" s="257"/>
      <c r="AI143" s="257"/>
      <c r="AJ143" s="257"/>
      <c r="AK143" s="257"/>
      <c r="AL143" s="257"/>
      <c r="AM143" s="257"/>
      <c r="AN143" s="257"/>
      <c r="AO143" s="257"/>
      <c r="AP143" s="257"/>
      <c r="AQ143" s="257"/>
      <c r="AR143" s="257"/>
      <c r="AS143" s="257"/>
      <c r="AT143" s="257"/>
      <c r="AU143" s="257"/>
      <c r="AV143" s="257"/>
      <c r="AW143" s="257"/>
      <c r="AX143" s="257"/>
      <c r="AY143" s="257"/>
      <c r="AZ143" s="257"/>
      <c r="BA143" s="257"/>
      <c r="BB143" s="257"/>
      <c r="BC143" s="257"/>
      <c r="BD143" s="257"/>
      <c r="BE143" s="257"/>
      <c r="BF143" s="257"/>
      <c r="BG143" s="257"/>
      <c r="BH143" s="257"/>
      <c r="BI143" s="257"/>
      <c r="BJ143" s="257"/>
      <c r="BK143" s="257"/>
      <c r="BL143" s="257"/>
      <c r="BM143" s="257"/>
      <c r="BN143" s="257"/>
      <c r="BO143" s="257"/>
      <c r="BP143" s="257"/>
      <c r="BQ143" s="257"/>
      <c r="BR143" s="257"/>
      <c r="BS143" s="257"/>
      <c r="BT143" s="257"/>
      <c r="BU143" s="257"/>
      <c r="BV143" s="257"/>
      <c r="BW143" s="257"/>
      <c r="BX143" s="257"/>
      <c r="BY143" s="257"/>
      <c r="BZ143" s="257"/>
      <c r="CA143" s="257"/>
      <c r="CB143" s="257"/>
      <c r="CC143" s="257"/>
      <c r="CD143" s="257"/>
      <c r="CE143" s="257"/>
      <c r="CF143" s="257"/>
      <c r="CG143" s="257"/>
      <c r="CH143" s="257"/>
      <c r="CI143" s="257"/>
      <c r="CJ143" s="257"/>
      <c r="CK143" s="257"/>
      <c r="CL143" s="257"/>
      <c r="CM143" s="257"/>
      <c r="CN143" s="257"/>
      <c r="CO143" s="257"/>
      <c r="CP143" s="257"/>
      <c r="CQ143" s="257"/>
      <c r="CR143" s="257"/>
      <c r="CS143" s="257"/>
      <c r="CT143" s="257"/>
      <c r="CU143" s="257"/>
      <c r="CV143" s="257"/>
      <c r="CW143" s="257"/>
      <c r="CX143" s="257"/>
      <c r="CY143" s="257"/>
      <c r="CZ143" s="257"/>
      <c r="DA143" s="257"/>
      <c r="DB143" s="257"/>
      <c r="DC143" s="257"/>
      <c r="DD143" s="257"/>
      <c r="DE143" s="257"/>
      <c r="DF143" s="257"/>
      <c r="DG143" s="257"/>
      <c r="DH143" s="257"/>
      <c r="DI143" s="257"/>
      <c r="DJ143" s="257"/>
      <c r="DK143" s="257"/>
      <c r="DL143" s="257"/>
      <c r="DM143" s="257"/>
      <c r="DN143" s="257"/>
      <c r="DO143" s="257"/>
      <c r="DP143" s="257"/>
      <c r="DQ143" s="257"/>
      <c r="DR143" s="257"/>
      <c r="DS143" s="257"/>
      <c r="DT143" s="257"/>
      <c r="DU143" s="257"/>
      <c r="DV143" s="257"/>
    </row>
    <row r="144" spans="1:126" x14ac:dyDescent="0.35">
      <c r="A144" s="257"/>
      <c r="B144" s="257"/>
      <c r="C144" s="257"/>
      <c r="D144" s="259"/>
      <c r="E144" s="259"/>
      <c r="F144" s="259"/>
      <c r="G144" s="259"/>
      <c r="H144" s="259"/>
      <c r="I144" s="259"/>
      <c r="J144" s="3729" t="s">
        <v>383</v>
      </c>
      <c r="K144" s="3730"/>
      <c r="L144" s="916">
        <v>3880407</v>
      </c>
      <c r="M144" s="314">
        <v>187158</v>
      </c>
      <c r="N144" s="259"/>
      <c r="O144" s="257"/>
      <c r="P144" s="259"/>
      <c r="Q144" s="259"/>
      <c r="R144" s="259"/>
      <c r="S144" s="259"/>
      <c r="T144" s="259"/>
      <c r="U144" s="259"/>
      <c r="V144" s="259"/>
      <c r="W144" s="259"/>
      <c r="X144" s="259"/>
      <c r="Y144" s="402">
        <v>3880407</v>
      </c>
      <c r="Z144" s="259"/>
      <c r="AA144" s="259"/>
      <c r="AB144" s="259"/>
      <c r="AC144" s="259"/>
      <c r="AD144" s="259"/>
      <c r="AE144" s="259"/>
      <c r="AF144" s="259"/>
      <c r="AG144" s="259"/>
      <c r="AH144" s="259"/>
      <c r="AI144" s="259"/>
      <c r="AJ144" s="259"/>
      <c r="AK144" s="259"/>
      <c r="AL144" s="259"/>
      <c r="AM144" s="259"/>
      <c r="AN144" s="259"/>
      <c r="AO144" s="259"/>
      <c r="AP144" s="259"/>
      <c r="AQ144" s="259"/>
      <c r="AR144" s="259"/>
      <c r="AS144" s="259"/>
      <c r="AT144" s="259"/>
      <c r="AU144" s="259"/>
      <c r="AV144" s="259"/>
      <c r="AW144" s="259"/>
      <c r="AX144" s="259"/>
      <c r="AY144" s="259"/>
      <c r="AZ144" s="259"/>
      <c r="BA144" s="259"/>
      <c r="BB144" s="259"/>
      <c r="BC144" s="259"/>
      <c r="BD144" s="259"/>
      <c r="BE144" s="259"/>
      <c r="BF144" s="259"/>
      <c r="BG144" s="259"/>
      <c r="BH144" s="259"/>
      <c r="BI144" s="259"/>
      <c r="BJ144" s="259"/>
      <c r="BK144" s="259"/>
      <c r="BL144" s="259"/>
      <c r="BM144" s="259"/>
      <c r="BN144" s="259"/>
      <c r="BO144" s="259"/>
      <c r="BP144" s="259"/>
      <c r="BQ144" s="259"/>
      <c r="BR144" s="259"/>
      <c r="BS144" s="259"/>
      <c r="BT144" s="259"/>
      <c r="BU144" s="259"/>
      <c r="BV144" s="259"/>
      <c r="BW144" s="259"/>
      <c r="BX144" s="259"/>
      <c r="BY144" s="259"/>
      <c r="BZ144" s="259"/>
      <c r="CA144" s="259"/>
      <c r="CB144" s="259"/>
      <c r="CC144" s="259"/>
      <c r="CD144" s="259"/>
      <c r="CE144" s="259"/>
      <c r="CF144" s="259"/>
      <c r="CG144" s="259"/>
      <c r="CH144" s="259"/>
      <c r="CI144" s="259"/>
      <c r="CJ144" s="259"/>
      <c r="CK144" s="259"/>
      <c r="CL144" s="259"/>
      <c r="CM144" s="259"/>
      <c r="CN144" s="259"/>
      <c r="CO144" s="259"/>
      <c r="CP144" s="259"/>
      <c r="CQ144" s="259"/>
      <c r="CR144" s="259"/>
      <c r="CS144" s="259"/>
      <c r="CT144" s="259"/>
      <c r="CU144" s="259"/>
      <c r="CV144" s="259"/>
      <c r="CW144" s="259"/>
      <c r="CX144" s="259"/>
      <c r="CY144" s="259"/>
      <c r="CZ144" s="259"/>
      <c r="DA144" s="259"/>
      <c r="DB144" s="259"/>
      <c r="DC144" s="259"/>
      <c r="DD144" s="259"/>
      <c r="DE144" s="259"/>
      <c r="DF144" s="259"/>
      <c r="DG144" s="259"/>
      <c r="DH144" s="259"/>
      <c r="DI144" s="259"/>
      <c r="DJ144" s="259"/>
      <c r="DK144" s="259"/>
      <c r="DL144" s="259"/>
      <c r="DM144" s="259"/>
      <c r="DN144" s="259"/>
      <c r="DO144" s="259"/>
      <c r="DP144" s="259"/>
      <c r="DQ144" s="259"/>
      <c r="DR144" s="259"/>
      <c r="DS144" s="259"/>
      <c r="DT144" s="259"/>
      <c r="DU144" s="259"/>
      <c r="DV144" s="259"/>
    </row>
    <row r="145" spans="1:135" x14ac:dyDescent="0.35">
      <c r="A145" s="257"/>
      <c r="B145" s="257"/>
      <c r="C145" s="259"/>
      <c r="D145" s="259"/>
      <c r="E145" s="259"/>
      <c r="F145" s="259"/>
      <c r="G145" s="259"/>
      <c r="H145" s="259"/>
      <c r="I145" s="259"/>
      <c r="J145" s="3731" t="s">
        <v>384</v>
      </c>
      <c r="K145" s="3732"/>
      <c r="L145" s="315">
        <v>589601</v>
      </c>
      <c r="M145" s="314">
        <v>28437</v>
      </c>
      <c r="N145" s="259"/>
      <c r="O145" s="257"/>
      <c r="P145" s="259"/>
      <c r="Q145" s="259"/>
      <c r="R145" s="259"/>
      <c r="S145" s="259"/>
      <c r="T145" s="259"/>
      <c r="U145" s="259"/>
      <c r="V145" s="259"/>
      <c r="W145" s="259"/>
      <c r="X145" s="259"/>
      <c r="Y145" s="402">
        <v>589601</v>
      </c>
      <c r="Z145" s="259"/>
      <c r="AA145" s="259"/>
      <c r="AB145" s="259"/>
      <c r="AC145" s="259"/>
      <c r="AD145" s="259"/>
      <c r="AE145" s="259"/>
      <c r="AF145" s="259"/>
      <c r="AG145" s="259"/>
      <c r="AH145" s="259"/>
      <c r="AI145" s="259"/>
      <c r="AJ145" s="259"/>
      <c r="AK145" s="259"/>
      <c r="AL145" s="259"/>
      <c r="AM145" s="259"/>
      <c r="AN145" s="259"/>
      <c r="AO145" s="259"/>
      <c r="AP145" s="259"/>
      <c r="AQ145" s="259"/>
      <c r="AR145" s="259"/>
      <c r="AS145" s="259"/>
      <c r="AT145" s="259"/>
      <c r="AU145" s="259"/>
      <c r="AV145" s="259"/>
      <c r="AW145" s="259"/>
      <c r="AX145" s="259"/>
      <c r="AY145" s="259"/>
      <c r="AZ145" s="259"/>
      <c r="BA145" s="259"/>
      <c r="BB145" s="259"/>
      <c r="BC145" s="259"/>
      <c r="BD145" s="259"/>
      <c r="BE145" s="259"/>
      <c r="BF145" s="259"/>
      <c r="BG145" s="259"/>
      <c r="BH145" s="259"/>
      <c r="BI145" s="259"/>
      <c r="BJ145" s="259"/>
      <c r="BK145" s="259"/>
      <c r="BL145" s="259"/>
      <c r="BM145" s="259"/>
      <c r="BN145" s="259"/>
      <c r="BO145" s="259"/>
      <c r="BP145" s="259"/>
      <c r="BQ145" s="259"/>
      <c r="BR145" s="259"/>
      <c r="BS145" s="259"/>
      <c r="BT145" s="259"/>
      <c r="BU145" s="259"/>
      <c r="BV145" s="259"/>
      <c r="BW145" s="259"/>
      <c r="BX145" s="259"/>
      <c r="BY145" s="259"/>
      <c r="BZ145" s="259"/>
      <c r="CA145" s="259"/>
      <c r="CB145" s="259"/>
      <c r="CC145" s="259"/>
      <c r="CD145" s="259"/>
      <c r="CE145" s="259"/>
      <c r="CF145" s="259"/>
      <c r="CG145" s="259"/>
      <c r="CH145" s="259"/>
      <c r="CI145" s="259"/>
      <c r="CJ145" s="259"/>
      <c r="CK145" s="259"/>
      <c r="CL145" s="259"/>
      <c r="CM145" s="259"/>
      <c r="CN145" s="259"/>
      <c r="CO145" s="259"/>
      <c r="CP145" s="259"/>
      <c r="CQ145" s="259"/>
      <c r="CR145" s="259"/>
      <c r="CS145" s="259"/>
      <c r="CT145" s="259"/>
      <c r="CU145" s="259"/>
      <c r="CV145" s="259"/>
      <c r="CW145" s="259"/>
      <c r="CX145" s="259"/>
      <c r="CY145" s="259"/>
      <c r="CZ145" s="259"/>
      <c r="DA145" s="259"/>
      <c r="DB145" s="259"/>
      <c r="DC145" s="259"/>
      <c r="DD145" s="259"/>
      <c r="DE145" s="259"/>
      <c r="DF145" s="259"/>
      <c r="DG145" s="259"/>
      <c r="DH145" s="259"/>
      <c r="DI145" s="259"/>
      <c r="DJ145" s="259"/>
      <c r="DK145" s="259"/>
      <c r="DL145" s="259"/>
      <c r="DM145" s="259"/>
      <c r="DN145" s="259"/>
      <c r="DO145" s="259"/>
      <c r="DP145" s="259"/>
      <c r="DQ145" s="259"/>
      <c r="DR145" s="259"/>
      <c r="DS145" s="259"/>
      <c r="DT145" s="259"/>
      <c r="DU145" s="259"/>
      <c r="DV145" s="259"/>
    </row>
    <row r="146" spans="1:135" x14ac:dyDescent="0.35">
      <c r="A146" s="257"/>
      <c r="B146" s="257"/>
      <c r="C146" s="259"/>
      <c r="D146" s="259"/>
      <c r="E146" s="259"/>
      <c r="F146" s="259"/>
      <c r="G146" s="259"/>
      <c r="H146" s="259"/>
      <c r="I146" s="259"/>
      <c r="J146" s="3733" t="s">
        <v>385</v>
      </c>
      <c r="K146" s="3734"/>
      <c r="L146" s="274">
        <v>4470008</v>
      </c>
      <c r="M146" s="314">
        <v>215595</v>
      </c>
      <c r="N146" s="257" t="s">
        <v>334</v>
      </c>
      <c r="O146" s="257"/>
      <c r="P146" s="259"/>
      <c r="Q146" s="259"/>
      <c r="R146" s="259"/>
      <c r="S146" s="259"/>
      <c r="T146" s="259"/>
      <c r="U146" s="259"/>
      <c r="V146" s="259"/>
      <c r="W146" s="259"/>
      <c r="X146" s="259"/>
      <c r="Y146" s="402">
        <f>SUM(Y144:Y145)</f>
        <v>4470008</v>
      </c>
      <c r="Z146" s="259"/>
      <c r="AA146" s="259"/>
      <c r="AB146" s="259"/>
      <c r="AC146" s="259"/>
      <c r="AD146" s="259"/>
      <c r="AE146" s="259"/>
      <c r="AF146" s="259"/>
      <c r="AG146" s="259"/>
      <c r="AH146" s="259"/>
      <c r="AI146" s="259"/>
      <c r="AJ146" s="259"/>
      <c r="AK146" s="259"/>
      <c r="AL146" s="259"/>
      <c r="AM146" s="259"/>
      <c r="AN146" s="259"/>
      <c r="AO146" s="259"/>
      <c r="AP146" s="259"/>
      <c r="AQ146" s="259"/>
      <c r="AR146" s="259"/>
      <c r="AS146" s="259"/>
      <c r="AT146" s="259"/>
      <c r="AU146" s="259"/>
      <c r="AV146" s="259"/>
      <c r="AW146" s="259"/>
      <c r="AX146" s="259"/>
      <c r="AY146" s="259"/>
      <c r="AZ146" s="259"/>
      <c r="BA146" s="259"/>
      <c r="BB146" s="259"/>
      <c r="BC146" s="259"/>
      <c r="BD146" s="259"/>
      <c r="BE146" s="259"/>
      <c r="BF146" s="259"/>
      <c r="BG146" s="259"/>
      <c r="BH146" s="259"/>
      <c r="BI146" s="259"/>
      <c r="BJ146" s="259"/>
      <c r="BK146" s="259"/>
      <c r="BL146" s="259"/>
      <c r="BM146" s="259"/>
      <c r="BN146" s="259"/>
      <c r="BO146" s="259"/>
      <c r="BP146" s="259"/>
      <c r="BQ146" s="259"/>
      <c r="BR146" s="259"/>
      <c r="BS146" s="259"/>
      <c r="BT146" s="259"/>
      <c r="BU146" s="259"/>
      <c r="BV146" s="259"/>
      <c r="BW146" s="259"/>
      <c r="BX146" s="259"/>
      <c r="BY146" s="259"/>
      <c r="BZ146" s="259"/>
      <c r="CA146" s="259"/>
      <c r="CB146" s="259"/>
      <c r="CC146" s="259"/>
      <c r="CD146" s="259"/>
      <c r="CE146" s="259"/>
      <c r="CF146" s="259"/>
      <c r="CG146" s="259"/>
      <c r="CH146" s="259"/>
      <c r="CI146" s="259"/>
      <c r="CJ146" s="259"/>
      <c r="CK146" s="259"/>
      <c r="CL146" s="259"/>
      <c r="CM146" s="259"/>
      <c r="CN146" s="259"/>
      <c r="CO146" s="259"/>
      <c r="CP146" s="259"/>
      <c r="CQ146" s="259"/>
      <c r="CR146" s="259"/>
      <c r="CS146" s="259"/>
      <c r="CT146" s="259"/>
      <c r="CU146" s="259"/>
      <c r="CV146" s="259"/>
      <c r="CW146" s="259"/>
      <c r="CX146" s="259"/>
      <c r="CY146" s="259"/>
      <c r="CZ146" s="259"/>
      <c r="DA146" s="259"/>
      <c r="DB146" s="259"/>
      <c r="DC146" s="259"/>
      <c r="DD146" s="259"/>
      <c r="DE146" s="259"/>
      <c r="DF146" s="259"/>
      <c r="DG146" s="259"/>
      <c r="DH146" s="259"/>
      <c r="DI146" s="259"/>
      <c r="DJ146" s="259"/>
      <c r="DK146" s="259"/>
      <c r="DL146" s="259"/>
      <c r="DM146" s="259"/>
      <c r="DN146" s="259"/>
      <c r="DO146" s="259"/>
      <c r="DP146" s="259"/>
      <c r="DQ146" s="259"/>
      <c r="DR146" s="259"/>
      <c r="DS146" s="259"/>
      <c r="DT146" s="259"/>
      <c r="DU146" s="259"/>
      <c r="DV146" s="259"/>
    </row>
    <row r="147" spans="1:135" x14ac:dyDescent="0.35">
      <c r="A147" s="257"/>
      <c r="B147" s="257"/>
      <c r="C147" s="259"/>
      <c r="D147" s="259"/>
      <c r="E147" s="259"/>
      <c r="F147" s="259"/>
      <c r="G147" s="259"/>
      <c r="H147" s="259"/>
      <c r="I147" s="259"/>
      <c r="J147" s="259"/>
      <c r="K147" s="259"/>
      <c r="L147" s="259" t="s">
        <v>358</v>
      </c>
      <c r="M147" s="257"/>
      <c r="N147" s="257"/>
      <c r="O147" s="257"/>
      <c r="P147" s="259"/>
      <c r="Q147" s="259"/>
      <c r="R147" s="259"/>
      <c r="S147" s="259"/>
      <c r="T147" s="259"/>
      <c r="U147" s="259"/>
      <c r="V147" s="259"/>
      <c r="W147" s="259"/>
      <c r="X147" s="259"/>
      <c r="Y147" s="259"/>
      <c r="Z147" s="259"/>
      <c r="AA147" s="259"/>
      <c r="AB147" s="259"/>
      <c r="AC147" s="259"/>
      <c r="AD147" s="259"/>
      <c r="AE147" s="259"/>
      <c r="AF147" s="259"/>
      <c r="AG147" s="259"/>
      <c r="AH147" s="259"/>
      <c r="AI147" s="259"/>
      <c r="AJ147" s="259"/>
      <c r="AK147" s="259"/>
      <c r="AL147" s="259"/>
      <c r="AM147" s="259"/>
      <c r="AN147" s="259"/>
      <c r="AO147" s="259"/>
      <c r="AP147" s="259"/>
      <c r="AQ147" s="259"/>
      <c r="AR147" s="259"/>
      <c r="AS147" s="259"/>
      <c r="AT147" s="259"/>
      <c r="AU147" s="259"/>
      <c r="AV147" s="259"/>
      <c r="AW147" s="259"/>
      <c r="AX147" s="259"/>
      <c r="AY147" s="259"/>
      <c r="AZ147" s="259"/>
      <c r="BA147" s="259"/>
      <c r="BB147" s="259"/>
      <c r="BC147" s="259"/>
      <c r="BD147" s="259"/>
      <c r="BE147" s="259"/>
      <c r="BF147" s="259"/>
      <c r="BG147" s="259"/>
      <c r="BH147" s="259"/>
      <c r="BI147" s="259"/>
      <c r="BJ147" s="259"/>
      <c r="BK147" s="259"/>
      <c r="BL147" s="259"/>
      <c r="BM147" s="259"/>
      <c r="BN147" s="259"/>
      <c r="BO147" s="259"/>
      <c r="BP147" s="259"/>
      <c r="BQ147" s="259"/>
      <c r="BR147" s="259"/>
      <c r="BS147" s="259"/>
      <c r="BT147" s="259"/>
      <c r="BU147" s="259"/>
      <c r="BV147" s="259"/>
      <c r="BW147" s="259"/>
      <c r="BX147" s="259"/>
      <c r="BY147" s="259"/>
      <c r="BZ147" s="259"/>
      <c r="CA147" s="259"/>
      <c r="CB147" s="259"/>
      <c r="CC147" s="259"/>
      <c r="CD147" s="259"/>
      <c r="CE147" s="259"/>
      <c r="CF147" s="259"/>
      <c r="CG147" s="259"/>
      <c r="CH147" s="259"/>
      <c r="CI147" s="259"/>
      <c r="CJ147" s="259"/>
      <c r="CK147" s="259"/>
      <c r="CL147" s="259"/>
      <c r="CM147" s="259"/>
      <c r="CN147" s="259"/>
      <c r="CO147" s="259"/>
      <c r="CP147" s="259"/>
      <c r="CQ147" s="259"/>
      <c r="CR147" s="259"/>
      <c r="CS147" s="259"/>
      <c r="CT147" s="259"/>
      <c r="CU147" s="259"/>
      <c r="CV147" s="259"/>
      <c r="CW147" s="259"/>
      <c r="CX147" s="259"/>
      <c r="CY147" s="259"/>
      <c r="CZ147" s="259"/>
      <c r="DA147" s="259"/>
      <c r="DB147" s="259"/>
      <c r="DC147" s="259"/>
      <c r="DD147" s="259"/>
      <c r="DE147" s="259"/>
      <c r="DF147" s="259"/>
      <c r="DG147" s="259"/>
      <c r="DH147" s="259"/>
      <c r="DI147" s="259"/>
      <c r="DJ147" s="259"/>
      <c r="DK147" s="259"/>
      <c r="DL147" s="259"/>
      <c r="DM147" s="259"/>
      <c r="DN147" s="259"/>
      <c r="DO147" s="259"/>
      <c r="DP147" s="259"/>
      <c r="DQ147" s="259"/>
      <c r="DR147" s="259"/>
      <c r="DS147" s="259"/>
      <c r="DT147" s="259"/>
      <c r="DU147" s="259"/>
      <c r="DV147" s="259"/>
    </row>
    <row r="148" spans="1:135" x14ac:dyDescent="0.35">
      <c r="A148" s="257"/>
      <c r="B148" s="257"/>
      <c r="C148" s="259"/>
      <c r="D148" s="259"/>
      <c r="E148" s="259"/>
      <c r="F148" s="259"/>
      <c r="G148" s="259"/>
      <c r="H148" s="259"/>
      <c r="I148" s="259"/>
      <c r="J148" s="259"/>
      <c r="K148" s="259"/>
      <c r="L148" s="259"/>
      <c r="M148" s="385">
        <f>'Cost Summary'!Z16/20.8</f>
        <v>43206.25</v>
      </c>
      <c r="N148" s="257"/>
      <c r="O148" s="257"/>
      <c r="P148" s="259"/>
      <c r="Q148" s="259"/>
      <c r="R148" s="259"/>
      <c r="S148" s="259"/>
      <c r="T148" s="259"/>
      <c r="U148" s="259"/>
      <c r="V148" s="259"/>
      <c r="W148" s="259"/>
      <c r="X148" s="259"/>
      <c r="Y148" s="259"/>
      <c r="Z148" s="259"/>
      <c r="AA148" s="259"/>
      <c r="AB148" s="259"/>
      <c r="AC148" s="259"/>
      <c r="AD148" s="259"/>
      <c r="AE148" s="259"/>
      <c r="AF148" s="259"/>
      <c r="AG148" s="259"/>
      <c r="AH148" s="259"/>
      <c r="AI148" s="259"/>
      <c r="AJ148" s="259"/>
      <c r="AK148" s="259"/>
      <c r="AL148" s="259"/>
      <c r="AM148" s="259"/>
      <c r="AN148" s="259"/>
      <c r="AO148" s="259"/>
      <c r="AP148" s="259"/>
      <c r="AQ148" s="259"/>
      <c r="AR148" s="259"/>
      <c r="AS148" s="259"/>
      <c r="AT148" s="259"/>
      <c r="AU148" s="259"/>
      <c r="AV148" s="259"/>
      <c r="AW148" s="259"/>
      <c r="AX148" s="259"/>
      <c r="AY148" s="259"/>
      <c r="AZ148" s="259"/>
      <c r="BA148" s="259"/>
      <c r="BB148" s="259"/>
      <c r="BC148" s="259"/>
      <c r="BD148" s="259"/>
      <c r="BE148" s="259"/>
      <c r="BF148" s="259"/>
      <c r="BG148" s="259"/>
      <c r="BH148" s="259"/>
      <c r="BI148" s="259"/>
      <c r="BJ148" s="259"/>
      <c r="BK148" s="259"/>
      <c r="BL148" s="259"/>
      <c r="BM148" s="259"/>
      <c r="BN148" s="259"/>
      <c r="BO148" s="259"/>
      <c r="BP148" s="259"/>
      <c r="BQ148" s="259"/>
      <c r="BR148" s="259"/>
      <c r="BS148" s="259"/>
      <c r="BT148" s="259"/>
      <c r="BU148" s="259"/>
      <c r="BV148" s="259"/>
      <c r="BW148" s="259"/>
      <c r="BX148" s="259"/>
      <c r="BY148" s="259"/>
      <c r="BZ148" s="259"/>
      <c r="CA148" s="259"/>
      <c r="CB148" s="259"/>
      <c r="CC148" s="259"/>
      <c r="CD148" s="259"/>
      <c r="CE148" s="259"/>
      <c r="CF148" s="259"/>
      <c r="CG148" s="259"/>
      <c r="CH148" s="259"/>
      <c r="CI148" s="259"/>
      <c r="CJ148" s="259"/>
      <c r="CK148" s="259"/>
      <c r="CL148" s="259"/>
      <c r="CM148" s="259"/>
      <c r="CN148" s="259"/>
      <c r="CO148" s="259"/>
      <c r="CP148" s="259"/>
      <c r="CQ148" s="259"/>
      <c r="CR148" s="259"/>
      <c r="CS148" s="259"/>
      <c r="CT148" s="259"/>
      <c r="CU148" s="259"/>
      <c r="CV148" s="259"/>
      <c r="CW148" s="259"/>
      <c r="CX148" s="259"/>
      <c r="CY148" s="259"/>
      <c r="CZ148" s="259"/>
      <c r="DA148" s="259"/>
      <c r="DB148" s="259"/>
      <c r="DC148" s="259"/>
      <c r="DD148" s="259"/>
      <c r="DE148" s="259"/>
      <c r="DF148" s="259"/>
      <c r="DG148" s="259"/>
      <c r="DH148" s="259"/>
      <c r="DI148" s="259"/>
      <c r="DJ148" s="259"/>
      <c r="DK148" s="259"/>
      <c r="DL148" s="259"/>
      <c r="DM148" s="259"/>
      <c r="DN148" s="259"/>
      <c r="DO148" s="259"/>
      <c r="DP148" s="259"/>
      <c r="DQ148" s="259"/>
      <c r="DR148" s="259"/>
      <c r="DS148" s="259"/>
      <c r="DT148" s="259"/>
      <c r="DU148" s="259"/>
      <c r="DV148" s="259"/>
    </row>
    <row r="149" spans="1:135" x14ac:dyDescent="0.35">
      <c r="A149" s="257"/>
      <c r="B149" s="257"/>
      <c r="C149" s="259"/>
      <c r="D149" s="259"/>
      <c r="E149" s="259"/>
      <c r="F149" s="259"/>
      <c r="G149" s="259"/>
      <c r="H149" s="259"/>
      <c r="I149" s="259"/>
      <c r="J149" s="259"/>
      <c r="K149" s="259"/>
      <c r="L149" s="259"/>
      <c r="M149" s="386">
        <f>M146+M148</f>
        <v>258801.25</v>
      </c>
      <c r="N149" s="257"/>
      <c r="O149" s="257"/>
      <c r="P149" s="259"/>
      <c r="Q149" s="259"/>
      <c r="R149" s="259"/>
      <c r="S149" s="259"/>
      <c r="T149" s="259"/>
      <c r="U149" s="259"/>
      <c r="V149" s="259"/>
      <c r="W149" s="259"/>
      <c r="X149" s="259"/>
      <c r="Y149" s="259"/>
      <c r="Z149" s="259"/>
      <c r="AA149" s="259"/>
      <c r="AB149" s="259"/>
      <c r="AC149" s="259"/>
      <c r="AD149" s="259"/>
      <c r="AE149" s="259"/>
      <c r="AF149" s="259"/>
      <c r="AG149" s="259"/>
      <c r="AH149" s="259"/>
      <c r="AI149" s="259"/>
      <c r="AJ149" s="259"/>
      <c r="AK149" s="259"/>
      <c r="AL149" s="259"/>
      <c r="AM149" s="259"/>
      <c r="AN149" s="259"/>
      <c r="AO149" s="259"/>
      <c r="AP149" s="259"/>
      <c r="AQ149" s="259"/>
      <c r="AR149" s="259"/>
      <c r="AS149" s="259"/>
      <c r="AT149" s="259"/>
      <c r="AU149" s="259"/>
      <c r="AV149" s="259"/>
      <c r="AW149" s="259"/>
      <c r="AX149" s="259"/>
      <c r="AY149" s="259"/>
      <c r="AZ149" s="259"/>
      <c r="BA149" s="259"/>
      <c r="BB149" s="259"/>
      <c r="BC149" s="259"/>
      <c r="BD149" s="259"/>
      <c r="BE149" s="259"/>
      <c r="BF149" s="259"/>
      <c r="BG149" s="259"/>
      <c r="BH149" s="259"/>
      <c r="BI149" s="259"/>
      <c r="BJ149" s="259"/>
      <c r="BK149" s="259"/>
      <c r="BL149" s="259"/>
      <c r="BM149" s="259"/>
      <c r="BN149" s="259"/>
      <c r="BO149" s="259"/>
      <c r="BP149" s="259"/>
      <c r="BQ149" s="259"/>
      <c r="BR149" s="259"/>
      <c r="BS149" s="259"/>
      <c r="BT149" s="259"/>
      <c r="BU149" s="259"/>
      <c r="BV149" s="259"/>
      <c r="BW149" s="259"/>
      <c r="BX149" s="259"/>
      <c r="BY149" s="259"/>
      <c r="BZ149" s="259"/>
      <c r="CA149" s="259"/>
      <c r="CB149" s="259"/>
      <c r="CC149" s="259"/>
      <c r="CD149" s="259"/>
      <c r="CE149" s="259"/>
      <c r="CF149" s="259"/>
      <c r="CG149" s="259"/>
      <c r="CH149" s="259"/>
      <c r="CI149" s="259"/>
      <c r="CJ149" s="259"/>
      <c r="CK149" s="259"/>
      <c r="CL149" s="259"/>
      <c r="CM149" s="259"/>
      <c r="CN149" s="259"/>
      <c r="CO149" s="259"/>
      <c r="CP149" s="259"/>
      <c r="CQ149" s="259"/>
      <c r="CR149" s="259"/>
      <c r="CS149" s="259"/>
      <c r="CT149" s="259"/>
      <c r="CU149" s="259"/>
      <c r="CV149" s="259"/>
      <c r="CW149" s="259"/>
      <c r="CX149" s="259"/>
      <c r="CY149" s="259"/>
      <c r="CZ149" s="259"/>
      <c r="DA149" s="259"/>
      <c r="DB149" s="259"/>
      <c r="DC149" s="259"/>
      <c r="DD149" s="259"/>
      <c r="DE149" s="259"/>
      <c r="DF149" s="259"/>
      <c r="DG149" s="259"/>
      <c r="DH149" s="259"/>
      <c r="DI149" s="259"/>
      <c r="DJ149" s="259"/>
      <c r="DK149" s="259"/>
      <c r="DL149" s="259"/>
      <c r="DM149" s="259"/>
      <c r="DN149" s="259"/>
      <c r="DO149" s="259"/>
      <c r="DP149" s="259"/>
      <c r="DQ149" s="259"/>
      <c r="DR149" s="259"/>
      <c r="DS149" s="259"/>
      <c r="DT149" s="259"/>
      <c r="DU149" s="259"/>
      <c r="DV149" s="259"/>
    </row>
    <row r="150" spans="1:135" x14ac:dyDescent="0.35">
      <c r="A150" s="257"/>
      <c r="B150" s="257"/>
      <c r="C150" s="259"/>
      <c r="D150" s="259"/>
      <c r="E150" s="259"/>
      <c r="F150" s="259"/>
      <c r="G150" s="259"/>
      <c r="H150" s="259"/>
      <c r="I150" s="259"/>
      <c r="J150" s="259"/>
      <c r="K150" s="259"/>
      <c r="L150" s="259"/>
      <c r="M150" s="259"/>
      <c r="N150" s="257"/>
      <c r="O150" s="257"/>
      <c r="P150" s="259"/>
      <c r="Q150" s="259"/>
      <c r="R150" s="259"/>
      <c r="S150" s="259"/>
      <c r="T150" s="259"/>
      <c r="U150" s="259"/>
      <c r="V150" s="259"/>
      <c r="W150" s="259"/>
      <c r="X150" s="259"/>
      <c r="Y150" s="259"/>
      <c r="Z150" s="259"/>
      <c r="AA150" s="259"/>
      <c r="AB150" s="259"/>
      <c r="AC150" s="259"/>
      <c r="AD150" s="259"/>
      <c r="AE150" s="259"/>
      <c r="AF150" s="259"/>
      <c r="AG150" s="259"/>
      <c r="AH150" s="259"/>
      <c r="AI150" s="259"/>
      <c r="AJ150" s="259"/>
      <c r="AK150" s="259"/>
      <c r="AL150" s="259"/>
      <c r="AM150" s="259"/>
      <c r="AN150" s="259"/>
      <c r="AO150" s="259"/>
      <c r="AP150" s="259"/>
      <c r="AQ150" s="259"/>
      <c r="AR150" s="259"/>
      <c r="AS150" s="259"/>
      <c r="AT150" s="259"/>
      <c r="AU150" s="259"/>
      <c r="AV150" s="259"/>
      <c r="AW150" s="259"/>
      <c r="AX150" s="259"/>
      <c r="AY150" s="259"/>
      <c r="AZ150" s="259"/>
      <c r="BA150" s="259"/>
      <c r="BB150" s="259"/>
      <c r="BC150" s="259"/>
      <c r="BD150" s="259"/>
      <c r="BE150" s="259"/>
      <c r="BF150" s="259"/>
      <c r="BG150" s="259"/>
      <c r="BH150" s="259"/>
      <c r="BI150" s="259"/>
      <c r="BJ150" s="259"/>
      <c r="BK150" s="259"/>
      <c r="BL150" s="259"/>
      <c r="BM150" s="259"/>
      <c r="BN150" s="259"/>
      <c r="BO150" s="259"/>
      <c r="BP150" s="259"/>
      <c r="BQ150" s="259"/>
      <c r="BR150" s="259"/>
      <c r="BS150" s="259"/>
      <c r="BT150" s="259"/>
      <c r="BU150" s="259"/>
      <c r="BV150" s="259"/>
      <c r="BW150" s="259"/>
      <c r="BX150" s="259"/>
      <c r="BY150" s="259"/>
      <c r="BZ150" s="259"/>
      <c r="CA150" s="259"/>
      <c r="CB150" s="259"/>
      <c r="CC150" s="259"/>
      <c r="CD150" s="259"/>
      <c r="CE150" s="259"/>
      <c r="CF150" s="259"/>
      <c r="CG150" s="259"/>
      <c r="CH150" s="259"/>
      <c r="CI150" s="259"/>
      <c r="CJ150" s="259"/>
      <c r="CK150" s="259"/>
      <c r="CL150" s="259"/>
      <c r="CM150" s="259"/>
      <c r="CN150" s="259"/>
      <c r="CO150" s="259"/>
      <c r="CP150" s="259"/>
      <c r="CQ150" s="259"/>
      <c r="CR150" s="259"/>
      <c r="CS150" s="259"/>
      <c r="CT150" s="259"/>
      <c r="CU150" s="259"/>
      <c r="CV150" s="259"/>
      <c r="CW150" s="259"/>
      <c r="CX150" s="259"/>
      <c r="CY150" s="259"/>
      <c r="CZ150" s="259"/>
      <c r="DA150" s="259"/>
      <c r="DB150" s="259"/>
      <c r="DC150" s="259"/>
      <c r="DD150" s="259"/>
      <c r="DE150" s="259"/>
      <c r="DF150" s="259"/>
      <c r="DG150" s="259"/>
      <c r="DH150" s="259"/>
      <c r="DI150" s="259"/>
      <c r="DJ150" s="259"/>
      <c r="DK150" s="259"/>
      <c r="DL150" s="259"/>
      <c r="DM150" s="259"/>
      <c r="DN150" s="259"/>
      <c r="DO150" s="259"/>
      <c r="DP150" s="259"/>
      <c r="DQ150" s="259"/>
      <c r="DR150" s="259"/>
      <c r="DS150" s="259"/>
      <c r="DT150" s="259"/>
      <c r="DU150" s="259"/>
      <c r="DV150" s="259"/>
    </row>
    <row r="151" spans="1:135" x14ac:dyDescent="0.35">
      <c r="A151" s="257"/>
      <c r="B151" s="257"/>
      <c r="C151" s="259"/>
      <c r="D151" s="259"/>
      <c r="E151" s="259"/>
      <c r="F151" s="259"/>
      <c r="G151" s="259"/>
      <c r="H151" s="259"/>
      <c r="I151" s="259"/>
      <c r="J151" s="259"/>
      <c r="K151" s="259"/>
      <c r="L151" s="259"/>
      <c r="M151" s="259"/>
      <c r="N151" s="257"/>
      <c r="O151" s="257"/>
      <c r="P151" s="259"/>
      <c r="Q151" s="259"/>
      <c r="R151" s="259"/>
      <c r="S151" s="259"/>
      <c r="T151" s="259"/>
      <c r="U151" s="259"/>
      <c r="V151" s="259"/>
      <c r="W151" s="259"/>
      <c r="X151" s="259"/>
      <c r="Y151" s="259"/>
      <c r="Z151" s="259"/>
      <c r="AA151" s="259"/>
      <c r="AB151" s="259"/>
      <c r="AC151" s="259"/>
      <c r="AD151" s="259"/>
      <c r="AE151" s="259"/>
      <c r="AF151" s="259"/>
      <c r="AG151" s="259"/>
      <c r="AH151" s="259"/>
      <c r="AI151" s="259"/>
      <c r="AJ151" s="259"/>
      <c r="AK151" s="259"/>
      <c r="AL151" s="259"/>
      <c r="AM151" s="259"/>
      <c r="AN151" s="259"/>
      <c r="AO151" s="259"/>
      <c r="AP151" s="259"/>
      <c r="AQ151" s="259"/>
      <c r="AR151" s="259"/>
      <c r="AS151" s="259"/>
      <c r="AT151" s="259"/>
      <c r="AU151" s="259"/>
      <c r="AV151" s="259"/>
      <c r="AW151" s="259"/>
      <c r="AX151" s="259"/>
      <c r="AY151" s="259"/>
      <c r="AZ151" s="259"/>
      <c r="BA151" s="259"/>
      <c r="BB151" s="259"/>
      <c r="BC151" s="259"/>
      <c r="BD151" s="259"/>
      <c r="BE151" s="259"/>
      <c r="BF151" s="259"/>
      <c r="BG151" s="259"/>
      <c r="BH151" s="259"/>
      <c r="BI151" s="259"/>
      <c r="BJ151" s="259"/>
      <c r="BK151" s="259"/>
      <c r="BL151" s="259"/>
      <c r="BM151" s="259"/>
      <c r="BN151" s="259"/>
      <c r="BO151" s="259"/>
      <c r="BP151" s="259"/>
      <c r="BQ151" s="259"/>
      <c r="BR151" s="259"/>
      <c r="BS151" s="259"/>
      <c r="BT151" s="259"/>
      <c r="BU151" s="259"/>
      <c r="BV151" s="259"/>
      <c r="BW151" s="259"/>
      <c r="BX151" s="259"/>
      <c r="BY151" s="259"/>
      <c r="BZ151" s="259"/>
      <c r="CA151" s="259"/>
      <c r="CB151" s="259"/>
      <c r="CC151" s="259"/>
      <c r="CD151" s="259"/>
      <c r="CE151" s="259"/>
      <c r="CF151" s="259"/>
      <c r="CG151" s="259"/>
      <c r="CH151" s="259"/>
      <c r="CI151" s="259"/>
      <c r="CJ151" s="259"/>
      <c r="CK151" s="259"/>
      <c r="CL151" s="259"/>
      <c r="CM151" s="259"/>
      <c r="CN151" s="259"/>
      <c r="CO151" s="259"/>
      <c r="CP151" s="259"/>
      <c r="CQ151" s="259"/>
      <c r="CR151" s="259"/>
      <c r="CS151" s="259"/>
      <c r="CT151" s="259"/>
      <c r="CU151" s="259"/>
      <c r="CV151" s="259"/>
      <c r="CW151" s="259"/>
      <c r="CX151" s="259"/>
      <c r="CY151" s="259"/>
      <c r="CZ151" s="259"/>
      <c r="DA151" s="259"/>
      <c r="DB151" s="259"/>
      <c r="DC151" s="259"/>
      <c r="DD151" s="259"/>
      <c r="DE151" s="259"/>
      <c r="DF151" s="259"/>
      <c r="DG151" s="259"/>
      <c r="DH151" s="259"/>
      <c r="DI151" s="259"/>
      <c r="DJ151" s="259"/>
      <c r="DK151" s="259"/>
      <c r="DL151" s="259"/>
      <c r="DM151" s="259"/>
      <c r="DN151" s="259"/>
      <c r="DO151" s="259"/>
      <c r="DP151" s="259"/>
      <c r="DQ151" s="259"/>
      <c r="DR151" s="259"/>
      <c r="DS151" s="259"/>
      <c r="DT151" s="259"/>
      <c r="DU151" s="259"/>
      <c r="DV151" s="259"/>
    </row>
    <row r="152" spans="1:135" x14ac:dyDescent="0.35">
      <c r="A152" s="257"/>
      <c r="B152" s="257"/>
      <c r="C152" s="259"/>
      <c r="D152" s="259"/>
      <c r="E152" s="259"/>
      <c r="F152" s="259"/>
      <c r="G152" s="259"/>
      <c r="H152" s="259"/>
      <c r="I152" s="259"/>
      <c r="J152" s="259"/>
      <c r="K152" s="259"/>
      <c r="L152" s="259"/>
      <c r="M152" s="259"/>
      <c r="N152" s="257"/>
      <c r="O152" s="257"/>
      <c r="P152" s="259"/>
      <c r="Q152" s="259"/>
      <c r="R152" s="259"/>
      <c r="S152" s="259"/>
      <c r="T152" s="259"/>
      <c r="U152" s="259"/>
      <c r="V152" s="259"/>
      <c r="W152" s="259"/>
      <c r="X152" s="259"/>
      <c r="Y152" s="259"/>
      <c r="Z152" s="259"/>
      <c r="AA152" s="259"/>
      <c r="AB152" s="259"/>
      <c r="AC152" s="259"/>
      <c r="AD152" s="259"/>
      <c r="AE152" s="259"/>
      <c r="AF152" s="259"/>
      <c r="AG152" s="259"/>
      <c r="AH152" s="259"/>
      <c r="AI152" s="259"/>
      <c r="AJ152" s="259"/>
      <c r="AK152" s="259"/>
      <c r="AL152" s="259"/>
      <c r="AM152" s="259"/>
      <c r="AN152" s="259"/>
      <c r="AO152" s="259"/>
      <c r="AP152" s="259"/>
      <c r="AQ152" s="259"/>
      <c r="AR152" s="259"/>
      <c r="AS152" s="259"/>
      <c r="AT152" s="259"/>
      <c r="AU152" s="259"/>
      <c r="AV152" s="259"/>
      <c r="AW152" s="259"/>
      <c r="AX152" s="259"/>
      <c r="AY152" s="259"/>
      <c r="AZ152" s="259"/>
      <c r="BA152" s="259"/>
      <c r="BB152" s="259"/>
      <c r="BC152" s="259"/>
      <c r="BD152" s="259"/>
      <c r="BE152" s="259"/>
      <c r="BF152" s="259"/>
      <c r="BG152" s="259"/>
      <c r="BH152" s="259"/>
      <c r="BI152" s="259"/>
      <c r="BJ152" s="259"/>
      <c r="BK152" s="259"/>
      <c r="BL152" s="259"/>
      <c r="BM152" s="259"/>
      <c r="BN152" s="259"/>
      <c r="BO152" s="259"/>
      <c r="BP152" s="259"/>
      <c r="BQ152" s="259"/>
      <c r="BR152" s="259"/>
      <c r="BS152" s="259"/>
      <c r="BT152" s="259"/>
      <c r="BU152" s="259"/>
      <c r="BV152" s="259"/>
      <c r="BW152" s="259"/>
      <c r="BX152" s="259"/>
      <c r="BY152" s="259"/>
      <c r="BZ152" s="259"/>
      <c r="CA152" s="259"/>
      <c r="CB152" s="259"/>
      <c r="CC152" s="259"/>
      <c r="CD152" s="259"/>
      <c r="CE152" s="259"/>
      <c r="CF152" s="259"/>
      <c r="CG152" s="259"/>
      <c r="CH152" s="259"/>
      <c r="CI152" s="259"/>
      <c r="CJ152" s="259"/>
      <c r="CK152" s="259"/>
      <c r="CL152" s="259"/>
      <c r="CM152" s="259"/>
      <c r="CN152" s="259"/>
      <c r="CO152" s="259"/>
      <c r="CP152" s="259"/>
      <c r="CQ152" s="259"/>
      <c r="CR152" s="259"/>
      <c r="CS152" s="259"/>
      <c r="CT152" s="259"/>
      <c r="CU152" s="259"/>
      <c r="CV152" s="259"/>
      <c r="CW152" s="259"/>
      <c r="CX152" s="259"/>
      <c r="CY152" s="259"/>
      <c r="CZ152" s="259"/>
      <c r="DA152" s="259"/>
      <c r="DB152" s="259"/>
      <c r="DC152" s="259"/>
      <c r="DD152" s="259"/>
      <c r="DE152" s="259"/>
      <c r="DF152" s="259"/>
      <c r="DG152" s="259"/>
      <c r="DH152" s="259"/>
      <c r="DI152" s="259"/>
      <c r="DJ152" s="259"/>
      <c r="DK152" s="259"/>
      <c r="DL152" s="259"/>
      <c r="DM152" s="259"/>
      <c r="DN152" s="259"/>
      <c r="DO152" s="259"/>
      <c r="DP152" s="259"/>
      <c r="DQ152" s="259"/>
      <c r="DR152" s="259"/>
      <c r="DS152" s="259"/>
      <c r="DT152" s="259"/>
      <c r="DU152" s="259"/>
      <c r="DV152" s="259"/>
    </row>
    <row r="153" spans="1:135" x14ac:dyDescent="0.35">
      <c r="A153" s="257"/>
      <c r="B153" s="257"/>
      <c r="C153" s="259"/>
      <c r="D153" s="259"/>
      <c r="E153" s="259"/>
      <c r="F153" s="259"/>
      <c r="G153" s="259"/>
      <c r="H153" s="259"/>
      <c r="I153" s="259"/>
      <c r="J153" s="259"/>
      <c r="K153" s="259"/>
      <c r="L153" s="259"/>
      <c r="M153" s="259"/>
      <c r="N153" s="257"/>
      <c r="O153" s="257"/>
      <c r="P153" s="259"/>
      <c r="Q153" s="259"/>
      <c r="R153" s="259"/>
      <c r="S153" s="259"/>
      <c r="T153" s="259"/>
      <c r="U153" s="259"/>
      <c r="V153" s="259"/>
      <c r="W153" s="259"/>
      <c r="X153" s="259"/>
      <c r="Y153" s="259"/>
      <c r="Z153" s="259"/>
      <c r="AA153" s="259"/>
      <c r="AB153" s="259"/>
      <c r="AC153" s="259"/>
      <c r="AD153" s="259"/>
      <c r="AE153" s="259"/>
      <c r="AF153" s="259"/>
      <c r="AG153" s="259"/>
      <c r="AH153" s="259"/>
      <c r="AI153" s="259"/>
      <c r="AJ153" s="259"/>
      <c r="AK153" s="259"/>
      <c r="AL153" s="259"/>
      <c r="AM153" s="259"/>
      <c r="AN153" s="259"/>
      <c r="AO153" s="259"/>
      <c r="AP153" s="259"/>
      <c r="AQ153" s="259"/>
      <c r="AR153" s="259"/>
      <c r="AS153" s="259"/>
      <c r="AT153" s="259"/>
      <c r="AU153" s="259"/>
      <c r="AV153" s="259"/>
      <c r="AW153" s="259"/>
      <c r="AX153" s="259"/>
      <c r="AY153" s="259"/>
      <c r="AZ153" s="259"/>
      <c r="BA153" s="259"/>
      <c r="BB153" s="259"/>
      <c r="BC153" s="259"/>
      <c r="BD153" s="259"/>
      <c r="BE153" s="259"/>
      <c r="BF153" s="259"/>
      <c r="BG153" s="259"/>
      <c r="BH153" s="259"/>
      <c r="BI153" s="259"/>
      <c r="BJ153" s="259"/>
      <c r="BK153" s="259"/>
      <c r="BL153" s="259"/>
      <c r="BM153" s="259"/>
      <c r="BN153" s="259"/>
      <c r="BO153" s="259"/>
      <c r="BP153" s="259"/>
      <c r="BQ153" s="259"/>
      <c r="BR153" s="259"/>
      <c r="BS153" s="259"/>
      <c r="BT153" s="259"/>
      <c r="BU153" s="259"/>
      <c r="BV153" s="259"/>
      <c r="BW153" s="259"/>
      <c r="BX153" s="259"/>
      <c r="BY153" s="259"/>
      <c r="BZ153" s="259"/>
      <c r="CA153" s="259"/>
      <c r="CB153" s="259"/>
      <c r="CC153" s="259"/>
      <c r="CD153" s="259"/>
      <c r="CE153" s="259"/>
      <c r="CF153" s="259"/>
      <c r="CG153" s="259"/>
      <c r="CH153" s="259"/>
      <c r="CI153" s="259"/>
      <c r="CJ153" s="259"/>
      <c r="CK153" s="259"/>
      <c r="CL153" s="259"/>
      <c r="CM153" s="259"/>
      <c r="CN153" s="259"/>
      <c r="CO153" s="259"/>
      <c r="CP153" s="259"/>
      <c r="CQ153" s="259"/>
      <c r="CR153" s="259"/>
      <c r="CS153" s="259"/>
      <c r="CT153" s="259"/>
      <c r="CU153" s="259"/>
      <c r="CV153" s="259"/>
      <c r="CW153" s="259"/>
      <c r="CX153" s="259"/>
      <c r="CY153" s="259"/>
      <c r="CZ153" s="259"/>
      <c r="DA153" s="259"/>
      <c r="DB153" s="259"/>
      <c r="DC153" s="259"/>
      <c r="DD153" s="259"/>
      <c r="DE153" s="259"/>
      <c r="DF153" s="259"/>
      <c r="DG153" s="259"/>
      <c r="DH153" s="259"/>
      <c r="DI153" s="259"/>
      <c r="DJ153" s="259"/>
      <c r="DK153" s="259"/>
      <c r="DL153" s="259"/>
      <c r="DM153" s="259"/>
      <c r="DN153" s="259"/>
      <c r="DO153" s="259"/>
      <c r="DP153" s="259"/>
      <c r="DQ153" s="259"/>
      <c r="DR153" s="259"/>
      <c r="DS153" s="259"/>
      <c r="DT153" s="259"/>
      <c r="DU153" s="259"/>
      <c r="DV153" s="259"/>
    </row>
    <row r="154" spans="1:135" x14ac:dyDescent="0.35">
      <c r="A154" s="257"/>
      <c r="B154" s="257"/>
      <c r="C154" s="259"/>
      <c r="D154" s="259"/>
      <c r="E154" s="259"/>
      <c r="F154" s="259"/>
      <c r="G154" s="259"/>
      <c r="H154" s="259"/>
      <c r="I154" s="259"/>
      <c r="J154" s="259"/>
      <c r="K154" s="259"/>
      <c r="L154" s="259"/>
      <c r="M154" s="259"/>
      <c r="N154" s="257"/>
      <c r="O154" s="257"/>
      <c r="P154" s="259"/>
      <c r="Q154" s="259"/>
      <c r="R154" s="259"/>
      <c r="S154" s="259"/>
      <c r="T154" s="259"/>
      <c r="U154" s="259"/>
      <c r="V154" s="259"/>
      <c r="W154" s="259"/>
      <c r="X154" s="259"/>
      <c r="Y154" s="259"/>
      <c r="Z154" s="259"/>
      <c r="AA154" s="259"/>
      <c r="AB154" s="259"/>
      <c r="AC154" s="259"/>
      <c r="AD154" s="259"/>
      <c r="AE154" s="259"/>
      <c r="AF154" s="259"/>
      <c r="AG154" s="259"/>
      <c r="AH154" s="259"/>
      <c r="AI154" s="259"/>
      <c r="AJ154" s="259"/>
      <c r="AK154" s="259"/>
      <c r="AL154" s="259"/>
      <c r="AM154" s="259"/>
      <c r="AN154" s="259"/>
      <c r="AO154" s="259"/>
      <c r="AP154" s="259"/>
      <c r="AQ154" s="259"/>
      <c r="AR154" s="259"/>
      <c r="AS154" s="259"/>
      <c r="AT154" s="259"/>
      <c r="AU154" s="259"/>
      <c r="AV154" s="259"/>
      <c r="AW154" s="259"/>
      <c r="AX154" s="259"/>
      <c r="AY154" s="259"/>
      <c r="AZ154" s="259"/>
      <c r="BA154" s="259"/>
      <c r="BB154" s="259"/>
      <c r="BC154" s="259"/>
      <c r="BD154" s="259"/>
      <c r="BE154" s="259"/>
      <c r="BF154" s="259"/>
      <c r="BG154" s="259"/>
      <c r="BH154" s="259"/>
      <c r="BI154" s="259"/>
      <c r="BJ154" s="259"/>
      <c r="BK154" s="259"/>
      <c r="BL154" s="259"/>
      <c r="BM154" s="259"/>
      <c r="BN154" s="259"/>
      <c r="BO154" s="259"/>
      <c r="BP154" s="259"/>
      <c r="BQ154" s="259"/>
      <c r="BR154" s="259"/>
      <c r="BS154" s="259"/>
      <c r="BT154" s="259"/>
      <c r="BU154" s="259"/>
      <c r="BV154" s="259"/>
      <c r="BW154" s="259"/>
      <c r="BX154" s="259"/>
      <c r="BY154" s="259"/>
      <c r="BZ154" s="259"/>
      <c r="CA154" s="259"/>
      <c r="CB154" s="259"/>
      <c r="CC154" s="259"/>
      <c r="CD154" s="259"/>
      <c r="CE154" s="259"/>
      <c r="CF154" s="259"/>
      <c r="CG154" s="259"/>
      <c r="CH154" s="259"/>
      <c r="CI154" s="259"/>
      <c r="CJ154" s="259"/>
      <c r="CK154" s="259"/>
      <c r="CL154" s="259"/>
      <c r="CM154" s="259"/>
      <c r="CN154" s="259"/>
      <c r="CO154" s="259"/>
      <c r="CP154" s="259"/>
      <c r="CQ154" s="259"/>
      <c r="CR154" s="259"/>
      <c r="CS154" s="259"/>
      <c r="CT154" s="259"/>
      <c r="CU154" s="259"/>
      <c r="CV154" s="259"/>
      <c r="CW154" s="259"/>
      <c r="CX154" s="259"/>
      <c r="CY154" s="259"/>
      <c r="CZ154" s="259"/>
      <c r="DA154" s="259"/>
      <c r="DB154" s="259"/>
      <c r="DC154" s="259"/>
      <c r="DD154" s="259"/>
      <c r="DE154" s="259"/>
      <c r="DF154" s="259"/>
      <c r="DG154" s="259"/>
      <c r="DH154" s="259"/>
      <c r="DI154" s="259"/>
      <c r="DJ154" s="259"/>
      <c r="DK154" s="259"/>
      <c r="DL154" s="259"/>
      <c r="DM154" s="259"/>
      <c r="DN154" s="259"/>
      <c r="DO154" s="259"/>
      <c r="DP154" s="259"/>
      <c r="DQ154" s="259"/>
      <c r="DR154" s="259"/>
      <c r="DS154" s="259"/>
      <c r="DT154" s="259"/>
      <c r="DU154" s="259"/>
      <c r="DV154" s="259"/>
    </row>
    <row r="155" spans="1:135" x14ac:dyDescent="0.35">
      <c r="A155" s="257"/>
      <c r="B155" s="257"/>
      <c r="C155" s="259"/>
      <c r="D155" s="259"/>
      <c r="E155" s="259"/>
      <c r="F155" s="259"/>
      <c r="G155" s="259"/>
      <c r="H155" s="259"/>
      <c r="I155" s="259"/>
      <c r="J155" s="259"/>
      <c r="K155" s="259"/>
      <c r="L155" s="259"/>
      <c r="M155" s="259"/>
      <c r="N155" s="257"/>
      <c r="O155" s="257"/>
      <c r="P155" s="259"/>
      <c r="Q155" s="259"/>
      <c r="R155" s="259"/>
      <c r="S155" s="259"/>
      <c r="T155" s="259"/>
      <c r="U155" s="259"/>
      <c r="V155" s="259"/>
      <c r="W155" s="259"/>
      <c r="X155" s="259"/>
      <c r="Y155" s="259"/>
      <c r="Z155" s="259"/>
      <c r="AA155" s="259"/>
      <c r="AB155" s="259"/>
      <c r="AC155" s="259"/>
      <c r="AD155" s="259"/>
      <c r="AE155" s="259"/>
      <c r="AF155" s="259"/>
      <c r="AG155" s="259"/>
      <c r="AH155" s="259"/>
      <c r="AI155" s="259"/>
      <c r="AJ155" s="259"/>
      <c r="AK155" s="259"/>
      <c r="AL155" s="259"/>
      <c r="AM155" s="259"/>
      <c r="AN155" s="259"/>
      <c r="AO155" s="259"/>
      <c r="AP155" s="259"/>
      <c r="AQ155" s="259"/>
      <c r="AR155" s="259"/>
      <c r="AS155" s="259"/>
      <c r="AT155" s="259"/>
      <c r="AU155" s="259"/>
      <c r="AV155" s="259"/>
      <c r="AW155" s="259"/>
      <c r="AX155" s="259"/>
      <c r="AY155" s="259"/>
      <c r="AZ155" s="259"/>
      <c r="BA155" s="259"/>
      <c r="BB155" s="259"/>
      <c r="BC155" s="259"/>
      <c r="BD155" s="259"/>
      <c r="BE155" s="259"/>
      <c r="BF155" s="259"/>
      <c r="BG155" s="259"/>
      <c r="BH155" s="259"/>
      <c r="BI155" s="259"/>
      <c r="BJ155" s="259"/>
      <c r="BK155" s="259"/>
      <c r="BL155" s="259"/>
      <c r="BM155" s="259"/>
      <c r="BN155" s="259"/>
      <c r="BO155" s="259"/>
      <c r="BP155" s="259"/>
      <c r="BQ155" s="259"/>
      <c r="BR155" s="259"/>
      <c r="BS155" s="259"/>
      <c r="BT155" s="259"/>
      <c r="BU155" s="259"/>
      <c r="BV155" s="259"/>
      <c r="BW155" s="259"/>
      <c r="BX155" s="259"/>
      <c r="BY155" s="259"/>
      <c r="BZ155" s="259"/>
      <c r="CA155" s="259"/>
      <c r="CB155" s="259"/>
      <c r="CC155" s="259"/>
      <c r="CD155" s="259"/>
      <c r="CE155" s="259"/>
      <c r="CF155" s="259"/>
      <c r="CG155" s="259"/>
      <c r="CH155" s="259"/>
      <c r="CI155" s="259"/>
      <c r="CJ155" s="259"/>
      <c r="CK155" s="259"/>
      <c r="CL155" s="259"/>
      <c r="CM155" s="259"/>
      <c r="CN155" s="259"/>
      <c r="CO155" s="259"/>
      <c r="CP155" s="259"/>
      <c r="CQ155" s="259"/>
      <c r="CR155" s="259"/>
      <c r="CS155" s="259"/>
      <c r="CT155" s="259"/>
      <c r="CU155" s="259"/>
      <c r="CV155" s="259"/>
      <c r="CW155" s="259"/>
      <c r="CX155" s="259"/>
      <c r="CY155" s="259"/>
      <c r="CZ155" s="259"/>
      <c r="DA155" s="259"/>
      <c r="DB155" s="259"/>
      <c r="DC155" s="259"/>
      <c r="DD155" s="259"/>
      <c r="DE155" s="259"/>
      <c r="DF155" s="259"/>
      <c r="DG155" s="259"/>
      <c r="DH155" s="259"/>
      <c r="DI155" s="259"/>
      <c r="DJ155" s="259"/>
      <c r="DK155" s="259"/>
      <c r="DL155" s="259"/>
      <c r="DM155" s="259"/>
      <c r="DN155" s="259"/>
      <c r="DO155" s="259"/>
      <c r="DP155" s="259"/>
      <c r="DQ155" s="259"/>
      <c r="DR155" s="259"/>
      <c r="DS155" s="259"/>
      <c r="DT155" s="259"/>
      <c r="DU155" s="259"/>
      <c r="DV155" s="259"/>
    </row>
    <row r="156" spans="1:135" s="214" customFormat="1" x14ac:dyDescent="0.35">
      <c r="A156" s="257"/>
      <c r="B156" s="257"/>
      <c r="C156" s="259"/>
      <c r="D156" s="259"/>
      <c r="E156" s="259"/>
      <c r="F156" s="259"/>
      <c r="G156" s="259"/>
      <c r="H156" s="259"/>
      <c r="I156" s="259"/>
      <c r="J156" s="259"/>
      <c r="K156" s="259"/>
      <c r="L156" s="259"/>
      <c r="M156" s="259"/>
      <c r="N156" s="257"/>
      <c r="O156" s="257"/>
      <c r="P156" s="259"/>
      <c r="Q156" s="259"/>
      <c r="R156" s="259"/>
      <c r="S156" s="259"/>
      <c r="T156" s="259"/>
      <c r="U156" s="259"/>
      <c r="V156" s="259"/>
      <c r="W156" s="259"/>
      <c r="X156" s="259"/>
      <c r="Y156" s="259"/>
      <c r="Z156" s="259"/>
      <c r="AA156" s="259"/>
      <c r="AB156" s="259"/>
      <c r="AC156" s="259"/>
      <c r="AD156" s="259"/>
      <c r="AE156" s="259"/>
      <c r="AF156" s="259"/>
      <c r="AG156" s="259"/>
      <c r="AH156" s="259"/>
      <c r="AI156" s="259"/>
      <c r="AJ156" s="259"/>
      <c r="AK156" s="259"/>
      <c r="AL156" s="259"/>
      <c r="AM156" s="259"/>
      <c r="AN156" s="259"/>
      <c r="AO156" s="259"/>
      <c r="AP156" s="259"/>
      <c r="AQ156" s="259"/>
      <c r="AR156" s="259"/>
      <c r="AS156" s="259"/>
      <c r="AT156" s="259"/>
      <c r="AU156" s="259"/>
      <c r="AV156" s="259"/>
      <c r="AW156" s="259"/>
      <c r="AX156" s="259"/>
      <c r="AY156" s="259"/>
      <c r="AZ156" s="259"/>
      <c r="BA156" s="259"/>
      <c r="BB156" s="259"/>
      <c r="BC156" s="259"/>
      <c r="BD156" s="259"/>
      <c r="BE156" s="259"/>
      <c r="BF156" s="259"/>
      <c r="BG156" s="259"/>
      <c r="BH156" s="259"/>
      <c r="BI156" s="259"/>
      <c r="BJ156" s="259"/>
      <c r="BK156" s="259"/>
      <c r="BL156" s="259"/>
      <c r="BM156" s="259"/>
      <c r="BN156" s="259"/>
      <c r="BO156" s="259"/>
      <c r="BP156" s="259"/>
      <c r="BQ156" s="259"/>
      <c r="BR156" s="259"/>
      <c r="BS156" s="259"/>
      <c r="BT156" s="259"/>
      <c r="BU156" s="259"/>
      <c r="BV156" s="259"/>
      <c r="BW156" s="259"/>
      <c r="BX156" s="259"/>
      <c r="BY156" s="259"/>
      <c r="BZ156" s="259"/>
      <c r="CA156" s="259"/>
      <c r="CB156" s="259"/>
      <c r="CC156" s="259"/>
      <c r="CD156" s="259"/>
      <c r="CE156" s="259"/>
      <c r="CF156" s="259"/>
      <c r="CG156" s="259"/>
      <c r="CH156" s="259"/>
      <c r="CI156" s="259"/>
      <c r="CJ156" s="259"/>
      <c r="CK156" s="259"/>
      <c r="CL156" s="259"/>
      <c r="CM156" s="259"/>
      <c r="CN156" s="259"/>
      <c r="CO156" s="259"/>
      <c r="CP156" s="259"/>
      <c r="CQ156" s="259"/>
      <c r="CR156" s="259"/>
      <c r="CS156" s="259"/>
      <c r="CT156" s="259"/>
      <c r="CU156" s="259"/>
      <c r="CV156" s="259"/>
      <c r="CW156" s="259"/>
      <c r="CX156" s="259"/>
      <c r="CY156" s="259"/>
      <c r="CZ156" s="259"/>
      <c r="DA156" s="259"/>
      <c r="DB156" s="259"/>
      <c r="DC156" s="259"/>
      <c r="DD156" s="259"/>
      <c r="DE156" s="259"/>
      <c r="DF156" s="259"/>
      <c r="DG156" s="259"/>
      <c r="DH156" s="259"/>
      <c r="DI156" s="259"/>
      <c r="DJ156" s="259"/>
      <c r="DK156" s="259"/>
      <c r="DL156" s="259"/>
      <c r="DM156" s="259"/>
      <c r="DN156" s="259"/>
      <c r="DO156" s="259"/>
      <c r="DP156" s="259"/>
      <c r="DQ156" s="259"/>
      <c r="DR156" s="259"/>
      <c r="DS156" s="259"/>
      <c r="DT156" s="259"/>
      <c r="DU156" s="259"/>
      <c r="DV156" s="259"/>
      <c r="DW156"/>
      <c r="DX156"/>
      <c r="DY156"/>
      <c r="DZ156"/>
      <c r="EA156"/>
      <c r="EB156"/>
      <c r="EC156"/>
      <c r="ED156"/>
      <c r="EE156"/>
    </row>
    <row r="157" spans="1:135" s="214" customFormat="1" x14ac:dyDescent="0.35">
      <c r="A157" s="257"/>
      <c r="B157" s="257"/>
      <c r="C157" s="259"/>
      <c r="D157" s="259"/>
      <c r="E157" s="259"/>
      <c r="F157" s="259"/>
      <c r="G157" s="259"/>
      <c r="H157" s="259"/>
      <c r="I157" s="259"/>
      <c r="J157" s="259"/>
      <c r="K157" s="259"/>
      <c r="L157" s="259"/>
      <c r="M157" s="259"/>
      <c r="N157" s="257"/>
      <c r="O157" s="257"/>
      <c r="P157" s="259"/>
      <c r="Q157" s="259"/>
      <c r="R157" s="259"/>
      <c r="S157" s="259"/>
      <c r="T157" s="259"/>
      <c r="U157" s="259"/>
      <c r="V157" s="259"/>
      <c r="W157" s="259"/>
      <c r="X157" s="259"/>
      <c r="Y157" s="259"/>
      <c r="Z157" s="259"/>
      <c r="AA157" s="259"/>
      <c r="AB157" s="259"/>
      <c r="AC157" s="259"/>
      <c r="AD157" s="259"/>
      <c r="AE157" s="259"/>
      <c r="AF157" s="259"/>
      <c r="AG157" s="259"/>
      <c r="AH157" s="259"/>
      <c r="AI157" s="259"/>
      <c r="AJ157" s="259"/>
      <c r="AK157" s="259"/>
      <c r="AL157" s="259"/>
      <c r="AM157" s="259"/>
      <c r="AN157" s="259"/>
      <c r="AO157" s="259"/>
      <c r="AP157" s="259"/>
      <c r="AQ157" s="259"/>
      <c r="AR157" s="259"/>
      <c r="AS157" s="259"/>
      <c r="AT157" s="259"/>
      <c r="AU157" s="259"/>
      <c r="AV157" s="259"/>
      <c r="AW157" s="259"/>
      <c r="AX157" s="259"/>
      <c r="AY157" s="259"/>
      <c r="AZ157" s="259"/>
      <c r="BA157" s="259"/>
      <c r="BB157" s="259"/>
      <c r="BC157" s="259"/>
      <c r="BD157" s="259"/>
      <c r="BE157" s="259"/>
      <c r="BF157" s="259"/>
      <c r="BG157" s="259"/>
      <c r="BH157" s="259"/>
      <c r="BI157" s="259"/>
      <c r="BJ157" s="259"/>
      <c r="BK157" s="259"/>
      <c r="BL157" s="259"/>
      <c r="BM157" s="259"/>
      <c r="BN157" s="259"/>
      <c r="BO157" s="259"/>
      <c r="BP157" s="259"/>
      <c r="BQ157" s="259"/>
      <c r="BR157" s="259"/>
      <c r="BS157" s="259"/>
      <c r="BT157" s="259"/>
      <c r="BU157" s="259"/>
      <c r="BV157" s="259"/>
      <c r="BW157" s="259"/>
      <c r="BX157" s="259"/>
      <c r="BY157" s="259"/>
      <c r="BZ157" s="259"/>
      <c r="CA157" s="259"/>
      <c r="CB157" s="259"/>
      <c r="CC157" s="259"/>
      <c r="CD157" s="259"/>
      <c r="CE157" s="259"/>
      <c r="CF157" s="259"/>
      <c r="CG157" s="259"/>
      <c r="CH157" s="259"/>
      <c r="CI157" s="259"/>
      <c r="CJ157" s="259"/>
      <c r="CK157" s="259"/>
      <c r="CL157" s="259"/>
      <c r="CM157" s="259"/>
      <c r="CN157" s="259"/>
      <c r="CO157" s="259"/>
      <c r="CP157" s="259"/>
      <c r="CQ157" s="259"/>
      <c r="CR157" s="259"/>
      <c r="CS157" s="259"/>
      <c r="CT157" s="259"/>
      <c r="CU157" s="259"/>
      <c r="CV157" s="259"/>
      <c r="CW157" s="259"/>
      <c r="CX157" s="259"/>
      <c r="CY157" s="259"/>
      <c r="CZ157" s="259"/>
      <c r="DA157" s="259"/>
      <c r="DB157" s="259"/>
      <c r="DC157" s="259"/>
      <c r="DD157" s="259"/>
      <c r="DE157" s="259"/>
      <c r="DF157" s="259"/>
      <c r="DG157" s="259"/>
      <c r="DH157" s="259"/>
      <c r="DI157" s="259"/>
      <c r="DJ157" s="259"/>
      <c r="DK157" s="259"/>
      <c r="DL157" s="259"/>
      <c r="DM157" s="259"/>
      <c r="DN157" s="259"/>
      <c r="DO157" s="259"/>
      <c r="DP157" s="259"/>
      <c r="DQ157" s="259"/>
      <c r="DR157" s="259"/>
      <c r="DS157" s="259"/>
      <c r="DT157" s="259"/>
      <c r="DU157" s="259"/>
      <c r="DV157" s="259"/>
      <c r="DW157"/>
      <c r="DX157"/>
      <c r="DY157"/>
      <c r="DZ157"/>
      <c r="EA157"/>
      <c r="EB157"/>
      <c r="EC157"/>
      <c r="ED157"/>
      <c r="EE157"/>
    </row>
    <row r="158" spans="1:135" s="214" customFormat="1" ht="15.75" customHeight="1" x14ac:dyDescent="0.35">
      <c r="A158" s="257"/>
      <c r="B158" s="257"/>
      <c r="C158" s="259"/>
      <c r="D158" s="259"/>
      <c r="E158" s="259"/>
      <c r="F158" s="259"/>
      <c r="G158" s="259"/>
      <c r="H158" s="259"/>
      <c r="I158" s="259"/>
      <c r="J158" s="259"/>
      <c r="K158" s="259"/>
      <c r="L158" s="259"/>
      <c r="M158" s="259"/>
      <c r="N158" s="257"/>
      <c r="O158" s="257"/>
      <c r="P158" s="259"/>
      <c r="Q158" s="259"/>
      <c r="R158" s="259"/>
      <c r="S158" s="259"/>
      <c r="T158" s="259"/>
      <c r="U158" s="259"/>
      <c r="V158" s="259"/>
      <c r="W158" s="259"/>
      <c r="X158" s="259"/>
      <c r="Y158" s="259"/>
      <c r="Z158" s="259"/>
      <c r="AA158" s="259"/>
      <c r="AB158" s="259"/>
      <c r="AC158" s="259"/>
      <c r="AD158" s="259"/>
      <c r="AE158" s="259"/>
      <c r="AF158" s="259"/>
      <c r="AG158" s="259"/>
      <c r="AH158" s="259"/>
      <c r="AI158" s="259"/>
      <c r="AJ158" s="259"/>
      <c r="AK158" s="259"/>
      <c r="AL158" s="259"/>
      <c r="AM158" s="259"/>
      <c r="AN158" s="259"/>
      <c r="AO158" s="259"/>
      <c r="AP158" s="259"/>
      <c r="AQ158" s="259"/>
      <c r="AR158" s="259"/>
      <c r="AS158" s="259"/>
      <c r="AT158" s="259"/>
      <c r="AU158" s="259"/>
      <c r="AV158" s="259"/>
      <c r="AW158" s="259"/>
      <c r="AX158" s="259"/>
      <c r="AY158" s="259"/>
      <c r="AZ158" s="259"/>
      <c r="BA158" s="259"/>
      <c r="BB158" s="259"/>
      <c r="BC158" s="259"/>
      <c r="BD158" s="259"/>
      <c r="BE158" s="259"/>
      <c r="BF158" s="259"/>
      <c r="BG158" s="259"/>
      <c r="BH158" s="259"/>
      <c r="BI158" s="259"/>
      <c r="BJ158" s="259"/>
      <c r="BK158" s="259"/>
      <c r="BL158" s="259"/>
      <c r="BM158" s="259"/>
      <c r="BN158" s="259"/>
      <c r="BO158" s="259"/>
      <c r="BP158" s="259"/>
      <c r="BQ158" s="259"/>
      <c r="BR158" s="259"/>
      <c r="BS158" s="259"/>
      <c r="BT158" s="259"/>
      <c r="BU158" s="259"/>
      <c r="BV158" s="259"/>
      <c r="BW158" s="259"/>
      <c r="BX158" s="259"/>
      <c r="BY158" s="259"/>
      <c r="BZ158" s="259"/>
      <c r="CA158" s="259"/>
      <c r="CB158" s="259"/>
      <c r="CC158" s="259"/>
      <c r="CD158" s="259"/>
      <c r="CE158" s="259"/>
      <c r="CF158" s="259"/>
      <c r="CG158" s="259"/>
      <c r="CH158" s="259"/>
      <c r="CI158" s="259"/>
      <c r="CJ158" s="259"/>
      <c r="CK158" s="259"/>
      <c r="CL158" s="259"/>
      <c r="CM158" s="259"/>
      <c r="CN158" s="259"/>
      <c r="CO158" s="259"/>
      <c r="CP158" s="259"/>
      <c r="CQ158" s="259"/>
      <c r="CR158" s="259"/>
      <c r="CS158" s="259"/>
      <c r="CT158" s="259"/>
      <c r="CU158" s="259"/>
      <c r="CV158" s="259"/>
      <c r="CW158" s="259"/>
      <c r="CX158" s="259"/>
      <c r="CY158" s="259"/>
      <c r="CZ158" s="259"/>
      <c r="DA158" s="259"/>
      <c r="DB158" s="259"/>
      <c r="DC158" s="259"/>
      <c r="DD158" s="259"/>
      <c r="DE158" s="259"/>
      <c r="DF158" s="259"/>
      <c r="DG158" s="259"/>
      <c r="DH158" s="259"/>
      <c r="DI158" s="259"/>
      <c r="DJ158" s="259"/>
      <c r="DK158" s="259"/>
      <c r="DL158" s="259"/>
      <c r="DM158" s="259"/>
      <c r="DN158" s="259"/>
      <c r="DO158" s="259"/>
      <c r="DP158" s="259"/>
      <c r="DQ158" s="259"/>
      <c r="DR158" s="259"/>
      <c r="DS158" s="259"/>
      <c r="DT158" s="259"/>
      <c r="DU158" s="259"/>
      <c r="DV158" s="259"/>
      <c r="DW158"/>
      <c r="DX158"/>
      <c r="DY158"/>
      <c r="DZ158"/>
      <c r="EA158"/>
      <c r="EB158"/>
      <c r="EC158"/>
      <c r="ED158"/>
      <c r="EE158"/>
    </row>
    <row r="159" spans="1:135" s="214" customFormat="1" ht="15.75" customHeight="1" x14ac:dyDescent="0.35">
      <c r="A159" s="257"/>
      <c r="B159" s="257"/>
      <c r="C159" s="259"/>
      <c r="D159" s="259"/>
      <c r="E159" s="259"/>
      <c r="F159" s="259"/>
      <c r="G159" s="259"/>
      <c r="H159" s="259"/>
      <c r="I159" s="259"/>
      <c r="J159" s="259"/>
      <c r="K159" s="259"/>
      <c r="L159" s="259"/>
      <c r="M159" s="259"/>
      <c r="N159" s="257"/>
      <c r="O159" s="257"/>
      <c r="P159" s="259"/>
      <c r="Q159" s="259"/>
      <c r="R159" s="259"/>
      <c r="S159" s="259"/>
      <c r="T159" s="259"/>
      <c r="U159" s="259"/>
      <c r="V159" s="259"/>
      <c r="W159" s="259"/>
      <c r="X159" s="259"/>
      <c r="Y159" s="259"/>
      <c r="Z159" s="259"/>
      <c r="AA159" s="259"/>
      <c r="AB159" s="259"/>
      <c r="AC159" s="259"/>
      <c r="AD159" s="259"/>
      <c r="AE159" s="259"/>
      <c r="AF159" s="259"/>
      <c r="AG159" s="259"/>
      <c r="AH159" s="259"/>
      <c r="AI159" s="259"/>
      <c r="AJ159" s="259"/>
      <c r="AK159" s="259"/>
      <c r="AL159" s="259"/>
      <c r="AM159" s="259"/>
      <c r="AN159" s="259"/>
      <c r="AO159" s="259"/>
      <c r="AP159" s="259"/>
      <c r="AQ159" s="259"/>
      <c r="AR159" s="259"/>
      <c r="AS159" s="259"/>
      <c r="AT159" s="259"/>
      <c r="AU159" s="259"/>
      <c r="AV159" s="259"/>
      <c r="AW159" s="259"/>
      <c r="AX159" s="259"/>
      <c r="AY159" s="259"/>
      <c r="AZ159" s="259"/>
      <c r="BA159" s="259"/>
      <c r="BB159" s="259"/>
      <c r="BC159" s="259"/>
      <c r="BD159" s="259"/>
      <c r="BE159" s="259"/>
      <c r="BF159" s="259"/>
      <c r="BG159" s="259"/>
      <c r="BH159" s="259"/>
      <c r="BI159" s="259"/>
      <c r="BJ159" s="259"/>
      <c r="BK159" s="259"/>
      <c r="BL159" s="259"/>
      <c r="BM159" s="259"/>
      <c r="BN159" s="259"/>
      <c r="BO159" s="259"/>
      <c r="BP159" s="259"/>
      <c r="BQ159" s="259"/>
      <c r="BR159" s="259"/>
      <c r="BS159" s="259"/>
      <c r="BT159" s="259"/>
      <c r="BU159" s="259"/>
      <c r="BV159" s="259"/>
      <c r="BW159" s="259"/>
      <c r="BX159" s="259"/>
      <c r="BY159" s="259"/>
      <c r="BZ159" s="259"/>
      <c r="CA159" s="259"/>
      <c r="CB159" s="259"/>
      <c r="CC159" s="259"/>
      <c r="CD159" s="259"/>
      <c r="CE159" s="259"/>
      <c r="CF159" s="259"/>
      <c r="CG159" s="259"/>
      <c r="CH159" s="259"/>
      <c r="CI159" s="259"/>
      <c r="CJ159" s="259"/>
      <c r="CK159" s="259"/>
      <c r="CL159" s="259"/>
      <c r="CM159" s="259"/>
      <c r="CN159" s="259"/>
      <c r="CO159" s="259"/>
      <c r="CP159" s="259"/>
      <c r="CQ159" s="259"/>
      <c r="CR159" s="259"/>
      <c r="CS159" s="259"/>
      <c r="CT159" s="259"/>
      <c r="CU159" s="259"/>
      <c r="CV159" s="259"/>
      <c r="CW159" s="259"/>
      <c r="CX159" s="259"/>
      <c r="CY159" s="259"/>
      <c r="CZ159" s="259"/>
      <c r="DA159" s="259"/>
      <c r="DB159" s="259"/>
      <c r="DC159" s="259"/>
      <c r="DD159" s="259"/>
      <c r="DE159" s="259"/>
      <c r="DF159" s="259"/>
      <c r="DG159" s="259"/>
      <c r="DH159" s="259"/>
      <c r="DI159" s="259"/>
      <c r="DJ159" s="259"/>
      <c r="DK159" s="259"/>
      <c r="DL159" s="259"/>
      <c r="DM159" s="259"/>
      <c r="DN159" s="259"/>
      <c r="DO159" s="259"/>
      <c r="DP159" s="259"/>
      <c r="DQ159" s="259"/>
      <c r="DR159" s="259"/>
      <c r="DS159" s="259"/>
      <c r="DT159" s="259"/>
      <c r="DU159" s="259"/>
      <c r="DV159" s="259"/>
      <c r="DW159"/>
      <c r="DX159"/>
      <c r="DY159"/>
      <c r="DZ159"/>
      <c r="EA159"/>
      <c r="EB159"/>
      <c r="EC159"/>
      <c r="ED159"/>
      <c r="EE159"/>
    </row>
    <row r="160" spans="1:135" s="214" customFormat="1" ht="15" customHeight="1" x14ac:dyDescent="0.35">
      <c r="A160" s="257"/>
      <c r="B160" s="257"/>
      <c r="C160" s="259"/>
      <c r="D160" s="259"/>
      <c r="E160" s="259"/>
      <c r="F160" s="259"/>
      <c r="G160" s="259"/>
      <c r="H160" s="259"/>
      <c r="I160" s="259"/>
      <c r="J160" s="259"/>
      <c r="K160" s="259"/>
      <c r="L160" s="259"/>
      <c r="M160" s="259"/>
      <c r="N160" s="257"/>
      <c r="O160" s="257"/>
      <c r="P160" s="259"/>
      <c r="Q160" s="259"/>
      <c r="R160" s="259"/>
      <c r="S160" s="259"/>
      <c r="T160" s="259"/>
      <c r="U160" s="259"/>
      <c r="V160" s="259"/>
      <c r="W160" s="259"/>
      <c r="X160" s="259"/>
      <c r="Y160" s="259"/>
      <c r="Z160" s="259"/>
      <c r="AA160" s="259"/>
      <c r="AB160" s="259"/>
      <c r="AC160" s="259"/>
      <c r="AD160" s="259"/>
      <c r="AE160" s="259"/>
      <c r="AF160" s="259"/>
      <c r="AG160" s="259"/>
      <c r="AH160" s="259"/>
      <c r="AI160" s="259"/>
      <c r="AJ160" s="259"/>
      <c r="AK160" s="259"/>
      <c r="AL160" s="259"/>
      <c r="AM160" s="259"/>
      <c r="AN160" s="259"/>
      <c r="AO160" s="259"/>
      <c r="AP160" s="259"/>
      <c r="AQ160" s="259"/>
      <c r="AR160" s="259"/>
      <c r="AS160" s="259"/>
      <c r="AT160" s="259"/>
      <c r="AU160" s="259"/>
      <c r="AV160" s="259"/>
      <c r="AW160" s="259"/>
      <c r="AX160" s="259"/>
      <c r="AY160" s="259"/>
      <c r="AZ160" s="259"/>
      <c r="BA160" s="259"/>
      <c r="BB160" s="259"/>
      <c r="BC160" s="259"/>
      <c r="BD160" s="259"/>
      <c r="BE160" s="259"/>
      <c r="BF160" s="259"/>
      <c r="BG160" s="259"/>
      <c r="BH160" s="259"/>
      <c r="BI160" s="259"/>
      <c r="BJ160" s="259"/>
      <c r="BK160" s="259"/>
      <c r="BL160" s="259"/>
      <c r="BM160" s="259"/>
      <c r="BN160" s="259"/>
      <c r="BO160" s="259"/>
      <c r="BP160" s="259"/>
      <c r="BQ160" s="259"/>
      <c r="BR160" s="259"/>
      <c r="BS160" s="259"/>
      <c r="BT160" s="259"/>
      <c r="BU160" s="259"/>
      <c r="BV160" s="259"/>
      <c r="BW160" s="259"/>
      <c r="BX160" s="259"/>
      <c r="BY160" s="259"/>
      <c r="BZ160" s="259"/>
      <c r="CA160" s="259"/>
      <c r="CB160" s="259"/>
      <c r="CC160" s="259"/>
      <c r="CD160" s="259"/>
      <c r="CE160" s="259"/>
      <c r="CF160" s="259"/>
      <c r="CG160" s="259"/>
      <c r="CH160" s="259"/>
      <c r="CI160" s="259"/>
      <c r="CJ160" s="259"/>
      <c r="CK160" s="259"/>
      <c r="CL160" s="259"/>
      <c r="CM160" s="259"/>
      <c r="CN160" s="259"/>
      <c r="CO160" s="259"/>
      <c r="CP160" s="259"/>
      <c r="CQ160" s="259"/>
      <c r="CR160" s="259"/>
      <c r="CS160" s="259"/>
      <c r="CT160" s="259"/>
      <c r="CU160" s="259"/>
      <c r="CV160" s="259"/>
      <c r="CW160" s="259"/>
      <c r="CX160" s="259"/>
      <c r="CY160" s="259"/>
      <c r="CZ160" s="259"/>
      <c r="DA160" s="259"/>
      <c r="DB160" s="259"/>
      <c r="DC160" s="259"/>
      <c r="DD160" s="259"/>
      <c r="DE160" s="259"/>
      <c r="DF160" s="259"/>
      <c r="DG160" s="259"/>
      <c r="DH160" s="259"/>
      <c r="DI160" s="259"/>
      <c r="DJ160" s="259"/>
      <c r="DK160" s="259"/>
      <c r="DL160" s="259"/>
      <c r="DM160" s="259"/>
      <c r="DN160" s="259"/>
      <c r="DO160" s="259"/>
      <c r="DP160" s="259"/>
      <c r="DQ160" s="259"/>
      <c r="DR160" s="259"/>
      <c r="DS160" s="259"/>
      <c r="DT160" s="259"/>
      <c r="DU160" s="259"/>
      <c r="DV160" s="259"/>
      <c r="DW160"/>
      <c r="DX160"/>
      <c r="DY160"/>
      <c r="DZ160"/>
      <c r="EA160"/>
      <c r="EB160"/>
      <c r="EC160"/>
      <c r="ED160"/>
      <c r="EE160"/>
    </row>
    <row r="161" spans="1:135" s="214" customFormat="1" x14ac:dyDescent="0.35">
      <c r="A161" s="257"/>
      <c r="B161" s="257"/>
      <c r="C161" s="259"/>
      <c r="D161" s="259"/>
      <c r="E161" s="259"/>
      <c r="F161" s="259"/>
      <c r="G161" s="259"/>
      <c r="H161" s="259"/>
      <c r="I161" s="259"/>
      <c r="J161" s="259"/>
      <c r="K161" s="259"/>
      <c r="L161" s="259"/>
      <c r="M161" s="259"/>
      <c r="N161" s="257"/>
      <c r="O161" s="257"/>
      <c r="P161" s="259"/>
      <c r="Q161" s="259"/>
      <c r="R161" s="259"/>
      <c r="S161" s="259"/>
      <c r="T161" s="259"/>
      <c r="U161" s="259"/>
      <c r="V161" s="259"/>
      <c r="W161" s="259"/>
      <c r="X161" s="259"/>
      <c r="Y161" s="259"/>
      <c r="Z161" s="259"/>
      <c r="AA161" s="259"/>
      <c r="AB161" s="259"/>
      <c r="AC161" s="259"/>
      <c r="AD161" s="259"/>
      <c r="AE161" s="259"/>
      <c r="AF161" s="259"/>
      <c r="AG161" s="259"/>
      <c r="AH161" s="259"/>
      <c r="AI161" s="259"/>
      <c r="AJ161" s="259"/>
      <c r="AK161" s="259"/>
      <c r="AL161" s="259"/>
      <c r="AM161" s="259"/>
      <c r="AN161" s="259"/>
      <c r="AO161" s="259"/>
      <c r="AP161" s="259"/>
      <c r="AQ161" s="259"/>
      <c r="AR161" s="259"/>
      <c r="AS161" s="259"/>
      <c r="AT161" s="259"/>
      <c r="AU161" s="259"/>
      <c r="AV161" s="259"/>
      <c r="AW161" s="259"/>
      <c r="AX161" s="259"/>
      <c r="AY161" s="259"/>
      <c r="AZ161" s="259"/>
      <c r="BA161" s="259"/>
      <c r="BB161" s="259"/>
      <c r="BC161" s="259"/>
      <c r="BD161" s="259"/>
      <c r="BE161" s="259"/>
      <c r="BF161" s="259"/>
      <c r="BG161" s="259"/>
      <c r="BH161" s="259"/>
      <c r="BI161" s="259"/>
      <c r="BJ161" s="259"/>
      <c r="BK161" s="259"/>
      <c r="BL161" s="259"/>
      <c r="BM161" s="259"/>
      <c r="BN161" s="259"/>
      <c r="BO161" s="259"/>
      <c r="BP161" s="259"/>
      <c r="BQ161" s="259"/>
      <c r="BR161" s="259"/>
      <c r="BS161" s="259"/>
      <c r="BT161" s="259"/>
      <c r="BU161" s="259"/>
      <c r="BV161" s="259"/>
      <c r="BW161" s="259"/>
      <c r="BX161" s="259"/>
      <c r="BY161" s="259"/>
      <c r="BZ161" s="259"/>
      <c r="CA161" s="259"/>
      <c r="CB161" s="259"/>
      <c r="CC161" s="259"/>
      <c r="CD161" s="259"/>
      <c r="CE161" s="259"/>
      <c r="CF161" s="259"/>
      <c r="CG161" s="259"/>
      <c r="CH161" s="259"/>
      <c r="CI161" s="259"/>
      <c r="CJ161" s="259"/>
      <c r="CK161" s="259"/>
      <c r="CL161" s="259"/>
      <c r="CM161" s="259"/>
      <c r="CN161" s="259"/>
      <c r="CO161" s="259"/>
      <c r="CP161" s="259"/>
      <c r="CQ161" s="259"/>
      <c r="CR161" s="259"/>
      <c r="CS161" s="259"/>
      <c r="CT161" s="259"/>
      <c r="CU161" s="259"/>
      <c r="CV161" s="259"/>
      <c r="CW161" s="259"/>
      <c r="CX161" s="259"/>
      <c r="CY161" s="259"/>
      <c r="CZ161" s="259"/>
      <c r="DA161" s="259"/>
      <c r="DB161" s="259"/>
      <c r="DC161" s="259"/>
      <c r="DD161" s="259"/>
      <c r="DE161" s="259"/>
      <c r="DF161" s="259"/>
      <c r="DG161" s="259"/>
      <c r="DH161" s="259"/>
      <c r="DI161" s="259"/>
      <c r="DJ161" s="259"/>
      <c r="DK161" s="259"/>
      <c r="DL161" s="259"/>
      <c r="DM161" s="259"/>
      <c r="DN161" s="259"/>
      <c r="DO161" s="259"/>
      <c r="DP161" s="259"/>
      <c r="DQ161" s="259"/>
      <c r="DR161" s="259"/>
      <c r="DS161" s="259"/>
      <c r="DT161" s="259"/>
      <c r="DU161" s="259"/>
      <c r="DV161" s="259"/>
      <c r="DW161"/>
      <c r="DX161"/>
      <c r="DY161"/>
      <c r="DZ161"/>
      <c r="EA161"/>
      <c r="EB161"/>
      <c r="EC161"/>
      <c r="ED161"/>
      <c r="EE161"/>
    </row>
    <row r="162" spans="1:135" s="214" customFormat="1" x14ac:dyDescent="0.35">
      <c r="A162" s="257"/>
      <c r="B162" s="257"/>
      <c r="C162" s="259"/>
      <c r="D162" s="259"/>
      <c r="E162" s="259"/>
      <c r="F162" s="259"/>
      <c r="G162" s="259"/>
      <c r="H162" s="259"/>
      <c r="I162" s="259"/>
      <c r="J162" s="259"/>
      <c r="K162" s="259"/>
      <c r="L162" s="259"/>
      <c r="M162" s="259"/>
      <c r="N162" s="257"/>
      <c r="O162" s="257"/>
      <c r="P162" s="259"/>
      <c r="Q162" s="259"/>
      <c r="R162" s="259"/>
      <c r="S162" s="259"/>
      <c r="T162" s="259"/>
      <c r="U162" s="259"/>
      <c r="V162" s="259"/>
      <c r="W162" s="259"/>
      <c r="X162" s="259"/>
      <c r="Y162" s="259"/>
      <c r="Z162" s="259"/>
      <c r="AA162" s="259"/>
      <c r="AB162" s="259"/>
      <c r="AC162" s="259"/>
      <c r="AD162" s="259"/>
      <c r="AE162" s="259"/>
      <c r="AF162" s="259"/>
      <c r="AG162" s="259"/>
      <c r="AH162" s="259"/>
      <c r="AI162" s="259"/>
      <c r="AJ162" s="259"/>
      <c r="AK162" s="259"/>
      <c r="AL162" s="259"/>
      <c r="AM162" s="259"/>
      <c r="AN162" s="259"/>
      <c r="AO162" s="259"/>
      <c r="AP162" s="259"/>
      <c r="AQ162" s="259"/>
      <c r="AR162" s="259"/>
      <c r="AS162" s="259"/>
      <c r="AT162" s="259"/>
      <c r="AU162" s="259"/>
      <c r="AV162" s="259"/>
      <c r="AW162" s="259"/>
      <c r="AX162" s="259"/>
      <c r="AY162" s="259"/>
      <c r="AZ162" s="259"/>
      <c r="BA162" s="259"/>
      <c r="BB162" s="259"/>
      <c r="BC162" s="259"/>
      <c r="BD162" s="259"/>
      <c r="BE162" s="259"/>
      <c r="BF162" s="259"/>
      <c r="BG162" s="259"/>
      <c r="BH162" s="259"/>
      <c r="BI162" s="259"/>
      <c r="BJ162" s="259"/>
      <c r="BK162" s="259"/>
      <c r="BL162" s="259"/>
      <c r="BM162" s="259"/>
      <c r="BN162" s="259"/>
      <c r="BO162" s="259"/>
      <c r="BP162" s="259"/>
      <c r="BQ162" s="259"/>
      <c r="BR162" s="259"/>
      <c r="BS162" s="259"/>
      <c r="BT162" s="259"/>
      <c r="BU162" s="259"/>
      <c r="BV162" s="259"/>
      <c r="BW162" s="259"/>
      <c r="BX162" s="259"/>
      <c r="BY162" s="259"/>
      <c r="BZ162" s="259"/>
      <c r="CA162" s="259"/>
      <c r="CB162" s="259"/>
      <c r="CC162" s="259"/>
      <c r="CD162" s="259"/>
      <c r="CE162" s="259"/>
      <c r="CF162" s="259"/>
      <c r="CG162" s="259"/>
      <c r="CH162" s="259"/>
      <c r="CI162" s="259"/>
      <c r="CJ162" s="259"/>
      <c r="CK162" s="259"/>
      <c r="CL162" s="259"/>
      <c r="CM162" s="259"/>
      <c r="CN162" s="259"/>
      <c r="CO162" s="259"/>
      <c r="CP162" s="259"/>
      <c r="CQ162" s="259"/>
      <c r="CR162" s="259"/>
      <c r="CS162" s="259"/>
      <c r="CT162" s="259"/>
      <c r="CU162" s="259"/>
      <c r="CV162" s="259"/>
      <c r="CW162" s="259"/>
      <c r="CX162" s="259"/>
      <c r="CY162" s="259"/>
      <c r="CZ162" s="259"/>
      <c r="DA162" s="259"/>
      <c r="DB162" s="259"/>
      <c r="DC162" s="259"/>
      <c r="DD162" s="259"/>
      <c r="DE162" s="259"/>
      <c r="DF162" s="259"/>
      <c r="DG162" s="259"/>
      <c r="DH162" s="259"/>
      <c r="DI162" s="259"/>
      <c r="DJ162" s="259"/>
      <c r="DK162" s="259"/>
      <c r="DL162" s="259"/>
      <c r="DM162" s="259"/>
      <c r="DN162" s="259"/>
      <c r="DO162" s="259"/>
      <c r="DP162" s="259"/>
      <c r="DQ162" s="259"/>
      <c r="DR162" s="259"/>
      <c r="DS162" s="259"/>
      <c r="DT162" s="259"/>
      <c r="DU162" s="259"/>
      <c r="DV162" s="259"/>
      <c r="DW162"/>
      <c r="DX162"/>
      <c r="DY162"/>
      <c r="DZ162"/>
      <c r="EA162"/>
      <c r="EB162"/>
      <c r="EC162"/>
      <c r="ED162"/>
      <c r="EE162"/>
    </row>
    <row r="163" spans="1:135" s="214" customFormat="1" x14ac:dyDescent="0.35">
      <c r="A163" s="257"/>
      <c r="B163" s="257"/>
      <c r="C163" s="259"/>
      <c r="D163" s="259"/>
      <c r="E163" s="259"/>
      <c r="F163" s="259"/>
      <c r="G163" s="259"/>
      <c r="H163" s="259"/>
      <c r="I163" s="259"/>
      <c r="J163" s="259"/>
      <c r="K163" s="259"/>
      <c r="L163" s="259"/>
      <c r="M163" s="259"/>
      <c r="N163" s="257"/>
      <c r="O163" s="257"/>
      <c r="P163" s="259"/>
      <c r="Q163" s="259"/>
      <c r="R163" s="259"/>
      <c r="S163" s="259"/>
      <c r="T163" s="259"/>
      <c r="U163" s="259"/>
      <c r="V163" s="259"/>
      <c r="W163" s="259"/>
      <c r="X163" s="259"/>
      <c r="Y163" s="259"/>
      <c r="Z163" s="259"/>
      <c r="AA163" s="259"/>
      <c r="AB163" s="259"/>
      <c r="AC163" s="259"/>
      <c r="AD163" s="259"/>
      <c r="AE163" s="259"/>
      <c r="AF163" s="259"/>
      <c r="AG163" s="259"/>
      <c r="AH163" s="259"/>
      <c r="AI163" s="259"/>
      <c r="AJ163" s="259"/>
      <c r="AK163" s="259"/>
      <c r="AL163" s="259"/>
      <c r="AM163" s="259"/>
      <c r="AN163" s="259"/>
      <c r="AO163" s="259"/>
      <c r="AP163" s="259"/>
      <c r="AQ163" s="259"/>
      <c r="AR163" s="259"/>
      <c r="AS163" s="259"/>
      <c r="AT163" s="259"/>
      <c r="AU163" s="259"/>
      <c r="AV163" s="259"/>
      <c r="AW163" s="259"/>
      <c r="AX163" s="259"/>
      <c r="AY163" s="259"/>
      <c r="AZ163" s="259"/>
      <c r="BA163" s="259"/>
      <c r="BB163" s="259"/>
      <c r="BC163" s="259"/>
      <c r="BD163" s="259"/>
      <c r="BE163" s="259"/>
      <c r="BF163" s="259"/>
      <c r="BG163" s="259"/>
      <c r="BH163" s="259"/>
      <c r="BI163" s="259"/>
      <c r="BJ163" s="259"/>
      <c r="BK163" s="259"/>
      <c r="BL163" s="259"/>
      <c r="BM163" s="259"/>
      <c r="BN163" s="259"/>
      <c r="BO163" s="259"/>
      <c r="BP163" s="259"/>
      <c r="BQ163" s="259"/>
      <c r="BR163" s="259"/>
      <c r="BS163" s="259"/>
      <c r="BT163" s="259"/>
      <c r="BU163" s="259"/>
      <c r="BV163" s="259"/>
      <c r="BW163" s="259"/>
      <c r="BX163" s="259"/>
      <c r="BY163" s="259"/>
      <c r="BZ163" s="259"/>
      <c r="CA163" s="259"/>
      <c r="CB163" s="259"/>
      <c r="CC163" s="259"/>
      <c r="CD163" s="259"/>
      <c r="CE163" s="259"/>
      <c r="CF163" s="259"/>
      <c r="CG163" s="259"/>
      <c r="CH163" s="259"/>
      <c r="CI163" s="259"/>
      <c r="CJ163" s="259"/>
      <c r="CK163" s="259"/>
      <c r="CL163" s="259"/>
      <c r="CM163" s="259"/>
      <c r="CN163" s="259"/>
      <c r="CO163" s="259"/>
      <c r="CP163" s="259"/>
      <c r="CQ163" s="259"/>
      <c r="CR163" s="259"/>
      <c r="CS163" s="259"/>
      <c r="CT163" s="259"/>
      <c r="CU163" s="259"/>
      <c r="CV163" s="259"/>
      <c r="CW163" s="259"/>
      <c r="CX163" s="259"/>
      <c r="CY163" s="259"/>
      <c r="CZ163" s="259"/>
      <c r="DA163" s="259"/>
      <c r="DB163" s="259"/>
      <c r="DC163" s="259"/>
      <c r="DD163" s="259"/>
      <c r="DE163" s="259"/>
      <c r="DF163" s="259"/>
      <c r="DG163" s="259"/>
      <c r="DH163" s="259"/>
      <c r="DI163" s="259"/>
      <c r="DJ163" s="259"/>
      <c r="DK163" s="259"/>
      <c r="DL163" s="259"/>
      <c r="DM163" s="259"/>
      <c r="DN163" s="259"/>
      <c r="DO163" s="259"/>
      <c r="DP163" s="259"/>
      <c r="DQ163" s="259"/>
      <c r="DR163" s="259"/>
      <c r="DS163" s="259"/>
      <c r="DT163" s="259"/>
      <c r="DU163" s="259"/>
      <c r="DV163" s="259"/>
      <c r="DW163"/>
      <c r="DX163"/>
      <c r="DY163"/>
      <c r="DZ163"/>
      <c r="EA163"/>
      <c r="EB163"/>
      <c r="EC163"/>
      <c r="ED163"/>
      <c r="EE163"/>
    </row>
    <row r="164" spans="1:135" s="214" customFormat="1" x14ac:dyDescent="0.35">
      <c r="A164" s="257"/>
      <c r="B164" s="257"/>
      <c r="C164" s="259"/>
      <c r="D164" s="259"/>
      <c r="E164" s="259"/>
      <c r="F164" s="259"/>
      <c r="G164" s="259"/>
      <c r="H164" s="259"/>
      <c r="I164" s="259"/>
      <c r="J164" s="259"/>
      <c r="K164" s="259"/>
      <c r="L164" s="259"/>
      <c r="M164" s="259"/>
      <c r="N164" s="257"/>
      <c r="O164" s="257"/>
      <c r="P164" s="259"/>
      <c r="Q164" s="259"/>
      <c r="R164" s="259"/>
      <c r="S164" s="259"/>
      <c r="T164" s="259"/>
      <c r="U164" s="259"/>
      <c r="V164" s="259"/>
      <c r="W164" s="259"/>
      <c r="X164" s="259"/>
      <c r="Y164" s="259"/>
      <c r="Z164" s="259"/>
      <c r="AA164" s="259"/>
      <c r="AB164" s="259"/>
      <c r="AC164" s="259"/>
      <c r="AD164" s="259"/>
      <c r="AE164" s="259"/>
      <c r="AF164" s="259"/>
      <c r="AG164" s="259"/>
      <c r="AH164" s="259"/>
      <c r="AI164" s="259"/>
      <c r="AJ164" s="259"/>
      <c r="AK164" s="259"/>
      <c r="AL164" s="259"/>
      <c r="AM164" s="259"/>
      <c r="AN164" s="259"/>
      <c r="AO164" s="259"/>
      <c r="AP164" s="259"/>
      <c r="AQ164" s="259"/>
      <c r="AR164" s="259"/>
      <c r="AS164" s="259"/>
      <c r="AT164" s="259"/>
      <c r="AU164" s="259"/>
      <c r="AV164" s="259"/>
      <c r="AW164" s="259"/>
      <c r="AX164" s="259"/>
      <c r="AY164" s="259"/>
      <c r="AZ164" s="259"/>
      <c r="BA164" s="259"/>
      <c r="BB164" s="259"/>
      <c r="BC164" s="259"/>
      <c r="BD164" s="259"/>
      <c r="BE164" s="259"/>
      <c r="BF164" s="259"/>
      <c r="BG164" s="259"/>
      <c r="BH164" s="259"/>
      <c r="BI164" s="259"/>
      <c r="BJ164" s="259"/>
      <c r="BK164" s="259"/>
      <c r="BL164" s="259"/>
      <c r="BM164" s="259"/>
      <c r="BN164" s="259"/>
      <c r="BO164" s="259"/>
      <c r="BP164" s="259"/>
      <c r="BQ164" s="259"/>
      <c r="BR164" s="259"/>
      <c r="BS164" s="259"/>
      <c r="BT164" s="259"/>
      <c r="BU164" s="259"/>
      <c r="BV164" s="259"/>
      <c r="BW164" s="259"/>
      <c r="BX164" s="259"/>
      <c r="BY164" s="259"/>
      <c r="BZ164" s="259"/>
      <c r="CA164" s="259"/>
      <c r="CB164" s="259"/>
      <c r="CC164" s="259"/>
      <c r="CD164" s="259"/>
      <c r="CE164" s="259"/>
      <c r="CF164" s="259"/>
      <c r="CG164" s="259"/>
      <c r="CH164" s="259"/>
      <c r="CI164" s="259"/>
      <c r="CJ164" s="259"/>
      <c r="CK164" s="259"/>
      <c r="CL164" s="259"/>
      <c r="CM164" s="259"/>
      <c r="CN164" s="259"/>
      <c r="CO164" s="259"/>
      <c r="CP164" s="259"/>
      <c r="CQ164" s="259"/>
      <c r="CR164" s="259"/>
      <c r="CS164" s="259"/>
      <c r="CT164" s="259"/>
      <c r="CU164" s="259"/>
      <c r="CV164" s="259"/>
      <c r="CW164" s="259"/>
      <c r="CX164" s="259"/>
      <c r="CY164" s="259"/>
      <c r="CZ164" s="259"/>
      <c r="DA164" s="259"/>
      <c r="DB164" s="259"/>
      <c r="DC164" s="259"/>
      <c r="DD164" s="259"/>
      <c r="DE164" s="259"/>
      <c r="DF164" s="259"/>
      <c r="DG164" s="259"/>
      <c r="DH164" s="259"/>
      <c r="DI164" s="259"/>
      <c r="DJ164" s="259"/>
      <c r="DK164" s="259"/>
      <c r="DL164" s="259"/>
      <c r="DM164" s="259"/>
      <c r="DN164" s="259"/>
      <c r="DO164" s="259"/>
      <c r="DP164" s="259"/>
      <c r="DQ164" s="259"/>
      <c r="DR164" s="259"/>
      <c r="DS164" s="259"/>
      <c r="DT164" s="259"/>
      <c r="DU164" s="259"/>
      <c r="DV164" s="259"/>
      <c r="DW164"/>
      <c r="DX164"/>
      <c r="DY164"/>
      <c r="DZ164"/>
      <c r="EA164"/>
      <c r="EB164"/>
      <c r="EC164"/>
      <c r="ED164"/>
      <c r="EE164"/>
    </row>
    <row r="165" spans="1:135" s="214" customFormat="1" x14ac:dyDescent="0.35">
      <c r="A165" s="257"/>
      <c r="B165" s="257"/>
      <c r="C165" s="259"/>
      <c r="D165" s="259"/>
      <c r="E165" s="259"/>
      <c r="F165" s="259"/>
      <c r="G165" s="259"/>
      <c r="H165" s="259"/>
      <c r="I165" s="259"/>
      <c r="J165" s="259"/>
      <c r="K165" s="259"/>
      <c r="L165" s="259"/>
      <c r="M165" s="259"/>
      <c r="N165" s="257"/>
      <c r="O165" s="257"/>
      <c r="P165" s="259"/>
      <c r="Q165" s="259"/>
      <c r="R165" s="259"/>
      <c r="S165" s="259"/>
      <c r="T165" s="259"/>
      <c r="U165" s="259"/>
      <c r="V165" s="259"/>
      <c r="W165" s="259"/>
      <c r="X165" s="259"/>
      <c r="Y165" s="259"/>
      <c r="Z165" s="259"/>
      <c r="AA165" s="259"/>
      <c r="AB165" s="259"/>
      <c r="AC165" s="259"/>
      <c r="AD165" s="259"/>
      <c r="AE165" s="259"/>
      <c r="AF165" s="259"/>
      <c r="AG165" s="259"/>
      <c r="AH165" s="259"/>
      <c r="AI165" s="259"/>
      <c r="AJ165" s="259"/>
      <c r="AK165" s="259"/>
      <c r="AL165" s="259"/>
      <c r="AM165" s="259"/>
      <c r="AN165" s="259"/>
      <c r="AO165" s="259"/>
      <c r="AP165" s="259"/>
      <c r="AQ165" s="259"/>
      <c r="AR165" s="259"/>
      <c r="AS165" s="259"/>
      <c r="AT165" s="259"/>
      <c r="AU165" s="259"/>
      <c r="AV165" s="259"/>
      <c r="AW165" s="259"/>
      <c r="AX165" s="259"/>
      <c r="AY165" s="259"/>
      <c r="AZ165" s="259"/>
      <c r="BA165" s="259"/>
      <c r="BB165" s="259"/>
      <c r="BC165" s="259"/>
      <c r="BD165" s="259"/>
      <c r="BE165" s="259"/>
      <c r="BF165" s="259"/>
      <c r="BG165" s="259"/>
      <c r="BH165" s="259"/>
      <c r="BI165" s="259"/>
      <c r="BJ165" s="259"/>
      <c r="BK165" s="259"/>
      <c r="BL165" s="259"/>
      <c r="BM165" s="259"/>
      <c r="BN165" s="259"/>
      <c r="BO165" s="259"/>
      <c r="BP165" s="259"/>
      <c r="BQ165" s="259"/>
      <c r="BR165" s="259"/>
      <c r="BS165" s="259"/>
      <c r="BT165" s="259"/>
      <c r="BU165" s="259"/>
      <c r="BV165" s="259"/>
      <c r="BW165" s="259"/>
      <c r="BX165" s="259"/>
      <c r="BY165" s="259"/>
      <c r="BZ165" s="259"/>
      <c r="CA165" s="259"/>
      <c r="CB165" s="259"/>
      <c r="CC165" s="259"/>
      <c r="CD165" s="259"/>
      <c r="CE165" s="259"/>
      <c r="CF165" s="259"/>
      <c r="CG165" s="259"/>
      <c r="CH165" s="259"/>
      <c r="CI165" s="259"/>
      <c r="CJ165" s="259"/>
      <c r="CK165" s="259"/>
      <c r="CL165" s="259"/>
      <c r="CM165" s="259"/>
      <c r="CN165" s="259"/>
      <c r="CO165" s="259"/>
      <c r="CP165" s="259"/>
      <c r="CQ165" s="259"/>
      <c r="CR165" s="259"/>
      <c r="CS165" s="259"/>
      <c r="CT165" s="259"/>
      <c r="CU165" s="259"/>
      <c r="CV165" s="259"/>
      <c r="CW165" s="259"/>
      <c r="CX165" s="259"/>
      <c r="CY165" s="259"/>
      <c r="CZ165" s="259"/>
      <c r="DA165" s="259"/>
      <c r="DB165" s="259"/>
      <c r="DC165" s="259"/>
      <c r="DD165" s="259"/>
      <c r="DE165" s="259"/>
      <c r="DF165" s="259"/>
      <c r="DG165" s="259"/>
      <c r="DH165" s="259"/>
      <c r="DI165" s="259"/>
      <c r="DJ165" s="259"/>
      <c r="DK165" s="259"/>
      <c r="DL165" s="259"/>
      <c r="DM165" s="259"/>
      <c r="DN165" s="259"/>
      <c r="DO165" s="259"/>
      <c r="DP165" s="259"/>
      <c r="DQ165" s="259"/>
      <c r="DR165" s="259"/>
      <c r="DS165" s="259"/>
      <c r="DT165" s="259"/>
      <c r="DU165" s="259"/>
      <c r="DV165" s="259"/>
      <c r="DW165"/>
      <c r="DX165"/>
      <c r="DY165"/>
      <c r="DZ165"/>
      <c r="EA165"/>
      <c r="EB165"/>
      <c r="EC165"/>
      <c r="ED165"/>
      <c r="EE165"/>
    </row>
    <row r="166" spans="1:135" s="214" customFormat="1" x14ac:dyDescent="0.35">
      <c r="A166" s="257"/>
      <c r="B166" s="257"/>
      <c r="C166" s="259"/>
      <c r="D166" s="259"/>
      <c r="E166" s="259"/>
      <c r="F166" s="259"/>
      <c r="G166" s="259"/>
      <c r="H166" s="259"/>
      <c r="I166" s="259"/>
      <c r="J166" s="259"/>
      <c r="K166" s="259"/>
      <c r="L166" s="259"/>
      <c r="M166" s="259"/>
      <c r="N166" s="257"/>
      <c r="O166" s="257"/>
      <c r="P166" s="259"/>
      <c r="Q166" s="259"/>
      <c r="R166" s="259"/>
      <c r="S166" s="259"/>
      <c r="T166" s="259"/>
      <c r="U166" s="259"/>
      <c r="V166" s="259"/>
      <c r="W166" s="259"/>
      <c r="X166" s="259"/>
      <c r="Y166" s="259"/>
      <c r="Z166" s="259"/>
      <c r="AA166" s="259"/>
      <c r="AB166" s="259"/>
      <c r="AC166" s="259"/>
      <c r="AD166" s="259"/>
      <c r="AE166" s="259"/>
      <c r="AF166" s="259"/>
      <c r="AG166" s="259"/>
      <c r="AH166" s="259"/>
      <c r="AI166" s="259"/>
      <c r="AJ166" s="259"/>
      <c r="AK166" s="259"/>
      <c r="AL166" s="259"/>
      <c r="AM166" s="259"/>
      <c r="AN166" s="259"/>
      <c r="AO166" s="259"/>
      <c r="AP166" s="259"/>
      <c r="AQ166" s="259"/>
      <c r="AR166" s="259"/>
      <c r="AS166" s="259"/>
      <c r="AT166" s="259"/>
      <c r="AU166" s="259"/>
      <c r="AV166" s="259"/>
      <c r="AW166" s="259"/>
      <c r="AX166" s="259"/>
      <c r="AY166" s="259"/>
      <c r="AZ166" s="259"/>
      <c r="BA166" s="259"/>
      <c r="BB166" s="259"/>
      <c r="BC166" s="259"/>
      <c r="BD166" s="259"/>
      <c r="BE166" s="259"/>
      <c r="BF166" s="259"/>
      <c r="BG166" s="259"/>
      <c r="BH166" s="259"/>
      <c r="BI166" s="259"/>
      <c r="BJ166" s="259"/>
      <c r="BK166" s="259"/>
      <c r="BL166" s="259"/>
      <c r="BM166" s="259"/>
      <c r="BN166" s="259"/>
      <c r="BO166" s="259"/>
      <c r="BP166" s="259"/>
      <c r="BQ166" s="259"/>
      <c r="BR166" s="259"/>
      <c r="BS166" s="259"/>
      <c r="BT166" s="259"/>
      <c r="BU166" s="259"/>
      <c r="BV166" s="259"/>
      <c r="BW166" s="259"/>
      <c r="BX166" s="259"/>
      <c r="BY166" s="259"/>
      <c r="BZ166" s="259"/>
      <c r="CA166" s="259"/>
      <c r="CB166" s="259"/>
      <c r="CC166" s="259"/>
      <c r="CD166" s="259"/>
      <c r="CE166" s="259"/>
      <c r="CF166" s="259"/>
      <c r="CG166" s="259"/>
      <c r="CH166" s="259"/>
      <c r="CI166" s="259"/>
      <c r="CJ166" s="259"/>
      <c r="CK166" s="259"/>
      <c r="CL166" s="259"/>
      <c r="CM166" s="259"/>
      <c r="CN166" s="259"/>
      <c r="CO166" s="259"/>
      <c r="CP166" s="259"/>
      <c r="CQ166" s="259"/>
      <c r="CR166" s="259"/>
      <c r="CS166" s="259"/>
      <c r="CT166" s="259"/>
      <c r="CU166" s="259"/>
      <c r="CV166" s="259"/>
      <c r="CW166" s="259"/>
      <c r="CX166" s="259"/>
      <c r="CY166" s="259"/>
      <c r="CZ166" s="259"/>
      <c r="DA166" s="259"/>
      <c r="DB166" s="259"/>
      <c r="DC166" s="259"/>
      <c r="DD166" s="259"/>
      <c r="DE166" s="259"/>
      <c r="DF166" s="259"/>
      <c r="DG166" s="259"/>
      <c r="DH166" s="259"/>
      <c r="DI166" s="259"/>
      <c r="DJ166" s="259"/>
      <c r="DK166" s="259"/>
      <c r="DL166" s="259"/>
      <c r="DM166" s="259"/>
      <c r="DN166" s="259"/>
      <c r="DO166" s="259"/>
      <c r="DP166" s="259"/>
      <c r="DQ166" s="259"/>
      <c r="DR166" s="259"/>
      <c r="DS166" s="259"/>
      <c r="DT166" s="259"/>
      <c r="DU166" s="259"/>
      <c r="DV166" s="259"/>
      <c r="DW166"/>
      <c r="DX166"/>
      <c r="DY166"/>
      <c r="DZ166"/>
      <c r="EA166"/>
      <c r="EB166"/>
      <c r="EC166"/>
      <c r="ED166"/>
      <c r="EE166"/>
    </row>
    <row r="167" spans="1:135" s="214" customFormat="1" x14ac:dyDescent="0.35">
      <c r="A167" s="257"/>
      <c r="B167" s="257"/>
      <c r="C167" s="259"/>
      <c r="D167" s="259"/>
      <c r="E167" s="259"/>
      <c r="F167" s="259"/>
      <c r="G167" s="259"/>
      <c r="H167" s="259"/>
      <c r="I167" s="259"/>
      <c r="J167" s="259"/>
      <c r="K167" s="259"/>
      <c r="L167" s="259"/>
      <c r="M167" s="259"/>
      <c r="N167" s="257"/>
      <c r="O167" s="257"/>
      <c r="P167" s="259"/>
      <c r="Q167" s="259"/>
      <c r="R167" s="259"/>
      <c r="S167" s="259"/>
      <c r="T167" s="259"/>
      <c r="U167" s="259"/>
      <c r="V167" s="259"/>
      <c r="W167" s="259"/>
      <c r="X167" s="259"/>
      <c r="Y167" s="259"/>
      <c r="Z167" s="259"/>
      <c r="AA167" s="259"/>
      <c r="AB167" s="259"/>
      <c r="AC167" s="259"/>
      <c r="AD167" s="259"/>
      <c r="AE167" s="259"/>
      <c r="AF167" s="259"/>
      <c r="AG167" s="259"/>
      <c r="AH167" s="259"/>
      <c r="AI167" s="259"/>
      <c r="AJ167" s="259"/>
      <c r="AK167" s="259"/>
      <c r="AL167" s="259"/>
      <c r="AM167" s="259"/>
      <c r="AN167" s="259"/>
      <c r="AO167" s="259"/>
      <c r="AP167" s="259"/>
      <c r="AQ167" s="259"/>
      <c r="AR167" s="259"/>
      <c r="AS167" s="259"/>
      <c r="AT167" s="259"/>
      <c r="AU167" s="259"/>
      <c r="AV167" s="259"/>
      <c r="AW167" s="259"/>
      <c r="AX167" s="259"/>
      <c r="AY167" s="259"/>
      <c r="AZ167" s="259"/>
      <c r="BA167" s="259"/>
      <c r="BB167" s="259"/>
      <c r="BC167" s="259"/>
      <c r="BD167" s="259"/>
      <c r="BE167" s="259"/>
      <c r="BF167" s="259"/>
      <c r="BG167" s="259"/>
      <c r="BH167" s="259"/>
      <c r="BI167" s="259"/>
      <c r="BJ167" s="259"/>
      <c r="BK167" s="259"/>
      <c r="BL167" s="259"/>
      <c r="BM167" s="259"/>
      <c r="BN167" s="259"/>
      <c r="BO167" s="259"/>
      <c r="BP167" s="259"/>
      <c r="BQ167" s="259"/>
      <c r="BR167" s="259"/>
      <c r="BS167" s="259"/>
      <c r="BT167" s="259"/>
      <c r="BU167" s="259"/>
      <c r="BV167" s="259"/>
      <c r="BW167" s="259"/>
      <c r="BX167" s="259"/>
      <c r="BY167" s="259"/>
      <c r="BZ167" s="259"/>
      <c r="CA167" s="259"/>
      <c r="CB167" s="259"/>
      <c r="CC167" s="259"/>
      <c r="CD167" s="259"/>
      <c r="CE167" s="259"/>
      <c r="CF167" s="259"/>
      <c r="CG167" s="259"/>
      <c r="CH167" s="259"/>
      <c r="CI167" s="259"/>
      <c r="CJ167" s="259"/>
      <c r="CK167" s="259"/>
      <c r="CL167" s="259"/>
      <c r="CM167" s="259"/>
      <c r="CN167" s="259"/>
      <c r="CO167" s="259"/>
      <c r="CP167" s="259"/>
      <c r="CQ167" s="259"/>
      <c r="CR167" s="259"/>
      <c r="CS167" s="259"/>
      <c r="CT167" s="259"/>
      <c r="CU167" s="259"/>
      <c r="CV167" s="259"/>
      <c r="CW167" s="259"/>
      <c r="CX167" s="259"/>
      <c r="CY167" s="259"/>
      <c r="CZ167" s="259"/>
      <c r="DA167" s="259"/>
      <c r="DB167" s="259"/>
      <c r="DC167" s="259"/>
      <c r="DD167" s="259"/>
      <c r="DE167" s="259"/>
      <c r="DF167" s="259"/>
      <c r="DG167" s="259"/>
      <c r="DH167" s="259"/>
      <c r="DI167" s="259"/>
      <c r="DJ167" s="259"/>
      <c r="DK167" s="259"/>
      <c r="DL167" s="259"/>
      <c r="DM167" s="259"/>
      <c r="DN167" s="259"/>
      <c r="DO167" s="259"/>
      <c r="DP167" s="259"/>
      <c r="DQ167" s="259"/>
      <c r="DR167" s="259"/>
      <c r="DS167" s="259"/>
      <c r="DT167" s="259"/>
      <c r="DU167" s="259"/>
      <c r="DV167" s="259"/>
      <c r="DW167"/>
      <c r="DX167"/>
      <c r="DY167"/>
      <c r="DZ167"/>
      <c r="EA167"/>
      <c r="EB167"/>
      <c r="EC167"/>
      <c r="ED167"/>
      <c r="EE167"/>
    </row>
    <row r="168" spans="1:135" s="214" customFormat="1" x14ac:dyDescent="0.35">
      <c r="A168" s="257"/>
      <c r="B168" s="257"/>
      <c r="C168" s="259"/>
      <c r="D168" s="259"/>
      <c r="E168" s="259"/>
      <c r="F168" s="257"/>
      <c r="G168" s="257"/>
      <c r="H168" s="257"/>
      <c r="I168" s="257"/>
      <c r="J168" s="257"/>
      <c r="K168" s="257"/>
      <c r="L168" s="259"/>
      <c r="M168" s="259"/>
      <c r="N168" s="257"/>
      <c r="O168" s="257"/>
      <c r="P168" s="259"/>
      <c r="Q168" s="259"/>
      <c r="R168" s="259"/>
      <c r="S168" s="259"/>
      <c r="T168" s="259"/>
      <c r="U168" s="259"/>
      <c r="V168" s="259"/>
      <c r="W168" s="259"/>
      <c r="X168" s="259"/>
      <c r="Y168" s="259"/>
      <c r="Z168" s="259"/>
      <c r="AA168" s="259"/>
      <c r="AB168" s="259"/>
      <c r="AC168" s="259"/>
      <c r="AD168" s="259"/>
      <c r="AE168" s="259"/>
      <c r="AF168" s="259"/>
      <c r="AG168" s="259"/>
      <c r="AH168" s="259"/>
      <c r="AI168" s="259"/>
      <c r="AJ168" s="259"/>
      <c r="AK168" s="259"/>
      <c r="AL168" s="259"/>
      <c r="AM168" s="259"/>
      <c r="AN168" s="259"/>
      <c r="AO168" s="259"/>
      <c r="AP168" s="259"/>
      <c r="AQ168" s="259"/>
      <c r="AR168" s="259"/>
      <c r="AS168" s="259"/>
      <c r="AT168" s="259"/>
      <c r="AU168" s="259"/>
      <c r="AV168" s="259"/>
      <c r="AW168" s="259"/>
      <c r="AX168" s="259"/>
      <c r="AY168" s="259"/>
      <c r="AZ168" s="259"/>
      <c r="BA168" s="259"/>
      <c r="BB168" s="259"/>
      <c r="BC168" s="259"/>
      <c r="BD168" s="259"/>
      <c r="BE168" s="259"/>
      <c r="BF168" s="259"/>
      <c r="BG168" s="259"/>
      <c r="BH168" s="259"/>
      <c r="BI168" s="259"/>
      <c r="BJ168" s="259"/>
      <c r="BK168" s="259"/>
      <c r="BL168" s="259"/>
      <c r="BM168" s="259"/>
      <c r="BN168" s="259"/>
      <c r="BO168" s="259"/>
      <c r="BP168" s="259"/>
      <c r="BQ168" s="259"/>
      <c r="BR168" s="259"/>
      <c r="BS168" s="259"/>
      <c r="BT168" s="259"/>
      <c r="BU168" s="259"/>
      <c r="BV168" s="259"/>
      <c r="BW168" s="259"/>
      <c r="BX168" s="259"/>
      <c r="BY168" s="259"/>
      <c r="BZ168" s="259"/>
      <c r="CA168" s="259"/>
      <c r="CB168" s="259"/>
      <c r="CC168" s="259"/>
      <c r="CD168" s="259"/>
      <c r="CE168" s="259"/>
      <c r="CF168" s="259"/>
      <c r="CG168" s="259"/>
      <c r="CH168" s="259"/>
      <c r="CI168" s="259"/>
      <c r="CJ168" s="259"/>
      <c r="CK168" s="259"/>
      <c r="CL168" s="259"/>
      <c r="CM168" s="259"/>
      <c r="CN168" s="259"/>
      <c r="CO168" s="259"/>
      <c r="CP168" s="259"/>
      <c r="CQ168" s="259"/>
      <c r="CR168" s="259"/>
      <c r="CS168" s="259"/>
      <c r="CT168" s="259"/>
      <c r="CU168" s="259"/>
      <c r="CV168" s="259"/>
      <c r="CW168" s="259"/>
      <c r="CX168" s="259"/>
      <c r="CY168" s="259"/>
      <c r="CZ168" s="259"/>
      <c r="DA168" s="259"/>
      <c r="DB168" s="259"/>
      <c r="DC168" s="259"/>
      <c r="DD168" s="259"/>
      <c r="DE168" s="259"/>
      <c r="DF168" s="259"/>
      <c r="DG168" s="259"/>
      <c r="DH168" s="259"/>
      <c r="DI168" s="259"/>
      <c r="DJ168" s="259"/>
      <c r="DK168" s="259"/>
      <c r="DL168" s="259"/>
      <c r="DM168" s="259"/>
      <c r="DN168" s="259"/>
      <c r="DO168" s="259"/>
      <c r="DP168" s="259"/>
      <c r="DQ168" s="259"/>
      <c r="DR168" s="259"/>
      <c r="DS168" s="259"/>
      <c r="DT168" s="259"/>
      <c r="DU168" s="259"/>
      <c r="DV168" s="259"/>
      <c r="DW168"/>
      <c r="DX168"/>
      <c r="DY168"/>
      <c r="DZ168"/>
      <c r="EA168"/>
      <c r="EB168"/>
      <c r="EC168"/>
      <c r="ED168"/>
      <c r="EE168"/>
    </row>
    <row r="169" spans="1:135" s="214" customFormat="1" x14ac:dyDescent="0.35">
      <c r="A169" s="257"/>
      <c r="B169" s="257"/>
      <c r="C169" s="257"/>
      <c r="D169" s="257"/>
      <c r="E169" s="257"/>
      <c r="F169" s="257"/>
      <c r="G169" s="257"/>
      <c r="H169" s="257"/>
      <c r="I169" s="257"/>
      <c r="J169" s="257"/>
      <c r="K169" s="257"/>
      <c r="L169" s="259"/>
      <c r="M169" s="259"/>
      <c r="N169" s="257"/>
      <c r="O169" s="257"/>
      <c r="P169" s="257"/>
      <c r="Q169" s="257"/>
      <c r="R169" s="257"/>
      <c r="S169" s="257"/>
      <c r="T169" s="257"/>
      <c r="U169" s="257"/>
      <c r="V169" s="257"/>
      <c r="W169" s="257"/>
      <c r="X169" s="257"/>
      <c r="Y169" s="257"/>
      <c r="Z169" s="257"/>
      <c r="AA169" s="257"/>
      <c r="AB169" s="257"/>
      <c r="AC169" s="257"/>
      <c r="AD169" s="257"/>
      <c r="AE169" s="257"/>
      <c r="AF169" s="257"/>
      <c r="AG169" s="257"/>
      <c r="AH169" s="257"/>
      <c r="AI169" s="257"/>
      <c r="AJ169" s="257"/>
      <c r="AK169" s="257"/>
      <c r="AL169" s="257"/>
      <c r="AM169" s="257"/>
      <c r="AN169" s="257"/>
      <c r="AO169" s="257"/>
      <c r="AP169" s="257"/>
      <c r="AQ169" s="257"/>
      <c r="AR169" s="257"/>
      <c r="AS169" s="257"/>
      <c r="AT169" s="257"/>
      <c r="AU169" s="257"/>
      <c r="AV169" s="257"/>
      <c r="AW169" s="257"/>
      <c r="AX169" s="257"/>
      <c r="AY169" s="257"/>
      <c r="AZ169" s="257"/>
      <c r="BA169" s="257"/>
      <c r="BB169" s="257"/>
      <c r="BC169" s="257"/>
      <c r="BD169" s="257"/>
      <c r="BE169" s="257"/>
      <c r="BF169" s="257"/>
      <c r="BG169" s="257"/>
      <c r="BH169" s="257"/>
      <c r="BI169" s="257"/>
      <c r="BJ169" s="257"/>
      <c r="BK169" s="257"/>
      <c r="BL169" s="257"/>
      <c r="BM169" s="257"/>
      <c r="BN169" s="257"/>
      <c r="BO169" s="257"/>
      <c r="BP169" s="257"/>
      <c r="BQ169" s="257"/>
      <c r="BR169" s="257"/>
      <c r="BS169" s="257"/>
      <c r="BT169" s="257"/>
      <c r="BU169" s="257"/>
      <c r="BV169" s="257"/>
      <c r="BW169" s="257"/>
      <c r="BX169" s="257"/>
      <c r="BY169" s="257"/>
      <c r="BZ169" s="257"/>
      <c r="CA169" s="257"/>
      <c r="CB169" s="257"/>
      <c r="CC169" s="257"/>
      <c r="CD169" s="257"/>
      <c r="CE169" s="257"/>
      <c r="CF169" s="257"/>
      <c r="CG169" s="257"/>
      <c r="CH169" s="257"/>
      <c r="CI169" s="257"/>
      <c r="CJ169" s="257"/>
      <c r="CK169" s="257"/>
      <c r="CL169" s="257"/>
      <c r="CM169" s="257"/>
      <c r="CN169" s="257"/>
      <c r="CO169" s="257"/>
      <c r="CP169" s="257"/>
      <c r="CQ169" s="257"/>
      <c r="CR169" s="257"/>
      <c r="CS169" s="257"/>
      <c r="CT169" s="257"/>
      <c r="CU169" s="257"/>
      <c r="CV169" s="257"/>
      <c r="CW169" s="257"/>
      <c r="CX169" s="257"/>
      <c r="CY169" s="257"/>
      <c r="CZ169" s="257"/>
      <c r="DA169" s="257"/>
      <c r="DB169" s="257"/>
      <c r="DC169" s="257"/>
      <c r="DD169" s="257"/>
      <c r="DE169" s="257"/>
      <c r="DF169" s="257"/>
      <c r="DG169" s="257"/>
      <c r="DH169" s="257"/>
      <c r="DI169" s="257"/>
      <c r="DJ169" s="257"/>
      <c r="DK169" s="257"/>
      <c r="DL169" s="257"/>
      <c r="DM169" s="257"/>
      <c r="DN169" s="257"/>
      <c r="DO169" s="257"/>
      <c r="DP169" s="257"/>
      <c r="DQ169" s="257"/>
      <c r="DR169" s="257"/>
      <c r="DS169" s="257"/>
      <c r="DT169" s="257"/>
      <c r="DU169" s="257"/>
      <c r="DV169" s="257"/>
      <c r="DW169"/>
      <c r="DX169"/>
      <c r="DY169"/>
      <c r="DZ169"/>
      <c r="EA169"/>
      <c r="EB169"/>
      <c r="EC169"/>
      <c r="ED169"/>
      <c r="EE169"/>
    </row>
    <row r="170" spans="1:135" s="214" customFormat="1" x14ac:dyDescent="0.35">
      <c r="A170" s="257"/>
      <c r="B170" s="257"/>
      <c r="C170" s="257"/>
      <c r="D170" s="257"/>
      <c r="E170" s="257"/>
      <c r="F170" s="257"/>
      <c r="G170" s="257"/>
      <c r="H170" s="257"/>
      <c r="I170" s="257"/>
      <c r="J170" s="257"/>
      <c r="K170" s="257"/>
      <c r="L170" s="259"/>
      <c r="M170" s="259"/>
      <c r="N170" s="257"/>
      <c r="O170" s="257"/>
      <c r="P170" s="257"/>
      <c r="Q170" s="257"/>
      <c r="R170" s="257"/>
      <c r="S170" s="257"/>
      <c r="T170" s="257"/>
      <c r="U170" s="257"/>
      <c r="V170" s="257"/>
      <c r="W170" s="257"/>
      <c r="X170" s="257"/>
      <c r="Y170" s="257"/>
      <c r="Z170" s="257"/>
      <c r="AA170" s="257"/>
      <c r="AB170" s="257"/>
      <c r="AC170" s="257"/>
      <c r="AD170" s="257"/>
      <c r="AE170" s="257"/>
      <c r="AF170" s="257"/>
      <c r="AG170" s="257"/>
      <c r="AH170" s="257"/>
      <c r="AI170" s="257"/>
      <c r="AJ170" s="257"/>
      <c r="AK170" s="257"/>
      <c r="AL170" s="257"/>
      <c r="AM170" s="257"/>
      <c r="AN170" s="257"/>
      <c r="AO170" s="257"/>
      <c r="AP170" s="257"/>
      <c r="AQ170" s="257"/>
      <c r="AR170" s="257"/>
      <c r="AS170" s="257"/>
      <c r="AT170" s="257"/>
      <c r="AU170" s="257"/>
      <c r="AV170" s="257"/>
      <c r="AW170" s="257"/>
      <c r="AX170" s="257"/>
      <c r="AY170" s="257"/>
      <c r="AZ170" s="257"/>
      <c r="BA170" s="257"/>
      <c r="BB170" s="257"/>
      <c r="BC170" s="257"/>
      <c r="BD170" s="257"/>
      <c r="BE170" s="257"/>
      <c r="BF170" s="257"/>
      <c r="BG170" s="257"/>
      <c r="BH170" s="257"/>
      <c r="BI170" s="257"/>
      <c r="BJ170" s="257"/>
      <c r="BK170" s="257"/>
      <c r="BL170" s="257"/>
      <c r="BM170" s="257"/>
      <c r="BN170" s="257"/>
      <c r="BO170" s="257"/>
      <c r="BP170" s="257"/>
      <c r="BQ170" s="257"/>
      <c r="BR170" s="257"/>
      <c r="BS170" s="257"/>
      <c r="BT170" s="257"/>
      <c r="BU170" s="257"/>
      <c r="BV170" s="257"/>
      <c r="BW170" s="257"/>
      <c r="BX170" s="257"/>
      <c r="BY170" s="257"/>
      <c r="BZ170" s="257"/>
      <c r="CA170" s="257"/>
      <c r="CB170" s="257"/>
      <c r="CC170" s="257"/>
      <c r="CD170" s="257"/>
      <c r="CE170" s="257"/>
      <c r="CF170" s="257"/>
      <c r="CG170" s="257"/>
      <c r="CH170" s="257"/>
      <c r="CI170" s="257"/>
      <c r="CJ170" s="257"/>
      <c r="CK170" s="257"/>
      <c r="CL170" s="257"/>
      <c r="CM170" s="257"/>
      <c r="CN170" s="257"/>
      <c r="CO170" s="257"/>
      <c r="CP170" s="257"/>
      <c r="CQ170" s="257"/>
      <c r="CR170" s="257"/>
      <c r="CS170" s="257"/>
      <c r="CT170" s="257"/>
      <c r="CU170" s="257"/>
      <c r="CV170" s="257"/>
      <c r="CW170" s="257"/>
      <c r="CX170" s="257"/>
      <c r="CY170" s="257"/>
      <c r="CZ170" s="257"/>
      <c r="DA170" s="257"/>
      <c r="DB170" s="257"/>
      <c r="DC170" s="257"/>
      <c r="DD170" s="257"/>
      <c r="DE170" s="257"/>
      <c r="DF170" s="257"/>
      <c r="DG170" s="257"/>
      <c r="DH170" s="257"/>
      <c r="DI170" s="257"/>
      <c r="DJ170" s="257"/>
      <c r="DK170" s="257"/>
      <c r="DL170" s="257"/>
      <c r="DM170" s="257"/>
      <c r="DN170" s="257"/>
      <c r="DO170" s="257"/>
      <c r="DP170" s="257"/>
      <c r="DQ170" s="257"/>
      <c r="DR170" s="257"/>
      <c r="DS170" s="257"/>
      <c r="DT170" s="257"/>
      <c r="DU170" s="257"/>
      <c r="DV170" s="257"/>
      <c r="DW170"/>
      <c r="DX170"/>
      <c r="DY170"/>
      <c r="DZ170"/>
      <c r="EA170"/>
      <c r="EB170"/>
      <c r="EC170"/>
      <c r="ED170"/>
      <c r="EE170"/>
    </row>
    <row r="171" spans="1:135" s="214" customFormat="1" x14ac:dyDescent="0.35">
      <c r="A171" s="257"/>
      <c r="B171" s="257"/>
      <c r="C171" s="257"/>
      <c r="D171" s="257"/>
      <c r="E171" s="257"/>
      <c r="F171" s="257"/>
      <c r="G171" s="257"/>
      <c r="H171" s="257"/>
      <c r="I171" s="257"/>
      <c r="J171" s="257"/>
      <c r="K171" s="257"/>
      <c r="L171" s="259"/>
      <c r="M171" s="259"/>
      <c r="N171" s="257"/>
      <c r="O171" s="257"/>
      <c r="P171" s="257"/>
      <c r="Q171" s="257"/>
      <c r="R171" s="257"/>
      <c r="S171" s="257"/>
      <c r="T171" s="257"/>
      <c r="U171" s="257"/>
      <c r="V171" s="257"/>
      <c r="W171" s="257"/>
      <c r="X171" s="257"/>
      <c r="Y171" s="257"/>
      <c r="Z171" s="257"/>
      <c r="AA171" s="257"/>
      <c r="AB171" s="257"/>
      <c r="AC171" s="257"/>
      <c r="AD171" s="257"/>
      <c r="AE171" s="257"/>
      <c r="AF171" s="257"/>
      <c r="AG171" s="257"/>
      <c r="AH171" s="257"/>
      <c r="AI171" s="257"/>
      <c r="AJ171" s="257"/>
      <c r="AK171" s="257"/>
      <c r="AL171" s="257"/>
      <c r="AM171" s="257"/>
      <c r="AN171" s="257"/>
      <c r="AO171" s="257"/>
      <c r="AP171" s="257"/>
      <c r="AQ171" s="257"/>
      <c r="AR171" s="257"/>
      <c r="AS171" s="257"/>
      <c r="AT171" s="257"/>
      <c r="AU171" s="257"/>
      <c r="AV171" s="257"/>
      <c r="AW171" s="257"/>
      <c r="AX171" s="257"/>
      <c r="AY171" s="257"/>
      <c r="AZ171" s="257"/>
      <c r="BA171" s="257"/>
      <c r="BB171" s="257"/>
      <c r="BC171" s="257"/>
      <c r="BD171" s="257"/>
      <c r="BE171" s="257"/>
      <c r="BF171" s="257"/>
      <c r="BG171" s="257"/>
      <c r="BH171" s="257"/>
      <c r="BI171" s="257"/>
      <c r="BJ171" s="257"/>
      <c r="BK171" s="257"/>
      <c r="BL171" s="257"/>
      <c r="BM171" s="257"/>
      <c r="BN171" s="257"/>
      <c r="BO171" s="257"/>
      <c r="BP171" s="257"/>
      <c r="BQ171" s="257"/>
      <c r="BR171" s="257"/>
      <c r="BS171" s="257"/>
      <c r="BT171" s="257"/>
      <c r="BU171" s="257"/>
      <c r="BV171" s="257"/>
      <c r="BW171" s="257"/>
      <c r="BX171" s="257"/>
      <c r="BY171" s="257"/>
      <c r="BZ171" s="257"/>
      <c r="CA171" s="257"/>
      <c r="CB171" s="257"/>
      <c r="CC171" s="257"/>
      <c r="CD171" s="257"/>
      <c r="CE171" s="257"/>
      <c r="CF171" s="257"/>
      <c r="CG171" s="257"/>
      <c r="CH171" s="257"/>
      <c r="CI171" s="257"/>
      <c r="CJ171" s="257"/>
      <c r="CK171" s="257"/>
      <c r="CL171" s="257"/>
      <c r="CM171" s="257"/>
      <c r="CN171" s="257"/>
      <c r="CO171" s="257"/>
      <c r="CP171" s="257"/>
      <c r="CQ171" s="257"/>
      <c r="CR171" s="257"/>
      <c r="CS171" s="257"/>
      <c r="CT171" s="257"/>
      <c r="CU171" s="257"/>
      <c r="CV171" s="257"/>
      <c r="CW171" s="257"/>
      <c r="CX171" s="257"/>
      <c r="CY171" s="257"/>
      <c r="CZ171" s="257"/>
      <c r="DA171" s="257"/>
      <c r="DB171" s="257"/>
      <c r="DC171" s="257"/>
      <c r="DD171" s="257"/>
      <c r="DE171" s="257"/>
      <c r="DF171" s="257"/>
      <c r="DG171" s="257"/>
      <c r="DH171" s="257"/>
      <c r="DI171" s="257"/>
      <c r="DJ171" s="257"/>
      <c r="DK171" s="257"/>
      <c r="DL171" s="257"/>
      <c r="DM171" s="257"/>
      <c r="DN171" s="257"/>
      <c r="DO171" s="257"/>
      <c r="DP171" s="257"/>
      <c r="DQ171" s="257"/>
      <c r="DR171" s="257"/>
      <c r="DS171" s="257"/>
      <c r="DT171" s="257"/>
      <c r="DU171" s="257"/>
      <c r="DV171" s="257"/>
      <c r="DW171"/>
      <c r="DX171"/>
      <c r="DY171"/>
      <c r="DZ171"/>
      <c r="EA171"/>
      <c r="EB171"/>
      <c r="EC171"/>
      <c r="ED171"/>
      <c r="EE171"/>
    </row>
    <row r="172" spans="1:135" s="214" customFormat="1" x14ac:dyDescent="0.35">
      <c r="A172" s="257"/>
      <c r="B172" s="257"/>
      <c r="C172" s="257"/>
      <c r="D172" s="257"/>
      <c r="E172" s="257"/>
      <c r="F172" s="257"/>
      <c r="G172" s="257"/>
      <c r="H172" s="257"/>
      <c r="I172" s="257"/>
      <c r="J172" s="257"/>
      <c r="K172" s="257"/>
      <c r="L172" s="259"/>
      <c r="M172" s="259"/>
      <c r="N172" s="257"/>
      <c r="O172" s="257"/>
      <c r="P172" s="257"/>
      <c r="Q172" s="257"/>
      <c r="R172" s="257"/>
      <c r="S172" s="257"/>
      <c r="T172" s="257"/>
      <c r="U172" s="257"/>
      <c r="V172" s="257"/>
      <c r="W172" s="257"/>
      <c r="X172" s="257"/>
      <c r="Y172" s="257"/>
      <c r="Z172" s="257"/>
      <c r="AA172" s="257"/>
      <c r="AB172" s="257"/>
      <c r="AC172" s="257"/>
      <c r="AD172" s="257"/>
      <c r="AE172" s="257"/>
      <c r="AF172" s="257"/>
      <c r="AG172" s="257"/>
      <c r="AH172" s="257"/>
      <c r="AI172" s="257"/>
      <c r="AJ172" s="257"/>
      <c r="AK172" s="257"/>
      <c r="AL172" s="257"/>
      <c r="AM172" s="257"/>
      <c r="AN172" s="257"/>
      <c r="AO172" s="257"/>
      <c r="AP172" s="257"/>
      <c r="AQ172" s="257"/>
      <c r="AR172" s="257"/>
      <c r="AS172" s="257"/>
      <c r="AT172" s="257"/>
      <c r="AU172" s="257"/>
      <c r="AV172" s="257"/>
      <c r="AW172" s="257"/>
      <c r="AX172" s="257"/>
      <c r="AY172" s="257"/>
      <c r="AZ172" s="257"/>
      <c r="BA172" s="257"/>
      <c r="BB172" s="257"/>
      <c r="BC172" s="257"/>
      <c r="BD172" s="257"/>
      <c r="BE172" s="257"/>
      <c r="BF172" s="257"/>
      <c r="BG172" s="257"/>
      <c r="BH172" s="257"/>
      <c r="BI172" s="257"/>
      <c r="BJ172" s="257"/>
      <c r="BK172" s="257"/>
      <c r="BL172" s="257"/>
      <c r="BM172" s="257"/>
      <c r="BN172" s="257"/>
      <c r="BO172" s="257"/>
      <c r="BP172" s="257"/>
      <c r="BQ172" s="257"/>
      <c r="BR172" s="257"/>
      <c r="BS172" s="257"/>
      <c r="BT172" s="257"/>
      <c r="BU172" s="257"/>
      <c r="BV172" s="257"/>
      <c r="BW172" s="257"/>
      <c r="BX172" s="257"/>
      <c r="BY172" s="257"/>
      <c r="BZ172" s="257"/>
      <c r="CA172" s="257"/>
      <c r="CB172" s="257"/>
      <c r="CC172" s="257"/>
      <c r="CD172" s="257"/>
      <c r="CE172" s="257"/>
      <c r="CF172" s="257"/>
      <c r="CG172" s="257"/>
      <c r="CH172" s="257"/>
      <c r="CI172" s="257"/>
      <c r="CJ172" s="257"/>
      <c r="CK172" s="257"/>
      <c r="CL172" s="257"/>
      <c r="CM172" s="257"/>
      <c r="CN172" s="257"/>
      <c r="CO172" s="257"/>
      <c r="CP172" s="257"/>
      <c r="CQ172" s="257"/>
      <c r="CR172" s="257"/>
      <c r="CS172" s="257"/>
      <c r="CT172" s="257"/>
      <c r="CU172" s="257"/>
      <c r="CV172" s="257"/>
      <c r="CW172" s="257"/>
      <c r="CX172" s="257"/>
      <c r="CY172" s="257"/>
      <c r="CZ172" s="257"/>
      <c r="DA172" s="257"/>
      <c r="DB172" s="257"/>
      <c r="DC172" s="257"/>
      <c r="DD172" s="257"/>
      <c r="DE172" s="257"/>
      <c r="DF172" s="257"/>
      <c r="DG172" s="257"/>
      <c r="DH172" s="257"/>
      <c r="DI172" s="257"/>
      <c r="DJ172" s="257"/>
      <c r="DK172" s="257"/>
      <c r="DL172" s="257"/>
      <c r="DM172" s="257"/>
      <c r="DN172" s="257"/>
      <c r="DO172" s="257"/>
      <c r="DP172" s="257"/>
      <c r="DQ172" s="257"/>
      <c r="DR172" s="257"/>
      <c r="DS172" s="257"/>
      <c r="DT172" s="257"/>
      <c r="DU172" s="257"/>
      <c r="DV172" s="257"/>
      <c r="DW172"/>
      <c r="DX172"/>
      <c r="DY172"/>
      <c r="DZ172"/>
      <c r="EA172"/>
      <c r="EB172"/>
      <c r="EC172"/>
      <c r="ED172"/>
      <c r="EE172"/>
    </row>
    <row r="173" spans="1:135" s="214" customFormat="1" x14ac:dyDescent="0.35">
      <c r="A173" s="257"/>
      <c r="B173" s="257"/>
      <c r="C173" s="257"/>
      <c r="D173" s="257"/>
      <c r="E173" s="257"/>
      <c r="F173" s="257"/>
      <c r="G173" s="257"/>
      <c r="H173" s="257"/>
      <c r="I173" s="257"/>
      <c r="J173" s="257"/>
      <c r="K173" s="257"/>
      <c r="L173" s="259"/>
      <c r="M173" s="259"/>
      <c r="N173" s="257"/>
      <c r="O173" s="257"/>
      <c r="P173" s="257"/>
      <c r="Q173" s="257"/>
      <c r="R173" s="257"/>
      <c r="S173" s="257"/>
      <c r="T173" s="257"/>
      <c r="U173" s="257"/>
      <c r="V173" s="257"/>
      <c r="W173" s="257"/>
      <c r="X173" s="257"/>
      <c r="Y173" s="257"/>
      <c r="Z173" s="257"/>
      <c r="AA173" s="257"/>
      <c r="AB173" s="257"/>
      <c r="AC173" s="257"/>
      <c r="AD173" s="257"/>
      <c r="AE173" s="257"/>
      <c r="AF173" s="257"/>
      <c r="AG173" s="257"/>
      <c r="AH173" s="257"/>
      <c r="AI173" s="257"/>
      <c r="AJ173" s="257"/>
      <c r="AK173" s="257"/>
      <c r="AL173" s="257"/>
      <c r="AM173" s="257"/>
      <c r="AN173" s="257"/>
      <c r="AO173" s="257"/>
      <c r="AP173" s="257"/>
      <c r="AQ173" s="257"/>
      <c r="AR173" s="257"/>
      <c r="AS173" s="257"/>
      <c r="AT173" s="257"/>
      <c r="AU173" s="257"/>
      <c r="AV173" s="257"/>
      <c r="AW173" s="257"/>
      <c r="AX173" s="257"/>
      <c r="AY173" s="257"/>
      <c r="AZ173" s="257"/>
      <c r="BA173" s="257"/>
      <c r="BB173" s="257"/>
      <c r="BC173" s="257"/>
      <c r="BD173" s="257"/>
      <c r="BE173" s="257"/>
      <c r="BF173" s="257"/>
      <c r="BG173" s="257"/>
      <c r="BH173" s="257"/>
      <c r="BI173" s="257"/>
      <c r="BJ173" s="257"/>
      <c r="BK173" s="257"/>
      <c r="BL173" s="257"/>
      <c r="BM173" s="257"/>
      <c r="BN173" s="257"/>
      <c r="BO173" s="257"/>
      <c r="BP173" s="257"/>
      <c r="BQ173" s="257"/>
      <c r="BR173" s="257"/>
      <c r="BS173" s="257"/>
      <c r="BT173" s="257"/>
      <c r="BU173" s="257"/>
      <c r="BV173" s="257"/>
      <c r="BW173" s="257"/>
      <c r="BX173" s="257"/>
      <c r="BY173" s="257"/>
      <c r="BZ173" s="257"/>
      <c r="CA173" s="257"/>
      <c r="CB173" s="257"/>
      <c r="CC173" s="257"/>
      <c r="CD173" s="257"/>
      <c r="CE173" s="257"/>
      <c r="CF173" s="257"/>
      <c r="CG173" s="257"/>
      <c r="CH173" s="257"/>
      <c r="CI173" s="257"/>
      <c r="CJ173" s="257"/>
      <c r="CK173" s="257"/>
      <c r="CL173" s="257"/>
      <c r="CM173" s="257"/>
      <c r="CN173" s="257"/>
      <c r="CO173" s="257"/>
      <c r="CP173" s="257"/>
      <c r="CQ173" s="257"/>
      <c r="CR173" s="257"/>
      <c r="CS173" s="257"/>
      <c r="CT173" s="257"/>
      <c r="CU173" s="257"/>
      <c r="CV173" s="257"/>
      <c r="CW173" s="257"/>
      <c r="CX173" s="257"/>
      <c r="CY173" s="257"/>
      <c r="CZ173" s="257"/>
      <c r="DA173" s="257"/>
      <c r="DB173" s="257"/>
      <c r="DC173" s="257"/>
      <c r="DD173" s="257"/>
      <c r="DE173" s="257"/>
      <c r="DF173" s="257"/>
      <c r="DG173" s="257"/>
      <c r="DH173" s="257"/>
      <c r="DI173" s="257"/>
      <c r="DJ173" s="257"/>
      <c r="DK173" s="257"/>
      <c r="DL173" s="257"/>
      <c r="DM173" s="257"/>
      <c r="DN173" s="257"/>
      <c r="DO173" s="257"/>
      <c r="DP173" s="257"/>
      <c r="DQ173" s="257"/>
      <c r="DR173" s="257"/>
      <c r="DS173" s="257"/>
      <c r="DT173" s="257"/>
      <c r="DU173" s="257"/>
      <c r="DV173" s="257"/>
      <c r="DW173"/>
      <c r="DX173"/>
      <c r="DY173"/>
      <c r="DZ173"/>
      <c r="EA173"/>
      <c r="EB173"/>
      <c r="EC173"/>
      <c r="ED173"/>
      <c r="EE173"/>
    </row>
    <row r="174" spans="1:135" s="214" customFormat="1" x14ac:dyDescent="0.35">
      <c r="A174" s="257"/>
      <c r="B174" s="257"/>
      <c r="C174" s="257"/>
      <c r="D174" s="257"/>
      <c r="E174" s="257"/>
      <c r="F174" s="257"/>
      <c r="G174" s="257"/>
      <c r="H174" s="257"/>
      <c r="I174" s="257"/>
      <c r="J174" s="257"/>
      <c r="K174" s="257"/>
      <c r="L174" s="259"/>
      <c r="M174" s="259"/>
      <c r="N174" s="257"/>
      <c r="O174" s="257"/>
      <c r="P174" s="257"/>
      <c r="Q174" s="257"/>
      <c r="R174" s="257"/>
      <c r="S174" s="257"/>
      <c r="T174" s="257"/>
      <c r="U174" s="257"/>
      <c r="V174" s="257"/>
      <c r="W174" s="257"/>
      <c r="X174" s="257"/>
      <c r="Y174" s="257"/>
      <c r="Z174" s="257"/>
      <c r="AA174" s="257"/>
      <c r="AB174" s="257"/>
      <c r="AC174" s="257"/>
      <c r="AD174" s="257"/>
      <c r="AE174" s="257"/>
      <c r="AF174" s="257"/>
      <c r="AG174" s="257"/>
      <c r="AH174" s="257"/>
      <c r="AI174" s="257"/>
      <c r="AJ174" s="257"/>
      <c r="AK174" s="257"/>
      <c r="AL174" s="257"/>
      <c r="AM174" s="257"/>
      <c r="AN174" s="257"/>
      <c r="AO174" s="257"/>
      <c r="AP174" s="257"/>
      <c r="AQ174" s="257"/>
      <c r="AR174" s="257"/>
      <c r="AS174" s="257"/>
      <c r="AT174" s="257"/>
      <c r="AU174" s="257"/>
      <c r="AV174" s="257"/>
      <c r="AW174" s="257"/>
      <c r="AX174" s="257"/>
      <c r="AY174" s="257"/>
      <c r="AZ174" s="257"/>
      <c r="BA174" s="257"/>
      <c r="BB174" s="257"/>
      <c r="BC174" s="257"/>
      <c r="BD174" s="257"/>
      <c r="BE174" s="257"/>
      <c r="BF174" s="257"/>
      <c r="BG174" s="257"/>
      <c r="BH174" s="257"/>
      <c r="BI174" s="257"/>
      <c r="BJ174" s="257"/>
      <c r="BK174" s="257"/>
      <c r="BL174" s="257"/>
      <c r="BM174" s="257"/>
      <c r="BN174" s="257"/>
      <c r="BO174" s="257"/>
      <c r="BP174" s="257"/>
      <c r="BQ174" s="257"/>
      <c r="BR174" s="257"/>
      <c r="BS174" s="257"/>
      <c r="BT174" s="257"/>
      <c r="BU174" s="257"/>
      <c r="BV174" s="257"/>
      <c r="BW174" s="257"/>
      <c r="BX174" s="257"/>
      <c r="BY174" s="257"/>
      <c r="BZ174" s="257"/>
      <c r="CA174" s="257"/>
      <c r="CB174" s="257"/>
      <c r="CC174" s="257"/>
      <c r="CD174" s="257"/>
      <c r="CE174" s="257"/>
      <c r="CF174" s="257"/>
      <c r="CG174" s="257"/>
      <c r="CH174" s="257"/>
      <c r="CI174" s="257"/>
      <c r="CJ174" s="257"/>
      <c r="CK174" s="257"/>
      <c r="CL174" s="257"/>
      <c r="CM174" s="257"/>
      <c r="CN174" s="257"/>
      <c r="CO174" s="257"/>
      <c r="CP174" s="257"/>
      <c r="CQ174" s="257"/>
      <c r="CR174" s="257"/>
      <c r="CS174" s="257"/>
      <c r="CT174" s="257"/>
      <c r="CU174" s="257"/>
      <c r="CV174" s="257"/>
      <c r="CW174" s="257"/>
      <c r="CX174" s="257"/>
      <c r="CY174" s="257"/>
      <c r="CZ174" s="257"/>
      <c r="DA174" s="257"/>
      <c r="DB174" s="257"/>
      <c r="DC174" s="257"/>
      <c r="DD174" s="257"/>
      <c r="DE174" s="257"/>
      <c r="DF174" s="257"/>
      <c r="DG174" s="257"/>
      <c r="DH174" s="257"/>
      <c r="DI174" s="257"/>
      <c r="DJ174" s="257"/>
      <c r="DK174" s="257"/>
      <c r="DL174" s="257"/>
      <c r="DM174" s="257"/>
      <c r="DN174" s="257"/>
      <c r="DO174" s="257"/>
      <c r="DP174" s="257"/>
      <c r="DQ174" s="257"/>
      <c r="DR174" s="257"/>
      <c r="DS174" s="257"/>
      <c r="DT174" s="257"/>
      <c r="DU174" s="257"/>
      <c r="DV174" s="257"/>
      <c r="DW174"/>
      <c r="DX174"/>
      <c r="DY174"/>
      <c r="DZ174"/>
      <c r="EA174"/>
      <c r="EB174"/>
      <c r="EC174"/>
      <c r="ED174"/>
      <c r="EE174"/>
    </row>
    <row r="175" spans="1:135" s="214" customFormat="1" x14ac:dyDescent="0.35">
      <c r="A175" s="257"/>
      <c r="B175" s="257"/>
      <c r="C175" s="257"/>
      <c r="D175" s="257"/>
      <c r="E175" s="257"/>
      <c r="F175" s="257"/>
      <c r="G175" s="257"/>
      <c r="H175" s="257"/>
      <c r="I175" s="257"/>
      <c r="J175" s="257"/>
      <c r="K175" s="257"/>
      <c r="L175" s="259"/>
      <c r="M175" s="259"/>
      <c r="N175" s="257"/>
      <c r="O175" s="257"/>
      <c r="P175" s="257"/>
      <c r="Q175" s="257"/>
      <c r="R175" s="257"/>
      <c r="S175" s="257"/>
      <c r="T175" s="257"/>
      <c r="U175" s="257"/>
      <c r="V175" s="257"/>
      <c r="W175" s="257"/>
      <c r="X175" s="257"/>
      <c r="Y175" s="257"/>
      <c r="Z175" s="257"/>
      <c r="AA175" s="257"/>
      <c r="AB175" s="257"/>
      <c r="AC175" s="257"/>
      <c r="AD175" s="257"/>
      <c r="AE175" s="257"/>
      <c r="AF175" s="257"/>
      <c r="AG175" s="257"/>
      <c r="AH175" s="257"/>
      <c r="AI175" s="257"/>
      <c r="AJ175" s="257"/>
      <c r="AK175" s="257"/>
      <c r="AL175" s="257"/>
      <c r="AM175" s="257"/>
      <c r="AN175" s="257"/>
      <c r="AO175" s="257"/>
      <c r="AP175" s="257"/>
      <c r="AQ175" s="257"/>
      <c r="AR175" s="257"/>
      <c r="AS175" s="257"/>
      <c r="AT175" s="257"/>
      <c r="AU175" s="257"/>
      <c r="AV175" s="257"/>
      <c r="AW175" s="257"/>
      <c r="AX175" s="257"/>
      <c r="AY175" s="257"/>
      <c r="AZ175" s="257"/>
      <c r="BA175" s="257"/>
      <c r="BB175" s="257"/>
      <c r="BC175" s="257"/>
      <c r="BD175" s="257"/>
      <c r="BE175" s="257"/>
      <c r="BF175" s="257"/>
      <c r="BG175" s="257"/>
      <c r="BH175" s="257"/>
      <c r="BI175" s="257"/>
      <c r="BJ175" s="257"/>
      <c r="BK175" s="257"/>
      <c r="BL175" s="257"/>
      <c r="BM175" s="257"/>
      <c r="BN175" s="257"/>
      <c r="BO175" s="257"/>
      <c r="BP175" s="257"/>
      <c r="BQ175" s="257"/>
      <c r="BR175" s="257"/>
      <c r="BS175" s="257"/>
      <c r="BT175" s="257"/>
      <c r="BU175" s="257"/>
      <c r="BV175" s="257"/>
      <c r="BW175" s="257"/>
      <c r="BX175" s="257"/>
      <c r="BY175" s="257"/>
      <c r="BZ175" s="257"/>
      <c r="CA175" s="257"/>
      <c r="CB175" s="257"/>
      <c r="CC175" s="257"/>
      <c r="CD175" s="257"/>
      <c r="CE175" s="257"/>
      <c r="CF175" s="257"/>
      <c r="CG175" s="257"/>
      <c r="CH175" s="257"/>
      <c r="CI175" s="257"/>
      <c r="CJ175" s="257"/>
      <c r="CK175" s="257"/>
      <c r="CL175" s="257"/>
      <c r="CM175" s="257"/>
      <c r="CN175" s="257"/>
      <c r="CO175" s="257"/>
      <c r="CP175" s="257"/>
      <c r="CQ175" s="257"/>
      <c r="CR175" s="257"/>
      <c r="CS175" s="257"/>
      <c r="CT175" s="257"/>
      <c r="CU175" s="257"/>
      <c r="CV175" s="257"/>
      <c r="CW175" s="257"/>
      <c r="CX175" s="257"/>
      <c r="CY175" s="257"/>
      <c r="CZ175" s="257"/>
      <c r="DA175" s="257"/>
      <c r="DB175" s="257"/>
      <c r="DC175" s="257"/>
      <c r="DD175" s="257"/>
      <c r="DE175" s="257"/>
      <c r="DF175" s="257"/>
      <c r="DG175" s="257"/>
      <c r="DH175" s="257"/>
      <c r="DI175" s="257"/>
      <c r="DJ175" s="257"/>
      <c r="DK175" s="257"/>
      <c r="DL175" s="257"/>
      <c r="DM175" s="257"/>
      <c r="DN175" s="257"/>
      <c r="DO175" s="257"/>
      <c r="DP175" s="257"/>
      <c r="DQ175" s="257"/>
      <c r="DR175" s="257"/>
      <c r="DS175" s="257"/>
      <c r="DT175" s="257"/>
      <c r="DU175" s="257"/>
      <c r="DV175" s="257"/>
      <c r="DW175"/>
      <c r="DX175"/>
      <c r="DY175"/>
      <c r="DZ175"/>
      <c r="EA175"/>
      <c r="EB175"/>
      <c r="EC175"/>
      <c r="ED175"/>
      <c r="EE175"/>
    </row>
    <row r="176" spans="1:135" s="214" customFormat="1" x14ac:dyDescent="0.35">
      <c r="A176" s="257"/>
      <c r="B176" s="257"/>
      <c r="C176" s="257"/>
      <c r="D176" s="257"/>
      <c r="E176" s="257"/>
      <c r="F176" s="257"/>
      <c r="G176" s="257"/>
      <c r="H176" s="257"/>
      <c r="I176" s="257"/>
      <c r="J176" s="257"/>
      <c r="K176" s="257"/>
      <c r="L176" s="259"/>
      <c r="M176" s="259"/>
      <c r="N176" s="257"/>
      <c r="O176" s="257"/>
      <c r="P176" s="257"/>
      <c r="Q176" s="257"/>
      <c r="R176" s="257"/>
      <c r="S176" s="257"/>
      <c r="T176" s="257"/>
      <c r="U176" s="257"/>
      <c r="V176" s="257"/>
      <c r="W176" s="257"/>
      <c r="X176" s="257"/>
      <c r="Y176" s="257"/>
      <c r="Z176" s="257"/>
      <c r="AA176" s="257"/>
      <c r="AB176" s="257"/>
      <c r="AC176" s="257"/>
      <c r="AD176" s="257"/>
      <c r="AE176" s="257"/>
      <c r="AF176" s="257"/>
      <c r="AG176" s="257"/>
      <c r="AH176" s="257"/>
      <c r="AI176" s="257"/>
      <c r="AJ176" s="257"/>
      <c r="AK176" s="257"/>
      <c r="AL176" s="257"/>
      <c r="AM176" s="257"/>
      <c r="AN176" s="257"/>
      <c r="AO176" s="257"/>
      <c r="AP176" s="257"/>
      <c r="AQ176" s="257"/>
      <c r="AR176" s="257"/>
      <c r="AS176" s="257"/>
      <c r="AT176" s="257"/>
      <c r="AU176" s="257"/>
      <c r="AV176" s="257"/>
      <c r="AW176" s="257"/>
      <c r="AX176" s="257"/>
      <c r="AY176" s="257"/>
      <c r="AZ176" s="257"/>
      <c r="BA176" s="257"/>
      <c r="BB176" s="257"/>
      <c r="BC176" s="257"/>
      <c r="BD176" s="257"/>
      <c r="BE176" s="257"/>
      <c r="BF176" s="257"/>
      <c r="BG176" s="257"/>
      <c r="BH176" s="257"/>
      <c r="BI176" s="257"/>
      <c r="BJ176" s="257"/>
      <c r="BK176" s="257"/>
      <c r="BL176" s="257"/>
      <c r="BM176" s="257"/>
      <c r="BN176" s="257"/>
      <c r="BO176" s="257"/>
      <c r="BP176" s="257"/>
      <c r="BQ176" s="257"/>
      <c r="BR176" s="257"/>
      <c r="BS176" s="257"/>
      <c r="BT176" s="257"/>
      <c r="BU176" s="257"/>
      <c r="BV176" s="257"/>
      <c r="BW176" s="257"/>
      <c r="BX176" s="257"/>
      <c r="BY176" s="257"/>
      <c r="BZ176" s="257"/>
      <c r="CA176" s="257"/>
      <c r="CB176" s="257"/>
      <c r="CC176" s="257"/>
      <c r="CD176" s="257"/>
      <c r="CE176" s="257"/>
      <c r="CF176" s="257"/>
      <c r="CG176" s="257"/>
      <c r="CH176" s="257"/>
      <c r="CI176" s="257"/>
      <c r="CJ176" s="257"/>
      <c r="CK176" s="257"/>
      <c r="CL176" s="257"/>
      <c r="CM176" s="257"/>
      <c r="CN176" s="257"/>
      <c r="CO176" s="257"/>
      <c r="CP176" s="257"/>
      <c r="CQ176" s="257"/>
      <c r="CR176" s="257"/>
      <c r="CS176" s="257"/>
      <c r="CT176" s="257"/>
      <c r="CU176" s="257"/>
      <c r="CV176" s="257"/>
      <c r="CW176" s="257"/>
      <c r="CX176" s="257"/>
      <c r="CY176" s="257"/>
      <c r="CZ176" s="257"/>
      <c r="DA176" s="257"/>
      <c r="DB176" s="257"/>
      <c r="DC176" s="257"/>
      <c r="DD176" s="257"/>
      <c r="DE176" s="257"/>
      <c r="DF176" s="257"/>
      <c r="DG176" s="257"/>
      <c r="DH176" s="257"/>
      <c r="DI176" s="257"/>
      <c r="DJ176" s="257"/>
      <c r="DK176" s="257"/>
      <c r="DL176" s="257"/>
      <c r="DM176" s="257"/>
      <c r="DN176" s="257"/>
      <c r="DO176" s="257"/>
      <c r="DP176" s="257"/>
      <c r="DQ176" s="257"/>
      <c r="DR176" s="257"/>
      <c r="DS176" s="257"/>
      <c r="DT176" s="257"/>
      <c r="DU176" s="257"/>
      <c r="DV176" s="257"/>
      <c r="DW176"/>
      <c r="DX176"/>
      <c r="DY176"/>
      <c r="DZ176"/>
      <c r="EA176"/>
      <c r="EB176"/>
      <c r="EC176"/>
      <c r="ED176"/>
      <c r="EE176"/>
    </row>
    <row r="177" spans="1:24" s="214" customFormat="1" x14ac:dyDescent="0.35">
      <c r="A177" s="196"/>
      <c r="B177" s="196"/>
      <c r="D177" s="216"/>
      <c r="E177" s="213"/>
      <c r="F177" s="217"/>
      <c r="G177" s="217"/>
      <c r="H177" s="217"/>
      <c r="I177" s="217"/>
      <c r="J177" s="217"/>
      <c r="K177" s="217"/>
      <c r="L177" s="217"/>
      <c r="M177" s="217"/>
      <c r="N177" s="101"/>
      <c r="O177"/>
    </row>
    <row r="178" spans="1:24" s="214" customFormat="1" x14ac:dyDescent="0.35">
      <c r="A178" s="196"/>
      <c r="B178" s="196"/>
      <c r="D178" s="216"/>
      <c r="E178" s="213"/>
      <c r="F178" s="217"/>
      <c r="G178" s="217"/>
      <c r="H178" s="217"/>
      <c r="I178" s="217"/>
      <c r="J178" s="217"/>
      <c r="K178" s="217"/>
      <c r="L178" s="217"/>
      <c r="M178" s="217"/>
      <c r="N178" s="101"/>
      <c r="O178"/>
    </row>
    <row r="179" spans="1:24" s="214" customFormat="1" x14ac:dyDescent="0.35">
      <c r="A179" s="196"/>
      <c r="B179" s="196"/>
      <c r="D179" s="216"/>
      <c r="E179" s="213"/>
      <c r="F179" s="217"/>
      <c r="G179" s="217"/>
      <c r="H179" s="217"/>
      <c r="I179" s="217"/>
      <c r="J179" s="217"/>
      <c r="K179" s="217"/>
      <c r="L179" s="217"/>
      <c r="M179" s="217"/>
      <c r="N179" s="101"/>
      <c r="O179"/>
    </row>
    <row r="180" spans="1:24" s="214" customFormat="1" x14ac:dyDescent="0.35">
      <c r="A180" s="196"/>
      <c r="B180" s="196"/>
      <c r="D180" s="216"/>
      <c r="E180" s="213"/>
      <c r="F180" s="217"/>
      <c r="G180" s="217"/>
      <c r="H180" s="217"/>
      <c r="I180" s="217"/>
      <c r="J180" s="217"/>
      <c r="K180" s="217"/>
      <c r="L180" s="217"/>
      <c r="M180" s="217"/>
      <c r="N180" s="101"/>
      <c r="O180"/>
    </row>
    <row r="181" spans="1:24" s="214" customFormat="1" x14ac:dyDescent="0.35">
      <c r="A181" s="196"/>
      <c r="B181" s="196"/>
      <c r="D181" s="216"/>
      <c r="E181" s="213"/>
      <c r="F181" s="217"/>
      <c r="G181" s="217"/>
      <c r="H181" s="217"/>
      <c r="I181" s="217"/>
      <c r="J181" s="217"/>
      <c r="K181" s="217"/>
      <c r="L181" s="217"/>
      <c r="M181" s="217"/>
      <c r="N181" s="101"/>
      <c r="O181"/>
    </row>
    <row r="182" spans="1:24" s="214" customFormat="1" x14ac:dyDescent="0.35">
      <c r="A182" s="196"/>
      <c r="B182" s="196"/>
      <c r="D182" s="216"/>
      <c r="E182" s="213"/>
      <c r="F182" s="101"/>
      <c r="G182" s="101"/>
      <c r="H182" s="101"/>
      <c r="I182" s="101"/>
      <c r="J182" s="101"/>
      <c r="K182" s="101"/>
      <c r="L182" s="217"/>
      <c r="M182" s="217"/>
      <c r="N182" s="101"/>
      <c r="O182"/>
    </row>
    <row r="183" spans="1:24" x14ac:dyDescent="0.35">
      <c r="X183" s="214"/>
    </row>
    <row r="184" spans="1:24" x14ac:dyDescent="0.35">
      <c r="X184" s="214"/>
    </row>
    <row r="185" spans="1:24" x14ac:dyDescent="0.35">
      <c r="X185" s="214"/>
    </row>
    <row r="186" spans="1:24" x14ac:dyDescent="0.35">
      <c r="X186" s="214"/>
    </row>
    <row r="187" spans="1:24" x14ac:dyDescent="0.35">
      <c r="X187" s="214"/>
    </row>
    <row r="188" spans="1:24" x14ac:dyDescent="0.35">
      <c r="X188" s="214"/>
    </row>
    <row r="189" spans="1:24" x14ac:dyDescent="0.35">
      <c r="X189" s="214"/>
    </row>
    <row r="190" spans="1:24" x14ac:dyDescent="0.35">
      <c r="X190" s="214"/>
    </row>
  </sheetData>
  <mergeCells count="72">
    <mergeCell ref="A142:B142"/>
    <mergeCell ref="J144:K144"/>
    <mergeCell ref="J145:K145"/>
    <mergeCell ref="J146:K146"/>
    <mergeCell ref="A138:B138"/>
    <mergeCell ref="F103:G108"/>
    <mergeCell ref="F139:G141"/>
    <mergeCell ref="H139:I141"/>
    <mergeCell ref="M139:M141"/>
    <mergeCell ref="F44:G64"/>
    <mergeCell ref="J44:K64"/>
    <mergeCell ref="M44:M64"/>
    <mergeCell ref="F80:G82"/>
    <mergeCell ref="H80:I82"/>
    <mergeCell ref="M80:M82"/>
    <mergeCell ref="H103:I108"/>
    <mergeCell ref="M103:M108"/>
    <mergeCell ref="F119:G123"/>
    <mergeCell ref="H119:I120"/>
    <mergeCell ref="M119:M123"/>
    <mergeCell ref="J121:K123"/>
    <mergeCell ref="A43:B43"/>
    <mergeCell ref="A79:B79"/>
    <mergeCell ref="F3:G3"/>
    <mergeCell ref="M3:M8"/>
    <mergeCell ref="N3:N8"/>
    <mergeCell ref="F4:G4"/>
    <mergeCell ref="C7:C8"/>
    <mergeCell ref="D7:D8"/>
    <mergeCell ref="E7:E8"/>
    <mergeCell ref="A65:B65"/>
    <mergeCell ref="F66:G78"/>
    <mergeCell ref="H66:I78"/>
    <mergeCell ref="M66:M78"/>
    <mergeCell ref="O1:O2"/>
    <mergeCell ref="H10:I26"/>
    <mergeCell ref="J10:K26"/>
    <mergeCell ref="A27:B27"/>
    <mergeCell ref="H28:I42"/>
    <mergeCell ref="J28:K42"/>
    <mergeCell ref="A9:B9"/>
    <mergeCell ref="F5:G5"/>
    <mergeCell ref="F6:G6"/>
    <mergeCell ref="H6:I6"/>
    <mergeCell ref="J6:K6"/>
    <mergeCell ref="L6:L8"/>
    <mergeCell ref="A1:A8"/>
    <mergeCell ref="B1:B8"/>
    <mergeCell ref="C1:N2"/>
    <mergeCell ref="C3:E6"/>
    <mergeCell ref="A83:B83"/>
    <mergeCell ref="F84:G101"/>
    <mergeCell ref="H84:I101"/>
    <mergeCell ref="M84:M101"/>
    <mergeCell ref="A102:B102"/>
    <mergeCell ref="A109:B109"/>
    <mergeCell ref="F110:G117"/>
    <mergeCell ref="H110:I117"/>
    <mergeCell ref="M110:M117"/>
    <mergeCell ref="A118:B118"/>
    <mergeCell ref="A124:B124"/>
    <mergeCell ref="F125:G127"/>
    <mergeCell ref="H125:I127"/>
    <mergeCell ref="M125:M127"/>
    <mergeCell ref="A128:B128"/>
    <mergeCell ref="F129:G132"/>
    <mergeCell ref="H129:I132"/>
    <mergeCell ref="M129:M132"/>
    <mergeCell ref="A133:B133"/>
    <mergeCell ref="F134:G137"/>
    <mergeCell ref="H134:I137"/>
    <mergeCell ref="M134:M137"/>
  </mergeCells>
  <pageMargins left="0.7" right="0.7" top="0.75" bottom="0.75" header="0.3" footer="0.3"/>
  <pageSetup scale="49" fitToHeight="0"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055B-E163-4D1E-9836-BDB70D5FEFE0}">
  <dimension ref="A1:H43"/>
  <sheetViews>
    <sheetView workbookViewId="0">
      <selection sqref="A1:XFD1048576"/>
    </sheetView>
  </sheetViews>
  <sheetFormatPr defaultRowHeight="14.5" x14ac:dyDescent="0.35"/>
  <cols>
    <col min="3" max="3" width="13.81640625" customWidth="1"/>
    <col min="5" max="5" width="14" customWidth="1"/>
    <col min="7" max="7" width="10.26953125" bestFit="1" customWidth="1"/>
  </cols>
  <sheetData>
    <row r="1" spans="1:8" x14ac:dyDescent="0.35">
      <c r="A1" s="257"/>
      <c r="B1" s="257"/>
      <c r="C1" s="257"/>
      <c r="D1" s="257"/>
      <c r="E1" s="257"/>
      <c r="F1" s="257"/>
      <c r="G1" s="257"/>
      <c r="H1" s="257"/>
    </row>
    <row r="2" spans="1:8" x14ac:dyDescent="0.35">
      <c r="A2" s="257"/>
      <c r="B2" s="257"/>
      <c r="C2" s="257"/>
      <c r="D2" s="257"/>
      <c r="E2" s="257"/>
      <c r="F2" s="257"/>
      <c r="G2" s="257"/>
      <c r="H2" s="257"/>
    </row>
    <row r="3" spans="1:8" x14ac:dyDescent="0.35">
      <c r="A3" s="257"/>
      <c r="B3" s="257"/>
      <c r="C3" s="257"/>
      <c r="D3" s="257"/>
      <c r="E3" s="257"/>
      <c r="F3" s="257"/>
      <c r="G3" s="257"/>
      <c r="H3" s="257"/>
    </row>
    <row r="4" spans="1:8" x14ac:dyDescent="0.35">
      <c r="A4" s="257"/>
      <c r="B4" s="257"/>
      <c r="C4" s="257"/>
      <c r="D4" s="257"/>
      <c r="E4" s="257"/>
      <c r="F4" s="257"/>
      <c r="G4" s="257"/>
      <c r="H4" s="257"/>
    </row>
    <row r="5" spans="1:8" x14ac:dyDescent="0.35">
      <c r="A5" s="259" t="s">
        <v>386</v>
      </c>
      <c r="B5" s="259"/>
      <c r="C5" s="259"/>
      <c r="D5" s="259"/>
      <c r="E5" s="257"/>
      <c r="F5" s="257"/>
      <c r="G5" s="257"/>
      <c r="H5" s="257"/>
    </row>
    <row r="6" spans="1:8" x14ac:dyDescent="0.35">
      <c r="A6" s="257" t="s">
        <v>387</v>
      </c>
      <c r="B6" s="257"/>
      <c r="C6" s="257"/>
      <c r="D6" s="257"/>
      <c r="E6" s="257"/>
      <c r="F6" s="257"/>
      <c r="G6" s="257"/>
      <c r="H6" s="257"/>
    </row>
    <row r="7" spans="1:8" x14ac:dyDescent="0.35">
      <c r="A7" s="257" t="s">
        <v>388</v>
      </c>
      <c r="B7" s="257"/>
      <c r="C7" s="257"/>
      <c r="D7" s="257"/>
      <c r="E7" s="257"/>
      <c r="F7" s="257"/>
      <c r="G7" s="257"/>
      <c r="H7" s="257"/>
    </row>
    <row r="8" spans="1:8" x14ac:dyDescent="0.35">
      <c r="A8" s="257"/>
      <c r="B8" s="257"/>
      <c r="C8" s="3735" t="s">
        <v>389</v>
      </c>
      <c r="D8" s="3735"/>
      <c r="E8" s="3735"/>
      <c r="F8" s="917">
        <v>0.35</v>
      </c>
      <c r="G8" s="257"/>
      <c r="H8" s="257"/>
    </row>
    <row r="9" spans="1:8" x14ac:dyDescent="0.35">
      <c r="A9" s="257"/>
      <c r="B9" s="257"/>
      <c r="C9" s="257"/>
      <c r="D9" s="257"/>
      <c r="E9" s="918" t="s">
        <v>390</v>
      </c>
      <c r="F9" s="919" t="s">
        <v>391</v>
      </c>
      <c r="G9" s="920" t="s">
        <v>351</v>
      </c>
      <c r="H9" s="257"/>
    </row>
    <row r="10" spans="1:8" x14ac:dyDescent="0.35">
      <c r="A10" s="257"/>
      <c r="B10" s="257"/>
      <c r="C10" s="257" t="s">
        <v>392</v>
      </c>
      <c r="D10" s="257"/>
      <c r="E10" s="316">
        <v>157.66999999999999</v>
      </c>
      <c r="F10" s="316">
        <v>55.18</v>
      </c>
      <c r="G10" s="316">
        <v>212.85</v>
      </c>
      <c r="H10" s="257"/>
    </row>
    <row r="11" spans="1:8" x14ac:dyDescent="0.35">
      <c r="A11" s="257"/>
      <c r="B11" s="257"/>
      <c r="C11" s="257" t="s">
        <v>393</v>
      </c>
      <c r="D11" s="257"/>
      <c r="E11" s="316">
        <v>130.66999999999999</v>
      </c>
      <c r="F11" s="316">
        <v>45.74</v>
      </c>
      <c r="G11" s="316">
        <v>176.41</v>
      </c>
      <c r="H11" s="257"/>
    </row>
    <row r="12" spans="1:8" x14ac:dyDescent="0.35">
      <c r="A12" s="257"/>
      <c r="B12" s="257"/>
      <c r="C12" s="257" t="s">
        <v>394</v>
      </c>
      <c r="D12" s="257"/>
      <c r="E12" s="316">
        <v>110.14</v>
      </c>
      <c r="F12" s="316">
        <v>38.549999999999997</v>
      </c>
      <c r="G12" s="316">
        <v>148.69999999999999</v>
      </c>
      <c r="H12" s="257"/>
    </row>
    <row r="13" spans="1:8" x14ac:dyDescent="0.35">
      <c r="A13" s="257"/>
      <c r="B13" s="257"/>
      <c r="C13" s="257" t="s">
        <v>395</v>
      </c>
      <c r="D13" s="257"/>
      <c r="E13" s="316">
        <v>94.27</v>
      </c>
      <c r="F13" s="316">
        <v>32.99</v>
      </c>
      <c r="G13" s="316">
        <v>127.26</v>
      </c>
      <c r="H13" s="257"/>
    </row>
    <row r="14" spans="1:8" x14ac:dyDescent="0.35">
      <c r="A14" s="257"/>
      <c r="B14" s="257"/>
      <c r="C14" s="257" t="s">
        <v>396</v>
      </c>
      <c r="D14" s="257"/>
      <c r="E14" s="316">
        <v>66.510000000000005</v>
      </c>
      <c r="F14" s="316">
        <v>23.28</v>
      </c>
      <c r="G14" s="316">
        <v>89.78</v>
      </c>
      <c r="H14" s="257"/>
    </row>
    <row r="15" spans="1:8" x14ac:dyDescent="0.35">
      <c r="A15" s="257"/>
      <c r="B15" s="257"/>
      <c r="C15" s="257" t="s">
        <v>397</v>
      </c>
      <c r="D15" s="257"/>
      <c r="E15" s="316">
        <v>85.81</v>
      </c>
      <c r="F15" s="316">
        <v>30.03</v>
      </c>
      <c r="G15" s="316">
        <v>115.84</v>
      </c>
      <c r="H15" s="257"/>
    </row>
    <row r="16" spans="1:8" x14ac:dyDescent="0.35">
      <c r="A16" s="257"/>
      <c r="B16" s="257"/>
      <c r="C16" s="257" t="s">
        <v>398</v>
      </c>
      <c r="D16" s="257"/>
      <c r="E16" s="316">
        <v>82.73</v>
      </c>
      <c r="F16" s="316">
        <v>28.96</v>
      </c>
      <c r="G16" s="316">
        <v>111.69</v>
      </c>
      <c r="H16" s="257"/>
    </row>
    <row r="17" spans="1:8" x14ac:dyDescent="0.35">
      <c r="A17" s="257"/>
      <c r="B17" s="257"/>
      <c r="C17" s="257" t="s">
        <v>399</v>
      </c>
      <c r="D17" s="257"/>
      <c r="E17" s="316">
        <v>130.41</v>
      </c>
      <c r="F17" s="316">
        <v>45.64</v>
      </c>
      <c r="G17" s="316">
        <v>176.05</v>
      </c>
      <c r="H17" s="257"/>
    </row>
    <row r="18" spans="1:8" x14ac:dyDescent="0.35">
      <c r="A18" s="257"/>
      <c r="B18" s="257"/>
      <c r="C18" s="257" t="s">
        <v>400</v>
      </c>
      <c r="D18" s="257"/>
      <c r="E18" s="316">
        <v>131.75</v>
      </c>
      <c r="F18" s="316">
        <v>46.11</v>
      </c>
      <c r="G18" s="316">
        <v>177.87</v>
      </c>
      <c r="H18" s="257"/>
    </row>
    <row r="19" spans="1:8" x14ac:dyDescent="0.35">
      <c r="A19" s="257"/>
      <c r="B19" s="257"/>
      <c r="C19" s="257" t="s">
        <v>401</v>
      </c>
      <c r="D19" s="257"/>
      <c r="E19" s="316">
        <v>110.59</v>
      </c>
      <c r="F19" s="316">
        <v>38.71</v>
      </c>
      <c r="G19" s="316">
        <v>149.30000000000001</v>
      </c>
      <c r="H19" s="257"/>
    </row>
    <row r="20" spans="1:8" x14ac:dyDescent="0.35">
      <c r="A20" s="257"/>
      <c r="B20" s="257"/>
      <c r="C20" s="257" t="s">
        <v>402</v>
      </c>
      <c r="D20" s="257"/>
      <c r="E20" s="316">
        <v>90.51</v>
      </c>
      <c r="F20" s="316">
        <v>31.68</v>
      </c>
      <c r="G20" s="316">
        <v>122.19</v>
      </c>
      <c r="H20" s="257"/>
    </row>
    <row r="21" spans="1:8" x14ac:dyDescent="0.35">
      <c r="A21" s="257"/>
      <c r="B21" s="257"/>
      <c r="C21" s="257" t="s">
        <v>403</v>
      </c>
      <c r="D21" s="257"/>
      <c r="E21" s="316">
        <v>59.92</v>
      </c>
      <c r="F21" s="316">
        <v>20.97</v>
      </c>
      <c r="G21" s="316">
        <v>80.89</v>
      </c>
      <c r="H21" s="257"/>
    </row>
    <row r="22" spans="1:8" x14ac:dyDescent="0.35">
      <c r="A22" s="257"/>
      <c r="B22" s="257"/>
      <c r="C22" s="257" t="s">
        <v>404</v>
      </c>
      <c r="D22" s="257"/>
      <c r="E22" s="316">
        <v>102.93</v>
      </c>
      <c r="F22" s="316">
        <v>36.03</v>
      </c>
      <c r="G22" s="316">
        <v>138.96</v>
      </c>
      <c r="H22" s="257"/>
    </row>
    <row r="23" spans="1:8" x14ac:dyDescent="0.35">
      <c r="A23" s="257"/>
      <c r="B23" s="257"/>
      <c r="C23" s="257" t="s">
        <v>190</v>
      </c>
      <c r="D23" s="257"/>
      <c r="E23" s="316">
        <v>41.53</v>
      </c>
      <c r="F23" s="316">
        <v>14.53</v>
      </c>
      <c r="G23" s="316">
        <v>56.06</v>
      </c>
      <c r="H23" s="257"/>
    </row>
    <row r="24" spans="1:8" x14ac:dyDescent="0.35">
      <c r="A24" s="257"/>
      <c r="B24" s="257"/>
      <c r="C24" s="257" t="s">
        <v>405</v>
      </c>
      <c r="D24" s="257"/>
      <c r="E24" s="316">
        <v>115.94</v>
      </c>
      <c r="F24" s="316">
        <v>40.58</v>
      </c>
      <c r="G24" s="316">
        <v>156.52000000000001</v>
      </c>
      <c r="H24" s="257"/>
    </row>
    <row r="25" spans="1:8" x14ac:dyDescent="0.35">
      <c r="A25" s="257"/>
      <c r="B25" s="257"/>
      <c r="C25" s="257" t="s">
        <v>406</v>
      </c>
      <c r="D25" s="257"/>
      <c r="E25" s="316">
        <v>102.73</v>
      </c>
      <c r="F25" s="316">
        <v>35.950000000000003</v>
      </c>
      <c r="G25" s="316">
        <v>138.68</v>
      </c>
      <c r="H25" s="257"/>
    </row>
    <row r="26" spans="1:8" x14ac:dyDescent="0.35">
      <c r="A26" s="257"/>
      <c r="B26" s="257"/>
      <c r="C26" s="257" t="s">
        <v>407</v>
      </c>
      <c r="D26" s="257"/>
      <c r="E26" s="316">
        <v>79.73</v>
      </c>
      <c r="F26" s="316">
        <v>27.91</v>
      </c>
      <c r="G26" s="316">
        <v>107.64</v>
      </c>
      <c r="H26" s="257"/>
    </row>
    <row r="27" spans="1:8" x14ac:dyDescent="0.35">
      <c r="A27" s="257"/>
      <c r="B27" s="257"/>
      <c r="C27" s="257" t="s">
        <v>408</v>
      </c>
      <c r="D27" s="257"/>
      <c r="E27" s="316">
        <v>32.409999999999997</v>
      </c>
      <c r="F27" s="316">
        <v>11.34</v>
      </c>
      <c r="G27" s="316">
        <v>43.75</v>
      </c>
      <c r="H27" s="257"/>
    </row>
    <row r="28" spans="1:8" x14ac:dyDescent="0.35">
      <c r="A28" s="257"/>
      <c r="B28" s="257"/>
      <c r="C28" s="257" t="s">
        <v>409</v>
      </c>
      <c r="D28" s="257"/>
      <c r="E28" s="316">
        <v>32.979999999999997</v>
      </c>
      <c r="F28" s="316">
        <v>11.54</v>
      </c>
      <c r="G28" s="316">
        <v>44.52</v>
      </c>
      <c r="H28" s="257"/>
    </row>
    <row r="29" spans="1:8" x14ac:dyDescent="0.35">
      <c r="A29" s="257"/>
      <c r="B29" s="257"/>
      <c r="C29" s="257" t="s">
        <v>410</v>
      </c>
      <c r="D29" s="257"/>
      <c r="E29" s="316">
        <v>45.01</v>
      </c>
      <c r="F29" s="316">
        <v>15.75</v>
      </c>
      <c r="G29" s="316">
        <v>60.77</v>
      </c>
      <c r="H29" s="257"/>
    </row>
    <row r="30" spans="1:8" x14ac:dyDescent="0.35">
      <c r="A30" s="257"/>
      <c r="B30" s="257"/>
      <c r="C30" s="257" t="s">
        <v>411</v>
      </c>
      <c r="D30" s="257"/>
      <c r="E30" s="316">
        <v>35.49</v>
      </c>
      <c r="F30" s="316">
        <v>12.42</v>
      </c>
      <c r="G30" s="316">
        <v>47.91</v>
      </c>
      <c r="H30" s="257"/>
    </row>
    <row r="31" spans="1:8" x14ac:dyDescent="0.35">
      <c r="A31" s="257"/>
      <c r="B31" s="257"/>
      <c r="C31" s="257" t="s">
        <v>412</v>
      </c>
      <c r="D31" s="257"/>
      <c r="E31" s="316">
        <v>46.61</v>
      </c>
      <c r="F31" s="316">
        <v>16.309999999999999</v>
      </c>
      <c r="G31" s="316">
        <v>62.92</v>
      </c>
      <c r="H31" s="257"/>
    </row>
    <row r="32" spans="1:8" x14ac:dyDescent="0.35">
      <c r="A32" s="257"/>
      <c r="B32" s="257"/>
      <c r="C32" s="257" t="s">
        <v>413</v>
      </c>
      <c r="D32" s="257"/>
      <c r="E32" s="257" t="s">
        <v>366</v>
      </c>
      <c r="F32" s="257" t="s">
        <v>414</v>
      </c>
      <c r="G32" s="257" t="s">
        <v>414</v>
      </c>
      <c r="H32" s="257"/>
    </row>
    <row r="33" spans="1:8" x14ac:dyDescent="0.35">
      <c r="A33" s="257"/>
      <c r="B33" s="257"/>
      <c r="C33" s="257" t="s">
        <v>415</v>
      </c>
      <c r="D33" s="257"/>
      <c r="E33" s="316">
        <v>120.34</v>
      </c>
      <c r="F33" s="316">
        <v>42.12</v>
      </c>
      <c r="G33" s="316">
        <v>162.46</v>
      </c>
      <c r="H33" s="257"/>
    </row>
    <row r="34" spans="1:8" x14ac:dyDescent="0.35">
      <c r="A34" s="257"/>
      <c r="B34" s="257"/>
      <c r="C34" s="257" t="s">
        <v>416</v>
      </c>
      <c r="D34" s="257"/>
      <c r="E34" s="316">
        <v>135.46</v>
      </c>
      <c r="F34" s="316">
        <v>47.41</v>
      </c>
      <c r="G34" s="316">
        <v>182.87</v>
      </c>
      <c r="H34" s="257"/>
    </row>
    <row r="35" spans="1:8" x14ac:dyDescent="0.35">
      <c r="A35" s="257"/>
      <c r="B35" s="257"/>
      <c r="C35" s="257" t="s">
        <v>417</v>
      </c>
      <c r="D35" s="257"/>
      <c r="E35" s="257" t="s">
        <v>366</v>
      </c>
      <c r="F35" s="257" t="s">
        <v>414</v>
      </c>
      <c r="G35" s="257" t="s">
        <v>414</v>
      </c>
      <c r="H35" s="257"/>
    </row>
    <row r="36" spans="1:8" x14ac:dyDescent="0.35">
      <c r="A36" s="257"/>
      <c r="B36" s="257"/>
      <c r="C36" s="257" t="s">
        <v>418</v>
      </c>
      <c r="D36" s="257"/>
      <c r="E36" s="316">
        <v>85.41</v>
      </c>
      <c r="F36" s="316">
        <v>29.89</v>
      </c>
      <c r="G36" s="316">
        <v>115.31</v>
      </c>
      <c r="H36" s="257"/>
    </row>
    <row r="37" spans="1:8" x14ac:dyDescent="0.35">
      <c r="A37" s="257"/>
      <c r="B37" s="257"/>
      <c r="C37" s="257" t="s">
        <v>419</v>
      </c>
      <c r="D37" s="257"/>
      <c r="E37" s="316">
        <v>121.55</v>
      </c>
      <c r="F37" s="316">
        <v>42.54</v>
      </c>
      <c r="G37" s="316">
        <v>164.1</v>
      </c>
      <c r="H37" s="257"/>
    </row>
    <row r="38" spans="1:8" x14ac:dyDescent="0.35">
      <c r="A38" s="257"/>
      <c r="B38" s="257"/>
      <c r="C38" s="257" t="s">
        <v>420</v>
      </c>
      <c r="D38" s="257"/>
      <c r="E38" s="316">
        <v>140.91999999999999</v>
      </c>
      <c r="F38" s="316">
        <v>49.32</v>
      </c>
      <c r="G38" s="316">
        <v>190.24</v>
      </c>
      <c r="H38" s="257"/>
    </row>
    <row r="39" spans="1:8" x14ac:dyDescent="0.35">
      <c r="A39" s="257"/>
      <c r="B39" s="257"/>
      <c r="C39" s="257" t="s">
        <v>421</v>
      </c>
      <c r="D39" s="257"/>
      <c r="E39" s="316">
        <v>52.72</v>
      </c>
      <c r="F39" s="316">
        <v>18.45</v>
      </c>
      <c r="G39" s="316">
        <v>71.17</v>
      </c>
      <c r="H39" s="257"/>
    </row>
    <row r="40" spans="1:8" x14ac:dyDescent="0.35">
      <c r="A40" s="257"/>
      <c r="B40" s="257"/>
      <c r="C40" s="257" t="s">
        <v>422</v>
      </c>
      <c r="D40" s="257"/>
      <c r="E40" s="316">
        <v>69.67</v>
      </c>
      <c r="F40" s="316">
        <v>24.38</v>
      </c>
      <c r="G40" s="316">
        <v>94.05</v>
      </c>
      <c r="H40" s="257"/>
    </row>
    <row r="42" spans="1:8" x14ac:dyDescent="0.35">
      <c r="C42" t="s">
        <v>5</v>
      </c>
      <c r="E42" s="149">
        <f>SUM(E10:E41)</f>
        <v>2612.41</v>
      </c>
      <c r="F42" s="149">
        <f t="shared" ref="F42:G42" si="0">SUM(F10:F41)</f>
        <v>914.31</v>
      </c>
      <c r="G42" s="149">
        <f t="shared" si="0"/>
        <v>3526.7599999999993</v>
      </c>
    </row>
    <row r="43" spans="1:8" x14ac:dyDescent="0.35">
      <c r="G43" s="235">
        <f>E42/G42</f>
        <v>0.74073937551747226</v>
      </c>
    </row>
  </sheetData>
  <mergeCells count="1">
    <mergeCell ref="C8:E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8DF-E7FE-442F-9167-A1F7A33310A0}">
  <sheetPr>
    <pageSetUpPr fitToPage="1"/>
  </sheetPr>
  <dimension ref="A1:AD118"/>
  <sheetViews>
    <sheetView zoomScale="85" zoomScaleNormal="85" workbookViewId="0">
      <pane xSplit="5" ySplit="11" topLeftCell="I12" activePane="bottomRight" state="frozen"/>
      <selection pane="topRight"/>
      <selection pane="bottomLeft"/>
      <selection pane="bottomRight"/>
    </sheetView>
  </sheetViews>
  <sheetFormatPr defaultRowHeight="14.5" x14ac:dyDescent="0.35"/>
  <cols>
    <col min="1" max="1" width="1.54296875" customWidth="1"/>
    <col min="2" max="2" width="13.453125" customWidth="1"/>
    <col min="3" max="3" width="52" customWidth="1"/>
    <col min="4" max="4" width="15.54296875" customWidth="1"/>
    <col min="5" max="5" width="0.81640625" customWidth="1"/>
    <col min="6" max="6" width="15.7265625" bestFit="1" customWidth="1"/>
    <col min="7" max="9" width="12.1796875" bestFit="1" customWidth="1"/>
    <col min="10" max="10" width="1" customWidth="1"/>
    <col min="11" max="11" width="14.7265625" bestFit="1" customWidth="1"/>
    <col min="12" max="12" width="0.81640625" customWidth="1"/>
    <col min="13" max="13" width="14.7265625" bestFit="1" customWidth="1"/>
    <col min="14" max="14" width="0.81640625" customWidth="1"/>
    <col min="15" max="15" width="13" bestFit="1" customWidth="1"/>
    <col min="16" max="16" width="0.81640625" customWidth="1"/>
    <col min="17" max="17" width="17.453125" customWidth="1"/>
    <col min="18" max="18" width="12.1796875" bestFit="1" customWidth="1"/>
    <col min="19" max="19" width="12.54296875" bestFit="1" customWidth="1"/>
    <col min="20" max="20" width="15.26953125" bestFit="1" customWidth="1"/>
    <col min="21" max="21" width="17.81640625" bestFit="1" customWidth="1"/>
    <col min="22" max="22" width="10.7265625" customWidth="1"/>
    <col min="23" max="23" width="14.26953125" bestFit="1" customWidth="1"/>
    <col min="24" max="24" width="12.7265625" bestFit="1" customWidth="1"/>
    <col min="25" max="25" width="10.7265625" customWidth="1"/>
    <col min="26" max="26" width="15.26953125" bestFit="1" customWidth="1"/>
    <col min="27" max="27" width="15.1796875" style="1" customWidth="1"/>
    <col min="28" max="28" width="50.81640625" customWidth="1"/>
    <col min="29" max="29" width="13" style="73" customWidth="1"/>
  </cols>
  <sheetData>
    <row r="1" spans="1:30" ht="26.25" hidden="1" customHeight="1" x14ac:dyDescent="0.35">
      <c r="A1">
        <v>26</v>
      </c>
      <c r="B1" s="3742" t="s">
        <v>423</v>
      </c>
      <c r="C1" s="3743"/>
    </row>
    <row r="2" spans="1:30" ht="15.75" customHeight="1" x14ac:dyDescent="0.35">
      <c r="B2" s="175"/>
      <c r="C2" s="175"/>
    </row>
    <row r="3" spans="1:30" ht="51.75" customHeight="1" x14ac:dyDescent="0.35">
      <c r="B3" s="175"/>
      <c r="C3" s="175"/>
      <c r="R3" s="214" t="s">
        <v>424</v>
      </c>
    </row>
    <row r="4" spans="1:30" ht="6" customHeight="1" x14ac:dyDescent="0.35">
      <c r="B4" s="3744"/>
      <c r="C4" s="3744"/>
      <c r="D4" s="3744"/>
      <c r="E4" s="247"/>
      <c r="F4" s="176"/>
      <c r="G4" s="176"/>
      <c r="H4" s="176"/>
      <c r="I4" s="176"/>
      <c r="J4" s="248"/>
      <c r="K4" s="176"/>
      <c r="L4" s="248"/>
      <c r="M4" s="176"/>
      <c r="N4" s="248"/>
      <c r="O4" s="176"/>
      <c r="P4" s="248"/>
      <c r="Q4" s="176"/>
      <c r="R4" s="176"/>
      <c r="S4" s="176"/>
      <c r="T4" s="176"/>
      <c r="U4" s="176"/>
      <c r="V4" s="176"/>
      <c r="W4" s="176"/>
      <c r="X4" s="176"/>
      <c r="Y4" s="176"/>
      <c r="Z4" s="176"/>
      <c r="AA4" s="176"/>
      <c r="AB4" s="176"/>
    </row>
    <row r="5" spans="1:30" ht="6" customHeight="1" x14ac:dyDescent="0.35">
      <c r="E5" s="177"/>
      <c r="F5" s="177"/>
      <c r="G5" s="177"/>
      <c r="H5" s="177"/>
      <c r="I5" s="177"/>
      <c r="K5" s="177"/>
      <c r="M5" s="177"/>
      <c r="O5" s="177"/>
      <c r="Q5" s="177"/>
      <c r="R5" s="177"/>
      <c r="S5" s="177"/>
      <c r="T5" s="177"/>
      <c r="U5" s="177"/>
      <c r="V5" s="177"/>
      <c r="W5" s="177"/>
      <c r="X5" s="177"/>
      <c r="Y5" s="177"/>
      <c r="Z5" s="177"/>
      <c r="AA5" s="177"/>
      <c r="AB5" s="177"/>
    </row>
    <row r="6" spans="1:30" ht="18" customHeight="1" x14ac:dyDescent="0.35">
      <c r="B6" s="515" t="str">
        <f>'AREA CALC''s'!B4</f>
        <v>Alton Hilltop Gardens</v>
      </c>
      <c r="C6" s="516"/>
      <c r="D6" s="206"/>
      <c r="F6" s="24" t="s">
        <v>7</v>
      </c>
      <c r="G6" s="921">
        <f>'AREA CALC''s'!L4</f>
        <v>514164.8</v>
      </c>
      <c r="Q6" s="318" t="s">
        <v>7</v>
      </c>
      <c r="R6" s="922">
        <f>'AREA CALC''s'!N4</f>
        <v>538483.80000000005</v>
      </c>
      <c r="S6" s="318" t="s">
        <v>17</v>
      </c>
      <c r="T6" s="923">
        <f>'AREA CALC''s'!N7</f>
        <v>17.64</v>
      </c>
      <c r="AB6" s="172"/>
    </row>
    <row r="7" spans="1:30" ht="15" customHeight="1" x14ac:dyDescent="0.35">
      <c r="B7" s="517" t="s">
        <v>425</v>
      </c>
      <c r="C7" s="518"/>
      <c r="D7" s="210"/>
      <c r="E7" s="223"/>
      <c r="F7" s="24" t="s">
        <v>14</v>
      </c>
      <c r="G7" s="921">
        <f>'AREA CALC''s'!N5</f>
        <v>413948.8</v>
      </c>
      <c r="H7" s="223"/>
      <c r="I7" s="223"/>
      <c r="J7" s="246"/>
      <c r="K7" s="223"/>
      <c r="L7" s="246"/>
      <c r="M7" s="223"/>
      <c r="N7" s="246"/>
      <c r="O7" s="223"/>
      <c r="P7" s="246"/>
      <c r="Q7" s="318" t="s">
        <v>14</v>
      </c>
      <c r="R7" s="922">
        <f>'AREA CALC''s'!N5</f>
        <v>413948.8</v>
      </c>
      <c r="S7" s="318" t="s">
        <v>20</v>
      </c>
      <c r="T7" s="922">
        <f>'AREA CALC''s'!N9</f>
        <v>14650</v>
      </c>
      <c r="AB7" s="172"/>
    </row>
    <row r="8" spans="1:30" ht="15" customHeight="1" x14ac:dyDescent="0.35">
      <c r="B8" s="178"/>
      <c r="C8" s="519"/>
      <c r="E8" s="223"/>
      <c r="F8" s="24" t="s">
        <v>15</v>
      </c>
      <c r="G8" s="921">
        <f>'AREA CALC''s'!N6</f>
        <v>432</v>
      </c>
      <c r="H8" s="223"/>
      <c r="I8" s="223"/>
      <c r="J8" s="246"/>
      <c r="K8" s="223"/>
      <c r="L8" s="246"/>
      <c r="M8" s="223"/>
      <c r="N8" s="246"/>
      <c r="O8" s="223"/>
      <c r="P8" s="246"/>
      <c r="Q8" s="318" t="s">
        <v>15</v>
      </c>
      <c r="R8" s="922">
        <f>'AREA CALC''s'!N6</f>
        <v>432</v>
      </c>
      <c r="S8" s="318" t="s">
        <v>426</v>
      </c>
      <c r="T8" s="924">
        <v>20</v>
      </c>
      <c r="AB8" s="172"/>
    </row>
    <row r="9" spans="1:30" ht="15" customHeight="1" x14ac:dyDescent="0.35">
      <c r="B9" s="178"/>
      <c r="C9" s="179"/>
      <c r="E9" s="223"/>
      <c r="H9" s="223"/>
      <c r="I9" s="223"/>
      <c r="J9" s="246"/>
      <c r="K9" s="223"/>
      <c r="L9" s="246"/>
      <c r="M9" s="223"/>
      <c r="N9" s="246"/>
      <c r="O9" s="223"/>
      <c r="P9" s="246"/>
      <c r="AB9" s="172"/>
    </row>
    <row r="10" spans="1:30" ht="15" customHeight="1" x14ac:dyDescent="0.45">
      <c r="B10" s="180"/>
      <c r="C10" s="181"/>
      <c r="E10" s="223"/>
      <c r="F10" s="3739" t="s">
        <v>427</v>
      </c>
      <c r="G10" s="3740"/>
      <c r="H10" s="3740"/>
      <c r="I10" s="3741"/>
      <c r="J10" s="249"/>
      <c r="K10" s="601" t="s">
        <v>428</v>
      </c>
      <c r="L10" s="249"/>
      <c r="M10" s="601" t="s">
        <v>80</v>
      </c>
      <c r="N10" s="249"/>
      <c r="O10" s="601" t="s">
        <v>429</v>
      </c>
      <c r="P10" s="512"/>
      <c r="Q10" s="513"/>
      <c r="R10" s="225"/>
      <c r="S10" s="225"/>
      <c r="T10" s="225"/>
      <c r="Z10" s="224" t="s">
        <v>430</v>
      </c>
      <c r="AA10" s="226" t="s">
        <v>431</v>
      </c>
      <c r="AB10" s="172"/>
    </row>
    <row r="11" spans="1:30" s="182" customFormat="1" ht="25" x14ac:dyDescent="0.35">
      <c r="B11" s="444" t="s">
        <v>432</v>
      </c>
      <c r="C11" s="491" t="s">
        <v>433</v>
      </c>
      <c r="D11" s="445"/>
      <c r="E11" s="446"/>
      <c r="F11" s="447" t="s">
        <v>434</v>
      </c>
      <c r="G11" s="448" t="s">
        <v>435</v>
      </c>
      <c r="H11" s="448" t="s">
        <v>436</v>
      </c>
      <c r="I11" s="448" t="s">
        <v>437</v>
      </c>
      <c r="J11" s="449"/>
      <c r="K11" s="447" t="s">
        <v>434</v>
      </c>
      <c r="L11" s="449"/>
      <c r="M11" s="447" t="s">
        <v>434</v>
      </c>
      <c r="N11" s="449"/>
      <c r="O11" s="447" t="s">
        <v>434</v>
      </c>
      <c r="P11" s="449"/>
      <c r="Q11" s="450" t="s">
        <v>438</v>
      </c>
      <c r="R11" s="448" t="s">
        <v>435</v>
      </c>
      <c r="S11" s="448" t="s">
        <v>436</v>
      </c>
      <c r="T11" s="448" t="s">
        <v>437</v>
      </c>
      <c r="U11" s="448" t="s">
        <v>34</v>
      </c>
      <c r="V11" s="492" t="s">
        <v>439</v>
      </c>
      <c r="W11" s="551" t="s">
        <v>440</v>
      </c>
      <c r="X11" s="551" t="s">
        <v>441</v>
      </c>
      <c r="Y11" s="551" t="s">
        <v>442</v>
      </c>
      <c r="Z11" s="451" t="s">
        <v>443</v>
      </c>
      <c r="AA11" s="452" t="s">
        <v>444</v>
      </c>
      <c r="AB11" s="480" t="s">
        <v>100</v>
      </c>
      <c r="AC11" s="485" t="s">
        <v>439</v>
      </c>
    </row>
    <row r="12" spans="1:30" s="150" customFormat="1" ht="6.75" customHeight="1" x14ac:dyDescent="0.35">
      <c r="B12" s="453"/>
      <c r="C12" s="493"/>
      <c r="D12" s="183"/>
      <c r="E12" s="250"/>
      <c r="F12" s="183"/>
      <c r="G12" s="183"/>
      <c r="H12" s="183"/>
      <c r="I12" s="183"/>
      <c r="J12" s="251"/>
      <c r="K12" s="183"/>
      <c r="L12" s="251"/>
      <c r="M12" s="183"/>
      <c r="N12" s="251"/>
      <c r="O12" s="183"/>
      <c r="P12" s="251"/>
      <c r="Q12" s="183"/>
      <c r="R12" s="183"/>
      <c r="S12" s="183"/>
      <c r="T12" s="183"/>
      <c r="U12" s="183"/>
      <c r="V12" s="494"/>
      <c r="W12" s="183"/>
      <c r="X12" s="183"/>
      <c r="Y12" s="183"/>
      <c r="Z12" s="183"/>
      <c r="AA12" s="357"/>
      <c r="AB12" s="481"/>
      <c r="AC12" s="486"/>
    </row>
    <row r="13" spans="1:30" s="150" customFormat="1" x14ac:dyDescent="0.35">
      <c r="B13" s="454" t="s">
        <v>445</v>
      </c>
      <c r="C13" s="495" t="s">
        <v>446</v>
      </c>
      <c r="D13" s="186"/>
      <c r="E13" s="251"/>
      <c r="F13" s="187">
        <v>21000</v>
      </c>
      <c r="G13" s="188">
        <f t="shared" ref="G13" si="0">F13/$G$6</f>
        <v>4.0842935961388258E-2</v>
      </c>
      <c r="H13" s="188">
        <f t="shared" ref="H13" si="1">F13/$G$7</f>
        <v>5.0730911648976883E-2</v>
      </c>
      <c r="I13" s="188">
        <f t="shared" ref="I13" si="2">F13/$G$8</f>
        <v>48.611111111111114</v>
      </c>
      <c r="J13" s="251"/>
      <c r="K13" s="188"/>
      <c r="L13" s="251"/>
      <c r="M13" s="188">
        <v>4000</v>
      </c>
      <c r="N13" s="251"/>
      <c r="O13" s="188"/>
      <c r="P13" s="251"/>
      <c r="Q13" s="188">
        <f>F13+K13+M13+O13</f>
        <v>25000</v>
      </c>
      <c r="R13" s="188">
        <f>Q13/$R$6</f>
        <v>4.642665201812942E-2</v>
      </c>
      <c r="S13" s="188">
        <f>Q13/$G$7</f>
        <v>6.0393942439258191E-2</v>
      </c>
      <c r="T13" s="188">
        <f>Q13/$G$8</f>
        <v>57.870370370370374</v>
      </c>
      <c r="U13" s="194">
        <f>Q13/$Q$89</f>
        <v>2.3945449661198434E-4</v>
      </c>
      <c r="V13" s="496"/>
      <c r="W13" s="556">
        <f>Q13</f>
        <v>25000</v>
      </c>
      <c r="X13" s="556">
        <f>W13-Q13</f>
        <v>0</v>
      </c>
      <c r="Y13" s="556"/>
      <c r="Z13" s="187">
        <v>25000</v>
      </c>
      <c r="AA13" s="358">
        <f>Q13-Z13</f>
        <v>0</v>
      </c>
      <c r="AB13" s="482"/>
      <c r="AC13" s="486"/>
    </row>
    <row r="14" spans="1:30" ht="16.5" customHeight="1" x14ac:dyDescent="0.35">
      <c r="B14" s="456" t="s">
        <v>447</v>
      </c>
      <c r="C14" s="497" t="s">
        <v>448</v>
      </c>
      <c r="D14" s="334"/>
      <c r="E14" s="335"/>
      <c r="F14" s="184">
        <f>'01A Surveying'!C84</f>
        <v>66000</v>
      </c>
      <c r="G14" s="185">
        <f>F14/$G$6</f>
        <v>0.12836351302150595</v>
      </c>
      <c r="H14" s="185">
        <f>F14/$G$7</f>
        <v>0.15944000803964162</v>
      </c>
      <c r="I14" s="185">
        <f>F14/$G$8</f>
        <v>152.77777777777777</v>
      </c>
      <c r="J14" s="335"/>
      <c r="K14" s="185">
        <f>'01A Surveying'!F84</f>
        <v>30000</v>
      </c>
      <c r="L14" s="335"/>
      <c r="M14" s="185">
        <f>'01A Surveying'!D84</f>
        <v>8000</v>
      </c>
      <c r="N14" s="335"/>
      <c r="O14" s="185">
        <f>'01A Surveying'!E84</f>
        <v>6000</v>
      </c>
      <c r="P14" s="335"/>
      <c r="Q14" s="185">
        <f>F14+K14+M14+O14</f>
        <v>110000</v>
      </c>
      <c r="R14" s="185">
        <f>Q14/$R$6</f>
        <v>0.20427726887976944</v>
      </c>
      <c r="S14" s="185">
        <f>Q14/$G$7</f>
        <v>0.26573334673273602</v>
      </c>
      <c r="T14" s="185">
        <f>Q14/$G$8</f>
        <v>254.62962962962962</v>
      </c>
      <c r="U14" s="193">
        <f>Q14/$Q$89</f>
        <v>1.053599785092731E-3</v>
      </c>
      <c r="V14" s="498">
        <v>4</v>
      </c>
      <c r="W14" s="557">
        <f>Q14</f>
        <v>110000</v>
      </c>
      <c r="X14" s="557">
        <f>W14-Q14</f>
        <v>0</v>
      </c>
      <c r="Y14" s="557"/>
      <c r="Z14" s="184">
        <v>110000</v>
      </c>
      <c r="AA14" s="359">
        <f>Q14-Z14</f>
        <v>0</v>
      </c>
      <c r="AB14" s="483"/>
      <c r="AC14" s="486">
        <v>4</v>
      </c>
    </row>
    <row r="15" spans="1:30" ht="16.5" customHeight="1" x14ac:dyDescent="0.35">
      <c r="A15" s="150"/>
      <c r="B15" s="454" t="s">
        <v>449</v>
      </c>
      <c r="C15" s="495" t="s">
        <v>450</v>
      </c>
      <c r="D15" s="186"/>
      <c r="E15" s="251"/>
      <c r="F15" s="187" t="s">
        <v>451</v>
      </c>
      <c r="G15" s="188"/>
      <c r="H15" s="188"/>
      <c r="I15" s="188"/>
      <c r="J15" s="251"/>
      <c r="K15" s="188"/>
      <c r="L15" s="251"/>
      <c r="M15" s="188"/>
      <c r="N15" s="251"/>
      <c r="O15" s="188"/>
      <c r="P15" s="251"/>
      <c r="Q15" s="188" t="s">
        <v>451</v>
      </c>
      <c r="R15" s="188"/>
      <c r="S15" s="188"/>
      <c r="T15" s="188"/>
      <c r="U15" s="194"/>
      <c r="V15" s="496"/>
      <c r="W15" s="556"/>
      <c r="X15" s="556"/>
      <c r="Y15" s="556"/>
      <c r="Z15" s="187" t="s">
        <v>451</v>
      </c>
      <c r="AA15" s="358"/>
      <c r="AB15" s="482"/>
      <c r="AC15" s="486"/>
      <c r="AD15" s="150"/>
    </row>
    <row r="16" spans="1:30" ht="16.5" customHeight="1" x14ac:dyDescent="0.35">
      <c r="B16" s="456" t="s">
        <v>452</v>
      </c>
      <c r="C16" s="497" t="s">
        <v>453</v>
      </c>
      <c r="D16" s="334"/>
      <c r="E16" s="335"/>
      <c r="F16" s="184">
        <f>'01C Final Cleaning'!B106</f>
        <v>898690</v>
      </c>
      <c r="G16" s="185">
        <f>F16/$G$6</f>
        <v>1.7478637199590481</v>
      </c>
      <c r="H16" s="185">
        <f>F16/$G$7</f>
        <v>2.1710172852294778</v>
      </c>
      <c r="I16" s="185">
        <f>F16/$G$8</f>
        <v>2080.3009259259261</v>
      </c>
      <c r="J16" s="335"/>
      <c r="K16" s="185"/>
      <c r="L16" s="335"/>
      <c r="M16" s="185"/>
      <c r="N16" s="335"/>
      <c r="O16" s="185"/>
      <c r="P16" s="335"/>
      <c r="Q16" s="185">
        <f t="shared" ref="Q16:Q72" si="3">F16+K16+M16+O16</f>
        <v>898690</v>
      </c>
      <c r="R16" s="185">
        <f>Q16/$G$6</f>
        <v>1.7478637199590481</v>
      </c>
      <c r="S16" s="185">
        <f>Q16/$G$7</f>
        <v>2.1710172852294778</v>
      </c>
      <c r="T16" s="185">
        <f>Q16/$G$8</f>
        <v>2080.3009259259261</v>
      </c>
      <c r="U16" s="193">
        <f>Q16/$Q$89</f>
        <v>8.6078144624089688E-3</v>
      </c>
      <c r="V16" s="498"/>
      <c r="W16" s="557">
        <f>Q16</f>
        <v>898690</v>
      </c>
      <c r="X16" s="557">
        <f>W16-Q16</f>
        <v>0</v>
      </c>
      <c r="Y16" s="557"/>
      <c r="Z16" s="184">
        <v>898690</v>
      </c>
      <c r="AA16" s="359">
        <f>Q16-Z16</f>
        <v>0</v>
      </c>
      <c r="AB16" s="483"/>
      <c r="AC16" s="486"/>
    </row>
    <row r="17" spans="1:30" ht="16.5" customHeight="1" x14ac:dyDescent="0.35">
      <c r="A17" s="150"/>
      <c r="B17" s="454" t="s">
        <v>454</v>
      </c>
      <c r="C17" s="495" t="s">
        <v>455</v>
      </c>
      <c r="D17" s="186"/>
      <c r="E17" s="251"/>
      <c r="F17" s="187" t="s">
        <v>451</v>
      </c>
      <c r="G17" s="188"/>
      <c r="H17" s="188"/>
      <c r="I17" s="188"/>
      <c r="J17" s="251"/>
      <c r="K17" s="188"/>
      <c r="L17" s="251"/>
      <c r="M17" s="188"/>
      <c r="N17" s="251"/>
      <c r="O17" s="188"/>
      <c r="P17" s="251"/>
      <c r="Q17" s="188" t="s">
        <v>451</v>
      </c>
      <c r="R17" s="188"/>
      <c r="S17" s="188"/>
      <c r="T17" s="188"/>
      <c r="U17" s="194"/>
      <c r="V17" s="496"/>
      <c r="W17" s="556"/>
      <c r="X17" s="556"/>
      <c r="Y17" s="556"/>
      <c r="Z17" s="187" t="s">
        <v>451</v>
      </c>
      <c r="AA17" s="358"/>
      <c r="AB17" s="482"/>
      <c r="AC17" s="486"/>
      <c r="AD17" s="150"/>
    </row>
    <row r="18" spans="1:30" x14ac:dyDescent="0.35">
      <c r="B18" s="456" t="s">
        <v>456</v>
      </c>
      <c r="C18" s="497" t="s">
        <v>457</v>
      </c>
      <c r="D18" s="334"/>
      <c r="E18" s="335"/>
      <c r="F18" s="184">
        <f>'03A Concrete'!B175</f>
        <v>18970000</v>
      </c>
      <c r="G18" s="185">
        <f>F18/$G$6</f>
        <v>36.894785485120728</v>
      </c>
      <c r="H18" s="185">
        <f>F18/$G$7</f>
        <v>45.826923522909112</v>
      </c>
      <c r="I18" s="185">
        <f>F18/$G$8</f>
        <v>43912.037037037036</v>
      </c>
      <c r="J18" s="335"/>
      <c r="K18" s="185">
        <f>'03A Concrete'!F175</f>
        <v>120000</v>
      </c>
      <c r="L18" s="335"/>
      <c r="M18" s="185">
        <f>'03A Concrete'!D175</f>
        <v>1040000</v>
      </c>
      <c r="N18" s="335"/>
      <c r="O18" s="185">
        <f>'03A Concrete'!E175</f>
        <v>340000</v>
      </c>
      <c r="P18" s="335"/>
      <c r="Q18" s="185">
        <f t="shared" si="3"/>
        <v>20470000</v>
      </c>
      <c r="R18" s="185">
        <f>Q18/$G$6</f>
        <v>39.812138053791315</v>
      </c>
      <c r="S18" s="185">
        <f>Q18/$G$7</f>
        <v>49.450560069264604</v>
      </c>
      <c r="T18" s="185">
        <f>Q18/$G$8</f>
        <v>47384.259259259263</v>
      </c>
      <c r="U18" s="193">
        <f>Q18/$Q$89</f>
        <v>0.19606534182589277</v>
      </c>
      <c r="V18" s="498">
        <v>3</v>
      </c>
      <c r="W18" s="557">
        <v>19780000</v>
      </c>
      <c r="X18" s="557">
        <f>W18-Q18</f>
        <v>-690000</v>
      </c>
      <c r="Y18" s="557"/>
      <c r="Z18" s="184">
        <v>20470000</v>
      </c>
      <c r="AA18" s="359">
        <f>Q18-Z18</f>
        <v>0</v>
      </c>
      <c r="AB18" s="483"/>
      <c r="AC18" s="486">
        <v>3</v>
      </c>
    </row>
    <row r="19" spans="1:30" x14ac:dyDescent="0.35">
      <c r="A19" s="150"/>
      <c r="B19" s="454" t="s">
        <v>458</v>
      </c>
      <c r="C19" s="495" t="s">
        <v>459</v>
      </c>
      <c r="D19" s="186"/>
      <c r="E19" s="251"/>
      <c r="F19" s="187">
        <f>'03A Concrete'!C176</f>
        <v>0</v>
      </c>
      <c r="G19" s="188">
        <f>F19/$G$6</f>
        <v>0</v>
      </c>
      <c r="H19" s="188">
        <f>F19/$G$7</f>
        <v>0</v>
      </c>
      <c r="I19" s="188">
        <f>F19/$G$8</f>
        <v>0</v>
      </c>
      <c r="J19" s="251"/>
      <c r="K19" s="188">
        <f>'03C Architectural Precast'!B88</f>
        <v>368772</v>
      </c>
      <c r="L19" s="251"/>
      <c r="M19" s="188">
        <f>'03A Concrete'!D176</f>
        <v>0</v>
      </c>
      <c r="N19" s="251"/>
      <c r="O19" s="188">
        <f>'03A Concrete'!E176</f>
        <v>0</v>
      </c>
      <c r="P19" s="251"/>
      <c r="Q19" s="188">
        <f t="shared" ref="Q19:Q21" si="4">F19+K19+M19+O19</f>
        <v>368772</v>
      </c>
      <c r="R19" s="188">
        <f>Q19/$G$6</f>
        <v>0.71722529430252713</v>
      </c>
      <c r="S19" s="188">
        <f>Q19/$G$7</f>
        <v>0.89086379764840484</v>
      </c>
      <c r="T19" s="188">
        <f>Q19/$G$8</f>
        <v>853.63888888888891</v>
      </c>
      <c r="U19" s="194">
        <f>Q19/$Q$89</f>
        <v>3.5321645449837877E-3</v>
      </c>
      <c r="V19" s="496">
        <v>3</v>
      </c>
      <c r="W19" s="556"/>
      <c r="X19" s="556"/>
      <c r="Y19" s="556"/>
      <c r="Z19" s="187">
        <v>368772</v>
      </c>
      <c r="AA19" s="358">
        <f>Q19-Z19</f>
        <v>0</v>
      </c>
      <c r="AB19" s="482"/>
      <c r="AC19" s="486">
        <v>3</v>
      </c>
      <c r="AD19" s="150"/>
    </row>
    <row r="20" spans="1:30" ht="16.5" customHeight="1" x14ac:dyDescent="0.35">
      <c r="B20" s="456" t="s">
        <v>460</v>
      </c>
      <c r="C20" s="497" t="s">
        <v>461</v>
      </c>
      <c r="D20" s="334"/>
      <c r="E20" s="335"/>
      <c r="F20" s="184" t="s">
        <v>462</v>
      </c>
      <c r="G20" s="185" t="s">
        <v>462</v>
      </c>
      <c r="H20" s="185" t="s">
        <v>462</v>
      </c>
      <c r="I20" s="185" t="s">
        <v>462</v>
      </c>
      <c r="J20" s="335"/>
      <c r="K20" s="185" t="s">
        <v>462</v>
      </c>
      <c r="L20" s="335"/>
      <c r="M20" s="185" t="s">
        <v>462</v>
      </c>
      <c r="N20" s="335"/>
      <c r="O20" s="185" t="s">
        <v>462</v>
      </c>
      <c r="P20" s="335"/>
      <c r="Q20" s="185" t="s">
        <v>462</v>
      </c>
      <c r="R20" s="185" t="s">
        <v>462</v>
      </c>
      <c r="S20" s="185" t="s">
        <v>462</v>
      </c>
      <c r="T20" s="185" t="s">
        <v>462</v>
      </c>
      <c r="U20" s="193"/>
      <c r="V20" s="498"/>
      <c r="W20" s="557"/>
      <c r="X20" s="557"/>
      <c r="Y20" s="557"/>
      <c r="Z20" s="184" t="s">
        <v>462</v>
      </c>
      <c r="AA20" s="359"/>
      <c r="AB20" s="483"/>
      <c r="AC20" s="486"/>
    </row>
    <row r="21" spans="1:30" ht="16.5" customHeight="1" x14ac:dyDescent="0.35">
      <c r="A21" s="150"/>
      <c r="B21" s="454" t="s">
        <v>463</v>
      </c>
      <c r="C21" s="495" t="s">
        <v>464</v>
      </c>
      <c r="D21" s="186"/>
      <c r="E21" s="251"/>
      <c r="F21" s="187">
        <f>'04B Stone Veneer'!B113</f>
        <v>101719</v>
      </c>
      <c r="G21" s="188"/>
      <c r="H21" s="188"/>
      <c r="I21" s="188"/>
      <c r="J21" s="251"/>
      <c r="K21" s="188">
        <f>'04B Stone Veneer'!E113</f>
        <v>9350</v>
      </c>
      <c r="L21" s="251"/>
      <c r="M21" s="188">
        <f>'04B Stone Veneer'!C113</f>
        <v>13513</v>
      </c>
      <c r="N21" s="251"/>
      <c r="O21" s="188"/>
      <c r="P21" s="251"/>
      <c r="Q21" s="188">
        <f t="shared" si="4"/>
        <v>124582</v>
      </c>
      <c r="R21" s="188">
        <f>Q21/$G$6</f>
        <v>0.2422997451400796</v>
      </c>
      <c r="S21" s="188">
        <f>Q21/$G$7</f>
        <v>0.30095992547870654</v>
      </c>
      <c r="T21" s="188">
        <f>Q21/$G$8</f>
        <v>288.38425925925924</v>
      </c>
      <c r="U21" s="194">
        <f>Q21/$Q$89</f>
        <v>1.1932688038765692E-3</v>
      </c>
      <c r="V21" s="496">
        <v>4</v>
      </c>
      <c r="W21" s="556"/>
      <c r="X21" s="556"/>
      <c r="Y21" s="556"/>
      <c r="Z21" s="187">
        <v>67260</v>
      </c>
      <c r="AA21" s="358">
        <f>Q21-Z21</f>
        <v>57322</v>
      </c>
      <c r="AB21" s="482" t="s">
        <v>465</v>
      </c>
      <c r="AC21" s="486">
        <v>4</v>
      </c>
      <c r="AD21" s="150"/>
    </row>
    <row r="22" spans="1:30" ht="16.5" customHeight="1" x14ac:dyDescent="0.35">
      <c r="B22" s="456" t="s">
        <v>466</v>
      </c>
      <c r="C22" s="497" t="s">
        <v>467</v>
      </c>
      <c r="D22" s="334"/>
      <c r="E22" s="335"/>
      <c r="F22" s="184" t="s">
        <v>462</v>
      </c>
      <c r="G22" s="185" t="s">
        <v>462</v>
      </c>
      <c r="H22" s="185" t="s">
        <v>462</v>
      </c>
      <c r="I22" s="185" t="s">
        <v>462</v>
      </c>
      <c r="J22" s="335"/>
      <c r="K22" s="185" t="s">
        <v>462</v>
      </c>
      <c r="L22" s="335"/>
      <c r="M22" s="185" t="s">
        <v>462</v>
      </c>
      <c r="N22" s="335"/>
      <c r="O22" s="185" t="s">
        <v>462</v>
      </c>
      <c r="P22" s="335"/>
      <c r="Q22" s="185" t="s">
        <v>462</v>
      </c>
      <c r="R22" s="185" t="s">
        <v>462</v>
      </c>
      <c r="S22" s="185" t="s">
        <v>462</v>
      </c>
      <c r="T22" s="185" t="s">
        <v>462</v>
      </c>
      <c r="U22" s="193"/>
      <c r="V22" s="498"/>
      <c r="W22" s="557"/>
      <c r="X22" s="557"/>
      <c r="Y22" s="557"/>
      <c r="Z22" s="184" t="s">
        <v>462</v>
      </c>
      <c r="AA22" s="359"/>
      <c r="AB22" s="483"/>
      <c r="AC22" s="486"/>
    </row>
    <row r="23" spans="1:30" x14ac:dyDescent="0.35">
      <c r="A23" s="150"/>
      <c r="B23" s="454" t="s">
        <v>468</v>
      </c>
      <c r="C23" s="495" t="s">
        <v>469</v>
      </c>
      <c r="D23" s="186"/>
      <c r="E23" s="251"/>
      <c r="F23" s="187">
        <f>'05C Misc. Metals'!B113</f>
        <v>879361.55</v>
      </c>
      <c r="G23" s="188">
        <f t="shared" ref="G23:G31" si="5">F23/$G$6</f>
        <v>1.710271784455101</v>
      </c>
      <c r="H23" s="188">
        <f t="shared" ref="H23:H31" si="6">F23/$G$7</f>
        <v>2.1243244333598748</v>
      </c>
      <c r="I23" s="188">
        <f t="shared" ref="I23:I31" si="7">F23/$G$8</f>
        <v>2035.5591435185186</v>
      </c>
      <c r="J23" s="251"/>
      <c r="K23" s="188"/>
      <c r="L23" s="251"/>
      <c r="M23" s="188"/>
      <c r="N23" s="251"/>
      <c r="O23" s="188"/>
      <c r="P23" s="251"/>
      <c r="Q23" s="188">
        <f t="shared" si="3"/>
        <v>879361.55</v>
      </c>
      <c r="R23" s="188">
        <f t="shared" ref="R23:R31" si="8">Q23/$G$6</f>
        <v>1.710271784455101</v>
      </c>
      <c r="S23" s="188">
        <f t="shared" ref="S23:S31" si="9">Q23/$G$7</f>
        <v>2.1243244333598748</v>
      </c>
      <c r="T23" s="188">
        <f t="shared" ref="T23:T31" si="10">Q23/$G$8</f>
        <v>2035.5591435185186</v>
      </c>
      <c r="U23" s="194">
        <f t="shared" ref="U23:U31" si="11">Q23/$Q$89</f>
        <v>8.4226830918073727E-3</v>
      </c>
      <c r="V23" s="496">
        <v>5</v>
      </c>
      <c r="W23" s="556"/>
      <c r="X23" s="556"/>
      <c r="Y23" s="556"/>
      <c r="Z23" s="187">
        <v>879361.55</v>
      </c>
      <c r="AA23" s="358">
        <f t="shared" ref="AA23:AA56" si="12">Q23-Z23</f>
        <v>0</v>
      </c>
      <c r="AB23" s="482"/>
      <c r="AC23" s="486">
        <v>5</v>
      </c>
      <c r="AD23" s="150"/>
    </row>
    <row r="24" spans="1:30" x14ac:dyDescent="0.35">
      <c r="B24" s="456" t="s">
        <v>470</v>
      </c>
      <c r="C24" s="497" t="s">
        <v>471</v>
      </c>
      <c r="D24" s="334"/>
      <c r="E24" s="335"/>
      <c r="F24" s="184"/>
      <c r="G24" s="185">
        <f t="shared" ref="G24" si="13">F24/$G$6</f>
        <v>0</v>
      </c>
      <c r="H24" s="185">
        <f t="shared" ref="H24" si="14">F24/$G$7</f>
        <v>0</v>
      </c>
      <c r="I24" s="185">
        <f t="shared" ref="I24" si="15">F24/$G$8</f>
        <v>0</v>
      </c>
      <c r="J24" s="335"/>
      <c r="K24" s="185"/>
      <c r="L24" s="335"/>
      <c r="M24" s="185">
        <f>'05E Glass Railings'!B91</f>
        <v>46000</v>
      </c>
      <c r="N24" s="335"/>
      <c r="O24" s="185"/>
      <c r="P24" s="335"/>
      <c r="Q24" s="185">
        <f t="shared" ref="Q24:Q26" si="16">F24+K24+M24+O24</f>
        <v>46000</v>
      </c>
      <c r="R24" s="185">
        <f t="shared" ref="R24" si="17">Q24/$G$6</f>
        <v>8.9465478772564749E-2</v>
      </c>
      <c r="S24" s="185">
        <f t="shared" ref="S24" si="18">Q24/$G$7</f>
        <v>0.11112485408823507</v>
      </c>
      <c r="T24" s="185">
        <f t="shared" ref="T24" si="19">Q24/$G$8</f>
        <v>106.48148148148148</v>
      </c>
      <c r="U24" s="193">
        <f t="shared" ref="U24" si="20">Q24/$Q$89</f>
        <v>4.4059627376605119E-4</v>
      </c>
      <c r="V24" s="498">
        <v>4</v>
      </c>
      <c r="W24" s="557"/>
      <c r="X24" s="557"/>
      <c r="Y24" s="557"/>
      <c r="Z24" s="184">
        <v>46000</v>
      </c>
      <c r="AA24" s="359">
        <f t="shared" si="12"/>
        <v>0</v>
      </c>
      <c r="AB24" s="483"/>
      <c r="AC24" s="486">
        <v>4</v>
      </c>
    </row>
    <row r="25" spans="1:30" x14ac:dyDescent="0.35">
      <c r="A25" s="150"/>
      <c r="B25" s="454" t="s">
        <v>472</v>
      </c>
      <c r="C25" s="495" t="s">
        <v>473</v>
      </c>
      <c r="D25" s="186"/>
      <c r="E25" s="251"/>
      <c r="F25" s="187">
        <f>'05F Brackets &amp; Rafter Tails'!B148</f>
        <v>493453</v>
      </c>
      <c r="G25" s="188"/>
      <c r="H25" s="188"/>
      <c r="I25" s="188"/>
      <c r="J25" s="251"/>
      <c r="K25" s="188"/>
      <c r="L25" s="251"/>
      <c r="M25" s="188"/>
      <c r="N25" s="251"/>
      <c r="O25" s="188"/>
      <c r="P25" s="251"/>
      <c r="Q25" s="188">
        <f t="shared" si="16"/>
        <v>493453</v>
      </c>
      <c r="R25" s="188">
        <f t="shared" ref="R25" si="21">Q25/$G$6</f>
        <v>0.95971758471213897</v>
      </c>
      <c r="S25" s="188">
        <f t="shared" ref="S25" si="22">Q25/$G$7</f>
        <v>1.1920628831391709</v>
      </c>
      <c r="T25" s="188">
        <f t="shared" ref="T25" si="23">Q25/$G$8</f>
        <v>1142.2523148148148</v>
      </c>
      <c r="U25" s="194">
        <f t="shared" ref="U25" si="24">Q25/$Q$89</f>
        <v>4.7263815886669398E-3</v>
      </c>
      <c r="V25" s="496">
        <v>4</v>
      </c>
      <c r="W25" s="556"/>
      <c r="X25" s="556"/>
      <c r="Y25" s="556"/>
      <c r="Z25" s="187">
        <v>493453</v>
      </c>
      <c r="AA25" s="358">
        <f t="shared" si="12"/>
        <v>0</v>
      </c>
      <c r="AB25" s="482"/>
      <c r="AC25" s="486">
        <v>4</v>
      </c>
      <c r="AD25" s="150"/>
    </row>
    <row r="26" spans="1:30" x14ac:dyDescent="0.35">
      <c r="B26" s="456" t="s">
        <v>474</v>
      </c>
      <c r="C26" s="497" t="s">
        <v>475</v>
      </c>
      <c r="D26" s="334"/>
      <c r="E26" s="335"/>
      <c r="F26" s="184">
        <f>'05G Balcony Columns'!B81</f>
        <v>0</v>
      </c>
      <c r="G26" s="185">
        <f t="shared" ref="G26" si="25">F26/$G$6</f>
        <v>0</v>
      </c>
      <c r="H26" s="185">
        <f t="shared" ref="H26" si="26">F26/$G$7</f>
        <v>0</v>
      </c>
      <c r="I26" s="185">
        <f t="shared" ref="I26" si="27">F26/$G$8</f>
        <v>0</v>
      </c>
      <c r="J26" s="335"/>
      <c r="K26" s="185"/>
      <c r="L26" s="335"/>
      <c r="M26" s="185">
        <v>0</v>
      </c>
      <c r="N26" s="335"/>
      <c r="O26" s="185"/>
      <c r="P26" s="335"/>
      <c r="Q26" s="185">
        <f t="shared" si="16"/>
        <v>0</v>
      </c>
      <c r="R26" s="185">
        <f t="shared" ref="R26" si="28">Q26/$G$6</f>
        <v>0</v>
      </c>
      <c r="S26" s="185">
        <f t="shared" ref="S26" si="29">Q26/$G$7</f>
        <v>0</v>
      </c>
      <c r="T26" s="185">
        <f t="shared" ref="T26" si="30">Q26/$G$8</f>
        <v>0</v>
      </c>
      <c r="U26" s="193">
        <f t="shared" ref="U26" si="31">Q26/$Q$89</f>
        <v>0</v>
      </c>
      <c r="V26" s="498"/>
      <c r="W26" s="557"/>
      <c r="X26" s="557"/>
      <c r="Y26" s="557"/>
      <c r="Z26" s="184">
        <v>353486</v>
      </c>
      <c r="AA26" s="359">
        <f t="shared" si="12"/>
        <v>-353486</v>
      </c>
      <c r="AB26" s="483" t="s">
        <v>476</v>
      </c>
      <c r="AC26" s="486"/>
    </row>
    <row r="27" spans="1:30" x14ac:dyDescent="0.35">
      <c r="A27" s="150"/>
      <c r="B27" s="454" t="s">
        <v>477</v>
      </c>
      <c r="C27" s="495" t="s">
        <v>478</v>
      </c>
      <c r="D27" s="186"/>
      <c r="E27" s="251"/>
      <c r="F27" s="187">
        <f>'06A Rough Carpentry'!B115</f>
        <v>587134.4</v>
      </c>
      <c r="G27" s="188">
        <f t="shared" si="5"/>
        <v>1.1419186999965771</v>
      </c>
      <c r="H27" s="188">
        <f t="shared" si="6"/>
        <v>1.4183744463083359</v>
      </c>
      <c r="I27" s="188">
        <f t="shared" si="7"/>
        <v>1359.1074074074074</v>
      </c>
      <c r="J27" s="251"/>
      <c r="K27" s="188"/>
      <c r="L27" s="251"/>
      <c r="M27" s="188"/>
      <c r="N27" s="251"/>
      <c r="O27" s="188"/>
      <c r="P27" s="251"/>
      <c r="Q27" s="188">
        <f t="shared" si="3"/>
        <v>587134.4</v>
      </c>
      <c r="R27" s="188">
        <f t="shared" si="8"/>
        <v>1.1419186999965771</v>
      </c>
      <c r="S27" s="188">
        <f t="shared" si="9"/>
        <v>1.4183744463083359</v>
      </c>
      <c r="T27" s="188">
        <f t="shared" si="10"/>
        <v>1359.1074074074074</v>
      </c>
      <c r="U27" s="194">
        <f t="shared" si="11"/>
        <v>5.6236788878231787E-3</v>
      </c>
      <c r="V27" s="496"/>
      <c r="W27" s="556"/>
      <c r="X27" s="556"/>
      <c r="Y27" s="556"/>
      <c r="Z27" s="187">
        <v>462134.4</v>
      </c>
      <c r="AA27" s="358">
        <f t="shared" si="12"/>
        <v>125000</v>
      </c>
      <c r="AB27" s="482" t="s">
        <v>479</v>
      </c>
      <c r="AC27" s="486"/>
      <c r="AD27" s="150"/>
    </row>
    <row r="28" spans="1:30" ht="16.5" customHeight="1" x14ac:dyDescent="0.35">
      <c r="B28" s="456" t="s">
        <v>480</v>
      </c>
      <c r="C28" s="497" t="s">
        <v>481</v>
      </c>
      <c r="D28" s="334"/>
      <c r="E28" s="335"/>
      <c r="F28" s="184">
        <f>'06C Wood Trusses'!B107</f>
        <v>252757.98</v>
      </c>
      <c r="G28" s="185">
        <f t="shared" si="5"/>
        <v>0.49158942813665973</v>
      </c>
      <c r="H28" s="185">
        <f t="shared" si="6"/>
        <v>0.61060203580732697</v>
      </c>
      <c r="I28" s="185">
        <f t="shared" si="7"/>
        <v>585.08791666666673</v>
      </c>
      <c r="J28" s="335"/>
      <c r="K28" s="185"/>
      <c r="L28" s="335"/>
      <c r="M28" s="185"/>
      <c r="N28" s="335"/>
      <c r="O28" s="185"/>
      <c r="P28" s="335"/>
      <c r="Q28" s="185">
        <f t="shared" si="3"/>
        <v>252757.98</v>
      </c>
      <c r="R28" s="185">
        <f t="shared" si="8"/>
        <v>0.49158942813665973</v>
      </c>
      <c r="S28" s="185">
        <f t="shared" si="9"/>
        <v>0.61060203580732697</v>
      </c>
      <c r="T28" s="185">
        <f t="shared" si="10"/>
        <v>585.08791666666673</v>
      </c>
      <c r="U28" s="193">
        <f t="shared" si="11"/>
        <v>2.4209613946224802E-3</v>
      </c>
      <c r="V28" s="498">
        <v>5</v>
      </c>
      <c r="W28" s="557"/>
      <c r="X28" s="557"/>
      <c r="Y28" s="557"/>
      <c r="Z28" s="184">
        <v>287972.58</v>
      </c>
      <c r="AA28" s="359">
        <f t="shared" si="12"/>
        <v>-35214.600000000006</v>
      </c>
      <c r="AB28" s="483" t="s">
        <v>482</v>
      </c>
      <c r="AC28" s="486">
        <v>5</v>
      </c>
    </row>
    <row r="29" spans="1:30" ht="16.5" customHeight="1" x14ac:dyDescent="0.35">
      <c r="A29" s="150"/>
      <c r="B29" s="454" t="s">
        <v>483</v>
      </c>
      <c r="C29" s="495" t="s">
        <v>484</v>
      </c>
      <c r="D29" s="186"/>
      <c r="E29" s="251"/>
      <c r="F29" s="187">
        <f>'06D Interior Finish Carpentry'!B98</f>
        <v>243815</v>
      </c>
      <c r="G29" s="188">
        <f t="shared" si="5"/>
        <v>0.47419621102027987</v>
      </c>
      <c r="H29" s="188">
        <f t="shared" si="6"/>
        <v>0.58899796303310947</v>
      </c>
      <c r="I29" s="188">
        <f t="shared" si="7"/>
        <v>564.38657407407402</v>
      </c>
      <c r="J29" s="251"/>
      <c r="K29" s="188"/>
      <c r="L29" s="251"/>
      <c r="M29" s="188"/>
      <c r="N29" s="251"/>
      <c r="O29" s="188"/>
      <c r="P29" s="251"/>
      <c r="Q29" s="188">
        <f t="shared" si="3"/>
        <v>243815</v>
      </c>
      <c r="R29" s="188">
        <f t="shared" si="8"/>
        <v>0.47419621102027987</v>
      </c>
      <c r="S29" s="188">
        <f t="shared" si="9"/>
        <v>0.58899796303310947</v>
      </c>
      <c r="T29" s="188">
        <f t="shared" si="10"/>
        <v>564.38657407407402</v>
      </c>
      <c r="U29" s="194">
        <f t="shared" si="11"/>
        <v>2.3353039236580385E-3</v>
      </c>
      <c r="V29" s="496">
        <v>3</v>
      </c>
      <c r="W29" s="556"/>
      <c r="X29" s="556"/>
      <c r="Y29" s="556"/>
      <c r="Z29" s="187">
        <v>243815</v>
      </c>
      <c r="AA29" s="358">
        <f t="shared" si="12"/>
        <v>0</v>
      </c>
      <c r="AB29" s="482"/>
      <c r="AC29" s="486">
        <v>3</v>
      </c>
      <c r="AD29" s="150"/>
    </row>
    <row r="30" spans="1:30" x14ac:dyDescent="0.35">
      <c r="B30" s="456" t="s">
        <v>485</v>
      </c>
      <c r="C30" s="497" t="s">
        <v>486</v>
      </c>
      <c r="D30" s="334"/>
      <c r="E30" s="335"/>
      <c r="F30" s="184">
        <f>'06F Millwork'!C190</f>
        <v>0</v>
      </c>
      <c r="G30" s="185">
        <f t="shared" si="5"/>
        <v>0</v>
      </c>
      <c r="H30" s="185">
        <f t="shared" si="6"/>
        <v>0</v>
      </c>
      <c r="I30" s="185">
        <f t="shared" si="7"/>
        <v>0</v>
      </c>
      <c r="J30" s="335"/>
      <c r="K30" s="185"/>
      <c r="L30" s="335"/>
      <c r="M30" s="185">
        <f>'06F Millwork'!D190</f>
        <v>697916.55</v>
      </c>
      <c r="N30" s="335"/>
      <c r="O30" s="185"/>
      <c r="P30" s="335"/>
      <c r="Q30" s="185">
        <f t="shared" si="3"/>
        <v>697916.55</v>
      </c>
      <c r="R30" s="185">
        <f t="shared" si="8"/>
        <v>1.3573790932401442</v>
      </c>
      <c r="S30" s="185">
        <f t="shared" si="9"/>
        <v>1.6859972779242265</v>
      </c>
      <c r="T30" s="185">
        <f t="shared" si="10"/>
        <v>1615.5475694444447</v>
      </c>
      <c r="U30" s="193">
        <f t="shared" si="11"/>
        <v>6.6847702462969122E-3</v>
      </c>
      <c r="V30" s="498">
        <v>4</v>
      </c>
      <c r="W30" s="557"/>
      <c r="X30" s="557"/>
      <c r="Y30" s="557"/>
      <c r="Z30" s="184">
        <v>695928.88274999999</v>
      </c>
      <c r="AA30" s="359">
        <f t="shared" si="12"/>
        <v>1987.6672500000568</v>
      </c>
      <c r="AB30" s="483"/>
      <c r="AC30" s="486">
        <v>4</v>
      </c>
    </row>
    <row r="31" spans="1:30" ht="16.5" customHeight="1" x14ac:dyDescent="0.35">
      <c r="A31" s="150"/>
      <c r="B31" s="454" t="s">
        <v>487</v>
      </c>
      <c r="C31" s="495" t="s">
        <v>488</v>
      </c>
      <c r="D31" s="186"/>
      <c r="E31" s="251"/>
      <c r="F31" s="187">
        <f>'07B Building Insulation'!B123</f>
        <v>325845</v>
      </c>
      <c r="G31" s="188">
        <f t="shared" si="5"/>
        <v>0.63373649849231217</v>
      </c>
      <c r="H31" s="188">
        <f t="shared" si="6"/>
        <v>0.78716256696480336</v>
      </c>
      <c r="I31" s="188">
        <f t="shared" si="7"/>
        <v>754.27083333333337</v>
      </c>
      <c r="J31" s="251"/>
      <c r="K31" s="188"/>
      <c r="L31" s="251"/>
      <c r="M31" s="188">
        <f>'07B Building Insulation'!D123</f>
        <v>0</v>
      </c>
      <c r="N31" s="251"/>
      <c r="O31" s="188"/>
      <c r="P31" s="251"/>
      <c r="Q31" s="188">
        <f t="shared" si="3"/>
        <v>325845</v>
      </c>
      <c r="R31" s="188">
        <f t="shared" si="8"/>
        <v>0.63373649849231217</v>
      </c>
      <c r="S31" s="188">
        <f t="shared" si="9"/>
        <v>0.78716256696480336</v>
      </c>
      <c r="T31" s="188">
        <f t="shared" si="10"/>
        <v>754.27083333333337</v>
      </c>
      <c r="U31" s="194">
        <f t="shared" si="11"/>
        <v>3.1210020179412816E-3</v>
      </c>
      <c r="V31" s="496">
        <v>6</v>
      </c>
      <c r="W31" s="556"/>
      <c r="X31" s="556"/>
      <c r="Y31" s="556"/>
      <c r="Z31" s="187">
        <v>325845</v>
      </c>
      <c r="AA31" s="358">
        <f t="shared" si="12"/>
        <v>0</v>
      </c>
      <c r="AB31" s="482"/>
      <c r="AC31" s="486">
        <v>6</v>
      </c>
      <c r="AD31" s="150"/>
    </row>
    <row r="32" spans="1:30" ht="16.5" customHeight="1" x14ac:dyDescent="0.35">
      <c r="B32" s="456" t="s">
        <v>489</v>
      </c>
      <c r="C32" s="497" t="s">
        <v>490</v>
      </c>
      <c r="D32" s="334"/>
      <c r="E32" s="335"/>
      <c r="F32" s="184">
        <f>'07C Fireproofing&amp;Firestopping'!B86</f>
        <v>227000</v>
      </c>
      <c r="G32" s="185">
        <f t="shared" ref="G32:G60" si="32">F32/$G$6</f>
        <v>0.44149268872548258</v>
      </c>
      <c r="H32" s="185">
        <f t="shared" ref="H32:H60" si="33">F32/$G$7</f>
        <v>0.54837699734846435</v>
      </c>
      <c r="I32" s="185">
        <f t="shared" ref="I32:I60" si="34">F32/$G$8</f>
        <v>525.46296296296293</v>
      </c>
      <c r="J32" s="335"/>
      <c r="K32" s="185"/>
      <c r="L32" s="335"/>
      <c r="M32" s="185"/>
      <c r="N32" s="335"/>
      <c r="O32" s="185"/>
      <c r="P32" s="335"/>
      <c r="Q32" s="185">
        <f t="shared" si="3"/>
        <v>227000</v>
      </c>
      <c r="R32" s="185">
        <f t="shared" ref="R32:R61" si="35">Q32/$G$6</f>
        <v>0.44149268872548258</v>
      </c>
      <c r="S32" s="185">
        <f t="shared" ref="S32:S61" si="36">Q32/$G$7</f>
        <v>0.54837699734846435</v>
      </c>
      <c r="T32" s="185">
        <f t="shared" ref="T32:T61" si="37">Q32/$G$8</f>
        <v>525.46296296296293</v>
      </c>
      <c r="U32" s="193">
        <f t="shared" ref="U32:U42" si="38">Q32/$Q$89</f>
        <v>2.1742468292368176E-3</v>
      </c>
      <c r="V32" s="498">
        <v>4</v>
      </c>
      <c r="W32" s="557"/>
      <c r="X32" s="557"/>
      <c r="Y32" s="557"/>
      <c r="Z32" s="184">
        <v>227000</v>
      </c>
      <c r="AA32" s="359">
        <f t="shared" si="12"/>
        <v>0</v>
      </c>
      <c r="AB32" s="483"/>
      <c r="AC32" s="486">
        <v>4</v>
      </c>
    </row>
    <row r="33" spans="1:30" x14ac:dyDescent="0.35">
      <c r="A33" s="150"/>
      <c r="B33" s="454" t="s">
        <v>491</v>
      </c>
      <c r="C33" s="495" t="s">
        <v>492</v>
      </c>
      <c r="D33" s="186"/>
      <c r="E33" s="251"/>
      <c r="F33" s="187">
        <f>'07D Roofing'!B116</f>
        <v>2020840</v>
      </c>
      <c r="G33" s="188">
        <f t="shared" si="32"/>
        <v>3.9303351765815164</v>
      </c>
      <c r="H33" s="188">
        <f t="shared" si="33"/>
        <v>4.8818597855580208</v>
      </c>
      <c r="I33" s="188">
        <f t="shared" si="34"/>
        <v>4677.8703703703704</v>
      </c>
      <c r="J33" s="251"/>
      <c r="K33" s="188">
        <f>'07D Roofing'!E116</f>
        <v>0</v>
      </c>
      <c r="L33" s="251"/>
      <c r="M33" s="188">
        <f>'07D Roofing'!C116</f>
        <v>96760</v>
      </c>
      <c r="N33" s="251"/>
      <c r="O33" s="188">
        <f>'07D Roofing'!D116</f>
        <v>114310</v>
      </c>
      <c r="P33" s="251"/>
      <c r="Q33" s="188">
        <f t="shared" si="3"/>
        <v>2231910</v>
      </c>
      <c r="R33" s="188">
        <f t="shared" si="35"/>
        <v>4.3408455810277173</v>
      </c>
      <c r="S33" s="188">
        <f t="shared" si="36"/>
        <v>5.3917537627841901</v>
      </c>
      <c r="T33" s="188">
        <f t="shared" si="37"/>
        <v>5166.458333333333</v>
      </c>
      <c r="U33" s="194">
        <f t="shared" si="38"/>
        <v>2.1377635421330157E-2</v>
      </c>
      <c r="V33" s="496">
        <v>7</v>
      </c>
      <c r="W33" s="556"/>
      <c r="X33" s="556"/>
      <c r="Y33" s="556"/>
      <c r="Z33" s="187">
        <v>2231910</v>
      </c>
      <c r="AA33" s="358">
        <f t="shared" si="12"/>
        <v>0</v>
      </c>
      <c r="AB33" s="482"/>
      <c r="AC33" s="486">
        <v>7</v>
      </c>
      <c r="AD33" s="150"/>
    </row>
    <row r="34" spans="1:30" x14ac:dyDescent="0.35">
      <c r="B34" s="456" t="s">
        <v>493</v>
      </c>
      <c r="C34" s="497" t="s">
        <v>494</v>
      </c>
      <c r="D34" s="334"/>
      <c r="E34" s="335"/>
      <c r="F34" s="184">
        <f>'07E Caulking &amp; Waterproofing'!B131</f>
        <v>893620.86</v>
      </c>
      <c r="G34" s="185">
        <f t="shared" si="32"/>
        <v>1.7380047408924142</v>
      </c>
      <c r="H34" s="185">
        <f t="shared" si="33"/>
        <v>2.1587714712544162</v>
      </c>
      <c r="I34" s="185">
        <f t="shared" si="34"/>
        <v>2068.5668055555557</v>
      </c>
      <c r="J34" s="335"/>
      <c r="K34" s="185"/>
      <c r="L34" s="335"/>
      <c r="M34" s="185"/>
      <c r="N34" s="335"/>
      <c r="O34" s="185"/>
      <c r="P34" s="335"/>
      <c r="Q34" s="185">
        <f t="shared" si="3"/>
        <v>893620.86</v>
      </c>
      <c r="R34" s="185">
        <f t="shared" si="35"/>
        <v>1.7380047408924142</v>
      </c>
      <c r="S34" s="185">
        <f t="shared" si="36"/>
        <v>2.1587714712544162</v>
      </c>
      <c r="T34" s="185">
        <f t="shared" si="37"/>
        <v>2068.5668055555557</v>
      </c>
      <c r="U34" s="193">
        <f t="shared" si="38"/>
        <v>8.5592613277307404E-3</v>
      </c>
      <c r="V34" s="498">
        <v>4</v>
      </c>
      <c r="W34" s="557"/>
      <c r="X34" s="557"/>
      <c r="Y34" s="557"/>
      <c r="Z34" s="184">
        <v>800871.78999999992</v>
      </c>
      <c r="AA34" s="359">
        <f t="shared" si="12"/>
        <v>92749.070000000065</v>
      </c>
      <c r="AB34" s="483"/>
      <c r="AC34" s="486">
        <v>4</v>
      </c>
    </row>
    <row r="35" spans="1:30" ht="16.5" customHeight="1" x14ac:dyDescent="0.35">
      <c r="A35" s="150"/>
      <c r="B35" s="454" t="s">
        <v>495</v>
      </c>
      <c r="C35" s="495" t="s">
        <v>496</v>
      </c>
      <c r="D35" s="186"/>
      <c r="E35" s="251"/>
      <c r="F35" s="187">
        <f>'08A Doors, Frames, &amp; Hardware'!B150</f>
        <v>2337225</v>
      </c>
      <c r="G35" s="188">
        <f t="shared" si="32"/>
        <v>4.5456729048740794</v>
      </c>
      <c r="H35" s="188">
        <f t="shared" si="33"/>
        <v>5.6461692847038085</v>
      </c>
      <c r="I35" s="188">
        <f t="shared" si="34"/>
        <v>5410.2430555555557</v>
      </c>
      <c r="J35" s="251"/>
      <c r="K35" s="188"/>
      <c r="L35" s="251"/>
      <c r="M35" s="188"/>
      <c r="N35" s="251"/>
      <c r="O35" s="188"/>
      <c r="P35" s="251"/>
      <c r="Q35" s="188">
        <f t="shared" si="3"/>
        <v>2337225</v>
      </c>
      <c r="R35" s="188">
        <f t="shared" si="35"/>
        <v>4.5456729048740794</v>
      </c>
      <c r="S35" s="188">
        <f t="shared" si="36"/>
        <v>5.6461692847038085</v>
      </c>
      <c r="T35" s="188">
        <f t="shared" si="37"/>
        <v>5410.2430555555557</v>
      </c>
      <c r="U35" s="194">
        <f t="shared" si="38"/>
        <v>2.2386361433757804E-2</v>
      </c>
      <c r="V35" s="496">
        <v>3</v>
      </c>
      <c r="W35" s="556"/>
      <c r="X35" s="556"/>
      <c r="Y35" s="556"/>
      <c r="Z35" s="187">
        <v>2262225</v>
      </c>
      <c r="AA35" s="358">
        <f t="shared" si="12"/>
        <v>75000</v>
      </c>
      <c r="AB35" s="482" t="s">
        <v>497</v>
      </c>
      <c r="AC35" s="486">
        <v>3</v>
      </c>
      <c r="AD35" s="150"/>
    </row>
    <row r="36" spans="1:30" ht="16.5" customHeight="1" x14ac:dyDescent="0.35">
      <c r="B36" s="456" t="s">
        <v>498</v>
      </c>
      <c r="C36" s="497" t="s">
        <v>499</v>
      </c>
      <c r="D36" s="334"/>
      <c r="E36" s="335"/>
      <c r="F36" s="184">
        <f>'08B Overhead Coiling Doors'!B85</f>
        <v>66970</v>
      </c>
      <c r="G36" s="185">
        <f t="shared" si="32"/>
        <v>0.1302500676825796</v>
      </c>
      <c r="H36" s="185">
        <f t="shared" si="33"/>
        <v>0.16178329300628483</v>
      </c>
      <c r="I36" s="185">
        <f t="shared" si="34"/>
        <v>155.02314814814815</v>
      </c>
      <c r="J36" s="335"/>
      <c r="K36" s="185"/>
      <c r="L36" s="335"/>
      <c r="M36" s="185"/>
      <c r="N36" s="335"/>
      <c r="O36" s="185"/>
      <c r="P36" s="335"/>
      <c r="Q36" s="185">
        <f t="shared" si="3"/>
        <v>66970</v>
      </c>
      <c r="R36" s="185">
        <f t="shared" si="35"/>
        <v>0.1302500676825796</v>
      </c>
      <c r="S36" s="185">
        <f t="shared" si="36"/>
        <v>0.16178329300628483</v>
      </c>
      <c r="T36" s="185">
        <f t="shared" si="37"/>
        <v>155.02314814814815</v>
      </c>
      <c r="U36" s="193">
        <f t="shared" si="38"/>
        <v>6.4145070552418368E-4</v>
      </c>
      <c r="V36" s="498">
        <v>7</v>
      </c>
      <c r="W36" s="557"/>
      <c r="X36" s="557"/>
      <c r="Y36" s="557"/>
      <c r="Z36" s="184">
        <v>66970</v>
      </c>
      <c r="AA36" s="359">
        <f t="shared" si="12"/>
        <v>0</v>
      </c>
      <c r="AB36" s="483"/>
      <c r="AC36" s="486">
        <v>7</v>
      </c>
    </row>
    <row r="37" spans="1:30" x14ac:dyDescent="0.35">
      <c r="A37" s="150"/>
      <c r="B37" s="454" t="s">
        <v>500</v>
      </c>
      <c r="C37" s="495" t="s">
        <v>501</v>
      </c>
      <c r="D37" s="186"/>
      <c r="E37" s="251"/>
      <c r="F37" s="187">
        <f>'08C Glass and Glazing'!B164</f>
        <v>3029956.27</v>
      </c>
      <c r="G37" s="188">
        <f t="shared" si="32"/>
        <v>5.8929671381627058</v>
      </c>
      <c r="H37" s="188">
        <f t="shared" si="33"/>
        <v>7.3196401825539779</v>
      </c>
      <c r="I37" s="188">
        <f t="shared" si="34"/>
        <v>7013.7876620370371</v>
      </c>
      <c r="J37" s="251"/>
      <c r="K37" s="188"/>
      <c r="L37" s="251"/>
      <c r="M37" s="188"/>
      <c r="N37" s="251"/>
      <c r="O37" s="188"/>
      <c r="P37" s="251"/>
      <c r="Q37" s="188">
        <f t="shared" si="3"/>
        <v>3029956.27</v>
      </c>
      <c r="R37" s="188">
        <f t="shared" si="35"/>
        <v>5.8929671381627058</v>
      </c>
      <c r="S37" s="188">
        <f t="shared" si="36"/>
        <v>7.3196401825539779</v>
      </c>
      <c r="T37" s="188">
        <f t="shared" si="37"/>
        <v>7013.7876620370371</v>
      </c>
      <c r="U37" s="194">
        <f t="shared" si="38"/>
        <v>2.9021466135567029E-2</v>
      </c>
      <c r="V37" s="496">
        <v>11</v>
      </c>
      <c r="W37" s="556"/>
      <c r="X37" s="556"/>
      <c r="Y37" s="556"/>
      <c r="Z37" s="187">
        <v>3029956.27</v>
      </c>
      <c r="AA37" s="358">
        <f t="shared" si="12"/>
        <v>0</v>
      </c>
      <c r="AB37" s="482"/>
      <c r="AC37" s="486">
        <v>11</v>
      </c>
      <c r="AD37" s="150"/>
    </row>
    <row r="38" spans="1:30" ht="16.5" customHeight="1" x14ac:dyDescent="0.35">
      <c r="B38" s="456" t="s">
        <v>502</v>
      </c>
      <c r="C38" s="497" t="s">
        <v>503</v>
      </c>
      <c r="D38" s="334"/>
      <c r="E38" s="335"/>
      <c r="F38" s="184">
        <f>'08E Mirrors'!B93</f>
        <v>229579.01879999999</v>
      </c>
      <c r="G38" s="185">
        <f t="shared" si="32"/>
        <v>0.4465086268060357</v>
      </c>
      <c r="H38" s="185">
        <f t="shared" si="33"/>
        <v>0.55460728186674291</v>
      </c>
      <c r="I38" s="185">
        <f t="shared" si="34"/>
        <v>531.43291388888883</v>
      </c>
      <c r="J38" s="335"/>
      <c r="K38" s="185"/>
      <c r="L38" s="335"/>
      <c r="M38" s="185"/>
      <c r="N38" s="335"/>
      <c r="O38" s="185"/>
      <c r="P38" s="335"/>
      <c r="Q38" s="185">
        <f t="shared" si="3"/>
        <v>229579.01879999999</v>
      </c>
      <c r="R38" s="185">
        <f t="shared" si="35"/>
        <v>0.4465086268060357</v>
      </c>
      <c r="S38" s="185">
        <f t="shared" si="36"/>
        <v>0.55460728186674291</v>
      </c>
      <c r="T38" s="185">
        <f t="shared" si="37"/>
        <v>531.43291388888883</v>
      </c>
      <c r="U38" s="193">
        <f t="shared" si="38"/>
        <v>2.1989491351770913E-3</v>
      </c>
      <c r="V38" s="498">
        <v>3</v>
      </c>
      <c r="W38" s="557"/>
      <c r="X38" s="557"/>
      <c r="Y38" s="557"/>
      <c r="Z38" s="184">
        <v>230109.01879999999</v>
      </c>
      <c r="AA38" s="359">
        <f t="shared" si="12"/>
        <v>-530</v>
      </c>
      <c r="AB38" s="483"/>
      <c r="AC38" s="486">
        <v>3</v>
      </c>
    </row>
    <row r="39" spans="1:30" x14ac:dyDescent="0.35">
      <c r="A39" s="150"/>
      <c r="B39" s="454" t="s">
        <v>504</v>
      </c>
      <c r="C39" s="495" t="s">
        <v>505</v>
      </c>
      <c r="D39" s="186"/>
      <c r="E39" s="251"/>
      <c r="F39" s="187">
        <f>'09A Stucco'!B128</f>
        <v>3017500</v>
      </c>
      <c r="G39" s="188">
        <f t="shared" si="32"/>
        <v>5.8687409173090028</v>
      </c>
      <c r="H39" s="188">
        <f t="shared" si="33"/>
        <v>7.2895488524184637</v>
      </c>
      <c r="I39" s="188">
        <f t="shared" si="34"/>
        <v>6984.9537037037035</v>
      </c>
      <c r="J39" s="251"/>
      <c r="K39" s="188">
        <f>'09A Stucco'!E128</f>
        <v>17000</v>
      </c>
      <c r="L39" s="251"/>
      <c r="M39" s="188">
        <f>'09A Stucco'!C128</f>
        <v>84500</v>
      </c>
      <c r="N39" s="251"/>
      <c r="O39" s="188">
        <f>'09A Stucco'!D128</f>
        <v>25000</v>
      </c>
      <c r="P39" s="251"/>
      <c r="Q39" s="188">
        <f t="shared" si="3"/>
        <v>3144000</v>
      </c>
      <c r="R39" s="188">
        <f t="shared" si="35"/>
        <v>6.114770983933556</v>
      </c>
      <c r="S39" s="188">
        <f t="shared" si="36"/>
        <v>7.5951422011611101</v>
      </c>
      <c r="T39" s="188">
        <f t="shared" si="37"/>
        <v>7277.7777777777774</v>
      </c>
      <c r="U39" s="194">
        <f t="shared" si="38"/>
        <v>3.011379749392315E-2</v>
      </c>
      <c r="V39" s="496">
        <v>8</v>
      </c>
      <c r="W39" s="556"/>
      <c r="X39" s="556"/>
      <c r="Y39" s="556"/>
      <c r="Z39" s="187">
        <v>3000000</v>
      </c>
      <c r="AA39" s="358">
        <f t="shared" si="12"/>
        <v>144000</v>
      </c>
      <c r="AB39" s="482" t="s">
        <v>506</v>
      </c>
      <c r="AC39" s="486">
        <v>8</v>
      </c>
      <c r="AD39" s="150"/>
    </row>
    <row r="40" spans="1:30" x14ac:dyDescent="0.35">
      <c r="B40" s="456" t="s">
        <v>507</v>
      </c>
      <c r="C40" s="497" t="s">
        <v>508</v>
      </c>
      <c r="D40" s="334"/>
      <c r="E40" s="335"/>
      <c r="F40" s="184">
        <f>'09B Drywall&amp;Framing'!B113</f>
        <v>4941119</v>
      </c>
      <c r="G40" s="185">
        <f t="shared" si="32"/>
        <v>9.6099908045047044</v>
      </c>
      <c r="H40" s="185">
        <f t="shared" si="33"/>
        <v>11.936546258861</v>
      </c>
      <c r="I40" s="185">
        <f t="shared" si="34"/>
        <v>11437.775462962964</v>
      </c>
      <c r="J40" s="335"/>
      <c r="K40" s="185">
        <f>'09B Drywall&amp;Framing'!D113</f>
        <v>8756</v>
      </c>
      <c r="L40" s="335"/>
      <c r="M40" s="185">
        <f>'09B Drywall&amp;Framing'!C113</f>
        <v>150736</v>
      </c>
      <c r="N40" s="335"/>
      <c r="O40" s="185">
        <f>'09B Drywall&amp;Framing'!E113</f>
        <v>65340</v>
      </c>
      <c r="P40" s="335"/>
      <c r="Q40" s="185">
        <f t="shared" si="3"/>
        <v>5165951</v>
      </c>
      <c r="R40" s="185">
        <f t="shared" si="35"/>
        <v>10.047266946317601</v>
      </c>
      <c r="S40" s="185">
        <f t="shared" si="36"/>
        <v>12.479685893521131</v>
      </c>
      <c r="T40" s="185">
        <f t="shared" si="37"/>
        <v>11958.219907407407</v>
      </c>
      <c r="U40" s="193">
        <f t="shared" si="38"/>
        <v>4.9480407849087082E-2</v>
      </c>
      <c r="V40" s="498">
        <v>5</v>
      </c>
      <c r="W40" s="557"/>
      <c r="X40" s="557"/>
      <c r="Y40" s="557"/>
      <c r="Z40" s="184">
        <v>4952465</v>
      </c>
      <c r="AA40" s="359">
        <f t="shared" si="12"/>
        <v>213486</v>
      </c>
      <c r="AB40" s="483" t="s">
        <v>506</v>
      </c>
      <c r="AC40" s="486">
        <v>5</v>
      </c>
    </row>
    <row r="41" spans="1:30" ht="29" x14ac:dyDescent="0.35">
      <c r="A41" s="150"/>
      <c r="B41" s="454" t="s">
        <v>509</v>
      </c>
      <c r="C41" s="495" t="s">
        <v>510</v>
      </c>
      <c r="D41" s="186"/>
      <c r="E41" s="251"/>
      <c r="F41" s="187">
        <f>'09E Flooring'!B161</f>
        <v>2821318</v>
      </c>
      <c r="G41" s="188">
        <f t="shared" si="32"/>
        <v>5.4871862095577137</v>
      </c>
      <c r="H41" s="188">
        <f t="shared" si="33"/>
        <v>6.8156206757937214</v>
      </c>
      <c r="I41" s="188">
        <f t="shared" si="34"/>
        <v>6530.8287037037035</v>
      </c>
      <c r="J41" s="251"/>
      <c r="K41" s="188"/>
      <c r="L41" s="251"/>
      <c r="M41" s="188">
        <f>'09E Flooring'!C161</f>
        <v>334620</v>
      </c>
      <c r="N41" s="251"/>
      <c r="O41" s="188"/>
      <c r="P41" s="251"/>
      <c r="Q41" s="188">
        <f t="shared" si="3"/>
        <v>3155938</v>
      </c>
      <c r="R41" s="188">
        <f t="shared" si="35"/>
        <v>6.137989220576749</v>
      </c>
      <c r="S41" s="188">
        <f t="shared" si="36"/>
        <v>7.6239815165547045</v>
      </c>
      <c r="T41" s="188">
        <f t="shared" si="37"/>
        <v>7305.4120370370374</v>
      </c>
      <c r="U41" s="194">
        <f t="shared" si="38"/>
        <v>3.0228141805145305E-2</v>
      </c>
      <c r="V41" s="496">
        <v>4</v>
      </c>
      <c r="W41" s="556"/>
      <c r="X41" s="556"/>
      <c r="Y41" s="556"/>
      <c r="Z41" s="187">
        <v>2582940</v>
      </c>
      <c r="AA41" s="358">
        <f t="shared" si="12"/>
        <v>572998</v>
      </c>
      <c r="AB41" s="482" t="s">
        <v>511</v>
      </c>
      <c r="AC41" s="486">
        <v>4</v>
      </c>
      <c r="AD41" s="150"/>
    </row>
    <row r="42" spans="1:30" ht="16.5" customHeight="1" x14ac:dyDescent="0.35">
      <c r="B42" s="456" t="s">
        <v>512</v>
      </c>
      <c r="C42" s="497" t="s">
        <v>513</v>
      </c>
      <c r="D42" s="334"/>
      <c r="E42" s="335"/>
      <c r="F42" s="184">
        <f>'09I Painting'!B117</f>
        <v>1553114.804</v>
      </c>
      <c r="G42" s="185">
        <f t="shared" si="32"/>
        <v>3.0206556419264796</v>
      </c>
      <c r="H42" s="185">
        <f t="shared" si="33"/>
        <v>3.7519490429734308</v>
      </c>
      <c r="I42" s="185">
        <f t="shared" si="34"/>
        <v>3595.1731574074074</v>
      </c>
      <c r="J42" s="335"/>
      <c r="K42" s="185">
        <f>'09I Painting'!E117</f>
        <v>5742</v>
      </c>
      <c r="L42" s="335"/>
      <c r="M42" s="185">
        <f>'09I Painting'!C117</f>
        <v>150834</v>
      </c>
      <c r="N42" s="335"/>
      <c r="O42" s="185">
        <f>'09I Painting'!D117</f>
        <v>19952</v>
      </c>
      <c r="P42" s="335"/>
      <c r="Q42" s="185">
        <f t="shared" si="3"/>
        <v>1729642.804</v>
      </c>
      <c r="R42" s="185">
        <f t="shared" si="35"/>
        <v>3.3639852514213344</v>
      </c>
      <c r="S42" s="185">
        <f t="shared" si="36"/>
        <v>4.1783979178101252</v>
      </c>
      <c r="T42" s="185">
        <f t="shared" si="37"/>
        <v>4003.802787037037</v>
      </c>
      <c r="U42" s="193">
        <f t="shared" si="38"/>
        <v>1.6566829878014444E-2</v>
      </c>
      <c r="V42" s="498">
        <v>7</v>
      </c>
      <c r="W42" s="557">
        <v>1550000</v>
      </c>
      <c r="X42" s="557"/>
      <c r="Y42" s="557" t="s">
        <v>514</v>
      </c>
      <c r="Z42" s="184">
        <v>1729642.804</v>
      </c>
      <c r="AA42" s="359">
        <f t="shared" si="12"/>
        <v>0</v>
      </c>
      <c r="AB42" s="483"/>
      <c r="AC42" s="486">
        <v>7</v>
      </c>
    </row>
    <row r="43" spans="1:30" ht="16.5" customHeight="1" x14ac:dyDescent="0.35">
      <c r="A43" s="150"/>
      <c r="B43" s="454" t="s">
        <v>515</v>
      </c>
      <c r="C43" s="495" t="s">
        <v>516</v>
      </c>
      <c r="D43" s="186"/>
      <c r="E43" s="251"/>
      <c r="F43" s="187">
        <f>'10A Signage'!B92</f>
        <v>88080.3</v>
      </c>
      <c r="G43" s="188">
        <f t="shared" ref="G43" si="39">F43/$G$6</f>
        <v>0.17130752630285076</v>
      </c>
      <c r="H43" s="188">
        <f t="shared" ref="H43" si="40">F43/$G$7</f>
        <v>0.21278066272930374</v>
      </c>
      <c r="I43" s="188">
        <f t="shared" ref="I43" si="41">F43/$G$8</f>
        <v>203.88958333333335</v>
      </c>
      <c r="J43" s="251"/>
      <c r="K43" s="188"/>
      <c r="L43" s="251"/>
      <c r="M43" s="188">
        <f>'10C Toilet Partitions &amp; Bath'!C94</f>
        <v>0</v>
      </c>
      <c r="N43" s="251"/>
      <c r="O43" s="188"/>
      <c r="P43" s="251"/>
      <c r="Q43" s="188">
        <f t="shared" ref="Q43" si="42">F43+K43+M43+O43</f>
        <v>88080.3</v>
      </c>
      <c r="R43" s="188">
        <f t="shared" ref="R43" si="43">Q43/$G$6</f>
        <v>0.17130752630285076</v>
      </c>
      <c r="S43" s="188">
        <f t="shared" ref="S43" si="44">Q43/$G$7</f>
        <v>0.21278066272930374</v>
      </c>
      <c r="T43" s="188">
        <f t="shared" ref="T43" si="45">Q43/$G$8</f>
        <v>203.88958333333335</v>
      </c>
      <c r="U43" s="194">
        <f t="shared" ref="U43" si="46">Q43/$Q$89</f>
        <v>8.4364895591730257E-4</v>
      </c>
      <c r="V43" s="496">
        <v>1</v>
      </c>
      <c r="W43" s="556"/>
      <c r="X43" s="556"/>
      <c r="Y43" s="556"/>
      <c r="Z43" s="187">
        <v>88080.3</v>
      </c>
      <c r="AA43" s="358">
        <f t="shared" si="12"/>
        <v>0</v>
      </c>
      <c r="AB43" s="482"/>
      <c r="AC43" s="486">
        <v>1</v>
      </c>
      <c r="AD43" s="150"/>
    </row>
    <row r="44" spans="1:30" ht="16.5" customHeight="1" x14ac:dyDescent="0.35">
      <c r="B44" s="456" t="s">
        <v>517</v>
      </c>
      <c r="C44" s="497" t="s">
        <v>518</v>
      </c>
      <c r="D44" s="334"/>
      <c r="E44" s="335"/>
      <c r="F44" s="184">
        <f>'10C Toilet Partitions &amp; Bath'!B95</f>
        <v>352460</v>
      </c>
      <c r="G44" s="185">
        <f t="shared" si="32"/>
        <v>0.68550005756909071</v>
      </c>
      <c r="H44" s="185">
        <f t="shared" si="33"/>
        <v>0.85145795808563762</v>
      </c>
      <c r="I44" s="185">
        <f t="shared" si="34"/>
        <v>815.87962962962968</v>
      </c>
      <c r="J44" s="335"/>
      <c r="K44" s="185"/>
      <c r="L44" s="335"/>
      <c r="M44" s="185">
        <f>'10C Toilet Partitions &amp; Bath'!C95</f>
        <v>0</v>
      </c>
      <c r="N44" s="335"/>
      <c r="O44" s="185"/>
      <c r="P44" s="335"/>
      <c r="Q44" s="185">
        <f t="shared" si="3"/>
        <v>352460</v>
      </c>
      <c r="R44" s="185">
        <f t="shared" si="35"/>
        <v>0.68550005756909071</v>
      </c>
      <c r="S44" s="185">
        <f t="shared" si="36"/>
        <v>0.85145795808563762</v>
      </c>
      <c r="T44" s="185">
        <f t="shared" si="37"/>
        <v>815.87962962962968</v>
      </c>
      <c r="U44" s="193">
        <f t="shared" ref="U44:U61" si="47">Q44/$Q$89</f>
        <v>3.3759252750343999E-3</v>
      </c>
      <c r="V44" s="498">
        <v>3</v>
      </c>
      <c r="W44" s="557"/>
      <c r="X44" s="557"/>
      <c r="Y44" s="557"/>
      <c r="Z44" s="184">
        <v>307905</v>
      </c>
      <c r="AA44" s="359">
        <f t="shared" si="12"/>
        <v>44555</v>
      </c>
      <c r="AB44" s="483"/>
      <c r="AC44" s="486">
        <v>3</v>
      </c>
    </row>
    <row r="45" spans="1:30" ht="16.5" customHeight="1" x14ac:dyDescent="0.35">
      <c r="A45" s="150"/>
      <c r="B45" s="454" t="s">
        <v>519</v>
      </c>
      <c r="C45" s="495" t="s">
        <v>520</v>
      </c>
      <c r="D45" s="186"/>
      <c r="E45" s="251"/>
      <c r="F45" s="187">
        <f>'10D Shower Enclosures'!B88</f>
        <v>254000</v>
      </c>
      <c r="G45" s="188">
        <f t="shared" si="32"/>
        <v>0.49400503496155318</v>
      </c>
      <c r="H45" s="188">
        <f t="shared" si="33"/>
        <v>0.61360245518286316</v>
      </c>
      <c r="I45" s="188">
        <f t="shared" si="34"/>
        <v>587.96296296296293</v>
      </c>
      <c r="J45" s="251"/>
      <c r="K45" s="188"/>
      <c r="L45" s="251"/>
      <c r="M45" s="188"/>
      <c r="N45" s="251"/>
      <c r="O45" s="188"/>
      <c r="P45" s="251"/>
      <c r="Q45" s="188">
        <f t="shared" si="3"/>
        <v>254000</v>
      </c>
      <c r="R45" s="188">
        <f t="shared" si="35"/>
        <v>0.49400503496155318</v>
      </c>
      <c r="S45" s="188">
        <f t="shared" si="36"/>
        <v>0.61360245518286316</v>
      </c>
      <c r="T45" s="188">
        <f t="shared" si="37"/>
        <v>587.96296296296293</v>
      </c>
      <c r="U45" s="194">
        <f t="shared" si="47"/>
        <v>2.4328576855777609E-3</v>
      </c>
      <c r="V45" s="496">
        <v>4</v>
      </c>
      <c r="W45" s="556"/>
      <c r="X45" s="556"/>
      <c r="Y45" s="556"/>
      <c r="Z45" s="187">
        <v>282370</v>
      </c>
      <c r="AA45" s="358">
        <f t="shared" si="12"/>
        <v>-28370</v>
      </c>
      <c r="AB45" s="482" t="s">
        <v>482</v>
      </c>
      <c r="AC45" s="486">
        <v>4</v>
      </c>
      <c r="AD45" s="150"/>
    </row>
    <row r="46" spans="1:30" ht="16.5" customHeight="1" x14ac:dyDescent="0.35">
      <c r="B46" s="456" t="s">
        <v>521</v>
      </c>
      <c r="C46" s="497" t="s">
        <v>522</v>
      </c>
      <c r="D46" s="334"/>
      <c r="E46" s="335"/>
      <c r="F46" s="184"/>
      <c r="G46" s="185">
        <f t="shared" si="32"/>
        <v>0</v>
      </c>
      <c r="H46" s="185">
        <f t="shared" si="33"/>
        <v>0</v>
      </c>
      <c r="I46" s="185">
        <f t="shared" si="34"/>
        <v>0</v>
      </c>
      <c r="J46" s="335"/>
      <c r="K46" s="185"/>
      <c r="L46" s="335"/>
      <c r="M46" s="185">
        <f>'10J Postal Specialties'!B100</f>
        <v>139907.36000000002</v>
      </c>
      <c r="N46" s="335"/>
      <c r="O46" s="185"/>
      <c r="P46" s="335"/>
      <c r="Q46" s="185">
        <f t="shared" si="3"/>
        <v>139907.36000000002</v>
      </c>
      <c r="R46" s="185">
        <f t="shared" si="35"/>
        <v>0.27210606404794729</v>
      </c>
      <c r="S46" s="185">
        <f t="shared" si="36"/>
        <v>0.33798228186674301</v>
      </c>
      <c r="T46" s="185">
        <f t="shared" si="37"/>
        <v>323.85962962962964</v>
      </c>
      <c r="U46" s="193">
        <f t="shared" si="47"/>
        <v>1.340057858444467E-3</v>
      </c>
      <c r="V46" s="498">
        <v>2</v>
      </c>
      <c r="W46" s="557"/>
      <c r="X46" s="557"/>
      <c r="Y46" s="557"/>
      <c r="Z46" s="184">
        <v>139907.36000000002</v>
      </c>
      <c r="AA46" s="359">
        <f t="shared" si="12"/>
        <v>0</v>
      </c>
      <c r="AB46" s="483"/>
      <c r="AC46" s="486">
        <v>2</v>
      </c>
    </row>
    <row r="47" spans="1:30" ht="23.25" customHeight="1" x14ac:dyDescent="0.35">
      <c r="A47" s="150"/>
      <c r="B47" s="454" t="s">
        <v>523</v>
      </c>
      <c r="C47" s="495" t="s">
        <v>524</v>
      </c>
      <c r="D47" s="186"/>
      <c r="E47" s="251"/>
      <c r="F47" s="187">
        <f>'10K Metal Shelving'!B106</f>
        <v>356370</v>
      </c>
      <c r="G47" s="188">
        <f t="shared" si="32"/>
        <v>0.69310462326475875</v>
      </c>
      <c r="H47" s="188">
        <f t="shared" si="33"/>
        <v>0.86090357068313761</v>
      </c>
      <c r="I47" s="188">
        <f t="shared" si="34"/>
        <v>824.93055555555554</v>
      </c>
      <c r="J47" s="251"/>
      <c r="K47" s="188"/>
      <c r="L47" s="251"/>
      <c r="M47" s="188"/>
      <c r="N47" s="251"/>
      <c r="O47" s="188"/>
      <c r="P47" s="251"/>
      <c r="Q47" s="188">
        <f t="shared" si="3"/>
        <v>356370</v>
      </c>
      <c r="R47" s="188">
        <f t="shared" si="35"/>
        <v>0.69310462326475875</v>
      </c>
      <c r="S47" s="188">
        <f t="shared" si="36"/>
        <v>0.86090357068313761</v>
      </c>
      <c r="T47" s="188">
        <f t="shared" si="37"/>
        <v>824.93055555555554</v>
      </c>
      <c r="U47" s="194">
        <f t="shared" si="47"/>
        <v>3.413375958304514E-3</v>
      </c>
      <c r="V47" s="496">
        <v>1</v>
      </c>
      <c r="W47" s="556"/>
      <c r="X47" s="556"/>
      <c r="Y47" s="556"/>
      <c r="Z47" s="187">
        <v>384350</v>
      </c>
      <c r="AA47" s="358">
        <f t="shared" si="12"/>
        <v>-27980</v>
      </c>
      <c r="AB47" s="482" t="s">
        <v>525</v>
      </c>
      <c r="AC47" s="486">
        <v>1</v>
      </c>
      <c r="AD47" s="150"/>
    </row>
    <row r="48" spans="1:30" ht="16.5" customHeight="1" x14ac:dyDescent="0.35">
      <c r="B48" s="456" t="s">
        <v>526</v>
      </c>
      <c r="C48" s="497" t="s">
        <v>527</v>
      </c>
      <c r="D48" s="334"/>
      <c r="E48" s="335"/>
      <c r="F48" s="184">
        <f>'11C Appliances'!B124</f>
        <v>1866841</v>
      </c>
      <c r="G48" s="185">
        <f t="shared" si="32"/>
        <v>3.6308222577663818</v>
      </c>
      <c r="H48" s="185">
        <f t="shared" si="33"/>
        <v>4.509835515889888</v>
      </c>
      <c r="I48" s="185">
        <f t="shared" si="34"/>
        <v>4321.3912037037035</v>
      </c>
      <c r="J48" s="335"/>
      <c r="K48" s="185"/>
      <c r="L48" s="335"/>
      <c r="M48" s="185">
        <f>'11C Appliances'!C124</f>
        <v>21758</v>
      </c>
      <c r="N48" s="335"/>
      <c r="O48" s="185"/>
      <c r="P48" s="335"/>
      <c r="Q48" s="185">
        <f t="shared" si="3"/>
        <v>1888599</v>
      </c>
      <c r="R48" s="185">
        <f t="shared" si="35"/>
        <v>3.6731394292258046</v>
      </c>
      <c r="S48" s="185">
        <f t="shared" si="36"/>
        <v>4.5623975718736229</v>
      </c>
      <c r="T48" s="185">
        <f t="shared" si="37"/>
        <v>4371.7569444444443</v>
      </c>
      <c r="U48" s="193">
        <f t="shared" si="47"/>
        <v>1.808934091387588E-2</v>
      </c>
      <c r="V48" s="498">
        <v>3</v>
      </c>
      <c r="W48" s="557"/>
      <c r="X48" s="557"/>
      <c r="Y48" s="557"/>
      <c r="Z48" s="184">
        <v>1888599</v>
      </c>
      <c r="AA48" s="359">
        <f t="shared" si="12"/>
        <v>0</v>
      </c>
      <c r="AB48" s="483"/>
      <c r="AC48" s="486">
        <v>3</v>
      </c>
    </row>
    <row r="49" spans="1:30" ht="16.5" customHeight="1" x14ac:dyDescent="0.35">
      <c r="A49" s="150"/>
      <c r="B49" s="454" t="s">
        <v>528</v>
      </c>
      <c r="C49" s="495" t="s">
        <v>529</v>
      </c>
      <c r="D49" s="186"/>
      <c r="E49" s="251"/>
      <c r="F49" s="187">
        <f>'12A Window Treatment'!B89</f>
        <v>102000</v>
      </c>
      <c r="G49" s="188">
        <f t="shared" si="32"/>
        <v>0.19837997466960011</v>
      </c>
      <c r="H49" s="188">
        <f t="shared" si="33"/>
        <v>0.24640728515217342</v>
      </c>
      <c r="I49" s="188">
        <f t="shared" si="34"/>
        <v>236.11111111111111</v>
      </c>
      <c r="J49" s="251"/>
      <c r="K49" s="188"/>
      <c r="L49" s="251"/>
      <c r="M49" s="188">
        <f>'12A Window Treatment'!C89</f>
        <v>0</v>
      </c>
      <c r="N49" s="251"/>
      <c r="O49" s="188"/>
      <c r="P49" s="251"/>
      <c r="Q49" s="188">
        <f t="shared" si="3"/>
        <v>102000</v>
      </c>
      <c r="R49" s="188">
        <f t="shared" si="35"/>
        <v>0.19837997466960011</v>
      </c>
      <c r="S49" s="188">
        <f t="shared" si="36"/>
        <v>0.24640728515217342</v>
      </c>
      <c r="T49" s="188">
        <f t="shared" si="37"/>
        <v>236.11111111111111</v>
      </c>
      <c r="U49" s="194">
        <f t="shared" si="47"/>
        <v>9.7697434617689599E-4</v>
      </c>
      <c r="V49" s="496">
        <v>2</v>
      </c>
      <c r="W49" s="556"/>
      <c r="X49" s="556"/>
      <c r="Y49" s="556"/>
      <c r="Z49" s="187">
        <v>102000</v>
      </c>
      <c r="AA49" s="358">
        <f t="shared" si="12"/>
        <v>0</v>
      </c>
      <c r="AB49" s="482"/>
      <c r="AC49" s="486">
        <v>2</v>
      </c>
      <c r="AD49" s="150"/>
    </row>
    <row r="50" spans="1:30" x14ac:dyDescent="0.35">
      <c r="B50" s="456" t="s">
        <v>530</v>
      </c>
      <c r="C50" s="497" t="s">
        <v>531</v>
      </c>
      <c r="D50" s="334"/>
      <c r="E50" s="335"/>
      <c r="F50" s="184">
        <f>'12B Residential Cabinets &amp; Tops'!B105</f>
        <v>2660474.87</v>
      </c>
      <c r="G50" s="185">
        <f t="shared" si="32"/>
        <v>5.1743621305853686</v>
      </c>
      <c r="H50" s="185">
        <f t="shared" si="33"/>
        <v>6.4270626463949165</v>
      </c>
      <c r="I50" s="185">
        <f t="shared" si="34"/>
        <v>6158.506643518519</v>
      </c>
      <c r="J50" s="335"/>
      <c r="K50" s="185"/>
      <c r="L50" s="335"/>
      <c r="M50" s="185"/>
      <c r="N50" s="335"/>
      <c r="O50" s="185"/>
      <c r="P50" s="335"/>
      <c r="Q50" s="185">
        <f t="shared" si="3"/>
        <v>2660474.87</v>
      </c>
      <c r="R50" s="185">
        <f t="shared" si="35"/>
        <v>5.1743621305853686</v>
      </c>
      <c r="S50" s="185">
        <f t="shared" si="36"/>
        <v>6.4270626463949165</v>
      </c>
      <c r="T50" s="185">
        <f t="shared" si="37"/>
        <v>6158.506643518519</v>
      </c>
      <c r="U50" s="193">
        <f t="shared" si="47"/>
        <v>2.548250682978738E-2</v>
      </c>
      <c r="V50" s="498">
        <v>16</v>
      </c>
      <c r="W50" s="557"/>
      <c r="X50" s="557"/>
      <c r="Y50" s="557"/>
      <c r="Z50" s="184">
        <v>2660474.87</v>
      </c>
      <c r="AA50" s="359">
        <f t="shared" si="12"/>
        <v>0</v>
      </c>
      <c r="AB50" s="483"/>
      <c r="AC50" s="486">
        <v>10</v>
      </c>
    </row>
    <row r="51" spans="1:30" ht="16.5" customHeight="1" x14ac:dyDescent="0.35">
      <c r="A51" s="150"/>
      <c r="B51" s="454" t="s">
        <v>532</v>
      </c>
      <c r="C51" s="495" t="s">
        <v>533</v>
      </c>
      <c r="D51" s="186"/>
      <c r="E51" s="251"/>
      <c r="F51" s="187">
        <f>'13B Swimming Pools'!B95</f>
        <v>365890</v>
      </c>
      <c r="G51" s="188">
        <f t="shared" si="32"/>
        <v>0.7116200875672547</v>
      </c>
      <c r="H51" s="188">
        <f t="shared" si="33"/>
        <v>0.8839015839640072</v>
      </c>
      <c r="I51" s="188">
        <f t="shared" si="34"/>
        <v>846.96759259259261</v>
      </c>
      <c r="J51" s="251"/>
      <c r="K51" s="188"/>
      <c r="L51" s="251"/>
      <c r="M51" s="188"/>
      <c r="N51" s="251"/>
      <c r="O51" s="188"/>
      <c r="P51" s="251"/>
      <c r="Q51" s="188">
        <f t="shared" si="3"/>
        <v>365890</v>
      </c>
      <c r="R51" s="188">
        <f t="shared" si="35"/>
        <v>0.7116200875672547</v>
      </c>
      <c r="S51" s="188">
        <f t="shared" si="36"/>
        <v>0.8839015839640072</v>
      </c>
      <c r="T51" s="188">
        <f t="shared" si="37"/>
        <v>846.96759259259261</v>
      </c>
      <c r="U51" s="194">
        <f t="shared" si="47"/>
        <v>3.5045602306143578E-3</v>
      </c>
      <c r="V51" s="496">
        <v>6</v>
      </c>
      <c r="W51" s="556"/>
      <c r="X51" s="556"/>
      <c r="Y51" s="556"/>
      <c r="Z51" s="187">
        <v>365890</v>
      </c>
      <c r="AA51" s="358">
        <f t="shared" si="12"/>
        <v>0</v>
      </c>
      <c r="AB51" s="482"/>
      <c r="AC51" s="486">
        <v>6</v>
      </c>
      <c r="AD51" s="150"/>
    </row>
    <row r="52" spans="1:30" ht="16.5" customHeight="1" x14ac:dyDescent="0.35">
      <c r="B52" s="456" t="s">
        <v>534</v>
      </c>
      <c r="C52" s="497" t="s">
        <v>535</v>
      </c>
      <c r="D52" s="334"/>
      <c r="E52" s="335"/>
      <c r="F52" s="184">
        <f>'13C Awnings,Canopies,Shutters'!B127</f>
        <v>1038214.35</v>
      </c>
      <c r="G52" s="185">
        <f t="shared" si="32"/>
        <v>2.0192248672021109</v>
      </c>
      <c r="H52" s="185">
        <f t="shared" si="33"/>
        <v>2.5080743077404741</v>
      </c>
      <c r="I52" s="185">
        <f t="shared" si="34"/>
        <v>2403.2739583333332</v>
      </c>
      <c r="J52" s="335"/>
      <c r="K52" s="185"/>
      <c r="L52" s="335"/>
      <c r="M52" s="185"/>
      <c r="N52" s="335"/>
      <c r="O52" s="185"/>
      <c r="P52" s="335"/>
      <c r="Q52" s="185">
        <f t="shared" si="3"/>
        <v>1038214.35</v>
      </c>
      <c r="R52" s="185">
        <f t="shared" si="35"/>
        <v>2.0192248672021109</v>
      </c>
      <c r="S52" s="185">
        <f t="shared" si="36"/>
        <v>2.5080743077404741</v>
      </c>
      <c r="T52" s="185">
        <f t="shared" si="37"/>
        <v>2403.2739583333332</v>
      </c>
      <c r="U52" s="193">
        <f t="shared" si="47"/>
        <v>9.9442037821835406E-3</v>
      </c>
      <c r="V52" s="498">
        <v>5</v>
      </c>
      <c r="W52" s="557"/>
      <c r="X52" s="557"/>
      <c r="Y52" s="557"/>
      <c r="Z52" s="184">
        <v>1038214.35</v>
      </c>
      <c r="AA52" s="359">
        <f t="shared" si="12"/>
        <v>0</v>
      </c>
      <c r="AB52" s="483"/>
      <c r="AC52" s="486">
        <v>5</v>
      </c>
    </row>
    <row r="53" spans="1:30" ht="16.5" customHeight="1" x14ac:dyDescent="0.35">
      <c r="A53" s="150"/>
      <c r="B53" s="454" t="s">
        <v>536</v>
      </c>
      <c r="C53" s="495" t="s">
        <v>537</v>
      </c>
      <c r="D53" s="186"/>
      <c r="E53" s="251"/>
      <c r="F53" s="187">
        <f>'14A Elevators'!B117</f>
        <v>1384500</v>
      </c>
      <c r="G53" s="188">
        <f t="shared" si="32"/>
        <v>2.6927164208829542</v>
      </c>
      <c r="H53" s="188">
        <f t="shared" si="33"/>
        <v>3.3446165322861185</v>
      </c>
      <c r="I53" s="188">
        <f t="shared" si="34"/>
        <v>3204.8611111111113</v>
      </c>
      <c r="J53" s="251"/>
      <c r="K53" s="188"/>
      <c r="L53" s="251"/>
      <c r="M53" s="188">
        <f>'14A Elevators'!C117</f>
        <v>0</v>
      </c>
      <c r="N53" s="251"/>
      <c r="O53" s="188"/>
      <c r="P53" s="251"/>
      <c r="Q53" s="188">
        <f t="shared" si="3"/>
        <v>1384500</v>
      </c>
      <c r="R53" s="188">
        <f t="shared" si="35"/>
        <v>2.6927164208829542</v>
      </c>
      <c r="S53" s="188">
        <f t="shared" si="36"/>
        <v>3.3446165322861185</v>
      </c>
      <c r="T53" s="188">
        <f t="shared" si="37"/>
        <v>3204.8611111111113</v>
      </c>
      <c r="U53" s="194">
        <f t="shared" si="47"/>
        <v>1.3260990022371692E-2</v>
      </c>
      <c r="V53" s="496">
        <v>3</v>
      </c>
      <c r="W53" s="556"/>
      <c r="X53" s="556"/>
      <c r="Y53" s="556"/>
      <c r="Z53" s="187">
        <v>1384500</v>
      </c>
      <c r="AA53" s="358">
        <f t="shared" si="12"/>
        <v>0</v>
      </c>
      <c r="AB53" s="482"/>
      <c r="AC53" s="486">
        <v>3</v>
      </c>
      <c r="AD53" s="150"/>
    </row>
    <row r="54" spans="1:30" ht="16.5" customHeight="1" x14ac:dyDescent="0.35">
      <c r="B54" s="456" t="s">
        <v>538</v>
      </c>
      <c r="C54" s="497" t="s">
        <v>539</v>
      </c>
      <c r="D54" s="334"/>
      <c r="E54" s="335"/>
      <c r="F54" s="184">
        <f>'14B Chutes&amp;Collectors'!B120</f>
        <v>326932</v>
      </c>
      <c r="G54" s="185">
        <f t="shared" si="32"/>
        <v>0.63585060665374216</v>
      </c>
      <c r="H54" s="185">
        <f t="shared" si="33"/>
        <v>0.78978849558206232</v>
      </c>
      <c r="I54" s="185">
        <f t="shared" si="34"/>
        <v>756.78703703703707</v>
      </c>
      <c r="J54" s="335"/>
      <c r="K54" s="185"/>
      <c r="L54" s="335"/>
      <c r="M54" s="185"/>
      <c r="N54" s="335"/>
      <c r="O54" s="185"/>
      <c r="P54" s="335"/>
      <c r="Q54" s="185">
        <f t="shared" si="3"/>
        <v>326932</v>
      </c>
      <c r="R54" s="185">
        <f t="shared" si="35"/>
        <v>0.63585060665374216</v>
      </c>
      <c r="S54" s="185">
        <f t="shared" si="36"/>
        <v>0.78978849558206232</v>
      </c>
      <c r="T54" s="185">
        <f t="shared" si="37"/>
        <v>756.78703703703707</v>
      </c>
      <c r="U54" s="193">
        <f t="shared" si="47"/>
        <v>3.1314134994539704E-3</v>
      </c>
      <c r="V54" s="498">
        <v>5</v>
      </c>
      <c r="W54" s="557"/>
      <c r="X54" s="557"/>
      <c r="Y54" s="557"/>
      <c r="Z54" s="184">
        <v>340802</v>
      </c>
      <c r="AA54" s="359">
        <f t="shared" si="12"/>
        <v>-13870</v>
      </c>
      <c r="AB54" s="483"/>
      <c r="AC54" s="486">
        <v>5</v>
      </c>
    </row>
    <row r="55" spans="1:30" x14ac:dyDescent="0.35">
      <c r="A55" s="150"/>
      <c r="B55" s="454" t="s">
        <v>540</v>
      </c>
      <c r="C55" s="495" t="s">
        <v>541</v>
      </c>
      <c r="D55" s="186"/>
      <c r="E55" s="251"/>
      <c r="F55" s="187">
        <f>'21A Fire Sprinkler'!B113</f>
        <v>1863500</v>
      </c>
      <c r="G55" s="188">
        <f t="shared" si="32"/>
        <v>3.6243243411450958</v>
      </c>
      <c r="H55" s="188">
        <f t="shared" si="33"/>
        <v>4.5017644694223051</v>
      </c>
      <c r="I55" s="188">
        <f t="shared" si="34"/>
        <v>4313.6574074074078</v>
      </c>
      <c r="J55" s="251"/>
      <c r="K55" s="188"/>
      <c r="L55" s="251"/>
      <c r="M55" s="188">
        <f>'21A Fire Sprinkler'!C113</f>
        <v>0</v>
      </c>
      <c r="N55" s="251"/>
      <c r="O55" s="188"/>
      <c r="P55" s="251"/>
      <c r="Q55" s="188">
        <f t="shared" ref="Q55" si="48">F55+K55+M55+O55</f>
        <v>1863500</v>
      </c>
      <c r="R55" s="188">
        <f t="shared" ref="R55" si="49">Q55/$G$6</f>
        <v>3.6243243411450958</v>
      </c>
      <c r="S55" s="188">
        <f t="shared" ref="S55" si="50">Q55/$G$7</f>
        <v>4.5017644694223051</v>
      </c>
      <c r="T55" s="188">
        <f t="shared" ref="T55" si="51">Q55/$G$8</f>
        <v>4313.6574074074078</v>
      </c>
      <c r="U55" s="194">
        <f t="shared" si="47"/>
        <v>1.7848938177457311E-2</v>
      </c>
      <c r="V55" s="496">
        <v>9</v>
      </c>
      <c r="W55" s="556"/>
      <c r="X55" s="556"/>
      <c r="Y55" s="556"/>
      <c r="Z55" s="187">
        <v>1768500</v>
      </c>
      <c r="AA55" s="358">
        <f t="shared" si="12"/>
        <v>95000</v>
      </c>
      <c r="AB55" s="482"/>
      <c r="AC55" s="486">
        <v>9</v>
      </c>
      <c r="AD55" s="150"/>
    </row>
    <row r="56" spans="1:30" ht="16.5" customHeight="1" x14ac:dyDescent="0.35">
      <c r="B56" s="456" t="s">
        <v>542</v>
      </c>
      <c r="C56" s="497" t="s">
        <v>543</v>
      </c>
      <c r="D56" s="334"/>
      <c r="E56" s="335"/>
      <c r="F56" s="184">
        <f>'22A Plumbing '!B188-F57</f>
        <v>4653401</v>
      </c>
      <c r="G56" s="185">
        <f t="shared" si="32"/>
        <v>9.0504075736028611</v>
      </c>
      <c r="H56" s="185">
        <f t="shared" si="33"/>
        <v>11.241489285631459</v>
      </c>
      <c r="I56" s="185">
        <f t="shared" si="34"/>
        <v>10771.761574074075</v>
      </c>
      <c r="J56" s="335"/>
      <c r="K56" s="185"/>
      <c r="L56" s="335"/>
      <c r="M56" s="185">
        <f>'22A Plumbing '!C188</f>
        <v>265906</v>
      </c>
      <c r="N56" s="335"/>
      <c r="O56" s="185">
        <f>'22A Plumbing '!D188</f>
        <v>14903</v>
      </c>
      <c r="P56" s="335"/>
      <c r="Q56" s="185">
        <f>F56+K56+M56+O56</f>
        <v>4934210</v>
      </c>
      <c r="R56" s="185">
        <f t="shared" si="35"/>
        <v>9.5965534785734068</v>
      </c>
      <c r="S56" s="185">
        <f t="shared" si="36"/>
        <v>11.919855788928485</v>
      </c>
      <c r="T56" s="185">
        <f t="shared" si="37"/>
        <v>11421.782407407407</v>
      </c>
      <c r="U56" s="193">
        <f t="shared" si="47"/>
        <v>4.7260750869112765E-2</v>
      </c>
      <c r="V56" s="498">
        <v>3</v>
      </c>
      <c r="W56" s="557"/>
      <c r="X56" s="557"/>
      <c r="Y56" s="557"/>
      <c r="Z56" s="184">
        <v>5760010</v>
      </c>
      <c r="AA56" s="359">
        <f t="shared" si="12"/>
        <v>-825800</v>
      </c>
      <c r="AB56" s="483"/>
      <c r="AC56" s="486">
        <v>3</v>
      </c>
    </row>
    <row r="57" spans="1:30" ht="16.5" customHeight="1" x14ac:dyDescent="0.35">
      <c r="A57" s="150"/>
      <c r="B57" s="454" t="s">
        <v>542</v>
      </c>
      <c r="C57" s="495" t="s">
        <v>544</v>
      </c>
      <c r="D57" s="186"/>
      <c r="E57" s="251"/>
      <c r="F57" s="187">
        <f>-'22A Plumbing '!U39</f>
        <v>825800</v>
      </c>
      <c r="G57" s="188">
        <f t="shared" ref="G57:G58" si="52">F57/$G$6</f>
        <v>1.606099834138782</v>
      </c>
      <c r="H57" s="188">
        <f t="shared" ref="H57:H58" si="53">F57/$G$7</f>
        <v>1.9949327066535765</v>
      </c>
      <c r="I57" s="188">
        <f t="shared" ref="I57:I58" si="54">F57/$G$8</f>
        <v>1911.5740740740741</v>
      </c>
      <c r="J57" s="251"/>
      <c r="K57" s="188"/>
      <c r="L57" s="251"/>
      <c r="M57" s="188"/>
      <c r="N57" s="251"/>
      <c r="O57" s="188"/>
      <c r="P57" s="251"/>
      <c r="Q57" s="188">
        <f>F57+K57+M57+O57</f>
        <v>825800</v>
      </c>
      <c r="R57" s="188">
        <f t="shared" si="35"/>
        <v>1.606099834138782</v>
      </c>
      <c r="S57" s="188">
        <f t="shared" si="36"/>
        <v>1.9949327066535765</v>
      </c>
      <c r="T57" s="188">
        <f t="shared" si="37"/>
        <v>1911.5740740740741</v>
      </c>
      <c r="U57" s="194">
        <f t="shared" si="47"/>
        <v>7.9096609320870662E-3</v>
      </c>
      <c r="V57" s="496">
        <v>3</v>
      </c>
      <c r="W57" s="556"/>
      <c r="X57" s="556"/>
      <c r="Y57" s="556"/>
      <c r="Z57" s="187"/>
      <c r="AA57" s="358"/>
      <c r="AB57" s="482"/>
      <c r="AC57" s="486"/>
      <c r="AD57" s="150"/>
    </row>
    <row r="58" spans="1:30" ht="16.5" customHeight="1" x14ac:dyDescent="0.35">
      <c r="B58" s="456" t="s">
        <v>542</v>
      </c>
      <c r="C58" s="497" t="s">
        <v>545</v>
      </c>
      <c r="D58" s="334"/>
      <c r="E58" s="335"/>
      <c r="F58" s="184">
        <f>'22A Plumbing '!AF8</f>
        <v>42768</v>
      </c>
      <c r="G58" s="185">
        <f t="shared" si="52"/>
        <v>8.3179556437935856E-2</v>
      </c>
      <c r="H58" s="185">
        <f t="shared" si="53"/>
        <v>0.10331712520968778</v>
      </c>
      <c r="I58" s="185">
        <f t="shared" si="54"/>
        <v>99</v>
      </c>
      <c r="J58" s="335"/>
      <c r="K58" s="185"/>
      <c r="L58" s="335"/>
      <c r="M58" s="185"/>
      <c r="N58" s="335"/>
      <c r="O58" s="185"/>
      <c r="P58" s="335"/>
      <c r="Q58" s="185">
        <f>F58+K58+M58+O58</f>
        <v>42768</v>
      </c>
      <c r="R58" s="185">
        <f t="shared" si="35"/>
        <v>8.3179556437935856E-2</v>
      </c>
      <c r="S58" s="185">
        <f t="shared" si="36"/>
        <v>0.10331712520968778</v>
      </c>
      <c r="T58" s="185">
        <f t="shared" si="37"/>
        <v>99</v>
      </c>
      <c r="U58" s="193">
        <f t="shared" si="47"/>
        <v>4.0963959644405381E-4</v>
      </c>
      <c r="V58" s="498">
        <v>1</v>
      </c>
      <c r="W58" s="557"/>
      <c r="X58" s="557"/>
      <c r="Y58" s="557"/>
      <c r="Z58" s="184"/>
      <c r="AA58" s="359"/>
      <c r="AB58" s="483"/>
      <c r="AC58" s="486"/>
    </row>
    <row r="59" spans="1:30" ht="16.5" customHeight="1" x14ac:dyDescent="0.35">
      <c r="A59" s="150"/>
      <c r="B59" s="454" t="s">
        <v>546</v>
      </c>
      <c r="C59" s="495" t="s">
        <v>547</v>
      </c>
      <c r="D59" s="186"/>
      <c r="E59" s="251"/>
      <c r="F59" s="187">
        <f>'23A HVAC'!B121</f>
        <v>2776000</v>
      </c>
      <c r="G59" s="188">
        <f t="shared" si="32"/>
        <v>5.3990471537530382</v>
      </c>
      <c r="H59" s="188">
        <f t="shared" si="33"/>
        <v>6.7061433684552298</v>
      </c>
      <c r="I59" s="188">
        <f t="shared" si="34"/>
        <v>6425.9259259259261</v>
      </c>
      <c r="J59" s="251"/>
      <c r="K59" s="188">
        <f>'23A HVAC'!E121</f>
        <v>10000</v>
      </c>
      <c r="L59" s="251"/>
      <c r="M59" s="188">
        <f>'23A HVAC'!C121</f>
        <v>180000</v>
      </c>
      <c r="N59" s="251"/>
      <c r="O59" s="188">
        <f>'23A HVAC'!D121</f>
        <v>29000</v>
      </c>
      <c r="P59" s="251"/>
      <c r="Q59" s="188">
        <f t="shared" si="3"/>
        <v>2995000</v>
      </c>
      <c r="R59" s="188">
        <f t="shared" si="35"/>
        <v>5.8249806287789445</v>
      </c>
      <c r="S59" s="188">
        <f t="shared" si="36"/>
        <v>7.235194304223131</v>
      </c>
      <c r="T59" s="188">
        <f t="shared" si="37"/>
        <v>6932.8703703703704</v>
      </c>
      <c r="U59" s="194">
        <f t="shared" si="47"/>
        <v>2.8686648694115722E-2</v>
      </c>
      <c r="V59" s="496">
        <v>8</v>
      </c>
      <c r="W59" s="556"/>
      <c r="X59" s="556"/>
      <c r="Y59" s="556"/>
      <c r="Z59" s="187">
        <v>2995000</v>
      </c>
      <c r="AA59" s="358">
        <f>Q59-Z59</f>
        <v>0</v>
      </c>
      <c r="AB59" s="482"/>
      <c r="AC59" s="486">
        <v>8</v>
      </c>
      <c r="AD59" s="150"/>
    </row>
    <row r="60" spans="1:30" ht="16.5" customHeight="1" x14ac:dyDescent="0.35">
      <c r="B60" s="456" t="s">
        <v>548</v>
      </c>
      <c r="C60" s="497" t="s">
        <v>549</v>
      </c>
      <c r="D60" s="334"/>
      <c r="E60" s="335"/>
      <c r="F60" s="184">
        <f>'26A Electrical'!B200</f>
        <v>9420000</v>
      </c>
      <c r="G60" s="185">
        <f t="shared" si="32"/>
        <v>18.320974131251305</v>
      </c>
      <c r="H60" s="185">
        <f t="shared" si="33"/>
        <v>22.756437511112487</v>
      </c>
      <c r="I60" s="185">
        <f t="shared" si="34"/>
        <v>21805.555555555555</v>
      </c>
      <c r="J60" s="335"/>
      <c r="K60" s="185">
        <f>'26A Electrical'!D200</f>
        <v>0</v>
      </c>
      <c r="L60" s="335"/>
      <c r="M60" s="185"/>
      <c r="N60" s="335"/>
      <c r="O60" s="185"/>
      <c r="P60" s="335"/>
      <c r="Q60" s="185">
        <f t="shared" si="3"/>
        <v>9420000</v>
      </c>
      <c r="R60" s="185">
        <f t="shared" si="35"/>
        <v>18.320974131251305</v>
      </c>
      <c r="S60" s="185">
        <f t="shared" si="36"/>
        <v>22.756437511112487</v>
      </c>
      <c r="T60" s="185">
        <f t="shared" si="37"/>
        <v>21805.555555555555</v>
      </c>
      <c r="U60" s="193">
        <f t="shared" si="47"/>
        <v>9.0226454323395697E-2</v>
      </c>
      <c r="V60" s="498">
        <v>7</v>
      </c>
      <c r="W60" s="557"/>
      <c r="X60" s="557"/>
      <c r="Y60" s="557"/>
      <c r="Z60" s="184">
        <v>9390000</v>
      </c>
      <c r="AA60" s="359">
        <f>Q60-Z60</f>
        <v>30000</v>
      </c>
      <c r="AB60" s="483"/>
      <c r="AC60" s="486">
        <v>7</v>
      </c>
    </row>
    <row r="61" spans="1:30" ht="16.5" customHeight="1" x14ac:dyDescent="0.35">
      <c r="A61" s="150"/>
      <c r="B61" s="454" t="s">
        <v>550</v>
      </c>
      <c r="C61" s="495" t="s">
        <v>551</v>
      </c>
      <c r="D61" s="186"/>
      <c r="E61" s="251"/>
      <c r="F61" s="187" t="s">
        <v>552</v>
      </c>
      <c r="G61" s="188"/>
      <c r="H61" s="188"/>
      <c r="I61" s="188"/>
      <c r="J61" s="251"/>
      <c r="K61" s="188">
        <f>'26A Electrical'!C200</f>
        <v>0</v>
      </c>
      <c r="L61" s="251"/>
      <c r="M61" s="188"/>
      <c r="N61" s="251"/>
      <c r="O61" s="188"/>
      <c r="P61" s="251"/>
      <c r="Q61" s="188"/>
      <c r="R61" s="188">
        <f t="shared" si="35"/>
        <v>0</v>
      </c>
      <c r="S61" s="188">
        <f t="shared" si="36"/>
        <v>0</v>
      </c>
      <c r="T61" s="188">
        <f t="shared" si="37"/>
        <v>0</v>
      </c>
      <c r="U61" s="194">
        <f t="shared" si="47"/>
        <v>0</v>
      </c>
      <c r="V61" s="496"/>
      <c r="W61" s="556"/>
      <c r="X61" s="556"/>
      <c r="Y61" s="556"/>
      <c r="Z61" s="187"/>
      <c r="AA61" s="358">
        <f>Q61-Z61</f>
        <v>0</v>
      </c>
      <c r="AB61" s="482"/>
      <c r="AC61" s="486"/>
      <c r="AD61" s="150"/>
    </row>
    <row r="62" spans="1:30" ht="16.5" customHeight="1" x14ac:dyDescent="0.35">
      <c r="B62" s="456" t="s">
        <v>553</v>
      </c>
      <c r="C62" s="497" t="s">
        <v>554</v>
      </c>
      <c r="D62" s="334"/>
      <c r="E62" s="335"/>
      <c r="F62" s="184" t="s">
        <v>451</v>
      </c>
      <c r="G62" s="185"/>
      <c r="H62" s="185"/>
      <c r="I62" s="185"/>
      <c r="J62" s="335"/>
      <c r="K62" s="185"/>
      <c r="L62" s="335"/>
      <c r="M62" s="185"/>
      <c r="N62" s="335"/>
      <c r="O62" s="185"/>
      <c r="P62" s="335"/>
      <c r="Q62" s="185" t="s">
        <v>451</v>
      </c>
      <c r="R62" s="185"/>
      <c r="S62" s="185"/>
      <c r="T62" s="185"/>
      <c r="U62" s="193"/>
      <c r="V62" s="498"/>
      <c r="W62" s="557"/>
      <c r="X62" s="557"/>
      <c r="Y62" s="557"/>
      <c r="Z62" s="184" t="s">
        <v>451</v>
      </c>
      <c r="AA62" s="359"/>
      <c r="AB62" s="483"/>
      <c r="AC62" s="486"/>
    </row>
    <row r="63" spans="1:30" ht="16.5" customHeight="1" x14ac:dyDescent="0.35">
      <c r="A63" s="150"/>
      <c r="B63" s="454" t="s">
        <v>555</v>
      </c>
      <c r="C63" s="495" t="s">
        <v>556</v>
      </c>
      <c r="D63" s="186"/>
      <c r="E63" s="251"/>
      <c r="F63" s="187" t="s">
        <v>557</v>
      </c>
      <c r="G63" s="188"/>
      <c r="H63" s="188"/>
      <c r="I63" s="188"/>
      <c r="J63" s="251"/>
      <c r="K63" s="188"/>
      <c r="L63" s="251"/>
      <c r="M63" s="188"/>
      <c r="N63" s="251"/>
      <c r="O63" s="188"/>
      <c r="P63" s="251"/>
      <c r="Q63" s="188"/>
      <c r="R63" s="188">
        <f t="shared" ref="R63:R69" si="55">Q63/$G$6</f>
        <v>0</v>
      </c>
      <c r="S63" s="188">
        <f t="shared" ref="S63:S69" si="56">Q63/$G$7</f>
        <v>0</v>
      </c>
      <c r="T63" s="188">
        <f t="shared" ref="T63:T69" si="57">Q63/$G$8</f>
        <v>0</v>
      </c>
      <c r="U63" s="194">
        <f t="shared" ref="U63:U69" si="58">Q63/$Q$89</f>
        <v>0</v>
      </c>
      <c r="V63" s="496"/>
      <c r="W63" s="556"/>
      <c r="X63" s="556"/>
      <c r="Y63" s="556"/>
      <c r="Z63" s="187"/>
      <c r="AA63" s="358">
        <f t="shared" ref="AA63:AA72" si="59">Q63-Z63</f>
        <v>0</v>
      </c>
      <c r="AB63" s="482"/>
      <c r="AC63" s="486"/>
      <c r="AD63" s="150"/>
    </row>
    <row r="64" spans="1:30" ht="16.5" customHeight="1" x14ac:dyDescent="0.35">
      <c r="B64" s="456" t="s">
        <v>558</v>
      </c>
      <c r="C64" s="497" t="s">
        <v>559</v>
      </c>
      <c r="D64" s="334"/>
      <c r="E64" s="335"/>
      <c r="F64" s="184">
        <f>'27B BDA'!B79</f>
        <v>242750</v>
      </c>
      <c r="G64" s="185">
        <f>F64/$G$6</f>
        <v>0.47212489069652375</v>
      </c>
      <c r="H64" s="185">
        <f>F64/$G$7</f>
        <v>0.58642518108519703</v>
      </c>
      <c r="I64" s="185">
        <f>F64/$G$8</f>
        <v>561.9212962962963</v>
      </c>
      <c r="J64" s="335"/>
      <c r="K64" s="185"/>
      <c r="L64" s="335"/>
      <c r="M64" s="185"/>
      <c r="N64" s="335"/>
      <c r="O64" s="185"/>
      <c r="P64" s="335"/>
      <c r="Q64" s="185">
        <f t="shared" si="3"/>
        <v>242750</v>
      </c>
      <c r="R64" s="185">
        <f t="shared" si="55"/>
        <v>0.47212489069652375</v>
      </c>
      <c r="S64" s="185">
        <f t="shared" si="56"/>
        <v>0.58642518108519703</v>
      </c>
      <c r="T64" s="185">
        <f t="shared" si="57"/>
        <v>561.9212962962963</v>
      </c>
      <c r="U64" s="193">
        <f t="shared" si="58"/>
        <v>2.3251031621023678E-3</v>
      </c>
      <c r="V64" s="498">
        <v>2</v>
      </c>
      <c r="W64" s="557"/>
      <c r="X64" s="557"/>
      <c r="Y64" s="557"/>
      <c r="Z64" s="184">
        <v>242750</v>
      </c>
      <c r="AA64" s="359">
        <f t="shared" si="59"/>
        <v>0</v>
      </c>
      <c r="AB64" s="483"/>
      <c r="AC64" s="486">
        <v>2</v>
      </c>
    </row>
    <row r="65" spans="1:30" ht="16.5" customHeight="1" x14ac:dyDescent="0.35">
      <c r="A65" s="150"/>
      <c r="B65" s="454" t="s">
        <v>560</v>
      </c>
      <c r="C65" s="495" t="s">
        <v>561</v>
      </c>
      <c r="D65" s="186"/>
      <c r="E65" s="251"/>
      <c r="F65" s="187">
        <f>'28A Low Voltage'!B117</f>
        <v>995375</v>
      </c>
      <c r="G65" s="188">
        <f>F65/$G$6</f>
        <v>1.9359065420269921</v>
      </c>
      <c r="H65" s="188">
        <f>F65/$G$7</f>
        <v>2.4045848182190648</v>
      </c>
      <c r="I65" s="188">
        <f>F65/$G$8</f>
        <v>2304.1087962962961</v>
      </c>
      <c r="J65" s="251"/>
      <c r="K65" s="188"/>
      <c r="L65" s="251"/>
      <c r="M65" s="188"/>
      <c r="N65" s="251"/>
      <c r="O65" s="188"/>
      <c r="P65" s="251"/>
      <c r="Q65" s="188">
        <f t="shared" si="3"/>
        <v>995375</v>
      </c>
      <c r="R65" s="188">
        <f t="shared" si="55"/>
        <v>1.9359065420269921</v>
      </c>
      <c r="S65" s="188">
        <f t="shared" si="56"/>
        <v>2.4045848182190648</v>
      </c>
      <c r="T65" s="188">
        <f t="shared" si="57"/>
        <v>2304.1087962962961</v>
      </c>
      <c r="U65" s="194">
        <f t="shared" si="58"/>
        <v>9.5338807826061567E-3</v>
      </c>
      <c r="V65" s="496">
        <v>3</v>
      </c>
      <c r="W65" s="564">
        <f>'28A Low Voltage'!M81</f>
        <v>846146</v>
      </c>
      <c r="X65" s="556">
        <f>Q65-W65</f>
        <v>149229</v>
      </c>
      <c r="Y65" s="556" t="s">
        <v>562</v>
      </c>
      <c r="Z65" s="187">
        <v>366524</v>
      </c>
      <c r="AA65" s="358">
        <f t="shared" si="59"/>
        <v>628851</v>
      </c>
      <c r="AB65" s="482"/>
      <c r="AC65" s="486">
        <v>3</v>
      </c>
      <c r="AD65" s="150"/>
    </row>
    <row r="66" spans="1:30" ht="16.5" customHeight="1" x14ac:dyDescent="0.35">
      <c r="B66" s="456" t="s">
        <v>563</v>
      </c>
      <c r="C66" s="497" t="s">
        <v>564</v>
      </c>
      <c r="D66" s="334"/>
      <c r="E66" s="335"/>
      <c r="F66" s="184" t="s">
        <v>565</v>
      </c>
      <c r="G66" s="185"/>
      <c r="H66" s="185"/>
      <c r="I66" s="185"/>
      <c r="J66" s="335"/>
      <c r="K66" s="185"/>
      <c r="L66" s="335"/>
      <c r="M66" s="185"/>
      <c r="N66" s="335"/>
      <c r="O66" s="185"/>
      <c r="P66" s="335"/>
      <c r="Q66" s="185">
        <v>0</v>
      </c>
      <c r="R66" s="185">
        <f t="shared" si="55"/>
        <v>0</v>
      </c>
      <c r="S66" s="185">
        <f t="shared" si="56"/>
        <v>0</v>
      </c>
      <c r="T66" s="185">
        <f t="shared" si="57"/>
        <v>0</v>
      </c>
      <c r="U66" s="193">
        <f t="shared" si="58"/>
        <v>0</v>
      </c>
      <c r="V66" s="498">
        <v>3</v>
      </c>
      <c r="W66" s="557"/>
      <c r="X66" s="557"/>
      <c r="Y66" s="557"/>
      <c r="Z66" s="184">
        <v>343200</v>
      </c>
      <c r="AA66" s="359">
        <f t="shared" si="59"/>
        <v>-343200</v>
      </c>
      <c r="AB66" s="483" t="s">
        <v>566</v>
      </c>
      <c r="AC66" s="486">
        <v>3</v>
      </c>
    </row>
    <row r="67" spans="1:30" ht="29" x14ac:dyDescent="0.35">
      <c r="A67" s="150"/>
      <c r="B67" s="454" t="s">
        <v>567</v>
      </c>
      <c r="C67" s="495" t="s">
        <v>568</v>
      </c>
      <c r="D67" s="186"/>
      <c r="E67" s="251"/>
      <c r="F67" s="187"/>
      <c r="G67" s="188">
        <f>F67/$G$6</f>
        <v>0</v>
      </c>
      <c r="H67" s="188">
        <f>F67/$G$7</f>
        <v>0</v>
      </c>
      <c r="I67" s="188">
        <f>F67/$G$8</f>
        <v>0</v>
      </c>
      <c r="J67" s="251"/>
      <c r="K67" s="188">
        <f>'31A Sitework'!B244</f>
        <v>10941785</v>
      </c>
      <c r="L67" s="251"/>
      <c r="M67" s="188"/>
      <c r="N67" s="251"/>
      <c r="O67" s="188"/>
      <c r="P67" s="251"/>
      <c r="Q67" s="188">
        <f t="shared" si="3"/>
        <v>10941785</v>
      </c>
      <c r="R67" s="188">
        <f t="shared" si="55"/>
        <v>21.280696383727552</v>
      </c>
      <c r="S67" s="188">
        <f t="shared" si="56"/>
        <v>26.432701338909546</v>
      </c>
      <c r="T67" s="188">
        <f t="shared" si="57"/>
        <v>25328.206018518518</v>
      </c>
      <c r="U67" s="194">
        <f t="shared" si="58"/>
        <v>0.10480238476846244</v>
      </c>
      <c r="V67" s="496">
        <v>5</v>
      </c>
      <c r="W67" s="556"/>
      <c r="X67" s="556"/>
      <c r="Y67" s="556"/>
      <c r="Z67" s="187">
        <v>10376954.119999999</v>
      </c>
      <c r="AA67" s="358">
        <f t="shared" si="59"/>
        <v>564830.88000000082</v>
      </c>
      <c r="AB67" s="482" t="s">
        <v>569</v>
      </c>
      <c r="AC67" s="486">
        <v>5</v>
      </c>
      <c r="AD67" s="150"/>
    </row>
    <row r="68" spans="1:30" ht="16.5" customHeight="1" x14ac:dyDescent="0.35">
      <c r="B68" s="456" t="s">
        <v>570</v>
      </c>
      <c r="C68" s="497" t="s">
        <v>571</v>
      </c>
      <c r="D68" s="334"/>
      <c r="E68" s="335"/>
      <c r="F68" s="184" t="s">
        <v>451</v>
      </c>
      <c r="G68" s="185"/>
      <c r="H68" s="185"/>
      <c r="I68" s="185"/>
      <c r="J68" s="335"/>
      <c r="K68" s="185"/>
      <c r="L68" s="335"/>
      <c r="M68" s="185"/>
      <c r="N68" s="335"/>
      <c r="O68" s="185"/>
      <c r="P68" s="335"/>
      <c r="Q68" s="185"/>
      <c r="R68" s="185">
        <f t="shared" si="55"/>
        <v>0</v>
      </c>
      <c r="S68" s="185">
        <f t="shared" si="56"/>
        <v>0</v>
      </c>
      <c r="T68" s="185">
        <f t="shared" si="57"/>
        <v>0</v>
      </c>
      <c r="U68" s="193">
        <f t="shared" si="58"/>
        <v>0</v>
      </c>
      <c r="V68" s="498">
        <v>2</v>
      </c>
      <c r="W68" s="557"/>
      <c r="X68" s="557"/>
      <c r="Y68" s="557"/>
      <c r="Z68" s="184">
        <v>0</v>
      </c>
      <c r="AA68" s="359">
        <f t="shared" si="59"/>
        <v>0</v>
      </c>
      <c r="AB68" s="483"/>
      <c r="AC68" s="486">
        <v>2</v>
      </c>
    </row>
    <row r="69" spans="1:30" ht="16.5" customHeight="1" x14ac:dyDescent="0.35">
      <c r="A69" s="150"/>
      <c r="B69" s="454" t="s">
        <v>572</v>
      </c>
      <c r="C69" s="495" t="s">
        <v>573</v>
      </c>
      <c r="D69" s="186"/>
      <c r="E69" s="251"/>
      <c r="F69" s="187">
        <f>'32A Pavers'!B134</f>
        <v>540250</v>
      </c>
      <c r="G69" s="188">
        <f>F69/$G$6</f>
        <v>1.0507331501495241</v>
      </c>
      <c r="H69" s="188">
        <f>F69/$G$7</f>
        <v>1.3051130961123696</v>
      </c>
      <c r="I69" s="188">
        <f>F69/$G$8</f>
        <v>1250.5787037037037</v>
      </c>
      <c r="J69" s="251"/>
      <c r="K69" s="188"/>
      <c r="L69" s="251"/>
      <c r="M69" s="188"/>
      <c r="N69" s="251"/>
      <c r="O69" s="188"/>
      <c r="P69" s="251"/>
      <c r="Q69" s="188">
        <f t="shared" si="3"/>
        <v>540250</v>
      </c>
      <c r="R69" s="188">
        <f t="shared" si="55"/>
        <v>1.0507331501495241</v>
      </c>
      <c r="S69" s="188">
        <f t="shared" si="56"/>
        <v>1.3051130961123696</v>
      </c>
      <c r="T69" s="188">
        <f t="shared" si="57"/>
        <v>1250.5787037037037</v>
      </c>
      <c r="U69" s="194">
        <f t="shared" si="58"/>
        <v>5.1746116717849818E-3</v>
      </c>
      <c r="V69" s="496">
        <v>6</v>
      </c>
      <c r="W69" s="556"/>
      <c r="X69" s="556"/>
      <c r="Y69" s="556"/>
      <c r="Z69" s="187">
        <v>540250</v>
      </c>
      <c r="AA69" s="358">
        <f t="shared" si="59"/>
        <v>0</v>
      </c>
      <c r="AB69" s="482"/>
      <c r="AC69" s="486">
        <v>6</v>
      </c>
      <c r="AD69" s="150"/>
    </row>
    <row r="70" spans="1:30" ht="29" x14ac:dyDescent="0.35">
      <c r="B70" s="456" t="s">
        <v>574</v>
      </c>
      <c r="C70" s="497" t="s">
        <v>575</v>
      </c>
      <c r="D70" s="334"/>
      <c r="E70" s="335"/>
      <c r="F70" s="184"/>
      <c r="G70" s="185"/>
      <c r="H70" s="185"/>
      <c r="I70" s="185"/>
      <c r="J70" s="335"/>
      <c r="K70" s="185">
        <f>'32B Site Furnishings'!B102</f>
        <v>606146.1</v>
      </c>
      <c r="L70" s="335"/>
      <c r="M70" s="185"/>
      <c r="N70" s="335"/>
      <c r="O70" s="185"/>
      <c r="P70" s="335"/>
      <c r="Q70" s="185">
        <f t="shared" si="3"/>
        <v>606146.1</v>
      </c>
      <c r="R70" s="185">
        <f t="shared" ref="R70" si="60">Q70/$G$6</f>
        <v>1.1788945878831067</v>
      </c>
      <c r="S70" s="185">
        <f t="shared" ref="S70" si="61">Q70/$G$7</f>
        <v>1.4643021069272335</v>
      </c>
      <c r="T70" s="185">
        <f t="shared" ref="T70" si="62">Q70/$G$8</f>
        <v>1403.1159722222221</v>
      </c>
      <c r="U70" s="193">
        <f t="shared" ref="U70" si="63">Q70/$Q$89</f>
        <v>5.8057763699527008E-3</v>
      </c>
      <c r="V70" s="498">
        <v>1</v>
      </c>
      <c r="W70" s="557"/>
      <c r="X70" s="557"/>
      <c r="Y70" s="557"/>
      <c r="Z70" s="184">
        <v>581396.1</v>
      </c>
      <c r="AA70" s="359">
        <f t="shared" si="59"/>
        <v>24750</v>
      </c>
      <c r="AB70" s="483" t="s">
        <v>576</v>
      </c>
      <c r="AC70" s="486">
        <v>1</v>
      </c>
    </row>
    <row r="71" spans="1:30" ht="16.5" customHeight="1" x14ac:dyDescent="0.35">
      <c r="A71" s="150"/>
      <c r="B71" s="454" t="s">
        <v>577</v>
      </c>
      <c r="C71" s="495" t="s">
        <v>578</v>
      </c>
      <c r="D71" s="186"/>
      <c r="E71" s="251"/>
      <c r="F71" s="187"/>
      <c r="G71" s="188">
        <f>F71/$G$6</f>
        <v>0</v>
      </c>
      <c r="H71" s="188">
        <f>F71/$G$7</f>
        <v>0</v>
      </c>
      <c r="I71" s="188">
        <f>F71/$G$8</f>
        <v>0</v>
      </c>
      <c r="J71" s="251"/>
      <c r="K71" s="188">
        <f>'32C Landscape and Irrigation'!B103</f>
        <v>2789413.04</v>
      </c>
      <c r="L71" s="251"/>
      <c r="M71" s="188"/>
      <c r="N71" s="251"/>
      <c r="O71" s="188"/>
      <c r="P71" s="251"/>
      <c r="Q71" s="188">
        <f t="shared" si="3"/>
        <v>2789413.04</v>
      </c>
      <c r="R71" s="188">
        <f>Q71/$G$6</f>
        <v>5.4251341982181591</v>
      </c>
      <c r="S71" s="188">
        <f>Q71/$G$7</f>
        <v>6.7385460230830478</v>
      </c>
      <c r="T71" s="188">
        <f>Q71/$G$8</f>
        <v>6456.9746296296298</v>
      </c>
      <c r="U71" s="194">
        <f>Q71/$Q$89</f>
        <v>2.6717499813444196E-2</v>
      </c>
      <c r="V71" s="496">
        <v>3</v>
      </c>
      <c r="W71" s="556"/>
      <c r="X71" s="556"/>
      <c r="Y71" s="556"/>
      <c r="Z71" s="187">
        <v>2789413.04</v>
      </c>
      <c r="AA71" s="358">
        <f t="shared" si="59"/>
        <v>0</v>
      </c>
      <c r="AB71" s="482"/>
      <c r="AC71" s="486">
        <v>3</v>
      </c>
      <c r="AD71" s="150"/>
    </row>
    <row r="72" spans="1:30" s="1" customFormat="1" x14ac:dyDescent="0.35">
      <c r="A72"/>
      <c r="B72" s="456" t="s">
        <v>579</v>
      </c>
      <c r="C72" s="497" t="s">
        <v>580</v>
      </c>
      <c r="D72" s="334"/>
      <c r="E72" s="335"/>
      <c r="F72" s="184">
        <v>0</v>
      </c>
      <c r="G72" s="185">
        <f>F72/$G$6</f>
        <v>0</v>
      </c>
      <c r="H72" s="185">
        <f>F72/$G$7</f>
        <v>0</v>
      </c>
      <c r="I72" s="185">
        <f>F72/$G$8</f>
        <v>0</v>
      </c>
      <c r="J72" s="335"/>
      <c r="K72" s="185">
        <f>'32D Fencing'!B108</f>
        <v>278850</v>
      </c>
      <c r="L72" s="335"/>
      <c r="M72" s="185"/>
      <c r="N72" s="335"/>
      <c r="O72" s="185"/>
      <c r="P72" s="335"/>
      <c r="Q72" s="185">
        <f t="shared" si="3"/>
        <v>278850</v>
      </c>
      <c r="R72" s="185">
        <f>Q72/$G$6</f>
        <v>0.54233584251586264</v>
      </c>
      <c r="S72" s="185">
        <f>Q72/$G$7</f>
        <v>0.67363403396748589</v>
      </c>
      <c r="T72" s="185">
        <f>Q72/$G$8</f>
        <v>645.48611111111109</v>
      </c>
      <c r="U72" s="193">
        <f>Q72/$Q$89</f>
        <v>2.6708754552100733E-3</v>
      </c>
      <c r="V72" s="498">
        <v>4</v>
      </c>
      <c r="W72" s="557"/>
      <c r="X72" s="557"/>
      <c r="Y72" s="557"/>
      <c r="Z72" s="184">
        <v>531850</v>
      </c>
      <c r="AA72" s="359">
        <f t="shared" si="59"/>
        <v>-253000</v>
      </c>
      <c r="AB72" s="483" t="s">
        <v>581</v>
      </c>
      <c r="AC72" s="486">
        <v>4</v>
      </c>
      <c r="AD72"/>
    </row>
    <row r="73" spans="1:30" ht="16.5" customHeight="1" x14ac:dyDescent="0.35">
      <c r="B73" s="458"/>
      <c r="C73" s="3745" t="s">
        <v>582</v>
      </c>
      <c r="D73" s="3746"/>
      <c r="E73" s="252"/>
      <c r="F73" s="255">
        <f>SUM(F13:F72)</f>
        <v>74133625.402799994</v>
      </c>
      <c r="G73" s="256">
        <f>SUM(G13:G72)</f>
        <v>143.02506395381405</v>
      </c>
      <c r="H73" s="256">
        <f>SUM(H13:H72)</f>
        <v>177.65108487523091</v>
      </c>
      <c r="I73" s="195">
        <f>SUM(I13:I72)</f>
        <v>170227.9013953704</v>
      </c>
      <c r="J73" s="253"/>
      <c r="K73" s="195">
        <f>SUM(K13:K72)</f>
        <v>15185814.140000001</v>
      </c>
      <c r="L73" s="253"/>
      <c r="M73" s="195">
        <f>SUM(M13:M72)</f>
        <v>3234450.9099999997</v>
      </c>
      <c r="N73" s="253"/>
      <c r="O73" s="195">
        <f>SUM(O13:O72)</f>
        <v>614505</v>
      </c>
      <c r="P73" s="253"/>
      <c r="Q73" s="195">
        <f t="shared" ref="Q73:T73" si="64">SUM(Q13:Q72)</f>
        <v>93168395.452799991</v>
      </c>
      <c r="R73" s="256">
        <f t="shared" si="64"/>
        <v>181.19151405181313</v>
      </c>
      <c r="S73" s="256">
        <f t="shared" si="64"/>
        <v>225.07226848537789</v>
      </c>
      <c r="T73" s="195">
        <f t="shared" si="64"/>
        <v>215667.58206666674</v>
      </c>
      <c r="U73" s="199">
        <f>SUM(U13:U72)</f>
        <v>0.89238364933186087</v>
      </c>
      <c r="V73" s="499">
        <v>209</v>
      </c>
      <c r="W73" s="195">
        <f>SUM(W13:W72)</f>
        <v>23209836</v>
      </c>
      <c r="X73" s="195">
        <f>SUM(X12:X72)</f>
        <v>-540771</v>
      </c>
      <c r="Y73" s="195"/>
      <c r="Z73" s="195">
        <f>SUM(Z13:Z72)</f>
        <v>91510748.435549989</v>
      </c>
      <c r="AA73" s="436">
        <f>SUM(AA13:AA72)</f>
        <v>789079.01725000096</v>
      </c>
      <c r="AB73" s="484"/>
      <c r="AC73" s="487">
        <f>SUM(AC13:AC72)</f>
        <v>209</v>
      </c>
    </row>
    <row r="74" spans="1:30" ht="16.5" customHeight="1" x14ac:dyDescent="0.35">
      <c r="B74" s="454"/>
      <c r="C74" s="495"/>
      <c r="D74" s="190" t="s">
        <v>583</v>
      </c>
      <c r="E74" s="251"/>
      <c r="F74" s="187">
        <f>F73*$AC$74</f>
        <v>741336.25402799994</v>
      </c>
      <c r="G74" s="188">
        <f>G73*$AC$74</f>
        <v>1.4302506395381405</v>
      </c>
      <c r="H74" s="188">
        <f>H73*$AC$74</f>
        <v>1.7765108487523091</v>
      </c>
      <c r="I74" s="188">
        <f>I73*$AC$74</f>
        <v>1702.279013953704</v>
      </c>
      <c r="J74" s="251"/>
      <c r="K74" s="188">
        <f>K73*AC74</f>
        <v>151858.14140000002</v>
      </c>
      <c r="L74" s="251"/>
      <c r="M74" s="188">
        <f>M73*AC74</f>
        <v>32344.509099999999</v>
      </c>
      <c r="N74" s="251"/>
      <c r="O74" s="188">
        <f>O73*AC74</f>
        <v>6145.05</v>
      </c>
      <c r="P74" s="251"/>
      <c r="Q74" s="188">
        <f>Q73*AC74</f>
        <v>931683.95452799997</v>
      </c>
      <c r="R74" s="188">
        <f>Q74/G6</f>
        <v>1.8120337186209559</v>
      </c>
      <c r="S74" s="188">
        <f>Q74/G7</f>
        <v>2.2507226848537791</v>
      </c>
      <c r="T74" s="188">
        <f>Q74/G8</f>
        <v>2156.6758206666668</v>
      </c>
      <c r="U74" s="194">
        <f>Q74/$Q$89</f>
        <v>8.9238364933186057E-3</v>
      </c>
      <c r="V74" s="500"/>
      <c r="W74" s="194"/>
      <c r="X74" s="194"/>
      <c r="Y74" s="194"/>
      <c r="Z74" s="187">
        <v>915107.48435549997</v>
      </c>
      <c r="AA74" s="435">
        <f>Q74-Z74</f>
        <v>16576.470172500005</v>
      </c>
      <c r="AB74" s="455"/>
      <c r="AC74" s="350">
        <v>0.01</v>
      </c>
    </row>
    <row r="75" spans="1:30" ht="16.5" customHeight="1" x14ac:dyDescent="0.35">
      <c r="B75" s="456"/>
      <c r="C75" s="497"/>
      <c r="D75" s="189" t="s">
        <v>584</v>
      </c>
      <c r="E75" s="335"/>
      <c r="F75" s="336" t="s">
        <v>585</v>
      </c>
      <c r="G75" s="185"/>
      <c r="H75" s="185"/>
      <c r="I75" s="185"/>
      <c r="J75" s="335"/>
      <c r="K75" s="185"/>
      <c r="L75" s="335"/>
      <c r="M75" s="185"/>
      <c r="N75" s="335"/>
      <c r="O75" s="185"/>
      <c r="P75" s="335"/>
      <c r="Q75" s="185"/>
      <c r="R75" s="185"/>
      <c r="S75" s="185"/>
      <c r="T75" s="185"/>
      <c r="U75" s="193"/>
      <c r="V75" s="501"/>
      <c r="W75" s="193"/>
      <c r="X75" s="193"/>
      <c r="Y75" s="193"/>
      <c r="Z75" s="184"/>
      <c r="AA75" s="359"/>
      <c r="AB75" s="460"/>
      <c r="AC75" s="73">
        <v>0</v>
      </c>
    </row>
    <row r="76" spans="1:30" ht="16.5" customHeight="1" x14ac:dyDescent="0.35">
      <c r="B76" s="454"/>
      <c r="C76" s="495"/>
      <c r="D76" s="190" t="s">
        <v>586</v>
      </c>
      <c r="E76" s="251"/>
      <c r="F76" s="187"/>
      <c r="G76" s="188"/>
      <c r="H76" s="188"/>
      <c r="I76" s="188"/>
      <c r="J76" s="251"/>
      <c r="K76" s="188"/>
      <c r="L76" s="251"/>
      <c r="M76" s="188"/>
      <c r="N76" s="251"/>
      <c r="O76" s="188"/>
      <c r="P76" s="251"/>
      <c r="Q76" s="188"/>
      <c r="R76" s="188"/>
      <c r="S76" s="188"/>
      <c r="T76" s="188"/>
      <c r="U76" s="194"/>
      <c r="V76" s="500"/>
      <c r="W76" s="194"/>
      <c r="X76" s="194"/>
      <c r="Y76" s="194"/>
      <c r="Z76" s="187"/>
      <c r="AA76" s="358"/>
      <c r="AB76" s="455"/>
      <c r="AC76" s="73">
        <v>0</v>
      </c>
    </row>
    <row r="77" spans="1:30" ht="16.5" customHeight="1" x14ac:dyDescent="0.35">
      <c r="B77" s="458"/>
      <c r="C77" s="3745" t="s">
        <v>587</v>
      </c>
      <c r="D77" s="3746"/>
      <c r="E77" s="252"/>
      <c r="F77" s="255">
        <f>SUM(F73:F76)</f>
        <v>74874961.656827986</v>
      </c>
      <c r="G77" s="256">
        <f>SUM(G73:G76)</f>
        <v>144.4553145933522</v>
      </c>
      <c r="H77" s="256">
        <f>SUM(H73:H76)</f>
        <v>179.42759572398322</v>
      </c>
      <c r="I77" s="195">
        <f>SUM(I73:I76)</f>
        <v>171930.18040932409</v>
      </c>
      <c r="J77" s="253"/>
      <c r="K77" s="195">
        <f>SUM(K73:K76)</f>
        <v>15337672.281400001</v>
      </c>
      <c r="L77" s="253"/>
      <c r="M77" s="195">
        <f>SUM(M73:M76)</f>
        <v>3266795.4190999996</v>
      </c>
      <c r="N77" s="253"/>
      <c r="O77" s="195">
        <f>SUM(O73:O76)</f>
        <v>620650.05000000005</v>
      </c>
      <c r="P77" s="253"/>
      <c r="Q77" s="195">
        <f>SUM(Q73:Q76)</f>
        <v>94100079.407327995</v>
      </c>
      <c r="R77" s="256">
        <f>SUM(R73:R76)</f>
        <v>183.0035477704341</v>
      </c>
      <c r="S77" s="256">
        <f>SUM(S73:S76)</f>
        <v>227.32299117023166</v>
      </c>
      <c r="T77" s="195">
        <f>SUM(T73:T76)</f>
        <v>217824.2578873334</v>
      </c>
      <c r="U77" s="199">
        <f>SUM(U73:U76)</f>
        <v>0.9013074858251795</v>
      </c>
      <c r="V77" s="502"/>
      <c r="W77" s="552"/>
      <c r="X77" s="552"/>
      <c r="Y77" s="552"/>
      <c r="Z77" s="195">
        <f t="shared" ref="Z77" si="65">SUM(Z73:Z76)</f>
        <v>92425855.919905484</v>
      </c>
      <c r="AA77" s="436">
        <f>SUM(AA73:AA76)</f>
        <v>805655.48742250097</v>
      </c>
      <c r="AB77" s="459"/>
      <c r="AC77" s="338"/>
    </row>
    <row r="78" spans="1:30" ht="16.5" customHeight="1" x14ac:dyDescent="0.35">
      <c r="B78" s="461"/>
      <c r="C78" s="503"/>
      <c r="D78" s="190" t="s">
        <v>158</v>
      </c>
      <c r="E78" s="253"/>
      <c r="F78" s="317">
        <v>3177583</v>
      </c>
      <c r="G78" s="188">
        <f>F78/$G$6</f>
        <v>6.1800866181426652</v>
      </c>
      <c r="H78" s="188">
        <f>F78/$G$7</f>
        <v>7.6762705919186143</v>
      </c>
      <c r="I78" s="188">
        <f>F78/$G$8</f>
        <v>7355.5162037037035</v>
      </c>
      <c r="J78" s="251"/>
      <c r="K78" s="317">
        <v>572314</v>
      </c>
      <c r="L78" s="251"/>
      <c r="M78" s="317">
        <v>99839</v>
      </c>
      <c r="N78" s="251"/>
      <c r="O78" s="317">
        <f>Q78-M78-K78-F78</f>
        <v>30670.698710239492</v>
      </c>
      <c r="P78" s="251"/>
      <c r="Q78" s="317">
        <f>'GCs&amp;GRs-1'!L160</f>
        <v>3880406.6987102395</v>
      </c>
      <c r="R78" s="188">
        <f>Q78/$G$6</f>
        <v>7.5470096333125873</v>
      </c>
      <c r="S78" s="188">
        <f>Q78/$G$7</f>
        <v>9.3741223521127246</v>
      </c>
      <c r="T78" s="188">
        <f>Q78/$G$8</f>
        <v>8982.42291368111</v>
      </c>
      <c r="U78" s="194">
        <f t="shared" ref="U78:U85" si="66">Q78/$Q$89</f>
        <v>3.7167233307577291E-2</v>
      </c>
      <c r="V78" s="500"/>
      <c r="W78" s="194"/>
      <c r="X78" s="194"/>
      <c r="Y78" s="194"/>
      <c r="Z78" s="187">
        <v>3880407</v>
      </c>
      <c r="AA78" s="360">
        <f t="shared" ref="AA78:AA84" si="67">Q78-Z78</f>
        <v>-0.30128976050764322</v>
      </c>
      <c r="AB78" s="455"/>
      <c r="AC78" s="197"/>
    </row>
    <row r="79" spans="1:30" ht="16.5" customHeight="1" x14ac:dyDescent="0.35">
      <c r="B79" s="462"/>
      <c r="C79" s="497"/>
      <c r="D79" s="189" t="s">
        <v>588</v>
      </c>
      <c r="E79" s="251"/>
      <c r="F79" s="184">
        <v>460259</v>
      </c>
      <c r="G79" s="185">
        <f>F79/$G$6</f>
        <v>0.89515851726917128</v>
      </c>
      <c r="H79" s="185">
        <f>F79/$G$7</f>
        <v>1.1118742221260214</v>
      </c>
      <c r="I79" s="185">
        <f>F79/$G$8</f>
        <v>1065.414351851852</v>
      </c>
      <c r="J79" s="251"/>
      <c r="K79" s="184">
        <v>87040</v>
      </c>
      <c r="L79" s="251"/>
      <c r="M79" s="184">
        <v>15170</v>
      </c>
      <c r="N79" s="251"/>
      <c r="O79" s="184">
        <f>Q79-M79-K79-F79</f>
        <v>27132.451000000117</v>
      </c>
      <c r="P79" s="251"/>
      <c r="Q79" s="184">
        <f>'GCs&amp;GRs-1'!L161</f>
        <v>589601.45100000012</v>
      </c>
      <c r="R79" s="185">
        <f>Q79/$G$6</f>
        <v>1.1467168717111715</v>
      </c>
      <c r="S79" s="185">
        <f>Q79/$G$7</f>
        <v>1.4243342437518847</v>
      </c>
      <c r="T79" s="185">
        <f>Q79/$G$8</f>
        <v>1364.8181736111114</v>
      </c>
      <c r="U79" s="193">
        <f t="shared" si="66"/>
        <v>5.6473087460360231E-3</v>
      </c>
      <c r="V79" s="501"/>
      <c r="W79" s="193"/>
      <c r="X79" s="193"/>
      <c r="Y79" s="193"/>
      <c r="Z79" s="184">
        <v>589601</v>
      </c>
      <c r="AA79" s="361">
        <f t="shared" si="67"/>
        <v>0.45100000011734664</v>
      </c>
      <c r="AB79" s="457"/>
      <c r="AC79" s="197"/>
    </row>
    <row r="80" spans="1:30" ht="16.5" customHeight="1" x14ac:dyDescent="0.35">
      <c r="B80" s="461"/>
      <c r="C80" s="503"/>
      <c r="D80" s="190" t="s">
        <v>589</v>
      </c>
      <c r="E80" s="253"/>
      <c r="F80" s="320" t="s">
        <v>585</v>
      </c>
      <c r="G80" s="188"/>
      <c r="H80" s="188"/>
      <c r="I80" s="188"/>
      <c r="J80" s="251"/>
      <c r="K80" s="317"/>
      <c r="L80" s="251"/>
      <c r="M80" s="317"/>
      <c r="N80" s="251"/>
      <c r="O80" s="317"/>
      <c r="P80" s="251"/>
      <c r="Q80" s="317"/>
      <c r="R80" s="188"/>
      <c r="S80" s="188"/>
      <c r="T80" s="188"/>
      <c r="U80" s="194">
        <f t="shared" si="66"/>
        <v>0</v>
      </c>
      <c r="V80" s="500"/>
      <c r="W80" s="194"/>
      <c r="X80" s="194"/>
      <c r="Y80" s="194"/>
      <c r="Z80" s="187"/>
      <c r="AA80" s="360">
        <f t="shared" si="67"/>
        <v>0</v>
      </c>
      <c r="AB80" s="455"/>
      <c r="AC80" s="197"/>
    </row>
    <row r="81" spans="1:29" ht="16.5" customHeight="1" x14ac:dyDescent="0.35">
      <c r="B81" s="462"/>
      <c r="C81" s="497"/>
      <c r="D81" s="189" t="s">
        <v>590</v>
      </c>
      <c r="E81" s="251"/>
      <c r="F81" s="569">
        <f>F101*AC81</f>
        <v>330115.60000000003</v>
      </c>
      <c r="G81" s="185">
        <f>F81/$G$6</f>
        <v>0.64204239574548871</v>
      </c>
      <c r="H81" s="185">
        <f>F81/$G$7</f>
        <v>0.79747930178804738</v>
      </c>
      <c r="I81" s="185">
        <f>F81/$G$8</f>
        <v>764.15648148148159</v>
      </c>
      <c r="J81" s="251"/>
      <c r="K81" s="184">
        <f>K101*AC81</f>
        <v>66916.555999999997</v>
      </c>
      <c r="L81" s="251"/>
      <c r="M81" s="184">
        <f>M101*AC81</f>
        <v>14043.936</v>
      </c>
      <c r="N81" s="251"/>
      <c r="O81" s="184">
        <f>Q81-M81-K81-F81</f>
        <v>2284.1120000000228</v>
      </c>
      <c r="P81" s="251"/>
      <c r="Q81" s="184">
        <f>Q101*$AC$81</f>
        <v>413360.20400000003</v>
      </c>
      <c r="R81" s="185">
        <f>Q81/$G$6</f>
        <v>0.80394496861706599</v>
      </c>
      <c r="S81" s="185">
        <f>Q81/$G$7</f>
        <v>0.99857809468224101</v>
      </c>
      <c r="T81" s="185">
        <f>Q81/$G$8</f>
        <v>956.85232407407409</v>
      </c>
      <c r="U81" s="193">
        <f t="shared" si="66"/>
        <v>3.9592383827298863E-3</v>
      </c>
      <c r="V81" s="501"/>
      <c r="W81" s="193"/>
      <c r="X81" s="193"/>
      <c r="Y81" s="193"/>
      <c r="Z81" s="184">
        <v>1240080.612</v>
      </c>
      <c r="AA81" s="361">
        <f t="shared" si="67"/>
        <v>-826720.40799999994</v>
      </c>
      <c r="AB81" s="457"/>
      <c r="AC81" s="197">
        <v>4.0000000000000001E-3</v>
      </c>
    </row>
    <row r="82" spans="1:29" ht="16.5" customHeight="1" x14ac:dyDescent="0.35">
      <c r="B82" s="461"/>
      <c r="C82" s="503"/>
      <c r="D82" s="190" t="s">
        <v>591</v>
      </c>
      <c r="E82" s="253"/>
      <c r="F82" s="570">
        <f>F77*$AC$82</f>
        <v>935937.0207103499</v>
      </c>
      <c r="G82" s="188">
        <f>F82/$G$6</f>
        <v>1.8203055143221587</v>
      </c>
      <c r="H82" s="188">
        <f>F82/$G$7</f>
        <v>2.2609970622220668</v>
      </c>
      <c r="I82" s="188">
        <f>F82/$G$8</f>
        <v>2166.5208812739579</v>
      </c>
      <c r="J82" s="251"/>
      <c r="K82" s="320">
        <f>K77*$AC$82</f>
        <v>191720.90351750003</v>
      </c>
      <c r="L82" s="251"/>
      <c r="M82" s="320">
        <f>M77*$AC$82</f>
        <v>40834.942738749996</v>
      </c>
      <c r="N82" s="251"/>
      <c r="O82" s="320">
        <f>O77*$AC$82</f>
        <v>7758.1256250000006</v>
      </c>
      <c r="P82" s="251"/>
      <c r="Q82" s="320">
        <f>Q77*$AC$82</f>
        <v>1176250.9925915999</v>
      </c>
      <c r="R82" s="188">
        <f>Q82/$G$6</f>
        <v>2.2876925697589567</v>
      </c>
      <c r="S82" s="188">
        <f>Q82/$G$7</f>
        <v>2.8415373896278959</v>
      </c>
      <c r="T82" s="188">
        <f>Q82/$G$8</f>
        <v>2722.8032235916667</v>
      </c>
      <c r="U82" s="194">
        <f t="shared" si="66"/>
        <v>1.1266343572814738E-2</v>
      </c>
      <c r="V82" s="500"/>
      <c r="W82" s="194"/>
      <c r="X82" s="194"/>
      <c r="Y82" s="194"/>
      <c r="Z82" s="321">
        <v>1155323.1989988186</v>
      </c>
      <c r="AA82" s="360">
        <f t="shared" si="67"/>
        <v>20927.793592781294</v>
      </c>
      <c r="AB82" s="455"/>
      <c r="AC82" s="197">
        <v>1.2500000000000001E-2</v>
      </c>
    </row>
    <row r="83" spans="1:29" ht="16.5" customHeight="1" x14ac:dyDescent="0.35">
      <c r="B83" s="462"/>
      <c r="C83" s="497"/>
      <c r="D83" s="189" t="s">
        <v>592</v>
      </c>
      <c r="E83" s="251"/>
      <c r="F83" s="569">
        <f>F73*$AC$83</f>
        <v>259467.6889098</v>
      </c>
      <c r="G83" s="185">
        <f>F83/$G$6</f>
        <v>0.50463915248535096</v>
      </c>
      <c r="H83" s="185">
        <f>F83/$G$7</f>
        <v>0.6268110667546325</v>
      </c>
      <c r="I83" s="185">
        <f>F83/$G$8</f>
        <v>600.61965025416669</v>
      </c>
      <c r="J83" s="251"/>
      <c r="K83" s="319">
        <f>K73*$AC$83</f>
        <v>53150.349490000001</v>
      </c>
      <c r="L83" s="251"/>
      <c r="M83" s="319">
        <f>M73*$AC$83</f>
        <v>11320.578184999998</v>
      </c>
      <c r="N83" s="251"/>
      <c r="O83" s="319">
        <f>O73*$AC$83</f>
        <v>2150.7674999999999</v>
      </c>
      <c r="P83" s="251"/>
      <c r="Q83" s="319">
        <f>Q73*$AC$83</f>
        <v>326089.38408479997</v>
      </c>
      <c r="R83" s="185">
        <f>Q83/$G$6</f>
        <v>0.63421180151733447</v>
      </c>
      <c r="S83" s="185">
        <f>Q83/$G$7</f>
        <v>0.78775293969882265</v>
      </c>
      <c r="T83" s="185">
        <f>Q83/$G$8</f>
        <v>754.83653723333327</v>
      </c>
      <c r="U83" s="193">
        <f t="shared" si="66"/>
        <v>3.1233427726615115E-3</v>
      </c>
      <c r="V83" s="501"/>
      <c r="W83" s="193"/>
      <c r="X83" s="193"/>
      <c r="Y83" s="193"/>
      <c r="Z83" s="322">
        <v>320287.61952442495</v>
      </c>
      <c r="AA83" s="361">
        <f t="shared" si="67"/>
        <v>5801.7645603750134</v>
      </c>
      <c r="AB83" s="457"/>
      <c r="AC83" s="197">
        <v>3.5000000000000001E-3</v>
      </c>
    </row>
    <row r="84" spans="1:29" ht="16.5" hidden="1" customHeight="1" x14ac:dyDescent="0.35">
      <c r="B84" s="461"/>
      <c r="C84" s="503"/>
      <c r="D84" s="190" t="s">
        <v>593</v>
      </c>
      <c r="E84" s="253"/>
      <c r="F84" s="320" t="s">
        <v>451</v>
      </c>
      <c r="G84" s="188"/>
      <c r="H84" s="188"/>
      <c r="I84" s="188"/>
      <c r="J84" s="251"/>
      <c r="K84" s="317"/>
      <c r="L84" s="251"/>
      <c r="M84" s="317"/>
      <c r="N84" s="251"/>
      <c r="O84" s="317"/>
      <c r="P84" s="251"/>
      <c r="Q84" s="317"/>
      <c r="R84" s="191"/>
      <c r="S84" s="191"/>
      <c r="T84" s="191"/>
      <c r="U84" s="194">
        <f t="shared" si="66"/>
        <v>0</v>
      </c>
      <c r="V84" s="500"/>
      <c r="W84" s="194"/>
      <c r="X84" s="194"/>
      <c r="Y84" s="194"/>
      <c r="Z84" s="187"/>
      <c r="AA84" s="360">
        <f t="shared" si="67"/>
        <v>0</v>
      </c>
      <c r="AB84" s="455"/>
      <c r="AC84" s="197">
        <v>0</v>
      </c>
    </row>
    <row r="85" spans="1:29" ht="16.5" hidden="1" customHeight="1" x14ac:dyDescent="0.35">
      <c r="B85" s="462"/>
      <c r="C85" s="497"/>
      <c r="D85" s="189" t="s">
        <v>594</v>
      </c>
      <c r="E85" s="251"/>
      <c r="F85" s="319" t="s">
        <v>451</v>
      </c>
      <c r="G85" s="185"/>
      <c r="H85" s="185"/>
      <c r="I85" s="185"/>
      <c r="J85" s="251"/>
      <c r="K85" s="184"/>
      <c r="L85" s="251"/>
      <c r="M85" s="184"/>
      <c r="N85" s="251"/>
      <c r="O85" s="184"/>
      <c r="P85" s="251"/>
      <c r="Q85" s="184"/>
      <c r="R85" s="185"/>
      <c r="S85" s="185"/>
      <c r="T85" s="185"/>
      <c r="U85" s="193">
        <f t="shared" si="66"/>
        <v>0</v>
      </c>
      <c r="V85" s="501"/>
      <c r="W85" s="193"/>
      <c r="X85" s="193"/>
      <c r="Y85" s="193"/>
      <c r="Z85" s="184"/>
      <c r="AA85" s="359"/>
      <c r="AB85" s="457"/>
      <c r="AC85" s="197"/>
    </row>
    <row r="86" spans="1:29" ht="16.5" customHeight="1" x14ac:dyDescent="0.35">
      <c r="B86" s="458"/>
      <c r="C86" s="3745" t="s">
        <v>595</v>
      </c>
      <c r="D86" s="3746"/>
      <c r="E86" s="252"/>
      <c r="F86" s="255">
        <f>SUM(F77:F85)</f>
        <v>80038323.966448128</v>
      </c>
      <c r="G86" s="256">
        <f>SUM(G77:G85)</f>
        <v>154.49754679131703</v>
      </c>
      <c r="H86" s="256">
        <f>SUM(H77:H85)</f>
        <v>191.90102796879262</v>
      </c>
      <c r="I86" s="195">
        <f>SUM(I77:I85)</f>
        <v>183882.40797788926</v>
      </c>
      <c r="J86" s="253"/>
      <c r="K86" s="195">
        <f>SUM(K77:K85)</f>
        <v>16308814.0904075</v>
      </c>
      <c r="L86" s="253"/>
      <c r="M86" s="195">
        <f>SUM(M77:M85)</f>
        <v>3448003.8760237498</v>
      </c>
      <c r="N86" s="253"/>
      <c r="O86" s="195">
        <f>SUM(O77:O85)</f>
        <v>690646.20483523956</v>
      </c>
      <c r="P86" s="253"/>
      <c r="Q86" s="195">
        <f>SUM(Q77:Q85)</f>
        <v>100485788.13771464</v>
      </c>
      <c r="R86" s="256">
        <f>SUM(R77:R85)</f>
        <v>195.42312361535119</v>
      </c>
      <c r="S86" s="256">
        <f>SUM(S77:S85)</f>
        <v>242.74931619010522</v>
      </c>
      <c r="T86" s="195">
        <f>SUM(T77:T85)</f>
        <v>232605.99105952468</v>
      </c>
      <c r="U86" s="199">
        <f>SUM(U77:U85)</f>
        <v>0.962470952606999</v>
      </c>
      <c r="V86" s="502"/>
      <c r="W86" s="552"/>
      <c r="X86" s="552"/>
      <c r="Y86" s="552"/>
      <c r="Z86" s="195">
        <f>SUM(Z77:Z84)</f>
        <v>99611555.35042873</v>
      </c>
      <c r="AA86" s="436">
        <f>SUM(AA77:AA84)</f>
        <v>5664.7872858969495</v>
      </c>
      <c r="AB86" s="459"/>
      <c r="AC86" s="198"/>
    </row>
    <row r="87" spans="1:29" ht="16.5" customHeight="1" x14ac:dyDescent="0.35">
      <c r="B87" s="461"/>
      <c r="C87" s="504"/>
      <c r="D87" s="190" t="s">
        <v>596</v>
      </c>
      <c r="E87" s="253"/>
      <c r="F87" s="317">
        <f>F86*AC87</f>
        <v>3201532.958657925</v>
      </c>
      <c r="G87" s="191">
        <f>G86*AC87</f>
        <v>6.1799018716526817</v>
      </c>
      <c r="H87" s="191">
        <f>H86*AC87</f>
        <v>7.676041118751705</v>
      </c>
      <c r="I87" s="191">
        <f>I86*AC87</f>
        <v>7355.2963191155704</v>
      </c>
      <c r="J87" s="252"/>
      <c r="K87" s="317">
        <f>K86*$AC$87</f>
        <v>652352.5636163</v>
      </c>
      <c r="L87" s="252"/>
      <c r="M87" s="317">
        <f>M86*$AC$87</f>
        <v>137920.15504094999</v>
      </c>
      <c r="N87" s="252"/>
      <c r="O87" s="317">
        <f>O86*$AC$87</f>
        <v>27625.848193409583</v>
      </c>
      <c r="P87" s="252"/>
      <c r="Q87" s="317">
        <f>Q86*$AC$87</f>
        <v>4019431.5255085859</v>
      </c>
      <c r="R87" s="191">
        <f>Q87/R6</f>
        <v>7.4643499498194474</v>
      </c>
      <c r="S87" s="191">
        <f>Q87/R7</f>
        <v>9.7099726476042107</v>
      </c>
      <c r="T87" s="317">
        <f>Q87/R8</f>
        <v>9304.239642380986</v>
      </c>
      <c r="U87" s="194">
        <f>Q87/$Q$89</f>
        <v>3.8498838104279946E-2</v>
      </c>
      <c r="V87" s="500"/>
      <c r="W87" s="194"/>
      <c r="X87" s="194"/>
      <c r="Y87" s="194"/>
      <c r="Z87" s="187">
        <v>3984462.2140171491</v>
      </c>
      <c r="AA87" s="360">
        <f>Q87-Z87</f>
        <v>34969.311491436791</v>
      </c>
      <c r="AB87" s="455"/>
      <c r="AC87" s="197">
        <v>0.04</v>
      </c>
    </row>
    <row r="88" spans="1:29" ht="16.5" customHeight="1" x14ac:dyDescent="0.35">
      <c r="B88" s="462"/>
      <c r="C88" s="497"/>
      <c r="D88" s="189" t="s">
        <v>597</v>
      </c>
      <c r="E88" s="251"/>
      <c r="F88" s="319"/>
      <c r="G88" s="185"/>
      <c r="H88" s="185"/>
      <c r="I88" s="185"/>
      <c r="J88" s="251"/>
      <c r="K88" s="184"/>
      <c r="L88" s="251"/>
      <c r="M88" s="184"/>
      <c r="N88" s="251"/>
      <c r="O88" s="184"/>
      <c r="P88" s="251"/>
      <c r="Q88" s="322">
        <v>-101250</v>
      </c>
      <c r="R88" s="185">
        <f>Q88/R6</f>
        <v>-0.18802794067342415</v>
      </c>
      <c r="S88" s="185">
        <f>Q88/R7</f>
        <v>-0.24459546687899567</v>
      </c>
      <c r="T88" s="185">
        <f>Q88/G8</f>
        <v>-234.375</v>
      </c>
      <c r="U88" s="193">
        <f>Q88/$Q$89</f>
        <v>-9.697907112785365E-4</v>
      </c>
      <c r="V88" s="501"/>
      <c r="W88" s="553"/>
      <c r="X88" s="553"/>
      <c r="Y88" s="553"/>
      <c r="Z88" s="508">
        <v>-101250</v>
      </c>
      <c r="AA88" s="361">
        <f>Q88-Z88</f>
        <v>0</v>
      </c>
      <c r="AB88" s="457"/>
      <c r="AC88" s="197"/>
    </row>
    <row r="89" spans="1:29" s="192" customFormat="1" ht="16.5" customHeight="1" x14ac:dyDescent="0.35">
      <c r="B89" s="458"/>
      <c r="C89" s="3747" t="s">
        <v>598</v>
      </c>
      <c r="D89" s="3748"/>
      <c r="E89" s="252"/>
      <c r="F89" s="255">
        <f>SUM(F86:F87)</f>
        <v>83239856.925106049</v>
      </c>
      <c r="G89" s="256">
        <f>SUM(G86:G87)</f>
        <v>160.67744866296971</v>
      </c>
      <c r="H89" s="256">
        <f>SUM(H86:H87)</f>
        <v>199.57706908754432</v>
      </c>
      <c r="I89" s="195">
        <f>SUM(I86:I87)</f>
        <v>191237.70429700482</v>
      </c>
      <c r="J89" s="254"/>
      <c r="K89" s="195">
        <f>SUM(K86:K87)</f>
        <v>16961166.6540238</v>
      </c>
      <c r="L89" s="254"/>
      <c r="M89" s="195">
        <f>SUM(M86:M87)</f>
        <v>3585924.0310646999</v>
      </c>
      <c r="N89" s="254"/>
      <c r="O89" s="195">
        <f>SUM(O86:O87)</f>
        <v>718272.05302864918</v>
      </c>
      <c r="P89" s="254"/>
      <c r="Q89" s="195">
        <f>SUM(Q86:Q88)</f>
        <v>104403969.66322322</v>
      </c>
      <c r="R89" s="256">
        <f t="shared" ref="R89:S89" si="68">SUM(R86:R87)</f>
        <v>202.88747356517064</v>
      </c>
      <c r="S89" s="256">
        <f t="shared" si="68"/>
        <v>252.45928883770944</v>
      </c>
      <c r="T89" s="195">
        <f>SUM(T86:T88)</f>
        <v>241675.85570190568</v>
      </c>
      <c r="U89" s="199">
        <f>SUM(U86:U88)</f>
        <v>1.0000000000000004</v>
      </c>
      <c r="V89" s="502"/>
      <c r="W89" s="552"/>
      <c r="X89" s="552"/>
      <c r="Y89" s="552"/>
      <c r="Z89" s="195">
        <f>SUM(Z86:Z88)</f>
        <v>103494767.56444588</v>
      </c>
      <c r="AA89" s="436">
        <f>SUM(AA86:AA88)</f>
        <v>40634.09877733374</v>
      </c>
      <c r="AB89" s="459"/>
      <c r="AC89" s="339"/>
    </row>
    <row r="90" spans="1:29" x14ac:dyDescent="0.35">
      <c r="B90" s="463">
        <v>1</v>
      </c>
      <c r="C90" s="505" t="s">
        <v>599</v>
      </c>
      <c r="E90" s="254"/>
      <c r="J90" s="253"/>
      <c r="L90" s="253"/>
      <c r="N90" s="253"/>
      <c r="P90" s="253"/>
      <c r="Q90" s="149">
        <f>-3045927</f>
        <v>-3045927</v>
      </c>
      <c r="T90" s="323"/>
      <c r="V90" s="506"/>
      <c r="Z90" s="149"/>
      <c r="AA90" s="363"/>
      <c r="AB90" s="464"/>
      <c r="AC90" s="340"/>
    </row>
    <row r="91" spans="1:29" s="241" customFormat="1" x14ac:dyDescent="0.35">
      <c r="B91" s="465">
        <v>2</v>
      </c>
      <c r="C91" s="507" t="s">
        <v>600</v>
      </c>
      <c r="E91" s="347"/>
      <c r="J91" s="348"/>
      <c r="L91" s="348"/>
      <c r="N91" s="348"/>
      <c r="P91" s="348"/>
      <c r="Q91" s="508">
        <f>$Q$118*-3%</f>
        <v>-2746427.1315839994</v>
      </c>
      <c r="V91" s="509"/>
      <c r="AA91" s="362"/>
      <c r="AB91" s="466"/>
      <c r="AC91" s="349"/>
    </row>
    <row r="92" spans="1:29" x14ac:dyDescent="0.35">
      <c r="B92" s="463">
        <v>3</v>
      </c>
      <c r="C92" s="505" t="s">
        <v>601</v>
      </c>
      <c r="E92" s="254"/>
      <c r="J92" s="253"/>
      <c r="L92" s="253"/>
      <c r="N92" s="253"/>
      <c r="P92" s="253"/>
      <c r="Q92" s="149">
        <f>$Q$118*-4%</f>
        <v>-3661902.8421119996</v>
      </c>
      <c r="V92" s="506"/>
      <c r="AA92" s="363"/>
      <c r="AB92" s="464"/>
      <c r="AC92" s="340"/>
    </row>
    <row r="93" spans="1:29" x14ac:dyDescent="0.35">
      <c r="A93" t="s">
        <v>602</v>
      </c>
      <c r="B93" s="465">
        <v>4</v>
      </c>
      <c r="C93" s="507" t="s">
        <v>603</v>
      </c>
      <c r="D93" s="241"/>
      <c r="E93" s="347"/>
      <c r="F93" s="241"/>
      <c r="G93" s="241"/>
      <c r="H93" s="241"/>
      <c r="I93" s="241"/>
      <c r="J93" s="348"/>
      <c r="K93" s="241"/>
      <c r="L93" s="348"/>
      <c r="M93" s="241"/>
      <c r="N93" s="348"/>
      <c r="O93" s="241"/>
      <c r="P93" s="348"/>
      <c r="Q93" s="508">
        <f>$Q$118*-5%</f>
        <v>-4577378.5526399994</v>
      </c>
      <c r="R93" s="241"/>
      <c r="S93" s="241"/>
      <c r="T93" s="241"/>
      <c r="U93" s="241"/>
      <c r="V93" s="509"/>
      <c r="W93" s="241"/>
      <c r="X93" s="241"/>
      <c r="Y93" s="241"/>
      <c r="Z93" s="241"/>
      <c r="AA93" s="362"/>
      <c r="AB93" s="466"/>
      <c r="AC93" s="349"/>
    </row>
    <row r="94" spans="1:29" x14ac:dyDescent="0.35">
      <c r="B94" s="463">
        <v>5</v>
      </c>
      <c r="C94" s="505" t="s">
        <v>604</v>
      </c>
      <c r="E94" s="254"/>
      <c r="J94" s="253"/>
      <c r="L94" s="253"/>
      <c r="N94" s="253"/>
      <c r="P94" s="253"/>
      <c r="Q94" s="149">
        <f>$Q$118*-6%</f>
        <v>-5492854.2631679988</v>
      </c>
      <c r="V94" s="506"/>
      <c r="AA94" s="363"/>
      <c r="AB94" s="464"/>
      <c r="AC94" s="340"/>
    </row>
    <row r="95" spans="1:29" x14ac:dyDescent="0.35">
      <c r="B95" s="467" t="s">
        <v>337</v>
      </c>
      <c r="C95" s="3749" t="s">
        <v>605</v>
      </c>
      <c r="D95" s="3750"/>
      <c r="E95" s="439"/>
      <c r="F95" s="437"/>
      <c r="G95" s="437"/>
      <c r="H95" s="437"/>
      <c r="I95" s="437"/>
      <c r="J95" s="440"/>
      <c r="K95" s="437"/>
      <c r="L95" s="440"/>
      <c r="M95" s="437"/>
      <c r="N95" s="440"/>
      <c r="O95" s="437"/>
      <c r="P95" s="440"/>
      <c r="Q95" s="441">
        <f>Q89+Q90</f>
        <v>101358042.66322322</v>
      </c>
      <c r="R95" s="442">
        <f>$Q$95/G6</f>
        <v>197.131430745985</v>
      </c>
      <c r="S95" s="442">
        <f>Q95/G7</f>
        <v>244.85647177434316</v>
      </c>
      <c r="T95" s="443">
        <f>Q95/G8</f>
        <v>234625.09875746115</v>
      </c>
      <c r="U95" s="437"/>
      <c r="V95" s="468"/>
      <c r="W95" s="554"/>
      <c r="X95" s="554"/>
      <c r="Y95" s="554"/>
      <c r="Z95" s="443"/>
      <c r="AA95" s="443"/>
      <c r="AB95" s="468"/>
      <c r="AC95" s="351">
        <f>AA95/Q95</f>
        <v>0</v>
      </c>
    </row>
    <row r="96" spans="1:29" x14ac:dyDescent="0.35">
      <c r="B96" s="467"/>
      <c r="C96" s="3749" t="s">
        <v>606</v>
      </c>
      <c r="D96" s="3750"/>
      <c r="E96" s="439"/>
      <c r="F96" s="437"/>
      <c r="G96" s="438"/>
      <c r="H96" s="438"/>
      <c r="I96" s="437"/>
      <c r="J96" s="440"/>
      <c r="K96" s="437"/>
      <c r="L96" s="440"/>
      <c r="M96" s="437"/>
      <c r="N96" s="440"/>
      <c r="O96" s="437"/>
      <c r="P96" s="440"/>
      <c r="Q96" s="441">
        <f>Q89+Q90+Q91</f>
        <v>98611615.531639218</v>
      </c>
      <c r="R96" s="442">
        <f>$Q$96/G6</f>
        <v>191.78989991465619</v>
      </c>
      <c r="S96" s="442">
        <f>Q96/G7</f>
        <v>238.2217692904031</v>
      </c>
      <c r="T96" s="443">
        <f>Q96/G8</f>
        <v>228267.62854546116</v>
      </c>
      <c r="U96" s="437"/>
      <c r="V96" s="468"/>
      <c r="W96" s="554"/>
      <c r="X96" s="554"/>
      <c r="Y96" s="554"/>
      <c r="Z96" s="443"/>
      <c r="AA96" s="443"/>
      <c r="AB96" s="468"/>
      <c r="AC96" s="351"/>
    </row>
    <row r="97" spans="2:29" x14ac:dyDescent="0.35">
      <c r="B97" s="467"/>
      <c r="C97" s="3749" t="s">
        <v>607</v>
      </c>
      <c r="D97" s="3750"/>
      <c r="E97" s="439"/>
      <c r="F97" s="437"/>
      <c r="G97" s="438"/>
      <c r="H97" s="438"/>
      <c r="I97" s="437"/>
      <c r="J97" s="440"/>
      <c r="K97" s="437"/>
      <c r="L97" s="440"/>
      <c r="M97" s="437"/>
      <c r="N97" s="440"/>
      <c r="O97" s="437"/>
      <c r="P97" s="440"/>
      <c r="Q97" s="441">
        <f>Q89+Q90+Q92</f>
        <v>97696139.821111217</v>
      </c>
      <c r="R97" s="442">
        <f>$Q$97/G6</f>
        <v>190.0093896375466</v>
      </c>
      <c r="S97" s="442">
        <f>Q97/G7</f>
        <v>236.01020179575644</v>
      </c>
      <c r="T97" s="443">
        <f>Q97/G8</f>
        <v>226148.47180812783</v>
      </c>
      <c r="U97" s="437"/>
      <c r="V97" s="468"/>
      <c r="W97" s="554"/>
      <c r="X97" s="554"/>
      <c r="Y97" s="554"/>
      <c r="Z97" s="443"/>
      <c r="AA97" s="443"/>
      <c r="AB97" s="468"/>
      <c r="AC97" s="351"/>
    </row>
    <row r="98" spans="2:29" ht="15.5" x14ac:dyDescent="0.35">
      <c r="B98" s="467"/>
      <c r="C98" s="3749" t="s">
        <v>608</v>
      </c>
      <c r="D98" s="3750"/>
      <c r="E98" s="439"/>
      <c r="F98" s="437"/>
      <c r="G98" s="438"/>
      <c r="H98" s="438"/>
      <c r="I98" s="437"/>
      <c r="J98" s="440"/>
      <c r="K98" s="437"/>
      <c r="L98" s="440"/>
      <c r="M98" s="437"/>
      <c r="N98" s="440"/>
      <c r="O98" s="437"/>
      <c r="P98" s="440"/>
      <c r="Q98" s="543">
        <f>Q89+Q90+Q93</f>
        <v>96780664.110583216</v>
      </c>
      <c r="R98" s="442">
        <f>$Q$98/G6</f>
        <v>188.22887936043699</v>
      </c>
      <c r="S98" s="442">
        <f>Q98/G7</f>
        <v>233.79863430110976</v>
      </c>
      <c r="T98" s="443">
        <f>Q98/G8</f>
        <v>224029.31507079449</v>
      </c>
      <c r="U98" s="437"/>
      <c r="V98" s="468"/>
      <c r="W98" s="554"/>
      <c r="X98" s="554"/>
      <c r="Y98" s="554"/>
      <c r="Z98" s="443"/>
      <c r="AA98" s="443"/>
      <c r="AB98" s="468"/>
      <c r="AC98" s="351"/>
    </row>
    <row r="99" spans="2:29" hidden="1" x14ac:dyDescent="0.35">
      <c r="B99" s="467"/>
      <c r="C99" s="3749" t="s">
        <v>609</v>
      </c>
      <c r="D99" s="3750"/>
      <c r="E99" s="439"/>
      <c r="F99" s="437"/>
      <c r="G99" s="438"/>
      <c r="H99" s="438"/>
      <c r="I99" s="437"/>
      <c r="J99" s="440"/>
      <c r="K99" s="437"/>
      <c r="L99" s="440"/>
      <c r="M99" s="437"/>
      <c r="N99" s="440"/>
      <c r="O99" s="437"/>
      <c r="P99" s="440"/>
      <c r="Q99" s="441">
        <f>Q89+Q90+Q94</f>
        <v>95865188.40005523</v>
      </c>
      <c r="R99" s="442">
        <f>$Q$99/G6</f>
        <v>186.44836908332744</v>
      </c>
      <c r="S99" s="442">
        <f>Q99/G7</f>
        <v>231.5870668064631</v>
      </c>
      <c r="T99" s="443">
        <f>Q99/G8</f>
        <v>221910.15833346118</v>
      </c>
      <c r="U99" s="437"/>
      <c r="V99" s="468"/>
      <c r="W99" s="554"/>
      <c r="X99" s="554"/>
      <c r="Y99" s="554"/>
      <c r="Z99" s="443"/>
      <c r="AA99" s="443"/>
      <c r="AB99" s="468"/>
      <c r="AC99" s="351"/>
    </row>
    <row r="100" spans="2:29" ht="16.5" customHeight="1" x14ac:dyDescent="0.35">
      <c r="B100" s="469"/>
      <c r="C100" s="510"/>
      <c r="D100" s="470" t="s">
        <v>610</v>
      </c>
      <c r="E100" s="471"/>
      <c r="F100" s="472">
        <f>F89*$AC$100</f>
        <v>832398.56925106049</v>
      </c>
      <c r="G100" s="473"/>
      <c r="H100" s="473"/>
      <c r="I100" s="473"/>
      <c r="J100" s="474"/>
      <c r="K100" s="472">
        <f>K89*$AC$100</f>
        <v>169611.66654023802</v>
      </c>
      <c r="L100" s="474"/>
      <c r="M100" s="472">
        <f>M89*$AC$100</f>
        <v>35859.240310647001</v>
      </c>
      <c r="N100" s="474"/>
      <c r="O100" s="472">
        <f>O89*$AC$100</f>
        <v>7182.7205302864922</v>
      </c>
      <c r="P100" s="474"/>
      <c r="Q100" s="472">
        <f>Q89*$AC$100</f>
        <v>1044039.6966322323</v>
      </c>
      <c r="R100" s="473"/>
      <c r="S100" s="473"/>
      <c r="T100" s="473"/>
      <c r="U100" s="475">
        <f t="shared" ref="U100" si="69">Q100/$Q$89</f>
        <v>0.01</v>
      </c>
      <c r="V100" s="511"/>
      <c r="W100" s="555"/>
      <c r="X100" s="555"/>
      <c r="Y100" s="555"/>
      <c r="Z100" s="476"/>
      <c r="AA100" s="477"/>
      <c r="AB100" s="478"/>
      <c r="AC100" s="197">
        <v>0.01</v>
      </c>
    </row>
    <row r="101" spans="2:29" x14ac:dyDescent="0.35">
      <c r="B101" s="73"/>
      <c r="C101" s="73"/>
      <c r="D101" s="73"/>
      <c r="F101" s="323">
        <v>82528900</v>
      </c>
      <c r="G101" s="323"/>
      <c r="H101" s="323"/>
      <c r="I101" s="323"/>
      <c r="J101" s="323"/>
      <c r="K101" s="323">
        <v>16729139</v>
      </c>
      <c r="L101" s="323"/>
      <c r="M101" s="323">
        <v>3510984</v>
      </c>
      <c r="N101" s="323"/>
      <c r="O101" s="323">
        <v>724943</v>
      </c>
      <c r="Q101" s="323">
        <v>103340051</v>
      </c>
    </row>
    <row r="102" spans="2:29" x14ac:dyDescent="0.35">
      <c r="B102" s="73"/>
      <c r="C102" s="73"/>
      <c r="D102" s="73"/>
      <c r="F102" s="323">
        <f>F89/Q89*Q78</f>
        <v>3093795.18282477</v>
      </c>
      <c r="K102" s="323">
        <f>K89/Q89*Q78</f>
        <v>630399.63819880271</v>
      </c>
      <c r="M102" s="323">
        <f>M89/Q89*Q78</f>
        <v>133278.87508582976</v>
      </c>
      <c r="Q102" s="323">
        <f>F73+K73+M73+O73</f>
        <v>93168395.452799991</v>
      </c>
      <c r="U102" s="149"/>
      <c r="V102" s="149"/>
      <c r="W102" s="149"/>
      <c r="X102" s="149"/>
      <c r="Y102" s="149"/>
      <c r="Z102">
        <v>4079272</v>
      </c>
      <c r="AA102" s="383">
        <f>Q73-Z73</f>
        <v>1657647.0172500014</v>
      </c>
    </row>
    <row r="103" spans="2:29" x14ac:dyDescent="0.35">
      <c r="B103" s="73"/>
      <c r="C103" s="73"/>
      <c r="D103" s="73"/>
      <c r="F103" s="323">
        <f>F89/Q89*Q79</f>
        <v>470081.17203193862</v>
      </c>
      <c r="K103" s="323">
        <f>K89/Q89*Q79</f>
        <v>95784.944788243156</v>
      </c>
      <c r="M103" s="323">
        <f>M89/Q89*Q79</f>
        <v>20250.820143252433</v>
      </c>
      <c r="Q103" s="323">
        <f>F77+K77+M77+O77</f>
        <v>94100079.40732798</v>
      </c>
      <c r="AA103" s="383">
        <f>Q77-Z77</f>
        <v>1674223.487422511</v>
      </c>
    </row>
    <row r="104" spans="2:29" x14ac:dyDescent="0.35">
      <c r="B104" s="73"/>
      <c r="C104" s="73"/>
      <c r="D104" s="73"/>
      <c r="Q104" s="323">
        <f>F86+K86+M86+O86</f>
        <v>100485788.13771462</v>
      </c>
      <c r="U104" s="323">
        <f>Q89-Z89</f>
        <v>909202.09877733886</v>
      </c>
      <c r="V104" s="323"/>
      <c r="W104" s="323"/>
      <c r="X104" s="323"/>
      <c r="Y104" s="323"/>
      <c r="AA104" s="383">
        <f>Q86-Z86</f>
        <v>874232.78728590906</v>
      </c>
    </row>
    <row r="105" spans="2:29" x14ac:dyDescent="0.35">
      <c r="B105" s="73"/>
      <c r="C105" s="73"/>
      <c r="D105" s="73"/>
      <c r="K105" s="323">
        <f>O81+M81+K81+F81</f>
        <v>413360.20400000003</v>
      </c>
      <c r="Q105" s="323">
        <f>O89+M89+K89+F89</f>
        <v>104505219.66322321</v>
      </c>
      <c r="S105" s="542">
        <f>Q89/432</f>
        <v>241675.85570190562</v>
      </c>
      <c r="AA105" s="383">
        <f>Q89-Z89</f>
        <v>909202.09877733886</v>
      </c>
    </row>
    <row r="106" spans="2:29" x14ac:dyDescent="0.35">
      <c r="B106" s="73"/>
      <c r="C106" s="73"/>
      <c r="D106" s="73"/>
      <c r="K106" s="323">
        <f>O83+M83+K83+F83</f>
        <v>326089.38408480003</v>
      </c>
      <c r="U106" s="149"/>
      <c r="V106" s="149"/>
      <c r="W106" s="149"/>
      <c r="X106" s="149"/>
      <c r="Y106" s="149"/>
      <c r="AA106" s="383">
        <f>Q95-Z95</f>
        <v>101358042.66322322</v>
      </c>
    </row>
    <row r="107" spans="2:29" x14ac:dyDescent="0.35">
      <c r="B107" s="73"/>
      <c r="C107" s="73"/>
      <c r="D107" s="73"/>
      <c r="K107" s="323">
        <f>O82+M82+K82+F82</f>
        <v>1176250.9925915999</v>
      </c>
      <c r="M107" s="235">
        <f>Q73/Q89</f>
        <v>0.89238364933186043</v>
      </c>
      <c r="Q107" s="323">
        <f>O78+M78+K78+F78</f>
        <v>3880406.6987102395</v>
      </c>
    </row>
    <row r="108" spans="2:29" x14ac:dyDescent="0.35">
      <c r="B108" s="73"/>
      <c r="C108" s="73"/>
      <c r="D108" s="73"/>
    </row>
    <row r="109" spans="2:29" ht="15.75" customHeight="1" x14ac:dyDescent="0.35">
      <c r="B109" s="73"/>
      <c r="C109" s="73"/>
      <c r="D109" s="73"/>
      <c r="Q109" s="73"/>
      <c r="R109" s="3736" t="s">
        <v>611</v>
      </c>
      <c r="S109" s="3737"/>
      <c r="T109" s="3737"/>
      <c r="U109" s="3738"/>
      <c r="V109" s="488"/>
      <c r="W109" s="488"/>
      <c r="X109" s="488"/>
      <c r="Y109" s="488"/>
    </row>
    <row r="110" spans="2:29" x14ac:dyDescent="0.35">
      <c r="B110" s="73"/>
      <c r="C110" s="73"/>
      <c r="D110" s="73"/>
      <c r="Q110" s="73"/>
      <c r="R110" s="369" t="s">
        <v>612</v>
      </c>
      <c r="S110" s="370" t="s">
        <v>613</v>
      </c>
      <c r="T110" s="371" t="s">
        <v>614</v>
      </c>
      <c r="U110" s="372" t="s">
        <v>615</v>
      </c>
      <c r="V110" s="489"/>
      <c r="W110" s="489"/>
      <c r="X110" s="489"/>
      <c r="Y110" s="489"/>
    </row>
    <row r="111" spans="2:29" x14ac:dyDescent="0.35">
      <c r="B111" s="73"/>
      <c r="C111" s="73"/>
      <c r="D111" s="73"/>
      <c r="Q111" s="373" t="s">
        <v>616</v>
      </c>
      <c r="R111" s="374"/>
      <c r="S111" s="375"/>
      <c r="T111" s="376"/>
      <c r="U111" s="377"/>
    </row>
    <row r="112" spans="2:29" x14ac:dyDescent="0.35">
      <c r="Q112" s="373" t="s">
        <v>617</v>
      </c>
      <c r="R112" s="925"/>
      <c r="S112" s="926">
        <f>'GCS&amp;GRS HB'!L161*'Labor Rates Calculator'!G43</f>
        <v>3071035.6829435378</v>
      </c>
      <c r="T112" s="927">
        <f>Q78</f>
        <v>3880406.6987102395</v>
      </c>
      <c r="U112" s="378">
        <f>T112-S112</f>
        <v>809371.01576670166</v>
      </c>
      <c r="V112" s="323"/>
      <c r="W112" s="323"/>
      <c r="X112" s="323"/>
      <c r="Y112" s="323"/>
      <c r="Z112" s="235">
        <f>U112/S112</f>
        <v>0.26354985722306318</v>
      </c>
    </row>
    <row r="113" spans="13:25" x14ac:dyDescent="0.35">
      <c r="Q113" s="373" t="s">
        <v>618</v>
      </c>
      <c r="R113" s="928">
        <v>1.0999999999999999E-2</v>
      </c>
      <c r="S113" s="926">
        <f>Q73*R113</f>
        <v>1024852.3499807998</v>
      </c>
      <c r="T113" s="927">
        <f>Q82</f>
        <v>1176250.9925915999</v>
      </c>
      <c r="U113" s="378">
        <f>T113-S113</f>
        <v>151398.6426108001</v>
      </c>
      <c r="V113" s="323"/>
      <c r="W113" s="323"/>
      <c r="X113" s="323"/>
      <c r="Y113" s="323"/>
    </row>
    <row r="114" spans="13:25" x14ac:dyDescent="0.35">
      <c r="Q114" s="373" t="s">
        <v>619</v>
      </c>
      <c r="R114" s="929"/>
      <c r="S114" s="930"/>
      <c r="T114" s="931"/>
      <c r="U114" s="434">
        <v>-200000</v>
      </c>
      <c r="V114" s="490"/>
      <c r="W114" s="490"/>
      <c r="X114" s="490"/>
      <c r="Y114" s="490"/>
    </row>
    <row r="115" spans="13:25" x14ac:dyDescent="0.35">
      <c r="Q115" s="373" t="s">
        <v>620</v>
      </c>
      <c r="R115" s="932"/>
      <c r="S115" s="933"/>
      <c r="T115" s="934"/>
      <c r="U115" s="379">
        <f>Q87</f>
        <v>4019431.5255085859</v>
      </c>
      <c r="V115" s="323"/>
      <c r="W115" s="323"/>
      <c r="X115" s="323"/>
      <c r="Y115" s="323"/>
    </row>
    <row r="116" spans="13:25" x14ac:dyDescent="0.35">
      <c r="Q116" s="380"/>
      <c r="S116" s="323"/>
      <c r="U116" s="381">
        <f>SUM(U112:U115)</f>
        <v>4780201.1838860875</v>
      </c>
      <c r="V116" s="382">
        <f>U116/Q89</f>
        <v>4.5785626727658187E-2</v>
      </c>
      <c r="W116" s="381"/>
      <c r="X116" s="381"/>
      <c r="Y116" s="381"/>
    </row>
    <row r="118" spans="13:25" x14ac:dyDescent="0.35">
      <c r="M118" s="935" t="s">
        <v>171</v>
      </c>
      <c r="N118" s="936"/>
      <c r="O118" s="936"/>
      <c r="P118" s="936"/>
      <c r="Q118" s="937">
        <f>Q73-Q13-Q14-Q16-Q27</f>
        <v>91547571.052799985</v>
      </c>
    </row>
  </sheetData>
  <mergeCells count="13">
    <mergeCell ref="R109:U109"/>
    <mergeCell ref="F10:I10"/>
    <mergeCell ref="B1:C1"/>
    <mergeCell ref="B4:D4"/>
    <mergeCell ref="C77:D77"/>
    <mergeCell ref="C86:D86"/>
    <mergeCell ref="C89:D89"/>
    <mergeCell ref="C95:D95"/>
    <mergeCell ref="C73:D73"/>
    <mergeCell ref="C96:D96"/>
    <mergeCell ref="C97:D97"/>
    <mergeCell ref="C98:D98"/>
    <mergeCell ref="C99:D99"/>
  </mergeCells>
  <hyperlinks>
    <hyperlink ref="B14" location="'01A Surveying'!A1" display="01A" xr:uid="{8E8C6C1C-02F0-4081-8A53-A88A6D232623}"/>
    <hyperlink ref="B53" location="'14A Elevators'!A1" display="14A" xr:uid="{EE585A36-060D-45C6-9E25-B9233DA5D581}"/>
    <hyperlink ref="B18" location="'03A Concrete'!A1" display="03A" xr:uid="{9756DEC6-0795-497B-9184-1DC00B1C57DE}"/>
    <hyperlink ref="B23" location="'05C Misc. Metals'!A1" display="05C" xr:uid="{18BEF301-1B59-4C05-9911-B74296AFD5E2}"/>
    <hyperlink ref="B27" location="'06A Rough Carpentry'!A1" display="06A" xr:uid="{245256BE-820C-470E-A32C-C75FF08749FD}"/>
    <hyperlink ref="B29" location="'06D Interior Finish Carpentry'!A1" display="06D" xr:uid="{52666778-8260-4384-A938-091A6226208D}"/>
    <hyperlink ref="B30" location="'06F Millwork'!A1" display="06F" xr:uid="{14BC477D-D3AC-4480-AD62-4C8FC6303AA8}"/>
    <hyperlink ref="B34" location="'07E Caulking &amp; Waterproofing'!A1" display="07E" xr:uid="{B14A5544-AF99-4DB3-8C77-B6E2701A5C1A}"/>
    <hyperlink ref="B33" location="'07D Roofing'!A1" display="07D" xr:uid="{77261076-E384-4BC4-84A5-D12BDAFE0DCA}"/>
    <hyperlink ref="B37" location="'08C Glass and Glazing'!A1" display="08C" xr:uid="{8725BAF2-6888-4710-8C23-1A61F2912952}"/>
    <hyperlink ref="B39" location="'09A Stucco'!A1" display="09A" xr:uid="{95BB78F4-0BD5-4CE1-B9C5-F5F6C08552FF}"/>
    <hyperlink ref="B35" location="'08A Doors, Frames, &amp; Hardware'!A1" display="08A" xr:uid="{A27C7CF1-5397-4929-B1F5-782515E249DA}"/>
    <hyperlink ref="B36" location="'08B Overhead Coiling Doors'!A1" display="08B" xr:uid="{68EDEF7F-A5DA-4CDA-80BE-875E70953F19}"/>
    <hyperlink ref="B38" location="'08E Mirrors'!A1" display="08E" xr:uid="{08BD111F-E37E-4896-B166-F277DFA010BB}"/>
    <hyperlink ref="B40" location="'09B Drywall&amp;Framing'!A1" display="09B" xr:uid="{CF3834EC-F56A-4DEA-AC77-95FE43B83EB7}"/>
    <hyperlink ref="B41" location="'09E Tile &amp; Stone'!A1" display="09E" xr:uid="{EE5EE951-0375-4158-BF58-3BC1F1E90EDB}"/>
    <hyperlink ref="B44" location="'10C Toilet Partitions &amp; Bath'!A1" display="10C" xr:uid="{FE5C09F1-8F66-4A61-9B02-35B391D89D36}"/>
    <hyperlink ref="B45" location="'10D Shower Enclosures'!A1" display="10D" xr:uid="{9A599101-2322-49AA-BEEE-93A3C6734190}"/>
    <hyperlink ref="B46" location="'10J Postal Specialties'!A1" display="10J" xr:uid="{21CF9259-30A9-4BF4-9FFA-8A7C5FDE5FFC}"/>
    <hyperlink ref="B47" location="'10K Metal Shelving'!A1" display="10K" xr:uid="{33AD40E0-3C44-4E85-A53F-02A55BEF866C}"/>
    <hyperlink ref="B48" location="'11C Appliances'!A1" display="11C" xr:uid="{2FF1B20D-4FF2-4174-AD9C-FE7BE76AE17E}"/>
    <hyperlink ref="B49" location="'12A Window Treatment'!A1" display="12A" xr:uid="{F3E83802-D63B-4BBB-9565-D40A664DB1FE}"/>
    <hyperlink ref="B55" location="'21A Fire Sprinkler'!A1" display="21A" xr:uid="{4A8007BD-49A9-47A0-88AC-C31A90572A09}"/>
    <hyperlink ref="B56" location="'22A Plumbing '!A1" display="22A" xr:uid="{A793DFDE-06FD-4F67-B53E-62B5C3B659AA}"/>
    <hyperlink ref="B59" location="'23A HVAC'!A1" display="23A" xr:uid="{65E768D4-C9C3-4345-AFD0-01DC2C9D25B9}"/>
    <hyperlink ref="B60" location="'26A Electrical'!A1" display="26A" xr:uid="{13E3050E-4BE3-4241-9993-5DD20B1B74F5}"/>
    <hyperlink ref="B67" location="'31A Sitework'!A1" display="31A" xr:uid="{AE3A21CF-A649-45F2-8BDB-04241D3A4CBB}"/>
    <hyperlink ref="B71" location="'32C Landscape and Irrigation'!A1" display="32C" xr:uid="{8FEA8996-F06C-4357-BD10-52A793765A39}"/>
    <hyperlink ref="B22" location="'05A Structural Steel'!A1" display="05A" xr:uid="{E682B9D5-737F-4703-BD38-3262DAB69A47}"/>
    <hyperlink ref="B28" location="'06C Wood Trusses'!A1" display="06C" xr:uid="{10432B55-CE22-4ABB-AFDD-AE26A60EBB41}"/>
    <hyperlink ref="B31" location="'07B Sprayed Insulation'!A1" display="07B" xr:uid="{782983C3-B152-40BC-9770-76C8E2FCA1DF}"/>
    <hyperlink ref="B32" location="'07C Fireproofing&amp;Firestopping'!A1" display="07C" xr:uid="{154F6922-1971-44ED-A3E8-124DED966544}"/>
    <hyperlink ref="B51" location="'13B Swimming Pools'!A1" display="13B" xr:uid="{017B3075-5FF3-49C5-B821-0310C7276BD3}"/>
    <hyperlink ref="B65" location="'28A Low Voltage'!A1" display="28A" xr:uid="{4D231228-6B6F-43DE-9B3A-204B6695B24E}"/>
    <hyperlink ref="B68" location="'31D Soil Improvements'!A1" display="31D" xr:uid="{DD4374C6-2B50-47C1-A9C7-38E4346EC123}"/>
    <hyperlink ref="B70" location="'32B Site Furnishings'!A1" display="32B" xr:uid="{C56C89C3-1980-4D17-A0CA-5F3370443573}"/>
    <hyperlink ref="B69" location="'32A Pavers'!A1" display="32A" xr:uid="{99FA0C21-CB2A-48B1-854A-C036756A001E}"/>
    <hyperlink ref="B72" location="'32D Fencing'!A1" display="32D" xr:uid="{6F68D803-173D-44E1-A0CD-971461120E13}"/>
    <hyperlink ref="B54" location="'14B Chutes&amp;Collectors'!A1" display="14B" xr:uid="{E017E31A-5351-4766-8F8A-5CFB733BCF93}"/>
    <hyperlink ref="B16" location="'01C Final Cleaning'!A1" display="01C" xr:uid="{0B3311B5-5D90-4AC6-BB78-E389D08D5DB3}"/>
    <hyperlink ref="B17" location="'02A Demolition'!A1" display="02A" xr:uid="{2E182E81-C245-4C9A-9E69-B2CFC006AC06}"/>
    <hyperlink ref="B42" location="'09I Painting'!A1" display="09I" xr:uid="{EA340A71-30F9-4761-A3A2-39A59071C627}"/>
    <hyperlink ref="B50" location="'12B Residential Cabinets &amp; Tops'!A1" display="12B" xr:uid="{BB5C2871-E86F-4D3A-B5AA-73DE6039B756}"/>
    <hyperlink ref="B52" location="'13C Awnings,Canopies,Shutters'!A1" display="13C" xr:uid="{DBB834C2-FA84-4158-84B8-0468942BDDD3}"/>
    <hyperlink ref="B63" location="'27A Fire Alarm'!A1" display="27A" xr:uid="{AF6BF111-70FD-4F06-91DB-0C42C7183979}"/>
    <hyperlink ref="B15" location="'01B Material Testing'!A1" display="01B" xr:uid="{4F7B58FB-ADDC-4B81-8A0F-B348D1E19308}"/>
    <hyperlink ref="B20" location="'04A Masonry'!A1" display="04A" xr:uid="{C9AD2A97-32B6-4890-8723-EDD0EB79013D}"/>
    <hyperlink ref="B61" location="'26A Electrical'!A1" display="26A" xr:uid="{B671337F-FEF4-4BD7-95E8-0DE5DF1D0AE0}"/>
    <hyperlink ref="B62" location="'26A Electrical'!A1" display="26A" xr:uid="{1FC4CE02-20A7-45E2-9916-93DE544EB72F}"/>
    <hyperlink ref="B66" location="'28A Low Voltage'!A1" display="28A" xr:uid="{ADC56317-3F0E-4EA2-A1C5-AA03FC8CD8B2}"/>
    <hyperlink ref="B19" location="'03A Concrete'!A1" display="03A" xr:uid="{8DC1E2C1-6FF4-41F6-A96B-782DF09861FF}"/>
    <hyperlink ref="B21" location="'04B Stone Veneer'!A1" display="04B" xr:uid="{1F646625-C9D9-450F-AA0C-E62AB95F70F9}"/>
    <hyperlink ref="B24" location="'05C Misc. Metals'!A1" display="05C" xr:uid="{60F0BC53-4FBE-488F-9ED8-5DE38B5D1D01}"/>
    <hyperlink ref="B43" location="'10C Toilet Partitions &amp; Bath'!A1" display="10C" xr:uid="{0C2D05B6-72D9-4E1A-97FB-E0AC9C6DC3AA}"/>
    <hyperlink ref="B26" location="'05C Misc. Metals'!A1" display="05C" xr:uid="{4491491C-8D71-4BD1-862A-E8F0657FD428}"/>
    <hyperlink ref="B25" location="'05C Misc. Metals'!A1" display="05C" xr:uid="{E3B8026B-B392-4CAA-BA5F-2565BECE7405}"/>
    <hyperlink ref="B57" location="'22A Plumbing '!A1" display="22A" xr:uid="{E32A5182-993C-40A2-8DAD-5F1B2A3224E3}"/>
    <hyperlink ref="B58" location="'22A Plumbing '!A1" display="22A" xr:uid="{9EE8DFFF-CF6F-4906-803D-74337457C744}"/>
  </hyperlinks>
  <printOptions horizontalCentered="1"/>
  <pageMargins left="0.2" right="0.2" top="0.75" bottom="1" header="0.3" footer="0.3"/>
  <pageSetup paperSize="3" scale="78" fitToHeight="2" orientation="landscape" r:id="rId1"/>
  <headerFooter>
    <oddFooter>&amp;L&amp;Z&amp;F</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870E-D281-484B-97D7-08D5177ADBF6}">
  <dimension ref="A1:AH138"/>
  <sheetViews>
    <sheetView zoomScale="89" zoomScaleNormal="89" workbookViewId="0">
      <pane xSplit="2" ySplit="9" topLeftCell="C20" activePane="bottomRight" state="frozen"/>
      <selection pane="topRight" activeCell="C1" sqref="C1"/>
      <selection pane="bottomLeft" activeCell="A10" sqref="A10"/>
      <selection pane="bottomRight"/>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2.81640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x14ac:dyDescent="0.35">
      <c r="E2" s="87"/>
      <c r="F2" s="122" t="s">
        <v>622</v>
      </c>
      <c r="G2" s="123" t="s">
        <v>451</v>
      </c>
      <c r="H2" s="3751"/>
      <c r="I2" s="3751"/>
      <c r="J2" s="3751"/>
      <c r="K2" s="3751"/>
      <c r="L2" s="3751"/>
      <c r="M2" s="3751"/>
      <c r="N2" s="3751"/>
      <c r="O2" s="3751"/>
      <c r="P2" s="3751"/>
      <c r="Q2" s="3751"/>
      <c r="R2" s="3751"/>
      <c r="S2" s="3751"/>
    </row>
    <row r="3" spans="1:19" ht="19.5" x14ac:dyDescent="0.35">
      <c r="B3" s="137" t="s">
        <v>623</v>
      </c>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v>0</v>
      </c>
      <c r="C4" s="5"/>
      <c r="D4" s="5"/>
      <c r="E4" s="5"/>
      <c r="F4" s="5"/>
      <c r="G4" s="6" t="s">
        <v>632</v>
      </c>
      <c r="H4" s="3752" t="s">
        <v>633</v>
      </c>
      <c r="I4" s="3753"/>
      <c r="J4" s="3752"/>
      <c r="K4" s="3753"/>
      <c r="L4" s="3752"/>
      <c r="M4" s="3753"/>
      <c r="N4" s="3752"/>
      <c r="O4" s="3753"/>
      <c r="P4" s="3752"/>
      <c r="Q4" s="3753"/>
      <c r="R4" s="3752"/>
      <c r="S4" s="3753"/>
    </row>
    <row r="5" spans="1:19" x14ac:dyDescent="0.35">
      <c r="A5" s="688" t="s">
        <v>634</v>
      </c>
      <c r="B5" s="641" t="s">
        <v>635</v>
      </c>
      <c r="C5" s="642"/>
      <c r="D5" s="642"/>
      <c r="E5" s="642"/>
      <c r="F5" s="642"/>
      <c r="G5" s="643" t="s">
        <v>636</v>
      </c>
      <c r="H5" s="3758" t="s">
        <v>637</v>
      </c>
      <c r="I5" s="3759"/>
      <c r="J5" s="3758"/>
      <c r="K5" s="3759"/>
      <c r="L5" s="3758"/>
      <c r="M5" s="3759"/>
      <c r="N5" s="3758"/>
      <c r="O5" s="3759"/>
      <c r="P5" s="3758"/>
      <c r="Q5" s="3759"/>
      <c r="R5" s="3758"/>
      <c r="S5" s="3759"/>
    </row>
    <row r="6" spans="1:19" x14ac:dyDescent="0.35">
      <c r="A6" s="688" t="s">
        <v>638</v>
      </c>
      <c r="B6" s="644"/>
      <c r="C6" s="642"/>
      <c r="D6" s="642"/>
      <c r="E6" s="642"/>
      <c r="F6" s="642"/>
      <c r="G6" s="680" t="s">
        <v>639</v>
      </c>
      <c r="H6" s="3756" t="s">
        <v>640</v>
      </c>
      <c r="I6" s="3757"/>
      <c r="J6" s="3756"/>
      <c r="K6" s="3757"/>
      <c r="L6" s="3756"/>
      <c r="M6" s="3757"/>
      <c r="N6" s="3756"/>
      <c r="O6" s="3757"/>
      <c r="P6" s="3756"/>
      <c r="Q6" s="3757"/>
      <c r="R6" s="3756"/>
      <c r="S6" s="3757"/>
    </row>
    <row r="7" spans="1:19" x14ac:dyDescent="0.35">
      <c r="A7" s="688" t="s">
        <v>641</v>
      </c>
      <c r="B7" s="645"/>
      <c r="C7" s="642"/>
      <c r="D7" s="642"/>
      <c r="E7" s="642"/>
      <c r="F7" s="642"/>
      <c r="G7" s="680" t="s">
        <v>642</v>
      </c>
      <c r="H7" s="3762" t="s">
        <v>643</v>
      </c>
      <c r="I7" s="3763"/>
      <c r="J7" s="3762"/>
      <c r="K7" s="3763"/>
      <c r="L7" s="3762"/>
      <c r="M7" s="3763"/>
      <c r="N7" s="3762"/>
      <c r="O7" s="3763"/>
      <c r="P7" s="3762"/>
      <c r="Q7" s="3763"/>
      <c r="R7" s="3762"/>
      <c r="S7" s="3763"/>
    </row>
    <row r="8" spans="1:19" x14ac:dyDescent="0.35">
      <c r="A8" s="938" t="s">
        <v>644</v>
      </c>
      <c r="B8" s="939"/>
      <c r="C8" s="940"/>
      <c r="D8" s="940"/>
      <c r="E8" s="940"/>
      <c r="F8" s="940"/>
      <c r="G8" s="938" t="s">
        <v>644</v>
      </c>
      <c r="H8" s="3760">
        <f>I99</f>
        <v>0</v>
      </c>
      <c r="I8" s="3761"/>
      <c r="J8" s="3760">
        <f>K99</f>
        <v>0</v>
      </c>
      <c r="K8" s="3761"/>
      <c r="L8" s="3760">
        <f>M99</f>
        <v>0</v>
      </c>
      <c r="M8" s="3761"/>
      <c r="N8" s="3760">
        <f>O99</f>
        <v>0</v>
      </c>
      <c r="O8" s="3761"/>
      <c r="P8" s="3760">
        <f>Q99</f>
        <v>0</v>
      </c>
      <c r="Q8" s="3761"/>
      <c r="R8" s="3760">
        <f>S99</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941"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v>0</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v>0</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v>0</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v>0</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v>0</v>
      </c>
      <c r="C15" s="647" t="s">
        <v>654</v>
      </c>
      <c r="D15" s="642"/>
      <c r="E15" s="642"/>
      <c r="F15" s="642"/>
      <c r="G15" s="646"/>
      <c r="H15" s="942"/>
      <c r="I15" s="942"/>
      <c r="J15" s="942"/>
      <c r="K15" s="942"/>
      <c r="L15" s="942"/>
      <c r="M15" s="942"/>
      <c r="N15" s="942"/>
      <c r="O15" s="942"/>
      <c r="P15" s="942"/>
      <c r="Q15" s="942"/>
      <c r="R15" s="942"/>
      <c r="S15" s="942"/>
    </row>
    <row r="16" spans="1:19" hidden="1" x14ac:dyDescent="0.35">
      <c r="A16" s="689"/>
      <c r="B16" s="641">
        <v>0</v>
      </c>
      <c r="C16" s="647" t="s">
        <v>654</v>
      </c>
      <c r="D16" s="642"/>
      <c r="E16" s="642"/>
      <c r="F16" s="642"/>
      <c r="G16" s="646"/>
      <c r="H16" s="942"/>
      <c r="I16" s="942"/>
      <c r="J16" s="942"/>
      <c r="K16" s="942"/>
      <c r="L16" s="942"/>
      <c r="M16" s="942"/>
      <c r="N16" s="942"/>
      <c r="O16" s="942"/>
      <c r="P16" s="942"/>
      <c r="Q16" s="942"/>
      <c r="R16" s="942"/>
      <c r="S16" s="942"/>
    </row>
    <row r="17" spans="1:19" hidden="1" x14ac:dyDescent="0.35">
      <c r="A17" s="689"/>
      <c r="B17" s="641">
        <v>0</v>
      </c>
      <c r="C17" s="647" t="s">
        <v>654</v>
      </c>
      <c r="D17" s="642"/>
      <c r="E17" s="642"/>
      <c r="F17" s="642"/>
      <c r="G17" s="646"/>
      <c r="H17" s="942"/>
      <c r="I17" s="942"/>
      <c r="J17" s="942"/>
      <c r="K17" s="942"/>
      <c r="L17" s="942"/>
      <c r="M17" s="942"/>
      <c r="N17" s="942"/>
      <c r="O17" s="942"/>
      <c r="P17" s="942"/>
      <c r="Q17" s="942"/>
      <c r="R17" s="942"/>
      <c r="S17" s="942"/>
    </row>
    <row r="18" spans="1:19" hidden="1" x14ac:dyDescent="0.35">
      <c r="A18" s="689"/>
      <c r="B18" s="641">
        <v>0</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v>0</v>
      </c>
      <c r="C19" s="647" t="s">
        <v>654</v>
      </c>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944"/>
      <c r="B21" s="648" t="s">
        <v>655</v>
      </c>
      <c r="C21" s="647"/>
      <c r="D21" s="642"/>
      <c r="E21" s="642"/>
      <c r="F21" s="642"/>
      <c r="G21" s="646"/>
      <c r="H21" s="943"/>
      <c r="I21" s="630"/>
      <c r="J21" s="943"/>
      <c r="K21" s="632"/>
      <c r="L21" s="943"/>
      <c r="M21" s="632"/>
      <c r="N21" s="943"/>
      <c r="O21" s="632"/>
      <c r="P21" s="943"/>
      <c r="Q21" s="632"/>
      <c r="R21" s="943"/>
      <c r="S21" s="632"/>
    </row>
    <row r="22" spans="1:19" ht="15.5" hidden="1" x14ac:dyDescent="0.35">
      <c r="A22" s="944"/>
      <c r="B22" s="945" t="s">
        <v>656</v>
      </c>
      <c r="C22" s="647"/>
      <c r="D22" s="642"/>
      <c r="E22" s="642"/>
      <c r="F22" s="642"/>
      <c r="G22" s="646"/>
      <c r="H22" s="943"/>
      <c r="I22" s="630"/>
      <c r="J22" s="943"/>
      <c r="K22" s="632"/>
      <c r="L22" s="943"/>
      <c r="M22" s="632"/>
      <c r="N22" s="943"/>
      <c r="O22" s="632"/>
      <c r="P22" s="943"/>
      <c r="Q22" s="632"/>
      <c r="R22" s="943"/>
      <c r="S22" s="632"/>
    </row>
    <row r="23" spans="1:19" ht="15.5" x14ac:dyDescent="0.35">
      <c r="A23" s="946"/>
      <c r="B23" s="602" t="s">
        <v>657</v>
      </c>
      <c r="C23" s="681"/>
      <c r="D23" s="642"/>
      <c r="E23" s="642"/>
      <c r="F23" s="642"/>
      <c r="G23" s="646"/>
      <c r="H23" s="943"/>
      <c r="I23" s="630"/>
      <c r="J23" s="943"/>
      <c r="K23" s="83"/>
      <c r="L23" s="943"/>
      <c r="M23" s="632"/>
      <c r="N23" s="943"/>
      <c r="O23" s="632"/>
      <c r="P23" s="943"/>
      <c r="Q23" s="632"/>
      <c r="R23" s="943"/>
      <c r="S23" s="632"/>
    </row>
    <row r="24" spans="1:19" x14ac:dyDescent="0.35">
      <c r="A24" s="944"/>
      <c r="B24" s="947" t="s">
        <v>658</v>
      </c>
      <c r="C24" s="647"/>
      <c r="D24" s="642"/>
      <c r="E24" s="642"/>
      <c r="F24" s="642"/>
      <c r="G24" s="646"/>
      <c r="H24" s="943"/>
      <c r="I24" s="630"/>
      <c r="J24" s="943"/>
      <c r="K24" s="632"/>
      <c r="L24" s="943"/>
      <c r="M24" s="632"/>
      <c r="N24" s="943"/>
      <c r="O24" s="632"/>
      <c r="P24" s="943"/>
      <c r="Q24" s="632"/>
      <c r="R24" s="943"/>
      <c r="S24" s="632"/>
    </row>
    <row r="25" spans="1:19" x14ac:dyDescent="0.35">
      <c r="A25" s="683"/>
      <c r="B25" s="948" t="s">
        <v>659</v>
      </c>
      <c r="C25" s="647"/>
      <c r="D25" s="642"/>
      <c r="E25" s="642"/>
      <c r="F25" s="642"/>
      <c r="G25" s="646"/>
      <c r="H25" s="943"/>
      <c r="I25" s="630"/>
      <c r="J25" s="943"/>
      <c r="K25" s="632"/>
      <c r="L25" s="943"/>
      <c r="M25" s="632"/>
      <c r="N25" s="943"/>
      <c r="O25" s="632"/>
      <c r="P25" s="943"/>
      <c r="Q25" s="632"/>
      <c r="R25" s="943"/>
      <c r="S25" s="632"/>
    </row>
    <row r="26" spans="1:19" x14ac:dyDescent="0.35">
      <c r="A26" s="683"/>
      <c r="B26" s="949" t="s">
        <v>660</v>
      </c>
      <c r="C26" s="647"/>
      <c r="D26" s="642"/>
      <c r="E26" s="642"/>
      <c r="F26" s="642"/>
      <c r="G26" s="646"/>
      <c r="H26" s="943"/>
      <c r="I26" s="630"/>
      <c r="J26" s="943"/>
      <c r="K26" s="632"/>
      <c r="L26" s="943"/>
      <c r="M26" s="632"/>
      <c r="N26" s="943"/>
      <c r="O26" s="632"/>
      <c r="P26" s="943"/>
      <c r="Q26" s="632"/>
      <c r="R26" s="943"/>
      <c r="S26" s="632"/>
    </row>
    <row r="27" spans="1:19" x14ac:dyDescent="0.35">
      <c r="A27" s="683"/>
      <c r="B27" s="949" t="s">
        <v>661</v>
      </c>
      <c r="C27" s="647"/>
      <c r="D27" s="642"/>
      <c r="E27" s="642"/>
      <c r="F27" s="642"/>
      <c r="G27" s="646"/>
      <c r="H27" s="943"/>
      <c r="I27" s="630"/>
      <c r="J27" s="943"/>
      <c r="K27" s="630"/>
      <c r="L27" s="943"/>
      <c r="M27" s="630"/>
      <c r="N27" s="943"/>
      <c r="O27" s="630"/>
      <c r="P27" s="943"/>
      <c r="Q27" s="630"/>
      <c r="R27" s="943"/>
      <c r="S27" s="630"/>
    </row>
    <row r="28" spans="1:19" x14ac:dyDescent="0.35">
      <c r="A28" s="683"/>
      <c r="B28" s="949" t="s">
        <v>662</v>
      </c>
      <c r="C28" s="647"/>
      <c r="D28" s="642"/>
      <c r="E28" s="642"/>
      <c r="F28" s="642"/>
      <c r="G28" s="646"/>
      <c r="H28" s="943"/>
      <c r="I28" s="630"/>
      <c r="J28" s="943"/>
      <c r="K28" s="632"/>
      <c r="L28" s="943"/>
      <c r="M28" s="632"/>
      <c r="N28" s="943"/>
      <c r="O28" s="632"/>
      <c r="P28" s="943"/>
      <c r="Q28" s="632"/>
      <c r="R28" s="943"/>
      <c r="S28" s="632"/>
    </row>
    <row r="29" spans="1:19" x14ac:dyDescent="0.35">
      <c r="A29" s="683"/>
      <c r="B29" s="949" t="s">
        <v>663</v>
      </c>
      <c r="C29" s="647"/>
      <c r="D29" s="642"/>
      <c r="E29" s="642"/>
      <c r="F29" s="642"/>
      <c r="G29" s="646"/>
      <c r="H29" s="943"/>
      <c r="I29" s="630"/>
      <c r="J29" s="943"/>
      <c r="K29" s="632"/>
      <c r="L29" s="943"/>
      <c r="M29" s="632"/>
      <c r="N29" s="943"/>
      <c r="O29" s="632"/>
      <c r="P29" s="943"/>
      <c r="Q29" s="632"/>
      <c r="R29" s="943"/>
      <c r="S29" s="632"/>
    </row>
    <row r="30" spans="1:19" x14ac:dyDescent="0.35">
      <c r="A30" s="683"/>
      <c r="B30" s="950" t="s">
        <v>664</v>
      </c>
      <c r="C30" s="647"/>
      <c r="D30" s="642"/>
      <c r="E30" s="642"/>
      <c r="F30" s="642"/>
      <c r="G30" s="646"/>
      <c r="H30" s="943"/>
      <c r="I30" s="630"/>
      <c r="J30" s="943"/>
      <c r="K30" s="632"/>
      <c r="L30" s="943"/>
      <c r="M30" s="632"/>
      <c r="N30" s="943"/>
      <c r="O30" s="632"/>
      <c r="P30" s="943"/>
      <c r="Q30" s="632"/>
      <c r="R30" s="943"/>
      <c r="S30" s="632"/>
    </row>
    <row r="31" spans="1:19" x14ac:dyDescent="0.35">
      <c r="A31" s="683"/>
      <c r="B31" s="951" t="s">
        <v>665</v>
      </c>
      <c r="C31" s="649"/>
      <c r="D31" s="650">
        <v>1</v>
      </c>
      <c r="E31" s="650" t="s">
        <v>666</v>
      </c>
      <c r="F31" s="671"/>
      <c r="G31" s="952"/>
      <c r="H31" s="636"/>
      <c r="I31" s="953"/>
      <c r="J31" s="636"/>
      <c r="K31" s="954"/>
      <c r="L31" s="636"/>
      <c r="M31" s="954"/>
      <c r="N31" s="636"/>
      <c r="O31" s="954"/>
      <c r="P31" s="636"/>
      <c r="Q31" s="954"/>
      <c r="R31" s="636"/>
      <c r="S31" s="954"/>
    </row>
    <row r="32" spans="1:19" x14ac:dyDescent="0.35">
      <c r="A32" s="683"/>
      <c r="B32" s="955"/>
      <c r="C32" s="647"/>
      <c r="D32" s="642"/>
      <c r="E32" s="642"/>
      <c r="F32" s="654"/>
      <c r="G32" s="646"/>
      <c r="H32" s="943"/>
      <c r="I32" s="630"/>
      <c r="J32" s="943"/>
      <c r="K32" s="632"/>
      <c r="L32" s="943"/>
      <c r="M32" s="632"/>
      <c r="N32" s="943"/>
      <c r="O32" s="632"/>
      <c r="P32" s="943"/>
      <c r="Q32" s="632"/>
      <c r="R32" s="943"/>
      <c r="S32" s="632"/>
    </row>
    <row r="33" spans="1:19" x14ac:dyDescent="0.35">
      <c r="A33" s="683"/>
      <c r="B33" s="956" t="s">
        <v>667</v>
      </c>
      <c r="C33" s="647"/>
      <c r="D33" s="642"/>
      <c r="E33" s="642"/>
      <c r="F33" s="642"/>
      <c r="G33" s="646"/>
      <c r="H33" s="943"/>
      <c r="I33" s="630"/>
      <c r="J33" s="943"/>
      <c r="K33" s="632"/>
      <c r="L33" s="943"/>
      <c r="M33" s="632"/>
      <c r="N33" s="943"/>
      <c r="O33" s="632"/>
      <c r="P33" s="943"/>
      <c r="Q33" s="632"/>
      <c r="R33" s="943"/>
      <c r="S33" s="632"/>
    </row>
    <row r="34" spans="1:19" x14ac:dyDescent="0.35">
      <c r="A34" s="683"/>
      <c r="B34" s="957" t="s">
        <v>668</v>
      </c>
      <c r="C34" s="647"/>
      <c r="D34" s="642"/>
      <c r="E34" s="642"/>
      <c r="F34" s="642"/>
      <c r="G34" s="646"/>
      <c r="H34" s="943" t="s">
        <v>669</v>
      </c>
      <c r="I34" s="630"/>
      <c r="J34" s="943"/>
      <c r="K34" s="632"/>
      <c r="L34" s="943"/>
      <c r="M34" s="632"/>
      <c r="N34" s="943"/>
      <c r="O34" s="632"/>
      <c r="P34" s="943"/>
      <c r="Q34" s="632"/>
      <c r="R34" s="943"/>
      <c r="S34" s="632"/>
    </row>
    <row r="35" spans="1:19" x14ac:dyDescent="0.35">
      <c r="A35" s="683"/>
      <c r="B35" s="957" t="s">
        <v>670</v>
      </c>
      <c r="C35" s="669"/>
      <c r="D35" s="669"/>
      <c r="E35" s="642"/>
      <c r="F35" s="642"/>
      <c r="G35" s="646"/>
      <c r="H35" s="943" t="s">
        <v>671</v>
      </c>
      <c r="I35" s="630"/>
      <c r="J35" s="943"/>
      <c r="K35" s="632"/>
      <c r="L35" s="943"/>
      <c r="M35" s="630"/>
      <c r="N35" s="943"/>
      <c r="O35" s="630"/>
      <c r="P35" s="943"/>
      <c r="Q35" s="632"/>
      <c r="R35" s="943"/>
      <c r="S35" s="632"/>
    </row>
    <row r="36" spans="1:19" x14ac:dyDescent="0.35">
      <c r="A36" s="683"/>
      <c r="B36" s="957" t="s">
        <v>672</v>
      </c>
      <c r="C36" s="669"/>
      <c r="D36" s="669"/>
      <c r="E36" s="642"/>
      <c r="F36" s="642"/>
      <c r="G36" s="646"/>
      <c r="H36" s="943" t="s">
        <v>669</v>
      </c>
      <c r="I36" s="630"/>
      <c r="J36" s="943"/>
      <c r="K36" s="632"/>
      <c r="L36" s="943"/>
      <c r="M36" s="632"/>
      <c r="N36" s="943"/>
      <c r="O36" s="632"/>
      <c r="P36" s="943"/>
      <c r="Q36" s="632"/>
      <c r="R36" s="943"/>
      <c r="S36" s="632"/>
    </row>
    <row r="37" spans="1:19" x14ac:dyDescent="0.35">
      <c r="A37" s="683"/>
      <c r="B37" s="957" t="s">
        <v>673</v>
      </c>
      <c r="C37" s="669"/>
      <c r="D37" s="669"/>
      <c r="E37" s="642"/>
      <c r="F37" s="642"/>
      <c r="G37" s="646"/>
      <c r="H37" s="943" t="s">
        <v>669</v>
      </c>
      <c r="I37" s="630"/>
      <c r="J37" s="943"/>
      <c r="K37" s="632"/>
      <c r="L37" s="943"/>
      <c r="M37" s="632"/>
      <c r="N37" s="943"/>
      <c r="O37" s="632"/>
      <c r="P37" s="943"/>
      <c r="Q37" s="632"/>
      <c r="R37" s="943"/>
      <c r="S37" s="632"/>
    </row>
    <row r="38" spans="1:19" x14ac:dyDescent="0.35">
      <c r="A38" s="683"/>
      <c r="B38" s="957" t="s">
        <v>674</v>
      </c>
      <c r="C38" s="669"/>
      <c r="D38" s="669"/>
      <c r="E38" s="642"/>
      <c r="F38" s="642"/>
      <c r="G38" s="646"/>
      <c r="H38" s="943" t="s">
        <v>669</v>
      </c>
      <c r="I38" s="630"/>
      <c r="J38" s="943"/>
      <c r="K38" s="632"/>
      <c r="L38" s="943"/>
      <c r="M38" s="632"/>
      <c r="N38" s="943"/>
      <c r="O38" s="632"/>
      <c r="P38" s="943"/>
      <c r="Q38" s="632"/>
      <c r="R38" s="943"/>
      <c r="S38" s="632"/>
    </row>
    <row r="39" spans="1:19" x14ac:dyDescent="0.35">
      <c r="A39" s="683"/>
      <c r="B39" s="957" t="s">
        <v>675</v>
      </c>
      <c r="C39" s="669"/>
      <c r="D39" s="669"/>
      <c r="E39" s="642"/>
      <c r="F39" s="642"/>
      <c r="G39" s="646"/>
      <c r="H39" s="943" t="s">
        <v>669</v>
      </c>
      <c r="I39" s="630"/>
      <c r="J39" s="943"/>
      <c r="K39" s="632"/>
      <c r="L39" s="943"/>
      <c r="M39" s="632"/>
      <c r="N39" s="943"/>
      <c r="O39" s="632"/>
      <c r="P39" s="943"/>
      <c r="Q39" s="632"/>
      <c r="R39" s="943"/>
      <c r="S39" s="632"/>
    </row>
    <row r="40" spans="1:19" x14ac:dyDescent="0.35">
      <c r="A40" s="683"/>
      <c r="B40" s="957" t="s">
        <v>676</v>
      </c>
      <c r="C40" s="669"/>
      <c r="D40" s="669"/>
      <c r="E40" s="642"/>
      <c r="F40" s="642"/>
      <c r="G40" s="646"/>
      <c r="H40" s="943" t="s">
        <v>671</v>
      </c>
      <c r="I40" s="630"/>
      <c r="J40" s="943"/>
      <c r="K40" s="632"/>
      <c r="L40" s="943"/>
      <c r="M40" s="632"/>
      <c r="N40" s="943"/>
      <c r="O40" s="632"/>
      <c r="P40" s="943"/>
      <c r="Q40" s="632"/>
      <c r="R40" s="943"/>
      <c r="S40" s="632"/>
    </row>
    <row r="41" spans="1:19" ht="15.75" customHeight="1" x14ac:dyDescent="0.35">
      <c r="A41" s="683"/>
      <c r="B41" s="957" t="s">
        <v>677</v>
      </c>
      <c r="C41" s="669"/>
      <c r="D41" s="669"/>
      <c r="E41" s="642"/>
      <c r="F41" s="642"/>
      <c r="G41" s="646"/>
      <c r="H41" s="943" t="s">
        <v>671</v>
      </c>
      <c r="I41" s="630"/>
      <c r="J41" s="943"/>
      <c r="K41" s="632"/>
      <c r="L41" s="943"/>
      <c r="M41" s="632"/>
      <c r="N41" s="943"/>
      <c r="O41" s="632"/>
      <c r="P41" s="943"/>
      <c r="Q41" s="632"/>
      <c r="R41" s="943"/>
      <c r="S41" s="632"/>
    </row>
    <row r="42" spans="1:19" ht="15.75" customHeight="1" x14ac:dyDescent="0.35">
      <c r="A42" s="683"/>
      <c r="B42" s="957" t="s">
        <v>678</v>
      </c>
      <c r="C42" s="669"/>
      <c r="D42" s="669"/>
      <c r="E42" s="642"/>
      <c r="F42" s="642"/>
      <c r="G42" s="646"/>
      <c r="H42" s="943" t="s">
        <v>671</v>
      </c>
      <c r="I42" s="630"/>
      <c r="J42" s="943"/>
      <c r="K42" s="632"/>
      <c r="L42" s="943"/>
      <c r="M42" s="632"/>
      <c r="N42" s="943"/>
      <c r="O42" s="632"/>
      <c r="P42" s="943"/>
      <c r="Q42" s="632"/>
      <c r="R42" s="943"/>
      <c r="S42" s="632"/>
    </row>
    <row r="43" spans="1:19" ht="15.75" customHeight="1" x14ac:dyDescent="0.35">
      <c r="A43" s="683"/>
      <c r="B43" s="957" t="s">
        <v>679</v>
      </c>
      <c r="C43" s="669"/>
      <c r="D43" s="669"/>
      <c r="E43" s="642"/>
      <c r="F43" s="642"/>
      <c r="G43" s="646"/>
      <c r="H43" s="943" t="s">
        <v>671</v>
      </c>
      <c r="I43" s="630"/>
      <c r="J43" s="943"/>
      <c r="K43" s="632"/>
      <c r="L43" s="943"/>
      <c r="M43" s="632"/>
      <c r="N43" s="943"/>
      <c r="O43" s="632"/>
      <c r="P43" s="943"/>
      <c r="Q43" s="632"/>
      <c r="R43" s="943"/>
      <c r="S43" s="632"/>
    </row>
    <row r="44" spans="1:19" ht="15.75" customHeight="1" x14ac:dyDescent="0.35">
      <c r="A44" s="683"/>
      <c r="B44" s="705"/>
      <c r="C44" s="669"/>
      <c r="D44" s="669"/>
      <c r="E44" s="642"/>
      <c r="F44" s="642"/>
      <c r="G44" s="646"/>
      <c r="H44" s="943"/>
      <c r="I44" s="630"/>
      <c r="J44" s="943"/>
      <c r="K44" s="632"/>
      <c r="L44" s="943"/>
      <c r="M44" s="632"/>
      <c r="N44" s="943"/>
      <c r="O44" s="632"/>
      <c r="P44" s="943"/>
      <c r="Q44" s="632"/>
      <c r="R44" s="943"/>
      <c r="S44" s="632"/>
    </row>
    <row r="45" spans="1:19" ht="15.75" customHeight="1" x14ac:dyDescent="0.35">
      <c r="A45" s="683"/>
      <c r="B45" s="956" t="s">
        <v>680</v>
      </c>
      <c r="C45" s="669"/>
      <c r="D45" s="669"/>
      <c r="E45" s="642"/>
      <c r="F45" s="642"/>
      <c r="G45" s="646"/>
      <c r="H45" s="943"/>
      <c r="I45" s="630"/>
      <c r="J45" s="943"/>
      <c r="K45" s="632"/>
      <c r="L45" s="943"/>
      <c r="M45" s="632"/>
      <c r="N45" s="943"/>
      <c r="O45" s="632"/>
      <c r="P45" s="943"/>
      <c r="Q45" s="632"/>
      <c r="R45" s="943"/>
      <c r="S45" s="632"/>
    </row>
    <row r="46" spans="1:19" ht="15.75" customHeight="1" x14ac:dyDescent="0.35">
      <c r="A46" s="683"/>
      <c r="B46" s="958" t="s">
        <v>681</v>
      </c>
      <c r="C46" s="669"/>
      <c r="D46" s="669"/>
      <c r="E46" s="642"/>
      <c r="F46" s="642"/>
      <c r="G46" s="646"/>
      <c r="H46" s="943" t="s">
        <v>671</v>
      </c>
      <c r="I46" s="630"/>
      <c r="J46" s="943"/>
      <c r="K46" s="632"/>
      <c r="L46" s="943"/>
      <c r="M46" s="632"/>
      <c r="N46" s="943"/>
      <c r="O46" s="632"/>
      <c r="P46" s="943"/>
      <c r="Q46" s="632"/>
      <c r="R46" s="943"/>
      <c r="S46" s="632"/>
    </row>
    <row r="47" spans="1:19" ht="15.75" customHeight="1" x14ac:dyDescent="0.35">
      <c r="A47" s="683"/>
      <c r="B47" s="958" t="s">
        <v>682</v>
      </c>
      <c r="C47" s="669"/>
      <c r="D47" s="669"/>
      <c r="E47" s="642"/>
      <c r="F47" s="642"/>
      <c r="G47" s="646"/>
      <c r="H47" s="943" t="s">
        <v>671</v>
      </c>
      <c r="I47" s="630"/>
      <c r="J47" s="943"/>
      <c r="K47" s="632"/>
      <c r="L47" s="943"/>
      <c r="M47" s="632"/>
      <c r="N47" s="943"/>
      <c r="O47" s="632"/>
      <c r="P47" s="943"/>
      <c r="Q47" s="632"/>
      <c r="R47" s="943"/>
      <c r="S47" s="632"/>
    </row>
    <row r="48" spans="1:19" ht="15.75" customHeight="1" x14ac:dyDescent="0.35">
      <c r="A48" s="683"/>
      <c r="B48" s="958" t="s">
        <v>683</v>
      </c>
      <c r="C48" s="669"/>
      <c r="D48" s="669"/>
      <c r="E48" s="642"/>
      <c r="F48" s="642"/>
      <c r="G48" s="646"/>
      <c r="H48" s="943" t="s">
        <v>671</v>
      </c>
      <c r="I48" s="630"/>
      <c r="J48" s="943"/>
      <c r="K48" s="632"/>
      <c r="L48" s="943"/>
      <c r="M48" s="632"/>
      <c r="N48" s="943"/>
      <c r="O48" s="632"/>
      <c r="P48" s="943"/>
      <c r="Q48" s="632"/>
      <c r="R48" s="943"/>
      <c r="S48" s="632"/>
    </row>
    <row r="49" spans="1:19" ht="15.75" customHeight="1" x14ac:dyDescent="0.35">
      <c r="A49" s="683"/>
      <c r="B49" s="958"/>
      <c r="C49" s="669"/>
      <c r="D49" s="669"/>
      <c r="E49" s="642"/>
      <c r="F49" s="642"/>
      <c r="G49" s="646"/>
      <c r="H49" s="943"/>
      <c r="I49" s="630"/>
      <c r="J49" s="943"/>
      <c r="K49" s="632"/>
      <c r="L49" s="943"/>
      <c r="M49" s="632"/>
      <c r="N49" s="943"/>
      <c r="O49" s="632"/>
      <c r="P49" s="943"/>
      <c r="Q49" s="632"/>
      <c r="R49" s="943"/>
      <c r="S49" s="632"/>
    </row>
    <row r="50" spans="1:19" ht="15.75" customHeight="1" x14ac:dyDescent="0.35">
      <c r="A50" s="683"/>
      <c r="B50" s="956" t="s">
        <v>684</v>
      </c>
      <c r="C50" s="669"/>
      <c r="D50" s="669"/>
      <c r="E50" s="642"/>
      <c r="F50" s="642"/>
      <c r="G50" s="646"/>
      <c r="H50" s="943"/>
      <c r="I50" s="630"/>
      <c r="J50" s="943"/>
      <c r="K50" s="632"/>
      <c r="L50" s="943"/>
      <c r="M50" s="632"/>
      <c r="N50" s="943"/>
      <c r="O50" s="632"/>
      <c r="P50" s="943"/>
      <c r="Q50" s="632"/>
      <c r="R50" s="943"/>
      <c r="S50" s="632"/>
    </row>
    <row r="51" spans="1:19" ht="15.75" customHeight="1" x14ac:dyDescent="0.35">
      <c r="A51" s="683"/>
      <c r="B51" s="958" t="s">
        <v>685</v>
      </c>
      <c r="C51" s="669"/>
      <c r="D51" s="669"/>
      <c r="E51" s="642"/>
      <c r="F51" s="642"/>
      <c r="G51" s="646"/>
      <c r="H51" s="943" t="s">
        <v>669</v>
      </c>
      <c r="I51" s="630"/>
      <c r="J51" s="943"/>
      <c r="K51" s="632"/>
      <c r="L51" s="943"/>
      <c r="M51" s="632"/>
      <c r="N51" s="943"/>
      <c r="O51" s="632"/>
      <c r="P51" s="943"/>
      <c r="Q51" s="632"/>
      <c r="R51" s="943"/>
      <c r="S51" s="632"/>
    </row>
    <row r="52" spans="1:19" ht="15.75" customHeight="1" x14ac:dyDescent="0.35">
      <c r="A52" s="683"/>
      <c r="B52" s="958" t="s">
        <v>686</v>
      </c>
      <c r="C52" s="669"/>
      <c r="D52" s="669"/>
      <c r="E52" s="642"/>
      <c r="F52" s="642"/>
      <c r="G52" s="646"/>
      <c r="H52" s="943" t="s">
        <v>669</v>
      </c>
      <c r="I52" s="630"/>
      <c r="J52" s="943"/>
      <c r="K52" s="632"/>
      <c r="L52" s="943"/>
      <c r="M52" s="632"/>
      <c r="N52" s="943"/>
      <c r="O52" s="632"/>
      <c r="P52" s="943"/>
      <c r="Q52" s="632"/>
      <c r="R52" s="943"/>
      <c r="S52" s="632"/>
    </row>
    <row r="53" spans="1:19" ht="15.75" customHeight="1" x14ac:dyDescent="0.35">
      <c r="A53" s="683"/>
      <c r="B53" s="958" t="s">
        <v>687</v>
      </c>
      <c r="C53" s="669"/>
      <c r="D53" s="669"/>
      <c r="E53" s="642"/>
      <c r="F53" s="642"/>
      <c r="G53" s="646"/>
      <c r="H53" s="943" t="s">
        <v>669</v>
      </c>
      <c r="I53" s="630"/>
      <c r="J53" s="943"/>
      <c r="K53" s="632"/>
      <c r="L53" s="943"/>
      <c r="M53" s="632"/>
      <c r="N53" s="943"/>
      <c r="O53" s="632"/>
      <c r="P53" s="943"/>
      <c r="Q53" s="632"/>
      <c r="R53" s="943"/>
      <c r="S53" s="632"/>
    </row>
    <row r="54" spans="1:19" ht="15.75" customHeight="1" x14ac:dyDescent="0.35">
      <c r="A54" s="683"/>
      <c r="B54" s="958" t="s">
        <v>688</v>
      </c>
      <c r="C54" s="669"/>
      <c r="D54" s="669"/>
      <c r="E54" s="642"/>
      <c r="F54" s="642"/>
      <c r="G54" s="646"/>
      <c r="H54" s="943" t="s">
        <v>669</v>
      </c>
      <c r="I54" s="630"/>
      <c r="J54" s="943"/>
      <c r="K54" s="632"/>
      <c r="L54" s="943"/>
      <c r="M54" s="632"/>
      <c r="N54" s="943"/>
      <c r="O54" s="632"/>
      <c r="P54" s="943"/>
      <c r="Q54" s="632"/>
      <c r="R54" s="943"/>
      <c r="S54" s="632"/>
    </row>
    <row r="55" spans="1:19" ht="15.75" customHeight="1" x14ac:dyDescent="0.35">
      <c r="A55" s="683"/>
      <c r="B55" s="958" t="s">
        <v>689</v>
      </c>
      <c r="C55" s="669"/>
      <c r="D55" s="669"/>
      <c r="E55" s="642"/>
      <c r="F55" s="642"/>
      <c r="G55" s="646"/>
      <c r="H55" s="943" t="s">
        <v>669</v>
      </c>
      <c r="I55" s="630"/>
      <c r="J55" s="943"/>
      <c r="K55" s="632"/>
      <c r="L55" s="943"/>
      <c r="M55" s="632"/>
      <c r="N55" s="943"/>
      <c r="O55" s="632"/>
      <c r="P55" s="943"/>
      <c r="Q55" s="632"/>
      <c r="R55" s="943"/>
      <c r="S55" s="632"/>
    </row>
    <row r="56" spans="1:19" ht="15.75" customHeight="1" x14ac:dyDescent="0.35">
      <c r="A56" s="683"/>
      <c r="B56" s="958" t="s">
        <v>690</v>
      </c>
      <c r="C56" s="669"/>
      <c r="D56" s="669"/>
      <c r="E56" s="642"/>
      <c r="F56" s="642"/>
      <c r="G56" s="646"/>
      <c r="H56" s="943" t="s">
        <v>671</v>
      </c>
      <c r="I56" s="630"/>
      <c r="J56" s="943"/>
      <c r="K56" s="632"/>
      <c r="L56" s="943"/>
      <c r="M56" s="632"/>
      <c r="N56" s="943"/>
      <c r="O56" s="632"/>
      <c r="P56" s="943"/>
      <c r="Q56" s="632"/>
      <c r="R56" s="943"/>
      <c r="S56" s="632"/>
    </row>
    <row r="57" spans="1:19" ht="15.75" customHeight="1" x14ac:dyDescent="0.35">
      <c r="A57" s="683"/>
      <c r="B57" s="958" t="s">
        <v>691</v>
      </c>
      <c r="C57" s="669"/>
      <c r="D57" s="669"/>
      <c r="E57" s="642"/>
      <c r="F57" s="642"/>
      <c r="G57" s="646"/>
      <c r="H57" s="943" t="s">
        <v>671</v>
      </c>
      <c r="I57" s="630"/>
      <c r="J57" s="943"/>
      <c r="K57" s="632"/>
      <c r="L57" s="943"/>
      <c r="M57" s="632"/>
      <c r="N57" s="943"/>
      <c r="O57" s="632"/>
      <c r="P57" s="943"/>
      <c r="Q57" s="632"/>
      <c r="R57" s="943"/>
      <c r="S57" s="632"/>
    </row>
    <row r="58" spans="1:19" ht="15.75" customHeight="1" x14ac:dyDescent="0.35">
      <c r="A58" s="683"/>
      <c r="B58" s="958" t="s">
        <v>692</v>
      </c>
      <c r="C58" s="669"/>
      <c r="D58" s="669"/>
      <c r="E58" s="642"/>
      <c r="F58" s="642"/>
      <c r="G58" s="646"/>
      <c r="H58" s="943" t="s">
        <v>671</v>
      </c>
      <c r="I58" s="630"/>
      <c r="J58" s="943"/>
      <c r="K58" s="632"/>
      <c r="L58" s="943"/>
      <c r="M58" s="632"/>
      <c r="N58" s="943"/>
      <c r="O58" s="632"/>
      <c r="P58" s="943"/>
      <c r="Q58" s="632"/>
      <c r="R58" s="943"/>
      <c r="S58" s="632"/>
    </row>
    <row r="59" spans="1:19" ht="15.75" customHeight="1" x14ac:dyDescent="0.35">
      <c r="A59" s="683"/>
      <c r="B59" s="958" t="s">
        <v>693</v>
      </c>
      <c r="C59" s="669"/>
      <c r="D59" s="669"/>
      <c r="E59" s="642"/>
      <c r="F59" s="642"/>
      <c r="G59" s="646"/>
      <c r="H59" s="943" t="s">
        <v>671</v>
      </c>
      <c r="I59" s="630"/>
      <c r="J59" s="943"/>
      <c r="K59" s="632"/>
      <c r="L59" s="943"/>
      <c r="M59" s="632"/>
      <c r="N59" s="943"/>
      <c r="O59" s="632"/>
      <c r="P59" s="943"/>
      <c r="Q59" s="632"/>
      <c r="R59" s="943"/>
      <c r="S59" s="632"/>
    </row>
    <row r="60" spans="1:19" ht="15.75" customHeight="1" x14ac:dyDescent="0.35">
      <c r="A60" s="683"/>
      <c r="B60" s="958"/>
      <c r="C60" s="669"/>
      <c r="D60" s="669"/>
      <c r="E60" s="642"/>
      <c r="F60" s="642"/>
      <c r="G60" s="646"/>
      <c r="H60" s="943"/>
      <c r="I60" s="630"/>
      <c r="J60" s="943"/>
      <c r="K60" s="632"/>
      <c r="L60" s="943"/>
      <c r="M60" s="632"/>
      <c r="N60" s="943"/>
      <c r="O60" s="632"/>
      <c r="P60" s="943"/>
      <c r="Q60" s="632"/>
      <c r="R60" s="943"/>
      <c r="S60" s="632"/>
    </row>
    <row r="61" spans="1:19" ht="15.75" customHeight="1" x14ac:dyDescent="0.35">
      <c r="A61" s="683"/>
      <c r="B61" s="956" t="s">
        <v>694</v>
      </c>
      <c r="C61" s="669"/>
      <c r="D61" s="669"/>
      <c r="E61" s="642"/>
      <c r="F61" s="642"/>
      <c r="G61" s="646"/>
      <c r="H61" s="943"/>
      <c r="I61" s="630"/>
      <c r="J61" s="943"/>
      <c r="K61" s="632"/>
      <c r="L61" s="943"/>
      <c r="M61" s="632"/>
      <c r="N61" s="943"/>
      <c r="O61" s="632"/>
      <c r="P61" s="943"/>
      <c r="Q61" s="632"/>
      <c r="R61" s="943"/>
      <c r="S61" s="632"/>
    </row>
    <row r="62" spans="1:19" ht="15.75" customHeight="1" x14ac:dyDescent="0.35">
      <c r="A62" s="683"/>
      <c r="B62" s="958" t="s">
        <v>685</v>
      </c>
      <c r="C62" s="669"/>
      <c r="D62" s="669"/>
      <c r="E62" s="642"/>
      <c r="F62" s="642"/>
      <c r="G62" s="646"/>
      <c r="H62" s="943" t="s">
        <v>669</v>
      </c>
      <c r="I62" s="630"/>
      <c r="J62" s="943"/>
      <c r="K62" s="632"/>
      <c r="L62" s="943"/>
      <c r="M62" s="632"/>
      <c r="N62" s="943"/>
      <c r="O62" s="632"/>
      <c r="P62" s="943"/>
      <c r="Q62" s="632"/>
      <c r="R62" s="943"/>
      <c r="S62" s="632"/>
    </row>
    <row r="63" spans="1:19" ht="15.75" customHeight="1" x14ac:dyDescent="0.35">
      <c r="A63" s="683"/>
      <c r="B63" s="958" t="s">
        <v>686</v>
      </c>
      <c r="C63" s="669"/>
      <c r="D63" s="669"/>
      <c r="E63" s="642"/>
      <c r="F63" s="642"/>
      <c r="G63" s="646"/>
      <c r="H63" s="943" t="s">
        <v>669</v>
      </c>
      <c r="I63" s="630"/>
      <c r="J63" s="943"/>
      <c r="K63" s="632"/>
      <c r="L63" s="943"/>
      <c r="M63" s="632"/>
      <c r="N63" s="943"/>
      <c r="O63" s="632"/>
      <c r="P63" s="943"/>
      <c r="Q63" s="632"/>
      <c r="R63" s="943"/>
      <c r="S63" s="632"/>
    </row>
    <row r="64" spans="1:19" ht="15.75" customHeight="1" x14ac:dyDescent="0.35">
      <c r="A64" s="683"/>
      <c r="B64" s="958" t="s">
        <v>687</v>
      </c>
      <c r="C64" s="669"/>
      <c r="D64" s="669"/>
      <c r="E64" s="642"/>
      <c r="F64" s="642"/>
      <c r="G64" s="646"/>
      <c r="H64" s="943" t="s">
        <v>669</v>
      </c>
      <c r="I64" s="630"/>
      <c r="J64" s="943"/>
      <c r="K64" s="632"/>
      <c r="L64" s="943"/>
      <c r="M64" s="632"/>
      <c r="N64" s="943"/>
      <c r="O64" s="632"/>
      <c r="P64" s="943"/>
      <c r="Q64" s="632"/>
      <c r="R64" s="943"/>
      <c r="S64" s="632"/>
    </row>
    <row r="65" spans="1:19" ht="15.75" customHeight="1" x14ac:dyDescent="0.35">
      <c r="A65" s="683"/>
      <c r="B65" s="958" t="s">
        <v>688</v>
      </c>
      <c r="C65" s="669"/>
      <c r="D65" s="669"/>
      <c r="E65" s="642"/>
      <c r="F65" s="642"/>
      <c r="G65" s="646"/>
      <c r="H65" s="943" t="s">
        <v>669</v>
      </c>
      <c r="I65" s="630"/>
      <c r="J65" s="943"/>
      <c r="K65" s="632"/>
      <c r="L65" s="943"/>
      <c r="M65" s="632"/>
      <c r="N65" s="943"/>
      <c r="O65" s="632"/>
      <c r="P65" s="943"/>
      <c r="Q65" s="632"/>
      <c r="R65" s="943"/>
      <c r="S65" s="632"/>
    </row>
    <row r="66" spans="1:19" ht="15.75" customHeight="1" x14ac:dyDescent="0.35">
      <c r="A66" s="683"/>
      <c r="B66" s="958" t="s">
        <v>689</v>
      </c>
      <c r="C66" s="669"/>
      <c r="D66" s="669"/>
      <c r="E66" s="642"/>
      <c r="F66" s="642"/>
      <c r="G66" s="646"/>
      <c r="H66" s="943" t="s">
        <v>669</v>
      </c>
      <c r="I66" s="630"/>
      <c r="J66" s="943"/>
      <c r="K66" s="632"/>
      <c r="L66" s="943"/>
      <c r="M66" s="632"/>
      <c r="N66" s="943"/>
      <c r="O66" s="632"/>
      <c r="P66" s="943"/>
      <c r="Q66" s="632"/>
      <c r="R66" s="943"/>
      <c r="S66" s="632"/>
    </row>
    <row r="67" spans="1:19" ht="15.75" customHeight="1" x14ac:dyDescent="0.35">
      <c r="A67" s="683"/>
      <c r="B67" s="958" t="s">
        <v>690</v>
      </c>
      <c r="C67" s="669"/>
      <c r="D67" s="669"/>
      <c r="E67" s="642"/>
      <c r="F67" s="642"/>
      <c r="G67" s="646"/>
      <c r="H67" s="943" t="s">
        <v>671</v>
      </c>
      <c r="I67" s="630"/>
      <c r="J67" s="943"/>
      <c r="K67" s="632"/>
      <c r="L67" s="943"/>
      <c r="M67" s="632"/>
      <c r="N67" s="943"/>
      <c r="O67" s="632"/>
      <c r="P67" s="943"/>
      <c r="Q67" s="632"/>
      <c r="R67" s="943"/>
      <c r="S67" s="632"/>
    </row>
    <row r="68" spans="1:19" ht="15.75" customHeight="1" x14ac:dyDescent="0.35">
      <c r="A68" s="683"/>
      <c r="B68" s="958" t="s">
        <v>691</v>
      </c>
      <c r="C68" s="669"/>
      <c r="D68" s="669"/>
      <c r="E68" s="642"/>
      <c r="F68" s="642"/>
      <c r="G68" s="646"/>
      <c r="H68" s="943" t="s">
        <v>671</v>
      </c>
      <c r="I68" s="630"/>
      <c r="J68" s="943"/>
      <c r="K68" s="632"/>
      <c r="L68" s="943"/>
      <c r="M68" s="632"/>
      <c r="N68" s="943"/>
      <c r="O68" s="632"/>
      <c r="P68" s="943"/>
      <c r="Q68" s="632"/>
      <c r="R68" s="943"/>
      <c r="S68" s="632"/>
    </row>
    <row r="69" spans="1:19" ht="15.75" customHeight="1" x14ac:dyDescent="0.35">
      <c r="A69" s="683"/>
      <c r="B69" s="958" t="s">
        <v>692</v>
      </c>
      <c r="C69" s="669"/>
      <c r="D69" s="669"/>
      <c r="E69" s="642"/>
      <c r="F69" s="642"/>
      <c r="G69" s="646"/>
      <c r="H69" s="943" t="s">
        <v>671</v>
      </c>
      <c r="I69" s="630"/>
      <c r="J69" s="943"/>
      <c r="K69" s="632"/>
      <c r="L69" s="943"/>
      <c r="M69" s="632"/>
      <c r="N69" s="943"/>
      <c r="O69" s="632"/>
      <c r="P69" s="943"/>
      <c r="Q69" s="632"/>
      <c r="R69" s="943"/>
      <c r="S69" s="632"/>
    </row>
    <row r="70" spans="1:19" ht="15.75" customHeight="1" x14ac:dyDescent="0.35">
      <c r="A70" s="683"/>
      <c r="B70" s="958" t="s">
        <v>693</v>
      </c>
      <c r="C70" s="669"/>
      <c r="D70" s="669"/>
      <c r="E70" s="642"/>
      <c r="F70" s="642"/>
      <c r="G70" s="646"/>
      <c r="H70" s="943" t="s">
        <v>671</v>
      </c>
      <c r="I70" s="630"/>
      <c r="J70" s="943"/>
      <c r="K70" s="632"/>
      <c r="L70" s="943"/>
      <c r="M70" s="632"/>
      <c r="N70" s="943"/>
      <c r="O70" s="632"/>
      <c r="P70" s="943"/>
      <c r="Q70" s="632"/>
      <c r="R70" s="943"/>
      <c r="S70" s="632"/>
    </row>
    <row r="71" spans="1:19" ht="15.75" customHeight="1" x14ac:dyDescent="0.35">
      <c r="A71" s="683"/>
      <c r="B71" s="706"/>
      <c r="C71" s="669"/>
      <c r="D71" s="669"/>
      <c r="E71" s="642"/>
      <c r="F71" s="642"/>
      <c r="G71" s="646"/>
      <c r="H71" s="943"/>
      <c r="I71" s="630"/>
      <c r="J71" s="943"/>
      <c r="K71" s="632"/>
      <c r="L71" s="943"/>
      <c r="M71" s="632"/>
      <c r="N71" s="943"/>
      <c r="O71" s="632"/>
      <c r="P71" s="943"/>
      <c r="Q71" s="632"/>
      <c r="R71" s="943"/>
      <c r="S71" s="632"/>
    </row>
    <row r="72" spans="1:19" ht="15.75" customHeight="1" x14ac:dyDescent="0.35">
      <c r="A72" s="683"/>
      <c r="B72" s="956" t="s">
        <v>695</v>
      </c>
      <c r="C72" s="669"/>
      <c r="D72" s="669"/>
      <c r="E72" s="642"/>
      <c r="F72" s="642"/>
      <c r="G72" s="646"/>
      <c r="H72" s="943"/>
      <c r="I72" s="630"/>
      <c r="J72" s="943"/>
      <c r="K72" s="632"/>
      <c r="L72" s="943"/>
      <c r="M72" s="632"/>
      <c r="N72" s="943"/>
      <c r="O72" s="632"/>
      <c r="P72" s="943"/>
      <c r="Q72" s="632"/>
      <c r="R72" s="943"/>
      <c r="S72" s="632"/>
    </row>
    <row r="73" spans="1:19" ht="15.75" customHeight="1" x14ac:dyDescent="0.35">
      <c r="A73" s="683"/>
      <c r="B73" s="958" t="s">
        <v>696</v>
      </c>
      <c r="C73" s="669"/>
      <c r="D73" s="669"/>
      <c r="E73" s="642"/>
      <c r="F73" s="642"/>
      <c r="G73" s="646"/>
      <c r="H73" s="943" t="s">
        <v>671</v>
      </c>
      <c r="I73" s="630"/>
      <c r="J73" s="943"/>
      <c r="K73" s="632"/>
      <c r="L73" s="943"/>
      <c r="M73" s="632"/>
      <c r="N73" s="943"/>
      <c r="O73" s="632"/>
      <c r="P73" s="943"/>
      <c r="Q73" s="632"/>
      <c r="R73" s="943"/>
      <c r="S73" s="632"/>
    </row>
    <row r="74" spans="1:19" ht="15.75" customHeight="1" x14ac:dyDescent="0.35">
      <c r="A74" s="683"/>
      <c r="B74" s="221" t="s">
        <v>697</v>
      </c>
      <c r="C74" s="669"/>
      <c r="D74" s="669"/>
      <c r="E74" s="642"/>
      <c r="F74" s="642"/>
      <c r="G74" s="646"/>
      <c r="H74" s="943" t="s">
        <v>671</v>
      </c>
      <c r="I74" s="630"/>
      <c r="J74" s="943"/>
      <c r="K74" s="632"/>
      <c r="L74" s="943"/>
      <c r="M74" s="632"/>
      <c r="N74" s="943"/>
      <c r="O74" s="632"/>
      <c r="P74" s="943"/>
      <c r="Q74" s="632"/>
      <c r="R74" s="943"/>
      <c r="S74" s="632"/>
    </row>
    <row r="75" spans="1:19" ht="15.75" customHeight="1" x14ac:dyDescent="0.35">
      <c r="A75" s="683"/>
      <c r="B75" s="705"/>
      <c r="C75" s="669"/>
      <c r="D75" s="669"/>
      <c r="E75" s="642"/>
      <c r="F75" s="642"/>
      <c r="G75" s="646"/>
      <c r="H75" s="943"/>
      <c r="I75" s="630"/>
      <c r="J75" s="943"/>
      <c r="K75" s="632"/>
      <c r="L75" s="943"/>
      <c r="M75" s="632"/>
      <c r="N75" s="943"/>
      <c r="O75" s="632"/>
      <c r="P75" s="943"/>
      <c r="Q75" s="632"/>
      <c r="R75" s="943"/>
      <c r="S75" s="632"/>
    </row>
    <row r="76" spans="1:19" ht="15.75" customHeight="1" x14ac:dyDescent="0.35">
      <c r="A76" s="683"/>
      <c r="B76" s="956" t="s">
        <v>698</v>
      </c>
      <c r="C76" s="669"/>
      <c r="D76" s="669"/>
      <c r="E76" s="642"/>
      <c r="F76" s="642"/>
      <c r="G76" s="646"/>
      <c r="H76" s="943"/>
      <c r="I76" s="630"/>
      <c r="J76" s="943"/>
      <c r="K76" s="632"/>
      <c r="L76" s="943"/>
      <c r="M76" s="632"/>
      <c r="N76" s="943"/>
      <c r="O76" s="632"/>
      <c r="P76" s="943"/>
      <c r="Q76" s="632"/>
      <c r="R76" s="943"/>
      <c r="S76" s="632"/>
    </row>
    <row r="77" spans="1:19" ht="15.75" customHeight="1" x14ac:dyDescent="0.35">
      <c r="A77" s="683"/>
      <c r="B77" s="958" t="s">
        <v>699</v>
      </c>
      <c r="C77" s="669"/>
      <c r="D77" s="669"/>
      <c r="E77" s="642"/>
      <c r="F77" s="642"/>
      <c r="G77" s="646"/>
      <c r="H77" s="943" t="s">
        <v>671</v>
      </c>
      <c r="I77" s="630"/>
      <c r="J77" s="943"/>
      <c r="K77" s="632"/>
      <c r="L77" s="943"/>
      <c r="M77" s="632"/>
      <c r="N77" s="943"/>
      <c r="O77" s="632"/>
      <c r="P77" s="943"/>
      <c r="Q77" s="632"/>
      <c r="R77" s="943"/>
      <c r="S77" s="632"/>
    </row>
    <row r="78" spans="1:19" ht="15.75" customHeight="1" x14ac:dyDescent="0.35">
      <c r="A78" s="683"/>
      <c r="B78" s="958" t="s">
        <v>700</v>
      </c>
      <c r="C78" s="669"/>
      <c r="D78" s="669"/>
      <c r="E78" s="642"/>
      <c r="F78" s="642"/>
      <c r="G78" s="646"/>
      <c r="H78" s="943" t="s">
        <v>671</v>
      </c>
      <c r="I78" s="630"/>
      <c r="J78" s="943"/>
      <c r="K78" s="632"/>
      <c r="L78" s="943"/>
      <c r="M78" s="632"/>
      <c r="N78" s="943"/>
      <c r="O78" s="632"/>
      <c r="P78" s="943"/>
      <c r="Q78" s="632"/>
      <c r="R78" s="943"/>
      <c r="S78" s="632"/>
    </row>
    <row r="79" spans="1:19" ht="15.75" customHeight="1" x14ac:dyDescent="0.35">
      <c r="A79" s="683"/>
      <c r="B79" s="958" t="s">
        <v>701</v>
      </c>
      <c r="C79" s="669"/>
      <c r="D79" s="669"/>
      <c r="E79" s="642"/>
      <c r="F79" s="642"/>
      <c r="G79" s="646"/>
      <c r="H79" s="943" t="s">
        <v>671</v>
      </c>
      <c r="I79" s="630"/>
      <c r="J79" s="943"/>
      <c r="K79" s="632"/>
      <c r="L79" s="943"/>
      <c r="M79" s="632"/>
      <c r="N79" s="943"/>
      <c r="O79" s="632"/>
      <c r="P79" s="943"/>
      <c r="Q79" s="632"/>
      <c r="R79" s="943"/>
      <c r="S79" s="632"/>
    </row>
    <row r="80" spans="1:19" ht="15.75" customHeight="1" x14ac:dyDescent="0.35">
      <c r="A80" s="683"/>
      <c r="B80" s="958" t="s">
        <v>702</v>
      </c>
      <c r="C80" s="669"/>
      <c r="D80" s="669"/>
      <c r="E80" s="642"/>
      <c r="F80" s="642"/>
      <c r="G80" s="646"/>
      <c r="H80" s="943" t="s">
        <v>671</v>
      </c>
      <c r="I80" s="630"/>
      <c r="J80" s="943"/>
      <c r="K80" s="632"/>
      <c r="L80" s="943"/>
      <c r="M80" s="632"/>
      <c r="N80" s="943"/>
      <c r="O80" s="632"/>
      <c r="P80" s="943"/>
      <c r="Q80" s="632"/>
      <c r="R80" s="943"/>
      <c r="S80" s="632"/>
    </row>
    <row r="81" spans="1:19" ht="15.75" customHeight="1" x14ac:dyDescent="0.35">
      <c r="A81" s="683"/>
      <c r="B81" s="705"/>
      <c r="C81" s="669"/>
      <c r="D81" s="669"/>
      <c r="E81" s="642"/>
      <c r="F81" s="642"/>
      <c r="G81" s="646"/>
      <c r="H81" s="943"/>
      <c r="I81" s="630"/>
      <c r="J81" s="943"/>
      <c r="K81" s="632"/>
      <c r="L81" s="943"/>
      <c r="M81" s="632"/>
      <c r="N81" s="943"/>
      <c r="O81" s="632"/>
      <c r="P81" s="943"/>
      <c r="Q81" s="632"/>
      <c r="R81" s="943"/>
      <c r="S81" s="632"/>
    </row>
    <row r="82" spans="1:19" ht="15.75" customHeight="1" x14ac:dyDescent="0.35">
      <c r="A82" s="683"/>
      <c r="B82" s="956" t="s">
        <v>703</v>
      </c>
      <c r="C82" s="669"/>
      <c r="D82" s="669"/>
      <c r="E82" s="642"/>
      <c r="F82" s="642"/>
      <c r="G82" s="646"/>
      <c r="H82" s="943"/>
      <c r="I82" s="630"/>
      <c r="J82" s="943"/>
      <c r="K82" s="632"/>
      <c r="L82" s="943"/>
      <c r="M82" s="632"/>
      <c r="N82" s="943"/>
      <c r="O82" s="632"/>
      <c r="P82" s="943"/>
      <c r="Q82" s="632"/>
      <c r="R82" s="943"/>
      <c r="S82" s="632"/>
    </row>
    <row r="83" spans="1:19" ht="15.75" customHeight="1" x14ac:dyDescent="0.35">
      <c r="A83" s="683"/>
      <c r="B83" s="958" t="s">
        <v>704</v>
      </c>
      <c r="C83" s="669"/>
      <c r="D83" s="669"/>
      <c r="E83" s="642"/>
      <c r="F83" s="642"/>
      <c r="G83" s="646"/>
      <c r="H83" s="943" t="s">
        <v>671</v>
      </c>
      <c r="I83" s="630"/>
      <c r="J83" s="943"/>
      <c r="K83" s="632"/>
      <c r="L83" s="943"/>
      <c r="M83" s="632"/>
      <c r="N83" s="943"/>
      <c r="O83" s="632"/>
      <c r="P83" s="943"/>
      <c r="Q83" s="632"/>
      <c r="R83" s="943"/>
      <c r="S83" s="632"/>
    </row>
    <row r="84" spans="1:19" ht="15.75" customHeight="1" x14ac:dyDescent="0.35">
      <c r="A84" s="683"/>
      <c r="B84" s="958" t="s">
        <v>705</v>
      </c>
      <c r="C84" s="669"/>
      <c r="D84" s="669"/>
      <c r="E84" s="642"/>
      <c r="F84" s="642"/>
      <c r="G84" s="646"/>
      <c r="H84" s="943" t="s">
        <v>671</v>
      </c>
      <c r="I84" s="630"/>
      <c r="J84" s="943"/>
      <c r="K84" s="632"/>
      <c r="L84" s="943"/>
      <c r="M84" s="632"/>
      <c r="N84" s="943"/>
      <c r="O84" s="632"/>
      <c r="P84" s="943"/>
      <c r="Q84" s="632"/>
      <c r="R84" s="943"/>
      <c r="S84" s="632"/>
    </row>
    <row r="85" spans="1:19" ht="15.75" customHeight="1" x14ac:dyDescent="0.35">
      <c r="A85" s="683"/>
      <c r="B85" s="958" t="s">
        <v>706</v>
      </c>
      <c r="C85" s="669"/>
      <c r="D85" s="669"/>
      <c r="E85" s="642"/>
      <c r="F85" s="642"/>
      <c r="G85" s="646"/>
      <c r="H85" s="943" t="s">
        <v>671</v>
      </c>
      <c r="I85" s="630"/>
      <c r="J85" s="943"/>
      <c r="K85" s="632"/>
      <c r="L85" s="943"/>
      <c r="M85" s="632"/>
      <c r="N85" s="943"/>
      <c r="O85" s="632"/>
      <c r="P85" s="943"/>
      <c r="Q85" s="632"/>
      <c r="R85" s="943"/>
      <c r="S85" s="632"/>
    </row>
    <row r="86" spans="1:19" ht="15.75" customHeight="1" x14ac:dyDescent="0.35">
      <c r="A86" s="683"/>
      <c r="B86" s="958" t="s">
        <v>707</v>
      </c>
      <c r="C86" s="669"/>
      <c r="D86" s="669"/>
      <c r="E86" s="642"/>
      <c r="F86" s="642"/>
      <c r="G86" s="646"/>
      <c r="H86" s="943" t="s">
        <v>671</v>
      </c>
      <c r="I86" s="630"/>
      <c r="J86" s="943"/>
      <c r="K86" s="632"/>
      <c r="L86" s="943"/>
      <c r="M86" s="632"/>
      <c r="N86" s="943"/>
      <c r="O86" s="632"/>
      <c r="P86" s="943"/>
      <c r="Q86" s="632"/>
      <c r="R86" s="943"/>
      <c r="S86" s="632"/>
    </row>
    <row r="87" spans="1:19" ht="15.75" customHeight="1" x14ac:dyDescent="0.35">
      <c r="A87" s="683"/>
      <c r="B87" s="958" t="s">
        <v>708</v>
      </c>
      <c r="C87" s="669"/>
      <c r="D87" s="669"/>
      <c r="E87" s="642"/>
      <c r="F87" s="642"/>
      <c r="G87" s="646"/>
      <c r="H87" s="943" t="s">
        <v>671</v>
      </c>
      <c r="I87" s="630"/>
      <c r="J87" s="943"/>
      <c r="K87" s="632"/>
      <c r="L87" s="943"/>
      <c r="M87" s="632"/>
      <c r="N87" s="943"/>
      <c r="O87" s="632"/>
      <c r="P87" s="943"/>
      <c r="Q87" s="632"/>
      <c r="R87" s="943"/>
      <c r="S87" s="632"/>
    </row>
    <row r="88" spans="1:19" ht="15.75" customHeight="1" x14ac:dyDescent="0.35">
      <c r="A88" s="683"/>
      <c r="B88" s="958" t="s">
        <v>709</v>
      </c>
      <c r="C88" s="669"/>
      <c r="D88" s="669"/>
      <c r="E88" s="642"/>
      <c r="F88" s="642"/>
      <c r="G88" s="646"/>
      <c r="H88" s="943" t="s">
        <v>671</v>
      </c>
      <c r="I88" s="630"/>
      <c r="J88" s="943"/>
      <c r="K88" s="632"/>
      <c r="L88" s="943"/>
      <c r="M88" s="632"/>
      <c r="N88" s="943"/>
      <c r="O88" s="632"/>
      <c r="P88" s="943"/>
      <c r="Q88" s="632"/>
      <c r="R88" s="943"/>
      <c r="S88" s="632"/>
    </row>
    <row r="89" spans="1:19" ht="15.75" customHeight="1" x14ac:dyDescent="0.35">
      <c r="A89" s="683"/>
      <c r="B89" s="958" t="s">
        <v>710</v>
      </c>
      <c r="C89" s="669"/>
      <c r="D89" s="669"/>
      <c r="E89" s="642"/>
      <c r="F89" s="642"/>
      <c r="G89" s="646"/>
      <c r="H89" s="943" t="s">
        <v>671</v>
      </c>
      <c r="I89" s="630"/>
      <c r="J89" s="943"/>
      <c r="K89" s="632"/>
      <c r="L89" s="943"/>
      <c r="M89" s="632"/>
      <c r="N89" s="943"/>
      <c r="O89" s="632"/>
      <c r="P89" s="943"/>
      <c r="Q89" s="632"/>
      <c r="R89" s="943"/>
      <c r="S89" s="632"/>
    </row>
    <row r="90" spans="1:19" ht="15.75" customHeight="1" x14ac:dyDescent="0.35">
      <c r="A90" s="683"/>
      <c r="B90" s="958" t="s">
        <v>711</v>
      </c>
      <c r="C90" s="669"/>
      <c r="D90" s="669"/>
      <c r="E90" s="642"/>
      <c r="F90" s="642"/>
      <c r="G90" s="646"/>
      <c r="H90" s="943" t="s">
        <v>671</v>
      </c>
      <c r="I90" s="630"/>
      <c r="J90" s="943"/>
      <c r="K90" s="632"/>
      <c r="L90" s="943"/>
      <c r="M90" s="632"/>
      <c r="N90" s="943"/>
      <c r="O90" s="632"/>
      <c r="P90" s="943"/>
      <c r="Q90" s="632"/>
      <c r="R90" s="943"/>
      <c r="S90" s="632"/>
    </row>
    <row r="91" spans="1:19" ht="15.75" customHeight="1" x14ac:dyDescent="0.35">
      <c r="A91" s="683"/>
      <c r="B91" s="958" t="s">
        <v>712</v>
      </c>
      <c r="C91" s="669"/>
      <c r="D91" s="669"/>
      <c r="E91" s="642"/>
      <c r="F91" s="642"/>
      <c r="G91" s="646"/>
      <c r="H91" s="943" t="s">
        <v>671</v>
      </c>
      <c r="I91" s="630"/>
      <c r="J91" s="943"/>
      <c r="K91" s="632"/>
      <c r="L91" s="943"/>
      <c r="M91" s="632"/>
      <c r="N91" s="943"/>
      <c r="O91" s="632"/>
      <c r="P91" s="943"/>
      <c r="Q91" s="632"/>
      <c r="R91" s="943"/>
      <c r="S91" s="632"/>
    </row>
    <row r="92" spans="1:19" ht="15.75" customHeight="1" x14ac:dyDescent="0.35">
      <c r="A92" s="683"/>
      <c r="B92" s="958" t="s">
        <v>713</v>
      </c>
      <c r="C92" s="669"/>
      <c r="D92" s="669"/>
      <c r="E92" s="642"/>
      <c r="F92" s="642"/>
      <c r="G92" s="646"/>
      <c r="H92" s="943" t="s">
        <v>671</v>
      </c>
      <c r="I92" s="630"/>
      <c r="J92" s="943"/>
      <c r="K92" s="632"/>
      <c r="L92" s="943"/>
      <c r="M92" s="632"/>
      <c r="N92" s="943"/>
      <c r="O92" s="632"/>
      <c r="P92" s="943"/>
      <c r="Q92" s="632"/>
      <c r="R92" s="943"/>
      <c r="S92" s="632"/>
    </row>
    <row r="93" spans="1:19" ht="15.75" customHeight="1" x14ac:dyDescent="0.35">
      <c r="A93" s="683"/>
      <c r="B93" s="958" t="s">
        <v>714</v>
      </c>
      <c r="C93" s="669"/>
      <c r="D93" s="669"/>
      <c r="E93" s="642"/>
      <c r="F93" s="642"/>
      <c r="G93" s="646"/>
      <c r="H93" s="943" t="s">
        <v>671</v>
      </c>
      <c r="I93" s="630"/>
      <c r="J93" s="943"/>
      <c r="K93" s="632"/>
      <c r="L93" s="943"/>
      <c r="M93" s="632"/>
      <c r="N93" s="943"/>
      <c r="O93" s="632"/>
      <c r="P93" s="943"/>
      <c r="Q93" s="632"/>
      <c r="R93" s="943"/>
      <c r="S93" s="632"/>
    </row>
    <row r="94" spans="1:19" ht="15.75" customHeight="1" x14ac:dyDescent="0.35">
      <c r="A94" s="683"/>
      <c r="B94" s="705"/>
      <c r="C94" s="669"/>
      <c r="D94" s="669"/>
      <c r="E94" s="642"/>
      <c r="F94" s="642"/>
      <c r="G94" s="646"/>
      <c r="H94" s="943"/>
      <c r="I94" s="630"/>
      <c r="J94" s="943"/>
      <c r="K94" s="632"/>
      <c r="L94" s="943"/>
      <c r="M94" s="632"/>
      <c r="N94" s="943"/>
      <c r="O94" s="632"/>
      <c r="P94" s="943"/>
      <c r="Q94" s="632"/>
      <c r="R94" s="943"/>
      <c r="S94" s="632"/>
    </row>
    <row r="95" spans="1:19" x14ac:dyDescent="0.35">
      <c r="A95" s="14"/>
      <c r="B95" s="15"/>
      <c r="C95" s="16"/>
      <c r="D95" s="16"/>
      <c r="E95" s="17"/>
      <c r="F95" s="18" t="s">
        <v>715</v>
      </c>
      <c r="G95" s="19"/>
      <c r="H95" s="20"/>
      <c r="I95" s="222">
        <f>SUM(I31:I94)</f>
        <v>0</v>
      </c>
      <c r="J95" s="20"/>
      <c r="K95" s="50">
        <f>SUM(K31:K94)</f>
        <v>0</v>
      </c>
      <c r="L95" s="20"/>
      <c r="M95" s="50">
        <f>SUM(M31:M94)</f>
        <v>0</v>
      </c>
      <c r="N95" s="20"/>
      <c r="O95" s="50">
        <f>SUM(O31:O94)</f>
        <v>0</v>
      </c>
      <c r="P95" s="20"/>
      <c r="Q95" s="50">
        <f>SUM(Q31:Q94)</f>
        <v>0</v>
      </c>
      <c r="R95" s="20"/>
      <c r="S95" s="50">
        <f>SUM(S31:S94)</f>
        <v>0</v>
      </c>
    </row>
    <row r="96" spans="1:19" x14ac:dyDescent="0.35">
      <c r="A96" s="684"/>
      <c r="B96" s="655"/>
      <c r="C96" s="656"/>
      <c r="D96" s="656"/>
      <c r="E96" s="657"/>
      <c r="F96" s="658" t="s">
        <v>716</v>
      </c>
      <c r="G96" s="659"/>
      <c r="H96" s="959">
        <v>0</v>
      </c>
      <c r="I96" s="960"/>
      <c r="J96" s="959">
        <v>0</v>
      </c>
      <c r="K96" s="960"/>
      <c r="L96" s="959">
        <v>0</v>
      </c>
      <c r="M96" s="960"/>
      <c r="N96" s="959">
        <v>0</v>
      </c>
      <c r="O96" s="960"/>
      <c r="P96" s="959">
        <v>0</v>
      </c>
      <c r="Q96" s="960"/>
      <c r="R96" s="959">
        <v>0</v>
      </c>
      <c r="S96" s="960"/>
    </row>
    <row r="97" spans="1:34" x14ac:dyDescent="0.35">
      <c r="A97" s="684"/>
      <c r="B97" s="655"/>
      <c r="C97" s="656"/>
      <c r="D97" s="656"/>
      <c r="E97" s="657"/>
      <c r="F97" s="658" t="s">
        <v>717</v>
      </c>
      <c r="G97" s="659"/>
      <c r="H97" s="961"/>
      <c r="I97" s="962">
        <f>H96*I95</f>
        <v>0</v>
      </c>
      <c r="J97" s="961"/>
      <c r="K97" s="962">
        <f>J96*K95</f>
        <v>0</v>
      </c>
      <c r="L97" s="961"/>
      <c r="M97" s="962">
        <f>L96*M95</f>
        <v>0</v>
      </c>
      <c r="N97" s="961"/>
      <c r="O97" s="962">
        <f>N96*O95</f>
        <v>0</v>
      </c>
      <c r="P97" s="961"/>
      <c r="Q97" s="962">
        <f>P96*Q95</f>
        <v>0</v>
      </c>
      <c r="R97" s="961"/>
      <c r="S97" s="962">
        <f>R96*S95</f>
        <v>0</v>
      </c>
    </row>
    <row r="98" spans="1:34" x14ac:dyDescent="0.35">
      <c r="A98" s="684"/>
      <c r="B98" s="655"/>
      <c r="C98" s="656"/>
      <c r="D98" s="656"/>
      <c r="E98" s="657"/>
      <c r="F98" s="658"/>
      <c r="G98" s="659"/>
      <c r="H98" s="961"/>
      <c r="I98" s="963"/>
      <c r="J98" s="961"/>
      <c r="K98" s="963"/>
      <c r="L98" s="961"/>
      <c r="M98" s="963"/>
      <c r="N98" s="961"/>
      <c r="O98" s="963"/>
      <c r="P98" s="961"/>
      <c r="Q98" s="963"/>
      <c r="R98" s="961"/>
      <c r="S98" s="963"/>
    </row>
    <row r="99" spans="1:34" x14ac:dyDescent="0.35">
      <c r="A99" s="684"/>
      <c r="B99" s="655"/>
      <c r="C99" s="656"/>
      <c r="D99" s="656"/>
      <c r="E99" s="657"/>
      <c r="F99" s="658" t="s">
        <v>718</v>
      </c>
      <c r="G99" s="659"/>
      <c r="H99" s="964"/>
      <c r="I99" s="962">
        <f>SUM(I95:I97)</f>
        <v>0</v>
      </c>
      <c r="J99" s="964"/>
      <c r="K99" s="962">
        <f>SUM(K95:K97)</f>
        <v>0</v>
      </c>
      <c r="L99" s="964"/>
      <c r="M99" s="962">
        <f>SUM(M95:M97)</f>
        <v>0</v>
      </c>
      <c r="N99" s="964"/>
      <c r="O99" s="962">
        <f>SUM(O95:O97)</f>
        <v>0</v>
      </c>
      <c r="P99" s="964"/>
      <c r="Q99" s="962">
        <f>SUM(Q95:Q97)</f>
        <v>0</v>
      </c>
      <c r="R99" s="964"/>
      <c r="S99" s="962">
        <f>SUM(S95:S97)</f>
        <v>0</v>
      </c>
    </row>
    <row r="100" spans="1:34" x14ac:dyDescent="0.35">
      <c r="A100" s="684"/>
      <c r="B100" s="655"/>
      <c r="C100" s="656"/>
      <c r="D100" s="656"/>
      <c r="E100" s="657"/>
      <c r="F100" s="660" t="s">
        <v>719</v>
      </c>
      <c r="G100" s="661"/>
      <c r="H100" s="965"/>
      <c r="I100" s="966" t="e">
        <v>#DIV/0!</v>
      </c>
      <c r="J100" s="965"/>
      <c r="K100" s="966" t="e">
        <v>#DIV/0!</v>
      </c>
      <c r="L100" s="965"/>
      <c r="M100" s="966" t="e">
        <v>#DIV/0!</v>
      </c>
      <c r="N100" s="965"/>
      <c r="O100" s="966" t="e">
        <v>#DIV/0!</v>
      </c>
      <c r="P100" s="965"/>
      <c r="Q100" s="966" t="e">
        <v>#DIV/0!</v>
      </c>
      <c r="R100" s="966" t="e">
        <v>#DIV/0!</v>
      </c>
      <c r="S100" s="966" t="e">
        <v>#REF!</v>
      </c>
    </row>
    <row r="101" spans="1:34" x14ac:dyDescent="0.35">
      <c r="A101" s="684"/>
      <c r="B101" s="655"/>
      <c r="C101" s="656"/>
      <c r="D101" s="656"/>
      <c r="E101" s="657"/>
      <c r="F101" s="660" t="s">
        <v>720</v>
      </c>
      <c r="G101" s="662"/>
      <c r="H101" s="965"/>
      <c r="I101" s="966" t="e">
        <v>#DIV/0!</v>
      </c>
      <c r="J101" s="965"/>
      <c r="K101" s="966" t="e">
        <v>#DIV/0!</v>
      </c>
      <c r="L101" s="965"/>
      <c r="M101" s="966" t="e">
        <v>#DIV/0!</v>
      </c>
      <c r="N101" s="965"/>
      <c r="O101" s="966" t="e">
        <v>#DIV/0!</v>
      </c>
      <c r="P101" s="965"/>
      <c r="Q101" s="966" t="e">
        <v>#DIV/0!</v>
      </c>
      <c r="R101" s="966" t="e">
        <v>#DIV/0!</v>
      </c>
      <c r="S101" s="966" t="e">
        <v>#REF!</v>
      </c>
    </row>
    <row r="102" spans="1:34" x14ac:dyDescent="0.35">
      <c r="A102" s="684"/>
      <c r="B102" s="655"/>
      <c r="C102" s="656"/>
      <c r="D102" s="656"/>
      <c r="E102" s="657"/>
      <c r="F102" s="658"/>
      <c r="G102" s="659"/>
      <c r="H102" s="967"/>
      <c r="I102" s="967"/>
      <c r="J102" s="967"/>
      <c r="K102" s="967"/>
      <c r="L102" s="967"/>
      <c r="M102" s="967"/>
      <c r="N102" s="967"/>
      <c r="O102" s="967"/>
      <c r="P102" s="967"/>
      <c r="Q102" s="967"/>
      <c r="R102" s="967"/>
      <c r="S102" s="967"/>
    </row>
    <row r="103" spans="1:34" x14ac:dyDescent="0.35">
      <c r="A103" s="3764" t="s">
        <v>721</v>
      </c>
      <c r="B103" s="3765"/>
      <c r="C103" s="12"/>
      <c r="D103" s="12"/>
      <c r="E103" s="12"/>
      <c r="F103" s="12"/>
      <c r="G103" s="43"/>
      <c r="H103" s="42"/>
      <c r="I103" s="21"/>
      <c r="J103" s="21"/>
      <c r="K103" s="21"/>
      <c r="L103" s="21"/>
      <c r="M103" s="21"/>
      <c r="N103" s="21"/>
      <c r="O103" s="21"/>
      <c r="P103" s="21"/>
      <c r="Q103" s="21"/>
      <c r="R103" s="21"/>
      <c r="S103" s="21"/>
    </row>
    <row r="104" spans="1:34" x14ac:dyDescent="0.35">
      <c r="A104" s="968"/>
      <c r="B104" s="641"/>
      <c r="C104" s="969"/>
      <c r="D104" s="969"/>
      <c r="E104" s="969"/>
      <c r="F104" s="969"/>
      <c r="G104" s="970"/>
      <c r="H104" s="971"/>
      <c r="I104" s="972"/>
      <c r="J104" s="972"/>
      <c r="K104" s="972"/>
      <c r="L104" s="972"/>
      <c r="M104" s="972"/>
      <c r="N104" s="972"/>
      <c r="O104" s="972"/>
      <c r="P104" s="972"/>
      <c r="Q104" s="972"/>
      <c r="R104" s="972"/>
      <c r="S104" s="972"/>
    </row>
    <row r="105" spans="1:34" x14ac:dyDescent="0.35">
      <c r="A105" s="968"/>
      <c r="B105" s="641"/>
      <c r="C105" s="969"/>
      <c r="D105" s="969"/>
      <c r="E105" s="969"/>
      <c r="F105" s="969"/>
      <c r="G105" s="970"/>
      <c r="H105" s="971"/>
      <c r="I105" s="972"/>
      <c r="J105" s="972"/>
      <c r="K105" s="972"/>
      <c r="L105" s="972"/>
      <c r="M105" s="972"/>
      <c r="N105" s="972"/>
      <c r="O105" s="972"/>
      <c r="P105" s="972"/>
      <c r="Q105" s="972"/>
      <c r="R105" s="972"/>
      <c r="S105" s="972"/>
    </row>
    <row r="106" spans="1:34" x14ac:dyDescent="0.35">
      <c r="A106" s="968"/>
      <c r="B106" s="641"/>
      <c r="C106" s="969"/>
      <c r="D106" s="969"/>
      <c r="E106" s="969"/>
      <c r="F106" s="969"/>
      <c r="G106" s="970"/>
      <c r="H106" s="971"/>
      <c r="I106" s="972"/>
      <c r="J106" s="972"/>
      <c r="K106" s="972"/>
      <c r="L106" s="972"/>
      <c r="M106" s="972"/>
      <c r="N106" s="972"/>
      <c r="O106" s="972"/>
      <c r="P106" s="972"/>
      <c r="Q106" s="972"/>
      <c r="R106" s="972"/>
      <c r="S106" s="972"/>
    </row>
    <row r="107" spans="1:34" s="2" customFormat="1" x14ac:dyDescent="0.35">
      <c r="A107" s="3764" t="s">
        <v>722</v>
      </c>
      <c r="B107" s="3765"/>
      <c r="C107" s="12"/>
      <c r="D107" s="12"/>
      <c r="E107" s="12"/>
      <c r="F107" s="12"/>
      <c r="G107" s="43"/>
      <c r="H107" s="42"/>
      <c r="I107" s="21"/>
      <c r="J107" s="21"/>
      <c r="K107" s="21"/>
      <c r="L107" s="21"/>
      <c r="M107" s="21"/>
      <c r="N107" s="21"/>
      <c r="O107" s="21"/>
      <c r="P107" s="21"/>
      <c r="Q107" s="21"/>
      <c r="R107" s="21"/>
      <c r="S107" s="21"/>
      <c r="T107"/>
      <c r="U107"/>
      <c r="V107"/>
      <c r="W107"/>
      <c r="X107"/>
      <c r="Y107"/>
      <c r="Z107"/>
      <c r="AA107"/>
      <c r="AB107"/>
      <c r="AC107"/>
      <c r="AD107"/>
      <c r="AE107"/>
      <c r="AF107"/>
      <c r="AG107"/>
      <c r="AH107"/>
    </row>
    <row r="108" spans="1:34" s="2" customFormat="1" x14ac:dyDescent="0.35">
      <c r="A108" s="968"/>
      <c r="B108" s="641"/>
      <c r="C108" s="969"/>
      <c r="D108" s="969"/>
      <c r="E108" s="969"/>
      <c r="F108" s="969"/>
      <c r="G108" s="970"/>
      <c r="H108" s="971"/>
      <c r="I108" s="972"/>
      <c r="J108" s="972"/>
      <c r="K108" s="972"/>
      <c r="L108" s="972"/>
      <c r="M108" s="972"/>
      <c r="N108" s="972"/>
      <c r="O108" s="972"/>
      <c r="P108" s="972"/>
      <c r="Q108" s="972"/>
      <c r="R108" s="972"/>
      <c r="S108" s="972"/>
      <c r="T108"/>
      <c r="U108"/>
      <c r="V108"/>
      <c r="W108"/>
      <c r="X108"/>
      <c r="Y108"/>
      <c r="Z108"/>
      <c r="AA108"/>
      <c r="AB108"/>
      <c r="AC108"/>
      <c r="AD108"/>
      <c r="AE108"/>
      <c r="AF108"/>
      <c r="AG108"/>
      <c r="AH108"/>
    </row>
    <row r="109" spans="1:34" s="2" customFormat="1" x14ac:dyDescent="0.35">
      <c r="A109" s="968"/>
      <c r="B109" s="641"/>
      <c r="C109" s="969"/>
      <c r="D109" s="969"/>
      <c r="E109" s="969"/>
      <c r="F109" s="969"/>
      <c r="G109" s="970"/>
      <c r="H109" s="971"/>
      <c r="I109" s="972"/>
      <c r="J109" s="972"/>
      <c r="K109" s="972"/>
      <c r="L109" s="972"/>
      <c r="M109" s="972"/>
      <c r="N109" s="972"/>
      <c r="O109" s="972"/>
      <c r="P109" s="972"/>
      <c r="Q109" s="972"/>
      <c r="R109" s="972"/>
      <c r="S109" s="972"/>
      <c r="T109"/>
      <c r="U109"/>
      <c r="V109"/>
      <c r="W109"/>
      <c r="X109"/>
      <c r="Y109"/>
      <c r="Z109"/>
      <c r="AA109"/>
      <c r="AB109"/>
      <c r="AC109"/>
      <c r="AD109"/>
      <c r="AE109"/>
      <c r="AF109"/>
      <c r="AG109"/>
      <c r="AH109"/>
    </row>
    <row r="110" spans="1:34" x14ac:dyDescent="0.35">
      <c r="A110" s="968"/>
      <c r="B110" s="641"/>
      <c r="C110" s="969"/>
      <c r="D110" s="969"/>
      <c r="E110" s="969"/>
      <c r="F110" s="969"/>
      <c r="G110" s="970"/>
      <c r="H110" s="971"/>
      <c r="I110" s="972"/>
      <c r="J110" s="972"/>
      <c r="K110" s="972"/>
      <c r="L110" s="972"/>
      <c r="M110" s="972"/>
      <c r="N110" s="972"/>
      <c r="O110" s="972"/>
      <c r="P110" s="972"/>
      <c r="Q110" s="972"/>
      <c r="R110" s="972"/>
      <c r="S110" s="972"/>
    </row>
    <row r="111" spans="1:34" s="2" customFormat="1" x14ac:dyDescent="0.35">
      <c r="A111" s="3764" t="s">
        <v>723</v>
      </c>
      <c r="B111" s="3765"/>
      <c r="C111" s="12"/>
      <c r="D111" s="12"/>
      <c r="E111" s="12"/>
      <c r="F111" s="12"/>
      <c r="G111" s="43"/>
      <c r="H111" s="42"/>
      <c r="I111" s="21"/>
      <c r="J111" s="21"/>
      <c r="K111" s="21"/>
      <c r="L111" s="21"/>
      <c r="M111" s="21"/>
      <c r="N111" s="21"/>
      <c r="O111" s="21"/>
      <c r="P111" s="21"/>
      <c r="Q111" s="21"/>
      <c r="R111" s="21"/>
      <c r="S111" s="21"/>
      <c r="T111"/>
      <c r="U111"/>
      <c r="V111"/>
      <c r="W111"/>
      <c r="X111"/>
      <c r="Y111"/>
      <c r="Z111"/>
      <c r="AA111"/>
      <c r="AB111"/>
      <c r="AC111"/>
      <c r="AD111"/>
      <c r="AE111"/>
      <c r="AF111"/>
      <c r="AG111"/>
      <c r="AH111"/>
    </row>
    <row r="112" spans="1:34" s="2" customFormat="1" x14ac:dyDescent="0.35">
      <c r="A112" s="968"/>
      <c r="B112" s="641"/>
      <c r="C112" s="969"/>
      <c r="D112" s="969"/>
      <c r="E112" s="969"/>
      <c r="F112" s="969"/>
      <c r="G112" s="970"/>
      <c r="H112" s="971"/>
      <c r="I112" s="972"/>
      <c r="J112" s="972"/>
      <c r="K112" s="972"/>
      <c r="L112" s="972"/>
      <c r="M112" s="972"/>
      <c r="N112" s="972"/>
      <c r="O112" s="972"/>
      <c r="P112" s="972"/>
      <c r="Q112" s="972"/>
      <c r="R112" s="972"/>
      <c r="S112" s="972"/>
      <c r="T112"/>
      <c r="U112"/>
      <c r="V112"/>
      <c r="W112"/>
      <c r="X112"/>
      <c r="Y112"/>
      <c r="Z112"/>
      <c r="AA112"/>
      <c r="AB112"/>
      <c r="AC112"/>
      <c r="AD112"/>
      <c r="AE112"/>
      <c r="AF112"/>
      <c r="AG112"/>
      <c r="AH112"/>
    </row>
    <row r="113" spans="1:34" s="2" customFormat="1" x14ac:dyDescent="0.35">
      <c r="A113" s="689"/>
      <c r="B113" s="641"/>
      <c r="C113" s="642"/>
      <c r="D113" s="642"/>
      <c r="E113" s="642"/>
      <c r="F113" s="642"/>
      <c r="G113" s="685"/>
      <c r="H113" s="664"/>
      <c r="I113" s="973"/>
      <c r="J113" s="973"/>
      <c r="K113" s="973"/>
      <c r="L113" s="973"/>
      <c r="M113" s="973"/>
      <c r="N113" s="973"/>
      <c r="O113" s="973"/>
      <c r="P113" s="973"/>
      <c r="Q113" s="973"/>
      <c r="R113" s="973"/>
      <c r="S113" s="973"/>
      <c r="T113"/>
      <c r="U113"/>
      <c r="V113"/>
      <c r="W113"/>
      <c r="X113"/>
      <c r="Y113"/>
      <c r="Z113"/>
      <c r="AA113"/>
      <c r="AB113"/>
      <c r="AC113"/>
      <c r="AD113"/>
      <c r="AE113"/>
      <c r="AF113"/>
      <c r="AG113"/>
      <c r="AH113"/>
    </row>
    <row r="114" spans="1:34" s="2" customFormat="1" x14ac:dyDescent="0.35">
      <c r="A114" s="686"/>
      <c r="B114" s="665"/>
      <c r="C114" s="642"/>
      <c r="D114" s="642"/>
      <c r="E114" s="642"/>
      <c r="F114" s="642"/>
      <c r="G114" s="685"/>
      <c r="H114" s="666"/>
      <c r="I114" s="974"/>
      <c r="J114" s="974"/>
      <c r="K114" s="974"/>
      <c r="L114" s="974"/>
      <c r="M114" s="974"/>
      <c r="N114" s="974"/>
      <c r="O114" s="974"/>
      <c r="P114" s="974"/>
      <c r="Q114" s="974"/>
      <c r="R114" s="974"/>
      <c r="S114" s="974"/>
    </row>
    <row r="115" spans="1:34" s="2" customFormat="1" x14ac:dyDescent="0.35">
      <c r="A115" s="3764" t="s">
        <v>724</v>
      </c>
      <c r="B115" s="3765"/>
      <c r="C115" s="12"/>
      <c r="D115" s="12"/>
      <c r="E115" s="12"/>
      <c r="F115" s="12"/>
      <c r="G115" s="43"/>
      <c r="H115" s="42"/>
      <c r="I115" s="21"/>
      <c r="J115" s="21"/>
      <c r="K115" s="21"/>
      <c r="L115" s="21"/>
      <c r="M115" s="21"/>
      <c r="N115" s="21"/>
      <c r="O115" s="21"/>
      <c r="P115" s="21"/>
      <c r="Q115" s="21"/>
      <c r="R115" s="21"/>
      <c r="S115" s="21"/>
      <c r="T115"/>
      <c r="U115"/>
      <c r="V115"/>
      <c r="W115"/>
      <c r="X115"/>
      <c r="Y115"/>
      <c r="Z115"/>
      <c r="AA115"/>
      <c r="AB115"/>
      <c r="AC115"/>
      <c r="AD115"/>
      <c r="AE115"/>
      <c r="AF115"/>
      <c r="AG115"/>
      <c r="AH115"/>
    </row>
    <row r="116" spans="1:34" x14ac:dyDescent="0.35">
      <c r="A116" s="975"/>
      <c r="B116" s="976"/>
      <c r="C116" s="969"/>
      <c r="D116" s="969"/>
      <c r="E116" s="969"/>
      <c r="F116" s="969"/>
      <c r="G116" s="970"/>
      <c r="H116" s="971"/>
      <c r="I116" s="972"/>
      <c r="J116" s="972"/>
      <c r="K116" s="972"/>
      <c r="L116" s="972"/>
      <c r="M116" s="972"/>
      <c r="N116" s="972"/>
      <c r="O116" s="972"/>
      <c r="P116" s="972"/>
      <c r="Q116" s="972"/>
      <c r="R116" s="972"/>
      <c r="S116" s="972"/>
      <c r="T116" s="2"/>
      <c r="U116" s="2"/>
      <c r="V116" s="2"/>
      <c r="W116" s="2"/>
      <c r="X116" s="2"/>
      <c r="Y116" s="2"/>
      <c r="Z116" s="2"/>
      <c r="AA116" s="2"/>
      <c r="AB116" s="2"/>
      <c r="AC116" s="2"/>
      <c r="AD116" s="2"/>
      <c r="AE116" s="2"/>
      <c r="AF116" s="2"/>
      <c r="AG116" s="2"/>
      <c r="AH116" s="2"/>
    </row>
    <row r="117" spans="1:34" x14ac:dyDescent="0.35">
      <c r="A117" s="686"/>
      <c r="B117" s="665"/>
      <c r="C117" s="642"/>
      <c r="D117" s="642"/>
      <c r="E117" s="642"/>
      <c r="F117" s="642"/>
      <c r="G117" s="685"/>
      <c r="H117" s="667"/>
      <c r="I117" s="977"/>
      <c r="J117" s="977"/>
      <c r="K117" s="977"/>
      <c r="L117" s="977"/>
      <c r="M117" s="977"/>
      <c r="N117" s="977"/>
      <c r="O117" s="977"/>
      <c r="P117" s="977"/>
      <c r="Q117" s="977"/>
      <c r="R117" s="977"/>
      <c r="S117" s="977"/>
      <c r="T117" s="2"/>
      <c r="U117" s="2"/>
      <c r="V117" s="2"/>
      <c r="W117" s="2"/>
      <c r="X117" s="2"/>
      <c r="Y117" s="2"/>
      <c r="Z117" s="2"/>
      <c r="AA117" s="2"/>
      <c r="AB117" s="2"/>
      <c r="AC117" s="2"/>
      <c r="AD117" s="2"/>
      <c r="AE117" s="2"/>
      <c r="AF117" s="2"/>
      <c r="AG117" s="2"/>
      <c r="AH117" s="2"/>
    </row>
    <row r="118" spans="1:34" x14ac:dyDescent="0.35">
      <c r="A118" s="686"/>
      <c r="B118" s="665"/>
      <c r="C118" s="642"/>
      <c r="D118" s="642"/>
      <c r="E118" s="642"/>
      <c r="F118" s="642"/>
      <c r="G118" s="685"/>
      <c r="H118" s="667"/>
      <c r="I118" s="977"/>
      <c r="J118" s="977"/>
      <c r="K118" s="977"/>
      <c r="L118" s="977"/>
      <c r="M118" s="977"/>
      <c r="N118" s="977"/>
      <c r="O118" s="977"/>
      <c r="P118" s="977"/>
      <c r="Q118" s="977"/>
      <c r="R118" s="977"/>
      <c r="S118" s="977"/>
      <c r="T118" s="2"/>
      <c r="U118" s="2"/>
      <c r="V118" s="2"/>
      <c r="W118" s="2"/>
      <c r="X118" s="2"/>
      <c r="Y118" s="2"/>
      <c r="Z118" s="2"/>
      <c r="AA118" s="2"/>
      <c r="AB118" s="2"/>
      <c r="AC118" s="2"/>
      <c r="AD118" s="2"/>
      <c r="AE118" s="2"/>
      <c r="AF118" s="2"/>
      <c r="AG118" s="2"/>
      <c r="AH118" s="2"/>
    </row>
    <row r="119" spans="1:34" x14ac:dyDescent="0.35">
      <c r="A119" s="3764" t="s">
        <v>725</v>
      </c>
      <c r="B119" s="3765"/>
      <c r="C119" s="12"/>
      <c r="D119" s="12"/>
      <c r="E119" s="12"/>
      <c r="F119" s="12"/>
      <c r="G119" s="43"/>
      <c r="H119" s="42"/>
      <c r="I119" s="21"/>
      <c r="J119" s="21"/>
      <c r="K119" s="21"/>
      <c r="L119" s="21"/>
      <c r="M119" s="21"/>
      <c r="N119" s="21"/>
      <c r="O119" s="21"/>
      <c r="P119" s="21"/>
      <c r="Q119" s="21"/>
      <c r="R119" s="21"/>
      <c r="S119" s="21"/>
    </row>
    <row r="120" spans="1:34" x14ac:dyDescent="0.35">
      <c r="A120" s="689"/>
      <c r="B120" s="641" t="s">
        <v>726</v>
      </c>
      <c r="C120" s="642"/>
      <c r="D120" s="642"/>
      <c r="E120" s="642"/>
      <c r="F120" s="642"/>
      <c r="G120" s="685"/>
      <c r="H120" s="667"/>
      <c r="I120" s="977"/>
      <c r="J120" s="977"/>
      <c r="K120" s="977"/>
      <c r="L120" s="977"/>
      <c r="M120" s="977"/>
      <c r="N120" s="977"/>
      <c r="O120" s="977"/>
      <c r="P120" s="977"/>
      <c r="Q120" s="977"/>
      <c r="R120" s="977"/>
      <c r="S120" s="977"/>
    </row>
    <row r="121" spans="1:34" x14ac:dyDescent="0.35">
      <c r="A121" s="689"/>
      <c r="B121" s="641" t="s">
        <v>727</v>
      </c>
      <c r="C121" s="642"/>
      <c r="D121" s="642"/>
      <c r="E121" s="642"/>
      <c r="F121" s="642"/>
      <c r="G121" s="685"/>
      <c r="H121" s="667"/>
      <c r="I121" s="977"/>
      <c r="J121" s="977"/>
      <c r="K121" s="977"/>
      <c r="L121" s="977"/>
      <c r="M121" s="977"/>
      <c r="N121" s="977"/>
      <c r="O121" s="977"/>
      <c r="P121" s="977"/>
      <c r="Q121" s="977"/>
      <c r="R121" s="977"/>
      <c r="S121" s="977"/>
    </row>
    <row r="122" spans="1:34" x14ac:dyDescent="0.35">
      <c r="A122" s="689"/>
      <c r="B122" s="641" t="s">
        <v>728</v>
      </c>
      <c r="C122" s="642"/>
      <c r="D122" s="642"/>
      <c r="E122" s="642"/>
      <c r="F122" s="642"/>
      <c r="G122" s="685"/>
      <c r="H122" s="667"/>
      <c r="I122" s="977"/>
      <c r="J122" s="977"/>
      <c r="K122" s="977"/>
      <c r="L122" s="977"/>
      <c r="M122" s="977"/>
      <c r="N122" s="977"/>
      <c r="O122" s="977"/>
      <c r="P122" s="977"/>
      <c r="Q122" s="977"/>
      <c r="R122" s="977"/>
      <c r="S122" s="977"/>
    </row>
    <row r="123" spans="1:34" x14ac:dyDescent="0.35">
      <c r="A123" s="689"/>
      <c r="B123" s="641" t="s">
        <v>729</v>
      </c>
      <c r="C123" s="642"/>
      <c r="D123" s="642"/>
      <c r="E123" s="642"/>
      <c r="F123" s="642"/>
      <c r="G123" s="685"/>
      <c r="H123" s="667"/>
      <c r="I123" s="977"/>
      <c r="J123" s="977"/>
      <c r="K123" s="977"/>
      <c r="L123" s="977"/>
      <c r="M123" s="977"/>
      <c r="N123" s="977"/>
      <c r="O123" s="977"/>
      <c r="P123" s="977"/>
      <c r="Q123" s="977"/>
      <c r="R123" s="977"/>
      <c r="S123" s="977"/>
    </row>
    <row r="124" spans="1:34" x14ac:dyDescent="0.35">
      <c r="A124" s="978"/>
      <c r="B124" s="939"/>
      <c r="C124" s="940"/>
      <c r="D124" s="940"/>
      <c r="E124" s="940"/>
      <c r="F124" s="940"/>
      <c r="G124" s="979"/>
      <c r="H124" s="980"/>
      <c r="I124" s="981"/>
      <c r="J124" s="981"/>
      <c r="K124" s="981"/>
      <c r="L124" s="981"/>
      <c r="M124" s="981"/>
      <c r="N124" s="981"/>
      <c r="O124" s="981"/>
      <c r="P124" s="981"/>
      <c r="Q124" s="981"/>
      <c r="R124" s="981"/>
      <c r="S124" s="981"/>
    </row>
    <row r="125" spans="1:34" x14ac:dyDescent="0.35">
      <c r="A125" s="7" t="s">
        <v>730</v>
      </c>
      <c r="B125" s="8"/>
      <c r="C125" s="12"/>
      <c r="D125" s="12"/>
      <c r="E125" s="12"/>
      <c r="F125" s="12"/>
      <c r="G125" s="43"/>
      <c r="H125" s="42"/>
      <c r="I125" s="21"/>
      <c r="J125" s="21"/>
      <c r="K125" s="21"/>
      <c r="L125" s="21"/>
      <c r="M125" s="21"/>
      <c r="N125" s="21"/>
      <c r="O125" s="21"/>
      <c r="P125" s="21"/>
      <c r="Q125" s="21"/>
      <c r="R125" s="21"/>
      <c r="S125" s="21"/>
    </row>
    <row r="126" spans="1:34" x14ac:dyDescent="0.35">
      <c r="A126" s="968"/>
      <c r="B126" s="982" t="s">
        <v>731</v>
      </c>
      <c r="C126" s="969"/>
      <c r="D126" s="969"/>
      <c r="E126" s="969"/>
      <c r="F126" s="969"/>
      <c r="G126" s="970"/>
      <c r="H126" s="632"/>
      <c r="I126" s="983"/>
      <c r="J126" s="983"/>
      <c r="K126" s="983"/>
      <c r="L126" s="983"/>
      <c r="M126" s="983"/>
      <c r="N126" s="983"/>
      <c r="O126" s="983"/>
      <c r="P126" s="983"/>
      <c r="Q126" s="983"/>
      <c r="R126" s="983"/>
      <c r="S126" s="983"/>
    </row>
    <row r="127" spans="1:34" x14ac:dyDescent="0.35">
      <c r="A127" s="689"/>
      <c r="B127" s="641" t="s">
        <v>732</v>
      </c>
      <c r="C127" s="642"/>
      <c r="D127" s="642"/>
      <c r="E127" s="642"/>
      <c r="F127" s="642"/>
      <c r="G127" s="685"/>
      <c r="H127" s="668"/>
      <c r="I127" s="984"/>
      <c r="J127" s="984"/>
      <c r="K127" s="984"/>
      <c r="L127" s="984"/>
      <c r="M127" s="984"/>
      <c r="N127" s="984"/>
      <c r="O127" s="984"/>
      <c r="P127" s="984"/>
      <c r="Q127" s="984"/>
      <c r="R127" s="984"/>
      <c r="S127" s="984"/>
    </row>
    <row r="128" spans="1:34" x14ac:dyDescent="0.35">
      <c r="A128" s="985"/>
      <c r="B128" s="986" t="s">
        <v>733</v>
      </c>
      <c r="C128" s="987"/>
      <c r="D128" s="987"/>
      <c r="E128" s="987"/>
      <c r="F128" s="987"/>
      <c r="G128" s="988"/>
      <c r="H128" s="989"/>
      <c r="I128" s="990"/>
      <c r="J128" s="990"/>
      <c r="K128" s="990"/>
      <c r="L128" s="990"/>
      <c r="M128" s="990"/>
      <c r="N128" s="990"/>
      <c r="O128" s="990"/>
      <c r="P128" s="990"/>
      <c r="Q128" s="990"/>
      <c r="R128" s="990"/>
      <c r="S128" s="990"/>
    </row>
    <row r="130" spans="1:2" x14ac:dyDescent="0.35">
      <c r="A130" s="78" t="s">
        <v>734</v>
      </c>
      <c r="B130" s="80"/>
    </row>
    <row r="131" spans="1:2" x14ac:dyDescent="0.35">
      <c r="A131" s="79" t="s">
        <v>632</v>
      </c>
      <c r="B131" s="991" t="str">
        <f>H4</f>
        <v>HB Construction</v>
      </c>
    </row>
    <row r="132" spans="1:2" x14ac:dyDescent="0.35">
      <c r="A132" s="687" t="s">
        <v>636</v>
      </c>
      <c r="B132" s="991" t="str">
        <f>H5</f>
        <v>Butch Carmichael</v>
      </c>
    </row>
    <row r="133" spans="1:2" x14ac:dyDescent="0.35">
      <c r="A133" s="992" t="s">
        <v>639</v>
      </c>
      <c r="B133" s="993" t="str">
        <f>H6</f>
        <v>561-225-4868</v>
      </c>
    </row>
    <row r="134" spans="1:2" x14ac:dyDescent="0.35">
      <c r="A134" s="992" t="s">
        <v>642</v>
      </c>
      <c r="B134" s="994" t="str">
        <f>H7</f>
        <v xml:space="preserve"> &lt;bcarmichael@hedrickbrothers.com&gt;</v>
      </c>
    </row>
    <row r="135" spans="1:2" x14ac:dyDescent="0.35">
      <c r="A135" s="995" t="s">
        <v>735</v>
      </c>
      <c r="B135" s="996">
        <f>H8</f>
        <v>0</v>
      </c>
    </row>
    <row r="137" spans="1:2" x14ac:dyDescent="0.35">
      <c r="A137" s="81"/>
      <c r="B137" s="1" t="s">
        <v>736</v>
      </c>
    </row>
    <row r="138" spans="1:2" x14ac:dyDescent="0.35">
      <c r="A138" s="82"/>
      <c r="B138" s="1" t="s">
        <v>737</v>
      </c>
    </row>
  </sheetData>
  <mergeCells count="47">
    <mergeCell ref="A103:B103"/>
    <mergeCell ref="A107:B107"/>
    <mergeCell ref="A111:B111"/>
    <mergeCell ref="A115:B115"/>
    <mergeCell ref="A119:B11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3085" priority="13" operator="equal">
      <formula>"X"</formula>
    </cfRule>
    <cfRule type="cellIs" dxfId="3084" priority="14" operator="equal">
      <formula>"I"</formula>
    </cfRule>
  </conditionalFormatting>
  <conditionalFormatting sqref="H32:H94">
    <cfRule type="cellIs" dxfId="3083" priority="1" operator="equal">
      <formula>"X"</formula>
    </cfRule>
    <cfRule type="cellIs" dxfId="3082" priority="2" operator="equal">
      <formula>"I"</formula>
    </cfRule>
  </conditionalFormatting>
  <conditionalFormatting sqref="J20:J30">
    <cfRule type="cellIs" dxfId="3081" priority="15" operator="equal">
      <formula>"X"</formula>
    </cfRule>
    <cfRule type="cellIs" dxfId="3080" priority="16" operator="equal">
      <formula>"I"</formula>
    </cfRule>
  </conditionalFormatting>
  <conditionalFormatting sqref="J32:J94">
    <cfRule type="cellIs" dxfId="3079" priority="3" operator="equal">
      <formula>"X"</formula>
    </cfRule>
    <cfRule type="cellIs" dxfId="3078" priority="4" operator="equal">
      <formula>"I"</formula>
    </cfRule>
  </conditionalFormatting>
  <conditionalFormatting sqref="L20:L30">
    <cfRule type="cellIs" dxfId="3077" priority="17" operator="equal">
      <formula>"X"</formula>
    </cfRule>
    <cfRule type="cellIs" dxfId="3076" priority="18" operator="equal">
      <formula>"I"</formula>
    </cfRule>
  </conditionalFormatting>
  <conditionalFormatting sqref="L32:L94">
    <cfRule type="cellIs" dxfId="3075" priority="5" operator="equal">
      <formula>"X"</formula>
    </cfRule>
    <cfRule type="cellIs" dxfId="3074" priority="6" operator="equal">
      <formula>"I"</formula>
    </cfRule>
  </conditionalFormatting>
  <conditionalFormatting sqref="N20:N30">
    <cfRule type="cellIs" dxfId="3073" priority="19" operator="equal">
      <formula>"X"</formula>
    </cfRule>
    <cfRule type="cellIs" dxfId="3072" priority="20" operator="equal">
      <formula>"I"</formula>
    </cfRule>
  </conditionalFormatting>
  <conditionalFormatting sqref="N32:N94">
    <cfRule type="cellIs" dxfId="3071" priority="7" operator="equal">
      <formula>"X"</formula>
    </cfRule>
    <cfRule type="cellIs" dxfId="3070" priority="8" operator="equal">
      <formula>"I"</formula>
    </cfRule>
  </conditionalFormatting>
  <conditionalFormatting sqref="P20:P30">
    <cfRule type="cellIs" dxfId="3069" priority="21" operator="equal">
      <formula>"X"</formula>
    </cfRule>
    <cfRule type="cellIs" dxfId="3068" priority="22" operator="equal">
      <formula>"I"</formula>
    </cfRule>
  </conditionalFormatting>
  <conditionalFormatting sqref="P32:P94">
    <cfRule type="cellIs" dxfId="3067" priority="9" operator="equal">
      <formula>"X"</formula>
    </cfRule>
    <cfRule type="cellIs" dxfId="3066" priority="10" operator="equal">
      <formula>"I"</formula>
    </cfRule>
  </conditionalFormatting>
  <conditionalFormatting sqref="R20:R30">
    <cfRule type="cellIs" dxfId="3065" priority="23" operator="equal">
      <formula>"X"</formula>
    </cfRule>
    <cfRule type="cellIs" dxfId="3064" priority="24" operator="equal">
      <formula>"I"</formula>
    </cfRule>
  </conditionalFormatting>
  <conditionalFormatting sqref="R32:R94">
    <cfRule type="cellIs" dxfId="3063" priority="11" operator="equal">
      <formula>"X"</formula>
    </cfRule>
    <cfRule type="cellIs" dxfId="3062" priority="12" operator="equal">
      <formula>"I"</formula>
    </cfRule>
  </conditionalFormatting>
  <hyperlinks>
    <hyperlink ref="B3" location="'Cost Summary'!A1" display="BACK TO SUMMARY SHEET" xr:uid="{F98B45CA-E35F-4F5D-B9EC-B7C753F54F0E}"/>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938A-0F35-4FB8-B76F-60EF09595100}">
  <sheetPr>
    <tabColor rgb="FF92D050"/>
  </sheetPr>
  <dimension ref="A1:AH87"/>
  <sheetViews>
    <sheetView zoomScale="89" zoomScaleNormal="89" workbookViewId="0">
      <pane xSplit="2" ySplit="9" topLeftCell="C20" activePane="bottomRight" state="frozen"/>
      <selection pane="topRight" activeCell="C1" sqref="C1"/>
      <selection pane="bottomLeft" activeCell="A10" sqref="A10"/>
      <selection pane="bottomRight" activeCell="C90" sqref="C90"/>
    </sheetView>
  </sheetViews>
  <sheetFormatPr defaultRowHeight="14.5" x14ac:dyDescent="0.35"/>
  <cols>
    <col min="1" max="1" width="11" customWidth="1"/>
    <col min="2" max="2" width="70.7265625" style="1" customWidth="1"/>
    <col min="3" max="3" width="10.81640625" style="2" bestFit="1" customWidth="1"/>
    <col min="4" max="4" width="9.7265625" style="2" customWidth="1"/>
    <col min="5" max="5" width="9.26953125" style="2" customWidth="1"/>
    <col min="6" max="6" width="12.81640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ht="15" thickBot="1" x14ac:dyDescent="0.4">
      <c r="E2" s="87"/>
      <c r="F2" s="122" t="s">
        <v>622</v>
      </c>
      <c r="G2" s="123" t="s">
        <v>451</v>
      </c>
      <c r="H2" s="3751"/>
      <c r="I2" s="3751"/>
      <c r="J2" s="3751"/>
      <c r="K2" s="3751"/>
      <c r="L2" s="3751"/>
      <c r="M2" s="3751"/>
      <c r="N2" s="3751"/>
      <c r="O2" s="3751"/>
      <c r="P2" s="3751"/>
      <c r="Q2" s="3751"/>
      <c r="R2" s="3751"/>
      <c r="S2" s="3751"/>
    </row>
    <row r="3" spans="1:19" ht="20" thickBot="1" x14ac:dyDescent="0.4">
      <c r="B3" s="137" t="s">
        <v>623</v>
      </c>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str">
        <f>'AREA CALC''s'!B4</f>
        <v>Alton Hilltop Gardens</v>
      </c>
      <c r="C4" s="5"/>
      <c r="D4" s="5"/>
      <c r="E4" s="5"/>
      <c r="F4" s="5"/>
      <c r="G4" s="6" t="s">
        <v>632</v>
      </c>
      <c r="H4" s="3752" t="s">
        <v>738</v>
      </c>
      <c r="I4" s="3753"/>
      <c r="J4" s="3752" t="s">
        <v>739</v>
      </c>
      <c r="K4" s="3753"/>
      <c r="L4" s="3752"/>
      <c r="M4" s="3753"/>
      <c r="N4" s="3752"/>
      <c r="O4" s="3753"/>
      <c r="P4" s="3752"/>
      <c r="Q4" s="3753"/>
      <c r="R4" s="3752"/>
      <c r="S4" s="3753"/>
    </row>
    <row r="5" spans="1:19" x14ac:dyDescent="0.35">
      <c r="A5" s="688" t="s">
        <v>634</v>
      </c>
      <c r="B5" s="641" t="s">
        <v>448</v>
      </c>
      <c r="C5" s="642"/>
      <c r="D5" s="642"/>
      <c r="E5" s="642"/>
      <c r="F5" s="642"/>
      <c r="G5" s="643" t="s">
        <v>636</v>
      </c>
      <c r="H5" s="3758"/>
      <c r="I5" s="3759"/>
      <c r="J5" s="3758" t="s">
        <v>740</v>
      </c>
      <c r="K5" s="3759"/>
      <c r="L5" s="3758"/>
      <c r="M5" s="3759"/>
      <c r="N5" s="3758"/>
      <c r="O5" s="3759"/>
      <c r="P5" s="3758"/>
      <c r="Q5" s="3759"/>
      <c r="R5" s="3758"/>
      <c r="S5" s="3759"/>
    </row>
    <row r="6" spans="1:19" x14ac:dyDescent="0.35">
      <c r="A6" s="688" t="s">
        <v>638</v>
      </c>
      <c r="B6" s="644" t="s">
        <v>447</v>
      </c>
      <c r="C6" s="642"/>
      <c r="D6" s="642"/>
      <c r="E6" s="642"/>
      <c r="F6" s="642"/>
      <c r="G6" s="680" t="s">
        <v>639</v>
      </c>
      <c r="H6" s="3756"/>
      <c r="I6" s="3757"/>
      <c r="J6" s="3756">
        <v>5613921991</v>
      </c>
      <c r="K6" s="3757"/>
      <c r="L6" s="3756"/>
      <c r="M6" s="3757"/>
      <c r="N6" s="3756"/>
      <c r="O6" s="3757"/>
      <c r="P6" s="3756"/>
      <c r="Q6" s="3757"/>
      <c r="R6" s="3756"/>
      <c r="S6" s="3757"/>
    </row>
    <row r="7" spans="1:19" x14ac:dyDescent="0.35">
      <c r="A7" s="688" t="s">
        <v>641</v>
      </c>
      <c r="B7" s="645"/>
      <c r="C7" s="642"/>
      <c r="D7" s="642"/>
      <c r="E7" s="642"/>
      <c r="F7" s="642"/>
      <c r="G7" s="680" t="s">
        <v>642</v>
      </c>
      <c r="H7" s="3762"/>
      <c r="I7" s="3763"/>
      <c r="J7" s="3762" t="s">
        <v>741</v>
      </c>
      <c r="K7" s="3763"/>
      <c r="L7" s="3762"/>
      <c r="M7" s="3763"/>
      <c r="N7" s="3762"/>
      <c r="O7" s="3763"/>
      <c r="P7" s="3762"/>
      <c r="Q7" s="3763"/>
      <c r="R7" s="3762"/>
      <c r="S7" s="3763"/>
    </row>
    <row r="8" spans="1:19" ht="15" thickBot="1" x14ac:dyDescent="0.4">
      <c r="A8" s="938" t="s">
        <v>644</v>
      </c>
      <c r="B8" s="939"/>
      <c r="C8" s="940"/>
      <c r="D8" s="940"/>
      <c r="E8" s="940"/>
      <c r="F8" s="940"/>
      <c r="G8" s="938" t="s">
        <v>644</v>
      </c>
      <c r="H8" s="3760">
        <f>I48</f>
        <v>110000</v>
      </c>
      <c r="I8" s="3761"/>
      <c r="J8" s="3760">
        <f>K48</f>
        <v>167700</v>
      </c>
      <c r="K8" s="3761"/>
      <c r="L8" s="3760">
        <f>M48</f>
        <v>0</v>
      </c>
      <c r="M8" s="3761"/>
      <c r="N8" s="3760">
        <f>O48</f>
        <v>0</v>
      </c>
      <c r="O8" s="3761"/>
      <c r="P8" s="3760">
        <f>Q48</f>
        <v>0</v>
      </c>
      <c r="Q8" s="3761"/>
      <c r="R8" s="3760">
        <f>S48</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997"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thickTop="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thickTop="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998"/>
      <c r="B21" s="648" t="s">
        <v>448</v>
      </c>
      <c r="C21" s="647"/>
      <c r="D21" s="642"/>
      <c r="E21" s="642"/>
      <c r="F21" s="642"/>
      <c r="G21" s="646"/>
      <c r="H21" s="943"/>
      <c r="I21" s="999"/>
      <c r="J21" s="943"/>
      <c r="K21" s="1000"/>
      <c r="L21" s="943"/>
      <c r="M21" s="1000"/>
      <c r="N21" s="943"/>
      <c r="O21" s="1000"/>
      <c r="P21" s="943"/>
      <c r="Q21" s="1000"/>
      <c r="R21" s="943"/>
      <c r="S21" s="1000"/>
    </row>
    <row r="22" spans="1:19" ht="16" hidden="1" thickBot="1" x14ac:dyDescent="0.4">
      <c r="A22" s="998"/>
      <c r="B22" s="1001" t="s">
        <v>656</v>
      </c>
      <c r="C22" s="647"/>
      <c r="D22" s="642"/>
      <c r="E22" s="642"/>
      <c r="F22" s="642"/>
      <c r="G22" s="646"/>
      <c r="H22" s="943"/>
      <c r="I22" s="999"/>
      <c r="J22" s="943"/>
      <c r="K22" s="1000"/>
      <c r="L22" s="943"/>
      <c r="M22" s="1000"/>
      <c r="N22" s="943"/>
      <c r="O22" s="1000"/>
      <c r="P22" s="943"/>
      <c r="Q22" s="1000"/>
      <c r="R22" s="943"/>
      <c r="S22" s="1000"/>
    </row>
    <row r="23" spans="1:19" ht="16" thickBot="1" x14ac:dyDescent="0.4">
      <c r="A23" s="1002"/>
      <c r="B23" s="602" t="s">
        <v>657</v>
      </c>
      <c r="C23" s="681"/>
      <c r="D23" s="642"/>
      <c r="E23" s="642"/>
      <c r="F23" s="642"/>
      <c r="G23" s="646"/>
      <c r="H23" s="943"/>
      <c r="I23" s="999"/>
      <c r="J23" s="943"/>
      <c r="K23" s="83"/>
      <c r="L23" s="943"/>
      <c r="M23" s="1000"/>
      <c r="N23" s="943"/>
      <c r="O23" s="1000"/>
      <c r="P23" s="943"/>
      <c r="Q23" s="1000"/>
      <c r="R23" s="943"/>
      <c r="S23" s="1000"/>
    </row>
    <row r="24" spans="1:19" x14ac:dyDescent="0.35">
      <c r="A24" s="998"/>
      <c r="B24" s="947" t="s">
        <v>658</v>
      </c>
      <c r="C24" s="647"/>
      <c r="D24" s="642"/>
      <c r="E24" s="642"/>
      <c r="F24" s="642"/>
      <c r="G24" s="646"/>
      <c r="H24" s="943"/>
      <c r="I24" s="999"/>
      <c r="J24" s="943"/>
      <c r="K24" s="1000"/>
      <c r="L24" s="943"/>
      <c r="M24" s="1000"/>
      <c r="N24" s="943"/>
      <c r="O24" s="1000"/>
      <c r="P24" s="943"/>
      <c r="Q24" s="1000"/>
      <c r="R24" s="943"/>
      <c r="S24" s="1000"/>
    </row>
    <row r="25" spans="1:19" x14ac:dyDescent="0.35">
      <c r="A25" s="683"/>
      <c r="B25" s="1003" t="s">
        <v>659</v>
      </c>
      <c r="C25" s="647"/>
      <c r="D25" s="642"/>
      <c r="E25" s="642"/>
      <c r="F25" s="642"/>
      <c r="G25" s="646"/>
      <c r="H25" s="943"/>
      <c r="I25" s="999"/>
      <c r="J25" s="943"/>
      <c r="K25" s="1000"/>
      <c r="L25" s="943"/>
      <c r="M25" s="1000"/>
      <c r="N25" s="943"/>
      <c r="O25" s="1000"/>
      <c r="P25" s="943"/>
      <c r="Q25" s="1000"/>
      <c r="R25" s="943"/>
      <c r="S25" s="1000"/>
    </row>
    <row r="26" spans="1:19" x14ac:dyDescent="0.35">
      <c r="A26" s="683"/>
      <c r="B26" s="1004" t="s">
        <v>660</v>
      </c>
      <c r="C26" s="647"/>
      <c r="D26" s="642"/>
      <c r="E26" s="642"/>
      <c r="F26" s="642"/>
      <c r="G26" s="646"/>
      <c r="H26" s="943"/>
      <c r="I26" s="999"/>
      <c r="J26" s="943"/>
      <c r="K26" s="1000"/>
      <c r="L26" s="943"/>
      <c r="M26" s="1000"/>
      <c r="N26" s="943"/>
      <c r="O26" s="1000"/>
      <c r="P26" s="943"/>
      <c r="Q26" s="1000"/>
      <c r="R26" s="943"/>
      <c r="S26" s="1000"/>
    </row>
    <row r="27" spans="1:19" x14ac:dyDescent="0.35">
      <c r="A27" s="683"/>
      <c r="B27" s="1004" t="s">
        <v>661</v>
      </c>
      <c r="C27" s="647"/>
      <c r="D27" s="642"/>
      <c r="E27" s="642"/>
      <c r="F27" s="642"/>
      <c r="G27" s="646"/>
      <c r="H27" s="943"/>
      <c r="I27" s="999"/>
      <c r="J27" s="943"/>
      <c r="K27" s="999"/>
      <c r="L27" s="943"/>
      <c r="M27" s="999"/>
      <c r="N27" s="943"/>
      <c r="O27" s="999"/>
      <c r="P27" s="943"/>
      <c r="Q27" s="999"/>
      <c r="R27" s="943"/>
      <c r="S27" s="999"/>
    </row>
    <row r="28" spans="1:19" x14ac:dyDescent="0.35">
      <c r="A28" s="683"/>
      <c r="B28" s="1004" t="s">
        <v>662</v>
      </c>
      <c r="C28" s="647"/>
      <c r="D28" s="642"/>
      <c r="E28" s="642"/>
      <c r="F28" s="642"/>
      <c r="G28" s="646"/>
      <c r="H28" s="943"/>
      <c r="I28" s="999"/>
      <c r="J28" s="943"/>
      <c r="K28" s="1000"/>
      <c r="L28" s="943"/>
      <c r="M28" s="1000"/>
      <c r="N28" s="943"/>
      <c r="O28" s="1000"/>
      <c r="P28" s="943"/>
      <c r="Q28" s="1000"/>
      <c r="R28" s="943"/>
      <c r="S28" s="1000"/>
    </row>
    <row r="29" spans="1:19" x14ac:dyDescent="0.35">
      <c r="A29" s="683"/>
      <c r="B29" s="1004" t="s">
        <v>663</v>
      </c>
      <c r="C29" s="647"/>
      <c r="D29" s="642"/>
      <c r="E29" s="642"/>
      <c r="F29" s="642"/>
      <c r="G29" s="646"/>
      <c r="H29" s="943"/>
      <c r="I29" s="999"/>
      <c r="J29" s="943"/>
      <c r="K29" s="1000"/>
      <c r="L29" s="943"/>
      <c r="M29" s="1000"/>
      <c r="N29" s="943"/>
      <c r="O29" s="1000"/>
      <c r="P29" s="943"/>
      <c r="Q29" s="1000"/>
      <c r="R29" s="943"/>
      <c r="S29" s="1000"/>
    </row>
    <row r="30" spans="1:19" x14ac:dyDescent="0.35">
      <c r="A30" s="683"/>
      <c r="B30" s="1004" t="s">
        <v>742</v>
      </c>
      <c r="C30" s="647"/>
      <c r="D30" s="642"/>
      <c r="E30" s="642"/>
      <c r="F30" s="642"/>
      <c r="G30" s="646"/>
      <c r="H30" s="943"/>
      <c r="I30" s="1005"/>
      <c r="J30" s="943"/>
      <c r="K30" s="1006"/>
      <c r="L30" s="943"/>
      <c r="M30" s="1006"/>
      <c r="N30" s="943"/>
      <c r="O30" s="1006"/>
      <c r="P30" s="943"/>
      <c r="Q30" s="1006"/>
      <c r="R30" s="943"/>
      <c r="S30" s="1006"/>
    </row>
    <row r="31" spans="1:19" x14ac:dyDescent="0.35">
      <c r="A31" s="683"/>
      <c r="B31" s="1007" t="s">
        <v>664</v>
      </c>
      <c r="C31" s="647"/>
      <c r="D31" s="642"/>
      <c r="E31" s="642"/>
      <c r="F31" s="642"/>
      <c r="G31" s="646"/>
      <c r="H31" s="943"/>
      <c r="I31" s="999"/>
      <c r="J31" s="943"/>
      <c r="K31" s="1000"/>
      <c r="L31" s="943"/>
      <c r="M31" s="1000"/>
      <c r="N31" s="943"/>
      <c r="O31" s="1000"/>
      <c r="P31" s="943"/>
      <c r="Q31" s="1000"/>
      <c r="R31" s="943"/>
      <c r="S31" s="1000"/>
    </row>
    <row r="32" spans="1:19" x14ac:dyDescent="0.35">
      <c r="A32" s="683"/>
      <c r="B32" s="1008" t="s">
        <v>665</v>
      </c>
      <c r="C32" s="649"/>
      <c r="D32" s="650">
        <v>1</v>
      </c>
      <c r="E32" s="650" t="s">
        <v>666</v>
      </c>
      <c r="F32" s="671"/>
      <c r="G32" s="952"/>
      <c r="H32" s="636"/>
      <c r="I32" s="1009"/>
      <c r="J32" s="636"/>
      <c r="K32" s="1010">
        <f>27950*6</f>
        <v>167700</v>
      </c>
      <c r="L32" s="636"/>
      <c r="M32" s="1010"/>
      <c r="N32" s="636"/>
      <c r="O32" s="1010"/>
      <c r="P32" s="636"/>
      <c r="Q32" s="1010"/>
      <c r="R32" s="636"/>
      <c r="S32" s="1010"/>
    </row>
    <row r="33" spans="1:19" x14ac:dyDescent="0.35">
      <c r="A33" s="683"/>
      <c r="B33" s="1011"/>
      <c r="C33" s="647"/>
      <c r="D33" s="642"/>
      <c r="E33" s="642"/>
      <c r="F33" s="654"/>
      <c r="G33" s="646"/>
      <c r="H33" s="943"/>
      <c r="I33" s="1005"/>
      <c r="J33" s="943"/>
      <c r="K33" s="1006"/>
      <c r="L33" s="943"/>
      <c r="M33" s="1006"/>
      <c r="N33" s="943"/>
      <c r="O33" s="1006"/>
      <c r="P33" s="943"/>
      <c r="Q33" s="1006"/>
      <c r="R33" s="943"/>
      <c r="S33" s="1006"/>
    </row>
    <row r="34" spans="1:19" x14ac:dyDescent="0.35">
      <c r="A34" s="683"/>
      <c r="B34" s="705"/>
      <c r="C34" s="647"/>
      <c r="D34" s="642"/>
      <c r="E34" s="642"/>
      <c r="F34" s="642"/>
      <c r="G34" s="646"/>
      <c r="H34" s="943"/>
      <c r="I34" s="1005"/>
      <c r="J34" s="943"/>
      <c r="K34" s="1006"/>
      <c r="L34" s="943"/>
      <c r="M34" s="1006"/>
      <c r="N34" s="943"/>
      <c r="O34" s="1006"/>
      <c r="P34" s="943"/>
      <c r="Q34" s="1006"/>
      <c r="R34" s="943"/>
      <c r="S34" s="1006"/>
    </row>
    <row r="35" spans="1:19" x14ac:dyDescent="0.35">
      <c r="A35" s="683"/>
      <c r="B35" s="705" t="s">
        <v>743</v>
      </c>
      <c r="C35" s="647"/>
      <c r="D35" s="653">
        <v>3</v>
      </c>
      <c r="E35" s="642" t="s">
        <v>666</v>
      </c>
      <c r="F35" s="1012">
        <v>10000</v>
      </c>
      <c r="G35" s="690">
        <f t="shared" ref="G35:G37" si="0">D35*F35</f>
        <v>30000</v>
      </c>
      <c r="H35" s="943" t="s">
        <v>669</v>
      </c>
      <c r="I35" s="1013">
        <f>G35</f>
        <v>30000</v>
      </c>
      <c r="J35" s="943"/>
      <c r="K35" s="1006"/>
      <c r="L35" s="943"/>
      <c r="M35" s="1006"/>
      <c r="N35" s="943"/>
      <c r="O35" s="1006"/>
      <c r="P35" s="943"/>
      <c r="Q35" s="1006"/>
      <c r="R35" s="943"/>
      <c r="S35" s="1006"/>
    </row>
    <row r="36" spans="1:19" x14ac:dyDescent="0.35">
      <c r="A36" s="683"/>
      <c r="B36" s="705" t="s">
        <v>744</v>
      </c>
      <c r="C36" s="647"/>
      <c r="D36" s="653">
        <v>2</v>
      </c>
      <c r="E36" s="642" t="s">
        <v>666</v>
      </c>
      <c r="F36" s="1012">
        <v>12000</v>
      </c>
      <c r="G36" s="690">
        <f t="shared" si="0"/>
        <v>24000</v>
      </c>
      <c r="H36" s="943" t="s">
        <v>669</v>
      </c>
      <c r="I36" s="1013">
        <f t="shared" ref="I36:I41" si="1">G36</f>
        <v>24000</v>
      </c>
      <c r="J36" s="943"/>
      <c r="K36" s="1006"/>
      <c r="L36" s="943"/>
      <c r="M36" s="1006"/>
      <c r="N36" s="943"/>
      <c r="O36" s="1006"/>
      <c r="P36" s="943"/>
      <c r="Q36" s="1006"/>
      <c r="R36" s="943"/>
      <c r="S36" s="1006"/>
    </row>
    <row r="37" spans="1:19" x14ac:dyDescent="0.35">
      <c r="A37" s="683"/>
      <c r="B37" s="705" t="s">
        <v>745</v>
      </c>
      <c r="C37" s="647"/>
      <c r="D37" s="653">
        <v>1</v>
      </c>
      <c r="E37" s="642" t="s">
        <v>666</v>
      </c>
      <c r="F37" s="1012">
        <v>12000</v>
      </c>
      <c r="G37" s="690">
        <f t="shared" si="0"/>
        <v>12000</v>
      </c>
      <c r="H37" s="943" t="s">
        <v>669</v>
      </c>
      <c r="I37" s="1013">
        <f t="shared" si="1"/>
        <v>12000</v>
      </c>
      <c r="J37" s="943"/>
      <c r="K37" s="1006"/>
      <c r="L37" s="943"/>
      <c r="M37" s="1006"/>
      <c r="N37" s="943"/>
      <c r="O37" s="1006"/>
      <c r="P37" s="943"/>
      <c r="Q37" s="1006"/>
      <c r="R37" s="943"/>
      <c r="S37" s="1006"/>
    </row>
    <row r="38" spans="1:19" x14ac:dyDescent="0.35">
      <c r="A38" s="683"/>
      <c r="B38" s="705"/>
      <c r="C38" s="647"/>
      <c r="D38" s="653"/>
      <c r="E38" s="642"/>
      <c r="F38" s="642"/>
      <c r="G38" s="646"/>
      <c r="H38" s="943"/>
      <c r="I38" s="1013"/>
      <c r="J38" s="943"/>
      <c r="K38" s="1006"/>
      <c r="L38" s="943"/>
      <c r="M38" s="1006"/>
      <c r="N38" s="943"/>
      <c r="O38" s="1006"/>
      <c r="P38" s="943"/>
      <c r="Q38" s="1006"/>
      <c r="R38" s="943"/>
      <c r="S38" s="1006"/>
    </row>
    <row r="39" spans="1:19" x14ac:dyDescent="0.35">
      <c r="A39" s="683"/>
      <c r="B39" s="705" t="s">
        <v>746</v>
      </c>
      <c r="C39" s="669"/>
      <c r="D39" s="653">
        <v>1</v>
      </c>
      <c r="E39" s="642" t="s">
        <v>666</v>
      </c>
      <c r="F39" s="1012">
        <v>30000</v>
      </c>
      <c r="G39" s="690">
        <f>D39*F39</f>
        <v>30000</v>
      </c>
      <c r="H39" s="943" t="s">
        <v>669</v>
      </c>
      <c r="I39" s="1013">
        <f t="shared" si="1"/>
        <v>30000</v>
      </c>
      <c r="J39" s="943"/>
      <c r="K39" s="1006"/>
      <c r="L39" s="943"/>
      <c r="M39" s="1005"/>
      <c r="N39" s="943"/>
      <c r="O39" s="1005"/>
      <c r="P39" s="943"/>
      <c r="Q39" s="1006"/>
      <c r="R39" s="943"/>
      <c r="S39" s="1006"/>
    </row>
    <row r="40" spans="1:19" x14ac:dyDescent="0.35">
      <c r="A40" s="683"/>
      <c r="B40" s="705" t="s">
        <v>429</v>
      </c>
      <c r="C40" s="669"/>
      <c r="D40" s="653">
        <v>3</v>
      </c>
      <c r="E40" s="642" t="s">
        <v>666</v>
      </c>
      <c r="F40" s="1012">
        <v>2000</v>
      </c>
      <c r="G40" s="690">
        <f t="shared" ref="G40:G41" si="2">D40*F40</f>
        <v>6000</v>
      </c>
      <c r="H40" s="943" t="s">
        <v>669</v>
      </c>
      <c r="I40" s="1013">
        <f t="shared" si="1"/>
        <v>6000</v>
      </c>
      <c r="J40" s="943"/>
      <c r="K40" s="1006"/>
      <c r="L40" s="943"/>
      <c r="M40" s="1006"/>
      <c r="N40" s="943"/>
      <c r="O40" s="1006"/>
      <c r="P40" s="943"/>
      <c r="Q40" s="1006"/>
      <c r="R40" s="943"/>
      <c r="S40" s="1006"/>
    </row>
    <row r="41" spans="1:19" x14ac:dyDescent="0.35">
      <c r="A41" s="683"/>
      <c r="B41" s="705" t="s">
        <v>80</v>
      </c>
      <c r="C41" s="669"/>
      <c r="D41" s="653">
        <v>1</v>
      </c>
      <c r="E41" s="642" t="s">
        <v>666</v>
      </c>
      <c r="F41" s="1012">
        <v>8000</v>
      </c>
      <c r="G41" s="690">
        <f t="shared" si="2"/>
        <v>8000</v>
      </c>
      <c r="H41" s="943" t="s">
        <v>669</v>
      </c>
      <c r="I41" s="1013">
        <f t="shared" si="1"/>
        <v>8000</v>
      </c>
      <c r="J41" s="943"/>
      <c r="K41" s="1006"/>
      <c r="L41" s="943"/>
      <c r="M41" s="1006"/>
      <c r="N41" s="943"/>
      <c r="O41" s="1006"/>
      <c r="P41" s="943"/>
      <c r="Q41" s="1006"/>
      <c r="R41" s="943"/>
      <c r="S41" s="1006"/>
    </row>
    <row r="42" spans="1:19" x14ac:dyDescent="0.35">
      <c r="A42" s="683"/>
      <c r="B42" s="705"/>
      <c r="C42" s="669"/>
      <c r="D42" s="669"/>
      <c r="E42" s="642"/>
      <c r="F42" s="642"/>
      <c r="G42" s="646"/>
      <c r="H42" s="943"/>
      <c r="I42" s="1005"/>
      <c r="J42" s="943"/>
      <c r="K42" s="1006"/>
      <c r="L42" s="943"/>
      <c r="M42" s="1006"/>
      <c r="N42" s="943"/>
      <c r="O42" s="1006"/>
      <c r="P42" s="943"/>
      <c r="Q42" s="1006"/>
      <c r="R42" s="943"/>
      <c r="S42" s="1006"/>
    </row>
    <row r="43" spans="1:19" ht="15" thickBot="1" x14ac:dyDescent="0.4">
      <c r="A43" s="683"/>
      <c r="B43" s="1014"/>
      <c r="C43" s="669"/>
      <c r="D43" s="669"/>
      <c r="E43" s="642"/>
      <c r="F43" s="642"/>
      <c r="G43" s="646"/>
      <c r="H43" s="943"/>
      <c r="I43" s="1005"/>
      <c r="J43" s="943"/>
      <c r="K43" s="1006"/>
      <c r="L43" s="943"/>
      <c r="M43" s="1006"/>
      <c r="N43" s="943"/>
      <c r="O43" s="1006"/>
      <c r="P43" s="943"/>
      <c r="Q43" s="1006"/>
      <c r="R43" s="943"/>
      <c r="S43" s="1006"/>
    </row>
    <row r="44" spans="1:19" ht="15" thickTop="1" x14ac:dyDescent="0.35">
      <c r="A44" s="14"/>
      <c r="B44" s="15"/>
      <c r="C44" s="16"/>
      <c r="D44" s="16"/>
      <c r="E44" s="17"/>
      <c r="F44" s="18" t="s">
        <v>715</v>
      </c>
      <c r="G44" s="324">
        <f>SUM(G35:G43)</f>
        <v>110000</v>
      </c>
      <c r="H44" s="20"/>
      <c r="I44" s="50">
        <f>SUM(I32:I43)</f>
        <v>110000</v>
      </c>
      <c r="J44" s="20"/>
      <c r="K44" s="50">
        <f>SUM(K32:K43)</f>
        <v>167700</v>
      </c>
      <c r="L44" s="20"/>
      <c r="M44" s="50">
        <f>SUM(M32:M43)</f>
        <v>0</v>
      </c>
      <c r="N44" s="20"/>
      <c r="O44" s="50">
        <f>SUM(O32:O43)</f>
        <v>0</v>
      </c>
      <c r="P44" s="20"/>
      <c r="Q44" s="50">
        <f>SUM(Q32:Q43)</f>
        <v>0</v>
      </c>
      <c r="R44" s="20"/>
      <c r="S44" s="50">
        <f>SUM(S32:S43)</f>
        <v>0</v>
      </c>
    </row>
    <row r="45" spans="1:19" x14ac:dyDescent="0.35">
      <c r="A45" s="684"/>
      <c r="B45" s="655"/>
      <c r="C45" s="656"/>
      <c r="D45" s="656"/>
      <c r="E45" s="657"/>
      <c r="F45" s="658" t="s">
        <v>716</v>
      </c>
      <c r="G45" s="659"/>
      <c r="H45" s="959">
        <v>0</v>
      </c>
      <c r="I45" s="960"/>
      <c r="J45" s="959">
        <v>0</v>
      </c>
      <c r="K45" s="960"/>
      <c r="L45" s="959">
        <v>0</v>
      </c>
      <c r="M45" s="960"/>
      <c r="N45" s="959">
        <v>0</v>
      </c>
      <c r="O45" s="960"/>
      <c r="P45" s="959">
        <v>0</v>
      </c>
      <c r="Q45" s="960"/>
      <c r="R45" s="959">
        <v>0</v>
      </c>
      <c r="S45" s="960"/>
    </row>
    <row r="46" spans="1:19" x14ac:dyDescent="0.35">
      <c r="A46" s="684"/>
      <c r="B46" s="655"/>
      <c r="C46" s="656"/>
      <c r="D46" s="656"/>
      <c r="E46" s="657"/>
      <c r="F46" s="658" t="s">
        <v>717</v>
      </c>
      <c r="G46" s="659"/>
      <c r="H46" s="961"/>
      <c r="I46" s="962">
        <f>H45*I44</f>
        <v>0</v>
      </c>
      <c r="J46" s="961"/>
      <c r="K46" s="962">
        <f>J45*K44</f>
        <v>0</v>
      </c>
      <c r="L46" s="961"/>
      <c r="M46" s="962">
        <f>L45*M44</f>
        <v>0</v>
      </c>
      <c r="N46" s="961"/>
      <c r="O46" s="962">
        <f>N45*O44</f>
        <v>0</v>
      </c>
      <c r="P46" s="961"/>
      <c r="Q46" s="962">
        <f>P45*Q44</f>
        <v>0</v>
      </c>
      <c r="R46" s="961"/>
      <c r="S46" s="962">
        <f>R45*S44</f>
        <v>0</v>
      </c>
    </row>
    <row r="47" spans="1:19" x14ac:dyDescent="0.35">
      <c r="A47" s="684"/>
      <c r="B47" s="655"/>
      <c r="C47" s="656"/>
      <c r="D47" s="656"/>
      <c r="E47" s="657"/>
      <c r="F47" s="658"/>
      <c r="G47" s="659"/>
      <c r="H47" s="961"/>
      <c r="I47" s="963"/>
      <c r="J47" s="961"/>
      <c r="K47" s="963"/>
      <c r="L47" s="961"/>
      <c r="M47" s="963"/>
      <c r="N47" s="961"/>
      <c r="O47" s="963"/>
      <c r="P47" s="961"/>
      <c r="Q47" s="963"/>
      <c r="R47" s="961"/>
      <c r="S47" s="963"/>
    </row>
    <row r="48" spans="1:19" x14ac:dyDescent="0.35">
      <c r="A48" s="684"/>
      <c r="B48" s="655"/>
      <c r="C48" s="656"/>
      <c r="D48" s="656"/>
      <c r="E48" s="657"/>
      <c r="F48" s="658" t="s">
        <v>718</v>
      </c>
      <c r="G48" s="659"/>
      <c r="H48" s="964"/>
      <c r="I48" s="962">
        <f>SUM(I44:I46)</f>
        <v>110000</v>
      </c>
      <c r="J48" s="964"/>
      <c r="K48" s="962">
        <f>SUM(K44:K46)</f>
        <v>167700</v>
      </c>
      <c r="L48" s="964"/>
      <c r="M48" s="962">
        <f>SUM(M44:M46)</f>
        <v>0</v>
      </c>
      <c r="N48" s="964"/>
      <c r="O48" s="962">
        <f>SUM(O44:O46)</f>
        <v>0</v>
      </c>
      <c r="P48" s="964"/>
      <c r="Q48" s="962">
        <f>SUM(Q44:Q46)</f>
        <v>0</v>
      </c>
      <c r="R48" s="964"/>
      <c r="S48" s="962">
        <f>SUM(S44:S46)</f>
        <v>0</v>
      </c>
    </row>
    <row r="49" spans="1:34" x14ac:dyDescent="0.35">
      <c r="A49" s="684"/>
      <c r="B49" s="655"/>
      <c r="C49" s="656"/>
      <c r="D49" s="656"/>
      <c r="E49" s="657"/>
      <c r="F49" s="660" t="s">
        <v>719</v>
      </c>
      <c r="G49" s="661"/>
      <c r="H49" s="965"/>
      <c r="I49" s="966" t="e">
        <f>I48/#REF!</f>
        <v>#REF!</v>
      </c>
      <c r="J49" s="965"/>
      <c r="K49" s="966" t="e">
        <f>K48/#REF!</f>
        <v>#REF!</v>
      </c>
      <c r="L49" s="965"/>
      <c r="M49" s="966" t="e">
        <f>M48/#REF!</f>
        <v>#REF!</v>
      </c>
      <c r="N49" s="965"/>
      <c r="O49" s="966" t="e">
        <f>O48/#REF!</f>
        <v>#REF!</v>
      </c>
      <c r="P49" s="965"/>
      <c r="Q49" s="966" t="e">
        <f>Q48/#REF!</f>
        <v>#REF!</v>
      </c>
      <c r="R49" s="966" t="e">
        <f>R48/#REF!</f>
        <v>#REF!</v>
      </c>
      <c r="S49" s="966" t="e">
        <f>S48/'Cost Summary'!#REF!</f>
        <v>#REF!</v>
      </c>
    </row>
    <row r="50" spans="1:34" x14ac:dyDescent="0.35">
      <c r="A50" s="684"/>
      <c r="B50" s="655"/>
      <c r="C50" s="656"/>
      <c r="D50" s="656"/>
      <c r="E50" s="657"/>
      <c r="F50" s="660" t="s">
        <v>720</v>
      </c>
      <c r="G50" s="662"/>
      <c r="H50" s="965"/>
      <c r="I50" s="966" t="e">
        <f>I48/#REF!</f>
        <v>#REF!</v>
      </c>
      <c r="J50" s="965"/>
      <c r="K50" s="966" t="e">
        <f>K48/#REF!</f>
        <v>#REF!</v>
      </c>
      <c r="L50" s="965"/>
      <c r="M50" s="966" t="e">
        <f>M48/#REF!</f>
        <v>#REF!</v>
      </c>
      <c r="N50" s="965"/>
      <c r="O50" s="966" t="e">
        <f>O48/#REF!</f>
        <v>#REF!</v>
      </c>
      <c r="P50" s="965"/>
      <c r="Q50" s="966" t="e">
        <f>Q48/#REF!</f>
        <v>#REF!</v>
      </c>
      <c r="R50" s="966" t="e">
        <f>R48/#REF!</f>
        <v>#REF!</v>
      </c>
      <c r="S50" s="966" t="e">
        <f>S48/'Cost Summary'!#REF!</f>
        <v>#REF!</v>
      </c>
    </row>
    <row r="51" spans="1:34" ht="15" thickBot="1" x14ac:dyDescent="0.4">
      <c r="A51" s="684"/>
      <c r="B51" s="655"/>
      <c r="C51" s="656"/>
      <c r="D51" s="656"/>
      <c r="E51" s="657"/>
      <c r="F51" s="658"/>
      <c r="G51" s="659"/>
      <c r="H51" s="967"/>
      <c r="I51" s="967"/>
      <c r="J51" s="967"/>
      <c r="K51" s="967"/>
      <c r="L51" s="967"/>
      <c r="M51" s="967"/>
      <c r="N51" s="967"/>
      <c r="O51" s="967"/>
      <c r="P51" s="967"/>
      <c r="Q51" s="967"/>
      <c r="R51" s="967"/>
      <c r="S51" s="967"/>
    </row>
    <row r="52" spans="1:34" ht="15.5" thickTop="1" thickBot="1" x14ac:dyDescent="0.4">
      <c r="A52" s="3764" t="s">
        <v>721</v>
      </c>
      <c r="B52" s="3765"/>
      <c r="C52" s="12"/>
      <c r="D52" s="12"/>
      <c r="E52" s="12"/>
      <c r="F52" s="12"/>
      <c r="G52" s="43"/>
      <c r="H52" s="42"/>
      <c r="I52" s="21"/>
      <c r="J52" s="21"/>
      <c r="K52" s="21"/>
      <c r="L52" s="21"/>
      <c r="M52" s="21"/>
      <c r="N52" s="21"/>
      <c r="O52" s="21"/>
      <c r="P52" s="21"/>
      <c r="Q52" s="21"/>
      <c r="R52" s="21"/>
      <c r="S52" s="21"/>
    </row>
    <row r="53" spans="1:34" ht="15" thickTop="1" x14ac:dyDescent="0.35">
      <c r="A53" s="1015"/>
      <c r="B53" s="641"/>
      <c r="C53" s="1016"/>
      <c r="D53" s="1016"/>
      <c r="E53" s="1016"/>
      <c r="F53" s="1016"/>
      <c r="G53" s="1017"/>
      <c r="H53" s="1018"/>
      <c r="I53" s="1019"/>
      <c r="J53" s="1019"/>
      <c r="K53" s="1019"/>
      <c r="L53" s="1019"/>
      <c r="M53" s="1019"/>
      <c r="N53" s="1019"/>
      <c r="O53" s="1019"/>
      <c r="P53" s="1019"/>
      <c r="Q53" s="1019"/>
      <c r="R53" s="1019"/>
      <c r="S53" s="1019"/>
    </row>
    <row r="54" spans="1:34" x14ac:dyDescent="0.35">
      <c r="A54" s="1015"/>
      <c r="B54" s="641"/>
      <c r="C54" s="1016"/>
      <c r="D54" s="1016"/>
      <c r="E54" s="1016"/>
      <c r="F54" s="1016"/>
      <c r="G54" s="1017"/>
      <c r="H54" s="1018"/>
      <c r="I54" s="1019"/>
      <c r="J54" s="1019"/>
      <c r="K54" s="1019"/>
      <c r="L54" s="1019"/>
      <c r="M54" s="1019"/>
      <c r="N54" s="1019"/>
      <c r="O54" s="1019"/>
      <c r="P54" s="1019"/>
      <c r="Q54" s="1019"/>
      <c r="R54" s="1019"/>
      <c r="S54" s="1019"/>
    </row>
    <row r="55" spans="1:34" ht="15" thickBot="1" x14ac:dyDescent="0.4">
      <c r="A55" s="1015"/>
      <c r="B55" s="641"/>
      <c r="C55" s="1016"/>
      <c r="D55" s="1016"/>
      <c r="E55" s="1016"/>
      <c r="F55" s="1016"/>
      <c r="G55" s="1017"/>
      <c r="H55" s="1018"/>
      <c r="I55" s="1019"/>
      <c r="J55" s="1019"/>
      <c r="K55" s="1019"/>
      <c r="L55" s="1019"/>
      <c r="M55" s="1019"/>
      <c r="N55" s="1019"/>
      <c r="O55" s="1019"/>
      <c r="P55" s="1019"/>
      <c r="Q55" s="1019"/>
      <c r="R55" s="1019"/>
      <c r="S55" s="1019"/>
    </row>
    <row r="56" spans="1:34" s="2" customFormat="1" ht="15.5" thickTop="1" thickBot="1" x14ac:dyDescent="0.4">
      <c r="A56" s="3764" t="s">
        <v>722</v>
      </c>
      <c r="B56" s="3765"/>
      <c r="C56" s="12"/>
      <c r="D56" s="12"/>
      <c r="E56" s="12"/>
      <c r="F56" s="12"/>
      <c r="G56" s="43"/>
      <c r="H56" s="42"/>
      <c r="I56" s="21"/>
      <c r="J56" s="21"/>
      <c r="K56" s="21"/>
      <c r="L56" s="21"/>
      <c r="M56" s="21"/>
      <c r="N56" s="21"/>
      <c r="O56" s="21"/>
      <c r="P56" s="21"/>
      <c r="Q56" s="21"/>
      <c r="R56" s="21"/>
      <c r="S56" s="21"/>
      <c r="T56"/>
      <c r="U56"/>
      <c r="V56"/>
      <c r="W56"/>
      <c r="X56"/>
      <c r="Y56"/>
      <c r="Z56"/>
      <c r="AA56"/>
      <c r="AB56"/>
      <c r="AC56"/>
      <c r="AD56"/>
      <c r="AE56"/>
      <c r="AF56"/>
      <c r="AG56"/>
      <c r="AH56"/>
    </row>
    <row r="57" spans="1:34" s="2" customFormat="1" ht="15" thickTop="1" x14ac:dyDescent="0.35">
      <c r="A57" s="1015"/>
      <c r="B57" s="641"/>
      <c r="C57" s="1016"/>
      <c r="D57" s="1016"/>
      <c r="E57" s="1016"/>
      <c r="F57" s="1016"/>
      <c r="G57" s="1017"/>
      <c r="H57" s="1018"/>
      <c r="I57" s="1019"/>
      <c r="J57" s="1019"/>
      <c r="K57" s="1019"/>
      <c r="L57" s="1019"/>
      <c r="M57" s="1019"/>
      <c r="N57" s="1019"/>
      <c r="O57" s="1019"/>
      <c r="P57" s="1019"/>
      <c r="Q57" s="1019"/>
      <c r="R57" s="1019"/>
      <c r="S57" s="1019"/>
      <c r="T57"/>
      <c r="U57"/>
      <c r="V57"/>
      <c r="W57"/>
      <c r="X57"/>
      <c r="Y57"/>
      <c r="Z57"/>
      <c r="AA57"/>
      <c r="AB57"/>
      <c r="AC57"/>
      <c r="AD57"/>
      <c r="AE57"/>
      <c r="AF57"/>
      <c r="AG57"/>
      <c r="AH57"/>
    </row>
    <row r="58" spans="1:34" s="2" customFormat="1" x14ac:dyDescent="0.35">
      <c r="A58" s="1015"/>
      <c r="B58" s="641"/>
      <c r="C58" s="1016"/>
      <c r="D58" s="1016"/>
      <c r="E58" s="1016"/>
      <c r="F58" s="1016"/>
      <c r="G58" s="1017"/>
      <c r="H58" s="1018"/>
      <c r="I58" s="1019"/>
      <c r="J58" s="1019"/>
      <c r="K58" s="1019"/>
      <c r="L58" s="1019"/>
      <c r="M58" s="1019"/>
      <c r="N58" s="1019"/>
      <c r="O58" s="1019"/>
      <c r="P58" s="1019"/>
      <c r="Q58" s="1019"/>
      <c r="R58" s="1019"/>
      <c r="S58" s="1019"/>
      <c r="T58"/>
      <c r="U58"/>
      <c r="V58"/>
      <c r="W58"/>
      <c r="X58"/>
      <c r="Y58"/>
      <c r="Z58"/>
      <c r="AA58"/>
      <c r="AB58"/>
      <c r="AC58"/>
      <c r="AD58"/>
      <c r="AE58"/>
      <c r="AF58"/>
      <c r="AG58"/>
      <c r="AH58"/>
    </row>
    <row r="59" spans="1:34" ht="15" thickBot="1" x14ac:dyDescent="0.4">
      <c r="A59" s="1015"/>
      <c r="B59" s="641"/>
      <c r="C59" s="1016"/>
      <c r="D59" s="1016"/>
      <c r="E59" s="1016"/>
      <c r="F59" s="1016"/>
      <c r="G59" s="1017"/>
      <c r="H59" s="1018"/>
      <c r="I59" s="1019"/>
      <c r="J59" s="1019"/>
      <c r="K59" s="1019"/>
      <c r="L59" s="1019"/>
      <c r="M59" s="1019"/>
      <c r="N59" s="1019"/>
      <c r="O59" s="1019"/>
      <c r="P59" s="1019"/>
      <c r="Q59" s="1019"/>
      <c r="R59" s="1019"/>
      <c r="S59" s="1019"/>
    </row>
    <row r="60" spans="1:34" s="2" customFormat="1" ht="15.5" thickTop="1" thickBot="1" x14ac:dyDescent="0.4">
      <c r="A60" s="3764" t="s">
        <v>723</v>
      </c>
      <c r="B60" s="3765"/>
      <c r="C60" s="12"/>
      <c r="D60" s="12"/>
      <c r="E60" s="12"/>
      <c r="F60" s="12"/>
      <c r="G60" s="43"/>
      <c r="H60" s="42"/>
      <c r="I60" s="21"/>
      <c r="J60" s="21"/>
      <c r="K60" s="21"/>
      <c r="L60" s="21"/>
      <c r="M60" s="21"/>
      <c r="N60" s="21"/>
      <c r="O60" s="21"/>
      <c r="P60" s="21"/>
      <c r="Q60" s="21"/>
      <c r="R60" s="21"/>
      <c r="S60" s="21"/>
      <c r="T60"/>
      <c r="U60"/>
      <c r="V60"/>
      <c r="W60"/>
      <c r="X60"/>
      <c r="Y60"/>
      <c r="Z60"/>
      <c r="AA60"/>
      <c r="AB60"/>
      <c r="AC60"/>
      <c r="AD60"/>
      <c r="AE60"/>
      <c r="AF60"/>
      <c r="AG60"/>
      <c r="AH60"/>
    </row>
    <row r="61" spans="1:34" s="2" customFormat="1" ht="15" thickTop="1" x14ac:dyDescent="0.35">
      <c r="A61" s="1015"/>
      <c r="B61" s="641"/>
      <c r="C61" s="1016"/>
      <c r="D61" s="1016"/>
      <c r="E61" s="1016"/>
      <c r="F61" s="1016"/>
      <c r="G61" s="1017"/>
      <c r="H61" s="1018"/>
      <c r="I61" s="1019"/>
      <c r="J61" s="1019"/>
      <c r="K61" s="1019"/>
      <c r="L61" s="1019"/>
      <c r="M61" s="1019"/>
      <c r="N61" s="1019"/>
      <c r="O61" s="1019"/>
      <c r="P61" s="1019"/>
      <c r="Q61" s="1019"/>
      <c r="R61" s="1019"/>
      <c r="S61" s="1019"/>
      <c r="T61"/>
      <c r="U61"/>
      <c r="V61"/>
      <c r="W61"/>
      <c r="X61"/>
      <c r="Y61"/>
      <c r="Z61"/>
      <c r="AA61"/>
      <c r="AB61"/>
      <c r="AC61"/>
      <c r="AD61"/>
      <c r="AE61"/>
      <c r="AF61"/>
      <c r="AG61"/>
      <c r="AH61"/>
    </row>
    <row r="62" spans="1:34" s="2" customFormat="1" x14ac:dyDescent="0.35">
      <c r="A62" s="689"/>
      <c r="B62" s="641"/>
      <c r="C62" s="642"/>
      <c r="D62" s="642"/>
      <c r="E62" s="642"/>
      <c r="F62" s="642"/>
      <c r="G62" s="685"/>
      <c r="H62" s="664"/>
      <c r="I62" s="973"/>
      <c r="J62" s="973"/>
      <c r="K62" s="973"/>
      <c r="L62" s="973"/>
      <c r="M62" s="973"/>
      <c r="N62" s="973"/>
      <c r="O62" s="973"/>
      <c r="P62" s="973"/>
      <c r="Q62" s="973"/>
      <c r="R62" s="973"/>
      <c r="S62" s="973"/>
      <c r="T62"/>
      <c r="U62"/>
      <c r="V62"/>
      <c r="W62"/>
      <c r="X62"/>
      <c r="Y62"/>
      <c r="Z62"/>
      <c r="AA62"/>
      <c r="AB62"/>
      <c r="AC62"/>
      <c r="AD62"/>
      <c r="AE62"/>
      <c r="AF62"/>
      <c r="AG62"/>
      <c r="AH62"/>
    </row>
    <row r="63" spans="1:34" s="2" customFormat="1" ht="15" thickBot="1" x14ac:dyDescent="0.4">
      <c r="A63" s="686"/>
      <c r="B63" s="665"/>
      <c r="C63" s="642"/>
      <c r="D63" s="642"/>
      <c r="E63" s="642"/>
      <c r="F63" s="642"/>
      <c r="G63" s="685"/>
      <c r="H63" s="666"/>
      <c r="I63" s="974"/>
      <c r="J63" s="974"/>
      <c r="K63" s="974"/>
      <c r="L63" s="974"/>
      <c r="M63" s="974"/>
      <c r="N63" s="974"/>
      <c r="O63" s="974"/>
      <c r="P63" s="974"/>
      <c r="Q63" s="974"/>
      <c r="R63" s="974"/>
      <c r="S63" s="974"/>
    </row>
    <row r="64" spans="1:34" s="2" customFormat="1" ht="15.5" thickTop="1" thickBot="1" x14ac:dyDescent="0.4">
      <c r="A64" s="3764" t="s">
        <v>724</v>
      </c>
      <c r="B64" s="3765"/>
      <c r="C64" s="12"/>
      <c r="D64" s="12"/>
      <c r="E64" s="12"/>
      <c r="F64" s="12"/>
      <c r="G64" s="43"/>
      <c r="H64" s="42"/>
      <c r="I64" s="21"/>
      <c r="J64" s="21"/>
      <c r="K64" s="21"/>
      <c r="L64" s="21"/>
      <c r="M64" s="21"/>
      <c r="N64" s="21"/>
      <c r="O64" s="21"/>
      <c r="P64" s="21"/>
      <c r="Q64" s="21"/>
      <c r="R64" s="21"/>
      <c r="S64" s="21"/>
      <c r="T64"/>
      <c r="U64"/>
      <c r="V64"/>
      <c r="W64"/>
      <c r="X64"/>
      <c r="Y64"/>
      <c r="Z64"/>
      <c r="AA64"/>
      <c r="AB64"/>
      <c r="AC64"/>
      <c r="AD64"/>
      <c r="AE64"/>
      <c r="AF64"/>
      <c r="AG64"/>
      <c r="AH64"/>
    </row>
    <row r="65" spans="1:34" ht="15" thickTop="1" x14ac:dyDescent="0.35">
      <c r="A65" s="1020"/>
      <c r="B65" s="1021"/>
      <c r="C65" s="1016"/>
      <c r="D65" s="1016"/>
      <c r="E65" s="1016"/>
      <c r="F65" s="1016"/>
      <c r="G65" s="1017"/>
      <c r="H65" s="1018"/>
      <c r="I65" s="1019"/>
      <c r="J65" s="1019"/>
      <c r="K65" s="1019"/>
      <c r="L65" s="1019"/>
      <c r="M65" s="1019"/>
      <c r="N65" s="1019"/>
      <c r="O65" s="1019"/>
      <c r="P65" s="1019"/>
      <c r="Q65" s="1019"/>
      <c r="R65" s="1019"/>
      <c r="S65" s="1019"/>
      <c r="T65" s="2"/>
      <c r="U65" s="2"/>
      <c r="V65" s="2"/>
      <c r="W65" s="2"/>
      <c r="X65" s="2"/>
      <c r="Y65" s="2"/>
      <c r="Z65" s="2"/>
      <c r="AA65" s="2"/>
      <c r="AB65" s="2"/>
      <c r="AC65" s="2"/>
      <c r="AD65" s="2"/>
      <c r="AE65" s="2"/>
      <c r="AF65" s="2"/>
      <c r="AG65" s="2"/>
      <c r="AH65" s="2"/>
    </row>
    <row r="66" spans="1:34" x14ac:dyDescent="0.35">
      <c r="A66" s="686"/>
      <c r="B66" s="665"/>
      <c r="C66" s="642"/>
      <c r="D66" s="642"/>
      <c r="E66" s="642"/>
      <c r="F66" s="642"/>
      <c r="G66" s="685"/>
      <c r="H66" s="667"/>
      <c r="I66" s="977"/>
      <c r="J66" s="977"/>
      <c r="K66" s="977"/>
      <c r="L66" s="977"/>
      <c r="M66" s="977"/>
      <c r="N66" s="977"/>
      <c r="O66" s="977"/>
      <c r="P66" s="977"/>
      <c r="Q66" s="977"/>
      <c r="R66" s="977"/>
      <c r="S66" s="977"/>
      <c r="T66" s="2"/>
      <c r="U66" s="2"/>
      <c r="V66" s="2"/>
      <c r="W66" s="2"/>
      <c r="X66" s="2"/>
      <c r="Y66" s="2"/>
      <c r="Z66" s="2"/>
      <c r="AA66" s="2"/>
      <c r="AB66" s="2"/>
      <c r="AC66" s="2"/>
      <c r="AD66" s="2"/>
      <c r="AE66" s="2"/>
      <c r="AF66" s="2"/>
      <c r="AG66" s="2"/>
      <c r="AH66" s="2"/>
    </row>
    <row r="67" spans="1:34" ht="15" thickBot="1" x14ac:dyDescent="0.4">
      <c r="A67" s="686"/>
      <c r="B67" s="665"/>
      <c r="C67" s="642"/>
      <c r="D67" s="642"/>
      <c r="E67" s="642"/>
      <c r="F67" s="642"/>
      <c r="G67" s="685"/>
      <c r="H67" s="667"/>
      <c r="I67" s="977"/>
      <c r="J67" s="977"/>
      <c r="K67" s="977"/>
      <c r="L67" s="977"/>
      <c r="M67" s="977"/>
      <c r="N67" s="977"/>
      <c r="O67" s="977"/>
      <c r="P67" s="977"/>
      <c r="Q67" s="977"/>
      <c r="R67" s="977"/>
      <c r="S67" s="977"/>
      <c r="T67" s="2"/>
      <c r="U67" s="2"/>
      <c r="V67" s="2"/>
      <c r="W67" s="2"/>
      <c r="X67" s="2"/>
      <c r="Y67" s="2"/>
      <c r="Z67" s="2"/>
      <c r="AA67" s="2"/>
      <c r="AB67" s="2"/>
      <c r="AC67" s="2"/>
      <c r="AD67" s="2"/>
      <c r="AE67" s="2"/>
      <c r="AF67" s="2"/>
      <c r="AG67" s="2"/>
      <c r="AH67" s="2"/>
    </row>
    <row r="68" spans="1:34" ht="15.5" thickTop="1" thickBot="1" x14ac:dyDescent="0.4">
      <c r="A68" s="3764" t="s">
        <v>725</v>
      </c>
      <c r="B68" s="3765"/>
      <c r="C68" s="12"/>
      <c r="D68" s="12"/>
      <c r="E68" s="12"/>
      <c r="F68" s="12"/>
      <c r="G68" s="43"/>
      <c r="H68" s="42"/>
      <c r="I68" s="21"/>
      <c r="J68" s="21"/>
      <c r="K68" s="21"/>
      <c r="L68" s="21"/>
      <c r="M68" s="21"/>
      <c r="N68" s="21"/>
      <c r="O68" s="21"/>
      <c r="P68" s="21"/>
      <c r="Q68" s="21"/>
      <c r="R68" s="21"/>
      <c r="S68" s="21"/>
    </row>
    <row r="69" spans="1:34" ht="15" thickTop="1" x14ac:dyDescent="0.35">
      <c r="A69" s="689"/>
      <c r="B69" s="641" t="s">
        <v>726</v>
      </c>
      <c r="C69" s="642"/>
      <c r="D69" s="642"/>
      <c r="E69" s="642"/>
      <c r="F69" s="642"/>
      <c r="G69" s="685"/>
      <c r="H69" s="667"/>
      <c r="I69" s="977"/>
      <c r="J69" s="977"/>
      <c r="K69" s="977"/>
      <c r="L69" s="977"/>
      <c r="M69" s="977"/>
      <c r="N69" s="977"/>
      <c r="O69" s="977"/>
      <c r="P69" s="977"/>
      <c r="Q69" s="977"/>
      <c r="R69" s="977"/>
      <c r="S69" s="977"/>
    </row>
    <row r="70" spans="1:34" x14ac:dyDescent="0.35">
      <c r="A70" s="689"/>
      <c r="B70" s="641" t="s">
        <v>727</v>
      </c>
      <c r="C70" s="642"/>
      <c r="D70" s="642"/>
      <c r="E70" s="642"/>
      <c r="F70" s="642"/>
      <c r="G70" s="685"/>
      <c r="H70" s="667"/>
      <c r="I70" s="977"/>
      <c r="J70" s="977"/>
      <c r="K70" s="977"/>
      <c r="L70" s="977"/>
      <c r="M70" s="977"/>
      <c r="N70" s="977"/>
      <c r="O70" s="977"/>
      <c r="P70" s="977"/>
      <c r="Q70" s="977"/>
      <c r="R70" s="977"/>
      <c r="S70" s="977"/>
    </row>
    <row r="71" spans="1:34" x14ac:dyDescent="0.35">
      <c r="A71" s="689"/>
      <c r="B71" s="641" t="s">
        <v>728</v>
      </c>
      <c r="C71" s="642"/>
      <c r="D71" s="642"/>
      <c r="E71" s="642"/>
      <c r="F71" s="642"/>
      <c r="G71" s="685"/>
      <c r="H71" s="667"/>
      <c r="I71" s="977"/>
      <c r="J71" s="977"/>
      <c r="K71" s="977"/>
      <c r="L71" s="977"/>
      <c r="M71" s="977"/>
      <c r="N71" s="977"/>
      <c r="O71" s="977"/>
      <c r="P71" s="977"/>
      <c r="Q71" s="977"/>
      <c r="R71" s="977"/>
      <c r="S71" s="977"/>
    </row>
    <row r="72" spans="1:34" x14ac:dyDescent="0.35">
      <c r="A72" s="689"/>
      <c r="B72" s="641" t="s">
        <v>729</v>
      </c>
      <c r="C72" s="642"/>
      <c r="D72" s="642"/>
      <c r="E72" s="642"/>
      <c r="F72" s="642"/>
      <c r="G72" s="685"/>
      <c r="H72" s="667"/>
      <c r="I72" s="977"/>
      <c r="J72" s="977"/>
      <c r="K72" s="977"/>
      <c r="L72" s="977"/>
      <c r="M72" s="977"/>
      <c r="N72" s="977"/>
      <c r="O72" s="977"/>
      <c r="P72" s="977"/>
      <c r="Q72" s="977"/>
      <c r="R72" s="977"/>
      <c r="S72" s="977"/>
    </row>
    <row r="73" spans="1:34" ht="15" thickBot="1" x14ac:dyDescent="0.4">
      <c r="A73" s="978"/>
      <c r="B73" s="939"/>
      <c r="C73" s="940"/>
      <c r="D73" s="940"/>
      <c r="E73" s="940"/>
      <c r="F73" s="940"/>
      <c r="G73" s="979"/>
      <c r="H73" s="980"/>
      <c r="I73" s="981"/>
      <c r="J73" s="981"/>
      <c r="K73" s="981"/>
      <c r="L73" s="981"/>
      <c r="M73" s="981"/>
      <c r="N73" s="981"/>
      <c r="O73" s="981"/>
      <c r="P73" s="981"/>
      <c r="Q73" s="981"/>
      <c r="R73" s="981"/>
      <c r="S73" s="981"/>
    </row>
    <row r="74" spans="1:34" ht="15.5" thickTop="1" thickBot="1" x14ac:dyDescent="0.4">
      <c r="A74" s="7" t="s">
        <v>730</v>
      </c>
      <c r="B74" s="8"/>
      <c r="C74" s="12"/>
      <c r="D74" s="12"/>
      <c r="E74" s="12"/>
      <c r="F74" s="12"/>
      <c r="G74" s="43"/>
      <c r="H74" s="42"/>
      <c r="I74" s="21"/>
      <c r="J74" s="21"/>
      <c r="K74" s="21"/>
      <c r="L74" s="21"/>
      <c r="M74" s="21"/>
      <c r="N74" s="21"/>
      <c r="O74" s="21"/>
      <c r="P74" s="21"/>
      <c r="Q74" s="21"/>
      <c r="R74" s="21"/>
      <c r="S74" s="21"/>
    </row>
    <row r="75" spans="1:34" ht="15" thickTop="1" x14ac:dyDescent="0.35">
      <c r="A75" s="1015"/>
      <c r="B75" s="1022" t="s">
        <v>731</v>
      </c>
      <c r="C75" s="1016"/>
      <c r="D75" s="1016"/>
      <c r="E75" s="1016"/>
      <c r="F75" s="1016"/>
      <c r="G75" s="1017"/>
      <c r="H75" s="1006"/>
      <c r="I75" s="1023"/>
      <c r="J75" s="1023"/>
      <c r="K75" s="1023"/>
      <c r="L75" s="1023"/>
      <c r="M75" s="1023"/>
      <c r="N75" s="1023"/>
      <c r="O75" s="1023"/>
      <c r="P75" s="1023"/>
      <c r="Q75" s="1023"/>
      <c r="R75" s="1023"/>
      <c r="S75" s="1023"/>
    </row>
    <row r="76" spans="1:34" x14ac:dyDescent="0.35">
      <c r="A76" s="689"/>
      <c r="B76" s="641" t="s">
        <v>732</v>
      </c>
      <c r="C76" s="642"/>
      <c r="D76" s="642"/>
      <c r="E76" s="642"/>
      <c r="F76" s="642"/>
      <c r="G76" s="685"/>
      <c r="H76" s="668"/>
      <c r="I76" s="984"/>
      <c r="J76" s="984"/>
      <c r="K76" s="984"/>
      <c r="L76" s="984"/>
      <c r="M76" s="984"/>
      <c r="N76" s="984"/>
      <c r="O76" s="984"/>
      <c r="P76" s="984"/>
      <c r="Q76" s="984"/>
      <c r="R76" s="984"/>
      <c r="S76" s="984"/>
    </row>
    <row r="77" spans="1:34" ht="15" thickBot="1" x14ac:dyDescent="0.4">
      <c r="A77" s="985"/>
      <c r="B77" s="986" t="s">
        <v>733</v>
      </c>
      <c r="C77" s="987"/>
      <c r="D77" s="987"/>
      <c r="E77" s="987"/>
      <c r="F77" s="987"/>
      <c r="G77" s="988"/>
      <c r="H77" s="989"/>
      <c r="I77" s="990"/>
      <c r="J77" s="990"/>
      <c r="K77" s="990"/>
      <c r="L77" s="990"/>
      <c r="M77" s="990"/>
      <c r="N77" s="990"/>
      <c r="O77" s="990"/>
      <c r="P77" s="990"/>
      <c r="Q77" s="990"/>
      <c r="R77" s="990"/>
      <c r="S77" s="990"/>
    </row>
    <row r="78" spans="1:34" ht="15.5" thickTop="1" thickBot="1" x14ac:dyDescent="0.4"/>
    <row r="79" spans="1:34" ht="15.5" thickTop="1" thickBot="1" x14ac:dyDescent="0.4">
      <c r="A79" s="78" t="s">
        <v>734</v>
      </c>
      <c r="B79" s="80"/>
    </row>
    <row r="80" spans="1:34" ht="15" thickTop="1" x14ac:dyDescent="0.35">
      <c r="A80" s="79" t="s">
        <v>632</v>
      </c>
      <c r="B80" s="991"/>
    </row>
    <row r="81" spans="1:6" x14ac:dyDescent="0.35">
      <c r="A81" s="687" t="s">
        <v>636</v>
      </c>
      <c r="B81" s="991"/>
    </row>
    <row r="82" spans="1:6" x14ac:dyDescent="0.35">
      <c r="A82" s="992" t="s">
        <v>639</v>
      </c>
      <c r="B82" s="993"/>
    </row>
    <row r="83" spans="1:6" x14ac:dyDescent="0.35">
      <c r="A83" s="992" t="s">
        <v>642</v>
      </c>
      <c r="B83" s="994"/>
      <c r="C83" s="2" t="s">
        <v>747</v>
      </c>
      <c r="D83" s="2" t="s">
        <v>80</v>
      </c>
      <c r="E83" s="2" t="s">
        <v>429</v>
      </c>
      <c r="F83" s="2" t="s">
        <v>746</v>
      </c>
    </row>
    <row r="84" spans="1:6" ht="15" thickBot="1" x14ac:dyDescent="0.4">
      <c r="A84" s="995" t="s">
        <v>735</v>
      </c>
      <c r="B84" s="996">
        <f>H8</f>
        <v>110000</v>
      </c>
      <c r="C84" s="325">
        <f>B84-D84-E84-F84</f>
        <v>66000</v>
      </c>
      <c r="D84" s="326">
        <f>I41</f>
        <v>8000</v>
      </c>
      <c r="E84" s="326">
        <f>I40</f>
        <v>6000</v>
      </c>
      <c r="F84" s="326">
        <f>I39</f>
        <v>30000</v>
      </c>
    </row>
    <row r="85" spans="1:6" ht="15" thickTop="1" x14ac:dyDescent="0.35"/>
    <row r="86" spans="1:6" x14ac:dyDescent="0.35">
      <c r="A86" s="81"/>
      <c r="B86" s="1" t="s">
        <v>736</v>
      </c>
    </row>
    <row r="87" spans="1:6" x14ac:dyDescent="0.35">
      <c r="A87" s="82"/>
      <c r="B87" s="1" t="s">
        <v>737</v>
      </c>
    </row>
  </sheetData>
  <mergeCells count="47">
    <mergeCell ref="A52:B52"/>
    <mergeCell ref="A56:B56"/>
    <mergeCell ref="A60:B60"/>
    <mergeCell ref="A64:B64"/>
    <mergeCell ref="A68:B68"/>
    <mergeCell ref="P7:Q7"/>
    <mergeCell ref="P8:Q8"/>
    <mergeCell ref="L7:M7"/>
    <mergeCell ref="L8:M8"/>
    <mergeCell ref="N4:O4"/>
    <mergeCell ref="N5:O5"/>
    <mergeCell ref="N6:O6"/>
    <mergeCell ref="N7:O7"/>
    <mergeCell ref="N8:O8"/>
    <mergeCell ref="H7:I7"/>
    <mergeCell ref="H8:I8"/>
    <mergeCell ref="J4:K4"/>
    <mergeCell ref="J5:K5"/>
    <mergeCell ref="J6:K6"/>
    <mergeCell ref="J7:K7"/>
    <mergeCell ref="J8:K8"/>
    <mergeCell ref="R2:S2"/>
    <mergeCell ref="R3:S3"/>
    <mergeCell ref="H4:I4"/>
    <mergeCell ref="H5:I5"/>
    <mergeCell ref="H6:I6"/>
    <mergeCell ref="L4:M4"/>
    <mergeCell ref="L5:M5"/>
    <mergeCell ref="L6:M6"/>
    <mergeCell ref="P4:Q4"/>
    <mergeCell ref="P5:Q5"/>
    <mergeCell ref="P6:Q6"/>
    <mergeCell ref="H3:I3"/>
    <mergeCell ref="J3:K3"/>
    <mergeCell ref="L3:M3"/>
    <mergeCell ref="N3:O3"/>
    <mergeCell ref="P3:Q3"/>
    <mergeCell ref="H2:I2"/>
    <mergeCell ref="J2:K2"/>
    <mergeCell ref="L2:M2"/>
    <mergeCell ref="N2:O2"/>
    <mergeCell ref="P2:Q2"/>
    <mergeCell ref="R4:S4"/>
    <mergeCell ref="R5:S5"/>
    <mergeCell ref="R6:S6"/>
    <mergeCell ref="R7:S7"/>
    <mergeCell ref="R8:S8"/>
  </mergeCells>
  <conditionalFormatting sqref="H20:H31 H33:H43 J33:J43 L33:L43 N33:N43 P33:P43 R33:R43">
    <cfRule type="cellIs" dxfId="3061" priority="13" operator="equal">
      <formula>"X"</formula>
    </cfRule>
    <cfRule type="cellIs" dxfId="3060" priority="14" operator="equal">
      <formula>"I"</formula>
    </cfRule>
  </conditionalFormatting>
  <conditionalFormatting sqref="J20:J31">
    <cfRule type="cellIs" dxfId="3059" priority="15" operator="equal">
      <formula>"X"</formula>
    </cfRule>
    <cfRule type="cellIs" dxfId="3058" priority="16" operator="equal">
      <formula>"I"</formula>
    </cfRule>
  </conditionalFormatting>
  <conditionalFormatting sqref="L20:L31">
    <cfRule type="cellIs" dxfId="3057" priority="17" operator="equal">
      <formula>"X"</formula>
    </cfRule>
    <cfRule type="cellIs" dxfId="3056" priority="18" operator="equal">
      <formula>"I"</formula>
    </cfRule>
  </conditionalFormatting>
  <conditionalFormatting sqref="N20:N31">
    <cfRule type="cellIs" dxfId="3055" priority="19" operator="equal">
      <formula>"X"</formula>
    </cfRule>
    <cfRule type="cellIs" dxfId="3054" priority="20" operator="equal">
      <formula>"I"</formula>
    </cfRule>
  </conditionalFormatting>
  <conditionalFormatting sqref="P20:P31">
    <cfRule type="cellIs" dxfId="3053" priority="21" operator="equal">
      <formula>"X"</formula>
    </cfRule>
    <cfRule type="cellIs" dxfId="3052" priority="22" operator="equal">
      <formula>"I"</formula>
    </cfRule>
  </conditionalFormatting>
  <conditionalFormatting sqref="R20:R31">
    <cfRule type="cellIs" dxfId="3051" priority="23" operator="equal">
      <formula>"X"</formula>
    </cfRule>
    <cfRule type="cellIs" dxfId="3050" priority="24" operator="equal">
      <formula>"I"</formula>
    </cfRule>
  </conditionalFormatting>
  <hyperlinks>
    <hyperlink ref="B3" location="'Cost Summary'!A1" display="BACK TO SUMMARY SHEET" xr:uid="{8AE62C27-223F-4544-9636-1AED5CAD37FB}"/>
    <hyperlink ref="J7" r:id="rId1" xr:uid="{879E84DC-CED8-403A-824F-92EF1664E466}"/>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9C2D-5E47-4C31-8113-6D12DCB661B2}">
  <sheetPr>
    <tabColor rgb="FF92D050"/>
  </sheetPr>
  <dimension ref="A1:S109"/>
  <sheetViews>
    <sheetView zoomScale="89" zoomScaleNormal="89" workbookViewId="0">
      <pane xSplit="2" ySplit="9" topLeftCell="C29" activePane="bottomRight" state="frozen"/>
      <selection pane="topRight" activeCell="C1" sqref="C1"/>
      <selection pane="bottomLeft" activeCell="A12" sqref="A12"/>
      <selection pane="bottomRight" activeCell="B5" sqref="B5"/>
    </sheetView>
  </sheetViews>
  <sheetFormatPr defaultRowHeight="14.5" x14ac:dyDescent="0.35"/>
  <cols>
    <col min="1" max="1" width="16.7265625" bestFit="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ht="15" thickBot="1" x14ac:dyDescent="0.4">
      <c r="E2" s="87"/>
      <c r="F2" s="122" t="s">
        <v>622</v>
      </c>
      <c r="G2" s="123" t="s">
        <v>451</v>
      </c>
      <c r="H2" s="3751"/>
      <c r="I2" s="3751"/>
      <c r="J2" s="3751"/>
      <c r="K2" s="3751"/>
      <c r="L2" s="3751"/>
      <c r="M2" s="3751"/>
      <c r="N2" s="3751"/>
      <c r="O2" s="3751"/>
      <c r="P2" s="3751"/>
      <c r="Q2" s="3751"/>
      <c r="R2" s="3751"/>
      <c r="S2" s="3751"/>
    </row>
    <row r="3" spans="1:19" ht="20" thickBot="1" x14ac:dyDescent="0.4">
      <c r="B3" s="137" t="s">
        <v>623</v>
      </c>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str">
        <f>'AREA CALC''s'!B4</f>
        <v>Alton Hilltop Gardens</v>
      </c>
      <c r="C4" s="5"/>
      <c r="D4" s="5"/>
      <c r="E4" s="5"/>
      <c r="F4" s="5"/>
      <c r="G4" s="6" t="s">
        <v>632</v>
      </c>
      <c r="H4" s="3752"/>
      <c r="I4" s="3753"/>
      <c r="J4" s="3752"/>
      <c r="K4" s="3753"/>
      <c r="L4" s="3752"/>
      <c r="M4" s="3753"/>
      <c r="N4" s="3752"/>
      <c r="O4" s="3753"/>
      <c r="P4" s="3752"/>
      <c r="Q4" s="3753"/>
      <c r="R4" s="3752"/>
      <c r="S4" s="3753"/>
    </row>
    <row r="5" spans="1:19" x14ac:dyDescent="0.35">
      <c r="A5" s="688" t="s">
        <v>634</v>
      </c>
      <c r="B5" s="641" t="s">
        <v>748</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449</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ht="15" thickBot="1" x14ac:dyDescent="0.4">
      <c r="A8" s="938" t="s">
        <v>644</v>
      </c>
      <c r="B8" s="939"/>
      <c r="C8" s="940"/>
      <c r="D8" s="940"/>
      <c r="E8" s="940"/>
      <c r="F8" s="940"/>
      <c r="G8" s="1024" t="s">
        <v>644</v>
      </c>
      <c r="H8" s="3760">
        <f>I70</f>
        <v>0</v>
      </c>
      <c r="I8" s="3761"/>
      <c r="J8" s="3760">
        <f>K70</f>
        <v>0</v>
      </c>
      <c r="K8" s="3761"/>
      <c r="L8" s="3760">
        <f>M70</f>
        <v>0</v>
      </c>
      <c r="M8" s="3761"/>
      <c r="N8" s="3760">
        <f>O70</f>
        <v>0</v>
      </c>
      <c r="O8" s="3761"/>
      <c r="P8" s="3760">
        <f>Q70</f>
        <v>0</v>
      </c>
      <c r="Q8" s="3761"/>
      <c r="R8" s="3760">
        <f>S70</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1025"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thickTop="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thickTop="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1026"/>
      <c r="B21" s="648" t="s">
        <v>748</v>
      </c>
      <c r="C21" s="647"/>
      <c r="D21" s="642"/>
      <c r="E21" s="642"/>
      <c r="F21" s="642"/>
      <c r="G21" s="646"/>
      <c r="H21" s="943"/>
      <c r="I21" s="1005"/>
      <c r="J21" s="943"/>
      <c r="K21" s="1006"/>
      <c r="L21" s="943"/>
      <c r="M21" s="1006"/>
      <c r="N21" s="943"/>
      <c r="O21" s="1006"/>
      <c r="P21" s="943"/>
      <c r="Q21" s="1006"/>
      <c r="R21" s="943"/>
      <c r="S21" s="1006"/>
    </row>
    <row r="22" spans="1:19" ht="16" thickBot="1" x14ac:dyDescent="0.4">
      <c r="A22" s="1027"/>
      <c r="B22" s="602" t="s">
        <v>657</v>
      </c>
      <c r="C22" s="681"/>
      <c r="D22" s="642"/>
      <c r="E22" s="642"/>
      <c r="F22" s="642"/>
      <c r="G22" s="646"/>
      <c r="H22" s="943"/>
      <c r="I22" s="1005"/>
      <c r="J22" s="943"/>
      <c r="K22" s="83"/>
      <c r="L22" s="943"/>
      <c r="M22" s="1006"/>
      <c r="N22" s="943"/>
      <c r="O22" s="1006"/>
      <c r="P22" s="943"/>
      <c r="Q22" s="1006"/>
      <c r="R22" s="943"/>
      <c r="S22" s="1006"/>
    </row>
    <row r="23" spans="1:19" x14ac:dyDescent="0.35">
      <c r="A23" s="1026"/>
      <c r="B23" s="947" t="s">
        <v>658</v>
      </c>
      <c r="C23" s="647"/>
      <c r="D23" s="642"/>
      <c r="E23" s="642"/>
      <c r="F23" s="642"/>
      <c r="G23" s="646"/>
      <c r="H23" s="943"/>
      <c r="I23" s="1005"/>
      <c r="J23" s="943"/>
      <c r="K23" s="1006"/>
      <c r="L23" s="943"/>
      <c r="M23" s="1006"/>
      <c r="N23" s="943"/>
      <c r="O23" s="1006"/>
      <c r="P23" s="943"/>
      <c r="Q23" s="1006"/>
      <c r="R23" s="943"/>
      <c r="S23" s="1006"/>
    </row>
    <row r="24" spans="1:19" x14ac:dyDescent="0.35">
      <c r="A24" s="683"/>
      <c r="B24" s="1028" t="s">
        <v>659</v>
      </c>
      <c r="C24" s="647"/>
      <c r="D24" s="642"/>
      <c r="E24" s="642"/>
      <c r="F24" s="642"/>
      <c r="G24" s="646"/>
      <c r="H24" s="943"/>
      <c r="I24" s="1005"/>
      <c r="J24" s="943"/>
      <c r="K24" s="1006"/>
      <c r="L24" s="943"/>
      <c r="M24" s="1006"/>
      <c r="N24" s="943"/>
      <c r="O24" s="1006"/>
      <c r="P24" s="943"/>
      <c r="Q24" s="1006"/>
      <c r="R24" s="943"/>
      <c r="S24" s="1006"/>
    </row>
    <row r="25" spans="1:19" x14ac:dyDescent="0.35">
      <c r="A25" s="1026"/>
      <c r="B25" s="1029" t="s">
        <v>660</v>
      </c>
      <c r="C25" s="647"/>
      <c r="D25" s="642"/>
      <c r="E25" s="642"/>
      <c r="F25" s="642"/>
      <c r="G25" s="646"/>
      <c r="H25" s="943"/>
      <c r="I25" s="1005"/>
      <c r="J25" s="943"/>
      <c r="K25" s="1006"/>
      <c r="L25" s="943"/>
      <c r="M25" s="1006"/>
      <c r="N25" s="943"/>
      <c r="O25" s="1006"/>
      <c r="P25" s="943"/>
      <c r="Q25" s="1006"/>
      <c r="R25" s="943"/>
      <c r="S25" s="1006"/>
    </row>
    <row r="26" spans="1:19" x14ac:dyDescent="0.35">
      <c r="A26" s="683"/>
      <c r="B26" s="1029" t="s">
        <v>661</v>
      </c>
      <c r="C26" s="647"/>
      <c r="D26" s="642"/>
      <c r="E26" s="642"/>
      <c r="F26" s="642"/>
      <c r="G26" s="646"/>
      <c r="H26" s="943"/>
      <c r="I26" s="1005"/>
      <c r="J26" s="943"/>
      <c r="K26" s="1005"/>
      <c r="L26" s="943"/>
      <c r="M26" s="1005"/>
      <c r="N26" s="943"/>
      <c r="O26" s="1005"/>
      <c r="P26" s="943"/>
      <c r="Q26" s="1005"/>
      <c r="R26" s="943"/>
      <c r="S26" s="1005"/>
    </row>
    <row r="27" spans="1:19" x14ac:dyDescent="0.35">
      <c r="A27" s="1026"/>
      <c r="B27" s="1029" t="s">
        <v>662</v>
      </c>
      <c r="C27" s="647"/>
      <c r="D27" s="642"/>
      <c r="E27" s="642"/>
      <c r="F27" s="642"/>
      <c r="G27" s="646"/>
      <c r="H27" s="943"/>
      <c r="I27" s="1005"/>
      <c r="J27" s="943"/>
      <c r="K27" s="1006"/>
      <c r="L27" s="943"/>
      <c r="M27" s="1006"/>
      <c r="N27" s="943"/>
      <c r="O27" s="1006"/>
      <c r="P27" s="943"/>
      <c r="Q27" s="1006"/>
      <c r="R27" s="943"/>
      <c r="S27" s="1006"/>
    </row>
    <row r="28" spans="1:19" x14ac:dyDescent="0.35">
      <c r="A28" s="683"/>
      <c r="B28" s="1029" t="s">
        <v>663</v>
      </c>
      <c r="C28" s="647"/>
      <c r="D28" s="642"/>
      <c r="E28" s="642"/>
      <c r="F28" s="642"/>
      <c r="G28" s="646"/>
      <c r="H28" s="943"/>
      <c r="I28" s="1005"/>
      <c r="J28" s="943"/>
      <c r="K28" s="1006"/>
      <c r="L28" s="943"/>
      <c r="M28" s="1006"/>
      <c r="N28" s="943"/>
      <c r="O28" s="1006"/>
      <c r="P28" s="943"/>
      <c r="Q28" s="1006"/>
      <c r="R28" s="943"/>
      <c r="S28" s="1006"/>
    </row>
    <row r="29" spans="1:19" x14ac:dyDescent="0.35">
      <c r="A29" s="1026"/>
      <c r="B29" s="1029" t="s">
        <v>742</v>
      </c>
      <c r="C29" s="647"/>
      <c r="D29" s="642"/>
      <c r="E29" s="642"/>
      <c r="F29" s="642"/>
      <c r="G29" s="646"/>
      <c r="H29" s="943"/>
      <c r="I29" s="1030"/>
      <c r="J29" s="943"/>
      <c r="K29" s="1031"/>
      <c r="L29" s="943"/>
      <c r="M29" s="1031"/>
      <c r="N29" s="943"/>
      <c r="O29" s="1031"/>
      <c r="P29" s="943"/>
      <c r="Q29" s="1031"/>
      <c r="R29" s="943"/>
      <c r="S29" s="1031"/>
    </row>
    <row r="30" spans="1:19" x14ac:dyDescent="0.35">
      <c r="A30" s="1026"/>
      <c r="B30" s="1032" t="s">
        <v>664</v>
      </c>
      <c r="C30" s="647"/>
      <c r="D30" s="642"/>
      <c r="E30" s="642"/>
      <c r="F30" s="642"/>
      <c r="G30" s="646"/>
      <c r="H30" s="943"/>
      <c r="I30" s="1005"/>
      <c r="J30" s="943"/>
      <c r="K30" s="1006"/>
      <c r="L30" s="943"/>
      <c r="M30" s="1006"/>
      <c r="N30" s="943"/>
      <c r="O30" s="1006"/>
      <c r="P30" s="943"/>
      <c r="Q30" s="1006"/>
      <c r="R30" s="943"/>
      <c r="S30" s="1006"/>
    </row>
    <row r="31" spans="1:19" x14ac:dyDescent="0.35">
      <c r="A31" s="683"/>
      <c r="B31" s="1033" t="s">
        <v>665</v>
      </c>
      <c r="C31" s="649"/>
      <c r="D31" s="650"/>
      <c r="E31" s="650"/>
      <c r="F31" s="650"/>
      <c r="G31" s="952"/>
      <c r="H31" s="636"/>
      <c r="I31" s="1034"/>
      <c r="J31" s="636"/>
      <c r="K31" s="1035"/>
      <c r="L31" s="636"/>
      <c r="M31" s="1035"/>
      <c r="N31" s="636"/>
      <c r="O31" s="1035"/>
      <c r="P31" s="636"/>
      <c r="Q31" s="1035"/>
      <c r="R31" s="636"/>
      <c r="S31" s="1035"/>
    </row>
    <row r="32" spans="1:19" x14ac:dyDescent="0.35">
      <c r="A32" s="1026"/>
      <c r="B32" s="1036"/>
      <c r="C32" s="647"/>
      <c r="D32" s="642"/>
      <c r="E32" s="642"/>
      <c r="F32" s="642"/>
      <c r="G32" s="646"/>
      <c r="H32" s="943"/>
      <c r="I32" s="1005"/>
      <c r="J32" s="943"/>
      <c r="K32" s="1006"/>
      <c r="L32" s="943"/>
      <c r="M32" s="1006"/>
      <c r="N32" s="943"/>
      <c r="O32" s="1006"/>
      <c r="P32" s="943"/>
      <c r="Q32" s="1006"/>
      <c r="R32" s="943"/>
      <c r="S32" s="1006"/>
    </row>
    <row r="33" spans="1:19" x14ac:dyDescent="0.35">
      <c r="A33" s="683"/>
      <c r="B33" s="1037"/>
      <c r="C33" s="647"/>
      <c r="D33" s="642"/>
      <c r="E33" s="642"/>
      <c r="F33" s="642"/>
      <c r="G33" s="646"/>
      <c r="H33" s="943"/>
      <c r="I33" s="1005"/>
      <c r="J33" s="943"/>
      <c r="K33" s="1006"/>
      <c r="L33" s="943"/>
      <c r="M33" s="1006"/>
      <c r="N33" s="943"/>
      <c r="O33" s="1006"/>
      <c r="P33" s="943"/>
      <c r="Q33" s="1006"/>
      <c r="R33" s="943"/>
      <c r="S33" s="1006"/>
    </row>
    <row r="34" spans="1:19" x14ac:dyDescent="0.35">
      <c r="A34" s="1026"/>
      <c r="B34" s="705"/>
      <c r="C34" s="647"/>
      <c r="D34" s="642"/>
      <c r="E34" s="642"/>
      <c r="F34" s="642"/>
      <c r="G34" s="646"/>
      <c r="H34" s="943"/>
      <c r="I34" s="1005"/>
      <c r="J34" s="943"/>
      <c r="K34" s="1006"/>
      <c r="L34" s="943"/>
      <c r="M34" s="1006"/>
      <c r="N34" s="943"/>
      <c r="O34" s="1006"/>
      <c r="P34" s="943"/>
      <c r="Q34" s="1006"/>
      <c r="R34" s="943"/>
      <c r="S34" s="1006"/>
    </row>
    <row r="35" spans="1:19" x14ac:dyDescent="0.35">
      <c r="A35" s="683"/>
      <c r="B35" s="705"/>
      <c r="C35" s="647"/>
      <c r="D35" s="642"/>
      <c r="E35" s="642"/>
      <c r="F35" s="642"/>
      <c r="G35" s="646"/>
      <c r="H35" s="943"/>
      <c r="I35" s="1005"/>
      <c r="J35" s="943"/>
      <c r="K35" s="1006"/>
      <c r="L35" s="943"/>
      <c r="M35" s="1006"/>
      <c r="N35" s="943"/>
      <c r="O35" s="1006"/>
      <c r="P35" s="943"/>
      <c r="Q35" s="1006"/>
      <c r="R35" s="943"/>
      <c r="S35" s="1006"/>
    </row>
    <row r="36" spans="1:19" x14ac:dyDescent="0.35">
      <c r="A36" s="1026"/>
      <c r="B36" s="705"/>
      <c r="C36" s="669"/>
      <c r="D36" s="669"/>
      <c r="E36" s="642"/>
      <c r="F36" s="642"/>
      <c r="G36" s="646"/>
      <c r="H36" s="943" t="s">
        <v>671</v>
      </c>
      <c r="I36" s="1005"/>
      <c r="J36" s="943"/>
      <c r="K36" s="1006"/>
      <c r="L36" s="943"/>
      <c r="M36" s="1005"/>
      <c r="N36" s="943"/>
      <c r="O36" s="1005"/>
      <c r="P36" s="943"/>
      <c r="Q36" s="1006"/>
      <c r="R36" s="943"/>
      <c r="S36" s="1006"/>
    </row>
    <row r="37" spans="1:19" x14ac:dyDescent="0.35">
      <c r="A37" s="683"/>
      <c r="B37" s="705"/>
      <c r="C37" s="669"/>
      <c r="D37" s="669"/>
      <c r="E37" s="642"/>
      <c r="F37" s="642"/>
      <c r="G37" s="646"/>
      <c r="H37" s="943" t="s">
        <v>669</v>
      </c>
      <c r="I37" s="1005"/>
      <c r="J37" s="943"/>
      <c r="K37" s="1006"/>
      <c r="L37" s="943"/>
      <c r="M37" s="1006"/>
      <c r="N37" s="943"/>
      <c r="O37" s="1006"/>
      <c r="P37" s="943"/>
      <c r="Q37" s="1006"/>
      <c r="R37" s="943"/>
      <c r="S37" s="1006"/>
    </row>
    <row r="38" spans="1:19" x14ac:dyDescent="0.35">
      <c r="A38" s="1026"/>
      <c r="B38" s="705"/>
      <c r="C38" s="669"/>
      <c r="D38" s="669"/>
      <c r="E38" s="642"/>
      <c r="F38" s="642"/>
      <c r="G38" s="646"/>
      <c r="H38" s="943"/>
      <c r="I38" s="1005"/>
      <c r="J38" s="943"/>
      <c r="K38" s="1006"/>
      <c r="L38" s="943"/>
      <c r="M38" s="1006"/>
      <c r="N38" s="943"/>
      <c r="O38" s="1006"/>
      <c r="P38" s="943"/>
      <c r="Q38" s="1006"/>
      <c r="R38" s="943"/>
      <c r="S38" s="1006"/>
    </row>
    <row r="39" spans="1:19" x14ac:dyDescent="0.35">
      <c r="A39" s="683"/>
      <c r="B39" s="705"/>
      <c r="C39" s="669"/>
      <c r="D39" s="669"/>
      <c r="E39" s="642"/>
      <c r="F39" s="642"/>
      <c r="G39" s="646"/>
      <c r="H39" s="943"/>
      <c r="I39" s="1005"/>
      <c r="J39" s="943"/>
      <c r="K39" s="1006"/>
      <c r="L39" s="943"/>
      <c r="M39" s="1006"/>
      <c r="N39" s="943"/>
      <c r="O39" s="1006"/>
      <c r="P39" s="943"/>
      <c r="Q39" s="1006"/>
      <c r="R39" s="943"/>
      <c r="S39" s="1006"/>
    </row>
    <row r="40" spans="1:19" x14ac:dyDescent="0.35">
      <c r="A40" s="1026"/>
      <c r="B40" s="705"/>
      <c r="C40" s="669"/>
      <c r="D40" s="669"/>
      <c r="E40" s="642"/>
      <c r="F40" s="642"/>
      <c r="G40" s="646"/>
      <c r="H40" s="943"/>
      <c r="I40" s="1005"/>
      <c r="J40" s="943"/>
      <c r="K40" s="1006"/>
      <c r="L40" s="943"/>
      <c r="M40" s="1006"/>
      <c r="N40" s="943"/>
      <c r="O40" s="1006"/>
      <c r="P40" s="943"/>
      <c r="Q40" s="1006"/>
      <c r="R40" s="943"/>
      <c r="S40" s="1006"/>
    </row>
    <row r="41" spans="1:19" x14ac:dyDescent="0.35">
      <c r="A41" s="683"/>
      <c r="B41" s="705"/>
      <c r="C41" s="669"/>
      <c r="D41" s="669"/>
      <c r="E41" s="642"/>
      <c r="F41" s="642"/>
      <c r="G41" s="646"/>
      <c r="H41" s="943"/>
      <c r="I41" s="1005"/>
      <c r="J41" s="943"/>
      <c r="K41" s="1006"/>
      <c r="L41" s="943"/>
      <c r="M41" s="1006"/>
      <c r="N41" s="943"/>
      <c r="O41" s="1006"/>
      <c r="P41" s="943"/>
      <c r="Q41" s="1006"/>
      <c r="R41" s="943"/>
      <c r="S41" s="1006"/>
    </row>
    <row r="42" spans="1:19" ht="15.75" customHeight="1" x14ac:dyDescent="0.35">
      <c r="A42" s="1026"/>
      <c r="B42" s="705"/>
      <c r="C42" s="669"/>
      <c r="D42" s="669"/>
      <c r="E42" s="642"/>
      <c r="F42" s="642"/>
      <c r="G42" s="646"/>
      <c r="H42" s="943"/>
      <c r="I42" s="1005"/>
      <c r="J42" s="943"/>
      <c r="K42" s="1006"/>
      <c r="L42" s="943"/>
      <c r="M42" s="1006"/>
      <c r="N42" s="943"/>
      <c r="O42" s="1006"/>
      <c r="P42" s="943"/>
      <c r="Q42" s="1006"/>
      <c r="R42" s="943"/>
      <c r="S42" s="1006"/>
    </row>
    <row r="43" spans="1:19" x14ac:dyDescent="0.35">
      <c r="A43" s="683"/>
      <c r="B43" s="705"/>
      <c r="C43" s="669"/>
      <c r="D43" s="669"/>
      <c r="E43" s="642"/>
      <c r="F43" s="642"/>
      <c r="G43" s="646"/>
      <c r="H43" s="943"/>
      <c r="I43" s="1005"/>
      <c r="J43" s="943"/>
      <c r="K43" s="1006"/>
      <c r="L43" s="943"/>
      <c r="M43" s="1006"/>
      <c r="N43" s="943"/>
      <c r="O43" s="1006"/>
      <c r="P43" s="943"/>
      <c r="Q43" s="1006"/>
      <c r="R43" s="943"/>
      <c r="S43" s="1006"/>
    </row>
    <row r="44" spans="1:19" x14ac:dyDescent="0.35">
      <c r="A44" s="1026"/>
      <c r="B44" s="1037"/>
      <c r="C44" s="669"/>
      <c r="D44" s="669"/>
      <c r="E44" s="642"/>
      <c r="F44" s="642"/>
      <c r="G44" s="646"/>
      <c r="H44" s="943"/>
      <c r="I44" s="1005"/>
      <c r="J44" s="943"/>
      <c r="K44" s="1006"/>
      <c r="L44" s="943"/>
      <c r="M44" s="1006"/>
      <c r="N44" s="943"/>
      <c r="O44" s="1006"/>
      <c r="P44" s="943"/>
      <c r="Q44" s="1006"/>
      <c r="R44" s="943"/>
      <c r="S44" s="1006"/>
    </row>
    <row r="45" spans="1:19" x14ac:dyDescent="0.35">
      <c r="A45" s="683"/>
      <c r="B45" s="705"/>
      <c r="C45" s="669"/>
      <c r="D45" s="669"/>
      <c r="E45" s="642"/>
      <c r="F45" s="642"/>
      <c r="G45" s="646"/>
      <c r="H45" s="943"/>
      <c r="I45" s="1005"/>
      <c r="J45" s="943"/>
      <c r="K45" s="1006"/>
      <c r="L45" s="943"/>
      <c r="M45" s="1006"/>
      <c r="N45" s="943"/>
      <c r="O45" s="1006"/>
      <c r="P45" s="943"/>
      <c r="Q45" s="1006"/>
      <c r="R45" s="943"/>
      <c r="S45" s="1006"/>
    </row>
    <row r="46" spans="1:19" x14ac:dyDescent="0.35">
      <c r="A46" s="1026"/>
      <c r="B46" s="705"/>
      <c r="C46" s="669"/>
      <c r="D46" s="669"/>
      <c r="E46" s="642"/>
      <c r="F46" s="642"/>
      <c r="G46" s="646"/>
      <c r="H46" s="943"/>
      <c r="I46" s="1005"/>
      <c r="J46" s="943"/>
      <c r="K46" s="1006"/>
      <c r="L46" s="943"/>
      <c r="M46" s="1006"/>
      <c r="N46" s="943"/>
      <c r="O46" s="1006"/>
      <c r="P46" s="943"/>
      <c r="Q46" s="1006"/>
      <c r="R46" s="943"/>
      <c r="S46" s="1006"/>
    </row>
    <row r="47" spans="1:19" x14ac:dyDescent="0.35">
      <c r="A47" s="683"/>
      <c r="B47" s="705"/>
      <c r="C47" s="669"/>
      <c r="D47" s="669"/>
      <c r="E47" s="642"/>
      <c r="F47" s="642"/>
      <c r="G47" s="646"/>
      <c r="H47" s="943"/>
      <c r="I47" s="1005"/>
      <c r="J47" s="943"/>
      <c r="K47" s="1006"/>
      <c r="L47" s="943"/>
      <c r="M47" s="1006"/>
      <c r="N47" s="943"/>
      <c r="O47" s="1006"/>
      <c r="P47" s="943"/>
      <c r="Q47" s="1006"/>
      <c r="R47" s="943"/>
      <c r="S47" s="1006"/>
    </row>
    <row r="48" spans="1:19" x14ac:dyDescent="0.35">
      <c r="A48" s="1026"/>
      <c r="B48" s="705"/>
      <c r="C48" s="669"/>
      <c r="D48" s="669"/>
      <c r="E48" s="642"/>
      <c r="F48" s="642"/>
      <c r="G48" s="646"/>
      <c r="H48" s="943"/>
      <c r="I48" s="1005"/>
      <c r="J48" s="943"/>
      <c r="K48" s="1006"/>
      <c r="L48" s="943"/>
      <c r="M48" s="1006"/>
      <c r="N48" s="943"/>
      <c r="O48" s="1006"/>
      <c r="P48" s="943"/>
      <c r="Q48" s="1006"/>
      <c r="R48" s="943"/>
      <c r="S48" s="1006"/>
    </row>
    <row r="49" spans="1:19" x14ac:dyDescent="0.35">
      <c r="A49" s="683"/>
      <c r="B49" s="1037"/>
      <c r="C49" s="669"/>
      <c r="D49" s="669"/>
      <c r="E49" s="642"/>
      <c r="F49" s="642"/>
      <c r="G49" s="646"/>
      <c r="H49" s="943"/>
      <c r="I49" s="1005"/>
      <c r="J49" s="943"/>
      <c r="K49" s="1006"/>
      <c r="L49" s="943"/>
      <c r="M49" s="1006"/>
      <c r="N49" s="943"/>
      <c r="O49" s="1006"/>
      <c r="P49" s="943"/>
      <c r="Q49" s="1006"/>
      <c r="R49" s="943"/>
      <c r="S49" s="1006"/>
    </row>
    <row r="50" spans="1:19" x14ac:dyDescent="0.35">
      <c r="A50" s="1026"/>
      <c r="B50" s="705"/>
      <c r="C50" s="669"/>
      <c r="D50" s="669"/>
      <c r="E50" s="642"/>
      <c r="F50" s="642"/>
      <c r="G50" s="646"/>
      <c r="H50" s="943"/>
      <c r="I50" s="1005"/>
      <c r="J50" s="943"/>
      <c r="K50" s="1006"/>
      <c r="L50" s="943"/>
      <c r="M50" s="1006"/>
      <c r="N50" s="943"/>
      <c r="O50" s="1006"/>
      <c r="P50" s="943"/>
      <c r="Q50" s="1006"/>
      <c r="R50" s="943"/>
      <c r="S50" s="1006"/>
    </row>
    <row r="51" spans="1:19" x14ac:dyDescent="0.35">
      <c r="A51" s="683"/>
      <c r="B51" s="706"/>
      <c r="C51" s="669"/>
      <c r="D51" s="669"/>
      <c r="E51" s="642"/>
      <c r="F51" s="642"/>
      <c r="G51" s="646"/>
      <c r="H51" s="943"/>
      <c r="I51" s="1005"/>
      <c r="J51" s="943"/>
      <c r="K51" s="1006"/>
      <c r="L51" s="943"/>
      <c r="M51" s="1006"/>
      <c r="N51" s="943"/>
      <c r="O51" s="1006"/>
      <c r="P51" s="943"/>
      <c r="Q51" s="1006"/>
      <c r="R51" s="943"/>
      <c r="S51" s="1006"/>
    </row>
    <row r="52" spans="1:19" x14ac:dyDescent="0.35">
      <c r="A52" s="1026"/>
      <c r="B52" s="706"/>
      <c r="C52" s="669"/>
      <c r="D52" s="669"/>
      <c r="E52" s="642"/>
      <c r="F52" s="642"/>
      <c r="G52" s="646"/>
      <c r="H52" s="943"/>
      <c r="I52" s="1005"/>
      <c r="J52" s="943"/>
      <c r="K52" s="1006"/>
      <c r="L52" s="943"/>
      <c r="M52" s="1006"/>
      <c r="N52" s="943"/>
      <c r="O52" s="1006"/>
      <c r="P52" s="943"/>
      <c r="Q52" s="1006"/>
      <c r="R52" s="943"/>
      <c r="S52" s="1006"/>
    </row>
    <row r="53" spans="1:19" x14ac:dyDescent="0.35">
      <c r="A53" s="683"/>
      <c r="B53" s="706"/>
      <c r="C53" s="647"/>
      <c r="D53" s="642"/>
      <c r="E53" s="642"/>
      <c r="F53" s="642"/>
      <c r="G53" s="646"/>
      <c r="H53" s="943"/>
      <c r="I53" s="1005"/>
      <c r="J53" s="943"/>
      <c r="K53" s="1006"/>
      <c r="L53" s="943"/>
      <c r="M53" s="1006"/>
      <c r="N53" s="943"/>
      <c r="O53" s="1006"/>
      <c r="P53" s="943"/>
      <c r="Q53" s="1006"/>
      <c r="R53" s="943"/>
      <c r="S53" s="1006"/>
    </row>
    <row r="54" spans="1:19" x14ac:dyDescent="0.35">
      <c r="A54" s="1026"/>
      <c r="B54" s="706"/>
      <c r="C54" s="647"/>
      <c r="D54" s="642"/>
      <c r="E54" s="642"/>
      <c r="F54" s="642"/>
      <c r="G54" s="646"/>
      <c r="H54" s="943"/>
      <c r="I54" s="1005"/>
      <c r="J54" s="943"/>
      <c r="K54" s="1006"/>
      <c r="L54" s="943"/>
      <c r="M54" s="1006"/>
      <c r="N54" s="943"/>
      <c r="O54" s="1006"/>
      <c r="P54" s="943"/>
      <c r="Q54" s="1006"/>
      <c r="R54" s="943"/>
      <c r="S54" s="1006"/>
    </row>
    <row r="55" spans="1:19" x14ac:dyDescent="0.35">
      <c r="A55" s="683"/>
      <c r="B55" s="706"/>
      <c r="C55" s="647"/>
      <c r="D55" s="642"/>
      <c r="E55" s="642"/>
      <c r="F55" s="642"/>
      <c r="G55" s="646"/>
      <c r="H55" s="943"/>
      <c r="I55" s="1005"/>
      <c r="J55" s="943"/>
      <c r="K55" s="1006"/>
      <c r="L55" s="943"/>
      <c r="M55" s="1006"/>
      <c r="N55" s="943"/>
      <c r="O55" s="1006"/>
      <c r="P55" s="943"/>
      <c r="Q55" s="1005"/>
      <c r="R55" s="943"/>
      <c r="S55" s="1005"/>
    </row>
    <row r="56" spans="1:19" x14ac:dyDescent="0.35">
      <c r="A56" s="1026"/>
      <c r="B56" s="706"/>
      <c r="C56" s="647"/>
      <c r="D56" s="642"/>
      <c r="E56" s="642"/>
      <c r="F56" s="642"/>
      <c r="G56" s="646"/>
      <c r="H56" s="943"/>
      <c r="I56" s="1005"/>
      <c r="J56" s="943"/>
      <c r="K56" s="1006"/>
      <c r="L56" s="943"/>
      <c r="M56" s="1006"/>
      <c r="N56" s="943"/>
      <c r="O56" s="1006"/>
      <c r="P56" s="943"/>
      <c r="Q56" s="1006"/>
      <c r="R56" s="943"/>
      <c r="S56" s="1006"/>
    </row>
    <row r="57" spans="1:19" x14ac:dyDescent="0.35">
      <c r="A57" s="683"/>
      <c r="B57" s="706"/>
      <c r="C57" s="647"/>
      <c r="D57" s="642"/>
      <c r="E57" s="642"/>
      <c r="F57" s="642"/>
      <c r="G57" s="646"/>
      <c r="H57" s="943"/>
      <c r="I57" s="1005"/>
      <c r="J57" s="943"/>
      <c r="K57" s="1006"/>
      <c r="L57" s="943"/>
      <c r="M57" s="1006"/>
      <c r="N57" s="943"/>
      <c r="O57" s="1006"/>
      <c r="P57" s="943"/>
      <c r="Q57" s="1006"/>
      <c r="R57" s="943"/>
      <c r="S57" s="1006"/>
    </row>
    <row r="58" spans="1:19" x14ac:dyDescent="0.35">
      <c r="A58" s="1026"/>
      <c r="B58" s="1037"/>
      <c r="C58" s="647"/>
      <c r="D58" s="642"/>
      <c r="E58" s="642"/>
      <c r="F58" s="642"/>
      <c r="G58" s="646"/>
      <c r="H58" s="943"/>
      <c r="I58" s="1005"/>
      <c r="J58" s="943"/>
      <c r="K58" s="1006"/>
      <c r="L58" s="943"/>
      <c r="M58" s="1006"/>
      <c r="N58" s="943"/>
      <c r="O58" s="1006"/>
      <c r="P58" s="943"/>
      <c r="Q58" s="1006"/>
      <c r="R58" s="943"/>
      <c r="S58" s="1006"/>
    </row>
    <row r="59" spans="1:19" x14ac:dyDescent="0.35">
      <c r="A59" s="683"/>
      <c r="B59" s="706"/>
      <c r="C59" s="647"/>
      <c r="D59" s="642"/>
      <c r="E59" s="642"/>
      <c r="F59" s="642"/>
      <c r="G59" s="646"/>
      <c r="H59" s="943"/>
      <c r="I59" s="1005"/>
      <c r="J59" s="943"/>
      <c r="K59" s="1006"/>
      <c r="L59" s="943"/>
      <c r="M59" s="1006"/>
      <c r="N59" s="943"/>
      <c r="O59" s="1006"/>
      <c r="P59" s="943"/>
      <c r="Q59" s="1006"/>
      <c r="R59" s="943"/>
      <c r="S59" s="1006"/>
    </row>
    <row r="60" spans="1:19" x14ac:dyDescent="0.35">
      <c r="A60" s="1026"/>
      <c r="B60" s="706"/>
      <c r="C60" s="647"/>
      <c r="D60" s="642"/>
      <c r="E60" s="642"/>
      <c r="F60" s="642"/>
      <c r="G60" s="646"/>
      <c r="H60" s="943"/>
      <c r="I60" s="1005"/>
      <c r="J60" s="943"/>
      <c r="K60" s="1006"/>
      <c r="L60" s="943"/>
      <c r="M60" s="1006"/>
      <c r="N60" s="943"/>
      <c r="O60" s="1006"/>
      <c r="P60" s="943"/>
      <c r="Q60" s="1006"/>
      <c r="R60" s="943"/>
      <c r="S60" s="1006"/>
    </row>
    <row r="61" spans="1:19" x14ac:dyDescent="0.35">
      <c r="A61" s="683"/>
      <c r="B61" s="706"/>
      <c r="C61" s="647"/>
      <c r="D61" s="642"/>
      <c r="E61" s="642"/>
      <c r="F61" s="642"/>
      <c r="G61" s="646"/>
      <c r="H61" s="943"/>
      <c r="I61" s="1005"/>
      <c r="J61" s="943"/>
      <c r="K61" s="1006"/>
      <c r="L61" s="943"/>
      <c r="M61" s="1006"/>
      <c r="N61" s="943"/>
      <c r="O61" s="1006"/>
      <c r="P61" s="943"/>
      <c r="Q61" s="1006"/>
      <c r="R61" s="943"/>
      <c r="S61" s="1006"/>
    </row>
    <row r="62" spans="1:19" x14ac:dyDescent="0.35">
      <c r="A62" s="1026"/>
      <c r="B62" s="706"/>
      <c r="C62" s="647"/>
      <c r="D62" s="642"/>
      <c r="E62" s="642"/>
      <c r="F62" s="642"/>
      <c r="G62" s="646"/>
      <c r="H62" s="943"/>
      <c r="I62" s="1005"/>
      <c r="J62" s="943"/>
      <c r="K62" s="1006"/>
      <c r="L62" s="943"/>
      <c r="M62" s="1006"/>
      <c r="N62" s="943"/>
      <c r="O62" s="1006"/>
      <c r="P62" s="943"/>
      <c r="Q62" s="1006"/>
      <c r="R62" s="943"/>
      <c r="S62" s="1006"/>
    </row>
    <row r="63" spans="1:19" x14ac:dyDescent="0.35">
      <c r="A63" s="683"/>
      <c r="B63" s="706"/>
      <c r="C63" s="647"/>
      <c r="D63" s="642"/>
      <c r="E63" s="642"/>
      <c r="F63" s="642"/>
      <c r="G63" s="646"/>
      <c r="H63" s="943"/>
      <c r="I63" s="1005"/>
      <c r="J63" s="943"/>
      <c r="K63" s="1006"/>
      <c r="L63" s="943"/>
      <c r="M63" s="1006"/>
      <c r="N63" s="943"/>
      <c r="O63" s="1006"/>
      <c r="P63" s="943"/>
      <c r="Q63" s="1006"/>
      <c r="R63" s="943"/>
      <c r="S63" s="1006"/>
    </row>
    <row r="64" spans="1:19" x14ac:dyDescent="0.35">
      <c r="A64" s="1026"/>
      <c r="B64" s="121"/>
      <c r="C64" s="647"/>
      <c r="D64" s="642"/>
      <c r="E64" s="642"/>
      <c r="F64" s="642"/>
      <c r="G64" s="646"/>
      <c r="H64" s="943"/>
      <c r="I64" s="1005"/>
      <c r="J64" s="943"/>
      <c r="K64" s="1006"/>
      <c r="L64" s="943"/>
      <c r="M64" s="1006"/>
      <c r="N64" s="943"/>
      <c r="O64" s="1006"/>
      <c r="P64" s="943"/>
      <c r="Q64" s="1006"/>
      <c r="R64" s="943"/>
      <c r="S64" s="1006"/>
    </row>
    <row r="65" spans="1:19" ht="15" thickBot="1" x14ac:dyDescent="0.4">
      <c r="A65" s="683"/>
      <c r="B65" s="705"/>
      <c r="C65" s="647"/>
      <c r="D65" s="642"/>
      <c r="E65" s="642"/>
      <c r="F65" s="642"/>
      <c r="G65" s="646"/>
      <c r="H65" s="943"/>
      <c r="I65" s="1005"/>
      <c r="J65" s="943"/>
      <c r="K65" s="1006"/>
      <c r="L65" s="943"/>
      <c r="M65" s="1006"/>
      <c r="N65" s="943"/>
      <c r="O65" s="1006"/>
      <c r="P65" s="943"/>
      <c r="Q65" s="1006"/>
      <c r="R65" s="943"/>
      <c r="S65" s="1006"/>
    </row>
    <row r="66" spans="1:19" ht="15" thickTop="1" x14ac:dyDescent="0.35">
      <c r="A66" s="14"/>
      <c r="B66" s="15"/>
      <c r="C66" s="16"/>
      <c r="D66" s="16"/>
      <c r="E66" s="17"/>
      <c r="F66" s="18" t="s">
        <v>715</v>
      </c>
      <c r="G66" s="19"/>
      <c r="H66" s="20"/>
      <c r="I66" s="50">
        <f>SUM(I22:I65)</f>
        <v>0</v>
      </c>
      <c r="J66" s="20"/>
      <c r="K66" s="50">
        <f>SUM(K22:K65)</f>
        <v>0</v>
      </c>
      <c r="L66" s="20"/>
      <c r="M66" s="50">
        <f>SUM(M22:M65)</f>
        <v>0</v>
      </c>
      <c r="N66" s="20"/>
      <c r="O66" s="50">
        <f>SUM(O22:O65)</f>
        <v>0</v>
      </c>
      <c r="P66" s="20"/>
      <c r="Q66" s="50">
        <f>SUM(Q22:Q65)</f>
        <v>0</v>
      </c>
      <c r="R66" s="20"/>
      <c r="S66" s="50">
        <f>SUM(S22:S65)</f>
        <v>0</v>
      </c>
    </row>
    <row r="67" spans="1:19" x14ac:dyDescent="0.35">
      <c r="A67" s="684"/>
      <c r="B67" s="655"/>
      <c r="C67" s="656"/>
      <c r="D67" s="656"/>
      <c r="E67" s="657"/>
      <c r="F67" s="658" t="s">
        <v>716</v>
      </c>
      <c r="G67" s="659"/>
      <c r="H67" s="959">
        <v>0</v>
      </c>
      <c r="I67" s="960"/>
      <c r="J67" s="959">
        <v>0</v>
      </c>
      <c r="K67" s="960"/>
      <c r="L67" s="959">
        <v>0</v>
      </c>
      <c r="M67" s="960"/>
      <c r="N67" s="959">
        <v>0</v>
      </c>
      <c r="O67" s="960"/>
      <c r="P67" s="959">
        <v>0</v>
      </c>
      <c r="Q67" s="960"/>
      <c r="R67" s="959">
        <v>0</v>
      </c>
      <c r="S67" s="960"/>
    </row>
    <row r="68" spans="1:19" x14ac:dyDescent="0.35">
      <c r="A68" s="684"/>
      <c r="B68" s="655"/>
      <c r="C68" s="656"/>
      <c r="D68" s="656"/>
      <c r="E68" s="657"/>
      <c r="F68" s="658" t="s">
        <v>717</v>
      </c>
      <c r="G68" s="659"/>
      <c r="H68" s="961"/>
      <c r="I68" s="962">
        <f>H67*I66</f>
        <v>0</v>
      </c>
      <c r="J68" s="961"/>
      <c r="K68" s="962">
        <f>J67*K66</f>
        <v>0</v>
      </c>
      <c r="L68" s="961"/>
      <c r="M68" s="962">
        <f>L67*M66</f>
        <v>0</v>
      </c>
      <c r="N68" s="961"/>
      <c r="O68" s="962">
        <f>N67*O66</f>
        <v>0</v>
      </c>
      <c r="P68" s="961"/>
      <c r="Q68" s="962">
        <f>P67*Q66</f>
        <v>0</v>
      </c>
      <c r="R68" s="961"/>
      <c r="S68" s="962">
        <f>R67*S66</f>
        <v>0</v>
      </c>
    </row>
    <row r="69" spans="1:19" x14ac:dyDescent="0.35">
      <c r="A69" s="684"/>
      <c r="B69" s="655"/>
      <c r="C69" s="656"/>
      <c r="D69" s="656"/>
      <c r="E69" s="657"/>
      <c r="F69" s="658"/>
      <c r="G69" s="659"/>
      <c r="H69" s="961"/>
      <c r="I69" s="963"/>
      <c r="J69" s="961"/>
      <c r="K69" s="963"/>
      <c r="L69" s="961"/>
      <c r="M69" s="963"/>
      <c r="N69" s="961"/>
      <c r="O69" s="963"/>
      <c r="P69" s="961"/>
      <c r="Q69" s="963"/>
      <c r="R69" s="961"/>
      <c r="S69" s="963"/>
    </row>
    <row r="70" spans="1:19" x14ac:dyDescent="0.35">
      <c r="A70" s="684"/>
      <c r="B70" s="655"/>
      <c r="C70" s="656"/>
      <c r="D70" s="656"/>
      <c r="E70" s="657"/>
      <c r="F70" s="658" t="s">
        <v>718</v>
      </c>
      <c r="G70" s="659"/>
      <c r="H70" s="964"/>
      <c r="I70" s="962">
        <f>SUM(I66:I68)</f>
        <v>0</v>
      </c>
      <c r="J70" s="964"/>
      <c r="K70" s="962">
        <f>SUM(K66:K68)</f>
        <v>0</v>
      </c>
      <c r="L70" s="964"/>
      <c r="M70" s="962">
        <f>SUM(M66:M68)</f>
        <v>0</v>
      </c>
      <c r="N70" s="964"/>
      <c r="O70" s="962">
        <f>SUM(O66:O68)</f>
        <v>0</v>
      </c>
      <c r="P70" s="964"/>
      <c r="Q70" s="962">
        <f>SUM(Q66:Q68)</f>
        <v>0</v>
      </c>
      <c r="R70" s="964"/>
      <c r="S70" s="962">
        <f>SUM(S66:S68)</f>
        <v>0</v>
      </c>
    </row>
    <row r="71" spans="1:19" x14ac:dyDescent="0.35">
      <c r="A71" s="684"/>
      <c r="B71" s="655"/>
      <c r="C71" s="656"/>
      <c r="D71" s="656"/>
      <c r="E71" s="657"/>
      <c r="F71" s="660" t="s">
        <v>719</v>
      </c>
      <c r="G71" s="661"/>
      <c r="H71" s="965"/>
      <c r="I71" s="966" t="e">
        <f>I70/#REF!</f>
        <v>#REF!</v>
      </c>
      <c r="J71" s="965"/>
      <c r="K71" s="966" t="e">
        <f>K70/#REF!</f>
        <v>#REF!</v>
      </c>
      <c r="L71" s="965"/>
      <c r="M71" s="966" t="e">
        <f>M70/#REF!</f>
        <v>#REF!</v>
      </c>
      <c r="N71" s="965"/>
      <c r="O71" s="966" t="e">
        <f>O70/#REF!</f>
        <v>#REF!</v>
      </c>
      <c r="P71" s="965"/>
      <c r="Q71" s="966" t="e">
        <f>Q70/#REF!</f>
        <v>#REF!</v>
      </c>
      <c r="R71" s="965"/>
      <c r="S71" s="966" t="e">
        <f>S70/#REF!</f>
        <v>#REF!</v>
      </c>
    </row>
    <row r="72" spans="1:19" x14ac:dyDescent="0.35">
      <c r="A72" s="684"/>
      <c r="B72" s="655"/>
      <c r="C72" s="656"/>
      <c r="D72" s="656"/>
      <c r="E72" s="657"/>
      <c r="F72" s="660" t="s">
        <v>720</v>
      </c>
      <c r="G72" s="662"/>
      <c r="H72" s="965"/>
      <c r="I72" s="966" t="e">
        <f>I70/#REF!</f>
        <v>#REF!</v>
      </c>
      <c r="J72" s="965"/>
      <c r="K72" s="966" t="e">
        <f>K70/#REF!</f>
        <v>#REF!</v>
      </c>
      <c r="L72" s="965"/>
      <c r="M72" s="966" t="e">
        <f>M70/#REF!</f>
        <v>#REF!</v>
      </c>
      <c r="N72" s="965"/>
      <c r="O72" s="966" t="e">
        <f>O70/#REF!</f>
        <v>#REF!</v>
      </c>
      <c r="P72" s="965"/>
      <c r="Q72" s="966" t="e">
        <f>Q70/#REF!</f>
        <v>#REF!</v>
      </c>
      <c r="R72" s="965"/>
      <c r="S72" s="966" t="e">
        <f>S70/#REF!</f>
        <v>#REF!</v>
      </c>
    </row>
    <row r="73" spans="1:19" ht="15" thickBot="1" x14ac:dyDescent="0.4">
      <c r="A73" s="684"/>
      <c r="B73" s="655"/>
      <c r="C73" s="656"/>
      <c r="D73" s="656"/>
      <c r="E73" s="657"/>
      <c r="F73" s="658"/>
      <c r="G73" s="659"/>
      <c r="H73" s="967"/>
      <c r="I73" s="967"/>
      <c r="J73" s="967"/>
      <c r="K73" s="967"/>
      <c r="L73" s="967"/>
      <c r="M73" s="967"/>
      <c r="N73" s="967"/>
      <c r="O73" s="967"/>
      <c r="P73" s="967"/>
      <c r="Q73" s="967"/>
      <c r="R73" s="967"/>
      <c r="S73" s="967"/>
    </row>
    <row r="74" spans="1:19" ht="15.5" thickTop="1" thickBot="1" x14ac:dyDescent="0.4">
      <c r="A74" s="3764" t="s">
        <v>721</v>
      </c>
      <c r="B74" s="3765"/>
      <c r="C74" s="12"/>
      <c r="D74" s="12"/>
      <c r="E74" s="12"/>
      <c r="F74" s="12"/>
      <c r="G74" s="13"/>
      <c r="H74" s="21"/>
      <c r="I74" s="21"/>
      <c r="J74" s="21"/>
      <c r="K74" s="21"/>
      <c r="L74" s="21"/>
      <c r="M74" s="21"/>
      <c r="N74" s="21"/>
      <c r="O74" s="21"/>
      <c r="P74" s="21"/>
      <c r="Q74" s="21"/>
      <c r="R74" s="21"/>
      <c r="S74" s="21"/>
    </row>
    <row r="75" spans="1:19" ht="15" thickTop="1" x14ac:dyDescent="0.35">
      <c r="A75" s="1015"/>
      <c r="B75" s="641"/>
      <c r="C75" s="1016"/>
      <c r="D75" s="1016"/>
      <c r="E75" s="1016"/>
      <c r="F75" s="1016"/>
      <c r="G75" s="1038"/>
      <c r="H75" s="1019"/>
      <c r="I75" s="1019"/>
      <c r="J75" s="1019"/>
      <c r="K75" s="1019"/>
      <c r="L75" s="1019"/>
      <c r="M75" s="1019"/>
      <c r="N75" s="1019"/>
      <c r="O75" s="1019"/>
      <c r="P75" s="1019"/>
      <c r="Q75" s="1019"/>
      <c r="R75" s="1019"/>
      <c r="S75" s="1019"/>
    </row>
    <row r="76" spans="1:19" x14ac:dyDescent="0.35">
      <c r="A76" s="1015"/>
      <c r="B76" s="641"/>
      <c r="C76" s="1016"/>
      <c r="D76" s="1016"/>
      <c r="E76" s="1016"/>
      <c r="F76" s="1016"/>
      <c r="G76" s="1038"/>
      <c r="H76" s="1019"/>
      <c r="I76" s="1019"/>
      <c r="J76" s="1019"/>
      <c r="K76" s="1019"/>
      <c r="L76" s="1019"/>
      <c r="M76" s="1019"/>
      <c r="N76" s="1019"/>
      <c r="O76" s="1019"/>
      <c r="P76" s="1019"/>
      <c r="Q76" s="1019"/>
      <c r="R76" s="1019"/>
      <c r="S76" s="1019"/>
    </row>
    <row r="77" spans="1:19" ht="15" thickBot="1" x14ac:dyDescent="0.4">
      <c r="A77" s="1015"/>
      <c r="B77" s="641"/>
      <c r="C77" s="1016"/>
      <c r="D77" s="1016"/>
      <c r="E77" s="1016"/>
      <c r="F77" s="1016"/>
      <c r="G77" s="1038"/>
      <c r="H77" s="1019"/>
      <c r="I77" s="1019"/>
      <c r="J77" s="1019"/>
      <c r="K77" s="1019"/>
      <c r="L77" s="1019"/>
      <c r="M77" s="1019"/>
      <c r="N77" s="1019"/>
      <c r="O77" s="1019"/>
      <c r="P77" s="1019"/>
      <c r="Q77" s="1019"/>
      <c r="R77" s="1019"/>
      <c r="S77" s="1019"/>
    </row>
    <row r="78" spans="1:19" s="2" customFormat="1" ht="15.5" thickTop="1" thickBot="1" x14ac:dyDescent="0.4">
      <c r="A78" s="3764" t="s">
        <v>722</v>
      </c>
      <c r="B78" s="3765"/>
      <c r="C78" s="12"/>
      <c r="D78" s="12"/>
      <c r="E78" s="12"/>
      <c r="F78" s="12"/>
      <c r="G78" s="13"/>
      <c r="H78" s="21"/>
      <c r="I78" s="21"/>
      <c r="J78" s="21"/>
      <c r="K78" s="21"/>
      <c r="L78" s="21"/>
      <c r="M78" s="21"/>
      <c r="N78" s="21"/>
      <c r="O78" s="21"/>
      <c r="P78" s="21"/>
      <c r="Q78" s="21"/>
      <c r="R78" s="21"/>
      <c r="S78" s="21"/>
    </row>
    <row r="79" spans="1:19" s="2" customFormat="1" ht="15" thickTop="1" x14ac:dyDescent="0.35">
      <c r="A79" s="1015"/>
      <c r="B79" s="641"/>
      <c r="C79" s="1016"/>
      <c r="D79" s="1016"/>
      <c r="E79" s="1016"/>
      <c r="F79" s="1016"/>
      <c r="G79" s="1038"/>
      <c r="H79" s="1019"/>
      <c r="I79" s="1019"/>
      <c r="J79" s="1019"/>
      <c r="K79" s="1019"/>
      <c r="L79" s="1019"/>
      <c r="M79" s="1019"/>
      <c r="N79" s="1019"/>
      <c r="O79" s="1019"/>
      <c r="P79" s="1019"/>
      <c r="Q79" s="1019"/>
      <c r="R79" s="1019"/>
      <c r="S79" s="1019"/>
    </row>
    <row r="80" spans="1:19" s="2" customFormat="1" x14ac:dyDescent="0.35">
      <c r="A80" s="1015"/>
      <c r="B80" s="641"/>
      <c r="C80" s="1016"/>
      <c r="D80" s="1016"/>
      <c r="E80" s="1016"/>
      <c r="F80" s="1016"/>
      <c r="G80" s="1038"/>
      <c r="H80" s="1019"/>
      <c r="I80" s="1019"/>
      <c r="J80" s="1019"/>
      <c r="K80" s="1019"/>
      <c r="L80" s="1019"/>
      <c r="M80" s="1019"/>
      <c r="N80" s="1019"/>
      <c r="O80" s="1019"/>
      <c r="P80" s="1019"/>
      <c r="Q80" s="1019"/>
      <c r="R80" s="1019"/>
      <c r="S80" s="1019"/>
    </row>
    <row r="81" spans="1:19" ht="15" thickBot="1" x14ac:dyDescent="0.4">
      <c r="A81" s="1015"/>
      <c r="B81" s="641"/>
      <c r="C81" s="1016"/>
      <c r="D81" s="1016"/>
      <c r="E81" s="1016"/>
      <c r="F81" s="1016"/>
      <c r="G81" s="1038"/>
      <c r="H81" s="1019"/>
      <c r="I81" s="1019"/>
      <c r="J81" s="1019"/>
      <c r="K81" s="1019"/>
      <c r="L81" s="1019"/>
      <c r="M81" s="1019"/>
      <c r="N81" s="1019"/>
      <c r="O81" s="1019"/>
      <c r="P81" s="1019"/>
      <c r="Q81" s="1019"/>
      <c r="R81" s="1019"/>
      <c r="S81" s="1019"/>
    </row>
    <row r="82" spans="1:19" s="2" customFormat="1" ht="15.5" thickTop="1" thickBot="1" x14ac:dyDescent="0.4">
      <c r="A82" s="3764" t="s">
        <v>723</v>
      </c>
      <c r="B82" s="3765"/>
      <c r="C82" s="12"/>
      <c r="D82" s="12"/>
      <c r="E82" s="12"/>
      <c r="F82" s="12"/>
      <c r="G82" s="13"/>
      <c r="H82" s="21"/>
      <c r="I82" s="21"/>
      <c r="J82" s="21"/>
      <c r="K82" s="21"/>
      <c r="L82" s="21"/>
      <c r="M82" s="21"/>
      <c r="N82" s="21"/>
      <c r="O82" s="21"/>
      <c r="P82" s="21"/>
      <c r="Q82" s="21"/>
      <c r="R82" s="21"/>
      <c r="S82" s="21"/>
    </row>
    <row r="83" spans="1:19" s="2" customFormat="1" ht="15" thickTop="1" x14ac:dyDescent="0.35">
      <c r="A83" s="1015"/>
      <c r="B83" s="641"/>
      <c r="C83" s="1016"/>
      <c r="D83" s="1016"/>
      <c r="E83" s="1016"/>
      <c r="F83" s="1016"/>
      <c r="G83" s="1038"/>
      <c r="H83" s="1019"/>
      <c r="I83" s="1019"/>
      <c r="J83" s="1019"/>
      <c r="K83" s="1019"/>
      <c r="L83" s="1019"/>
      <c r="M83" s="1019"/>
      <c r="N83" s="1019"/>
      <c r="O83" s="1019"/>
      <c r="P83" s="1019"/>
      <c r="Q83" s="1019"/>
      <c r="R83" s="1019"/>
      <c r="S83" s="1019"/>
    </row>
    <row r="84" spans="1:19" s="2" customFormat="1" x14ac:dyDescent="0.35">
      <c r="A84" s="689"/>
      <c r="B84" s="641"/>
      <c r="C84" s="642"/>
      <c r="D84" s="642"/>
      <c r="E84" s="642"/>
      <c r="F84" s="642"/>
      <c r="G84" s="646"/>
      <c r="H84" s="973"/>
      <c r="I84" s="973"/>
      <c r="J84" s="973"/>
      <c r="K84" s="973"/>
      <c r="L84" s="973"/>
      <c r="M84" s="973"/>
      <c r="N84" s="973"/>
      <c r="O84" s="973"/>
      <c r="P84" s="973"/>
      <c r="Q84" s="973"/>
      <c r="R84" s="973"/>
      <c r="S84" s="973"/>
    </row>
    <row r="85" spans="1:19" s="2" customFormat="1" ht="15" thickBot="1" x14ac:dyDescent="0.4">
      <c r="A85" s="686"/>
      <c r="B85" s="665"/>
      <c r="C85" s="642"/>
      <c r="D85" s="642"/>
      <c r="E85" s="642"/>
      <c r="F85" s="642"/>
      <c r="G85" s="646"/>
      <c r="H85" s="974"/>
      <c r="I85" s="974"/>
      <c r="J85" s="974"/>
      <c r="K85" s="974"/>
      <c r="L85" s="974"/>
      <c r="M85" s="974"/>
      <c r="N85" s="974"/>
      <c r="O85" s="974"/>
      <c r="P85" s="974"/>
      <c r="Q85" s="974"/>
      <c r="R85" s="974"/>
      <c r="S85" s="974"/>
    </row>
    <row r="86" spans="1:19" s="2" customFormat="1" ht="15.5" thickTop="1" thickBot="1" x14ac:dyDescent="0.4">
      <c r="A86" s="3764" t="s">
        <v>724</v>
      </c>
      <c r="B86" s="3765"/>
      <c r="C86" s="12"/>
      <c r="D86" s="12"/>
      <c r="E86" s="12"/>
      <c r="F86" s="12"/>
      <c r="G86" s="13"/>
      <c r="H86" s="21"/>
      <c r="I86" s="21"/>
      <c r="J86" s="21"/>
      <c r="K86" s="21"/>
      <c r="L86" s="21"/>
      <c r="M86" s="21"/>
      <c r="N86" s="21"/>
      <c r="O86" s="21"/>
      <c r="P86" s="21"/>
      <c r="Q86" s="21"/>
      <c r="R86" s="21"/>
      <c r="S86" s="21"/>
    </row>
    <row r="87" spans="1:19" ht="15" thickTop="1" x14ac:dyDescent="0.35">
      <c r="A87" s="1020"/>
      <c r="B87" s="1021"/>
      <c r="C87" s="1016"/>
      <c r="D87" s="1016"/>
      <c r="E87" s="1016"/>
      <c r="F87" s="1016"/>
      <c r="G87" s="1038"/>
      <c r="H87" s="1019"/>
      <c r="I87" s="1019"/>
      <c r="J87" s="1019"/>
      <c r="K87" s="1019"/>
      <c r="L87" s="1019"/>
      <c r="M87" s="1019"/>
      <c r="N87" s="1019"/>
      <c r="O87" s="1019"/>
      <c r="P87" s="1019"/>
      <c r="Q87" s="1019"/>
      <c r="R87" s="1019"/>
      <c r="S87" s="1019"/>
    </row>
    <row r="88" spans="1:19" x14ac:dyDescent="0.35">
      <c r="A88" s="686"/>
      <c r="B88" s="665"/>
      <c r="C88" s="642"/>
      <c r="D88" s="642"/>
      <c r="E88" s="642"/>
      <c r="F88" s="642"/>
      <c r="G88" s="646"/>
      <c r="H88" s="977"/>
      <c r="I88" s="977"/>
      <c r="J88" s="977"/>
      <c r="K88" s="977"/>
      <c r="L88" s="977"/>
      <c r="M88" s="977"/>
      <c r="N88" s="977"/>
      <c r="O88" s="977"/>
      <c r="P88" s="977"/>
      <c r="Q88" s="977"/>
      <c r="R88" s="977"/>
      <c r="S88" s="977"/>
    </row>
    <row r="89" spans="1:19" ht="15" thickBot="1" x14ac:dyDescent="0.4">
      <c r="A89" s="686"/>
      <c r="B89" s="665"/>
      <c r="C89" s="642"/>
      <c r="D89" s="642"/>
      <c r="E89" s="642"/>
      <c r="F89" s="642"/>
      <c r="G89" s="646"/>
      <c r="H89" s="977"/>
      <c r="I89" s="977"/>
      <c r="J89" s="977"/>
      <c r="K89" s="977"/>
      <c r="L89" s="977"/>
      <c r="M89" s="977"/>
      <c r="N89" s="977"/>
      <c r="O89" s="977"/>
      <c r="P89" s="977"/>
      <c r="Q89" s="977"/>
      <c r="R89" s="977"/>
      <c r="S89" s="977"/>
    </row>
    <row r="90" spans="1:19" ht="15.5" thickTop="1" thickBot="1" x14ac:dyDescent="0.4">
      <c r="A90" s="3764" t="s">
        <v>725</v>
      </c>
      <c r="B90" s="3765"/>
      <c r="C90" s="12"/>
      <c r="D90" s="12"/>
      <c r="E90" s="12"/>
      <c r="F90" s="12"/>
      <c r="G90" s="13"/>
      <c r="H90" s="21"/>
      <c r="I90" s="21"/>
      <c r="J90" s="21"/>
      <c r="K90" s="21"/>
      <c r="L90" s="21"/>
      <c r="M90" s="21"/>
      <c r="N90" s="21"/>
      <c r="O90" s="21"/>
      <c r="P90" s="21"/>
      <c r="Q90" s="21"/>
      <c r="R90" s="21"/>
      <c r="S90" s="21"/>
    </row>
    <row r="91" spans="1:19" ht="15" thickTop="1" x14ac:dyDescent="0.35">
      <c r="A91" s="689"/>
      <c r="B91" s="641" t="s">
        <v>726</v>
      </c>
      <c r="C91" s="642"/>
      <c r="D91" s="642"/>
      <c r="E91" s="642"/>
      <c r="F91" s="642"/>
      <c r="G91" s="646"/>
      <c r="H91" s="977"/>
      <c r="I91" s="977"/>
      <c r="J91" s="977"/>
      <c r="K91" s="977"/>
      <c r="L91" s="977"/>
      <c r="M91" s="977"/>
      <c r="N91" s="977"/>
      <c r="O91" s="977"/>
      <c r="P91" s="977"/>
      <c r="Q91" s="977"/>
      <c r="R91" s="977"/>
      <c r="S91" s="977"/>
    </row>
    <row r="92" spans="1:19" x14ac:dyDescent="0.35">
      <c r="A92" s="689"/>
      <c r="B92" s="641" t="s">
        <v>727</v>
      </c>
      <c r="C92" s="642"/>
      <c r="D92" s="642"/>
      <c r="E92" s="642"/>
      <c r="F92" s="642"/>
      <c r="G92" s="646"/>
      <c r="H92" s="977"/>
      <c r="I92" s="977"/>
      <c r="J92" s="977"/>
      <c r="K92" s="977"/>
      <c r="L92" s="977"/>
      <c r="M92" s="977"/>
      <c r="N92" s="977"/>
      <c r="O92" s="977"/>
      <c r="P92" s="977"/>
      <c r="Q92" s="977"/>
      <c r="R92" s="977"/>
      <c r="S92" s="977"/>
    </row>
    <row r="93" spans="1:19" x14ac:dyDescent="0.35">
      <c r="A93" s="689"/>
      <c r="B93" s="641" t="s">
        <v>728</v>
      </c>
      <c r="C93" s="642"/>
      <c r="D93" s="642"/>
      <c r="E93" s="642"/>
      <c r="F93" s="642"/>
      <c r="G93" s="646"/>
      <c r="H93" s="977"/>
      <c r="I93" s="977"/>
      <c r="J93" s="977"/>
      <c r="K93" s="977"/>
      <c r="L93" s="977"/>
      <c r="M93" s="977"/>
      <c r="N93" s="977"/>
      <c r="O93" s="977"/>
      <c r="P93" s="977"/>
      <c r="Q93" s="977"/>
      <c r="R93" s="977"/>
      <c r="S93" s="977"/>
    </row>
    <row r="94" spans="1:19" x14ac:dyDescent="0.35">
      <c r="A94" s="689"/>
      <c r="B94" s="641" t="s">
        <v>729</v>
      </c>
      <c r="C94" s="642"/>
      <c r="D94" s="642"/>
      <c r="E94" s="642"/>
      <c r="F94" s="642"/>
      <c r="G94" s="646"/>
      <c r="H94" s="977"/>
      <c r="I94" s="977"/>
      <c r="J94" s="977"/>
      <c r="K94" s="977"/>
      <c r="L94" s="977"/>
      <c r="M94" s="977"/>
      <c r="N94" s="977"/>
      <c r="O94" s="977"/>
      <c r="P94" s="977"/>
      <c r="Q94" s="977"/>
      <c r="R94" s="977"/>
      <c r="S94" s="977"/>
    </row>
    <row r="95" spans="1:19" ht="15" thickBot="1" x14ac:dyDescent="0.4">
      <c r="A95" s="978"/>
      <c r="B95" s="939"/>
      <c r="C95" s="940"/>
      <c r="D95" s="940"/>
      <c r="E95" s="940"/>
      <c r="F95" s="940"/>
      <c r="G95" s="1039"/>
      <c r="H95" s="981"/>
      <c r="I95" s="981"/>
      <c r="J95" s="981"/>
      <c r="K95" s="981"/>
      <c r="L95" s="981"/>
      <c r="M95" s="981"/>
      <c r="N95" s="981"/>
      <c r="O95" s="981"/>
      <c r="P95" s="981"/>
      <c r="Q95" s="981"/>
      <c r="R95" s="981"/>
      <c r="S95" s="981"/>
    </row>
    <row r="96" spans="1:19" ht="15.5" thickTop="1" thickBot="1" x14ac:dyDescent="0.4">
      <c r="A96" s="7" t="s">
        <v>730</v>
      </c>
      <c r="B96" s="8"/>
      <c r="C96" s="12"/>
      <c r="D96" s="12"/>
      <c r="E96" s="12"/>
      <c r="F96" s="12"/>
      <c r="G96" s="13"/>
      <c r="H96" s="21"/>
      <c r="I96" s="21"/>
      <c r="J96" s="21"/>
      <c r="K96" s="21"/>
      <c r="L96" s="21"/>
      <c r="M96" s="21"/>
      <c r="N96" s="21"/>
      <c r="O96" s="21"/>
      <c r="P96" s="21"/>
      <c r="Q96" s="21"/>
      <c r="R96" s="21"/>
      <c r="S96" s="21"/>
    </row>
    <row r="97" spans="1:19" ht="15" thickTop="1" x14ac:dyDescent="0.35">
      <c r="A97" s="1015"/>
      <c r="B97" s="1022" t="s">
        <v>731</v>
      </c>
      <c r="C97" s="1016"/>
      <c r="D97" s="1016"/>
      <c r="E97" s="1016"/>
      <c r="F97" s="1016"/>
      <c r="G97" s="1038"/>
      <c r="H97" s="1023"/>
      <c r="I97" s="1023"/>
      <c r="J97" s="1023"/>
      <c r="K97" s="1023"/>
      <c r="L97" s="1023"/>
      <c r="M97" s="1023"/>
      <c r="N97" s="1023"/>
      <c r="O97" s="1023"/>
      <c r="P97" s="1023"/>
      <c r="Q97" s="1023"/>
      <c r="R97" s="1023"/>
      <c r="S97" s="1023"/>
    </row>
    <row r="98" spans="1:19" x14ac:dyDescent="0.35">
      <c r="A98" s="689"/>
      <c r="B98" s="641" t="s">
        <v>732</v>
      </c>
      <c r="C98" s="642"/>
      <c r="D98" s="642"/>
      <c r="E98" s="642"/>
      <c r="F98" s="642"/>
      <c r="G98" s="646"/>
      <c r="H98" s="984"/>
      <c r="I98" s="984"/>
      <c r="J98" s="984"/>
      <c r="K98" s="984"/>
      <c r="L98" s="984"/>
      <c r="M98" s="984"/>
      <c r="N98" s="984"/>
      <c r="O98" s="984"/>
      <c r="P98" s="984"/>
      <c r="Q98" s="984"/>
      <c r="R98" s="984"/>
      <c r="S98" s="984"/>
    </row>
    <row r="99" spans="1:19" ht="15" thickBot="1" x14ac:dyDescent="0.4">
      <c r="A99" s="985"/>
      <c r="B99" s="986" t="s">
        <v>733</v>
      </c>
      <c r="C99" s="987"/>
      <c r="D99" s="987"/>
      <c r="E99" s="987"/>
      <c r="F99" s="987"/>
      <c r="G99" s="1040"/>
      <c r="H99" s="990"/>
      <c r="I99" s="990"/>
      <c r="J99" s="990"/>
      <c r="K99" s="990"/>
      <c r="L99" s="990"/>
      <c r="M99" s="990"/>
      <c r="N99" s="990"/>
      <c r="O99" s="990"/>
      <c r="P99" s="990"/>
      <c r="Q99" s="990"/>
      <c r="R99" s="990"/>
      <c r="S99" s="990"/>
    </row>
    <row r="100" spans="1:19" ht="15.5" thickTop="1" thickBot="1" x14ac:dyDescent="0.4"/>
    <row r="101" spans="1:19" ht="15.5" thickTop="1" thickBot="1" x14ac:dyDescent="0.4">
      <c r="A101" s="78" t="s">
        <v>734</v>
      </c>
      <c r="B101" s="80"/>
    </row>
    <row r="102" spans="1:19" ht="15.5" thickTop="1" thickBot="1" x14ac:dyDescent="0.4">
      <c r="A102" s="79" t="s">
        <v>632</v>
      </c>
      <c r="B102" s="80"/>
    </row>
    <row r="103" spans="1:19" ht="15" thickTop="1" x14ac:dyDescent="0.35">
      <c r="A103" s="687" t="s">
        <v>636</v>
      </c>
      <c r="B103" s="991"/>
    </row>
    <row r="104" spans="1:19" x14ac:dyDescent="0.35">
      <c r="A104" s="992" t="s">
        <v>639</v>
      </c>
      <c r="B104" s="993"/>
    </row>
    <row r="105" spans="1:19" x14ac:dyDescent="0.35">
      <c r="A105" s="992" t="s">
        <v>642</v>
      </c>
      <c r="B105" s="994"/>
    </row>
    <row r="106" spans="1:19" ht="15" thickBot="1" x14ac:dyDescent="0.4">
      <c r="A106" s="995" t="s">
        <v>735</v>
      </c>
      <c r="B106" s="996"/>
    </row>
    <row r="107" spans="1:19" ht="15" thickTop="1" x14ac:dyDescent="0.35"/>
    <row r="108" spans="1:19" x14ac:dyDescent="0.35">
      <c r="A108" s="81"/>
      <c r="B108" s="1" t="s">
        <v>736</v>
      </c>
    </row>
    <row r="109" spans="1:19" x14ac:dyDescent="0.35">
      <c r="A109" s="82"/>
      <c r="B109" s="1" t="s">
        <v>737</v>
      </c>
    </row>
  </sheetData>
  <mergeCells count="47">
    <mergeCell ref="A74:B74"/>
    <mergeCell ref="A78:B78"/>
    <mergeCell ref="A82:B82"/>
    <mergeCell ref="A86:B86"/>
    <mergeCell ref="A90:B90"/>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3049" priority="19" operator="equal">
      <formula>"X"</formula>
    </cfRule>
    <cfRule type="cellIs" dxfId="3048" priority="20" operator="equal">
      <formula>"I"</formula>
    </cfRule>
  </conditionalFormatting>
  <conditionalFormatting sqref="H32:H65">
    <cfRule type="cellIs" dxfId="3047" priority="1" operator="equal">
      <formula>"X"</formula>
    </cfRule>
    <cfRule type="cellIs" dxfId="3046" priority="2" operator="equal">
      <formula>"I"</formula>
    </cfRule>
  </conditionalFormatting>
  <conditionalFormatting sqref="J20:J30">
    <cfRule type="cellIs" dxfId="3045" priority="21" operator="equal">
      <formula>"X"</formula>
    </cfRule>
    <cfRule type="cellIs" dxfId="3044" priority="22" operator="equal">
      <formula>"I"</formula>
    </cfRule>
  </conditionalFormatting>
  <conditionalFormatting sqref="J32:J65">
    <cfRule type="cellIs" dxfId="3043" priority="3" operator="equal">
      <formula>"X"</formula>
    </cfRule>
    <cfRule type="cellIs" dxfId="3042" priority="4" operator="equal">
      <formula>"I"</formula>
    </cfRule>
  </conditionalFormatting>
  <conditionalFormatting sqref="L20:L30">
    <cfRule type="cellIs" dxfId="3041" priority="23" operator="equal">
      <formula>"X"</formula>
    </cfRule>
    <cfRule type="cellIs" dxfId="3040" priority="24" operator="equal">
      <formula>"I"</formula>
    </cfRule>
  </conditionalFormatting>
  <conditionalFormatting sqref="L32:L65">
    <cfRule type="cellIs" dxfId="3039" priority="5" operator="equal">
      <formula>"X"</formula>
    </cfRule>
    <cfRule type="cellIs" dxfId="3038" priority="6" operator="equal">
      <formula>"I"</formula>
    </cfRule>
  </conditionalFormatting>
  <conditionalFormatting sqref="N20:N30">
    <cfRule type="cellIs" dxfId="3037" priority="25" operator="equal">
      <formula>"X"</formula>
    </cfRule>
    <cfRule type="cellIs" dxfId="3036" priority="26" operator="equal">
      <formula>"I"</formula>
    </cfRule>
  </conditionalFormatting>
  <conditionalFormatting sqref="N32:N65">
    <cfRule type="cellIs" dxfId="3035" priority="9" operator="equal">
      <formula>"X"</formula>
    </cfRule>
    <cfRule type="cellIs" dxfId="3034" priority="10" operator="equal">
      <formula>"I"</formula>
    </cfRule>
  </conditionalFormatting>
  <conditionalFormatting sqref="P20:P30">
    <cfRule type="cellIs" dxfId="3033" priority="15" operator="equal">
      <formula>"X"</formula>
    </cfRule>
    <cfRule type="cellIs" dxfId="3032" priority="16" operator="equal">
      <formula>"I"</formula>
    </cfRule>
  </conditionalFormatting>
  <conditionalFormatting sqref="P32:P65">
    <cfRule type="cellIs" dxfId="3031" priority="11" operator="equal">
      <formula>"X"</formula>
    </cfRule>
    <cfRule type="cellIs" dxfId="3030" priority="12" operator="equal">
      <formula>"I"</formula>
    </cfRule>
  </conditionalFormatting>
  <conditionalFormatting sqref="R20:R30">
    <cfRule type="cellIs" dxfId="3029" priority="17" operator="equal">
      <formula>"X"</formula>
    </cfRule>
    <cfRule type="cellIs" dxfId="3028" priority="18" operator="equal">
      <formula>"I"</formula>
    </cfRule>
  </conditionalFormatting>
  <conditionalFormatting sqref="R32:R65">
    <cfRule type="cellIs" dxfId="3027" priority="13" operator="equal">
      <formula>"X"</formula>
    </cfRule>
    <cfRule type="cellIs" dxfId="3026" priority="14" operator="equal">
      <formula>"I"</formula>
    </cfRule>
  </conditionalFormatting>
  <hyperlinks>
    <hyperlink ref="B3" location="'Cost Summary'!A1" display="BACK TO SUMMARY SHEET" xr:uid="{4DB11358-25C2-4BDD-9145-51BDBF04DFA6}"/>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B5E5-B34C-468F-B0B0-9DE911AA3C30}">
  <sheetPr>
    <tabColor rgb="FF92D050"/>
  </sheetPr>
  <dimension ref="A1:S109"/>
  <sheetViews>
    <sheetView zoomScale="89" zoomScaleNormal="89" workbookViewId="0">
      <pane xSplit="2" ySplit="9" topLeftCell="C34" activePane="bottomRight" state="frozen"/>
      <selection pane="topRight" activeCell="C1" sqref="C1"/>
      <selection pane="bottomLeft" activeCell="A12" sqref="A12"/>
      <selection pane="bottomRight" activeCell="B44" sqref="B44"/>
    </sheetView>
  </sheetViews>
  <sheetFormatPr defaultRowHeight="14.5" x14ac:dyDescent="0.35"/>
  <cols>
    <col min="1" max="1" width="16.7265625" bestFit="1" customWidth="1"/>
    <col min="2" max="2" width="70.7265625" style="1" customWidth="1"/>
    <col min="3" max="3" width="10.81640625" style="2" bestFit="1" customWidth="1"/>
    <col min="4" max="4" width="9.54296875" style="2" bestFit="1" customWidth="1"/>
    <col min="5"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x14ac:dyDescent="0.35">
      <c r="E2" s="87"/>
      <c r="F2" s="122" t="s">
        <v>622</v>
      </c>
      <c r="G2" s="123" t="s">
        <v>451</v>
      </c>
      <c r="H2" s="3751"/>
      <c r="I2" s="3751"/>
      <c r="J2" s="3751"/>
      <c r="K2" s="3751"/>
      <c r="L2" s="3751"/>
      <c r="M2" s="3751"/>
      <c r="N2" s="3751"/>
      <c r="O2" s="3751"/>
      <c r="P2" s="3751"/>
      <c r="Q2" s="3751"/>
      <c r="R2" s="3751"/>
      <c r="S2" s="3751"/>
    </row>
    <row r="3" spans="1:19" ht="19.5" x14ac:dyDescent="0.35">
      <c r="B3" s="137" t="s">
        <v>623</v>
      </c>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749</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452</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x14ac:dyDescent="0.35">
      <c r="A8" s="938" t="s">
        <v>644</v>
      </c>
      <c r="B8" s="939"/>
      <c r="C8" s="940"/>
      <c r="D8" s="940"/>
      <c r="E8" s="940"/>
      <c r="F8" s="940"/>
      <c r="G8" s="1024" t="s">
        <v>644</v>
      </c>
      <c r="H8" s="3760">
        <f>I70</f>
        <v>0</v>
      </c>
      <c r="I8" s="3761"/>
      <c r="J8" s="3760">
        <f>K70</f>
        <v>0</v>
      </c>
      <c r="K8" s="3761"/>
      <c r="L8" s="3760">
        <f>M70</f>
        <v>0</v>
      </c>
      <c r="M8" s="3761"/>
      <c r="N8" s="3760">
        <f>O70</f>
        <v>0</v>
      </c>
      <c r="O8" s="3761"/>
      <c r="P8" s="3760">
        <f>Q70</f>
        <v>0</v>
      </c>
      <c r="Q8" s="3761"/>
      <c r="R8" s="3760">
        <f>S70</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1025"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1026"/>
      <c r="B21" s="648" t="s">
        <v>750</v>
      </c>
      <c r="C21" s="647"/>
      <c r="D21" s="642"/>
      <c r="E21" s="642"/>
      <c r="F21" s="642"/>
      <c r="G21" s="646"/>
      <c r="H21" s="943"/>
      <c r="I21" s="1005"/>
      <c r="J21" s="943"/>
      <c r="K21" s="1006"/>
      <c r="L21" s="943"/>
      <c r="M21" s="1006"/>
      <c r="N21" s="943"/>
      <c r="O21" s="1006"/>
      <c r="P21" s="943"/>
      <c r="Q21" s="1006"/>
      <c r="R21" s="943"/>
      <c r="S21" s="1006"/>
    </row>
    <row r="22" spans="1:19" ht="15.5" x14ac:dyDescent="0.35">
      <c r="A22" s="1027"/>
      <c r="B22" s="602" t="s">
        <v>657</v>
      </c>
      <c r="C22" s="681"/>
      <c r="D22" s="642"/>
      <c r="E22" s="642"/>
      <c r="F22" s="642"/>
      <c r="G22" s="646"/>
      <c r="H22" s="943"/>
      <c r="I22" s="1005"/>
      <c r="J22" s="943"/>
      <c r="K22" s="83"/>
      <c r="L22" s="943"/>
      <c r="M22" s="1006"/>
      <c r="N22" s="943"/>
      <c r="O22" s="1006"/>
      <c r="P22" s="943"/>
      <c r="Q22" s="1006"/>
      <c r="R22" s="943"/>
      <c r="S22" s="1006"/>
    </row>
    <row r="23" spans="1:19" x14ac:dyDescent="0.35">
      <c r="A23" s="1026"/>
      <c r="B23" s="947" t="s">
        <v>658</v>
      </c>
      <c r="C23" s="647"/>
      <c r="D23" s="642"/>
      <c r="E23" s="642"/>
      <c r="F23" s="642"/>
      <c r="G23" s="646"/>
      <c r="H23" s="943"/>
      <c r="I23" s="1005"/>
      <c r="J23" s="943"/>
      <c r="K23" s="1006"/>
      <c r="L23" s="943"/>
      <c r="M23" s="1006"/>
      <c r="N23" s="943"/>
      <c r="O23" s="1006"/>
      <c r="P23" s="943"/>
      <c r="Q23" s="1006"/>
      <c r="R23" s="943"/>
      <c r="S23" s="1006"/>
    </row>
    <row r="24" spans="1:19" x14ac:dyDescent="0.35">
      <c r="A24" s="683"/>
      <c r="B24" s="1028" t="s">
        <v>659</v>
      </c>
      <c r="C24" s="647"/>
      <c r="D24" s="642"/>
      <c r="E24" s="642"/>
      <c r="F24" s="642"/>
      <c r="G24" s="646"/>
      <c r="H24" s="943"/>
      <c r="I24" s="1005"/>
      <c r="J24" s="943"/>
      <c r="K24" s="1006"/>
      <c r="L24" s="943"/>
      <c r="M24" s="1006"/>
      <c r="N24" s="943"/>
      <c r="O24" s="1006"/>
      <c r="P24" s="943"/>
      <c r="Q24" s="1006"/>
      <c r="R24" s="943"/>
      <c r="S24" s="1006"/>
    </row>
    <row r="25" spans="1:19" x14ac:dyDescent="0.35">
      <c r="A25" s="1026"/>
      <c r="B25" s="1029" t="s">
        <v>660</v>
      </c>
      <c r="C25" s="647"/>
      <c r="D25" s="642"/>
      <c r="E25" s="642"/>
      <c r="F25" s="642"/>
      <c r="G25" s="646"/>
      <c r="H25" s="943"/>
      <c r="I25" s="1005"/>
      <c r="J25" s="943"/>
      <c r="K25" s="1006"/>
      <c r="L25" s="943"/>
      <c r="M25" s="1006"/>
      <c r="N25" s="943"/>
      <c r="O25" s="1006"/>
      <c r="P25" s="943"/>
      <c r="Q25" s="1006"/>
      <c r="R25" s="943"/>
      <c r="S25" s="1006"/>
    </row>
    <row r="26" spans="1:19" x14ac:dyDescent="0.35">
      <c r="A26" s="683"/>
      <c r="B26" s="1029" t="s">
        <v>661</v>
      </c>
      <c r="C26" s="647"/>
      <c r="D26" s="642"/>
      <c r="E26" s="642"/>
      <c r="F26" s="642"/>
      <c r="G26" s="646"/>
      <c r="H26" s="943"/>
      <c r="I26" s="1005"/>
      <c r="J26" s="943"/>
      <c r="K26" s="1005"/>
      <c r="L26" s="943"/>
      <c r="M26" s="1005"/>
      <c r="N26" s="943"/>
      <c r="O26" s="1005"/>
      <c r="P26" s="943"/>
      <c r="Q26" s="1005"/>
      <c r="R26" s="943"/>
      <c r="S26" s="1005"/>
    </row>
    <row r="27" spans="1:19" x14ac:dyDescent="0.35">
      <c r="A27" s="1026"/>
      <c r="B27" s="1029" t="s">
        <v>662</v>
      </c>
      <c r="C27" s="647"/>
      <c r="D27" s="642"/>
      <c r="E27" s="642"/>
      <c r="F27" s="642"/>
      <c r="G27" s="646"/>
      <c r="H27" s="943"/>
      <c r="I27" s="1005"/>
      <c r="J27" s="943"/>
      <c r="K27" s="1006"/>
      <c r="L27" s="943"/>
      <c r="M27" s="1006"/>
      <c r="N27" s="943"/>
      <c r="O27" s="1006"/>
      <c r="P27" s="943"/>
      <c r="Q27" s="1006"/>
      <c r="R27" s="943"/>
      <c r="S27" s="1006"/>
    </row>
    <row r="28" spans="1:19" x14ac:dyDescent="0.35">
      <c r="A28" s="683"/>
      <c r="B28" s="1029" t="s">
        <v>663</v>
      </c>
      <c r="C28" s="647"/>
      <c r="D28" s="642"/>
      <c r="E28" s="642"/>
      <c r="F28" s="642"/>
      <c r="G28" s="646"/>
      <c r="H28" s="943"/>
      <c r="I28" s="1005"/>
      <c r="J28" s="943"/>
      <c r="K28" s="1006"/>
      <c r="L28" s="943"/>
      <c r="M28" s="1006"/>
      <c r="N28" s="943"/>
      <c r="O28" s="1006"/>
      <c r="P28" s="943"/>
      <c r="Q28" s="1006"/>
      <c r="R28" s="943"/>
      <c r="S28" s="1006"/>
    </row>
    <row r="29" spans="1:19" x14ac:dyDescent="0.35">
      <c r="A29" s="1026"/>
      <c r="B29" s="1029" t="s">
        <v>742</v>
      </c>
      <c r="C29" s="647"/>
      <c r="D29" s="642"/>
      <c r="E29" s="642"/>
      <c r="F29" s="642"/>
      <c r="G29" s="646"/>
      <c r="H29" s="943"/>
      <c r="I29" s="1030"/>
      <c r="J29" s="943"/>
      <c r="K29" s="1031"/>
      <c r="L29" s="943"/>
      <c r="M29" s="1031"/>
      <c r="N29" s="943"/>
      <c r="O29" s="1031"/>
      <c r="P29" s="943"/>
      <c r="Q29" s="1031"/>
      <c r="R29" s="943"/>
      <c r="S29" s="1031"/>
    </row>
    <row r="30" spans="1:19" x14ac:dyDescent="0.35">
      <c r="A30" s="1026"/>
      <c r="B30" s="1032" t="s">
        <v>664</v>
      </c>
      <c r="C30" s="647"/>
      <c r="D30" s="642"/>
      <c r="E30" s="642"/>
      <c r="F30" s="642"/>
      <c r="G30" s="646"/>
      <c r="H30" s="943"/>
      <c r="I30" s="1005"/>
      <c r="J30" s="943"/>
      <c r="K30" s="1006"/>
      <c r="L30" s="943"/>
      <c r="M30" s="1006"/>
      <c r="N30" s="943"/>
      <c r="O30" s="1006"/>
      <c r="P30" s="943"/>
      <c r="Q30" s="1006"/>
      <c r="R30" s="943"/>
      <c r="S30" s="1006"/>
    </row>
    <row r="31" spans="1:19" x14ac:dyDescent="0.35">
      <c r="A31" s="683"/>
      <c r="B31" s="1033" t="s">
        <v>665</v>
      </c>
      <c r="C31" s="649"/>
      <c r="D31" s="650"/>
      <c r="E31" s="650"/>
      <c r="F31" s="650"/>
      <c r="G31" s="1041">
        <f>SUM(G33:G47)</f>
        <v>898690</v>
      </c>
      <c r="H31" s="636"/>
      <c r="I31" s="1034"/>
      <c r="J31" s="636"/>
      <c r="K31" s="1035"/>
      <c r="L31" s="636"/>
      <c r="M31" s="1035"/>
      <c r="N31" s="636"/>
      <c r="O31" s="1035"/>
      <c r="P31" s="636"/>
      <c r="Q31" s="1035"/>
      <c r="R31" s="636"/>
      <c r="S31" s="1035"/>
    </row>
    <row r="32" spans="1:19" x14ac:dyDescent="0.35">
      <c r="A32" s="1026"/>
      <c r="B32" s="1036"/>
      <c r="C32" s="647"/>
      <c r="D32" s="642"/>
      <c r="E32" s="642"/>
      <c r="F32" s="642"/>
      <c r="G32" s="646"/>
      <c r="H32" s="943"/>
      <c r="I32" s="1005"/>
      <c r="J32" s="943"/>
      <c r="K32" s="1006"/>
      <c r="L32" s="943"/>
      <c r="M32" s="1006"/>
      <c r="N32" s="943"/>
      <c r="O32" s="1006"/>
      <c r="P32" s="943"/>
      <c r="Q32" s="1006"/>
      <c r="R32" s="943"/>
      <c r="S32" s="1006"/>
    </row>
    <row r="33" spans="1:19" x14ac:dyDescent="0.35">
      <c r="A33" s="683"/>
      <c r="B33" s="705" t="s">
        <v>751</v>
      </c>
      <c r="C33" s="647"/>
      <c r="D33" s="1042">
        <v>3600</v>
      </c>
      <c r="E33" s="642" t="s">
        <v>752</v>
      </c>
      <c r="F33" s="1043">
        <v>12</v>
      </c>
      <c r="G33" s="1044">
        <f>D33*F33</f>
        <v>43200</v>
      </c>
      <c r="H33" s="943"/>
      <c r="I33" s="1005"/>
      <c r="J33" s="943"/>
      <c r="K33" s="1006"/>
      <c r="L33" s="943"/>
      <c r="M33" s="1006"/>
      <c r="N33" s="943"/>
      <c r="O33" s="1006"/>
      <c r="P33" s="943"/>
      <c r="Q33" s="1006"/>
      <c r="R33" s="943"/>
      <c r="S33" s="1006"/>
    </row>
    <row r="34" spans="1:19" x14ac:dyDescent="0.35">
      <c r="A34" s="1026"/>
      <c r="B34" s="705" t="s">
        <v>753</v>
      </c>
      <c r="C34" s="647"/>
      <c r="D34" s="1042">
        <v>2</v>
      </c>
      <c r="E34" s="642" t="s">
        <v>666</v>
      </c>
      <c r="F34" s="1043">
        <v>6000</v>
      </c>
      <c r="G34" s="1044">
        <f t="shared" ref="G34:G47" si="0">D34*F34</f>
        <v>12000</v>
      </c>
      <c r="H34" s="943"/>
      <c r="I34" s="1005"/>
      <c r="J34" s="943"/>
      <c r="K34" s="1006"/>
      <c r="L34" s="943"/>
      <c r="M34" s="1006"/>
      <c r="N34" s="943"/>
      <c r="O34" s="1006"/>
      <c r="P34" s="943"/>
      <c r="Q34" s="1006"/>
      <c r="R34" s="943"/>
      <c r="S34" s="1006"/>
    </row>
    <row r="35" spans="1:19" x14ac:dyDescent="0.35">
      <c r="A35" s="683"/>
      <c r="B35" s="705" t="s">
        <v>754</v>
      </c>
      <c r="C35" s="647"/>
      <c r="D35" s="1042">
        <v>1</v>
      </c>
      <c r="E35" s="642" t="s">
        <v>755</v>
      </c>
      <c r="F35" s="1043">
        <v>10000</v>
      </c>
      <c r="G35" s="1044">
        <f t="shared" si="0"/>
        <v>10000</v>
      </c>
      <c r="H35" s="943"/>
      <c r="I35" s="1005"/>
      <c r="J35" s="943"/>
      <c r="K35" s="1006"/>
      <c r="L35" s="943"/>
      <c r="M35" s="1006"/>
      <c r="N35" s="943"/>
      <c r="O35" s="1006"/>
      <c r="P35" s="943"/>
      <c r="Q35" s="1006"/>
      <c r="R35" s="943"/>
      <c r="S35" s="1006"/>
    </row>
    <row r="36" spans="1:19" x14ac:dyDescent="0.35">
      <c r="A36" s="1026"/>
      <c r="B36" s="705" t="s">
        <v>756</v>
      </c>
      <c r="C36" s="669"/>
      <c r="D36" s="1042">
        <v>1</v>
      </c>
      <c r="E36" s="642" t="s">
        <v>755</v>
      </c>
      <c r="F36" s="1043">
        <v>8000</v>
      </c>
      <c r="G36" s="1044">
        <f t="shared" si="0"/>
        <v>8000</v>
      </c>
      <c r="H36" s="943" t="s">
        <v>671</v>
      </c>
      <c r="I36" s="1005"/>
      <c r="J36" s="943"/>
      <c r="K36" s="1006"/>
      <c r="L36" s="943"/>
      <c r="M36" s="1005"/>
      <c r="N36" s="943"/>
      <c r="O36" s="1005"/>
      <c r="P36" s="943"/>
      <c r="Q36" s="1006"/>
      <c r="R36" s="943"/>
      <c r="S36" s="1006"/>
    </row>
    <row r="37" spans="1:19" x14ac:dyDescent="0.35">
      <c r="A37" s="683"/>
      <c r="B37" s="705" t="s">
        <v>750</v>
      </c>
      <c r="C37" s="669"/>
      <c r="D37" s="1042">
        <v>412250</v>
      </c>
      <c r="E37" s="642" t="s">
        <v>28</v>
      </c>
      <c r="F37" s="1043">
        <v>0.5</v>
      </c>
      <c r="G37" s="1044">
        <f t="shared" si="0"/>
        <v>206125</v>
      </c>
      <c r="H37" s="943" t="s">
        <v>669</v>
      </c>
      <c r="I37" s="1005"/>
      <c r="J37" s="943"/>
      <c r="K37" s="1006"/>
      <c r="L37" s="943"/>
      <c r="M37" s="1006"/>
      <c r="N37" s="943"/>
      <c r="O37" s="1006"/>
      <c r="P37" s="943"/>
      <c r="Q37" s="1006"/>
      <c r="R37" s="943"/>
      <c r="S37" s="1006"/>
    </row>
    <row r="38" spans="1:19" x14ac:dyDescent="0.35">
      <c r="A38" s="1026"/>
      <c r="B38" s="705" t="s">
        <v>757</v>
      </c>
      <c r="C38" s="669"/>
      <c r="D38" s="1042">
        <v>1</v>
      </c>
      <c r="E38" s="642" t="s">
        <v>755</v>
      </c>
      <c r="F38" s="1043">
        <v>8000</v>
      </c>
      <c r="G38" s="1044">
        <f t="shared" si="0"/>
        <v>8000</v>
      </c>
      <c r="H38" s="943"/>
      <c r="I38" s="1005"/>
      <c r="J38" s="943"/>
      <c r="K38" s="1006"/>
      <c r="L38" s="943"/>
      <c r="M38" s="1006"/>
      <c r="N38" s="943"/>
      <c r="O38" s="1006"/>
      <c r="P38" s="943"/>
      <c r="Q38" s="1006"/>
      <c r="R38" s="943"/>
      <c r="S38" s="1006"/>
    </row>
    <row r="39" spans="1:19" x14ac:dyDescent="0.35">
      <c r="A39" s="683"/>
      <c r="B39" s="705" t="s">
        <v>758</v>
      </c>
      <c r="C39" s="669"/>
      <c r="D39" s="1042">
        <v>1</v>
      </c>
      <c r="E39" s="642" t="s">
        <v>755</v>
      </c>
      <c r="F39" s="1043">
        <v>15000</v>
      </c>
      <c r="G39" s="1044">
        <f t="shared" si="0"/>
        <v>15000</v>
      </c>
      <c r="H39" s="943"/>
      <c r="I39" s="1005"/>
      <c r="J39" s="943"/>
      <c r="K39" s="1006"/>
      <c r="L39" s="943"/>
      <c r="M39" s="1006"/>
      <c r="N39" s="943"/>
      <c r="O39" s="1006"/>
      <c r="P39" s="943"/>
      <c r="Q39" s="1006"/>
      <c r="R39" s="943"/>
      <c r="S39" s="1006"/>
    </row>
    <row r="40" spans="1:19" x14ac:dyDescent="0.35">
      <c r="A40" s="1026"/>
      <c r="B40" s="705" t="s">
        <v>759</v>
      </c>
      <c r="C40" s="669"/>
      <c r="D40" s="1042">
        <v>1</v>
      </c>
      <c r="E40" s="642" t="s">
        <v>755</v>
      </c>
      <c r="F40" s="1043">
        <v>10000</v>
      </c>
      <c r="G40" s="1044">
        <f t="shared" si="0"/>
        <v>10000</v>
      </c>
      <c r="H40" s="943"/>
      <c r="I40" s="1005"/>
      <c r="J40" s="943"/>
      <c r="K40" s="1006"/>
      <c r="L40" s="943"/>
      <c r="M40" s="1006"/>
      <c r="N40" s="943"/>
      <c r="O40" s="1006"/>
      <c r="P40" s="943"/>
      <c r="Q40" s="1006"/>
      <c r="R40" s="943"/>
      <c r="S40" s="1006"/>
    </row>
    <row r="41" spans="1:19" x14ac:dyDescent="0.35">
      <c r="A41" s="683"/>
      <c r="B41" s="705" t="s">
        <v>760</v>
      </c>
      <c r="C41" s="669"/>
      <c r="D41" s="1042">
        <v>16</v>
      </c>
      <c r="E41" s="642" t="s">
        <v>761</v>
      </c>
      <c r="F41" s="1043">
        <v>2500</v>
      </c>
      <c r="G41" s="1044">
        <f t="shared" si="0"/>
        <v>40000</v>
      </c>
      <c r="H41" s="943"/>
      <c r="I41" s="1005"/>
      <c r="J41" s="943"/>
      <c r="K41" s="1006"/>
      <c r="L41" s="943"/>
      <c r="M41" s="1006"/>
      <c r="N41" s="943"/>
      <c r="O41" s="1006"/>
      <c r="P41" s="943"/>
      <c r="Q41" s="1006"/>
      <c r="R41" s="943"/>
      <c r="S41" s="1006"/>
    </row>
    <row r="42" spans="1:19" ht="15.75" customHeight="1" x14ac:dyDescent="0.35">
      <c r="A42" s="1026"/>
      <c r="B42" s="705" t="s">
        <v>762</v>
      </c>
      <c r="C42" s="669"/>
      <c r="D42" s="1042">
        <v>5</v>
      </c>
      <c r="E42" s="642" t="s">
        <v>199</v>
      </c>
      <c r="F42" s="1043">
        <v>2000</v>
      </c>
      <c r="G42" s="1044">
        <f t="shared" si="0"/>
        <v>10000</v>
      </c>
      <c r="H42" s="943"/>
      <c r="I42" s="1005"/>
      <c r="J42" s="943"/>
      <c r="K42" s="1006"/>
      <c r="L42" s="943"/>
      <c r="M42" s="1006"/>
      <c r="N42" s="943"/>
      <c r="O42" s="1006"/>
      <c r="P42" s="943"/>
      <c r="Q42" s="1006"/>
      <c r="R42" s="943"/>
      <c r="S42" s="1006"/>
    </row>
    <row r="43" spans="1:19" x14ac:dyDescent="0.35">
      <c r="A43" s="683"/>
      <c r="B43" s="705" t="s">
        <v>763</v>
      </c>
      <c r="C43" s="669"/>
      <c r="D43" s="1042">
        <v>16</v>
      </c>
      <c r="E43" s="642" t="s">
        <v>761</v>
      </c>
      <c r="F43" s="1043">
        <v>12665</v>
      </c>
      <c r="G43" s="1044">
        <f t="shared" si="0"/>
        <v>202640</v>
      </c>
      <c r="H43" s="943"/>
      <c r="I43" s="1005"/>
      <c r="J43" s="943"/>
      <c r="K43" s="1006"/>
      <c r="L43" s="943"/>
      <c r="M43" s="1006"/>
      <c r="N43" s="943"/>
      <c r="O43" s="1006"/>
      <c r="P43" s="943"/>
      <c r="Q43" s="1006"/>
      <c r="R43" s="943"/>
      <c r="S43" s="1006"/>
    </row>
    <row r="44" spans="1:19" x14ac:dyDescent="0.35">
      <c r="A44" s="1026"/>
      <c r="B44" s="705" t="s">
        <v>764</v>
      </c>
      <c r="C44" s="669"/>
      <c r="D44" s="1042">
        <v>16</v>
      </c>
      <c r="E44" s="642" t="s">
        <v>761</v>
      </c>
      <c r="F44" s="1043">
        <v>4850</v>
      </c>
      <c r="G44" s="1044">
        <f t="shared" si="0"/>
        <v>77600</v>
      </c>
      <c r="H44" s="943"/>
      <c r="I44" s="1005"/>
      <c r="J44" s="943"/>
      <c r="K44" s="1006"/>
      <c r="L44" s="943"/>
      <c r="M44" s="1006"/>
      <c r="N44" s="943"/>
      <c r="O44" s="1006"/>
      <c r="P44" s="943"/>
      <c r="Q44" s="1006"/>
      <c r="R44" s="943"/>
      <c r="S44" s="1006"/>
    </row>
    <row r="45" spans="1:19" x14ac:dyDescent="0.35">
      <c r="A45" s="683"/>
      <c r="B45" s="705" t="s">
        <v>765</v>
      </c>
      <c r="C45" s="669"/>
      <c r="D45" s="1042">
        <v>412250</v>
      </c>
      <c r="E45" s="642" t="s">
        <v>755</v>
      </c>
      <c r="F45" s="1043">
        <v>0.5</v>
      </c>
      <c r="G45" s="1044">
        <f t="shared" si="0"/>
        <v>206125</v>
      </c>
      <c r="H45" s="943"/>
      <c r="I45" s="1005"/>
      <c r="J45" s="943"/>
      <c r="K45" s="1006"/>
      <c r="L45" s="943"/>
      <c r="M45" s="1006"/>
      <c r="N45" s="943"/>
      <c r="O45" s="1006"/>
      <c r="P45" s="943"/>
      <c r="Q45" s="1006"/>
      <c r="R45" s="943"/>
      <c r="S45" s="1006"/>
    </row>
    <row r="46" spans="1:19" x14ac:dyDescent="0.35">
      <c r="A46" s="1026"/>
      <c r="B46" s="705" t="s">
        <v>766</v>
      </c>
      <c r="C46" s="669"/>
      <c r="D46" s="1042">
        <v>1</v>
      </c>
      <c r="E46" s="642" t="s">
        <v>755</v>
      </c>
      <c r="F46" s="1043">
        <v>40000</v>
      </c>
      <c r="G46" s="1044">
        <f t="shared" si="0"/>
        <v>40000</v>
      </c>
      <c r="H46" s="943"/>
      <c r="I46" s="1005"/>
      <c r="J46" s="943"/>
      <c r="K46" s="1006"/>
      <c r="L46" s="943"/>
      <c r="M46" s="1006"/>
      <c r="N46" s="943"/>
      <c r="O46" s="1006"/>
      <c r="P46" s="943"/>
      <c r="Q46" s="1006"/>
      <c r="R46" s="943"/>
      <c r="S46" s="1006"/>
    </row>
    <row r="47" spans="1:19" x14ac:dyDescent="0.35">
      <c r="A47" s="683"/>
      <c r="B47" s="705" t="s">
        <v>767</v>
      </c>
      <c r="C47" s="669"/>
      <c r="D47" s="1042">
        <v>1</v>
      </c>
      <c r="E47" s="642" t="s">
        <v>755</v>
      </c>
      <c r="F47" s="1043">
        <v>10000</v>
      </c>
      <c r="G47" s="1044">
        <f t="shared" si="0"/>
        <v>10000</v>
      </c>
      <c r="H47" s="943"/>
      <c r="I47" s="1005"/>
      <c r="J47" s="943"/>
      <c r="K47" s="1006"/>
      <c r="L47" s="943"/>
      <c r="M47" s="1006"/>
      <c r="N47" s="943"/>
      <c r="O47" s="1006"/>
      <c r="P47" s="943"/>
      <c r="Q47" s="1006"/>
      <c r="R47" s="943"/>
      <c r="S47" s="1006"/>
    </row>
    <row r="48" spans="1:19" x14ac:dyDescent="0.35">
      <c r="A48" s="1026"/>
      <c r="B48" s="705"/>
      <c r="C48" s="669"/>
      <c r="D48" s="669"/>
      <c r="E48" s="642"/>
      <c r="F48" s="642"/>
      <c r="G48" s="646"/>
      <c r="H48" s="943"/>
      <c r="I48" s="1005"/>
      <c r="J48" s="943"/>
      <c r="K48" s="1006"/>
      <c r="L48" s="943"/>
      <c r="M48" s="1006"/>
      <c r="N48" s="943"/>
      <c r="O48" s="1006"/>
      <c r="P48" s="943"/>
      <c r="Q48" s="1006"/>
      <c r="R48" s="943"/>
      <c r="S48" s="1006"/>
    </row>
    <row r="49" spans="1:19" x14ac:dyDescent="0.35">
      <c r="A49" s="683"/>
      <c r="B49" s="1037"/>
      <c r="C49" s="669"/>
      <c r="D49" s="669"/>
      <c r="E49" s="642"/>
      <c r="F49" s="642"/>
      <c r="G49" s="646"/>
      <c r="H49" s="943"/>
      <c r="I49" s="1005"/>
      <c r="J49" s="943"/>
      <c r="K49" s="1006"/>
      <c r="L49" s="943"/>
      <c r="M49" s="1006"/>
      <c r="N49" s="943"/>
      <c r="O49" s="1006"/>
      <c r="P49" s="943"/>
      <c r="Q49" s="1006"/>
      <c r="R49" s="943"/>
      <c r="S49" s="1006"/>
    </row>
    <row r="50" spans="1:19" x14ac:dyDescent="0.35">
      <c r="A50" s="1026"/>
      <c r="B50" s="705"/>
      <c r="C50" s="669"/>
      <c r="D50" s="669"/>
      <c r="E50" s="642"/>
      <c r="F50" s="642"/>
      <c r="G50" s="646"/>
      <c r="H50" s="943"/>
      <c r="I50" s="1005"/>
      <c r="J50" s="943"/>
      <c r="K50" s="1006"/>
      <c r="L50" s="943"/>
      <c r="M50" s="1006"/>
      <c r="N50" s="943"/>
      <c r="O50" s="1006"/>
      <c r="P50" s="943"/>
      <c r="Q50" s="1006"/>
      <c r="R50" s="943"/>
      <c r="S50" s="1006"/>
    </row>
    <row r="51" spans="1:19" x14ac:dyDescent="0.35">
      <c r="A51" s="683"/>
      <c r="B51" s="706"/>
      <c r="C51" s="669"/>
      <c r="D51" s="669"/>
      <c r="E51" s="642"/>
      <c r="F51" s="642"/>
      <c r="G51" s="646"/>
      <c r="H51" s="943"/>
      <c r="I51" s="1005"/>
      <c r="J51" s="943"/>
      <c r="K51" s="1006"/>
      <c r="L51" s="943"/>
      <c r="M51" s="1006"/>
      <c r="N51" s="943"/>
      <c r="O51" s="1006"/>
      <c r="P51" s="943"/>
      <c r="Q51" s="1006"/>
      <c r="R51" s="943"/>
      <c r="S51" s="1006"/>
    </row>
    <row r="52" spans="1:19" x14ac:dyDescent="0.35">
      <c r="A52" s="1026"/>
      <c r="B52" s="706"/>
      <c r="C52" s="669"/>
      <c r="D52" s="669"/>
      <c r="E52" s="642"/>
      <c r="F52" s="642"/>
      <c r="G52" s="646"/>
      <c r="H52" s="943"/>
      <c r="I52" s="1005"/>
      <c r="J52" s="943"/>
      <c r="K52" s="1006"/>
      <c r="L52" s="943"/>
      <c r="M52" s="1006"/>
      <c r="N52" s="943"/>
      <c r="O52" s="1006"/>
      <c r="P52" s="943"/>
      <c r="Q52" s="1006"/>
      <c r="R52" s="943"/>
      <c r="S52" s="1006"/>
    </row>
    <row r="53" spans="1:19" x14ac:dyDescent="0.35">
      <c r="A53" s="683"/>
      <c r="B53" s="706"/>
      <c r="C53" s="647"/>
      <c r="D53" s="642"/>
      <c r="E53" s="642"/>
      <c r="F53" s="642"/>
      <c r="G53" s="646"/>
      <c r="H53" s="943"/>
      <c r="I53" s="1005"/>
      <c r="J53" s="943"/>
      <c r="K53" s="1006"/>
      <c r="L53" s="943"/>
      <c r="M53" s="1006"/>
      <c r="N53" s="943"/>
      <c r="O53" s="1006"/>
      <c r="P53" s="943"/>
      <c r="Q53" s="1006"/>
      <c r="R53" s="943"/>
      <c r="S53" s="1006"/>
    </row>
    <row r="54" spans="1:19" x14ac:dyDescent="0.35">
      <c r="A54" s="1026"/>
      <c r="B54" s="706"/>
      <c r="C54" s="647"/>
      <c r="D54" s="642"/>
      <c r="E54" s="642"/>
      <c r="F54" s="642"/>
      <c r="G54" s="646"/>
      <c r="H54" s="943"/>
      <c r="I54" s="1005"/>
      <c r="J54" s="943"/>
      <c r="K54" s="1006"/>
      <c r="L54" s="943"/>
      <c r="M54" s="1006"/>
      <c r="N54" s="943"/>
      <c r="O54" s="1006"/>
      <c r="P54" s="943"/>
      <c r="Q54" s="1006"/>
      <c r="R54" s="943"/>
      <c r="S54" s="1006"/>
    </row>
    <row r="55" spans="1:19" x14ac:dyDescent="0.35">
      <c r="A55" s="683"/>
      <c r="B55" s="706"/>
      <c r="C55" s="647"/>
      <c r="D55" s="642"/>
      <c r="E55" s="642"/>
      <c r="F55" s="642"/>
      <c r="G55" s="646"/>
      <c r="H55" s="943"/>
      <c r="I55" s="1005"/>
      <c r="J55" s="943"/>
      <c r="K55" s="1006"/>
      <c r="L55" s="943"/>
      <c r="M55" s="1006"/>
      <c r="N55" s="943"/>
      <c r="O55" s="1006"/>
      <c r="P55" s="943"/>
      <c r="Q55" s="1005"/>
      <c r="R55" s="943"/>
      <c r="S55" s="1005"/>
    </row>
    <row r="56" spans="1:19" x14ac:dyDescent="0.35">
      <c r="A56" s="1026"/>
      <c r="B56" s="706"/>
      <c r="C56" s="647"/>
      <c r="D56" s="642"/>
      <c r="E56" s="642"/>
      <c r="F56" s="642"/>
      <c r="G56" s="646"/>
      <c r="H56" s="943"/>
      <c r="I56" s="1005"/>
      <c r="J56" s="943"/>
      <c r="K56" s="1006"/>
      <c r="L56" s="943"/>
      <c r="M56" s="1006"/>
      <c r="N56" s="943"/>
      <c r="O56" s="1006"/>
      <c r="P56" s="943"/>
      <c r="Q56" s="1006"/>
      <c r="R56" s="943"/>
      <c r="S56" s="1006"/>
    </row>
    <row r="57" spans="1:19" x14ac:dyDescent="0.35">
      <c r="A57" s="683"/>
      <c r="B57" s="706"/>
      <c r="C57" s="647"/>
      <c r="D57" s="642"/>
      <c r="E57" s="642"/>
      <c r="F57" s="642"/>
      <c r="G57" s="646"/>
      <c r="H57" s="943"/>
      <c r="I57" s="1005"/>
      <c r="J57" s="943"/>
      <c r="K57" s="1006"/>
      <c r="L57" s="943"/>
      <c r="M57" s="1006"/>
      <c r="N57" s="943"/>
      <c r="O57" s="1006"/>
      <c r="P57" s="943"/>
      <c r="Q57" s="1006"/>
      <c r="R57" s="943"/>
      <c r="S57" s="1006"/>
    </row>
    <row r="58" spans="1:19" x14ac:dyDescent="0.35">
      <c r="A58" s="1026"/>
      <c r="B58" s="1037"/>
      <c r="C58" s="647"/>
      <c r="D58" s="642"/>
      <c r="E58" s="642"/>
      <c r="F58" s="642"/>
      <c r="G58" s="646"/>
      <c r="H58" s="943"/>
      <c r="I58" s="1005"/>
      <c r="J58" s="943"/>
      <c r="K58" s="1006"/>
      <c r="L58" s="943"/>
      <c r="M58" s="1006"/>
      <c r="N58" s="943"/>
      <c r="O58" s="1006"/>
      <c r="P58" s="943"/>
      <c r="Q58" s="1006"/>
      <c r="R58" s="943"/>
      <c r="S58" s="1006"/>
    </row>
    <row r="59" spans="1:19" x14ac:dyDescent="0.35">
      <c r="A59" s="683"/>
      <c r="B59" s="706"/>
      <c r="C59" s="647"/>
      <c r="D59" s="642"/>
      <c r="E59" s="642"/>
      <c r="F59" s="642"/>
      <c r="G59" s="646"/>
      <c r="H59" s="943"/>
      <c r="I59" s="1005"/>
      <c r="J59" s="943"/>
      <c r="K59" s="1006"/>
      <c r="L59" s="943"/>
      <c r="M59" s="1006"/>
      <c r="N59" s="943"/>
      <c r="O59" s="1006"/>
      <c r="P59" s="943"/>
      <c r="Q59" s="1006"/>
      <c r="R59" s="943"/>
      <c r="S59" s="1006"/>
    </row>
    <row r="60" spans="1:19" x14ac:dyDescent="0.35">
      <c r="A60" s="1026"/>
      <c r="B60" s="706"/>
      <c r="C60" s="647"/>
      <c r="D60" s="642"/>
      <c r="E60" s="642"/>
      <c r="F60" s="642"/>
      <c r="G60" s="646"/>
      <c r="H60" s="943"/>
      <c r="I60" s="1005"/>
      <c r="J60" s="943"/>
      <c r="K60" s="1006"/>
      <c r="L60" s="943"/>
      <c r="M60" s="1006"/>
      <c r="N60" s="943"/>
      <c r="O60" s="1006"/>
      <c r="P60" s="943"/>
      <c r="Q60" s="1006"/>
      <c r="R60" s="943"/>
      <c r="S60" s="1006"/>
    </row>
    <row r="61" spans="1:19" x14ac:dyDescent="0.35">
      <c r="A61" s="683"/>
      <c r="B61" s="706"/>
      <c r="C61" s="647"/>
      <c r="D61" s="642"/>
      <c r="E61" s="642"/>
      <c r="F61" s="642"/>
      <c r="G61" s="646"/>
      <c r="H61" s="943"/>
      <c r="I61" s="1005"/>
      <c r="J61" s="943"/>
      <c r="K61" s="1006"/>
      <c r="L61" s="943"/>
      <c r="M61" s="1006"/>
      <c r="N61" s="943"/>
      <c r="O61" s="1006"/>
      <c r="P61" s="943"/>
      <c r="Q61" s="1006"/>
      <c r="R61" s="943"/>
      <c r="S61" s="1006"/>
    </row>
    <row r="62" spans="1:19" x14ac:dyDescent="0.35">
      <c r="A62" s="1026"/>
      <c r="B62" s="706"/>
      <c r="C62" s="647"/>
      <c r="D62" s="642"/>
      <c r="E62" s="642"/>
      <c r="F62" s="642"/>
      <c r="G62" s="646"/>
      <c r="H62" s="943"/>
      <c r="I62" s="1005"/>
      <c r="J62" s="943"/>
      <c r="K62" s="1006"/>
      <c r="L62" s="943"/>
      <c r="M62" s="1006"/>
      <c r="N62" s="943"/>
      <c r="O62" s="1006"/>
      <c r="P62" s="943"/>
      <c r="Q62" s="1006"/>
      <c r="R62" s="943"/>
      <c r="S62" s="1006"/>
    </row>
    <row r="63" spans="1:19" x14ac:dyDescent="0.35">
      <c r="A63" s="683"/>
      <c r="B63" s="706"/>
      <c r="C63" s="647"/>
      <c r="D63" s="642"/>
      <c r="E63" s="642"/>
      <c r="F63" s="642"/>
      <c r="G63" s="646"/>
      <c r="H63" s="943"/>
      <c r="I63" s="1005"/>
      <c r="J63" s="943"/>
      <c r="K63" s="1006"/>
      <c r="L63" s="943"/>
      <c r="M63" s="1006"/>
      <c r="N63" s="943"/>
      <c r="O63" s="1006"/>
      <c r="P63" s="943"/>
      <c r="Q63" s="1006"/>
      <c r="R63" s="943"/>
      <c r="S63" s="1006"/>
    </row>
    <row r="64" spans="1:19" x14ac:dyDescent="0.35">
      <c r="A64" s="1026"/>
      <c r="B64" s="121"/>
      <c r="C64" s="647"/>
      <c r="D64" s="642"/>
      <c r="E64" s="642"/>
      <c r="F64" s="642"/>
      <c r="G64" s="646"/>
      <c r="H64" s="943"/>
      <c r="I64" s="1005"/>
      <c r="J64" s="943"/>
      <c r="K64" s="1006"/>
      <c r="L64" s="943"/>
      <c r="M64" s="1006"/>
      <c r="N64" s="943"/>
      <c r="O64" s="1006"/>
      <c r="P64" s="943"/>
      <c r="Q64" s="1006"/>
      <c r="R64" s="943"/>
      <c r="S64" s="1006"/>
    </row>
    <row r="65" spans="1:19" x14ac:dyDescent="0.35">
      <c r="A65" s="683"/>
      <c r="B65" s="705"/>
      <c r="C65" s="647"/>
      <c r="D65" s="642"/>
      <c r="E65" s="642"/>
      <c r="F65" s="642"/>
      <c r="G65" s="646"/>
      <c r="H65" s="943"/>
      <c r="I65" s="1005"/>
      <c r="J65" s="943"/>
      <c r="K65" s="1006"/>
      <c r="L65" s="943"/>
      <c r="M65" s="1006"/>
      <c r="N65" s="943"/>
      <c r="O65" s="1006"/>
      <c r="P65" s="943"/>
      <c r="Q65" s="1006"/>
      <c r="R65" s="943"/>
      <c r="S65" s="1006"/>
    </row>
    <row r="66" spans="1:19" x14ac:dyDescent="0.35">
      <c r="A66" s="14"/>
      <c r="B66" s="15"/>
      <c r="C66" s="16"/>
      <c r="D66" s="16"/>
      <c r="E66" s="17"/>
      <c r="F66" s="18" t="s">
        <v>715</v>
      </c>
      <c r="G66" s="19"/>
      <c r="H66" s="20"/>
      <c r="I66" s="50">
        <f>SUM(I22:I65)</f>
        <v>0</v>
      </c>
      <c r="J66" s="20"/>
      <c r="K66" s="50">
        <f>SUM(K22:K65)</f>
        <v>0</v>
      </c>
      <c r="L66" s="20"/>
      <c r="M66" s="50">
        <f>SUM(M22:M65)</f>
        <v>0</v>
      </c>
      <c r="N66" s="20"/>
      <c r="O66" s="50">
        <f>SUM(O22:O65)</f>
        <v>0</v>
      </c>
      <c r="P66" s="20"/>
      <c r="Q66" s="50">
        <f>SUM(Q22:Q65)</f>
        <v>0</v>
      </c>
      <c r="R66" s="20"/>
      <c r="S66" s="50">
        <f>SUM(S22:S65)</f>
        <v>0</v>
      </c>
    </row>
    <row r="67" spans="1:19" x14ac:dyDescent="0.35">
      <c r="A67" s="684"/>
      <c r="B67" s="655"/>
      <c r="C67" s="656"/>
      <c r="D67" s="656"/>
      <c r="E67" s="657"/>
      <c r="F67" s="658" t="s">
        <v>716</v>
      </c>
      <c r="G67" s="659"/>
      <c r="H67" s="959">
        <v>0</v>
      </c>
      <c r="I67" s="960"/>
      <c r="J67" s="959">
        <v>0</v>
      </c>
      <c r="K67" s="960"/>
      <c r="L67" s="959">
        <v>0</v>
      </c>
      <c r="M67" s="960"/>
      <c r="N67" s="959">
        <v>0</v>
      </c>
      <c r="O67" s="960"/>
      <c r="P67" s="959">
        <v>0</v>
      </c>
      <c r="Q67" s="960"/>
      <c r="R67" s="959">
        <v>0</v>
      </c>
      <c r="S67" s="960"/>
    </row>
    <row r="68" spans="1:19" x14ac:dyDescent="0.35">
      <c r="A68" s="684"/>
      <c r="B68" s="655"/>
      <c r="C68" s="656"/>
      <c r="D68" s="656"/>
      <c r="E68" s="657"/>
      <c r="F68" s="658" t="s">
        <v>717</v>
      </c>
      <c r="G68" s="659"/>
      <c r="H68" s="961"/>
      <c r="I68" s="962">
        <f>H67*I66</f>
        <v>0</v>
      </c>
      <c r="J68" s="961"/>
      <c r="K68" s="962">
        <f>J67*K66</f>
        <v>0</v>
      </c>
      <c r="L68" s="961"/>
      <c r="M68" s="962">
        <f>L67*M66</f>
        <v>0</v>
      </c>
      <c r="N68" s="961"/>
      <c r="O68" s="962">
        <f>N67*O66</f>
        <v>0</v>
      </c>
      <c r="P68" s="961"/>
      <c r="Q68" s="962">
        <f>P67*Q66</f>
        <v>0</v>
      </c>
      <c r="R68" s="961"/>
      <c r="S68" s="962">
        <f>R67*S66</f>
        <v>0</v>
      </c>
    </row>
    <row r="69" spans="1:19" x14ac:dyDescent="0.35">
      <c r="A69" s="684"/>
      <c r="B69" s="655"/>
      <c r="C69" s="656"/>
      <c r="D69" s="656"/>
      <c r="E69" s="657"/>
      <c r="F69" s="658"/>
      <c r="G69" s="659"/>
      <c r="H69" s="961"/>
      <c r="I69" s="963"/>
      <c r="J69" s="961"/>
      <c r="K69" s="963"/>
      <c r="L69" s="961"/>
      <c r="M69" s="963"/>
      <c r="N69" s="961"/>
      <c r="O69" s="963"/>
      <c r="P69" s="961"/>
      <c r="Q69" s="963"/>
      <c r="R69" s="961"/>
      <c r="S69" s="963"/>
    </row>
    <row r="70" spans="1:19" x14ac:dyDescent="0.35">
      <c r="A70" s="684"/>
      <c r="B70" s="655"/>
      <c r="C70" s="656"/>
      <c r="D70" s="656"/>
      <c r="E70" s="657"/>
      <c r="F70" s="658" t="s">
        <v>718</v>
      </c>
      <c r="G70" s="659"/>
      <c r="H70" s="964"/>
      <c r="I70" s="962">
        <f>SUM(I66:I68)</f>
        <v>0</v>
      </c>
      <c r="J70" s="964"/>
      <c r="K70" s="962">
        <f>SUM(K66:K68)</f>
        <v>0</v>
      </c>
      <c r="L70" s="964"/>
      <c r="M70" s="962">
        <f>SUM(M66:M68)</f>
        <v>0</v>
      </c>
      <c r="N70" s="964"/>
      <c r="O70" s="962">
        <f>SUM(O66:O68)</f>
        <v>0</v>
      </c>
      <c r="P70" s="964"/>
      <c r="Q70" s="962">
        <f>SUM(Q66:Q68)</f>
        <v>0</v>
      </c>
      <c r="R70" s="964"/>
      <c r="S70" s="962">
        <f>SUM(S66:S68)</f>
        <v>0</v>
      </c>
    </row>
    <row r="71" spans="1:19" x14ac:dyDescent="0.35">
      <c r="A71" s="684"/>
      <c r="B71" s="655"/>
      <c r="C71" s="656"/>
      <c r="D71" s="656"/>
      <c r="E71" s="657"/>
      <c r="F71" s="660" t="s">
        <v>719</v>
      </c>
      <c r="G71" s="661"/>
      <c r="H71" s="965"/>
      <c r="I71" s="966" t="e">
        <f>I70/#REF!</f>
        <v>#REF!</v>
      </c>
      <c r="J71" s="965"/>
      <c r="K71" s="966" t="e">
        <f>K70/#REF!</f>
        <v>#REF!</v>
      </c>
      <c r="L71" s="965"/>
      <c r="M71" s="966" t="e">
        <f>M70/#REF!</f>
        <v>#REF!</v>
      </c>
      <c r="N71" s="965"/>
      <c r="O71" s="966" t="e">
        <f>O70/#REF!</f>
        <v>#REF!</v>
      </c>
      <c r="P71" s="965"/>
      <c r="Q71" s="966" t="e">
        <f>Q70/#REF!</f>
        <v>#REF!</v>
      </c>
      <c r="R71" s="965"/>
      <c r="S71" s="966" t="e">
        <f>S70/#REF!</f>
        <v>#REF!</v>
      </c>
    </row>
    <row r="72" spans="1:19" x14ac:dyDescent="0.35">
      <c r="A72" s="684"/>
      <c r="B72" s="655"/>
      <c r="C72" s="656"/>
      <c r="D72" s="656"/>
      <c r="E72" s="657"/>
      <c r="F72" s="660" t="s">
        <v>720</v>
      </c>
      <c r="G72" s="662"/>
      <c r="H72" s="965"/>
      <c r="I72" s="966" t="e">
        <f>I70/#REF!</f>
        <v>#REF!</v>
      </c>
      <c r="J72" s="965"/>
      <c r="K72" s="966" t="e">
        <f>K70/#REF!</f>
        <v>#REF!</v>
      </c>
      <c r="L72" s="965"/>
      <c r="M72" s="966" t="e">
        <f>M70/#REF!</f>
        <v>#REF!</v>
      </c>
      <c r="N72" s="965"/>
      <c r="O72" s="966" t="e">
        <f>O70/#REF!</f>
        <v>#REF!</v>
      </c>
      <c r="P72" s="965"/>
      <c r="Q72" s="966" t="e">
        <f>Q70/#REF!</f>
        <v>#REF!</v>
      </c>
      <c r="R72" s="965"/>
      <c r="S72" s="966" t="e">
        <f>S70/#REF!</f>
        <v>#REF!</v>
      </c>
    </row>
    <row r="73" spans="1:19" x14ac:dyDescent="0.35">
      <c r="A73" s="684"/>
      <c r="B73" s="655"/>
      <c r="C73" s="656"/>
      <c r="D73" s="656"/>
      <c r="E73" s="657"/>
      <c r="F73" s="658"/>
      <c r="G73" s="659"/>
      <c r="H73" s="967"/>
      <c r="I73" s="967"/>
      <c r="J73" s="967"/>
      <c r="K73" s="967"/>
      <c r="L73" s="967"/>
      <c r="M73" s="967"/>
      <c r="N73" s="967"/>
      <c r="O73" s="967"/>
      <c r="P73" s="967"/>
      <c r="Q73" s="967"/>
      <c r="R73" s="967"/>
      <c r="S73" s="967"/>
    </row>
    <row r="74" spans="1:19" x14ac:dyDescent="0.35">
      <c r="A74" s="3764" t="s">
        <v>721</v>
      </c>
      <c r="B74" s="3765"/>
      <c r="C74" s="12"/>
      <c r="D74" s="12"/>
      <c r="E74" s="12"/>
      <c r="F74" s="12"/>
      <c r="G74" s="13"/>
      <c r="H74" s="21"/>
      <c r="I74" s="21"/>
      <c r="J74" s="21"/>
      <c r="K74" s="21"/>
      <c r="L74" s="21"/>
      <c r="M74" s="21"/>
      <c r="N74" s="21"/>
      <c r="O74" s="21"/>
      <c r="P74" s="21"/>
      <c r="Q74" s="21"/>
      <c r="R74" s="21"/>
      <c r="S74" s="21"/>
    </row>
    <row r="75" spans="1:19" x14ac:dyDescent="0.35">
      <c r="A75" s="1015"/>
      <c r="B75" s="641"/>
      <c r="C75" s="1016"/>
      <c r="D75" s="1016"/>
      <c r="E75" s="1016"/>
      <c r="F75" s="1016"/>
      <c r="G75" s="1038"/>
      <c r="H75" s="1019"/>
      <c r="I75" s="1019"/>
      <c r="J75" s="1019"/>
      <c r="K75" s="1019"/>
      <c r="L75" s="1019"/>
      <c r="M75" s="1019"/>
      <c r="N75" s="1019"/>
      <c r="O75" s="1019"/>
      <c r="P75" s="1019"/>
      <c r="Q75" s="1019"/>
      <c r="R75" s="1019"/>
      <c r="S75" s="1019"/>
    </row>
    <row r="76" spans="1:19" x14ac:dyDescent="0.35">
      <c r="A76" s="1015"/>
      <c r="B76" s="641"/>
      <c r="C76" s="1016"/>
      <c r="D76" s="1016"/>
      <c r="E76" s="1016"/>
      <c r="F76" s="1016"/>
      <c r="G76" s="1038"/>
      <c r="H76" s="1019"/>
      <c r="I76" s="1019"/>
      <c r="J76" s="1019"/>
      <c r="K76" s="1019"/>
      <c r="L76" s="1019"/>
      <c r="M76" s="1019"/>
      <c r="N76" s="1019"/>
      <c r="O76" s="1019"/>
      <c r="P76" s="1019"/>
      <c r="Q76" s="1019"/>
      <c r="R76" s="1019"/>
      <c r="S76" s="1019"/>
    </row>
    <row r="77" spans="1:19" x14ac:dyDescent="0.35">
      <c r="A77" s="1015"/>
      <c r="B77" s="641"/>
      <c r="C77" s="1016"/>
      <c r="D77" s="1016"/>
      <c r="E77" s="1016"/>
      <c r="F77" s="1016"/>
      <c r="G77" s="1038"/>
      <c r="H77" s="1019"/>
      <c r="I77" s="1019"/>
      <c r="J77" s="1019"/>
      <c r="K77" s="1019"/>
      <c r="L77" s="1019"/>
      <c r="M77" s="1019"/>
      <c r="N77" s="1019"/>
      <c r="O77" s="1019"/>
      <c r="P77" s="1019"/>
      <c r="Q77" s="1019"/>
      <c r="R77" s="1019"/>
      <c r="S77" s="1019"/>
    </row>
    <row r="78" spans="1:19" s="2" customFormat="1" x14ac:dyDescent="0.35">
      <c r="A78" s="3764" t="s">
        <v>722</v>
      </c>
      <c r="B78" s="3765"/>
      <c r="C78" s="12"/>
      <c r="D78" s="12"/>
      <c r="E78" s="12"/>
      <c r="F78" s="12"/>
      <c r="G78" s="13"/>
      <c r="H78" s="21"/>
      <c r="I78" s="21"/>
      <c r="J78" s="21"/>
      <c r="K78" s="21"/>
      <c r="L78" s="21"/>
      <c r="M78" s="21"/>
      <c r="N78" s="21"/>
      <c r="O78" s="21"/>
      <c r="P78" s="21"/>
      <c r="Q78" s="21"/>
      <c r="R78" s="21"/>
      <c r="S78" s="21"/>
    </row>
    <row r="79" spans="1:19" s="2" customFormat="1" x14ac:dyDescent="0.35">
      <c r="A79" s="1015"/>
      <c r="B79" s="641"/>
      <c r="C79" s="1016"/>
      <c r="D79" s="1016"/>
      <c r="E79" s="1016"/>
      <c r="F79" s="1016"/>
      <c r="G79" s="1038"/>
      <c r="H79" s="1019"/>
      <c r="I79" s="1019"/>
      <c r="J79" s="1019"/>
      <c r="K79" s="1019"/>
      <c r="L79" s="1019"/>
      <c r="M79" s="1019"/>
      <c r="N79" s="1019"/>
      <c r="O79" s="1019"/>
      <c r="P79" s="1019"/>
      <c r="Q79" s="1019"/>
      <c r="R79" s="1019"/>
      <c r="S79" s="1019"/>
    </row>
    <row r="80" spans="1:19" s="2" customFormat="1" x14ac:dyDescent="0.35">
      <c r="A80" s="1015"/>
      <c r="B80" s="641"/>
      <c r="C80" s="1016"/>
      <c r="D80" s="1016"/>
      <c r="E80" s="1016"/>
      <c r="F80" s="1016"/>
      <c r="G80" s="1038"/>
      <c r="H80" s="1019"/>
      <c r="I80" s="1019"/>
      <c r="J80" s="1019"/>
      <c r="K80" s="1019"/>
      <c r="L80" s="1019"/>
      <c r="M80" s="1019"/>
      <c r="N80" s="1019"/>
      <c r="O80" s="1019"/>
      <c r="P80" s="1019"/>
      <c r="Q80" s="1019"/>
      <c r="R80" s="1019"/>
      <c r="S80" s="1019"/>
    </row>
    <row r="81" spans="1:19" x14ac:dyDescent="0.35">
      <c r="A81" s="1015"/>
      <c r="B81" s="641"/>
      <c r="C81" s="1016"/>
      <c r="D81" s="1016"/>
      <c r="E81" s="1016"/>
      <c r="F81" s="1016"/>
      <c r="G81" s="1038"/>
      <c r="H81" s="1019"/>
      <c r="I81" s="1019"/>
      <c r="J81" s="1019"/>
      <c r="K81" s="1019"/>
      <c r="L81" s="1019"/>
      <c r="M81" s="1019"/>
      <c r="N81" s="1019"/>
      <c r="O81" s="1019"/>
      <c r="P81" s="1019"/>
      <c r="Q81" s="1019"/>
      <c r="R81" s="1019"/>
      <c r="S81" s="1019"/>
    </row>
    <row r="82" spans="1:19" s="2" customFormat="1" x14ac:dyDescent="0.35">
      <c r="A82" s="3764" t="s">
        <v>723</v>
      </c>
      <c r="B82" s="3765"/>
      <c r="C82" s="12"/>
      <c r="D82" s="12"/>
      <c r="E82" s="12"/>
      <c r="F82" s="12"/>
      <c r="G82" s="13"/>
      <c r="H82" s="21"/>
      <c r="I82" s="21"/>
      <c r="J82" s="21"/>
      <c r="K82" s="21"/>
      <c r="L82" s="21"/>
      <c r="M82" s="21"/>
      <c r="N82" s="21"/>
      <c r="O82" s="21"/>
      <c r="P82" s="21"/>
      <c r="Q82" s="21"/>
      <c r="R82" s="21"/>
      <c r="S82" s="21"/>
    </row>
    <row r="83" spans="1:19" s="2" customFormat="1" x14ac:dyDescent="0.35">
      <c r="A83" s="1015"/>
      <c r="B83" s="641"/>
      <c r="C83" s="1016"/>
      <c r="D83" s="1016"/>
      <c r="E83" s="1016"/>
      <c r="F83" s="1016"/>
      <c r="G83" s="1038"/>
      <c r="H83" s="1019"/>
      <c r="I83" s="1019"/>
      <c r="J83" s="1019"/>
      <c r="K83" s="1019"/>
      <c r="L83" s="1019"/>
      <c r="M83" s="1019"/>
      <c r="N83" s="1019"/>
      <c r="O83" s="1019"/>
      <c r="P83" s="1019"/>
      <c r="Q83" s="1019"/>
      <c r="R83" s="1019"/>
      <c r="S83" s="1019"/>
    </row>
    <row r="84" spans="1:19" s="2" customFormat="1" x14ac:dyDescent="0.35">
      <c r="A84" s="689"/>
      <c r="B84" s="641"/>
      <c r="C84" s="642"/>
      <c r="D84" s="642"/>
      <c r="E84" s="642"/>
      <c r="F84" s="642"/>
      <c r="G84" s="646"/>
      <c r="H84" s="973"/>
      <c r="I84" s="973"/>
      <c r="J84" s="973"/>
      <c r="K84" s="973"/>
      <c r="L84" s="973"/>
      <c r="M84" s="973"/>
      <c r="N84" s="973"/>
      <c r="O84" s="973"/>
      <c r="P84" s="973"/>
      <c r="Q84" s="973"/>
      <c r="R84" s="973"/>
      <c r="S84" s="973"/>
    </row>
    <row r="85" spans="1:19" s="2" customFormat="1" x14ac:dyDescent="0.35">
      <c r="A85" s="686"/>
      <c r="B85" s="665"/>
      <c r="C85" s="642"/>
      <c r="D85" s="642"/>
      <c r="E85" s="642"/>
      <c r="F85" s="642"/>
      <c r="G85" s="646"/>
      <c r="H85" s="974"/>
      <c r="I85" s="974"/>
      <c r="J85" s="974"/>
      <c r="K85" s="974"/>
      <c r="L85" s="974"/>
      <c r="M85" s="974"/>
      <c r="N85" s="974"/>
      <c r="O85" s="974"/>
      <c r="P85" s="974"/>
      <c r="Q85" s="974"/>
      <c r="R85" s="974"/>
      <c r="S85" s="974"/>
    </row>
    <row r="86" spans="1:19" s="2" customFormat="1" x14ac:dyDescent="0.35">
      <c r="A86" s="3764" t="s">
        <v>724</v>
      </c>
      <c r="B86" s="3765"/>
      <c r="C86" s="12"/>
      <c r="D86" s="12"/>
      <c r="E86" s="12"/>
      <c r="F86" s="12"/>
      <c r="G86" s="13"/>
      <c r="H86" s="21"/>
      <c r="I86" s="21"/>
      <c r="J86" s="21"/>
      <c r="K86" s="21"/>
      <c r="L86" s="21"/>
      <c r="M86" s="21"/>
      <c r="N86" s="21"/>
      <c r="O86" s="21"/>
      <c r="P86" s="21"/>
      <c r="Q86" s="21"/>
      <c r="R86" s="21"/>
      <c r="S86" s="21"/>
    </row>
    <row r="87" spans="1:19" x14ac:dyDescent="0.35">
      <c r="A87" s="1020"/>
      <c r="B87" s="1021"/>
      <c r="C87" s="1016"/>
      <c r="D87" s="1016"/>
      <c r="E87" s="1016"/>
      <c r="F87" s="1016"/>
      <c r="G87" s="1038"/>
      <c r="H87" s="1019"/>
      <c r="I87" s="1019"/>
      <c r="J87" s="1019"/>
      <c r="K87" s="1019"/>
      <c r="L87" s="1019"/>
      <c r="M87" s="1019"/>
      <c r="N87" s="1019"/>
      <c r="O87" s="1019"/>
      <c r="P87" s="1019"/>
      <c r="Q87" s="1019"/>
      <c r="R87" s="1019"/>
      <c r="S87" s="1019"/>
    </row>
    <row r="88" spans="1:19" x14ac:dyDescent="0.35">
      <c r="A88" s="686"/>
      <c r="B88" s="665"/>
      <c r="C88" s="642"/>
      <c r="D88" s="642"/>
      <c r="E88" s="642"/>
      <c r="F88" s="642"/>
      <c r="G88" s="646"/>
      <c r="H88" s="977"/>
      <c r="I88" s="977"/>
      <c r="J88" s="977"/>
      <c r="K88" s="977"/>
      <c r="L88" s="977"/>
      <c r="M88" s="977"/>
      <c r="N88" s="977"/>
      <c r="O88" s="977"/>
      <c r="P88" s="977"/>
      <c r="Q88" s="977"/>
      <c r="R88" s="977"/>
      <c r="S88" s="977"/>
    </row>
    <row r="89" spans="1:19" x14ac:dyDescent="0.35">
      <c r="A89" s="686"/>
      <c r="B89" s="665"/>
      <c r="C89" s="642"/>
      <c r="D89" s="642"/>
      <c r="E89" s="642"/>
      <c r="F89" s="642"/>
      <c r="G89" s="646"/>
      <c r="H89" s="977"/>
      <c r="I89" s="977"/>
      <c r="J89" s="977"/>
      <c r="K89" s="977"/>
      <c r="L89" s="977"/>
      <c r="M89" s="977"/>
      <c r="N89" s="977"/>
      <c r="O89" s="977"/>
      <c r="P89" s="977"/>
      <c r="Q89" s="977"/>
      <c r="R89" s="977"/>
      <c r="S89" s="977"/>
    </row>
    <row r="90" spans="1:19" x14ac:dyDescent="0.35">
      <c r="A90" s="3764" t="s">
        <v>725</v>
      </c>
      <c r="B90" s="3765"/>
      <c r="C90" s="12"/>
      <c r="D90" s="12"/>
      <c r="E90" s="12"/>
      <c r="F90" s="12"/>
      <c r="G90" s="13"/>
      <c r="H90" s="21"/>
      <c r="I90" s="21"/>
      <c r="J90" s="21"/>
      <c r="K90" s="21"/>
      <c r="L90" s="21"/>
      <c r="M90" s="21"/>
      <c r="N90" s="21"/>
      <c r="O90" s="21"/>
      <c r="P90" s="21"/>
      <c r="Q90" s="21"/>
      <c r="R90" s="21"/>
      <c r="S90" s="21"/>
    </row>
    <row r="91" spans="1:19" x14ac:dyDescent="0.35">
      <c r="A91" s="689"/>
      <c r="B91" s="641" t="s">
        <v>726</v>
      </c>
      <c r="C91" s="642"/>
      <c r="D91" s="642"/>
      <c r="E91" s="642"/>
      <c r="F91" s="642"/>
      <c r="G91" s="646"/>
      <c r="H91" s="977"/>
      <c r="I91" s="977"/>
      <c r="J91" s="977"/>
      <c r="K91" s="977"/>
      <c r="L91" s="977"/>
      <c r="M91" s="977"/>
      <c r="N91" s="977"/>
      <c r="O91" s="977"/>
      <c r="P91" s="977"/>
      <c r="Q91" s="977"/>
      <c r="R91" s="977"/>
      <c r="S91" s="977"/>
    </row>
    <row r="92" spans="1:19" x14ac:dyDescent="0.35">
      <c r="A92" s="689"/>
      <c r="B92" s="641" t="s">
        <v>727</v>
      </c>
      <c r="C92" s="642"/>
      <c r="D92" s="642"/>
      <c r="E92" s="642"/>
      <c r="F92" s="642"/>
      <c r="G92" s="646"/>
      <c r="H92" s="977"/>
      <c r="I92" s="977"/>
      <c r="J92" s="977"/>
      <c r="K92" s="977"/>
      <c r="L92" s="977"/>
      <c r="M92" s="977"/>
      <c r="N92" s="977"/>
      <c r="O92" s="977"/>
      <c r="P92" s="977"/>
      <c r="Q92" s="977"/>
      <c r="R92" s="977"/>
      <c r="S92" s="977"/>
    </row>
    <row r="93" spans="1:19" x14ac:dyDescent="0.35">
      <c r="A93" s="689"/>
      <c r="B93" s="641" t="s">
        <v>728</v>
      </c>
      <c r="C93" s="642"/>
      <c r="D93" s="642"/>
      <c r="E93" s="642"/>
      <c r="F93" s="642"/>
      <c r="G93" s="646"/>
      <c r="H93" s="977"/>
      <c r="I93" s="977"/>
      <c r="J93" s="977"/>
      <c r="K93" s="977"/>
      <c r="L93" s="977"/>
      <c r="M93" s="977"/>
      <c r="N93" s="977"/>
      <c r="O93" s="977"/>
      <c r="P93" s="977"/>
      <c r="Q93" s="977"/>
      <c r="R93" s="977"/>
      <c r="S93" s="977"/>
    </row>
    <row r="94" spans="1:19" x14ac:dyDescent="0.35">
      <c r="A94" s="689"/>
      <c r="B94" s="641" t="s">
        <v>729</v>
      </c>
      <c r="C94" s="642"/>
      <c r="D94" s="642"/>
      <c r="E94" s="642"/>
      <c r="F94" s="642"/>
      <c r="G94" s="646"/>
      <c r="H94" s="977"/>
      <c r="I94" s="977"/>
      <c r="J94" s="977"/>
      <c r="K94" s="977"/>
      <c r="L94" s="977"/>
      <c r="M94" s="977"/>
      <c r="N94" s="977"/>
      <c r="O94" s="977"/>
      <c r="P94" s="977"/>
      <c r="Q94" s="977"/>
      <c r="R94" s="977"/>
      <c r="S94" s="977"/>
    </row>
    <row r="95" spans="1:19" x14ac:dyDescent="0.35">
      <c r="A95" s="978"/>
      <c r="B95" s="939"/>
      <c r="C95" s="940"/>
      <c r="D95" s="940"/>
      <c r="E95" s="940"/>
      <c r="F95" s="940"/>
      <c r="G95" s="1039"/>
      <c r="H95" s="981"/>
      <c r="I95" s="981"/>
      <c r="J95" s="981"/>
      <c r="K95" s="981"/>
      <c r="L95" s="981"/>
      <c r="M95" s="981"/>
      <c r="N95" s="981"/>
      <c r="O95" s="981"/>
      <c r="P95" s="981"/>
      <c r="Q95" s="981"/>
      <c r="R95" s="981"/>
      <c r="S95" s="981"/>
    </row>
    <row r="96" spans="1:19" x14ac:dyDescent="0.35">
      <c r="A96" s="7" t="s">
        <v>730</v>
      </c>
      <c r="B96" s="8"/>
      <c r="C96" s="12"/>
      <c r="D96" s="12"/>
      <c r="E96" s="12"/>
      <c r="F96" s="12"/>
      <c r="G96" s="13"/>
      <c r="H96" s="21"/>
      <c r="I96" s="21"/>
      <c r="J96" s="21"/>
      <c r="K96" s="21"/>
      <c r="L96" s="21"/>
      <c r="M96" s="21"/>
      <c r="N96" s="21"/>
      <c r="O96" s="21"/>
      <c r="P96" s="21"/>
      <c r="Q96" s="21"/>
      <c r="R96" s="21"/>
      <c r="S96" s="21"/>
    </row>
    <row r="97" spans="1:19" x14ac:dyDescent="0.35">
      <c r="A97" s="1015"/>
      <c r="B97" s="1022" t="s">
        <v>731</v>
      </c>
      <c r="C97" s="1016"/>
      <c r="D97" s="1016"/>
      <c r="E97" s="1016"/>
      <c r="F97" s="1016"/>
      <c r="G97" s="1038"/>
      <c r="H97" s="1023"/>
      <c r="I97" s="1023"/>
      <c r="J97" s="1023"/>
      <c r="K97" s="1023"/>
      <c r="L97" s="1023"/>
      <c r="M97" s="1023"/>
      <c r="N97" s="1023"/>
      <c r="O97" s="1023"/>
      <c r="P97" s="1023"/>
      <c r="Q97" s="1023"/>
      <c r="R97" s="1023"/>
      <c r="S97" s="1023"/>
    </row>
    <row r="98" spans="1:19" x14ac:dyDescent="0.35">
      <c r="A98" s="689"/>
      <c r="B98" s="641" t="s">
        <v>732</v>
      </c>
      <c r="C98" s="642"/>
      <c r="D98" s="642"/>
      <c r="E98" s="642"/>
      <c r="F98" s="642"/>
      <c r="G98" s="646"/>
      <c r="H98" s="984"/>
      <c r="I98" s="984"/>
      <c r="J98" s="984"/>
      <c r="K98" s="984"/>
      <c r="L98" s="984"/>
      <c r="M98" s="984"/>
      <c r="N98" s="984"/>
      <c r="O98" s="984"/>
      <c r="P98" s="984"/>
      <c r="Q98" s="984"/>
      <c r="R98" s="984"/>
      <c r="S98" s="984"/>
    </row>
    <row r="99" spans="1:19" x14ac:dyDescent="0.35">
      <c r="A99" s="985"/>
      <c r="B99" s="986" t="s">
        <v>733</v>
      </c>
      <c r="C99" s="987"/>
      <c r="D99" s="987"/>
      <c r="E99" s="987"/>
      <c r="F99" s="987"/>
      <c r="G99" s="1040"/>
      <c r="H99" s="990"/>
      <c r="I99" s="990"/>
      <c r="J99" s="990"/>
      <c r="K99" s="990"/>
      <c r="L99" s="990"/>
      <c r="M99" s="990"/>
      <c r="N99" s="990"/>
      <c r="O99" s="990"/>
      <c r="P99" s="990"/>
      <c r="Q99" s="990"/>
      <c r="R99" s="990"/>
      <c r="S99" s="990"/>
    </row>
    <row r="101" spans="1:19" x14ac:dyDescent="0.35">
      <c r="A101" s="78" t="s">
        <v>734</v>
      </c>
      <c r="B101" s="80"/>
    </row>
    <row r="102" spans="1:19" x14ac:dyDescent="0.35">
      <c r="A102" s="79" t="s">
        <v>632</v>
      </c>
      <c r="B102" s="80"/>
    </row>
    <row r="103" spans="1:19" x14ac:dyDescent="0.35">
      <c r="A103" s="687" t="s">
        <v>636</v>
      </c>
      <c r="B103" s="991"/>
    </row>
    <row r="104" spans="1:19" x14ac:dyDescent="0.35">
      <c r="A104" s="992" t="s">
        <v>639</v>
      </c>
      <c r="B104" s="993"/>
    </row>
    <row r="105" spans="1:19" x14ac:dyDescent="0.35">
      <c r="A105" s="992" t="s">
        <v>642</v>
      </c>
      <c r="B105" s="994"/>
    </row>
    <row r="106" spans="1:19" x14ac:dyDescent="0.35">
      <c r="A106" s="995" t="s">
        <v>735</v>
      </c>
      <c r="B106" s="996">
        <f>G31</f>
        <v>898690</v>
      </c>
    </row>
    <row r="108" spans="1:19" x14ac:dyDescent="0.35">
      <c r="A108" s="81"/>
      <c r="B108" s="1" t="s">
        <v>736</v>
      </c>
    </row>
    <row r="109" spans="1:19" x14ac:dyDescent="0.35">
      <c r="A109" s="82"/>
      <c r="B109" s="1" t="s">
        <v>737</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conditionalFormatting sqref="H20:H30">
    <cfRule type="cellIs" dxfId="3025" priority="17" operator="equal">
      <formula>"X"</formula>
    </cfRule>
    <cfRule type="cellIs" dxfId="3024" priority="18" operator="equal">
      <formula>"I"</formula>
    </cfRule>
  </conditionalFormatting>
  <conditionalFormatting sqref="H32:H65">
    <cfRule type="cellIs" dxfId="3023" priority="1" operator="equal">
      <formula>"X"</formula>
    </cfRule>
    <cfRule type="cellIs" dxfId="3022" priority="2" operator="equal">
      <formula>"I"</formula>
    </cfRule>
  </conditionalFormatting>
  <conditionalFormatting sqref="J20:J30">
    <cfRule type="cellIs" dxfId="3021" priority="19" operator="equal">
      <formula>"X"</formula>
    </cfRule>
    <cfRule type="cellIs" dxfId="3020" priority="20" operator="equal">
      <formula>"I"</formula>
    </cfRule>
  </conditionalFormatting>
  <conditionalFormatting sqref="J32:J65">
    <cfRule type="cellIs" dxfId="3019" priority="3" operator="equal">
      <formula>"X"</formula>
    </cfRule>
    <cfRule type="cellIs" dxfId="3018" priority="4" operator="equal">
      <formula>"I"</formula>
    </cfRule>
  </conditionalFormatting>
  <conditionalFormatting sqref="L20:L30">
    <cfRule type="cellIs" dxfId="3017" priority="21" operator="equal">
      <formula>"X"</formula>
    </cfRule>
    <cfRule type="cellIs" dxfId="3016" priority="22" operator="equal">
      <formula>"I"</formula>
    </cfRule>
  </conditionalFormatting>
  <conditionalFormatting sqref="L32:L65">
    <cfRule type="cellIs" dxfId="3015" priority="5" operator="equal">
      <formula>"X"</formula>
    </cfRule>
    <cfRule type="cellIs" dxfId="3014" priority="6" operator="equal">
      <formula>"I"</formula>
    </cfRule>
  </conditionalFormatting>
  <conditionalFormatting sqref="N20:N30">
    <cfRule type="cellIs" dxfId="3013" priority="23" operator="equal">
      <formula>"X"</formula>
    </cfRule>
    <cfRule type="cellIs" dxfId="3012" priority="24" operator="equal">
      <formula>"I"</formula>
    </cfRule>
  </conditionalFormatting>
  <conditionalFormatting sqref="N32:N65">
    <cfRule type="cellIs" dxfId="3011" priority="7" operator="equal">
      <formula>"X"</formula>
    </cfRule>
    <cfRule type="cellIs" dxfId="3010" priority="8" operator="equal">
      <formula>"I"</formula>
    </cfRule>
  </conditionalFormatting>
  <conditionalFormatting sqref="P20:P30">
    <cfRule type="cellIs" dxfId="3009" priority="13" operator="equal">
      <formula>"X"</formula>
    </cfRule>
    <cfRule type="cellIs" dxfId="3008" priority="14" operator="equal">
      <formula>"I"</formula>
    </cfRule>
  </conditionalFormatting>
  <conditionalFormatting sqref="P32:P65">
    <cfRule type="cellIs" dxfId="3007" priority="9" operator="equal">
      <formula>"X"</formula>
    </cfRule>
    <cfRule type="cellIs" dxfId="3006" priority="10" operator="equal">
      <formula>"I"</formula>
    </cfRule>
  </conditionalFormatting>
  <conditionalFormatting sqref="R20:R30">
    <cfRule type="cellIs" dxfId="3005" priority="15" operator="equal">
      <formula>"X"</formula>
    </cfRule>
    <cfRule type="cellIs" dxfId="3004" priority="16" operator="equal">
      <formula>"I"</formula>
    </cfRule>
  </conditionalFormatting>
  <conditionalFormatting sqref="R32:R65">
    <cfRule type="cellIs" dxfId="3003" priority="11" operator="equal">
      <formula>"X"</formula>
    </cfRule>
    <cfRule type="cellIs" dxfId="3002" priority="12" operator="equal">
      <formula>"I"</formula>
    </cfRule>
  </conditionalFormatting>
  <hyperlinks>
    <hyperlink ref="B3" location="'Cost Summary'!A1" display="BACK TO SUMMARY SHEET" xr:uid="{084B8CFD-82A5-4285-9CB6-FB95610C80B9}"/>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112C-8A45-4BB5-B8BB-9DC362764DD3}">
  <sheetPr>
    <tabColor rgb="FF92D050"/>
  </sheetPr>
  <dimension ref="A1:AD96"/>
  <sheetViews>
    <sheetView zoomScale="112" zoomScaleNormal="112" workbookViewId="0">
      <pane xSplit="2" ySplit="9" topLeftCell="C30" activePane="bottomRight" state="frozen"/>
      <selection pane="topRight" activeCell="C1" sqref="C1"/>
      <selection pane="bottomLeft" activeCell="A12" sqref="A12"/>
      <selection pane="bottomRight" activeCell="B30" sqref="B30"/>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ht="15" thickBot="1" x14ac:dyDescent="0.4">
      <c r="E2" s="87"/>
      <c r="F2" s="122" t="s">
        <v>622</v>
      </c>
      <c r="G2" s="123" t="s">
        <v>451</v>
      </c>
      <c r="H2" s="3751"/>
      <c r="I2" s="3751"/>
      <c r="J2" s="3751"/>
      <c r="K2" s="3751"/>
      <c r="L2" s="3751"/>
      <c r="M2" s="3751"/>
      <c r="N2" s="3751"/>
      <c r="O2" s="3751"/>
      <c r="P2" s="3751"/>
      <c r="Q2" s="3751"/>
      <c r="R2" s="3751"/>
      <c r="S2" s="3751"/>
    </row>
    <row r="3" spans="1:19" ht="20" thickBot="1" x14ac:dyDescent="0.4">
      <c r="B3" s="137" t="s">
        <v>623</v>
      </c>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455</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454</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ht="15" thickBot="1" x14ac:dyDescent="0.4">
      <c r="A8" s="938" t="s">
        <v>644</v>
      </c>
      <c r="B8" s="939"/>
      <c r="C8" s="940"/>
      <c r="D8" s="940"/>
      <c r="E8" s="940"/>
      <c r="F8" s="940"/>
      <c r="G8" s="1024" t="s">
        <v>644</v>
      </c>
      <c r="H8" s="3760">
        <f>I57</f>
        <v>0</v>
      </c>
      <c r="I8" s="3761"/>
      <c r="J8" s="3760">
        <f>K57</f>
        <v>0</v>
      </c>
      <c r="K8" s="3761"/>
      <c r="L8" s="3760">
        <f>M57</f>
        <v>0</v>
      </c>
      <c r="M8" s="3761"/>
      <c r="N8" s="3760">
        <f>O57</f>
        <v>0</v>
      </c>
      <c r="O8" s="3761"/>
      <c r="P8" s="3760">
        <f>Q57</f>
        <v>0</v>
      </c>
      <c r="Q8" s="3761"/>
      <c r="R8" s="3760">
        <f>S57</f>
        <v>0</v>
      </c>
      <c r="S8" s="3761"/>
    </row>
    <row r="9" spans="1:19" ht="30" thickTop="1" thickBot="1" x14ac:dyDescent="0.4">
      <c r="A9" s="132" t="s">
        <v>645</v>
      </c>
      <c r="B9" s="135"/>
      <c r="C9" s="134" t="s">
        <v>646</v>
      </c>
      <c r="D9" s="133"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015"/>
      <c r="B10" s="1025" t="s">
        <v>653</v>
      </c>
      <c r="C10" s="1016"/>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thickTop="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thickTop="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ht="15" thickTop="1" x14ac:dyDescent="0.35">
      <c r="A20" s="1045"/>
      <c r="B20" s="1046"/>
      <c r="C20" s="681"/>
      <c r="D20" s="642"/>
      <c r="E20" s="642"/>
      <c r="F20" s="642"/>
      <c r="G20" s="646"/>
      <c r="H20" s="943"/>
      <c r="I20" s="942"/>
      <c r="J20" s="943"/>
      <c r="K20" s="942"/>
      <c r="L20" s="943"/>
      <c r="M20" s="942"/>
      <c r="N20" s="943"/>
      <c r="O20" s="942"/>
      <c r="P20" s="943"/>
      <c r="Q20" s="942"/>
      <c r="R20" s="943"/>
      <c r="S20" s="942"/>
    </row>
    <row r="21" spans="1:19" ht="15" thickBot="1" x14ac:dyDescent="0.4">
      <c r="A21" s="1027"/>
      <c r="B21" s="1047" t="s">
        <v>455</v>
      </c>
      <c r="C21" s="681"/>
      <c r="D21" s="642"/>
      <c r="E21" s="642"/>
      <c r="F21" s="642"/>
      <c r="G21" s="646"/>
      <c r="H21" s="943"/>
      <c r="I21" s="1005"/>
      <c r="J21" s="943"/>
      <c r="K21" s="1006"/>
      <c r="L21" s="943"/>
      <c r="M21" s="1006"/>
      <c r="N21" s="943"/>
      <c r="O21" s="1006"/>
      <c r="P21" s="943"/>
      <c r="Q21" s="1006"/>
      <c r="R21" s="943"/>
      <c r="S21" s="1006"/>
    </row>
    <row r="22" spans="1:19" ht="16" hidden="1" thickBot="1" x14ac:dyDescent="0.4">
      <c r="A22" s="1027"/>
      <c r="B22" s="1048" t="s">
        <v>656</v>
      </c>
      <c r="C22" s="681"/>
      <c r="D22" s="642"/>
      <c r="E22" s="642"/>
      <c r="F22" s="642"/>
      <c r="G22" s="646"/>
      <c r="H22" s="943"/>
      <c r="I22" s="1005"/>
      <c r="J22" s="943"/>
      <c r="K22" s="1006"/>
      <c r="L22" s="943"/>
      <c r="M22" s="1006"/>
      <c r="N22" s="943"/>
      <c r="O22" s="1006"/>
      <c r="P22" s="943"/>
      <c r="Q22" s="1006"/>
      <c r="R22" s="943"/>
      <c r="S22" s="1006"/>
    </row>
    <row r="23" spans="1:19" ht="16" thickBot="1" x14ac:dyDescent="0.4">
      <c r="A23" s="1027"/>
      <c r="B23" s="602" t="s">
        <v>657</v>
      </c>
      <c r="C23" s="681"/>
      <c r="D23" s="642"/>
      <c r="E23" s="642"/>
      <c r="F23" s="642"/>
      <c r="G23" s="646"/>
      <c r="H23" s="943"/>
      <c r="I23" s="1005"/>
      <c r="J23" s="943"/>
      <c r="K23" s="83"/>
      <c r="L23" s="943"/>
      <c r="M23" s="1006"/>
      <c r="N23" s="943"/>
      <c r="O23" s="1006"/>
      <c r="P23" s="943"/>
      <c r="Q23" s="1006"/>
      <c r="R23" s="943"/>
      <c r="S23" s="1006"/>
    </row>
    <row r="24" spans="1:19" x14ac:dyDescent="0.35">
      <c r="A24" s="1026"/>
      <c r="B24" s="947" t="s">
        <v>658</v>
      </c>
      <c r="C24" s="647"/>
      <c r="D24" s="642"/>
      <c r="E24" s="642"/>
      <c r="F24" s="642"/>
      <c r="G24" s="646"/>
      <c r="H24" s="943"/>
      <c r="I24" s="1005"/>
      <c r="J24" s="943"/>
      <c r="K24" s="1006"/>
      <c r="L24" s="943"/>
      <c r="M24" s="1006"/>
      <c r="N24" s="943"/>
      <c r="O24" s="1006"/>
      <c r="P24" s="943"/>
      <c r="Q24" s="1006"/>
      <c r="R24" s="943"/>
      <c r="S24" s="1006"/>
    </row>
    <row r="25" spans="1:19" x14ac:dyDescent="0.35">
      <c r="A25" s="683"/>
      <c r="B25" s="1028" t="s">
        <v>659</v>
      </c>
      <c r="C25" s="647"/>
      <c r="D25" s="642"/>
      <c r="E25" s="642"/>
      <c r="F25" s="642"/>
      <c r="G25" s="646"/>
      <c r="H25" s="943"/>
      <c r="I25" s="1005"/>
      <c r="J25" s="943"/>
      <c r="K25" s="1006"/>
      <c r="L25" s="943"/>
      <c r="M25" s="1006"/>
      <c r="N25" s="943"/>
      <c r="O25" s="1006"/>
      <c r="P25" s="943"/>
      <c r="Q25" s="1006"/>
      <c r="R25" s="943"/>
      <c r="S25" s="1006"/>
    </row>
    <row r="26" spans="1:19" x14ac:dyDescent="0.35">
      <c r="A26" s="1026"/>
      <c r="B26" s="1029" t="s">
        <v>660</v>
      </c>
      <c r="C26" s="647"/>
      <c r="D26" s="642"/>
      <c r="E26" s="642"/>
      <c r="F26" s="642"/>
      <c r="G26" s="646"/>
      <c r="H26" s="943"/>
      <c r="I26" s="1005"/>
      <c r="J26" s="943"/>
      <c r="K26" s="1006"/>
      <c r="L26" s="943"/>
      <c r="M26" s="1006"/>
      <c r="N26" s="943"/>
      <c r="O26" s="1006"/>
      <c r="P26" s="943"/>
      <c r="Q26" s="1006"/>
      <c r="R26" s="943"/>
      <c r="S26" s="1006"/>
    </row>
    <row r="27" spans="1:19" x14ac:dyDescent="0.35">
      <c r="A27" s="683"/>
      <c r="B27" s="1029" t="s">
        <v>661</v>
      </c>
      <c r="C27" s="647"/>
      <c r="D27" s="642"/>
      <c r="E27" s="642"/>
      <c r="F27" s="642"/>
      <c r="G27" s="646"/>
      <c r="H27" s="943"/>
      <c r="I27" s="1005"/>
      <c r="J27" s="943"/>
      <c r="K27" s="1005"/>
      <c r="L27" s="943"/>
      <c r="M27" s="1005"/>
      <c r="N27" s="943"/>
      <c r="O27" s="1005"/>
      <c r="P27" s="943"/>
      <c r="Q27" s="1005"/>
      <c r="R27" s="943"/>
      <c r="S27" s="1005"/>
    </row>
    <row r="28" spans="1:19" x14ac:dyDescent="0.35">
      <c r="A28" s="1026"/>
      <c r="B28" s="1029" t="s">
        <v>662</v>
      </c>
      <c r="C28" s="647"/>
      <c r="D28" s="642"/>
      <c r="E28" s="642"/>
      <c r="F28" s="642"/>
      <c r="G28" s="646"/>
      <c r="H28" s="943"/>
      <c r="I28" s="1005"/>
      <c r="J28" s="943"/>
      <c r="K28" s="1006"/>
      <c r="L28" s="943"/>
      <c r="M28" s="1006"/>
      <c r="N28" s="943"/>
      <c r="O28" s="1006"/>
      <c r="P28" s="943"/>
      <c r="Q28" s="1006"/>
      <c r="R28" s="943"/>
      <c r="S28" s="1006"/>
    </row>
    <row r="29" spans="1:19" x14ac:dyDescent="0.35">
      <c r="A29" s="683"/>
      <c r="B29" s="1029" t="s">
        <v>663</v>
      </c>
      <c r="C29" s="647"/>
      <c r="D29" s="642"/>
      <c r="E29" s="642"/>
      <c r="F29" s="642"/>
      <c r="G29" s="646"/>
      <c r="H29" s="943"/>
      <c r="I29" s="1005"/>
      <c r="J29" s="943"/>
      <c r="K29" s="1006"/>
      <c r="L29" s="943"/>
      <c r="M29" s="1006"/>
      <c r="N29" s="943"/>
      <c r="O29" s="1006"/>
      <c r="P29" s="943"/>
      <c r="Q29" s="1006"/>
      <c r="R29" s="943"/>
      <c r="S29" s="1006"/>
    </row>
    <row r="30" spans="1:19" x14ac:dyDescent="0.35">
      <c r="A30" s="1026"/>
      <c r="B30" s="1029" t="s">
        <v>742</v>
      </c>
      <c r="C30" s="647"/>
      <c r="D30" s="642"/>
      <c r="E30" s="642"/>
      <c r="F30" s="642"/>
      <c r="G30" s="646"/>
      <c r="H30" s="943"/>
      <c r="I30" s="1030"/>
      <c r="J30" s="943"/>
      <c r="K30" s="1031"/>
      <c r="L30" s="943"/>
      <c r="M30" s="1031"/>
      <c r="N30" s="943"/>
      <c r="O30" s="1031"/>
      <c r="P30" s="943"/>
      <c r="Q30" s="1031"/>
      <c r="R30" s="943"/>
      <c r="S30" s="1031"/>
    </row>
    <row r="31" spans="1:19" x14ac:dyDescent="0.35">
      <c r="A31" s="1026"/>
      <c r="B31" s="1032" t="s">
        <v>664</v>
      </c>
      <c r="C31" s="647"/>
      <c r="D31" s="642"/>
      <c r="E31" s="642"/>
      <c r="F31" s="642"/>
      <c r="G31" s="646"/>
      <c r="H31" s="943"/>
      <c r="I31" s="1005"/>
      <c r="J31" s="943"/>
      <c r="K31" s="1006"/>
      <c r="L31" s="943"/>
      <c r="M31" s="1006"/>
      <c r="N31" s="943"/>
      <c r="O31" s="1006"/>
      <c r="P31" s="943"/>
      <c r="Q31" s="1006"/>
      <c r="R31" s="943"/>
      <c r="S31" s="1006"/>
    </row>
    <row r="32" spans="1:19" x14ac:dyDescent="0.35">
      <c r="A32" s="683"/>
      <c r="B32" s="1033" t="s">
        <v>665</v>
      </c>
      <c r="C32" s="649"/>
      <c r="D32" s="650"/>
      <c r="E32" s="650"/>
      <c r="F32" s="650"/>
      <c r="G32" s="952"/>
      <c r="H32" s="636"/>
      <c r="I32" s="1034"/>
      <c r="J32" s="636"/>
      <c r="K32" s="1035"/>
      <c r="L32" s="636"/>
      <c r="M32" s="1035"/>
      <c r="N32" s="636"/>
      <c r="O32" s="1035"/>
      <c r="P32" s="636"/>
      <c r="Q32" s="1035"/>
      <c r="R32" s="636"/>
      <c r="S32" s="1035"/>
    </row>
    <row r="33" spans="1:19" x14ac:dyDescent="0.35">
      <c r="A33" s="1026"/>
      <c r="B33" s="1036"/>
      <c r="C33" s="647"/>
      <c r="D33" s="642"/>
      <c r="E33" s="642"/>
      <c r="F33" s="642"/>
      <c r="G33" s="646"/>
      <c r="H33" s="943"/>
      <c r="I33" s="1005"/>
      <c r="J33" s="943"/>
      <c r="K33" s="1006"/>
      <c r="L33" s="943"/>
      <c r="M33" s="1006"/>
      <c r="N33" s="943"/>
      <c r="O33" s="1006"/>
      <c r="P33" s="943"/>
      <c r="Q33" s="1006"/>
      <c r="R33" s="943"/>
      <c r="S33" s="1006"/>
    </row>
    <row r="34" spans="1:19" x14ac:dyDescent="0.35">
      <c r="A34" s="683"/>
      <c r="B34" s="1037"/>
      <c r="C34" s="647"/>
      <c r="D34" s="642"/>
      <c r="E34" s="642"/>
      <c r="F34" s="642"/>
      <c r="G34" s="646"/>
      <c r="H34" s="943"/>
      <c r="I34" s="1005"/>
      <c r="J34" s="943"/>
      <c r="K34" s="1006"/>
      <c r="L34" s="943"/>
      <c r="M34" s="1006"/>
      <c r="N34" s="943"/>
      <c r="O34" s="1006"/>
      <c r="P34" s="943"/>
      <c r="Q34" s="1006"/>
      <c r="R34" s="943"/>
      <c r="S34" s="1006"/>
    </row>
    <row r="35" spans="1:19" x14ac:dyDescent="0.35">
      <c r="A35" s="1026"/>
      <c r="B35" s="705"/>
      <c r="C35" s="647"/>
      <c r="D35" s="642"/>
      <c r="E35" s="642"/>
      <c r="F35" s="642"/>
      <c r="G35" s="646"/>
      <c r="H35" s="943" t="s">
        <v>671</v>
      </c>
      <c r="I35" s="1005"/>
      <c r="J35" s="943"/>
      <c r="K35" s="1006"/>
      <c r="L35" s="943"/>
      <c r="M35" s="1006"/>
      <c r="N35" s="943"/>
      <c r="O35" s="1006"/>
      <c r="P35" s="943"/>
      <c r="Q35" s="1006"/>
      <c r="R35" s="943"/>
      <c r="S35" s="1006"/>
    </row>
    <row r="36" spans="1:19" x14ac:dyDescent="0.35">
      <c r="A36" s="683"/>
      <c r="B36" s="705"/>
      <c r="C36" s="647"/>
      <c r="D36" s="642"/>
      <c r="E36" s="642"/>
      <c r="F36" s="642"/>
      <c r="G36" s="646"/>
      <c r="H36" s="943"/>
      <c r="I36" s="1005"/>
      <c r="J36" s="943"/>
      <c r="K36" s="1006"/>
      <c r="L36" s="943"/>
      <c r="M36" s="1006"/>
      <c r="N36" s="943"/>
      <c r="O36" s="1006"/>
      <c r="P36" s="943"/>
      <c r="Q36" s="1006"/>
      <c r="R36" s="943"/>
      <c r="S36" s="1006"/>
    </row>
    <row r="37" spans="1:19" x14ac:dyDescent="0.35">
      <c r="A37" s="1026"/>
      <c r="B37" s="705"/>
      <c r="C37" s="669"/>
      <c r="D37" s="669"/>
      <c r="E37" s="642"/>
      <c r="F37" s="642"/>
      <c r="G37" s="646"/>
      <c r="H37" s="943"/>
      <c r="I37" s="1005"/>
      <c r="J37" s="943"/>
      <c r="K37" s="1006"/>
      <c r="L37" s="943"/>
      <c r="M37" s="1005"/>
      <c r="N37" s="943"/>
      <c r="O37" s="1005"/>
      <c r="P37" s="943"/>
      <c r="Q37" s="1006"/>
      <c r="R37" s="943"/>
      <c r="S37" s="1006"/>
    </row>
    <row r="38" spans="1:19" x14ac:dyDescent="0.35">
      <c r="A38" s="683"/>
      <c r="B38" s="705"/>
      <c r="C38" s="669"/>
      <c r="D38" s="669"/>
      <c r="E38" s="642"/>
      <c r="F38" s="642"/>
      <c r="G38" s="646"/>
      <c r="H38" s="943"/>
      <c r="I38" s="1005"/>
      <c r="J38" s="943"/>
      <c r="K38" s="1006"/>
      <c r="L38" s="943"/>
      <c r="M38" s="1006"/>
      <c r="N38" s="943"/>
      <c r="O38" s="1006"/>
      <c r="P38" s="943"/>
      <c r="Q38" s="1006"/>
      <c r="R38" s="943"/>
      <c r="S38" s="1006"/>
    </row>
    <row r="39" spans="1:19" x14ac:dyDescent="0.35">
      <c r="A39" s="1026"/>
      <c r="B39" s="705"/>
      <c r="C39" s="669"/>
      <c r="D39" s="669"/>
      <c r="E39" s="642"/>
      <c r="F39" s="642"/>
      <c r="G39" s="646"/>
      <c r="H39" s="943"/>
      <c r="I39" s="1005"/>
      <c r="J39" s="943"/>
      <c r="K39" s="1006"/>
      <c r="L39" s="943"/>
      <c r="M39" s="1006"/>
      <c r="N39" s="943"/>
      <c r="O39" s="1006"/>
      <c r="P39" s="943"/>
      <c r="Q39" s="1006"/>
      <c r="R39" s="943"/>
      <c r="S39" s="1006"/>
    </row>
    <row r="40" spans="1:19" x14ac:dyDescent="0.35">
      <c r="A40" s="683"/>
      <c r="B40" s="705"/>
      <c r="C40" s="669"/>
      <c r="D40" s="669"/>
      <c r="E40" s="642"/>
      <c r="F40" s="642"/>
      <c r="G40" s="646"/>
      <c r="H40" s="943"/>
      <c r="I40" s="1005"/>
      <c r="J40" s="943"/>
      <c r="K40" s="1006"/>
      <c r="L40" s="943"/>
      <c r="M40" s="1006"/>
      <c r="N40" s="943"/>
      <c r="O40" s="1006"/>
      <c r="P40" s="943"/>
      <c r="Q40" s="1006"/>
      <c r="R40" s="943"/>
      <c r="S40" s="1006"/>
    </row>
    <row r="41" spans="1:19" x14ac:dyDescent="0.35">
      <c r="A41" s="1026"/>
      <c r="B41" s="705"/>
      <c r="C41" s="669"/>
      <c r="D41" s="669"/>
      <c r="E41" s="642"/>
      <c r="F41" s="642"/>
      <c r="G41" s="646"/>
      <c r="H41" s="943"/>
      <c r="I41" s="1005"/>
      <c r="J41" s="943"/>
      <c r="K41" s="1006"/>
      <c r="L41" s="943"/>
      <c r="M41" s="1006"/>
      <c r="N41" s="943"/>
      <c r="O41" s="1006"/>
      <c r="P41" s="943"/>
      <c r="Q41" s="1006"/>
      <c r="R41" s="943"/>
      <c r="S41" s="1006"/>
    </row>
    <row r="42" spans="1:19" x14ac:dyDescent="0.35">
      <c r="A42" s="683"/>
      <c r="B42" s="705"/>
      <c r="C42" s="669"/>
      <c r="D42" s="669"/>
      <c r="E42" s="642"/>
      <c r="F42" s="642"/>
      <c r="G42" s="646"/>
      <c r="H42" s="943"/>
      <c r="I42" s="1005"/>
      <c r="J42" s="943"/>
      <c r="K42" s="1006"/>
      <c r="L42" s="943"/>
      <c r="M42" s="1006"/>
      <c r="N42" s="943"/>
      <c r="O42" s="1006"/>
      <c r="P42" s="943"/>
      <c r="Q42" s="1006"/>
      <c r="R42" s="943"/>
      <c r="S42" s="1006"/>
    </row>
    <row r="43" spans="1:19" ht="15.75" customHeight="1" x14ac:dyDescent="0.35">
      <c r="A43" s="1026"/>
      <c r="B43" s="705"/>
      <c r="C43" s="669"/>
      <c r="D43" s="669"/>
      <c r="E43" s="642"/>
      <c r="F43" s="642"/>
      <c r="G43" s="646"/>
      <c r="H43" s="943"/>
      <c r="I43" s="1005"/>
      <c r="J43" s="943"/>
      <c r="K43" s="1006"/>
      <c r="L43" s="943"/>
      <c r="M43" s="1006"/>
      <c r="N43" s="943"/>
      <c r="O43" s="1006"/>
      <c r="P43" s="943"/>
      <c r="Q43" s="1006"/>
      <c r="R43" s="943"/>
      <c r="S43" s="1006"/>
    </row>
    <row r="44" spans="1:19" x14ac:dyDescent="0.35">
      <c r="A44" s="683"/>
      <c r="B44" s="705"/>
      <c r="C44" s="669"/>
      <c r="D44" s="669"/>
      <c r="E44" s="642"/>
      <c r="F44" s="642"/>
      <c r="G44" s="646"/>
      <c r="H44" s="943"/>
      <c r="I44" s="1005"/>
      <c r="J44" s="943"/>
      <c r="K44" s="1006"/>
      <c r="L44" s="943"/>
      <c r="M44" s="1006"/>
      <c r="N44" s="943"/>
      <c r="O44" s="1006"/>
      <c r="P44" s="943"/>
      <c r="Q44" s="1006"/>
      <c r="R44" s="943"/>
      <c r="S44" s="1006"/>
    </row>
    <row r="45" spans="1:19" x14ac:dyDescent="0.35">
      <c r="A45" s="1026"/>
      <c r="B45" s="1037"/>
      <c r="C45" s="669"/>
      <c r="D45" s="669"/>
      <c r="E45" s="642"/>
      <c r="F45" s="642"/>
      <c r="G45" s="646"/>
      <c r="H45" s="943"/>
      <c r="I45" s="1005"/>
      <c r="J45" s="943"/>
      <c r="K45" s="1006"/>
      <c r="L45" s="943"/>
      <c r="M45" s="1006"/>
      <c r="N45" s="943"/>
      <c r="O45" s="1006"/>
      <c r="P45" s="943"/>
      <c r="Q45" s="1006"/>
      <c r="R45" s="943"/>
      <c r="S45" s="1006"/>
    </row>
    <row r="46" spans="1:19" x14ac:dyDescent="0.35">
      <c r="A46" s="683"/>
      <c r="B46" s="705"/>
      <c r="C46" s="669"/>
      <c r="D46" s="669"/>
      <c r="E46" s="642"/>
      <c r="F46" s="642"/>
      <c r="G46" s="646"/>
      <c r="H46" s="943"/>
      <c r="I46" s="1005"/>
      <c r="J46" s="943"/>
      <c r="K46" s="1006"/>
      <c r="L46" s="943"/>
      <c r="M46" s="1006"/>
      <c r="N46" s="943"/>
      <c r="O46" s="1006"/>
      <c r="P46" s="943"/>
      <c r="Q46" s="1006"/>
      <c r="R46" s="943"/>
      <c r="S46" s="1006"/>
    </row>
    <row r="47" spans="1:19" x14ac:dyDescent="0.35">
      <c r="A47" s="1026"/>
      <c r="B47" s="705"/>
      <c r="C47" s="669"/>
      <c r="D47" s="669"/>
      <c r="E47" s="642"/>
      <c r="F47" s="642"/>
      <c r="G47" s="646"/>
      <c r="H47" s="943"/>
      <c r="I47" s="1005"/>
      <c r="J47" s="943"/>
      <c r="K47" s="1006"/>
      <c r="L47" s="943"/>
      <c r="M47" s="1006"/>
      <c r="N47" s="943"/>
      <c r="O47" s="1006"/>
      <c r="P47" s="943"/>
      <c r="Q47" s="1006"/>
      <c r="R47" s="943"/>
      <c r="S47" s="1006"/>
    </row>
    <row r="48" spans="1:19" x14ac:dyDescent="0.35">
      <c r="A48" s="683"/>
      <c r="B48" s="705"/>
      <c r="C48" s="669"/>
      <c r="D48" s="669"/>
      <c r="E48" s="642"/>
      <c r="F48" s="642"/>
      <c r="G48" s="646"/>
      <c r="H48" s="943"/>
      <c r="I48" s="1005"/>
      <c r="J48" s="943"/>
      <c r="K48" s="1006"/>
      <c r="L48" s="943"/>
      <c r="M48" s="1006"/>
      <c r="N48" s="943"/>
      <c r="O48" s="1006"/>
      <c r="P48" s="943"/>
      <c r="Q48" s="1006"/>
      <c r="R48" s="943"/>
      <c r="S48" s="1006"/>
    </row>
    <row r="49" spans="1:19" x14ac:dyDescent="0.35">
      <c r="A49" s="1026"/>
      <c r="B49" s="705"/>
      <c r="C49" s="669"/>
      <c r="D49" s="669"/>
      <c r="E49" s="642"/>
      <c r="F49" s="642"/>
      <c r="G49" s="646"/>
      <c r="H49" s="943"/>
      <c r="I49" s="1005"/>
      <c r="J49" s="943"/>
      <c r="K49" s="1006"/>
      <c r="L49" s="943"/>
      <c r="M49" s="1006"/>
      <c r="N49" s="943"/>
      <c r="O49" s="1006"/>
      <c r="P49" s="943"/>
      <c r="Q49" s="1006"/>
      <c r="R49" s="943"/>
      <c r="S49" s="1006"/>
    </row>
    <row r="50" spans="1:19" x14ac:dyDescent="0.35">
      <c r="A50" s="683"/>
      <c r="B50" s="1037"/>
      <c r="C50" s="669"/>
      <c r="D50" s="669"/>
      <c r="E50" s="642"/>
      <c r="F50" s="642"/>
      <c r="G50" s="646"/>
      <c r="H50" s="943"/>
      <c r="I50" s="1005"/>
      <c r="J50" s="943"/>
      <c r="K50" s="1006"/>
      <c r="L50" s="943"/>
      <c r="M50" s="1006"/>
      <c r="N50" s="943"/>
      <c r="O50" s="1006"/>
      <c r="P50" s="943"/>
      <c r="Q50" s="1006"/>
      <c r="R50" s="943"/>
      <c r="S50" s="1006"/>
    </row>
    <row r="51" spans="1:19" x14ac:dyDescent="0.35">
      <c r="A51" s="1026"/>
      <c r="B51" s="705"/>
      <c r="C51" s="669"/>
      <c r="D51" s="669"/>
      <c r="E51" s="642"/>
      <c r="F51" s="642"/>
      <c r="G51" s="646"/>
      <c r="H51" s="943"/>
      <c r="I51" s="1005"/>
      <c r="J51" s="943"/>
      <c r="K51" s="1006"/>
      <c r="L51" s="943"/>
      <c r="M51" s="1006"/>
      <c r="N51" s="943"/>
      <c r="O51" s="1006"/>
      <c r="P51" s="943"/>
      <c r="Q51" s="1006"/>
      <c r="R51" s="943"/>
      <c r="S51" s="1006"/>
    </row>
    <row r="52" spans="1:19" ht="15" thickBot="1" x14ac:dyDescent="0.4">
      <c r="A52" s="683"/>
      <c r="B52" s="706"/>
      <c r="C52" s="669"/>
      <c r="D52" s="669"/>
      <c r="E52" s="642"/>
      <c r="F52" s="642"/>
      <c r="G52" s="646"/>
      <c r="H52" s="943"/>
      <c r="I52" s="1005"/>
      <c r="J52" s="943"/>
      <c r="K52" s="1006"/>
      <c r="L52" s="943"/>
      <c r="M52" s="1006"/>
      <c r="N52" s="943"/>
      <c r="O52" s="1006"/>
      <c r="P52" s="943"/>
      <c r="Q52" s="1006"/>
      <c r="R52" s="943"/>
      <c r="S52" s="1006"/>
    </row>
    <row r="53" spans="1:19" ht="15" thickTop="1" x14ac:dyDescent="0.35">
      <c r="A53" s="14"/>
      <c r="B53" s="15"/>
      <c r="C53" s="16"/>
      <c r="D53" s="16"/>
      <c r="E53" s="17"/>
      <c r="F53" s="18" t="s">
        <v>715</v>
      </c>
      <c r="G53" s="19"/>
      <c r="H53" s="20"/>
      <c r="I53" s="50">
        <f>SUM(I22:I52)</f>
        <v>0</v>
      </c>
      <c r="J53" s="20"/>
      <c r="K53" s="50">
        <f>SUM(K22:K52)</f>
        <v>0</v>
      </c>
      <c r="L53" s="20"/>
      <c r="M53" s="50">
        <f>SUM(M22:M52)</f>
        <v>0</v>
      </c>
      <c r="N53" s="20"/>
      <c r="O53" s="50">
        <f>SUM(O22:O52)</f>
        <v>0</v>
      </c>
      <c r="P53" s="20"/>
      <c r="Q53" s="50">
        <f>SUM(Q22:Q52)</f>
        <v>0</v>
      </c>
      <c r="R53" s="20"/>
      <c r="S53" s="50">
        <f>SUM(S22:S52)</f>
        <v>0</v>
      </c>
    </row>
    <row r="54" spans="1:19" x14ac:dyDescent="0.35">
      <c r="A54" s="684"/>
      <c r="B54" s="655"/>
      <c r="C54" s="656"/>
      <c r="D54" s="656"/>
      <c r="E54" s="657"/>
      <c r="F54" s="658" t="s">
        <v>716</v>
      </c>
      <c r="G54" s="659"/>
      <c r="H54" s="959">
        <v>0</v>
      </c>
      <c r="I54" s="960"/>
      <c r="J54" s="959">
        <v>0</v>
      </c>
      <c r="K54" s="960"/>
      <c r="L54" s="959">
        <v>0</v>
      </c>
      <c r="M54" s="960"/>
      <c r="N54" s="959">
        <v>0</v>
      </c>
      <c r="O54" s="960"/>
      <c r="P54" s="959">
        <v>0</v>
      </c>
      <c r="Q54" s="960"/>
      <c r="R54" s="959">
        <v>0</v>
      </c>
      <c r="S54" s="960"/>
    </row>
    <row r="55" spans="1:19" x14ac:dyDescent="0.35">
      <c r="A55" s="684"/>
      <c r="B55" s="655"/>
      <c r="C55" s="656"/>
      <c r="D55" s="656"/>
      <c r="E55" s="657"/>
      <c r="F55" s="658" t="s">
        <v>717</v>
      </c>
      <c r="G55" s="659"/>
      <c r="H55" s="961"/>
      <c r="I55" s="962">
        <f>H54*I53</f>
        <v>0</v>
      </c>
      <c r="J55" s="961"/>
      <c r="K55" s="962">
        <f>J54*K53</f>
        <v>0</v>
      </c>
      <c r="L55" s="961"/>
      <c r="M55" s="962">
        <f>L54*M53</f>
        <v>0</v>
      </c>
      <c r="N55" s="961"/>
      <c r="O55" s="962">
        <f>N54*O53</f>
        <v>0</v>
      </c>
      <c r="P55" s="961"/>
      <c r="Q55" s="962">
        <f>P54*Q53</f>
        <v>0</v>
      </c>
      <c r="R55" s="961"/>
      <c r="S55" s="962">
        <f>R54*S53</f>
        <v>0</v>
      </c>
    </row>
    <row r="56" spans="1:19" x14ac:dyDescent="0.35">
      <c r="A56" s="684"/>
      <c r="B56" s="655"/>
      <c r="C56" s="656"/>
      <c r="D56" s="656"/>
      <c r="E56" s="657"/>
      <c r="F56" s="658"/>
      <c r="G56" s="659"/>
      <c r="H56" s="961"/>
      <c r="I56" s="963"/>
      <c r="J56" s="961"/>
      <c r="K56" s="963"/>
      <c r="L56" s="961"/>
      <c r="M56" s="963"/>
      <c r="N56" s="961"/>
      <c r="O56" s="963"/>
      <c r="P56" s="961"/>
      <c r="Q56" s="963"/>
      <c r="R56" s="961"/>
      <c r="S56" s="963"/>
    </row>
    <row r="57" spans="1:19" x14ac:dyDescent="0.35">
      <c r="A57" s="684"/>
      <c r="B57" s="655"/>
      <c r="C57" s="656"/>
      <c r="D57" s="656"/>
      <c r="E57" s="657"/>
      <c r="F57" s="658" t="s">
        <v>718</v>
      </c>
      <c r="G57" s="659"/>
      <c r="H57" s="964"/>
      <c r="I57" s="962">
        <f>SUM(I53:I55)</f>
        <v>0</v>
      </c>
      <c r="J57" s="964"/>
      <c r="K57" s="962">
        <f>SUM(K53:K55)</f>
        <v>0</v>
      </c>
      <c r="L57" s="964"/>
      <c r="M57" s="962">
        <f>SUM(M53:M55)</f>
        <v>0</v>
      </c>
      <c r="N57" s="964"/>
      <c r="O57" s="962">
        <f>SUM(O53:O55)</f>
        <v>0</v>
      </c>
      <c r="P57" s="964"/>
      <c r="Q57" s="962">
        <f>SUM(Q53:Q55)</f>
        <v>0</v>
      </c>
      <c r="R57" s="964"/>
      <c r="S57" s="962">
        <f>SUM(S53:S55)</f>
        <v>0</v>
      </c>
    </row>
    <row r="58" spans="1:19" x14ac:dyDescent="0.35">
      <c r="A58" s="684"/>
      <c r="B58" s="655"/>
      <c r="C58" s="656"/>
      <c r="D58" s="656"/>
      <c r="E58" s="657"/>
      <c r="F58" s="660" t="s">
        <v>719</v>
      </c>
      <c r="G58" s="661"/>
      <c r="H58" s="965"/>
      <c r="I58" s="966" t="e">
        <f>I57/#REF!</f>
        <v>#REF!</v>
      </c>
      <c r="J58" s="965"/>
      <c r="K58" s="966" t="e">
        <f>K57/#REF!</f>
        <v>#REF!</v>
      </c>
      <c r="L58" s="965"/>
      <c r="M58" s="966" t="e">
        <f>M57/#REF!</f>
        <v>#REF!</v>
      </c>
      <c r="N58" s="965"/>
      <c r="O58" s="966" t="e">
        <f>O57/#REF!</f>
        <v>#REF!</v>
      </c>
      <c r="P58" s="965"/>
      <c r="Q58" s="966" t="e">
        <f>Q57/#REF!</f>
        <v>#REF!</v>
      </c>
      <c r="R58" s="965"/>
      <c r="S58" s="966" t="e">
        <f>S57/#REF!</f>
        <v>#REF!</v>
      </c>
    </row>
    <row r="59" spans="1:19" x14ac:dyDescent="0.35">
      <c r="A59" s="684"/>
      <c r="B59" s="655"/>
      <c r="C59" s="656"/>
      <c r="D59" s="656"/>
      <c r="E59" s="657"/>
      <c r="F59" s="660" t="s">
        <v>720</v>
      </c>
      <c r="G59" s="662"/>
      <c r="H59" s="965"/>
      <c r="I59" s="966" t="e">
        <f>I57/#REF!</f>
        <v>#REF!</v>
      </c>
      <c r="J59" s="965"/>
      <c r="K59" s="966" t="e">
        <f>K57/#REF!</f>
        <v>#REF!</v>
      </c>
      <c r="L59" s="965"/>
      <c r="M59" s="966" t="e">
        <f>M57/#REF!</f>
        <v>#REF!</v>
      </c>
      <c r="N59" s="965"/>
      <c r="O59" s="966" t="e">
        <f>O57/#REF!</f>
        <v>#REF!</v>
      </c>
      <c r="P59" s="965"/>
      <c r="Q59" s="966" t="e">
        <f>Q57/#REF!</f>
        <v>#REF!</v>
      </c>
      <c r="R59" s="965"/>
      <c r="S59" s="966" t="e">
        <f>S57/#REF!</f>
        <v>#REF!</v>
      </c>
    </row>
    <row r="60" spans="1:19" ht="15" thickBot="1" x14ac:dyDescent="0.4">
      <c r="A60" s="684"/>
      <c r="B60" s="655"/>
      <c r="C60" s="656"/>
      <c r="D60" s="656"/>
      <c r="E60" s="657"/>
      <c r="F60" s="658"/>
      <c r="G60" s="659"/>
      <c r="H60" s="967"/>
      <c r="I60" s="967"/>
      <c r="J60" s="967"/>
      <c r="K60" s="967"/>
      <c r="L60" s="967"/>
      <c r="M60" s="967"/>
      <c r="N60" s="967"/>
      <c r="O60" s="967"/>
      <c r="P60" s="967"/>
      <c r="Q60" s="967"/>
      <c r="R60" s="967"/>
      <c r="S60" s="967"/>
    </row>
    <row r="61" spans="1:19" ht="15.5" thickTop="1" thickBot="1" x14ac:dyDescent="0.4">
      <c r="A61" s="3764" t="s">
        <v>721</v>
      </c>
      <c r="B61" s="3765"/>
      <c r="C61" s="12"/>
      <c r="D61" s="12"/>
      <c r="E61" s="12"/>
      <c r="F61" s="12"/>
      <c r="G61" s="13"/>
      <c r="H61" s="21"/>
      <c r="I61" s="21"/>
      <c r="J61" s="21"/>
      <c r="K61" s="21"/>
      <c r="L61" s="21"/>
      <c r="M61" s="21"/>
      <c r="N61" s="21"/>
      <c r="O61" s="21"/>
      <c r="P61" s="21"/>
      <c r="Q61" s="21"/>
      <c r="R61" s="21"/>
      <c r="S61" s="21"/>
    </row>
    <row r="62" spans="1:19" ht="15" thickTop="1" x14ac:dyDescent="0.35">
      <c r="A62" s="1015"/>
      <c r="B62" s="641"/>
      <c r="C62" s="1016"/>
      <c r="D62" s="1016"/>
      <c r="E62" s="1016"/>
      <c r="F62" s="1016"/>
      <c r="G62" s="1049"/>
      <c r="H62" s="1050"/>
      <c r="I62" s="1050"/>
      <c r="J62" s="1050"/>
      <c r="K62" s="1050"/>
      <c r="L62" s="1050"/>
      <c r="M62" s="1050"/>
      <c r="N62" s="1050"/>
      <c r="O62" s="1050"/>
      <c r="P62" s="1050"/>
      <c r="Q62" s="1050"/>
      <c r="R62" s="1050"/>
      <c r="S62" s="1050"/>
    </row>
    <row r="63" spans="1:19" x14ac:dyDescent="0.35">
      <c r="A63" s="1015"/>
      <c r="B63" s="641"/>
      <c r="C63" s="1016"/>
      <c r="D63" s="1016"/>
      <c r="E63" s="1016"/>
      <c r="F63" s="1016"/>
      <c r="G63" s="1049"/>
      <c r="H63" s="1050"/>
      <c r="I63" s="1050"/>
      <c r="J63" s="1050"/>
      <c r="K63" s="1050"/>
      <c r="L63" s="1050"/>
      <c r="M63" s="1050"/>
      <c r="N63" s="1050"/>
      <c r="O63" s="1050"/>
      <c r="P63" s="1050"/>
      <c r="Q63" s="1050"/>
      <c r="R63" s="1050"/>
      <c r="S63" s="1050"/>
    </row>
    <row r="64" spans="1:19" ht="15" thickBot="1" x14ac:dyDescent="0.4">
      <c r="A64" s="1015"/>
      <c r="B64" s="641"/>
      <c r="C64" s="1016"/>
      <c r="D64" s="1016"/>
      <c r="E64" s="1016"/>
      <c r="F64" s="1016"/>
      <c r="G64" s="1049"/>
      <c r="H64" s="1050"/>
      <c r="I64" s="1050"/>
      <c r="J64" s="1050"/>
      <c r="K64" s="1050"/>
      <c r="L64" s="1050"/>
      <c r="M64" s="1050"/>
      <c r="N64" s="1050"/>
      <c r="O64" s="1050"/>
      <c r="P64" s="1050"/>
      <c r="Q64" s="1050"/>
      <c r="R64" s="1050"/>
      <c r="S64" s="1050"/>
    </row>
    <row r="65" spans="1:30" s="2" customFormat="1" ht="15.5" thickTop="1" thickBot="1" x14ac:dyDescent="0.4">
      <c r="A65" s="3764" t="s">
        <v>722</v>
      </c>
      <c r="B65" s="3765"/>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ht="15" thickTop="1" x14ac:dyDescent="0.35">
      <c r="A66" s="1015"/>
      <c r="B66" s="641"/>
      <c r="C66" s="1016"/>
      <c r="D66" s="1016"/>
      <c r="E66" s="1016"/>
      <c r="F66" s="1016"/>
      <c r="G66" s="1049"/>
      <c r="H66" s="1050"/>
      <c r="I66" s="1050"/>
      <c r="J66" s="1050"/>
      <c r="K66" s="1050"/>
      <c r="L66" s="1050"/>
      <c r="M66" s="1050"/>
      <c r="N66" s="1050"/>
      <c r="O66" s="1050"/>
      <c r="P66" s="1050"/>
      <c r="Q66" s="1050"/>
      <c r="R66" s="1050"/>
      <c r="S66" s="1050"/>
      <c r="T66"/>
      <c r="U66"/>
      <c r="V66"/>
      <c r="W66"/>
      <c r="X66"/>
      <c r="Y66"/>
      <c r="Z66"/>
      <c r="AA66"/>
      <c r="AB66"/>
      <c r="AC66"/>
      <c r="AD66"/>
    </row>
    <row r="67" spans="1:30" s="2" customFormat="1" x14ac:dyDescent="0.35">
      <c r="A67" s="1015"/>
      <c r="B67" s="641"/>
      <c r="C67" s="1016"/>
      <c r="D67" s="1016"/>
      <c r="E67" s="1016"/>
      <c r="F67" s="1016"/>
      <c r="G67" s="1049"/>
      <c r="H67" s="1050"/>
      <c r="I67" s="1050"/>
      <c r="J67" s="1050"/>
      <c r="K67" s="1050"/>
      <c r="L67" s="1050"/>
      <c r="M67" s="1050"/>
      <c r="N67" s="1050"/>
      <c r="O67" s="1050"/>
      <c r="P67" s="1050"/>
      <c r="Q67" s="1050"/>
      <c r="R67" s="1050"/>
      <c r="S67" s="1050"/>
      <c r="T67"/>
      <c r="U67"/>
      <c r="V67"/>
      <c r="W67"/>
      <c r="X67"/>
      <c r="Y67"/>
      <c r="Z67"/>
      <c r="AA67"/>
      <c r="AB67"/>
      <c r="AC67"/>
      <c r="AD67"/>
    </row>
    <row r="68" spans="1:30" ht="15" thickBot="1" x14ac:dyDescent="0.4">
      <c r="A68" s="1015"/>
      <c r="B68" s="641"/>
      <c r="C68" s="1016"/>
      <c r="D68" s="1016"/>
      <c r="E68" s="1016"/>
      <c r="F68" s="1016"/>
      <c r="G68" s="1049"/>
      <c r="H68" s="1050"/>
      <c r="I68" s="1050"/>
      <c r="J68" s="1050"/>
      <c r="K68" s="1050"/>
      <c r="L68" s="1050"/>
      <c r="M68" s="1050"/>
      <c r="N68" s="1050"/>
      <c r="O68" s="1050"/>
      <c r="P68" s="1050"/>
      <c r="Q68" s="1050"/>
      <c r="R68" s="1050"/>
      <c r="S68" s="1050"/>
    </row>
    <row r="69" spans="1:30" s="2" customFormat="1" ht="15.5" thickTop="1" thickBot="1" x14ac:dyDescent="0.4">
      <c r="A69" s="3764" t="s">
        <v>723</v>
      </c>
      <c r="B69" s="3765"/>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ht="15" thickTop="1" x14ac:dyDescent="0.35">
      <c r="A70" s="1015"/>
      <c r="B70" s="641"/>
      <c r="C70" s="1016"/>
      <c r="D70" s="1016"/>
      <c r="E70" s="1016"/>
      <c r="F70" s="1016"/>
      <c r="G70" s="1049"/>
      <c r="H70" s="1050"/>
      <c r="I70" s="1050"/>
      <c r="J70" s="1050"/>
      <c r="K70" s="1050"/>
      <c r="L70" s="1050"/>
      <c r="M70" s="1050"/>
      <c r="N70" s="1050"/>
      <c r="O70" s="1050"/>
      <c r="P70" s="1050"/>
      <c r="Q70" s="1050"/>
      <c r="R70" s="1050"/>
      <c r="S70" s="1050"/>
      <c r="T70"/>
      <c r="U70"/>
      <c r="V70"/>
      <c r="W70"/>
      <c r="X70"/>
      <c r="Y70"/>
      <c r="Z70"/>
      <c r="AA70"/>
      <c r="AB70"/>
      <c r="AC70"/>
      <c r="AD70"/>
    </row>
    <row r="71" spans="1:30" s="2" customFormat="1" x14ac:dyDescent="0.35">
      <c r="A71" s="689"/>
      <c r="B71" s="641"/>
      <c r="C71" s="642"/>
      <c r="D71" s="642"/>
      <c r="E71" s="642"/>
      <c r="F71" s="642"/>
      <c r="G71" s="646"/>
      <c r="H71" s="973"/>
      <c r="I71" s="973"/>
      <c r="J71" s="973"/>
      <c r="K71" s="973"/>
      <c r="L71" s="973"/>
      <c r="M71" s="973"/>
      <c r="N71" s="973"/>
      <c r="O71" s="973"/>
      <c r="P71" s="973"/>
      <c r="Q71" s="973"/>
      <c r="R71" s="973"/>
      <c r="S71" s="973"/>
      <c r="T71"/>
      <c r="U71"/>
      <c r="V71"/>
      <c r="W71"/>
      <c r="X71"/>
      <c r="Y71"/>
      <c r="Z71"/>
      <c r="AA71"/>
      <c r="AB71"/>
      <c r="AC71"/>
      <c r="AD71"/>
    </row>
    <row r="72" spans="1:30" s="2" customFormat="1" ht="15" thickBot="1" x14ac:dyDescent="0.4">
      <c r="A72" s="686"/>
      <c r="B72" s="665"/>
      <c r="C72" s="642"/>
      <c r="D72" s="642"/>
      <c r="E72" s="642"/>
      <c r="F72" s="642"/>
      <c r="G72" s="646"/>
      <c r="H72" s="974"/>
      <c r="I72" s="974"/>
      <c r="J72" s="974"/>
      <c r="K72" s="974"/>
      <c r="L72" s="974"/>
      <c r="M72" s="974"/>
      <c r="N72" s="974"/>
      <c r="O72" s="974"/>
      <c r="P72" s="974"/>
      <c r="Q72" s="974"/>
      <c r="R72" s="974"/>
      <c r="S72" s="974"/>
    </row>
    <row r="73" spans="1:30" s="2" customFormat="1" ht="15.5" thickTop="1" thickBot="1" x14ac:dyDescent="0.4">
      <c r="A73" s="3764" t="s">
        <v>724</v>
      </c>
      <c r="B73" s="3765"/>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ht="15" thickTop="1" x14ac:dyDescent="0.35">
      <c r="A74" s="1051"/>
      <c r="B74" s="1052"/>
      <c r="C74" s="1016"/>
      <c r="D74" s="1016"/>
      <c r="E74" s="1016"/>
      <c r="F74" s="1016"/>
      <c r="G74" s="1049"/>
      <c r="H74" s="1050"/>
      <c r="I74" s="1050"/>
      <c r="J74" s="1050"/>
      <c r="K74" s="1050"/>
      <c r="L74" s="1050"/>
      <c r="M74" s="1050"/>
      <c r="N74" s="1050"/>
      <c r="O74" s="1050"/>
      <c r="P74" s="1050"/>
      <c r="Q74" s="1050"/>
      <c r="R74" s="1050"/>
      <c r="S74" s="1050"/>
      <c r="T74" s="2"/>
      <c r="U74" s="2"/>
      <c r="V74" s="2"/>
      <c r="W74" s="2"/>
      <c r="X74" s="2"/>
      <c r="Y74" s="2"/>
      <c r="Z74" s="2"/>
      <c r="AA74" s="2"/>
      <c r="AB74" s="2"/>
      <c r="AC74" s="2"/>
      <c r="AD74" s="2"/>
    </row>
    <row r="75" spans="1:30" x14ac:dyDescent="0.35">
      <c r="A75" s="686"/>
      <c r="B75" s="665"/>
      <c r="C75" s="642"/>
      <c r="D75" s="642"/>
      <c r="E75" s="642"/>
      <c r="F75" s="642"/>
      <c r="G75" s="646"/>
      <c r="H75" s="977"/>
      <c r="I75" s="977"/>
      <c r="J75" s="977"/>
      <c r="K75" s="977"/>
      <c r="L75" s="977"/>
      <c r="M75" s="977"/>
      <c r="N75" s="977"/>
      <c r="O75" s="977"/>
      <c r="P75" s="977"/>
      <c r="Q75" s="977"/>
      <c r="R75" s="977"/>
      <c r="S75" s="977"/>
      <c r="T75" s="2"/>
      <c r="U75" s="2"/>
      <c r="V75" s="2"/>
      <c r="W75" s="2"/>
      <c r="X75" s="2"/>
      <c r="Y75" s="2"/>
      <c r="Z75" s="2"/>
      <c r="AA75" s="2"/>
      <c r="AB75" s="2"/>
      <c r="AC75" s="2"/>
      <c r="AD75" s="2"/>
    </row>
    <row r="76" spans="1:30" ht="15" thickBot="1" x14ac:dyDescent="0.4">
      <c r="A76" s="686"/>
      <c r="B76" s="665"/>
      <c r="C76" s="642"/>
      <c r="D76" s="642"/>
      <c r="E76" s="642"/>
      <c r="F76" s="642"/>
      <c r="G76" s="646"/>
      <c r="H76" s="977"/>
      <c r="I76" s="977"/>
      <c r="J76" s="977"/>
      <c r="K76" s="977"/>
      <c r="L76" s="977"/>
      <c r="M76" s="977"/>
      <c r="N76" s="977"/>
      <c r="O76" s="977"/>
      <c r="P76" s="977"/>
      <c r="Q76" s="977"/>
      <c r="R76" s="977"/>
      <c r="S76" s="977"/>
      <c r="T76" s="2"/>
      <c r="U76" s="2"/>
      <c r="V76" s="2"/>
      <c r="W76" s="2"/>
      <c r="X76" s="2"/>
      <c r="Y76" s="2"/>
      <c r="Z76" s="2"/>
      <c r="AA76" s="2"/>
      <c r="AB76" s="2"/>
      <c r="AC76" s="2"/>
      <c r="AD76" s="2"/>
    </row>
    <row r="77" spans="1:30" ht="15.5" thickTop="1" thickBot="1" x14ac:dyDescent="0.4">
      <c r="A77" s="3764" t="s">
        <v>725</v>
      </c>
      <c r="B77" s="3765"/>
      <c r="C77" s="12"/>
      <c r="D77" s="12"/>
      <c r="E77" s="12"/>
      <c r="F77" s="12"/>
      <c r="G77" s="13"/>
      <c r="H77" s="21"/>
      <c r="I77" s="21"/>
      <c r="J77" s="21"/>
      <c r="K77" s="21"/>
      <c r="L77" s="21"/>
      <c r="M77" s="21"/>
      <c r="N77" s="21"/>
      <c r="O77" s="21"/>
      <c r="P77" s="21"/>
      <c r="Q77" s="21"/>
      <c r="R77" s="21"/>
      <c r="S77" s="21"/>
    </row>
    <row r="78" spans="1:30" ht="15" thickTop="1" x14ac:dyDescent="0.35">
      <c r="A78" s="689"/>
      <c r="B78" s="641" t="s">
        <v>726</v>
      </c>
      <c r="C78" s="642"/>
      <c r="D78" s="642"/>
      <c r="E78" s="642"/>
      <c r="F78" s="642"/>
      <c r="G78" s="646"/>
      <c r="H78" s="977"/>
      <c r="I78" s="977"/>
      <c r="J78" s="977"/>
      <c r="K78" s="977"/>
      <c r="L78" s="977"/>
      <c r="M78" s="977"/>
      <c r="N78" s="977"/>
      <c r="O78" s="977"/>
      <c r="P78" s="977"/>
      <c r="Q78" s="977"/>
      <c r="R78" s="977"/>
      <c r="S78" s="977"/>
    </row>
    <row r="79" spans="1:30" x14ac:dyDescent="0.35">
      <c r="A79" s="689"/>
      <c r="B79" s="641" t="s">
        <v>727</v>
      </c>
      <c r="C79" s="642"/>
      <c r="D79" s="642"/>
      <c r="E79" s="642"/>
      <c r="F79" s="642"/>
      <c r="G79" s="646"/>
      <c r="H79" s="977"/>
      <c r="I79" s="977"/>
      <c r="J79" s="977"/>
      <c r="K79" s="977"/>
      <c r="L79" s="977"/>
      <c r="M79" s="977"/>
      <c r="N79" s="977"/>
      <c r="O79" s="977"/>
      <c r="P79" s="977"/>
      <c r="Q79" s="977"/>
      <c r="R79" s="977"/>
      <c r="S79" s="977"/>
    </row>
    <row r="80" spans="1:30" x14ac:dyDescent="0.35">
      <c r="A80" s="689"/>
      <c r="B80" s="641" t="s">
        <v>728</v>
      </c>
      <c r="C80" s="642"/>
      <c r="D80" s="642"/>
      <c r="E80" s="642"/>
      <c r="F80" s="642"/>
      <c r="G80" s="646"/>
      <c r="H80" s="977"/>
      <c r="I80" s="977"/>
      <c r="J80" s="977"/>
      <c r="K80" s="977"/>
      <c r="L80" s="977"/>
      <c r="M80" s="977"/>
      <c r="N80" s="977"/>
      <c r="O80" s="977"/>
      <c r="P80" s="977"/>
      <c r="Q80" s="977"/>
      <c r="R80" s="977"/>
      <c r="S80" s="977"/>
    </row>
    <row r="81" spans="1:19" x14ac:dyDescent="0.35">
      <c r="A81" s="689"/>
      <c r="B81" s="641" t="s">
        <v>729</v>
      </c>
      <c r="C81" s="642"/>
      <c r="D81" s="642"/>
      <c r="E81" s="642"/>
      <c r="F81" s="642"/>
      <c r="G81" s="646"/>
      <c r="H81" s="977"/>
      <c r="I81" s="977"/>
      <c r="J81" s="977"/>
      <c r="K81" s="977"/>
      <c r="L81" s="977"/>
      <c r="M81" s="977"/>
      <c r="N81" s="977"/>
      <c r="O81" s="977"/>
      <c r="P81" s="977"/>
      <c r="Q81" s="977"/>
      <c r="R81" s="977"/>
      <c r="S81" s="977"/>
    </row>
    <row r="82" spans="1:19" ht="15" thickBot="1" x14ac:dyDescent="0.4">
      <c r="A82" s="978"/>
      <c r="B82" s="939"/>
      <c r="C82" s="940"/>
      <c r="D82" s="940"/>
      <c r="E82" s="940"/>
      <c r="F82" s="940"/>
      <c r="G82" s="1039"/>
      <c r="H82" s="981"/>
      <c r="I82" s="981"/>
      <c r="J82" s="981"/>
      <c r="K82" s="981"/>
      <c r="L82" s="981"/>
      <c r="M82" s="981"/>
      <c r="N82" s="981"/>
      <c r="O82" s="981"/>
      <c r="P82" s="981"/>
      <c r="Q82" s="981"/>
      <c r="R82" s="981"/>
      <c r="S82" s="981"/>
    </row>
    <row r="83" spans="1:19" ht="15.5" thickTop="1" thickBot="1" x14ac:dyDescent="0.4">
      <c r="A83" s="7" t="s">
        <v>730</v>
      </c>
      <c r="B83" s="8"/>
      <c r="C83" s="12"/>
      <c r="D83" s="12"/>
      <c r="E83" s="12"/>
      <c r="F83" s="12"/>
      <c r="G83" s="13"/>
      <c r="H83" s="21"/>
      <c r="I83" s="21"/>
      <c r="J83" s="21"/>
      <c r="K83" s="21"/>
      <c r="L83" s="21"/>
      <c r="M83" s="21"/>
      <c r="N83" s="21"/>
      <c r="O83" s="21"/>
      <c r="P83" s="21"/>
      <c r="Q83" s="21"/>
      <c r="R83" s="21"/>
      <c r="S83" s="21"/>
    </row>
    <row r="84" spans="1:19" ht="15" thickTop="1" x14ac:dyDescent="0.35">
      <c r="A84" s="1015"/>
      <c r="B84" s="1053" t="s">
        <v>731</v>
      </c>
      <c r="C84" s="1016"/>
      <c r="D84" s="1016"/>
      <c r="E84" s="1016"/>
      <c r="F84" s="1016"/>
      <c r="G84" s="1049"/>
      <c r="H84" s="1054"/>
      <c r="I84" s="1054"/>
      <c r="J84" s="1054"/>
      <c r="K84" s="1054"/>
      <c r="L84" s="1054"/>
      <c r="M84" s="1054"/>
      <c r="N84" s="1054"/>
      <c r="O84" s="1054"/>
      <c r="P84" s="1054"/>
      <c r="Q84" s="1054"/>
      <c r="R84" s="1054"/>
      <c r="S84" s="1054"/>
    </row>
    <row r="85" spans="1:19" x14ac:dyDescent="0.35">
      <c r="A85" s="689"/>
      <c r="B85" s="641" t="s">
        <v>732</v>
      </c>
      <c r="C85" s="642"/>
      <c r="D85" s="642"/>
      <c r="E85" s="642"/>
      <c r="F85" s="642"/>
      <c r="G85" s="646"/>
      <c r="H85" s="984"/>
      <c r="I85" s="984"/>
      <c r="J85" s="984"/>
      <c r="K85" s="984"/>
      <c r="L85" s="984"/>
      <c r="M85" s="984"/>
      <c r="N85" s="984"/>
      <c r="O85" s="984"/>
      <c r="P85" s="984"/>
      <c r="Q85" s="984"/>
      <c r="R85" s="984"/>
      <c r="S85" s="984"/>
    </row>
    <row r="86" spans="1:19" ht="15" thickBot="1" x14ac:dyDescent="0.4">
      <c r="A86" s="985"/>
      <c r="B86" s="986" t="s">
        <v>733</v>
      </c>
      <c r="C86" s="987"/>
      <c r="D86" s="987"/>
      <c r="E86" s="987"/>
      <c r="F86" s="987"/>
      <c r="G86" s="1040"/>
      <c r="H86" s="990"/>
      <c r="I86" s="990"/>
      <c r="J86" s="990"/>
      <c r="K86" s="990"/>
      <c r="L86" s="990"/>
      <c r="M86" s="990"/>
      <c r="N86" s="990"/>
      <c r="O86" s="990"/>
      <c r="P86" s="990"/>
      <c r="Q86" s="990"/>
      <c r="R86" s="990"/>
      <c r="S86" s="990"/>
    </row>
    <row r="87" spans="1:19" ht="15.5" thickTop="1" thickBot="1" x14ac:dyDescent="0.4"/>
    <row r="88" spans="1:19" ht="15.5" thickTop="1" thickBot="1" x14ac:dyDescent="0.4">
      <c r="A88" s="78" t="s">
        <v>734</v>
      </c>
      <c r="B88" s="80"/>
    </row>
    <row r="89" spans="1:19" ht="15" thickTop="1" x14ac:dyDescent="0.35">
      <c r="A89" s="79" t="s">
        <v>632</v>
      </c>
      <c r="B89" s="991"/>
    </row>
    <row r="90" spans="1:19" x14ac:dyDescent="0.35">
      <c r="A90" s="687" t="s">
        <v>636</v>
      </c>
      <c r="B90" s="991"/>
    </row>
    <row r="91" spans="1:19" x14ac:dyDescent="0.35">
      <c r="A91" s="992" t="s">
        <v>639</v>
      </c>
      <c r="B91" s="993"/>
    </row>
    <row r="92" spans="1:19" x14ac:dyDescent="0.35">
      <c r="A92" s="992" t="s">
        <v>642</v>
      </c>
      <c r="B92" s="994"/>
    </row>
    <row r="93" spans="1:19" ht="15" thickBot="1" x14ac:dyDescent="0.4">
      <c r="A93" s="995" t="s">
        <v>735</v>
      </c>
      <c r="B93" s="996"/>
    </row>
    <row r="94" spans="1:19" ht="15" thickTop="1" x14ac:dyDescent="0.35"/>
    <row r="95" spans="1:19" x14ac:dyDescent="0.35">
      <c r="A95" s="81"/>
      <c r="B95" s="1" t="s">
        <v>736</v>
      </c>
    </row>
    <row r="96" spans="1:19" x14ac:dyDescent="0.35">
      <c r="A96" s="82"/>
      <c r="B96" s="1" t="s">
        <v>737</v>
      </c>
    </row>
  </sheetData>
  <mergeCells count="47">
    <mergeCell ref="A61:B61"/>
    <mergeCell ref="A65:B65"/>
    <mergeCell ref="A69:B69"/>
    <mergeCell ref="A73:B73"/>
    <mergeCell ref="A77:B7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1">
    <cfRule type="cellIs" dxfId="3001" priority="25" operator="equal">
      <formula>"X"</formula>
    </cfRule>
    <cfRule type="cellIs" dxfId="3000" priority="26" operator="equal">
      <formula>"I"</formula>
    </cfRule>
  </conditionalFormatting>
  <conditionalFormatting sqref="H33:H52">
    <cfRule type="cellIs" dxfId="2999" priority="1" operator="equal">
      <formula>"X"</formula>
    </cfRule>
    <cfRule type="cellIs" dxfId="2998" priority="2" operator="equal">
      <formula>"I"</formula>
    </cfRule>
  </conditionalFormatting>
  <conditionalFormatting sqref="J20:J31">
    <cfRule type="cellIs" dxfId="2997" priority="23" operator="equal">
      <formula>"X"</formula>
    </cfRule>
    <cfRule type="cellIs" dxfId="2996" priority="24" operator="equal">
      <formula>"I"</formula>
    </cfRule>
  </conditionalFormatting>
  <conditionalFormatting sqref="J33:J52">
    <cfRule type="cellIs" dxfId="2995" priority="3" operator="equal">
      <formula>"X"</formula>
    </cfRule>
    <cfRule type="cellIs" dxfId="2994" priority="4" operator="equal">
      <formula>"I"</formula>
    </cfRule>
  </conditionalFormatting>
  <conditionalFormatting sqref="L20:L31">
    <cfRule type="cellIs" dxfId="2993" priority="21" operator="equal">
      <formula>"X"</formula>
    </cfRule>
    <cfRule type="cellIs" dxfId="2992" priority="22" operator="equal">
      <formula>"I"</formula>
    </cfRule>
  </conditionalFormatting>
  <conditionalFormatting sqref="L33:L52">
    <cfRule type="cellIs" dxfId="2991" priority="5" operator="equal">
      <formula>"X"</formula>
    </cfRule>
    <cfRule type="cellIs" dxfId="2990" priority="6" operator="equal">
      <formula>"I"</formula>
    </cfRule>
  </conditionalFormatting>
  <conditionalFormatting sqref="N20:N31">
    <cfRule type="cellIs" dxfId="2989" priority="19" operator="equal">
      <formula>"X"</formula>
    </cfRule>
    <cfRule type="cellIs" dxfId="2988" priority="20" operator="equal">
      <formula>"I"</formula>
    </cfRule>
  </conditionalFormatting>
  <conditionalFormatting sqref="N33:N52">
    <cfRule type="cellIs" dxfId="2987" priority="7" operator="equal">
      <formula>"X"</formula>
    </cfRule>
    <cfRule type="cellIs" dxfId="2986" priority="8" operator="equal">
      <formula>"I"</formula>
    </cfRule>
  </conditionalFormatting>
  <conditionalFormatting sqref="P20:P31">
    <cfRule type="cellIs" dxfId="2985" priority="17" operator="equal">
      <formula>"X"</formula>
    </cfRule>
    <cfRule type="cellIs" dxfId="2984" priority="18" operator="equal">
      <formula>"I"</formula>
    </cfRule>
  </conditionalFormatting>
  <conditionalFormatting sqref="P33:P52">
    <cfRule type="cellIs" dxfId="2983" priority="9" operator="equal">
      <formula>"X"</formula>
    </cfRule>
    <cfRule type="cellIs" dxfId="2982" priority="10" operator="equal">
      <formula>"I"</formula>
    </cfRule>
  </conditionalFormatting>
  <conditionalFormatting sqref="R20:R31">
    <cfRule type="cellIs" dxfId="2981" priority="15" operator="equal">
      <formula>"X"</formula>
    </cfRule>
    <cfRule type="cellIs" dxfId="2980" priority="16" operator="equal">
      <formula>"I"</formula>
    </cfRule>
  </conditionalFormatting>
  <conditionalFormatting sqref="R33:R52">
    <cfRule type="cellIs" dxfId="2979" priority="13" operator="equal">
      <formula>"X"</formula>
    </cfRule>
    <cfRule type="cellIs" dxfId="2978" priority="14" operator="equal">
      <formula>"I"</formula>
    </cfRule>
  </conditionalFormatting>
  <hyperlinks>
    <hyperlink ref="B3" location="'Cost Summary'!A1" display="BACK TO SUMMARY SHEET" xr:uid="{76FC4D21-3FB0-40C4-B5AF-A53DD41514F3}"/>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EA26-900F-4944-A258-1EBBB22C43B5}">
  <sheetPr>
    <tabColor rgb="FF92D050"/>
  </sheetPr>
  <dimension ref="A1:AD96"/>
  <sheetViews>
    <sheetView zoomScale="112" zoomScaleNormal="112" workbookViewId="0">
      <pane xSplit="2" ySplit="9" topLeftCell="C30" activePane="bottomRight" state="frozen"/>
      <selection pane="topRight" activeCell="C1" sqref="C1"/>
      <selection pane="bottomLeft" activeCell="A12" sqref="A12"/>
      <selection pane="bottomRight" activeCell="B30" sqref="B30"/>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x14ac:dyDescent="0.35">
      <c r="E2" s="87"/>
      <c r="F2" s="122" t="s">
        <v>622</v>
      </c>
      <c r="G2" s="123" t="s">
        <v>451</v>
      </c>
      <c r="H2" s="3751"/>
      <c r="I2" s="3751"/>
      <c r="J2" s="3751"/>
      <c r="K2" s="3751"/>
      <c r="L2" s="3751"/>
      <c r="M2" s="3751"/>
      <c r="N2" s="3751"/>
      <c r="O2" s="3751"/>
      <c r="P2" s="3751"/>
      <c r="Q2" s="3751"/>
      <c r="R2" s="3751"/>
      <c r="S2" s="3751"/>
    </row>
    <row r="3" spans="1:19" ht="19.5" x14ac:dyDescent="0.35">
      <c r="B3" s="137" t="s">
        <v>623</v>
      </c>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768</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769</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x14ac:dyDescent="0.35">
      <c r="A8" s="938" t="s">
        <v>644</v>
      </c>
      <c r="B8" s="939"/>
      <c r="C8" s="940"/>
      <c r="D8" s="940"/>
      <c r="E8" s="940"/>
      <c r="F8" s="940"/>
      <c r="G8" s="1024" t="s">
        <v>644</v>
      </c>
      <c r="H8" s="3760">
        <f>I57</f>
        <v>0</v>
      </c>
      <c r="I8" s="3761"/>
      <c r="J8" s="3760">
        <f>K57</f>
        <v>0</v>
      </c>
      <c r="K8" s="3761"/>
      <c r="L8" s="3760">
        <f>M57</f>
        <v>0</v>
      </c>
      <c r="M8" s="3761"/>
      <c r="N8" s="3760">
        <f>O57</f>
        <v>0</v>
      </c>
      <c r="O8" s="3761"/>
      <c r="P8" s="3760">
        <f>Q57</f>
        <v>0</v>
      </c>
      <c r="Q8" s="3761"/>
      <c r="R8" s="3760">
        <f>S57</f>
        <v>0</v>
      </c>
      <c r="S8" s="3761"/>
    </row>
    <row r="9" spans="1:19" ht="29" x14ac:dyDescent="0.35">
      <c r="A9" s="132" t="s">
        <v>645</v>
      </c>
      <c r="B9" s="135"/>
      <c r="C9" s="134" t="s">
        <v>646</v>
      </c>
      <c r="D9" s="133"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1055"/>
      <c r="B10" s="1056" t="s">
        <v>653</v>
      </c>
      <c r="C10" s="1057"/>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x14ac:dyDescent="0.35">
      <c r="A20" s="1045"/>
      <c r="B20" s="1046"/>
      <c r="C20" s="681"/>
      <c r="D20" s="642"/>
      <c r="E20" s="642"/>
      <c r="F20" s="642"/>
      <c r="G20" s="646"/>
      <c r="H20" s="943"/>
      <c r="I20" s="942"/>
      <c r="J20" s="943"/>
      <c r="K20" s="942"/>
      <c r="L20" s="943"/>
      <c r="M20" s="942"/>
      <c r="N20" s="943"/>
      <c r="O20" s="942"/>
      <c r="P20" s="943"/>
      <c r="Q20" s="942"/>
      <c r="R20" s="943"/>
      <c r="S20" s="942"/>
    </row>
    <row r="21" spans="1:19" x14ac:dyDescent="0.35">
      <c r="A21" s="1058"/>
      <c r="B21" s="1047" t="s">
        <v>768</v>
      </c>
      <c r="C21" s="681"/>
      <c r="D21" s="642"/>
      <c r="E21" s="642"/>
      <c r="F21" s="642"/>
      <c r="G21" s="646"/>
      <c r="H21" s="943"/>
      <c r="I21" s="1030"/>
      <c r="J21" s="943"/>
      <c r="K21" s="1031"/>
      <c r="L21" s="943"/>
      <c r="M21" s="1031"/>
      <c r="N21" s="943"/>
      <c r="O21" s="1031"/>
      <c r="P21" s="943"/>
      <c r="Q21" s="1031"/>
      <c r="R21" s="943"/>
      <c r="S21" s="1031"/>
    </row>
    <row r="22" spans="1:19" ht="15.5" hidden="1" x14ac:dyDescent="0.35">
      <c r="A22" s="1058"/>
      <c r="B22" s="1059" t="s">
        <v>656</v>
      </c>
      <c r="C22" s="681"/>
      <c r="D22" s="642"/>
      <c r="E22" s="642"/>
      <c r="F22" s="642"/>
      <c r="G22" s="646"/>
      <c r="H22" s="943"/>
      <c r="I22" s="1030"/>
      <c r="J22" s="943"/>
      <c r="K22" s="1031"/>
      <c r="L22" s="943"/>
      <c r="M22" s="1031"/>
      <c r="N22" s="943"/>
      <c r="O22" s="1031"/>
      <c r="P22" s="943"/>
      <c r="Q22" s="1031"/>
      <c r="R22" s="943"/>
      <c r="S22" s="1031"/>
    </row>
    <row r="23" spans="1:19" ht="15.5" x14ac:dyDescent="0.35">
      <c r="A23" s="1058"/>
      <c r="B23" s="602" t="s">
        <v>657</v>
      </c>
      <c r="C23" s="681"/>
      <c r="D23" s="642"/>
      <c r="E23" s="642"/>
      <c r="F23" s="642"/>
      <c r="G23" s="646"/>
      <c r="H23" s="943"/>
      <c r="I23" s="1030"/>
      <c r="J23" s="943"/>
      <c r="K23" s="83"/>
      <c r="L23" s="943"/>
      <c r="M23" s="1031"/>
      <c r="N23" s="943"/>
      <c r="O23" s="1031"/>
      <c r="P23" s="943"/>
      <c r="Q23" s="1031"/>
      <c r="R23" s="943"/>
      <c r="S23" s="1031"/>
    </row>
    <row r="24" spans="1:19" x14ac:dyDescent="0.35">
      <c r="A24" s="1060"/>
      <c r="B24" s="947" t="s">
        <v>658</v>
      </c>
      <c r="C24" s="647"/>
      <c r="D24" s="642"/>
      <c r="E24" s="642"/>
      <c r="F24" s="642"/>
      <c r="G24" s="646"/>
      <c r="H24" s="943"/>
      <c r="I24" s="1030"/>
      <c r="J24" s="943"/>
      <c r="K24" s="1031"/>
      <c r="L24" s="943"/>
      <c r="M24" s="1031"/>
      <c r="N24" s="943"/>
      <c r="O24" s="1031"/>
      <c r="P24" s="943"/>
      <c r="Q24" s="1031"/>
      <c r="R24" s="943"/>
      <c r="S24" s="1031"/>
    </row>
    <row r="25" spans="1:19" x14ac:dyDescent="0.35">
      <c r="A25" s="683"/>
      <c r="B25" s="1061" t="s">
        <v>659</v>
      </c>
      <c r="C25" s="647"/>
      <c r="D25" s="642"/>
      <c r="E25" s="642"/>
      <c r="F25" s="642"/>
      <c r="G25" s="646"/>
      <c r="H25" s="943"/>
      <c r="I25" s="1030"/>
      <c r="J25" s="943"/>
      <c r="K25" s="1031"/>
      <c r="L25" s="943"/>
      <c r="M25" s="1031"/>
      <c r="N25" s="943"/>
      <c r="O25" s="1031"/>
      <c r="P25" s="943"/>
      <c r="Q25" s="1031"/>
      <c r="R25" s="943"/>
      <c r="S25" s="1031"/>
    </row>
    <row r="26" spans="1:19" x14ac:dyDescent="0.35">
      <c r="A26" s="1060"/>
      <c r="B26" s="1062" t="s">
        <v>660</v>
      </c>
      <c r="C26" s="647"/>
      <c r="D26" s="642"/>
      <c r="E26" s="642"/>
      <c r="F26" s="642"/>
      <c r="G26" s="646"/>
      <c r="H26" s="943"/>
      <c r="I26" s="1030"/>
      <c r="J26" s="943"/>
      <c r="K26" s="1031"/>
      <c r="L26" s="943"/>
      <c r="M26" s="1031"/>
      <c r="N26" s="943"/>
      <c r="O26" s="1031"/>
      <c r="P26" s="943"/>
      <c r="Q26" s="1031"/>
      <c r="R26" s="943"/>
      <c r="S26" s="1031"/>
    </row>
    <row r="27" spans="1:19" x14ac:dyDescent="0.35">
      <c r="A27" s="683"/>
      <c r="B27" s="1062" t="s">
        <v>661</v>
      </c>
      <c r="C27" s="647"/>
      <c r="D27" s="642"/>
      <c r="E27" s="642"/>
      <c r="F27" s="642"/>
      <c r="G27" s="646"/>
      <c r="H27" s="943"/>
      <c r="I27" s="1030"/>
      <c r="J27" s="943"/>
      <c r="K27" s="1030"/>
      <c r="L27" s="943"/>
      <c r="M27" s="1030"/>
      <c r="N27" s="943"/>
      <c r="O27" s="1030"/>
      <c r="P27" s="943"/>
      <c r="Q27" s="1030"/>
      <c r="R27" s="943"/>
      <c r="S27" s="1030"/>
    </row>
    <row r="28" spans="1:19" x14ac:dyDescent="0.35">
      <c r="A28" s="1060"/>
      <c r="B28" s="1062" t="s">
        <v>662</v>
      </c>
      <c r="C28" s="647"/>
      <c r="D28" s="642"/>
      <c r="E28" s="642"/>
      <c r="F28" s="642"/>
      <c r="G28" s="646"/>
      <c r="H28" s="943"/>
      <c r="I28" s="1030"/>
      <c r="J28" s="943"/>
      <c r="K28" s="1031"/>
      <c r="L28" s="943"/>
      <c r="M28" s="1031"/>
      <c r="N28" s="943"/>
      <c r="O28" s="1031"/>
      <c r="P28" s="943"/>
      <c r="Q28" s="1031"/>
      <c r="R28" s="943"/>
      <c r="S28" s="1031"/>
    </row>
    <row r="29" spans="1:19" x14ac:dyDescent="0.35">
      <c r="A29" s="683"/>
      <c r="B29" s="1062" t="s">
        <v>663</v>
      </c>
      <c r="C29" s="647"/>
      <c r="D29" s="642"/>
      <c r="E29" s="642"/>
      <c r="F29" s="642"/>
      <c r="G29" s="646"/>
      <c r="H29" s="943"/>
      <c r="I29" s="1030"/>
      <c r="J29" s="943"/>
      <c r="K29" s="1031"/>
      <c r="L29" s="943"/>
      <c r="M29" s="1031"/>
      <c r="N29" s="943"/>
      <c r="O29" s="1031"/>
      <c r="P29" s="943"/>
      <c r="Q29" s="1031"/>
      <c r="R29" s="943"/>
      <c r="S29" s="1031"/>
    </row>
    <row r="30" spans="1:19" x14ac:dyDescent="0.35">
      <c r="A30" s="1060"/>
      <c r="B30" s="1062" t="s">
        <v>742</v>
      </c>
      <c r="C30" s="647"/>
      <c r="D30" s="642"/>
      <c r="E30" s="642"/>
      <c r="F30" s="642"/>
      <c r="G30" s="646"/>
      <c r="H30" s="943"/>
      <c r="I30" s="1063"/>
      <c r="J30" s="943"/>
      <c r="K30" s="1064"/>
      <c r="L30" s="943"/>
      <c r="M30" s="1064"/>
      <c r="N30" s="943"/>
      <c r="O30" s="1064"/>
      <c r="P30" s="943"/>
      <c r="Q30" s="1064"/>
      <c r="R30" s="943"/>
      <c r="S30" s="1064"/>
    </row>
    <row r="31" spans="1:19" x14ac:dyDescent="0.35">
      <c r="A31" s="1060"/>
      <c r="B31" s="1065" t="s">
        <v>664</v>
      </c>
      <c r="C31" s="647"/>
      <c r="D31" s="642"/>
      <c r="E31" s="642"/>
      <c r="F31" s="642"/>
      <c r="G31" s="646"/>
      <c r="H31" s="943"/>
      <c r="I31" s="1030"/>
      <c r="J31" s="943"/>
      <c r="K31" s="1031"/>
      <c r="L31" s="943"/>
      <c r="M31" s="1031"/>
      <c r="N31" s="943"/>
      <c r="O31" s="1031"/>
      <c r="P31" s="943"/>
      <c r="Q31" s="1031"/>
      <c r="R31" s="943"/>
      <c r="S31" s="1031"/>
    </row>
    <row r="32" spans="1:19" x14ac:dyDescent="0.35">
      <c r="A32" s="683"/>
      <c r="B32" s="1066" t="s">
        <v>665</v>
      </c>
      <c r="C32" s="649"/>
      <c r="D32" s="650"/>
      <c r="E32" s="650"/>
      <c r="F32" s="650"/>
      <c r="G32" s="952"/>
      <c r="H32" s="636"/>
      <c r="I32" s="1067"/>
      <c r="J32" s="636"/>
      <c r="K32" s="1068"/>
      <c r="L32" s="636"/>
      <c r="M32" s="1068"/>
      <c r="N32" s="636"/>
      <c r="O32" s="1068"/>
      <c r="P32" s="636"/>
      <c r="Q32" s="1068"/>
      <c r="R32" s="636"/>
      <c r="S32" s="1068"/>
    </row>
    <row r="33" spans="1:19" x14ac:dyDescent="0.35">
      <c r="A33" s="1060"/>
      <c r="B33" s="1069"/>
      <c r="C33" s="647"/>
      <c r="D33" s="642"/>
      <c r="E33" s="642"/>
      <c r="F33" s="642"/>
      <c r="G33" s="646"/>
      <c r="H33" s="943"/>
      <c r="I33" s="1030"/>
      <c r="J33" s="943"/>
      <c r="K33" s="1031"/>
      <c r="L33" s="943"/>
      <c r="M33" s="1031"/>
      <c r="N33" s="943"/>
      <c r="O33" s="1031"/>
      <c r="P33" s="943"/>
      <c r="Q33" s="1031"/>
      <c r="R33" s="943"/>
      <c r="S33" s="1031"/>
    </row>
    <row r="34" spans="1:19" x14ac:dyDescent="0.35">
      <c r="A34" s="683"/>
      <c r="B34" s="1037"/>
      <c r="C34" s="647"/>
      <c r="D34" s="642"/>
      <c r="E34" s="642"/>
      <c r="F34" s="642"/>
      <c r="G34" s="646"/>
      <c r="H34" s="943"/>
      <c r="I34" s="1030"/>
      <c r="J34" s="943"/>
      <c r="K34" s="1031"/>
      <c r="L34" s="943"/>
      <c r="M34" s="1031"/>
      <c r="N34" s="943"/>
      <c r="O34" s="1031"/>
      <c r="P34" s="943"/>
      <c r="Q34" s="1031"/>
      <c r="R34" s="943"/>
      <c r="S34" s="1031"/>
    </row>
    <row r="35" spans="1:19" x14ac:dyDescent="0.35">
      <c r="A35" s="1060"/>
      <c r="B35" s="705"/>
      <c r="C35" s="647"/>
      <c r="D35" s="642"/>
      <c r="E35" s="642"/>
      <c r="F35" s="642"/>
      <c r="G35" s="646"/>
      <c r="H35" s="943" t="s">
        <v>671</v>
      </c>
      <c r="I35" s="1030"/>
      <c r="J35" s="943"/>
      <c r="K35" s="1031"/>
      <c r="L35" s="943"/>
      <c r="M35" s="1031"/>
      <c r="N35" s="943"/>
      <c r="O35" s="1031"/>
      <c r="P35" s="943"/>
      <c r="Q35" s="1031"/>
      <c r="R35" s="943"/>
      <c r="S35" s="1031"/>
    </row>
    <row r="36" spans="1:19" x14ac:dyDescent="0.35">
      <c r="A36" s="683"/>
      <c r="B36" s="705"/>
      <c r="C36" s="647"/>
      <c r="D36" s="642"/>
      <c r="E36" s="642"/>
      <c r="F36" s="642"/>
      <c r="G36" s="646"/>
      <c r="H36" s="943"/>
      <c r="I36" s="1030"/>
      <c r="J36" s="943"/>
      <c r="K36" s="1031"/>
      <c r="L36" s="943"/>
      <c r="M36" s="1031"/>
      <c r="N36" s="943"/>
      <c r="O36" s="1031"/>
      <c r="P36" s="943"/>
      <c r="Q36" s="1031"/>
      <c r="R36" s="943"/>
      <c r="S36" s="1031"/>
    </row>
    <row r="37" spans="1:19" x14ac:dyDescent="0.35">
      <c r="A37" s="1060"/>
      <c r="B37" s="705"/>
      <c r="C37" s="669"/>
      <c r="D37" s="669"/>
      <c r="E37" s="642"/>
      <c r="F37" s="642"/>
      <c r="G37" s="646"/>
      <c r="H37" s="943"/>
      <c r="I37" s="1030"/>
      <c r="J37" s="943"/>
      <c r="K37" s="1031"/>
      <c r="L37" s="943"/>
      <c r="M37" s="1030"/>
      <c r="N37" s="943"/>
      <c r="O37" s="1030"/>
      <c r="P37" s="943"/>
      <c r="Q37" s="1031"/>
      <c r="R37" s="943"/>
      <c r="S37" s="1031"/>
    </row>
    <row r="38" spans="1:19" x14ac:dyDescent="0.35">
      <c r="A38" s="683"/>
      <c r="B38" s="705"/>
      <c r="C38" s="669"/>
      <c r="D38" s="669"/>
      <c r="E38" s="642"/>
      <c r="F38" s="642"/>
      <c r="G38" s="646"/>
      <c r="H38" s="943"/>
      <c r="I38" s="1030"/>
      <c r="J38" s="943"/>
      <c r="K38" s="1031"/>
      <c r="L38" s="943"/>
      <c r="M38" s="1031"/>
      <c r="N38" s="943"/>
      <c r="O38" s="1031"/>
      <c r="P38" s="943"/>
      <c r="Q38" s="1031"/>
      <c r="R38" s="943"/>
      <c r="S38" s="1031"/>
    </row>
    <row r="39" spans="1:19" x14ac:dyDescent="0.35">
      <c r="A39" s="1060"/>
      <c r="B39" s="705"/>
      <c r="C39" s="669"/>
      <c r="D39" s="669"/>
      <c r="E39" s="642"/>
      <c r="F39" s="642"/>
      <c r="G39" s="646"/>
      <c r="H39" s="943"/>
      <c r="I39" s="1030"/>
      <c r="J39" s="943"/>
      <c r="K39" s="1031"/>
      <c r="L39" s="943"/>
      <c r="M39" s="1031"/>
      <c r="N39" s="943"/>
      <c r="O39" s="1031"/>
      <c r="P39" s="943"/>
      <c r="Q39" s="1031"/>
      <c r="R39" s="943"/>
      <c r="S39" s="1031"/>
    </row>
    <row r="40" spans="1:19" x14ac:dyDescent="0.35">
      <c r="A40" s="683"/>
      <c r="B40" s="705"/>
      <c r="C40" s="669"/>
      <c r="D40" s="669"/>
      <c r="E40" s="642"/>
      <c r="F40" s="642"/>
      <c r="G40" s="646"/>
      <c r="H40" s="943"/>
      <c r="I40" s="1030"/>
      <c r="J40" s="943"/>
      <c r="K40" s="1031"/>
      <c r="L40" s="943"/>
      <c r="M40" s="1031"/>
      <c r="N40" s="943"/>
      <c r="O40" s="1031"/>
      <c r="P40" s="943"/>
      <c r="Q40" s="1031"/>
      <c r="R40" s="943"/>
      <c r="S40" s="1031"/>
    </row>
    <row r="41" spans="1:19" x14ac:dyDescent="0.35">
      <c r="A41" s="1060"/>
      <c r="B41" s="705"/>
      <c r="C41" s="669"/>
      <c r="D41" s="669"/>
      <c r="E41" s="642"/>
      <c r="F41" s="642"/>
      <c r="G41" s="646"/>
      <c r="H41" s="943"/>
      <c r="I41" s="1030"/>
      <c r="J41" s="943"/>
      <c r="K41" s="1031"/>
      <c r="L41" s="943"/>
      <c r="M41" s="1031"/>
      <c r="N41" s="943"/>
      <c r="O41" s="1031"/>
      <c r="P41" s="943"/>
      <c r="Q41" s="1031"/>
      <c r="R41" s="943"/>
      <c r="S41" s="1031"/>
    </row>
    <row r="42" spans="1:19" x14ac:dyDescent="0.35">
      <c r="A42" s="683"/>
      <c r="B42" s="705"/>
      <c r="C42" s="669"/>
      <c r="D42" s="669"/>
      <c r="E42" s="642"/>
      <c r="F42" s="642"/>
      <c r="G42" s="646"/>
      <c r="H42" s="943"/>
      <c r="I42" s="1030"/>
      <c r="J42" s="943"/>
      <c r="K42" s="1031"/>
      <c r="L42" s="943"/>
      <c r="M42" s="1031"/>
      <c r="N42" s="943"/>
      <c r="O42" s="1031"/>
      <c r="P42" s="943"/>
      <c r="Q42" s="1031"/>
      <c r="R42" s="943"/>
      <c r="S42" s="1031"/>
    </row>
    <row r="43" spans="1:19" ht="15.75" customHeight="1" x14ac:dyDescent="0.35">
      <c r="A43" s="1060"/>
      <c r="B43" s="705"/>
      <c r="C43" s="669"/>
      <c r="D43" s="669"/>
      <c r="E43" s="642"/>
      <c r="F43" s="642"/>
      <c r="G43" s="646"/>
      <c r="H43" s="943"/>
      <c r="I43" s="1030"/>
      <c r="J43" s="943"/>
      <c r="K43" s="1031"/>
      <c r="L43" s="943"/>
      <c r="M43" s="1031"/>
      <c r="N43" s="943"/>
      <c r="O43" s="1031"/>
      <c r="P43" s="943"/>
      <c r="Q43" s="1031"/>
      <c r="R43" s="943"/>
      <c r="S43" s="1031"/>
    </row>
    <row r="44" spans="1:19" x14ac:dyDescent="0.35">
      <c r="A44" s="683"/>
      <c r="B44" s="705"/>
      <c r="C44" s="669"/>
      <c r="D44" s="669"/>
      <c r="E44" s="642"/>
      <c r="F44" s="642"/>
      <c r="G44" s="646"/>
      <c r="H44" s="943"/>
      <c r="I44" s="1030"/>
      <c r="J44" s="943"/>
      <c r="K44" s="1031"/>
      <c r="L44" s="943"/>
      <c r="M44" s="1031"/>
      <c r="N44" s="943"/>
      <c r="O44" s="1031"/>
      <c r="P44" s="943"/>
      <c r="Q44" s="1031"/>
      <c r="R44" s="943"/>
      <c r="S44" s="1031"/>
    </row>
    <row r="45" spans="1:19" x14ac:dyDescent="0.35">
      <c r="A45" s="1060"/>
      <c r="B45" s="1037"/>
      <c r="C45" s="669"/>
      <c r="D45" s="669"/>
      <c r="E45" s="642"/>
      <c r="F45" s="642"/>
      <c r="G45" s="646"/>
      <c r="H45" s="943"/>
      <c r="I45" s="1030"/>
      <c r="J45" s="943"/>
      <c r="K45" s="1031"/>
      <c r="L45" s="943"/>
      <c r="M45" s="1031"/>
      <c r="N45" s="943"/>
      <c r="O45" s="1031"/>
      <c r="P45" s="943"/>
      <c r="Q45" s="1031"/>
      <c r="R45" s="943"/>
      <c r="S45" s="1031"/>
    </row>
    <row r="46" spans="1:19" x14ac:dyDescent="0.35">
      <c r="A46" s="683"/>
      <c r="B46" s="705"/>
      <c r="C46" s="669"/>
      <c r="D46" s="669"/>
      <c r="E46" s="642"/>
      <c r="F46" s="642"/>
      <c r="G46" s="646"/>
      <c r="H46" s="943"/>
      <c r="I46" s="1030"/>
      <c r="J46" s="943"/>
      <c r="K46" s="1031"/>
      <c r="L46" s="943"/>
      <c r="M46" s="1031"/>
      <c r="N46" s="943"/>
      <c r="O46" s="1031"/>
      <c r="P46" s="943"/>
      <c r="Q46" s="1031"/>
      <c r="R46" s="943"/>
      <c r="S46" s="1031"/>
    </row>
    <row r="47" spans="1:19" x14ac:dyDescent="0.35">
      <c r="A47" s="1060"/>
      <c r="B47" s="705"/>
      <c r="C47" s="669"/>
      <c r="D47" s="669"/>
      <c r="E47" s="642"/>
      <c r="F47" s="642"/>
      <c r="G47" s="646"/>
      <c r="H47" s="943"/>
      <c r="I47" s="1030"/>
      <c r="J47" s="943"/>
      <c r="K47" s="1031"/>
      <c r="L47" s="943"/>
      <c r="M47" s="1031"/>
      <c r="N47" s="943"/>
      <c r="O47" s="1031"/>
      <c r="P47" s="943"/>
      <c r="Q47" s="1031"/>
      <c r="R47" s="943"/>
      <c r="S47" s="1031"/>
    </row>
    <row r="48" spans="1:19" x14ac:dyDescent="0.35">
      <c r="A48" s="683"/>
      <c r="B48" s="705"/>
      <c r="C48" s="669"/>
      <c r="D48" s="669"/>
      <c r="E48" s="642"/>
      <c r="F48" s="642"/>
      <c r="G48" s="646"/>
      <c r="H48" s="943"/>
      <c r="I48" s="1030"/>
      <c r="J48" s="943"/>
      <c r="K48" s="1031"/>
      <c r="L48" s="943"/>
      <c r="M48" s="1031"/>
      <c r="N48" s="943"/>
      <c r="O48" s="1031"/>
      <c r="P48" s="943"/>
      <c r="Q48" s="1031"/>
      <c r="R48" s="943"/>
      <c r="S48" s="1031"/>
    </row>
    <row r="49" spans="1:19" x14ac:dyDescent="0.35">
      <c r="A49" s="1060"/>
      <c r="B49" s="705"/>
      <c r="C49" s="669"/>
      <c r="D49" s="669"/>
      <c r="E49" s="642"/>
      <c r="F49" s="642"/>
      <c r="G49" s="646"/>
      <c r="H49" s="943"/>
      <c r="I49" s="1030"/>
      <c r="J49" s="943"/>
      <c r="K49" s="1031"/>
      <c r="L49" s="943"/>
      <c r="M49" s="1031"/>
      <c r="N49" s="943"/>
      <c r="O49" s="1031"/>
      <c r="P49" s="943"/>
      <c r="Q49" s="1031"/>
      <c r="R49" s="943"/>
      <c r="S49" s="1031"/>
    </row>
    <row r="50" spans="1:19" x14ac:dyDescent="0.35">
      <c r="A50" s="683"/>
      <c r="B50" s="1037"/>
      <c r="C50" s="669"/>
      <c r="D50" s="669"/>
      <c r="E50" s="642"/>
      <c r="F50" s="642"/>
      <c r="G50" s="646"/>
      <c r="H50" s="943"/>
      <c r="I50" s="1030"/>
      <c r="J50" s="943"/>
      <c r="K50" s="1031"/>
      <c r="L50" s="943"/>
      <c r="M50" s="1031"/>
      <c r="N50" s="943"/>
      <c r="O50" s="1031"/>
      <c r="P50" s="943"/>
      <c r="Q50" s="1031"/>
      <c r="R50" s="943"/>
      <c r="S50" s="1031"/>
    </row>
    <row r="51" spans="1:19" x14ac:dyDescent="0.35">
      <c r="A51" s="1060"/>
      <c r="B51" s="705"/>
      <c r="C51" s="669"/>
      <c r="D51" s="669"/>
      <c r="E51" s="642"/>
      <c r="F51" s="642"/>
      <c r="G51" s="646"/>
      <c r="H51" s="943"/>
      <c r="I51" s="1030"/>
      <c r="J51" s="943"/>
      <c r="K51" s="1031"/>
      <c r="L51" s="943"/>
      <c r="M51" s="1031"/>
      <c r="N51" s="943"/>
      <c r="O51" s="1031"/>
      <c r="P51" s="943"/>
      <c r="Q51" s="1031"/>
      <c r="R51" s="943"/>
      <c r="S51" s="1031"/>
    </row>
    <row r="52" spans="1:19" x14ac:dyDescent="0.35">
      <c r="A52" s="683"/>
      <c r="B52" s="706"/>
      <c r="C52" s="669"/>
      <c r="D52" s="669"/>
      <c r="E52" s="642"/>
      <c r="F52" s="642"/>
      <c r="G52" s="646"/>
      <c r="H52" s="943"/>
      <c r="I52" s="1030"/>
      <c r="J52" s="943"/>
      <c r="K52" s="1031"/>
      <c r="L52" s="943"/>
      <c r="M52" s="1031"/>
      <c r="N52" s="943"/>
      <c r="O52" s="1031"/>
      <c r="P52" s="943"/>
      <c r="Q52" s="1031"/>
      <c r="R52" s="943"/>
      <c r="S52" s="1031"/>
    </row>
    <row r="53" spans="1:19" x14ac:dyDescent="0.35">
      <c r="A53" s="14"/>
      <c r="B53" s="15"/>
      <c r="C53" s="16"/>
      <c r="D53" s="16"/>
      <c r="E53" s="17"/>
      <c r="F53" s="18" t="s">
        <v>715</v>
      </c>
      <c r="G53" s="19"/>
      <c r="H53" s="20"/>
      <c r="I53" s="50">
        <f>SUM(I22:I52)</f>
        <v>0</v>
      </c>
      <c r="J53" s="20"/>
      <c r="K53" s="50">
        <f>SUM(K22:K52)</f>
        <v>0</v>
      </c>
      <c r="L53" s="20"/>
      <c r="M53" s="50">
        <f>SUM(M22:M52)</f>
        <v>0</v>
      </c>
      <c r="N53" s="20"/>
      <c r="O53" s="50">
        <f>SUM(O22:O52)</f>
        <v>0</v>
      </c>
      <c r="P53" s="20"/>
      <c r="Q53" s="50">
        <f>SUM(Q22:Q52)</f>
        <v>0</v>
      </c>
      <c r="R53" s="20"/>
      <c r="S53" s="50">
        <f>SUM(S22:S52)</f>
        <v>0</v>
      </c>
    </row>
    <row r="54" spans="1:19" x14ac:dyDescent="0.35">
      <c r="A54" s="684"/>
      <c r="B54" s="655"/>
      <c r="C54" s="656"/>
      <c r="D54" s="656"/>
      <c r="E54" s="657"/>
      <c r="F54" s="658" t="s">
        <v>716</v>
      </c>
      <c r="G54" s="659"/>
      <c r="H54" s="959">
        <v>0</v>
      </c>
      <c r="I54" s="960"/>
      <c r="J54" s="959">
        <v>0</v>
      </c>
      <c r="K54" s="960"/>
      <c r="L54" s="959">
        <v>0</v>
      </c>
      <c r="M54" s="960"/>
      <c r="N54" s="959">
        <v>0</v>
      </c>
      <c r="O54" s="960"/>
      <c r="P54" s="959">
        <v>0</v>
      </c>
      <c r="Q54" s="960"/>
      <c r="R54" s="959">
        <v>0</v>
      </c>
      <c r="S54" s="960"/>
    </row>
    <row r="55" spans="1:19" x14ac:dyDescent="0.35">
      <c r="A55" s="684"/>
      <c r="B55" s="655"/>
      <c r="C55" s="656"/>
      <c r="D55" s="656"/>
      <c r="E55" s="657"/>
      <c r="F55" s="658" t="s">
        <v>717</v>
      </c>
      <c r="G55" s="659"/>
      <c r="H55" s="961"/>
      <c r="I55" s="962">
        <f>H54*I53</f>
        <v>0</v>
      </c>
      <c r="J55" s="961"/>
      <c r="K55" s="962">
        <f>J54*K53</f>
        <v>0</v>
      </c>
      <c r="L55" s="961"/>
      <c r="M55" s="962">
        <f>L54*M53</f>
        <v>0</v>
      </c>
      <c r="N55" s="961"/>
      <c r="O55" s="962">
        <f>N54*O53</f>
        <v>0</v>
      </c>
      <c r="P55" s="961"/>
      <c r="Q55" s="962">
        <f>P54*Q53</f>
        <v>0</v>
      </c>
      <c r="R55" s="961"/>
      <c r="S55" s="962">
        <f>R54*S53</f>
        <v>0</v>
      </c>
    </row>
    <row r="56" spans="1:19" x14ac:dyDescent="0.35">
      <c r="A56" s="684"/>
      <c r="B56" s="655"/>
      <c r="C56" s="656"/>
      <c r="D56" s="656"/>
      <c r="E56" s="657"/>
      <c r="F56" s="658"/>
      <c r="G56" s="659"/>
      <c r="H56" s="961"/>
      <c r="I56" s="963"/>
      <c r="J56" s="961"/>
      <c r="K56" s="963"/>
      <c r="L56" s="961"/>
      <c r="M56" s="963"/>
      <c r="N56" s="961"/>
      <c r="O56" s="963"/>
      <c r="P56" s="961"/>
      <c r="Q56" s="963"/>
      <c r="R56" s="961"/>
      <c r="S56" s="963"/>
    </row>
    <row r="57" spans="1:19" x14ac:dyDescent="0.35">
      <c r="A57" s="684"/>
      <c r="B57" s="655"/>
      <c r="C57" s="656"/>
      <c r="D57" s="656"/>
      <c r="E57" s="657"/>
      <c r="F57" s="658" t="s">
        <v>718</v>
      </c>
      <c r="G57" s="659"/>
      <c r="H57" s="964"/>
      <c r="I57" s="962">
        <f>SUM(I53:I55)</f>
        <v>0</v>
      </c>
      <c r="J57" s="964"/>
      <c r="K57" s="962">
        <f>SUM(K53:K55)</f>
        <v>0</v>
      </c>
      <c r="L57" s="964"/>
      <c r="M57" s="962">
        <f>SUM(M53:M55)</f>
        <v>0</v>
      </c>
      <c r="N57" s="964"/>
      <c r="O57" s="962">
        <f>SUM(O53:O55)</f>
        <v>0</v>
      </c>
      <c r="P57" s="964"/>
      <c r="Q57" s="962">
        <f>SUM(Q53:Q55)</f>
        <v>0</v>
      </c>
      <c r="R57" s="964"/>
      <c r="S57" s="962">
        <f>SUM(S53:S55)</f>
        <v>0</v>
      </c>
    </row>
    <row r="58" spans="1:19" x14ac:dyDescent="0.35">
      <c r="A58" s="684"/>
      <c r="B58" s="655"/>
      <c r="C58" s="656"/>
      <c r="D58" s="656"/>
      <c r="E58" s="657"/>
      <c r="F58" s="660" t="s">
        <v>719</v>
      </c>
      <c r="G58" s="661"/>
      <c r="H58" s="965"/>
      <c r="I58" s="966" t="e">
        <f>I57/#REF!</f>
        <v>#REF!</v>
      </c>
      <c r="J58" s="965"/>
      <c r="K58" s="966" t="e">
        <f>K57/#REF!</f>
        <v>#REF!</v>
      </c>
      <c r="L58" s="965"/>
      <c r="M58" s="966" t="e">
        <f>M57/#REF!</f>
        <v>#REF!</v>
      </c>
      <c r="N58" s="965"/>
      <c r="O58" s="966" t="e">
        <f>O57/#REF!</f>
        <v>#REF!</v>
      </c>
      <c r="P58" s="965"/>
      <c r="Q58" s="966" t="e">
        <f>Q57/#REF!</f>
        <v>#REF!</v>
      </c>
      <c r="R58" s="965"/>
      <c r="S58" s="966" t="e">
        <f>S57/#REF!</f>
        <v>#REF!</v>
      </c>
    </row>
    <row r="59" spans="1:19" x14ac:dyDescent="0.35">
      <c r="A59" s="684"/>
      <c r="B59" s="655"/>
      <c r="C59" s="656"/>
      <c r="D59" s="656"/>
      <c r="E59" s="657"/>
      <c r="F59" s="660" t="s">
        <v>720</v>
      </c>
      <c r="G59" s="662"/>
      <c r="H59" s="965"/>
      <c r="I59" s="966" t="e">
        <f>I57/#REF!</f>
        <v>#REF!</v>
      </c>
      <c r="J59" s="965"/>
      <c r="K59" s="966" t="e">
        <f>K57/#REF!</f>
        <v>#REF!</v>
      </c>
      <c r="L59" s="965"/>
      <c r="M59" s="966" t="e">
        <f>M57/#REF!</f>
        <v>#REF!</v>
      </c>
      <c r="N59" s="965"/>
      <c r="O59" s="966" t="e">
        <f>O57/#REF!</f>
        <v>#REF!</v>
      </c>
      <c r="P59" s="965"/>
      <c r="Q59" s="966" t="e">
        <f>Q57/#REF!</f>
        <v>#REF!</v>
      </c>
      <c r="R59" s="965"/>
      <c r="S59" s="966" t="e">
        <f>S57/#REF!</f>
        <v>#REF!</v>
      </c>
    </row>
    <row r="60" spans="1:19" x14ac:dyDescent="0.35">
      <c r="A60" s="684"/>
      <c r="B60" s="655"/>
      <c r="C60" s="656"/>
      <c r="D60" s="656"/>
      <c r="E60" s="657"/>
      <c r="F60" s="658"/>
      <c r="G60" s="659"/>
      <c r="H60" s="967"/>
      <c r="I60" s="967"/>
      <c r="J60" s="967"/>
      <c r="K60" s="967"/>
      <c r="L60" s="967"/>
      <c r="M60" s="967"/>
      <c r="N60" s="967"/>
      <c r="O60" s="967"/>
      <c r="P60" s="967"/>
      <c r="Q60" s="967"/>
      <c r="R60" s="967"/>
      <c r="S60" s="967"/>
    </row>
    <row r="61" spans="1:19" x14ac:dyDescent="0.35">
      <c r="A61" s="3764" t="s">
        <v>721</v>
      </c>
      <c r="B61" s="3765"/>
      <c r="C61" s="12"/>
      <c r="D61" s="12"/>
      <c r="E61" s="12"/>
      <c r="F61" s="12"/>
      <c r="G61" s="13"/>
      <c r="H61" s="21"/>
      <c r="I61" s="21"/>
      <c r="J61" s="21"/>
      <c r="K61" s="21"/>
      <c r="L61" s="21"/>
      <c r="M61" s="21"/>
      <c r="N61" s="21"/>
      <c r="O61" s="21"/>
      <c r="P61" s="21"/>
      <c r="Q61" s="21"/>
      <c r="R61" s="21"/>
      <c r="S61" s="21"/>
    </row>
    <row r="62" spans="1:19" x14ac:dyDescent="0.35">
      <c r="A62" s="1055"/>
      <c r="B62" s="641"/>
      <c r="C62" s="1057"/>
      <c r="D62" s="1057"/>
      <c r="E62" s="1057"/>
      <c r="F62" s="1057"/>
      <c r="G62" s="1070"/>
      <c r="H62" s="1071"/>
      <c r="I62" s="1071"/>
      <c r="J62" s="1071"/>
      <c r="K62" s="1071"/>
      <c r="L62" s="1071"/>
      <c r="M62" s="1071"/>
      <c r="N62" s="1071"/>
      <c r="O62" s="1071"/>
      <c r="P62" s="1071"/>
      <c r="Q62" s="1071"/>
      <c r="R62" s="1071"/>
      <c r="S62" s="1071"/>
    </row>
    <row r="63" spans="1:19" x14ac:dyDescent="0.35">
      <c r="A63" s="1055"/>
      <c r="B63" s="641"/>
      <c r="C63" s="1057"/>
      <c r="D63" s="1057"/>
      <c r="E63" s="1057"/>
      <c r="F63" s="1057"/>
      <c r="G63" s="1070"/>
      <c r="H63" s="1071"/>
      <c r="I63" s="1071"/>
      <c r="J63" s="1071"/>
      <c r="K63" s="1071"/>
      <c r="L63" s="1071"/>
      <c r="M63" s="1071"/>
      <c r="N63" s="1071"/>
      <c r="O63" s="1071"/>
      <c r="P63" s="1071"/>
      <c r="Q63" s="1071"/>
      <c r="R63" s="1071"/>
      <c r="S63" s="1071"/>
    </row>
    <row r="64" spans="1:19" x14ac:dyDescent="0.35">
      <c r="A64" s="1055"/>
      <c r="B64" s="641"/>
      <c r="C64" s="1057"/>
      <c r="D64" s="1057"/>
      <c r="E64" s="1057"/>
      <c r="F64" s="1057"/>
      <c r="G64" s="1070"/>
      <c r="H64" s="1071"/>
      <c r="I64" s="1071"/>
      <c r="J64" s="1071"/>
      <c r="K64" s="1071"/>
      <c r="L64" s="1071"/>
      <c r="M64" s="1071"/>
      <c r="N64" s="1071"/>
      <c r="O64" s="1071"/>
      <c r="P64" s="1071"/>
      <c r="Q64" s="1071"/>
      <c r="R64" s="1071"/>
      <c r="S64" s="1071"/>
    </row>
    <row r="65" spans="1:30" s="2" customFormat="1" x14ac:dyDescent="0.35">
      <c r="A65" s="3764" t="s">
        <v>722</v>
      </c>
      <c r="B65" s="3765"/>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x14ac:dyDescent="0.35">
      <c r="A66" s="1055"/>
      <c r="B66" s="641"/>
      <c r="C66" s="1057"/>
      <c r="D66" s="1057"/>
      <c r="E66" s="1057"/>
      <c r="F66" s="1057"/>
      <c r="G66" s="1070"/>
      <c r="H66" s="1071"/>
      <c r="I66" s="1071"/>
      <c r="J66" s="1071"/>
      <c r="K66" s="1071"/>
      <c r="L66" s="1071"/>
      <c r="M66" s="1071"/>
      <c r="N66" s="1071"/>
      <c r="O66" s="1071"/>
      <c r="P66" s="1071"/>
      <c r="Q66" s="1071"/>
      <c r="R66" s="1071"/>
      <c r="S66" s="1071"/>
      <c r="T66"/>
      <c r="U66"/>
      <c r="V66"/>
      <c r="W66"/>
      <c r="X66"/>
      <c r="Y66"/>
      <c r="Z66"/>
      <c r="AA66"/>
      <c r="AB66"/>
      <c r="AC66"/>
      <c r="AD66"/>
    </row>
    <row r="67" spans="1:30" s="2" customFormat="1" x14ac:dyDescent="0.35">
      <c r="A67" s="1055"/>
      <c r="B67" s="641"/>
      <c r="C67" s="1057"/>
      <c r="D67" s="1057"/>
      <c r="E67" s="1057"/>
      <c r="F67" s="1057"/>
      <c r="G67" s="1070"/>
      <c r="H67" s="1071"/>
      <c r="I67" s="1071"/>
      <c r="J67" s="1071"/>
      <c r="K67" s="1071"/>
      <c r="L67" s="1071"/>
      <c r="M67" s="1071"/>
      <c r="N67" s="1071"/>
      <c r="O67" s="1071"/>
      <c r="P67" s="1071"/>
      <c r="Q67" s="1071"/>
      <c r="R67" s="1071"/>
      <c r="S67" s="1071"/>
      <c r="T67"/>
      <c r="U67"/>
      <c r="V67"/>
      <c r="W67"/>
      <c r="X67"/>
      <c r="Y67"/>
      <c r="Z67"/>
      <c r="AA67"/>
      <c r="AB67"/>
      <c r="AC67"/>
      <c r="AD67"/>
    </row>
    <row r="68" spans="1:30" x14ac:dyDescent="0.35">
      <c r="A68" s="1055"/>
      <c r="B68" s="641"/>
      <c r="C68" s="1057"/>
      <c r="D68" s="1057"/>
      <c r="E68" s="1057"/>
      <c r="F68" s="1057"/>
      <c r="G68" s="1070"/>
      <c r="H68" s="1071"/>
      <c r="I68" s="1071"/>
      <c r="J68" s="1071"/>
      <c r="K68" s="1071"/>
      <c r="L68" s="1071"/>
      <c r="M68" s="1071"/>
      <c r="N68" s="1071"/>
      <c r="O68" s="1071"/>
      <c r="P68" s="1071"/>
      <c r="Q68" s="1071"/>
      <c r="R68" s="1071"/>
      <c r="S68" s="1071"/>
    </row>
    <row r="69" spans="1:30" s="2" customFormat="1" x14ac:dyDescent="0.35">
      <c r="A69" s="3764" t="s">
        <v>723</v>
      </c>
      <c r="B69" s="3765"/>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x14ac:dyDescent="0.35">
      <c r="A70" s="1055"/>
      <c r="B70" s="641"/>
      <c r="C70" s="1057"/>
      <c r="D70" s="1057"/>
      <c r="E70" s="1057"/>
      <c r="F70" s="1057"/>
      <c r="G70" s="1070"/>
      <c r="H70" s="1071"/>
      <c r="I70" s="1071"/>
      <c r="J70" s="1071"/>
      <c r="K70" s="1071"/>
      <c r="L70" s="1071"/>
      <c r="M70" s="1071"/>
      <c r="N70" s="1071"/>
      <c r="O70" s="1071"/>
      <c r="P70" s="1071"/>
      <c r="Q70" s="1071"/>
      <c r="R70" s="1071"/>
      <c r="S70" s="1071"/>
      <c r="T70"/>
      <c r="U70"/>
      <c r="V70"/>
      <c r="W70"/>
      <c r="X70"/>
      <c r="Y70"/>
      <c r="Z70"/>
      <c r="AA70"/>
      <c r="AB70"/>
      <c r="AC70"/>
      <c r="AD70"/>
    </row>
    <row r="71" spans="1:30" s="2" customFormat="1" x14ac:dyDescent="0.35">
      <c r="A71" s="689"/>
      <c r="B71" s="641"/>
      <c r="C71" s="642"/>
      <c r="D71" s="642"/>
      <c r="E71" s="642"/>
      <c r="F71" s="642"/>
      <c r="G71" s="646"/>
      <c r="H71" s="973"/>
      <c r="I71" s="973"/>
      <c r="J71" s="973"/>
      <c r="K71" s="973"/>
      <c r="L71" s="973"/>
      <c r="M71" s="973"/>
      <c r="N71" s="973"/>
      <c r="O71" s="973"/>
      <c r="P71" s="973"/>
      <c r="Q71" s="973"/>
      <c r="R71" s="973"/>
      <c r="S71" s="973"/>
      <c r="T71"/>
      <c r="U71"/>
      <c r="V71"/>
      <c r="W71"/>
      <c r="X71"/>
      <c r="Y71"/>
      <c r="Z71"/>
      <c r="AA71"/>
      <c r="AB71"/>
      <c r="AC71"/>
      <c r="AD71"/>
    </row>
    <row r="72" spans="1:30" s="2" customFormat="1" x14ac:dyDescent="0.35">
      <c r="A72" s="686"/>
      <c r="B72" s="665"/>
      <c r="C72" s="642"/>
      <c r="D72" s="642"/>
      <c r="E72" s="642"/>
      <c r="F72" s="642"/>
      <c r="G72" s="646"/>
      <c r="H72" s="974"/>
      <c r="I72" s="974"/>
      <c r="J72" s="974"/>
      <c r="K72" s="974"/>
      <c r="L72" s="974"/>
      <c r="M72" s="974"/>
      <c r="N72" s="974"/>
      <c r="O72" s="974"/>
      <c r="P72" s="974"/>
      <c r="Q72" s="974"/>
      <c r="R72" s="974"/>
      <c r="S72" s="974"/>
    </row>
    <row r="73" spans="1:30" s="2" customFormat="1" x14ac:dyDescent="0.35">
      <c r="A73" s="3764" t="s">
        <v>724</v>
      </c>
      <c r="B73" s="3765"/>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x14ac:dyDescent="0.35">
      <c r="A74" s="1072"/>
      <c r="B74" s="1073"/>
      <c r="C74" s="1057"/>
      <c r="D74" s="1057"/>
      <c r="E74" s="1057"/>
      <c r="F74" s="1057"/>
      <c r="G74" s="1070"/>
      <c r="H74" s="1071"/>
      <c r="I74" s="1071"/>
      <c r="J74" s="1071"/>
      <c r="K74" s="1071"/>
      <c r="L74" s="1071"/>
      <c r="M74" s="1071"/>
      <c r="N74" s="1071"/>
      <c r="O74" s="1071"/>
      <c r="P74" s="1071"/>
      <c r="Q74" s="1071"/>
      <c r="R74" s="1071"/>
      <c r="S74" s="1071"/>
      <c r="T74" s="2"/>
      <c r="U74" s="2"/>
      <c r="V74" s="2"/>
      <c r="W74" s="2"/>
      <c r="X74" s="2"/>
      <c r="Y74" s="2"/>
      <c r="Z74" s="2"/>
      <c r="AA74" s="2"/>
      <c r="AB74" s="2"/>
      <c r="AC74" s="2"/>
      <c r="AD74" s="2"/>
    </row>
    <row r="75" spans="1:30" x14ac:dyDescent="0.35">
      <c r="A75" s="686"/>
      <c r="B75" s="665"/>
      <c r="C75" s="642"/>
      <c r="D75" s="642"/>
      <c r="E75" s="642"/>
      <c r="F75" s="642"/>
      <c r="G75" s="646"/>
      <c r="H75" s="977"/>
      <c r="I75" s="977"/>
      <c r="J75" s="977"/>
      <c r="K75" s="977"/>
      <c r="L75" s="977"/>
      <c r="M75" s="977"/>
      <c r="N75" s="977"/>
      <c r="O75" s="977"/>
      <c r="P75" s="977"/>
      <c r="Q75" s="977"/>
      <c r="R75" s="977"/>
      <c r="S75" s="977"/>
      <c r="T75" s="2"/>
      <c r="U75" s="2"/>
      <c r="V75" s="2"/>
      <c r="W75" s="2"/>
      <c r="X75" s="2"/>
      <c r="Y75" s="2"/>
      <c r="Z75" s="2"/>
      <c r="AA75" s="2"/>
      <c r="AB75" s="2"/>
      <c r="AC75" s="2"/>
      <c r="AD75" s="2"/>
    </row>
    <row r="76" spans="1:30" x14ac:dyDescent="0.35">
      <c r="A76" s="686"/>
      <c r="B76" s="665"/>
      <c r="C76" s="642"/>
      <c r="D76" s="642"/>
      <c r="E76" s="642"/>
      <c r="F76" s="642"/>
      <c r="G76" s="646"/>
      <c r="H76" s="977"/>
      <c r="I76" s="977"/>
      <c r="J76" s="977"/>
      <c r="K76" s="977"/>
      <c r="L76" s="977"/>
      <c r="M76" s="977"/>
      <c r="N76" s="977"/>
      <c r="O76" s="977"/>
      <c r="P76" s="977"/>
      <c r="Q76" s="977"/>
      <c r="R76" s="977"/>
      <c r="S76" s="977"/>
      <c r="T76" s="2"/>
      <c r="U76" s="2"/>
      <c r="V76" s="2"/>
      <c r="W76" s="2"/>
      <c r="X76" s="2"/>
      <c r="Y76" s="2"/>
      <c r="Z76" s="2"/>
      <c r="AA76" s="2"/>
      <c r="AB76" s="2"/>
      <c r="AC76" s="2"/>
      <c r="AD76" s="2"/>
    </row>
    <row r="77" spans="1:30" x14ac:dyDescent="0.35">
      <c r="A77" s="3764" t="s">
        <v>725</v>
      </c>
      <c r="B77" s="3765"/>
      <c r="C77" s="12"/>
      <c r="D77" s="12"/>
      <c r="E77" s="12"/>
      <c r="F77" s="12"/>
      <c r="G77" s="13"/>
      <c r="H77" s="21"/>
      <c r="I77" s="21"/>
      <c r="J77" s="21"/>
      <c r="K77" s="21"/>
      <c r="L77" s="21"/>
      <c r="M77" s="21"/>
      <c r="N77" s="21"/>
      <c r="O77" s="21"/>
      <c r="P77" s="21"/>
      <c r="Q77" s="21"/>
      <c r="R77" s="21"/>
      <c r="S77" s="21"/>
    </row>
    <row r="78" spans="1:30" x14ac:dyDescent="0.35">
      <c r="A78" s="689"/>
      <c r="B78" s="641" t="s">
        <v>726</v>
      </c>
      <c r="C78" s="642"/>
      <c r="D78" s="642"/>
      <c r="E78" s="642"/>
      <c r="F78" s="642"/>
      <c r="G78" s="646"/>
      <c r="H78" s="977"/>
      <c r="I78" s="977"/>
      <c r="J78" s="977"/>
      <c r="K78" s="977"/>
      <c r="L78" s="977"/>
      <c r="M78" s="977"/>
      <c r="N78" s="977"/>
      <c r="O78" s="977"/>
      <c r="P78" s="977"/>
      <c r="Q78" s="977"/>
      <c r="R78" s="977"/>
      <c r="S78" s="977"/>
    </row>
    <row r="79" spans="1:30" x14ac:dyDescent="0.35">
      <c r="A79" s="689"/>
      <c r="B79" s="641" t="s">
        <v>727</v>
      </c>
      <c r="C79" s="642"/>
      <c r="D79" s="642"/>
      <c r="E79" s="642"/>
      <c r="F79" s="642"/>
      <c r="G79" s="646"/>
      <c r="H79" s="977"/>
      <c r="I79" s="977"/>
      <c r="J79" s="977"/>
      <c r="K79" s="977"/>
      <c r="L79" s="977"/>
      <c r="M79" s="977"/>
      <c r="N79" s="977"/>
      <c r="O79" s="977"/>
      <c r="P79" s="977"/>
      <c r="Q79" s="977"/>
      <c r="R79" s="977"/>
      <c r="S79" s="977"/>
    </row>
    <row r="80" spans="1:30" x14ac:dyDescent="0.35">
      <c r="A80" s="689"/>
      <c r="B80" s="641" t="s">
        <v>728</v>
      </c>
      <c r="C80" s="642"/>
      <c r="D80" s="642"/>
      <c r="E80" s="642"/>
      <c r="F80" s="642"/>
      <c r="G80" s="646"/>
      <c r="H80" s="977"/>
      <c r="I80" s="977"/>
      <c r="J80" s="977"/>
      <c r="K80" s="977"/>
      <c r="L80" s="977"/>
      <c r="M80" s="977"/>
      <c r="N80" s="977"/>
      <c r="O80" s="977"/>
      <c r="P80" s="977"/>
      <c r="Q80" s="977"/>
      <c r="R80" s="977"/>
      <c r="S80" s="977"/>
    </row>
    <row r="81" spans="1:19" x14ac:dyDescent="0.35">
      <c r="A81" s="689"/>
      <c r="B81" s="641" t="s">
        <v>729</v>
      </c>
      <c r="C81" s="642"/>
      <c r="D81" s="642"/>
      <c r="E81" s="642"/>
      <c r="F81" s="642"/>
      <c r="G81" s="646"/>
      <c r="H81" s="977"/>
      <c r="I81" s="977"/>
      <c r="J81" s="977"/>
      <c r="K81" s="977"/>
      <c r="L81" s="977"/>
      <c r="M81" s="977"/>
      <c r="N81" s="977"/>
      <c r="O81" s="977"/>
      <c r="P81" s="977"/>
      <c r="Q81" s="977"/>
      <c r="R81" s="977"/>
      <c r="S81" s="977"/>
    </row>
    <row r="82" spans="1:19" x14ac:dyDescent="0.35">
      <c r="A82" s="978"/>
      <c r="B82" s="939"/>
      <c r="C82" s="940"/>
      <c r="D82" s="940"/>
      <c r="E82" s="940"/>
      <c r="F82" s="940"/>
      <c r="G82" s="1039"/>
      <c r="H82" s="981"/>
      <c r="I82" s="981"/>
      <c r="J82" s="981"/>
      <c r="K82" s="981"/>
      <c r="L82" s="981"/>
      <c r="M82" s="981"/>
      <c r="N82" s="981"/>
      <c r="O82" s="981"/>
      <c r="P82" s="981"/>
      <c r="Q82" s="981"/>
      <c r="R82" s="981"/>
      <c r="S82" s="981"/>
    </row>
    <row r="83" spans="1:19" x14ac:dyDescent="0.35">
      <c r="A83" s="7" t="s">
        <v>730</v>
      </c>
      <c r="B83" s="8"/>
      <c r="C83" s="12"/>
      <c r="D83" s="12"/>
      <c r="E83" s="12"/>
      <c r="F83" s="12"/>
      <c r="G83" s="13"/>
      <c r="H83" s="21"/>
      <c r="I83" s="21"/>
      <c r="J83" s="21"/>
      <c r="K83" s="21"/>
      <c r="L83" s="21"/>
      <c r="M83" s="21"/>
      <c r="N83" s="21"/>
      <c r="O83" s="21"/>
      <c r="P83" s="21"/>
      <c r="Q83" s="21"/>
      <c r="R83" s="21"/>
      <c r="S83" s="21"/>
    </row>
    <row r="84" spans="1:19" x14ac:dyDescent="0.35">
      <c r="A84" s="1055"/>
      <c r="B84" s="1074" t="s">
        <v>731</v>
      </c>
      <c r="C84" s="1057"/>
      <c r="D84" s="1057"/>
      <c r="E84" s="1057"/>
      <c r="F84" s="1057"/>
      <c r="G84" s="1070"/>
      <c r="H84" s="1075"/>
      <c r="I84" s="1075"/>
      <c r="J84" s="1075"/>
      <c r="K84" s="1075"/>
      <c r="L84" s="1075"/>
      <c r="M84" s="1075"/>
      <c r="N84" s="1075"/>
      <c r="O84" s="1075"/>
      <c r="P84" s="1075"/>
      <c r="Q84" s="1075"/>
      <c r="R84" s="1075"/>
      <c r="S84" s="1075"/>
    </row>
    <row r="85" spans="1:19" x14ac:dyDescent="0.35">
      <c r="A85" s="689"/>
      <c r="B85" s="641" t="s">
        <v>732</v>
      </c>
      <c r="C85" s="642"/>
      <c r="D85" s="642"/>
      <c r="E85" s="642"/>
      <c r="F85" s="642"/>
      <c r="G85" s="646"/>
      <c r="H85" s="984"/>
      <c r="I85" s="984"/>
      <c r="J85" s="984"/>
      <c r="K85" s="984"/>
      <c r="L85" s="984"/>
      <c r="M85" s="984"/>
      <c r="N85" s="984"/>
      <c r="O85" s="984"/>
      <c r="P85" s="984"/>
      <c r="Q85" s="984"/>
      <c r="R85" s="984"/>
      <c r="S85" s="984"/>
    </row>
    <row r="86" spans="1:19" x14ac:dyDescent="0.35">
      <c r="A86" s="985"/>
      <c r="B86" s="986" t="s">
        <v>733</v>
      </c>
      <c r="C86" s="987"/>
      <c r="D86" s="987"/>
      <c r="E86" s="987"/>
      <c r="F86" s="987"/>
      <c r="G86" s="1040"/>
      <c r="H86" s="990"/>
      <c r="I86" s="990"/>
      <c r="J86" s="990"/>
      <c r="K86" s="990"/>
      <c r="L86" s="990"/>
      <c r="M86" s="990"/>
      <c r="N86" s="990"/>
      <c r="O86" s="990"/>
      <c r="P86" s="990"/>
      <c r="Q86" s="990"/>
      <c r="R86" s="990"/>
      <c r="S86" s="990"/>
    </row>
    <row r="88" spans="1:19" x14ac:dyDescent="0.35">
      <c r="A88" s="78" t="s">
        <v>734</v>
      </c>
      <c r="B88" s="80"/>
    </row>
    <row r="89" spans="1:19" x14ac:dyDescent="0.35">
      <c r="A89" s="79" t="s">
        <v>632</v>
      </c>
      <c r="B89" s="991"/>
    </row>
    <row r="90" spans="1:19" x14ac:dyDescent="0.35">
      <c r="A90" s="687" t="s">
        <v>636</v>
      </c>
      <c r="B90" s="991"/>
    </row>
    <row r="91" spans="1:19" x14ac:dyDescent="0.35">
      <c r="A91" s="992" t="s">
        <v>639</v>
      </c>
      <c r="B91" s="993"/>
    </row>
    <row r="92" spans="1:19" x14ac:dyDescent="0.35">
      <c r="A92" s="992" t="s">
        <v>642</v>
      </c>
      <c r="B92" s="994"/>
    </row>
    <row r="93" spans="1:19" x14ac:dyDescent="0.35">
      <c r="A93" s="995" t="s">
        <v>735</v>
      </c>
      <c r="B93" s="996"/>
    </row>
    <row r="95" spans="1:19" x14ac:dyDescent="0.35">
      <c r="A95" s="81"/>
      <c r="B95" s="1" t="s">
        <v>736</v>
      </c>
    </row>
    <row r="96" spans="1:19" x14ac:dyDescent="0.35">
      <c r="A96" s="82"/>
      <c r="B96" s="1" t="s">
        <v>737</v>
      </c>
    </row>
  </sheetData>
  <mergeCells count="47">
    <mergeCell ref="A61:B61"/>
    <mergeCell ref="A65:B65"/>
    <mergeCell ref="A69:B69"/>
    <mergeCell ref="A73:B73"/>
    <mergeCell ref="A77:B7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1">
    <cfRule type="cellIs" dxfId="2977" priority="23" operator="equal">
      <formula>"X"</formula>
    </cfRule>
    <cfRule type="cellIs" dxfId="2976" priority="24" operator="equal">
      <formula>"I"</formula>
    </cfRule>
  </conditionalFormatting>
  <conditionalFormatting sqref="H33:H52">
    <cfRule type="cellIs" dxfId="2975" priority="1" operator="equal">
      <formula>"X"</formula>
    </cfRule>
    <cfRule type="cellIs" dxfId="2974" priority="2" operator="equal">
      <formula>"I"</formula>
    </cfRule>
  </conditionalFormatting>
  <conditionalFormatting sqref="J20:J31">
    <cfRule type="cellIs" dxfId="2973" priority="21" operator="equal">
      <formula>"X"</formula>
    </cfRule>
    <cfRule type="cellIs" dxfId="2972" priority="22" operator="equal">
      <formula>"I"</formula>
    </cfRule>
  </conditionalFormatting>
  <conditionalFormatting sqref="J33:J52">
    <cfRule type="cellIs" dxfId="2971" priority="3" operator="equal">
      <formula>"X"</formula>
    </cfRule>
    <cfRule type="cellIs" dxfId="2970" priority="4" operator="equal">
      <formula>"I"</formula>
    </cfRule>
  </conditionalFormatting>
  <conditionalFormatting sqref="L20:L31">
    <cfRule type="cellIs" dxfId="2969" priority="19" operator="equal">
      <formula>"X"</formula>
    </cfRule>
    <cfRule type="cellIs" dxfId="2968" priority="20" operator="equal">
      <formula>"I"</formula>
    </cfRule>
  </conditionalFormatting>
  <conditionalFormatting sqref="L33:L52">
    <cfRule type="cellIs" dxfId="2967" priority="5" operator="equal">
      <formula>"X"</formula>
    </cfRule>
    <cfRule type="cellIs" dxfId="2966" priority="6" operator="equal">
      <formula>"I"</formula>
    </cfRule>
  </conditionalFormatting>
  <conditionalFormatting sqref="N20:N31">
    <cfRule type="cellIs" dxfId="2965" priority="17" operator="equal">
      <formula>"X"</formula>
    </cfRule>
    <cfRule type="cellIs" dxfId="2964" priority="18" operator="equal">
      <formula>"I"</formula>
    </cfRule>
  </conditionalFormatting>
  <conditionalFormatting sqref="N33:N52">
    <cfRule type="cellIs" dxfId="2963" priority="7" operator="equal">
      <formula>"X"</formula>
    </cfRule>
    <cfRule type="cellIs" dxfId="2962" priority="8" operator="equal">
      <formula>"I"</formula>
    </cfRule>
  </conditionalFormatting>
  <conditionalFormatting sqref="P20:P31">
    <cfRule type="cellIs" dxfId="2961" priority="15" operator="equal">
      <formula>"X"</formula>
    </cfRule>
    <cfRule type="cellIs" dxfId="2960" priority="16" operator="equal">
      <formula>"I"</formula>
    </cfRule>
  </conditionalFormatting>
  <conditionalFormatting sqref="P33:P52">
    <cfRule type="cellIs" dxfId="2959" priority="9" operator="equal">
      <formula>"X"</formula>
    </cfRule>
    <cfRule type="cellIs" dxfId="2958" priority="10" operator="equal">
      <formula>"I"</formula>
    </cfRule>
  </conditionalFormatting>
  <conditionalFormatting sqref="R20:R31">
    <cfRule type="cellIs" dxfId="2957" priority="13" operator="equal">
      <formula>"X"</formula>
    </cfRule>
    <cfRule type="cellIs" dxfId="2956" priority="14" operator="equal">
      <formula>"I"</formula>
    </cfRule>
  </conditionalFormatting>
  <conditionalFormatting sqref="R33:R52">
    <cfRule type="cellIs" dxfId="2955" priority="11" operator="equal">
      <formula>"X"</formula>
    </cfRule>
    <cfRule type="cellIs" dxfId="2954" priority="12" operator="equal">
      <formula>"I"</formula>
    </cfRule>
  </conditionalFormatting>
  <hyperlinks>
    <hyperlink ref="B3" location="'Cost Summary'!A1" display="BACK TO SUMMARY SHEET" xr:uid="{E846CC78-D5EC-443B-ACDF-C78153BD9BAF}"/>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B30D-1A1D-4FB8-BC72-95AFA59420DA}">
  <sheetPr>
    <tabColor theme="9"/>
  </sheetPr>
  <dimension ref="A1:W178"/>
  <sheetViews>
    <sheetView zoomScale="84" zoomScaleNormal="84" workbookViewId="0">
      <pane xSplit="2" ySplit="9" topLeftCell="C118" activePane="bottomRight" state="frozen"/>
      <selection pane="topRight" activeCell="C1" sqref="C1"/>
      <selection pane="bottomLeft" activeCell="A10" sqref="A10"/>
      <selection pane="bottomRight" activeCell="G68" sqref="G68"/>
    </sheetView>
  </sheetViews>
  <sheetFormatPr defaultRowHeight="15" customHeight="1" x14ac:dyDescent="0.35"/>
  <cols>
    <col min="1" max="1" width="16.7265625" bestFit="1" customWidth="1"/>
    <col min="2" max="2" width="70.7265625" style="1" customWidth="1"/>
    <col min="3" max="3" width="13" style="2" customWidth="1"/>
    <col min="4" max="4" width="12" style="2" customWidth="1"/>
    <col min="5" max="5" width="10.453125" style="2" customWidth="1"/>
    <col min="6" max="6" width="13.1796875" style="2" customWidth="1"/>
    <col min="7" max="7" width="21.54296875" style="2" customWidth="1"/>
    <col min="8" max="8" width="7.453125" style="2" bestFit="1" customWidth="1"/>
    <col min="9" max="9" width="15.81640625" style="2" bestFit="1" customWidth="1"/>
    <col min="10" max="10" width="7.453125" style="2" bestFit="1" customWidth="1"/>
    <col min="11" max="11" width="15.81640625" style="2" bestFit="1" customWidth="1"/>
    <col min="12" max="12" width="7.453125" style="2" customWidth="1"/>
    <col min="13" max="13" width="15.81640625" style="2" bestFit="1" customWidth="1"/>
    <col min="14" max="14" width="7.453125" style="2" customWidth="1"/>
    <col min="15" max="15" width="15.81640625" style="2" bestFit="1" customWidth="1"/>
    <col min="16" max="16" width="9.1796875" style="2"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s>
  <sheetData>
    <row r="1" spans="1:23" ht="14.5" x14ac:dyDescent="0.35">
      <c r="D1" s="152"/>
      <c r="E1" s="123"/>
      <c r="F1" s="125"/>
      <c r="G1" s="123" t="s">
        <v>621</v>
      </c>
      <c r="K1" s="2" t="s">
        <v>770</v>
      </c>
      <c r="O1" s="2" t="s">
        <v>770</v>
      </c>
    </row>
    <row r="2" spans="1:23" ht="15.75" customHeight="1" x14ac:dyDescent="0.35">
      <c r="D2" s="152"/>
      <c r="E2" s="123"/>
      <c r="F2" s="122" t="s">
        <v>622</v>
      </c>
      <c r="G2" s="123" t="s">
        <v>451</v>
      </c>
      <c r="H2" s="3751"/>
      <c r="I2" s="3751"/>
      <c r="J2" s="3751"/>
      <c r="K2" s="3751"/>
      <c r="L2" s="3751"/>
      <c r="M2" s="3751"/>
      <c r="N2" s="3751"/>
      <c r="O2" s="3751"/>
      <c r="P2" s="3751"/>
      <c r="Q2" s="3751"/>
      <c r="R2" s="3751"/>
      <c r="S2" s="3751"/>
      <c r="T2" s="3751"/>
      <c r="U2" s="3751"/>
      <c r="V2" s="3751"/>
      <c r="W2" s="3751"/>
    </row>
    <row r="3" spans="1:23" ht="19.5" x14ac:dyDescent="0.35">
      <c r="B3" s="137" t="s">
        <v>623</v>
      </c>
      <c r="D3" s="152"/>
      <c r="E3" s="123"/>
      <c r="F3" s="124" t="s">
        <v>624</v>
      </c>
      <c r="G3" s="123" t="s">
        <v>557</v>
      </c>
      <c r="H3" s="3772" t="s">
        <v>625</v>
      </c>
      <c r="I3" s="3773"/>
      <c r="J3" s="3772" t="s">
        <v>625</v>
      </c>
      <c r="K3" s="3773"/>
      <c r="L3" s="3754" t="s">
        <v>626</v>
      </c>
      <c r="M3" s="3755"/>
      <c r="N3" s="3754" t="s">
        <v>626</v>
      </c>
      <c r="O3" s="3755"/>
      <c r="P3" s="3754" t="s">
        <v>771</v>
      </c>
      <c r="Q3" s="3755"/>
      <c r="R3" s="3754" t="s">
        <v>628</v>
      </c>
      <c r="S3" s="3755"/>
      <c r="T3" s="3754" t="s">
        <v>772</v>
      </c>
      <c r="U3" s="3755"/>
      <c r="V3" s="3754" t="s">
        <v>773</v>
      </c>
      <c r="W3" s="3755"/>
    </row>
    <row r="4" spans="1:23" ht="14.5" x14ac:dyDescent="0.35">
      <c r="A4" s="3" t="s">
        <v>631</v>
      </c>
      <c r="B4" s="4" t="str">
        <f>'AREA CALC''s'!B4</f>
        <v>Alton Hilltop Gardens</v>
      </c>
      <c r="C4" s="5"/>
      <c r="D4" s="5"/>
      <c r="E4" s="5"/>
      <c r="F4" s="5"/>
      <c r="G4" s="6" t="s">
        <v>632</v>
      </c>
      <c r="H4" s="3752" t="s">
        <v>774</v>
      </c>
      <c r="I4" s="3753"/>
      <c r="J4" s="3752" t="s">
        <v>774</v>
      </c>
      <c r="K4" s="3753"/>
      <c r="L4" s="3766" t="s">
        <v>775</v>
      </c>
      <c r="M4" s="3767"/>
      <c r="N4" s="3766" t="s">
        <v>776</v>
      </c>
      <c r="O4" s="3767"/>
      <c r="P4" s="3752" t="s">
        <v>777</v>
      </c>
      <c r="Q4" s="3753"/>
      <c r="R4" s="3752"/>
      <c r="S4" s="3753"/>
      <c r="T4" s="3752"/>
      <c r="U4" s="3753"/>
      <c r="V4" s="3752"/>
      <c r="W4" s="3753"/>
    </row>
    <row r="5" spans="1:23" ht="14.5" x14ac:dyDescent="0.35">
      <c r="A5" s="688" t="s">
        <v>634</v>
      </c>
      <c r="B5" s="641" t="s">
        <v>778</v>
      </c>
      <c r="C5" s="642"/>
      <c r="D5" s="642"/>
      <c r="E5" s="642"/>
      <c r="F5" s="642"/>
      <c r="G5" s="643" t="s">
        <v>636</v>
      </c>
      <c r="H5" s="3758" t="s">
        <v>779</v>
      </c>
      <c r="I5" s="3759"/>
      <c r="J5" s="3758" t="s">
        <v>779</v>
      </c>
      <c r="K5" s="3759"/>
      <c r="L5" s="3768" t="s">
        <v>780</v>
      </c>
      <c r="M5" s="3769"/>
      <c r="N5" s="3768" t="s">
        <v>780</v>
      </c>
      <c r="O5" s="3769"/>
      <c r="P5" s="3758" t="s">
        <v>781</v>
      </c>
      <c r="Q5" s="3759"/>
      <c r="R5" s="3758"/>
      <c r="S5" s="3759"/>
      <c r="T5" s="3758"/>
      <c r="U5" s="3759"/>
      <c r="V5" s="3758"/>
      <c r="W5" s="3759"/>
    </row>
    <row r="6" spans="1:23" ht="14.5" x14ac:dyDescent="0.35">
      <c r="A6" s="688" t="s">
        <v>638</v>
      </c>
      <c r="B6" s="644" t="s">
        <v>456</v>
      </c>
      <c r="C6" s="642"/>
      <c r="D6" s="642"/>
      <c r="E6" s="642"/>
      <c r="F6" s="642"/>
      <c r="G6" s="643" t="s">
        <v>639</v>
      </c>
      <c r="H6" s="3756" t="s">
        <v>782</v>
      </c>
      <c r="I6" s="3757"/>
      <c r="J6" s="3756" t="s">
        <v>782</v>
      </c>
      <c r="K6" s="3757"/>
      <c r="L6" s="3768" t="s">
        <v>783</v>
      </c>
      <c r="M6" s="3769"/>
      <c r="N6" s="3768" t="s">
        <v>783</v>
      </c>
      <c r="O6" s="3769"/>
      <c r="P6" s="3756" t="s">
        <v>784</v>
      </c>
      <c r="Q6" s="3757"/>
      <c r="R6" s="3756"/>
      <c r="S6" s="3757"/>
      <c r="T6" s="3756"/>
      <c r="U6" s="3757"/>
      <c r="V6" s="3756"/>
      <c r="W6" s="3757"/>
    </row>
    <row r="7" spans="1:23" ht="14.5" x14ac:dyDescent="0.35">
      <c r="A7" s="688" t="s">
        <v>641</v>
      </c>
      <c r="B7" s="645"/>
      <c r="C7" s="642"/>
      <c r="D7" s="642"/>
      <c r="E7" s="642"/>
      <c r="F7" s="642"/>
      <c r="G7" s="643" t="s">
        <v>642</v>
      </c>
      <c r="H7" s="3762" t="s">
        <v>785</v>
      </c>
      <c r="I7" s="3763"/>
      <c r="J7" s="3762" t="s">
        <v>785</v>
      </c>
      <c r="K7" s="3763"/>
      <c r="L7" s="3774" t="s">
        <v>786</v>
      </c>
      <c r="M7" s="3775"/>
      <c r="N7" s="3774" t="s">
        <v>786</v>
      </c>
      <c r="O7" s="3775"/>
      <c r="P7" s="3762" t="s">
        <v>787</v>
      </c>
      <c r="Q7" s="3763"/>
      <c r="R7" s="3762"/>
      <c r="S7" s="3763"/>
      <c r="T7" s="3762"/>
      <c r="U7" s="3763"/>
      <c r="V7" s="3762"/>
      <c r="W7" s="3763"/>
    </row>
    <row r="8" spans="1:23" ht="14.5" x14ac:dyDescent="0.35">
      <c r="A8" s="1076" t="s">
        <v>644</v>
      </c>
      <c r="B8" s="939"/>
      <c r="C8" s="940"/>
      <c r="D8" s="940"/>
      <c r="E8" s="940"/>
      <c r="F8" s="940"/>
      <c r="G8" s="1077" t="s">
        <v>644</v>
      </c>
      <c r="H8" s="3760">
        <f>I133</f>
        <v>20470000</v>
      </c>
      <c r="I8" s="3761"/>
      <c r="J8" s="3760">
        <f>K133</f>
        <v>19780000</v>
      </c>
      <c r="K8" s="3761"/>
      <c r="L8" s="3760">
        <f>M133</f>
        <v>21013937</v>
      </c>
      <c r="M8" s="3761"/>
      <c r="N8" s="3760">
        <f>O133</f>
        <v>20077932</v>
      </c>
      <c r="O8" s="3761"/>
      <c r="P8" s="3760">
        <f>Q133</f>
        <v>22221824</v>
      </c>
      <c r="Q8" s="3761"/>
      <c r="R8" s="3760">
        <f>S133</f>
        <v>0</v>
      </c>
      <c r="S8" s="3761"/>
      <c r="T8" s="3760">
        <f>U133</f>
        <v>0</v>
      </c>
      <c r="U8" s="3761"/>
      <c r="V8" s="3760">
        <f>W133</f>
        <v>0</v>
      </c>
      <c r="W8" s="3761"/>
    </row>
    <row r="9" spans="1:23"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row>
    <row r="10" spans="1:23" ht="15.75" hidden="1" customHeight="1" x14ac:dyDescent="0.35">
      <c r="A10" s="689"/>
      <c r="B10" s="1078" t="s">
        <v>653</v>
      </c>
      <c r="C10" s="642"/>
      <c r="D10" s="642"/>
      <c r="E10" s="642"/>
      <c r="F10" s="642"/>
      <c r="G10" s="646"/>
      <c r="H10" s="942"/>
      <c r="I10" s="942"/>
      <c r="J10" s="942"/>
      <c r="K10" s="942"/>
      <c r="L10" s="942"/>
      <c r="M10" s="942"/>
      <c r="N10" s="942"/>
      <c r="O10" s="942"/>
      <c r="P10" s="942"/>
      <c r="Q10" s="942"/>
      <c r="R10" s="942"/>
      <c r="S10" s="942"/>
      <c r="T10" s="942"/>
      <c r="U10" s="942"/>
      <c r="V10" s="942"/>
      <c r="W10" s="942"/>
    </row>
    <row r="11" spans="1:23" ht="15.75" hidden="1" customHeight="1" x14ac:dyDescent="0.35">
      <c r="A11" s="689"/>
      <c r="B11" s="641" t="e">
        <f>#REF!</f>
        <v>#REF!</v>
      </c>
      <c r="C11" s="647" t="s">
        <v>654</v>
      </c>
      <c r="D11" s="642"/>
      <c r="E11" s="642"/>
      <c r="F11" s="642"/>
      <c r="G11" s="646"/>
      <c r="H11" s="942"/>
      <c r="I11" s="942"/>
      <c r="J11" s="942"/>
      <c r="K11" s="942"/>
      <c r="L11" s="942"/>
      <c r="M11" s="942"/>
      <c r="N11" s="942"/>
      <c r="O11" s="942"/>
      <c r="P11" s="942"/>
      <c r="Q11" s="942"/>
      <c r="R11" s="942"/>
      <c r="S11" s="942"/>
      <c r="T11" s="942"/>
      <c r="U11" s="942"/>
      <c r="V11" s="942"/>
      <c r="W11" s="942"/>
    </row>
    <row r="12" spans="1:23" ht="15.75" hidden="1" customHeight="1" x14ac:dyDescent="0.35">
      <c r="A12" s="689"/>
      <c r="B12" s="641" t="e">
        <f>#REF!</f>
        <v>#REF!</v>
      </c>
      <c r="C12" s="647" t="s">
        <v>654</v>
      </c>
      <c r="D12" s="642"/>
      <c r="E12" s="642"/>
      <c r="F12" s="642"/>
      <c r="G12" s="646"/>
      <c r="H12" s="942"/>
      <c r="I12" s="942"/>
      <c r="J12" s="942"/>
      <c r="K12" s="942"/>
      <c r="L12" s="942"/>
      <c r="M12" s="942"/>
      <c r="N12" s="942"/>
      <c r="O12" s="942"/>
      <c r="P12" s="942"/>
      <c r="Q12" s="942"/>
      <c r="R12" s="942"/>
      <c r="S12" s="942"/>
      <c r="T12" s="942"/>
      <c r="U12" s="942"/>
      <c r="V12" s="942"/>
      <c r="W12" s="942"/>
    </row>
    <row r="13" spans="1:23" ht="15.75" hidden="1" customHeight="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c r="V13" s="942"/>
      <c r="W13" s="942"/>
    </row>
    <row r="14" spans="1:23" ht="15.75" hidden="1" customHeight="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c r="V14" s="942"/>
      <c r="W14" s="942"/>
    </row>
    <row r="15" spans="1:23" ht="15.75" hidden="1" customHeight="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c r="V15" s="942"/>
      <c r="W15" s="942"/>
    </row>
    <row r="16" spans="1:23" ht="15" hidden="1" customHeight="1" x14ac:dyDescent="0.35">
      <c r="A16" s="689"/>
      <c r="B16" s="641" t="e">
        <f>#REF!</f>
        <v>#REF!</v>
      </c>
      <c r="C16" s="647"/>
      <c r="D16" s="642"/>
      <c r="E16" s="642"/>
      <c r="F16" s="642"/>
      <c r="G16" s="646"/>
      <c r="H16" s="942"/>
      <c r="I16" s="942"/>
      <c r="J16" s="942"/>
      <c r="K16" s="942"/>
      <c r="L16" s="942"/>
      <c r="M16" s="942"/>
      <c r="N16" s="942"/>
      <c r="O16" s="942"/>
      <c r="P16" s="942"/>
      <c r="Q16" s="942"/>
      <c r="R16" s="942"/>
      <c r="S16" s="942"/>
      <c r="T16" s="942"/>
      <c r="U16" s="942"/>
      <c r="V16" s="942"/>
      <c r="W16" s="942"/>
    </row>
    <row r="17" spans="1:23" ht="15" hidden="1" customHeight="1" x14ac:dyDescent="0.35">
      <c r="A17" s="689"/>
      <c r="B17" s="641" t="e">
        <f>#REF!</f>
        <v>#REF!</v>
      </c>
      <c r="C17" s="647"/>
      <c r="D17" s="642"/>
      <c r="E17" s="642"/>
      <c r="F17" s="642"/>
      <c r="G17" s="646"/>
      <c r="H17" s="942"/>
      <c r="I17" s="942"/>
      <c r="J17" s="942"/>
      <c r="K17" s="942"/>
      <c r="L17" s="942"/>
      <c r="M17" s="942"/>
      <c r="N17" s="942"/>
      <c r="O17" s="942"/>
      <c r="P17" s="942"/>
      <c r="Q17" s="942"/>
      <c r="R17" s="942"/>
      <c r="S17" s="942"/>
      <c r="T17" s="942"/>
      <c r="U17" s="942"/>
      <c r="V17" s="942"/>
      <c r="W17" s="942"/>
    </row>
    <row r="18" spans="1:23" ht="15.75" hidden="1" customHeight="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c r="V18" s="942"/>
      <c r="W18" s="942"/>
    </row>
    <row r="19" spans="1:23" ht="15.75" hidden="1" customHeight="1" x14ac:dyDescent="0.35">
      <c r="A19" s="689"/>
      <c r="B19" s="641" t="e">
        <f>#REF!</f>
        <v>#REF!</v>
      </c>
      <c r="C19" s="647"/>
      <c r="D19" s="642"/>
      <c r="E19" s="642"/>
      <c r="F19" s="642"/>
      <c r="G19" s="646"/>
      <c r="H19" s="942"/>
      <c r="I19" s="942"/>
      <c r="J19" s="942"/>
      <c r="K19" s="942"/>
      <c r="L19" s="942"/>
      <c r="M19" s="942"/>
      <c r="N19" s="942"/>
      <c r="O19" s="942"/>
      <c r="P19" s="942"/>
      <c r="Q19" s="942"/>
      <c r="R19" s="942"/>
      <c r="S19" s="942"/>
      <c r="T19" s="942"/>
      <c r="U19" s="942"/>
      <c r="V19" s="942"/>
      <c r="W19" s="942"/>
    </row>
    <row r="20" spans="1:23" ht="16.5" customHeight="1" x14ac:dyDescent="0.35">
      <c r="A20" s="689"/>
      <c r="B20" s="641"/>
      <c r="C20" s="647"/>
      <c r="D20" s="642"/>
      <c r="E20" s="642"/>
      <c r="F20" s="642"/>
      <c r="G20" s="646"/>
      <c r="H20" s="943"/>
      <c r="I20" s="942"/>
      <c r="J20" s="943"/>
      <c r="K20" s="942"/>
      <c r="L20" s="943"/>
      <c r="M20" s="942"/>
      <c r="N20" s="943"/>
      <c r="O20" s="942"/>
      <c r="P20" s="943"/>
      <c r="Q20" s="942"/>
      <c r="R20" s="943"/>
      <c r="S20" s="942"/>
      <c r="T20" s="943"/>
      <c r="U20" s="942"/>
      <c r="V20" s="943"/>
      <c r="W20" s="942"/>
    </row>
    <row r="21" spans="1:23" ht="14.5" x14ac:dyDescent="0.35">
      <c r="A21" s="1079"/>
      <c r="B21" s="648" t="s">
        <v>778</v>
      </c>
      <c r="C21" s="647"/>
      <c r="D21" s="642"/>
      <c r="E21" s="642"/>
      <c r="F21" s="642"/>
      <c r="G21" s="646"/>
      <c r="H21" s="943"/>
      <c r="I21" s="1064"/>
      <c r="J21" s="943"/>
      <c r="K21" s="1064"/>
      <c r="L21" s="943"/>
      <c r="M21" s="1064"/>
      <c r="N21" s="943"/>
      <c r="O21" s="1064"/>
      <c r="P21" s="943"/>
      <c r="Q21" s="1064"/>
      <c r="R21" s="943"/>
      <c r="S21" s="1064"/>
      <c r="T21" s="943"/>
      <c r="U21" s="1064"/>
      <c r="V21" s="943"/>
      <c r="W21" s="1064"/>
    </row>
    <row r="22" spans="1:23" ht="15.5" x14ac:dyDescent="0.35">
      <c r="A22" s="1080"/>
      <c r="B22" s="1081" t="s">
        <v>657</v>
      </c>
      <c r="C22" s="681"/>
      <c r="D22" s="642"/>
      <c r="E22" s="642"/>
      <c r="F22" s="642"/>
      <c r="G22" s="646"/>
      <c r="H22" s="943"/>
      <c r="I22" s="1064"/>
      <c r="J22" s="943"/>
      <c r="K22" s="1064"/>
      <c r="L22" s="943"/>
      <c r="M22" s="1064"/>
      <c r="N22" s="943"/>
      <c r="O22" s="1064"/>
      <c r="P22" s="943"/>
      <c r="Q22" s="1082"/>
      <c r="R22" s="943"/>
      <c r="S22" s="1064"/>
      <c r="T22" s="943"/>
      <c r="U22" s="1064"/>
      <c r="V22" s="943"/>
      <c r="W22" s="1064"/>
    </row>
    <row r="23" spans="1:23" ht="15.75" customHeight="1" x14ac:dyDescent="0.35">
      <c r="A23" s="1079"/>
      <c r="B23" s="603" t="s">
        <v>658</v>
      </c>
      <c r="C23" s="647"/>
      <c r="D23" s="642"/>
      <c r="E23" s="642"/>
      <c r="F23" s="642"/>
      <c r="G23" s="646"/>
      <c r="H23" s="943" t="s">
        <v>669</v>
      </c>
      <c r="I23" s="1064"/>
      <c r="J23" s="943" t="s">
        <v>669</v>
      </c>
      <c r="K23" s="1064"/>
      <c r="L23" s="943" t="s">
        <v>669</v>
      </c>
      <c r="M23" s="1064"/>
      <c r="N23" s="943" t="s">
        <v>669</v>
      </c>
      <c r="O23" s="1064"/>
      <c r="P23" s="943" t="s">
        <v>669</v>
      </c>
      <c r="Q23" s="1064"/>
      <c r="R23" s="943"/>
      <c r="S23" s="1064"/>
      <c r="T23" s="943"/>
      <c r="U23" s="1064"/>
      <c r="V23" s="943"/>
      <c r="W23" s="1064"/>
    </row>
    <row r="24" spans="1:23" ht="14.5" x14ac:dyDescent="0.35">
      <c r="A24" s="1079"/>
      <c r="B24" s="1083" t="s">
        <v>659</v>
      </c>
      <c r="C24" s="647"/>
      <c r="D24" s="642"/>
      <c r="E24" s="642"/>
      <c r="F24" s="642"/>
      <c r="G24" s="646"/>
      <c r="H24" s="943" t="s">
        <v>669</v>
      </c>
      <c r="I24" s="1084"/>
      <c r="J24" s="943" t="s">
        <v>669</v>
      </c>
      <c r="K24" s="1084"/>
      <c r="L24" s="943" t="s">
        <v>669</v>
      </c>
      <c r="M24" s="1084"/>
      <c r="N24" s="943" t="s">
        <v>669</v>
      </c>
      <c r="O24" s="1084"/>
      <c r="P24" s="943" t="s">
        <v>669</v>
      </c>
      <c r="Q24" s="1084"/>
      <c r="R24" s="943"/>
      <c r="S24" s="1084"/>
      <c r="T24" s="943"/>
      <c r="U24" s="1084"/>
      <c r="V24" s="943"/>
      <c r="W24" s="1084"/>
    </row>
    <row r="25" spans="1:23" ht="15.75" customHeight="1" x14ac:dyDescent="0.35">
      <c r="A25" s="1079"/>
      <c r="B25" s="1085" t="s">
        <v>660</v>
      </c>
      <c r="C25" s="647"/>
      <c r="D25" s="642"/>
      <c r="E25" s="642"/>
      <c r="F25" s="642"/>
      <c r="G25" s="646"/>
      <c r="H25" s="943" t="s">
        <v>671</v>
      </c>
      <c r="I25" s="1084" t="s">
        <v>788</v>
      </c>
      <c r="J25" s="943" t="s">
        <v>671</v>
      </c>
      <c r="K25" s="1084" t="s">
        <v>788</v>
      </c>
      <c r="L25" s="943" t="s">
        <v>671</v>
      </c>
      <c r="M25" s="1084" t="s">
        <v>788</v>
      </c>
      <c r="N25" s="943" t="s">
        <v>671</v>
      </c>
      <c r="O25" s="1084" t="s">
        <v>788</v>
      </c>
      <c r="P25" s="943" t="s">
        <v>671</v>
      </c>
      <c r="Q25" s="1084" t="s">
        <v>788</v>
      </c>
      <c r="R25" s="943"/>
      <c r="S25" s="1084"/>
      <c r="T25" s="943"/>
      <c r="U25" s="1084"/>
      <c r="V25" s="943"/>
      <c r="W25" s="1084"/>
    </row>
    <row r="26" spans="1:23" ht="14.5" x14ac:dyDescent="0.35">
      <c r="A26" s="1079"/>
      <c r="B26" s="1085" t="s">
        <v>661</v>
      </c>
      <c r="C26" s="1086"/>
      <c r="D26" s="682"/>
      <c r="E26" s="642"/>
      <c r="F26" s="642"/>
      <c r="G26" s="646"/>
      <c r="H26" s="943" t="s">
        <v>669</v>
      </c>
      <c r="I26" s="1064"/>
      <c r="J26" s="943" t="s">
        <v>669</v>
      </c>
      <c r="K26" s="1064"/>
      <c r="L26" s="943" t="s">
        <v>669</v>
      </c>
      <c r="M26" s="1064"/>
      <c r="N26" s="943" t="s">
        <v>669</v>
      </c>
      <c r="O26" s="1064"/>
      <c r="P26" s="943" t="s">
        <v>669</v>
      </c>
      <c r="Q26" s="1064"/>
      <c r="R26" s="943"/>
      <c r="S26" s="1064"/>
      <c r="T26" s="943"/>
      <c r="U26" s="1064"/>
      <c r="V26" s="943"/>
      <c r="W26" s="1064"/>
    </row>
    <row r="27" spans="1:23" ht="14.5" x14ac:dyDescent="0.35">
      <c r="A27" s="1079"/>
      <c r="B27" s="1085" t="s">
        <v>662</v>
      </c>
      <c r="C27" s="1086"/>
      <c r="D27" s="682"/>
      <c r="E27" s="642"/>
      <c r="F27" s="642"/>
      <c r="G27" s="646"/>
      <c r="H27" s="943" t="s">
        <v>669</v>
      </c>
      <c r="I27" s="1064"/>
      <c r="J27" s="943" t="s">
        <v>669</v>
      </c>
      <c r="K27" s="1064"/>
      <c r="L27" s="943" t="s">
        <v>669</v>
      </c>
      <c r="M27" s="1064"/>
      <c r="N27" s="943" t="s">
        <v>669</v>
      </c>
      <c r="O27" s="1064"/>
      <c r="P27" s="943" t="s">
        <v>669</v>
      </c>
      <c r="Q27" s="1064"/>
      <c r="R27" s="943"/>
      <c r="S27" s="1064"/>
      <c r="T27" s="943"/>
      <c r="U27" s="1064"/>
      <c r="V27" s="943"/>
      <c r="W27" s="1064"/>
    </row>
    <row r="28" spans="1:23" ht="14.5" x14ac:dyDescent="0.35">
      <c r="A28" s="1079"/>
      <c r="B28" s="1085" t="s">
        <v>663</v>
      </c>
      <c r="C28" s="1086"/>
      <c r="D28" s="682"/>
      <c r="E28" s="642"/>
      <c r="F28" s="642"/>
      <c r="G28" s="646"/>
      <c r="H28" s="943" t="s">
        <v>669</v>
      </c>
      <c r="I28" s="1064"/>
      <c r="J28" s="943" t="s">
        <v>669</v>
      </c>
      <c r="K28" s="1064"/>
      <c r="L28" s="943" t="s">
        <v>669</v>
      </c>
      <c r="M28" s="1064"/>
      <c r="N28" s="943" t="s">
        <v>669</v>
      </c>
      <c r="O28" s="1064"/>
      <c r="P28" s="943" t="s">
        <v>669</v>
      </c>
      <c r="Q28" s="1064"/>
      <c r="R28" s="943"/>
      <c r="S28" s="1064"/>
      <c r="T28" s="943"/>
      <c r="U28" s="1064"/>
      <c r="V28" s="943"/>
      <c r="W28" s="1064"/>
    </row>
    <row r="29" spans="1:23" ht="14.5" x14ac:dyDescent="0.35">
      <c r="A29" s="1079"/>
      <c r="B29" s="1085" t="s">
        <v>789</v>
      </c>
      <c r="C29" s="1086"/>
      <c r="D29" s="682"/>
      <c r="E29" s="642"/>
      <c r="F29" s="642"/>
      <c r="G29" s="646"/>
      <c r="H29" s="943" t="s">
        <v>671</v>
      </c>
      <c r="I29" s="1064"/>
      <c r="J29" s="943" t="s">
        <v>671</v>
      </c>
      <c r="K29" s="1064"/>
      <c r="L29" s="943" t="s">
        <v>671</v>
      </c>
      <c r="M29" s="1064"/>
      <c r="N29" s="943" t="s">
        <v>671</v>
      </c>
      <c r="O29" s="1064"/>
      <c r="P29" s="943" t="s">
        <v>671</v>
      </c>
      <c r="Q29" s="1064"/>
      <c r="R29" s="943"/>
      <c r="S29" s="1064"/>
      <c r="T29" s="943"/>
      <c r="U29" s="1064"/>
      <c r="V29" s="943"/>
      <c r="W29" s="1064"/>
    </row>
    <row r="30" spans="1:23" ht="14.5" x14ac:dyDescent="0.35">
      <c r="A30" s="1079"/>
      <c r="B30" s="1085" t="s">
        <v>790</v>
      </c>
      <c r="C30" s="1086"/>
      <c r="D30" s="682"/>
      <c r="E30" s="642"/>
      <c r="F30" s="642"/>
      <c r="G30" s="646"/>
      <c r="H30" s="943"/>
      <c r="I30" s="1064"/>
      <c r="J30" s="943"/>
      <c r="K30" s="1064"/>
      <c r="L30" s="943"/>
      <c r="M30" s="1064"/>
      <c r="N30" s="943"/>
      <c r="O30" s="1064"/>
      <c r="P30" s="943"/>
      <c r="Q30" s="1064"/>
      <c r="R30" s="943"/>
      <c r="S30" s="1064"/>
      <c r="T30" s="943"/>
      <c r="U30" s="1064"/>
      <c r="V30" s="943"/>
      <c r="W30" s="1064"/>
    </row>
    <row r="31" spans="1:23" ht="14.5" x14ac:dyDescent="0.35">
      <c r="A31" s="1079"/>
      <c r="B31" s="1085" t="s">
        <v>791</v>
      </c>
      <c r="C31" s="1086"/>
      <c r="D31" s="682"/>
      <c r="E31" s="642"/>
      <c r="F31" s="642"/>
      <c r="G31" s="646"/>
      <c r="H31" s="943"/>
      <c r="I31" s="1064"/>
      <c r="J31" s="943"/>
      <c r="K31" s="1064"/>
      <c r="L31" s="943"/>
      <c r="M31" s="1064"/>
      <c r="N31" s="943"/>
      <c r="O31" s="1064"/>
      <c r="P31" s="943"/>
      <c r="Q31" s="1064"/>
      <c r="R31" s="943"/>
      <c r="S31" s="1064"/>
      <c r="T31" s="943"/>
      <c r="U31" s="1064"/>
      <c r="V31" s="943"/>
      <c r="W31" s="1064"/>
    </row>
    <row r="32" spans="1:23" ht="14.5" x14ac:dyDescent="0.35">
      <c r="A32" s="1079"/>
      <c r="B32" s="1087" t="s">
        <v>664</v>
      </c>
      <c r="C32" s="1086"/>
      <c r="D32" s="682"/>
      <c r="E32" s="642"/>
      <c r="F32" s="642"/>
      <c r="G32" s="646"/>
      <c r="H32" s="943"/>
      <c r="I32" s="1064"/>
      <c r="J32" s="943"/>
      <c r="K32" s="1064"/>
      <c r="L32" s="943"/>
      <c r="M32" s="1064"/>
      <c r="N32" s="943"/>
      <c r="O32" s="1064"/>
      <c r="P32" s="943"/>
      <c r="Q32" s="1084"/>
      <c r="R32" s="943"/>
      <c r="S32" s="1064"/>
      <c r="T32" s="943"/>
      <c r="U32" s="1064"/>
      <c r="V32" s="943"/>
      <c r="W32" s="1064"/>
    </row>
    <row r="33" spans="1:23" ht="14.5" x14ac:dyDescent="0.35">
      <c r="A33" s="1088"/>
      <c r="B33" s="1089" t="s">
        <v>665</v>
      </c>
      <c r="C33" s="1090"/>
      <c r="D33" s="1091"/>
      <c r="E33" s="1092"/>
      <c r="F33" s="1092"/>
      <c r="G33" s="1093"/>
      <c r="H33" s="1094"/>
      <c r="I33" s="1095"/>
      <c r="J33" s="1094"/>
      <c r="K33" s="1095"/>
      <c r="L33" s="1094"/>
      <c r="M33" s="1096"/>
      <c r="N33" s="1094"/>
      <c r="O33" s="1096">
        <v>20250000</v>
      </c>
      <c r="P33" s="1094"/>
      <c r="Q33" s="1096"/>
      <c r="R33" s="1094"/>
      <c r="S33" s="1095"/>
      <c r="T33" s="1094"/>
      <c r="U33" s="1095"/>
      <c r="V33" s="1094"/>
      <c r="W33" s="1095"/>
    </row>
    <row r="34" spans="1:23" ht="14.5" x14ac:dyDescent="0.35">
      <c r="A34" s="1079"/>
      <c r="B34" s="1097"/>
      <c r="C34" s="1086"/>
      <c r="D34" s="682"/>
      <c r="E34" s="642"/>
      <c r="F34" s="642"/>
      <c r="G34" s="646"/>
      <c r="H34" s="943"/>
      <c r="I34" s="1064"/>
      <c r="J34" s="943"/>
      <c r="K34" s="1064"/>
      <c r="L34" s="943"/>
      <c r="M34" s="1064"/>
      <c r="N34" s="943"/>
      <c r="O34" s="1064"/>
      <c r="P34" s="943"/>
      <c r="Q34" s="1084"/>
      <c r="R34" s="943"/>
      <c r="S34" s="1064"/>
      <c r="T34" s="943"/>
      <c r="U34" s="1064"/>
      <c r="V34" s="943"/>
      <c r="W34" s="1064"/>
    </row>
    <row r="35" spans="1:23" ht="14.5" x14ac:dyDescent="0.35">
      <c r="A35" s="1079"/>
      <c r="B35" s="1098" t="s">
        <v>792</v>
      </c>
      <c r="C35" s="1086"/>
      <c r="D35" s="682"/>
      <c r="E35" s="642"/>
      <c r="F35" s="642"/>
      <c r="G35" s="646"/>
      <c r="H35" s="943"/>
      <c r="I35" s="1064"/>
      <c r="J35" s="943"/>
      <c r="K35" s="1064"/>
      <c r="L35" s="943"/>
      <c r="M35" s="1084"/>
      <c r="N35" s="943"/>
      <c r="O35" s="1084"/>
      <c r="P35" s="943"/>
      <c r="Q35" s="1084"/>
      <c r="R35" s="943"/>
      <c r="S35" s="1064"/>
      <c r="T35" s="943"/>
      <c r="U35" s="1064"/>
      <c r="V35" s="943"/>
      <c r="W35" s="1064"/>
    </row>
    <row r="36" spans="1:23" ht="14.5" x14ac:dyDescent="0.35">
      <c r="A36" s="1079"/>
      <c r="B36" s="1098" t="s">
        <v>793</v>
      </c>
      <c r="C36" s="1086"/>
      <c r="D36" s="1099">
        <f>238146+191025+83615</f>
        <v>512786</v>
      </c>
      <c r="E36" s="642" t="s">
        <v>28</v>
      </c>
      <c r="F36" s="1012">
        <v>40</v>
      </c>
      <c r="G36" s="690">
        <f t="shared" ref="G36:G40" si="0">D36*F36</f>
        <v>20511440</v>
      </c>
      <c r="H36" s="943" t="s">
        <v>669</v>
      </c>
      <c r="I36" s="1100">
        <v>18800000</v>
      </c>
      <c r="J36" s="943" t="s">
        <v>669</v>
      </c>
      <c r="K36" s="1100">
        <v>18800000</v>
      </c>
      <c r="L36" s="943" t="s">
        <v>669</v>
      </c>
      <c r="M36" s="1084">
        <v>19820188</v>
      </c>
      <c r="N36" s="943" t="s">
        <v>669</v>
      </c>
      <c r="O36" s="1084"/>
      <c r="P36" s="943" t="s">
        <v>669</v>
      </c>
      <c r="Q36" s="1084">
        <f>3383974+3896814+3896814+3178716+3191517+3178716</f>
        <v>20726551</v>
      </c>
      <c r="R36" s="943"/>
      <c r="S36" s="1064"/>
      <c r="T36" s="943"/>
      <c r="U36" s="1064"/>
      <c r="V36" s="943"/>
      <c r="W36" s="1064"/>
    </row>
    <row r="37" spans="1:23" ht="14.5" x14ac:dyDescent="0.35">
      <c r="A37" s="1079"/>
      <c r="B37" s="1098" t="s">
        <v>80</v>
      </c>
      <c r="C37" s="1086"/>
      <c r="D37" s="1099">
        <v>10558</v>
      </c>
      <c r="E37" s="642" t="s">
        <v>28</v>
      </c>
      <c r="F37" s="1012">
        <v>44</v>
      </c>
      <c r="G37" s="690">
        <f t="shared" si="0"/>
        <v>464552</v>
      </c>
      <c r="H37" s="943" t="s">
        <v>669</v>
      </c>
      <c r="I37" s="1100">
        <v>915000</v>
      </c>
      <c r="J37" s="943" t="s">
        <v>669</v>
      </c>
      <c r="K37" s="1100">
        <v>915000</v>
      </c>
      <c r="L37" s="943" t="s">
        <v>669</v>
      </c>
      <c r="M37" s="1084">
        <v>573960</v>
      </c>
      <c r="N37" s="943" t="s">
        <v>669</v>
      </c>
      <c r="O37" s="1084"/>
      <c r="P37" s="943" t="s">
        <v>669</v>
      </c>
      <c r="Q37" s="1084">
        <v>793623</v>
      </c>
      <c r="R37" s="943"/>
      <c r="S37" s="1064"/>
      <c r="T37" s="943"/>
      <c r="U37" s="1064"/>
      <c r="V37" s="943"/>
      <c r="W37" s="1064"/>
    </row>
    <row r="38" spans="1:23" ht="14.5" x14ac:dyDescent="0.35">
      <c r="A38" s="1079"/>
      <c r="B38" s="1098" t="s">
        <v>794</v>
      </c>
      <c r="C38" s="1086"/>
      <c r="D38" s="1099">
        <v>6539</v>
      </c>
      <c r="E38" s="642" t="s">
        <v>28</v>
      </c>
      <c r="F38" s="1012">
        <v>42</v>
      </c>
      <c r="G38" s="690">
        <f t="shared" si="0"/>
        <v>274638</v>
      </c>
      <c r="H38" s="943" t="s">
        <v>669</v>
      </c>
      <c r="I38" s="1100">
        <f>340000</f>
        <v>340000</v>
      </c>
      <c r="J38" s="943" t="s">
        <v>669</v>
      </c>
      <c r="K38" s="1100">
        <f>340000</f>
        <v>340000</v>
      </c>
      <c r="L38" s="943" t="s">
        <v>669</v>
      </c>
      <c r="M38" s="1084">
        <v>421022</v>
      </c>
      <c r="N38" s="943" t="s">
        <v>669</v>
      </c>
      <c r="O38" s="1084"/>
      <c r="P38" s="943" t="s">
        <v>669</v>
      </c>
      <c r="Q38" s="1084">
        <f>100188+94197+94199</f>
        <v>288584</v>
      </c>
      <c r="R38" s="943"/>
      <c r="S38" s="1064"/>
      <c r="T38" s="943"/>
      <c r="U38" s="1064"/>
      <c r="V38" s="943"/>
      <c r="W38" s="1064"/>
    </row>
    <row r="39" spans="1:23" ht="14.5" x14ac:dyDescent="0.35">
      <c r="A39" s="1079"/>
      <c r="B39" s="1098" t="s">
        <v>795</v>
      </c>
      <c r="C39" s="1086"/>
      <c r="D39" s="1099">
        <v>888</v>
      </c>
      <c r="E39" s="642" t="s">
        <v>28</v>
      </c>
      <c r="F39" s="1012">
        <v>42</v>
      </c>
      <c r="G39" s="690">
        <f t="shared" si="0"/>
        <v>37296</v>
      </c>
      <c r="H39" s="943" t="s">
        <v>669</v>
      </c>
      <c r="I39" s="1100">
        <v>50000</v>
      </c>
      <c r="J39" s="943" t="s">
        <v>669</v>
      </c>
      <c r="K39" s="1100">
        <v>50000</v>
      </c>
      <c r="L39" s="943" t="s">
        <v>669</v>
      </c>
      <c r="M39" s="1084">
        <v>39960</v>
      </c>
      <c r="N39" s="943" t="s">
        <v>669</v>
      </c>
      <c r="O39" s="1084"/>
      <c r="P39" s="943" t="s">
        <v>669</v>
      </c>
      <c r="Q39" s="1084">
        <v>46012</v>
      </c>
      <c r="R39" s="943"/>
      <c r="S39" s="1064"/>
      <c r="T39" s="943"/>
      <c r="U39" s="1064"/>
      <c r="V39" s="943"/>
      <c r="W39" s="1064"/>
    </row>
    <row r="40" spans="1:23" ht="14.5" x14ac:dyDescent="0.35">
      <c r="A40" s="1079"/>
      <c r="B40" s="1098" t="s">
        <v>796</v>
      </c>
      <c r="C40" s="1086"/>
      <c r="D40" s="682">
        <v>1532</v>
      </c>
      <c r="E40" s="642" t="s">
        <v>28</v>
      </c>
      <c r="F40" s="1012">
        <v>42</v>
      </c>
      <c r="G40" s="690">
        <f t="shared" si="0"/>
        <v>64344</v>
      </c>
      <c r="H40" s="943" t="s">
        <v>669</v>
      </c>
      <c r="I40" s="1100">
        <v>125000</v>
      </c>
      <c r="J40" s="943" t="s">
        <v>669</v>
      </c>
      <c r="K40" s="1100">
        <v>125000</v>
      </c>
      <c r="L40" s="1101" t="s">
        <v>669</v>
      </c>
      <c r="M40" s="1084">
        <v>126375</v>
      </c>
      <c r="N40" s="1101" t="s">
        <v>669</v>
      </c>
      <c r="O40" s="1084"/>
      <c r="P40" s="1101" t="s">
        <v>669</v>
      </c>
      <c r="Q40" s="1084">
        <v>97554</v>
      </c>
      <c r="R40" s="943"/>
      <c r="S40" s="1064"/>
      <c r="T40" s="943"/>
      <c r="U40" s="1064"/>
      <c r="V40" s="943"/>
      <c r="W40" s="1064"/>
    </row>
    <row r="41" spans="1:23" ht="14.5" x14ac:dyDescent="0.35">
      <c r="A41" s="1079"/>
      <c r="B41" s="1098" t="s">
        <v>797</v>
      </c>
      <c r="C41" s="1086"/>
      <c r="D41" s="682"/>
      <c r="E41" s="642"/>
      <c r="F41" s="1012"/>
      <c r="G41" s="690"/>
      <c r="H41" s="943" t="s">
        <v>669</v>
      </c>
      <c r="I41" s="1100">
        <v>90000</v>
      </c>
      <c r="J41" s="943" t="s">
        <v>669</v>
      </c>
      <c r="K41" s="1100">
        <v>90000</v>
      </c>
      <c r="L41" s="1101" t="s">
        <v>654</v>
      </c>
      <c r="M41" s="1084">
        <f>I41</f>
        <v>90000</v>
      </c>
      <c r="N41" s="1101" t="s">
        <v>669</v>
      </c>
      <c r="O41" s="1084"/>
      <c r="P41" s="1101" t="s">
        <v>654</v>
      </c>
      <c r="Q41" s="1084">
        <v>90000</v>
      </c>
      <c r="R41" s="943"/>
      <c r="S41" s="1064"/>
      <c r="T41" s="943"/>
      <c r="U41" s="1064"/>
      <c r="V41" s="943"/>
      <c r="W41" s="1064"/>
    </row>
    <row r="42" spans="1:23" ht="14.5" x14ac:dyDescent="0.35">
      <c r="A42" s="1079"/>
      <c r="B42" s="1098" t="s">
        <v>746</v>
      </c>
      <c r="C42" s="1086"/>
      <c r="D42" s="682"/>
      <c r="E42" s="642"/>
      <c r="F42" s="1012"/>
      <c r="G42" s="690"/>
      <c r="H42" s="1101" t="s">
        <v>669</v>
      </c>
      <c r="I42" s="1100">
        <v>45000</v>
      </c>
      <c r="J42" s="1101" t="s">
        <v>669</v>
      </c>
      <c r="K42" s="1100">
        <v>45000</v>
      </c>
      <c r="L42" s="1101" t="s">
        <v>654</v>
      </c>
      <c r="M42" s="1084">
        <f>Q42</f>
        <v>45000</v>
      </c>
      <c r="N42" s="1101" t="s">
        <v>669</v>
      </c>
      <c r="O42" s="1084"/>
      <c r="P42" s="1101" t="s">
        <v>654</v>
      </c>
      <c r="Q42" s="1084">
        <f>I42</f>
        <v>45000</v>
      </c>
      <c r="R42" s="943"/>
      <c r="S42" s="1064"/>
      <c r="T42" s="943"/>
      <c r="U42" s="1064"/>
      <c r="V42" s="943"/>
      <c r="W42" s="1064"/>
    </row>
    <row r="43" spans="1:23" ht="14.5" x14ac:dyDescent="0.35">
      <c r="A43" s="1079"/>
      <c r="B43" s="1102" t="s">
        <v>798</v>
      </c>
      <c r="C43" s="1086"/>
      <c r="D43" s="682">
        <v>1</v>
      </c>
      <c r="E43" s="642" t="s">
        <v>666</v>
      </c>
      <c r="F43" s="1012">
        <v>7000</v>
      </c>
      <c r="G43" s="690">
        <f>D43*F43</f>
        <v>7000</v>
      </c>
      <c r="H43" s="1101" t="s">
        <v>669</v>
      </c>
      <c r="I43" s="1100"/>
      <c r="J43" s="1101" t="s">
        <v>669</v>
      </c>
      <c r="K43" s="1100"/>
      <c r="L43" s="1101" t="s">
        <v>654</v>
      </c>
      <c r="M43" s="1084">
        <v>10000</v>
      </c>
      <c r="N43" s="1101" t="s">
        <v>669</v>
      </c>
      <c r="O43" s="1084"/>
      <c r="P43" s="1101" t="s">
        <v>654</v>
      </c>
      <c r="Q43" s="1084">
        <v>10000</v>
      </c>
      <c r="R43" s="943"/>
      <c r="S43" s="1064"/>
      <c r="T43" s="943"/>
      <c r="U43" s="1064"/>
      <c r="V43" s="943"/>
      <c r="W43" s="1064"/>
    </row>
    <row r="44" spans="1:23" ht="14.5" x14ac:dyDescent="0.35">
      <c r="A44" s="1079"/>
      <c r="B44" s="1102" t="s">
        <v>799</v>
      </c>
      <c r="C44" s="1086" t="s">
        <v>800</v>
      </c>
      <c r="D44" s="682">
        <v>11</v>
      </c>
      <c r="E44" s="642" t="s">
        <v>666</v>
      </c>
      <c r="F44" s="642"/>
      <c r="G44" s="646"/>
      <c r="H44" s="943" t="s">
        <v>669</v>
      </c>
      <c r="I44" s="1064"/>
      <c r="J44" s="943" t="s">
        <v>669</v>
      </c>
      <c r="K44" s="1064"/>
      <c r="L44" s="1101" t="s">
        <v>654</v>
      </c>
      <c r="M44" s="1084">
        <v>2000</v>
      </c>
      <c r="N44" s="1101" t="s">
        <v>669</v>
      </c>
      <c r="O44" s="1084"/>
      <c r="P44" s="1101" t="s">
        <v>654</v>
      </c>
      <c r="Q44" s="1084">
        <v>2000</v>
      </c>
      <c r="R44" s="943"/>
      <c r="S44" s="1064"/>
      <c r="T44" s="943"/>
      <c r="U44" s="1064"/>
      <c r="V44" s="943"/>
      <c r="W44" s="1064"/>
    </row>
    <row r="45" spans="1:23" ht="14.5" x14ac:dyDescent="0.35">
      <c r="A45" s="1079"/>
      <c r="B45" s="1102" t="s">
        <v>801</v>
      </c>
      <c r="C45" s="1086" t="s">
        <v>802</v>
      </c>
      <c r="D45" s="682">
        <v>9</v>
      </c>
      <c r="E45" s="642" t="s">
        <v>666</v>
      </c>
      <c r="F45" s="642"/>
      <c r="G45" s="646"/>
      <c r="H45" s="943" t="s">
        <v>669</v>
      </c>
      <c r="I45" s="1064"/>
      <c r="J45" s="943" t="s">
        <v>669</v>
      </c>
      <c r="K45" s="1064"/>
      <c r="L45" s="1101" t="s">
        <v>654</v>
      </c>
      <c r="M45" s="1084">
        <v>3000</v>
      </c>
      <c r="N45" s="1101" t="s">
        <v>669</v>
      </c>
      <c r="O45" s="1084"/>
      <c r="P45" s="1101" t="s">
        <v>654</v>
      </c>
      <c r="Q45" s="1084">
        <v>3000</v>
      </c>
      <c r="R45" s="943"/>
      <c r="S45" s="1064"/>
      <c r="T45" s="943"/>
      <c r="U45" s="1064"/>
      <c r="V45" s="943"/>
      <c r="W45" s="1064"/>
    </row>
    <row r="46" spans="1:23" ht="14.5" x14ac:dyDescent="0.35">
      <c r="A46" s="1079"/>
      <c r="B46" s="1102" t="s">
        <v>803</v>
      </c>
      <c r="C46" s="1086"/>
      <c r="D46" s="682">
        <v>1</v>
      </c>
      <c r="E46" s="642" t="s">
        <v>666</v>
      </c>
      <c r="F46" s="1012">
        <v>11500</v>
      </c>
      <c r="G46" s="690">
        <f>D46*F46</f>
        <v>11500</v>
      </c>
      <c r="H46" s="1101" t="s">
        <v>669</v>
      </c>
      <c r="I46" s="1100">
        <v>25000</v>
      </c>
      <c r="J46" s="1101" t="s">
        <v>669</v>
      </c>
      <c r="K46" s="1100">
        <v>25000</v>
      </c>
      <c r="L46" s="1101" t="s">
        <v>654</v>
      </c>
      <c r="M46" s="1084">
        <f>I46</f>
        <v>25000</v>
      </c>
      <c r="N46" s="1101" t="s">
        <v>669</v>
      </c>
      <c r="O46" s="1084"/>
      <c r="P46" s="1101" t="s">
        <v>654</v>
      </c>
      <c r="Q46" s="1084">
        <f>M46</f>
        <v>25000</v>
      </c>
      <c r="R46" s="943"/>
      <c r="S46" s="1064"/>
      <c r="T46" s="943"/>
      <c r="U46" s="1064"/>
      <c r="V46" s="943"/>
      <c r="W46" s="1064"/>
    </row>
    <row r="47" spans="1:23" ht="14.5" x14ac:dyDescent="0.35">
      <c r="A47" s="1079"/>
      <c r="B47" s="1102" t="s">
        <v>804</v>
      </c>
      <c r="C47" s="1086" t="s">
        <v>805</v>
      </c>
      <c r="D47" s="682">
        <v>4</v>
      </c>
      <c r="E47" s="642" t="s">
        <v>666</v>
      </c>
      <c r="F47" s="642"/>
      <c r="G47" s="646"/>
      <c r="H47" s="943" t="s">
        <v>669</v>
      </c>
      <c r="I47" s="1064"/>
      <c r="J47" s="943" t="s">
        <v>669</v>
      </c>
      <c r="K47" s="1064"/>
      <c r="L47" s="1101" t="s">
        <v>654</v>
      </c>
      <c r="M47" s="1084">
        <v>2000</v>
      </c>
      <c r="N47" s="1101" t="s">
        <v>669</v>
      </c>
      <c r="O47" s="1084"/>
      <c r="P47" s="1101" t="s">
        <v>654</v>
      </c>
      <c r="Q47" s="1084">
        <v>2000</v>
      </c>
      <c r="R47" s="943"/>
      <c r="S47" s="1064"/>
      <c r="T47" s="943"/>
      <c r="U47" s="1064"/>
      <c r="V47" s="943"/>
      <c r="W47" s="1064"/>
    </row>
    <row r="48" spans="1:23" ht="14.5" x14ac:dyDescent="0.35">
      <c r="A48" s="1079"/>
      <c r="B48" s="1102" t="s">
        <v>806</v>
      </c>
      <c r="C48" s="1086" t="s">
        <v>807</v>
      </c>
      <c r="D48" s="682"/>
      <c r="E48" s="642"/>
      <c r="F48" s="642"/>
      <c r="G48" s="646"/>
      <c r="H48" s="943" t="s">
        <v>669</v>
      </c>
      <c r="I48" s="1064"/>
      <c r="J48" s="943" t="s">
        <v>669</v>
      </c>
      <c r="K48" s="1064"/>
      <c r="L48" s="1101" t="s">
        <v>654</v>
      </c>
      <c r="M48" s="1084">
        <v>5000</v>
      </c>
      <c r="N48" s="1101" t="s">
        <v>669</v>
      </c>
      <c r="O48" s="1084"/>
      <c r="P48" s="1101" t="s">
        <v>654</v>
      </c>
      <c r="Q48" s="1084">
        <v>5000</v>
      </c>
      <c r="R48" s="943"/>
      <c r="S48" s="1064"/>
      <c r="T48" s="943"/>
      <c r="U48" s="1064"/>
      <c r="V48" s="943"/>
      <c r="W48" s="1064"/>
    </row>
    <row r="49" spans="1:23" ht="14.5" x14ac:dyDescent="0.35">
      <c r="A49" s="1079"/>
      <c r="B49" s="1102" t="s">
        <v>808</v>
      </c>
      <c r="C49" s="1086" t="s">
        <v>809</v>
      </c>
      <c r="D49" s="682"/>
      <c r="E49" s="642"/>
      <c r="F49" s="642"/>
      <c r="G49" s="646"/>
      <c r="H49" s="943" t="s">
        <v>669</v>
      </c>
      <c r="I49" s="1064"/>
      <c r="J49" s="943" t="s">
        <v>669</v>
      </c>
      <c r="K49" s="1064"/>
      <c r="L49" s="1101" t="s">
        <v>654</v>
      </c>
      <c r="M49" s="1084">
        <v>1000</v>
      </c>
      <c r="N49" s="1101" t="s">
        <v>669</v>
      </c>
      <c r="O49" s="1084"/>
      <c r="P49" s="1101" t="s">
        <v>654</v>
      </c>
      <c r="Q49" s="1084">
        <v>1000</v>
      </c>
      <c r="R49" s="943"/>
      <c r="S49" s="1064"/>
      <c r="T49" s="943"/>
      <c r="U49" s="1064"/>
      <c r="V49" s="943"/>
      <c r="W49" s="1064"/>
    </row>
    <row r="50" spans="1:23" ht="14.5" x14ac:dyDescent="0.35">
      <c r="A50" s="1079"/>
      <c r="B50" s="1102" t="s">
        <v>810</v>
      </c>
      <c r="C50" s="1086"/>
      <c r="D50" s="682"/>
      <c r="E50" s="642"/>
      <c r="F50" s="642"/>
      <c r="G50" s="646"/>
      <c r="H50" s="1101"/>
      <c r="I50" s="1064"/>
      <c r="J50" s="1101"/>
      <c r="K50" s="1064"/>
      <c r="L50" s="1101" t="s">
        <v>654</v>
      </c>
      <c r="M50" s="1084">
        <v>10000</v>
      </c>
      <c r="N50" s="1101" t="s">
        <v>669</v>
      </c>
      <c r="O50" s="1084"/>
      <c r="P50" s="1101"/>
      <c r="Q50" s="1084"/>
      <c r="R50" s="943"/>
      <c r="S50" s="1064"/>
      <c r="T50" s="943"/>
      <c r="U50" s="1064"/>
      <c r="V50" s="943"/>
      <c r="W50" s="1064"/>
    </row>
    <row r="51" spans="1:23" ht="14.5" x14ac:dyDescent="0.35">
      <c r="A51" s="1079"/>
      <c r="B51" s="1102" t="s">
        <v>811</v>
      </c>
      <c r="C51" s="1086"/>
      <c r="D51" s="682"/>
      <c r="E51" s="642"/>
      <c r="F51" s="642"/>
      <c r="G51" s="646"/>
      <c r="H51" s="1101"/>
      <c r="I51" s="1064"/>
      <c r="J51" s="1101"/>
      <c r="K51" s="1064"/>
      <c r="L51" s="1101" t="s">
        <v>654</v>
      </c>
      <c r="M51" s="1084">
        <v>5000</v>
      </c>
      <c r="N51" s="1101" t="s">
        <v>669</v>
      </c>
      <c r="O51" s="1084"/>
      <c r="P51" s="1101"/>
      <c r="Q51" s="1084"/>
      <c r="R51" s="943"/>
      <c r="S51" s="1064"/>
      <c r="T51" s="943"/>
      <c r="U51" s="1064"/>
      <c r="V51" s="943"/>
      <c r="W51" s="1064"/>
    </row>
    <row r="52" spans="1:23" ht="14.5" x14ac:dyDescent="0.35">
      <c r="A52" s="1079"/>
      <c r="B52" s="1102" t="s">
        <v>812</v>
      </c>
      <c r="C52" s="1086"/>
      <c r="D52" s="682"/>
      <c r="E52" s="642"/>
      <c r="F52" s="642"/>
      <c r="G52" s="646"/>
      <c r="H52" s="1101"/>
      <c r="I52" s="1064"/>
      <c r="J52" s="1101"/>
      <c r="K52" s="1064"/>
      <c r="L52" s="1101" t="s">
        <v>654</v>
      </c>
      <c r="M52" s="1084">
        <v>30000</v>
      </c>
      <c r="N52" s="1101" t="s">
        <v>654</v>
      </c>
      <c r="O52" s="1084">
        <v>30000</v>
      </c>
      <c r="P52" s="1101"/>
      <c r="Q52" s="1084"/>
      <c r="R52" s="943"/>
      <c r="S52" s="1064"/>
      <c r="T52" s="943"/>
      <c r="U52" s="1064"/>
      <c r="V52" s="943"/>
      <c r="W52" s="1064"/>
    </row>
    <row r="53" spans="1:23" ht="14.5" x14ac:dyDescent="0.35">
      <c r="A53" s="1079"/>
      <c r="B53" s="1103" t="s">
        <v>813</v>
      </c>
      <c r="C53" s="1086"/>
      <c r="D53" s="682"/>
      <c r="E53" s="642"/>
      <c r="F53" s="642"/>
      <c r="G53" s="646"/>
      <c r="H53" s="1101"/>
      <c r="I53" s="1064"/>
      <c r="J53" s="1101"/>
      <c r="K53" s="1064"/>
      <c r="L53" s="1101"/>
      <c r="M53" s="1084"/>
      <c r="N53" s="1101"/>
      <c r="O53" s="1084"/>
      <c r="P53" s="1101"/>
      <c r="Q53" s="1084"/>
      <c r="R53" s="943"/>
      <c r="S53" s="1064"/>
      <c r="T53" s="943"/>
      <c r="U53" s="1064"/>
      <c r="V53" s="943"/>
      <c r="W53" s="1064"/>
    </row>
    <row r="54" spans="1:23" ht="14.5" x14ac:dyDescent="0.35">
      <c r="A54" s="1079"/>
      <c r="B54" s="1098" t="s">
        <v>793</v>
      </c>
      <c r="C54" s="1086"/>
      <c r="D54" s="682"/>
      <c r="E54" s="642"/>
      <c r="F54" s="642"/>
      <c r="G54" s="646"/>
      <c r="H54" s="943" t="s">
        <v>669</v>
      </c>
      <c r="I54" s="1064"/>
      <c r="J54" s="943" t="s">
        <v>669</v>
      </c>
      <c r="K54" s="1064"/>
      <c r="L54" s="943" t="s">
        <v>669</v>
      </c>
      <c r="M54" s="1064"/>
      <c r="N54" s="943" t="s">
        <v>669</v>
      </c>
      <c r="O54" s="1064"/>
      <c r="P54" s="943" t="s">
        <v>669</v>
      </c>
      <c r="Q54" s="1084"/>
      <c r="R54" s="943"/>
      <c r="S54" s="1064"/>
      <c r="T54" s="943"/>
      <c r="U54" s="1064"/>
      <c r="V54" s="943"/>
      <c r="W54" s="1064"/>
    </row>
    <row r="55" spans="1:23" ht="14.5" x14ac:dyDescent="0.35">
      <c r="A55" s="1079"/>
      <c r="B55" s="1098" t="s">
        <v>778</v>
      </c>
      <c r="C55" s="1086"/>
      <c r="D55" s="682"/>
      <c r="E55" s="642"/>
      <c r="F55" s="642"/>
      <c r="G55" s="646"/>
      <c r="H55" s="943" t="s">
        <v>669</v>
      </c>
      <c r="I55" s="1064"/>
      <c r="J55" s="943" t="s">
        <v>669</v>
      </c>
      <c r="K55" s="1064"/>
      <c r="L55" s="943" t="s">
        <v>669</v>
      </c>
      <c r="M55" s="1064"/>
      <c r="N55" s="943" t="s">
        <v>669</v>
      </c>
      <c r="O55" s="1064"/>
      <c r="P55" s="943" t="s">
        <v>669</v>
      </c>
      <c r="Q55" s="1084"/>
      <c r="R55" s="943"/>
      <c r="S55" s="1064"/>
      <c r="T55" s="943"/>
      <c r="U55" s="1064"/>
      <c r="V55" s="943"/>
      <c r="W55" s="1064"/>
    </row>
    <row r="56" spans="1:23" ht="14.5" x14ac:dyDescent="0.35">
      <c r="A56" s="1079"/>
      <c r="B56" s="1104" t="s">
        <v>814</v>
      </c>
      <c r="C56" s="1086"/>
      <c r="D56" s="682"/>
      <c r="E56" s="642"/>
      <c r="F56" s="642"/>
      <c r="G56" s="646"/>
      <c r="H56" s="943" t="s">
        <v>669</v>
      </c>
      <c r="I56" s="1064"/>
      <c r="J56" s="943" t="s">
        <v>669</v>
      </c>
      <c r="K56" s="1064"/>
      <c r="L56" s="943" t="s">
        <v>669</v>
      </c>
      <c r="M56" s="1064"/>
      <c r="N56" s="943" t="s">
        <v>669</v>
      </c>
      <c r="O56" s="1064"/>
      <c r="P56" s="943" t="s">
        <v>669</v>
      </c>
      <c r="Q56" s="1084"/>
      <c r="R56" s="943"/>
      <c r="S56" s="1064"/>
      <c r="T56" s="943"/>
      <c r="U56" s="1064"/>
      <c r="V56" s="943"/>
      <c r="W56" s="1064"/>
    </row>
    <row r="57" spans="1:23" ht="14.5" x14ac:dyDescent="0.35">
      <c r="A57" s="1079"/>
      <c r="B57" s="1105" t="s">
        <v>815</v>
      </c>
      <c r="C57" s="1106" t="s">
        <v>816</v>
      </c>
      <c r="D57" s="682"/>
      <c r="E57" s="642"/>
      <c r="F57" s="642"/>
      <c r="G57" s="646"/>
      <c r="H57" s="943" t="s">
        <v>669</v>
      </c>
      <c r="I57" s="1064"/>
      <c r="J57" s="943" t="s">
        <v>669</v>
      </c>
      <c r="K57" s="1064"/>
      <c r="L57" s="943" t="s">
        <v>669</v>
      </c>
      <c r="M57" s="1064"/>
      <c r="N57" s="943" t="s">
        <v>669</v>
      </c>
      <c r="O57" s="1064"/>
      <c r="P57" s="943" t="s">
        <v>669</v>
      </c>
      <c r="Q57" s="1084"/>
      <c r="R57" s="943"/>
      <c r="S57" s="1064"/>
      <c r="T57" s="943"/>
      <c r="U57" s="1064"/>
      <c r="V57" s="943"/>
      <c r="W57" s="1064"/>
    </row>
    <row r="58" spans="1:23" ht="14.5" x14ac:dyDescent="0.35">
      <c r="A58" s="1079"/>
      <c r="B58" s="1105" t="s">
        <v>817</v>
      </c>
      <c r="C58" s="1106" t="s">
        <v>818</v>
      </c>
      <c r="D58" s="682"/>
      <c r="E58" s="642"/>
      <c r="F58" s="642"/>
      <c r="G58" s="646"/>
      <c r="H58" s="943" t="s">
        <v>669</v>
      </c>
      <c r="I58" s="1064"/>
      <c r="J58" s="943" t="s">
        <v>669</v>
      </c>
      <c r="K58" s="1064"/>
      <c r="L58" s="943" t="s">
        <v>669</v>
      </c>
      <c r="M58" s="1064"/>
      <c r="N58" s="943" t="s">
        <v>669</v>
      </c>
      <c r="O58" s="1064"/>
      <c r="P58" s="943" t="s">
        <v>669</v>
      </c>
      <c r="Q58" s="1084"/>
      <c r="R58" s="943"/>
      <c r="S58" s="1064"/>
      <c r="T58" s="943"/>
      <c r="U58" s="1064"/>
      <c r="V58" s="943"/>
      <c r="W58" s="1064"/>
    </row>
    <row r="59" spans="1:23" ht="14.5" x14ac:dyDescent="0.35">
      <c r="A59" s="1079"/>
      <c r="B59" s="1104" t="s">
        <v>819</v>
      </c>
      <c r="C59" s="1106" t="s">
        <v>820</v>
      </c>
      <c r="D59" s="682"/>
      <c r="E59" s="642"/>
      <c r="F59" s="642"/>
      <c r="G59" s="646"/>
      <c r="H59" s="943" t="s">
        <v>669</v>
      </c>
      <c r="I59" s="1064"/>
      <c r="J59" s="943" t="s">
        <v>669</v>
      </c>
      <c r="K59" s="1064"/>
      <c r="L59" s="943" t="s">
        <v>669</v>
      </c>
      <c r="M59" s="1064"/>
      <c r="N59" s="943" t="s">
        <v>669</v>
      </c>
      <c r="O59" s="1064"/>
      <c r="P59" s="943" t="s">
        <v>669</v>
      </c>
      <c r="Q59" s="1084"/>
      <c r="R59" s="943"/>
      <c r="S59" s="1064"/>
      <c r="T59" s="943"/>
      <c r="U59" s="1064"/>
      <c r="V59" s="943"/>
      <c r="W59" s="1064"/>
    </row>
    <row r="60" spans="1:23" ht="14.5" x14ac:dyDescent="0.35">
      <c r="A60" s="1079"/>
      <c r="B60" s="1105" t="s">
        <v>821</v>
      </c>
      <c r="C60" s="1106" t="s">
        <v>822</v>
      </c>
      <c r="D60" s="682"/>
      <c r="E60" s="642"/>
      <c r="F60" s="642"/>
      <c r="G60" s="646"/>
      <c r="H60" s="943" t="s">
        <v>669</v>
      </c>
      <c r="I60" s="1064"/>
      <c r="J60" s="943" t="s">
        <v>669</v>
      </c>
      <c r="K60" s="1064"/>
      <c r="L60" s="943" t="s">
        <v>669</v>
      </c>
      <c r="M60" s="1064"/>
      <c r="N60" s="943" t="s">
        <v>669</v>
      </c>
      <c r="O60" s="1064"/>
      <c r="P60" s="943" t="s">
        <v>669</v>
      </c>
      <c r="Q60" s="1084"/>
      <c r="R60" s="943"/>
      <c r="S60" s="1064"/>
      <c r="T60" s="943"/>
      <c r="U60" s="1064"/>
      <c r="V60" s="943"/>
      <c r="W60" s="1064"/>
    </row>
    <row r="61" spans="1:23" ht="14.5" x14ac:dyDescent="0.35">
      <c r="A61" s="1079"/>
      <c r="B61" s="1104" t="s">
        <v>823</v>
      </c>
      <c r="C61" s="1106" t="s">
        <v>824</v>
      </c>
      <c r="D61" s="682"/>
      <c r="E61" s="642"/>
      <c r="F61" s="642"/>
      <c r="G61" s="646"/>
      <c r="H61" s="943" t="s">
        <v>669</v>
      </c>
      <c r="I61" s="1064"/>
      <c r="J61" s="943" t="s">
        <v>669</v>
      </c>
      <c r="K61" s="1064"/>
      <c r="L61" s="943" t="s">
        <v>669</v>
      </c>
      <c r="M61" s="1064"/>
      <c r="N61" s="943" t="s">
        <v>669</v>
      </c>
      <c r="O61" s="1064"/>
      <c r="P61" s="943" t="s">
        <v>669</v>
      </c>
      <c r="Q61" s="1084"/>
      <c r="R61" s="943"/>
      <c r="S61" s="1064"/>
      <c r="T61" s="943"/>
      <c r="U61" s="1064"/>
      <c r="V61" s="943"/>
      <c r="W61" s="1064"/>
    </row>
    <row r="62" spans="1:23" ht="14.5" x14ac:dyDescent="0.35">
      <c r="A62" s="1079"/>
      <c r="B62" s="1104" t="s">
        <v>825</v>
      </c>
      <c r="C62" s="1106"/>
      <c r="D62" s="682"/>
      <c r="E62" s="642"/>
      <c r="F62" s="642"/>
      <c r="G62" s="646"/>
      <c r="H62" s="943" t="s">
        <v>669</v>
      </c>
      <c r="I62" s="1064"/>
      <c r="J62" s="943" t="s">
        <v>669</v>
      </c>
      <c r="K62" s="1064"/>
      <c r="L62" s="943" t="s">
        <v>669</v>
      </c>
      <c r="M62" s="1064"/>
      <c r="N62" s="943" t="s">
        <v>669</v>
      </c>
      <c r="O62" s="1064"/>
      <c r="P62" s="943" t="s">
        <v>669</v>
      </c>
      <c r="Q62" s="1084"/>
      <c r="R62" s="943"/>
      <c r="S62" s="1064"/>
      <c r="T62" s="943"/>
      <c r="U62" s="1064"/>
      <c r="V62" s="943"/>
      <c r="W62" s="1064"/>
    </row>
    <row r="63" spans="1:23" ht="14.5" x14ac:dyDescent="0.35">
      <c r="A63" s="1079"/>
      <c r="B63" s="1104" t="s">
        <v>826</v>
      </c>
      <c r="C63" s="1107" t="s">
        <v>827</v>
      </c>
      <c r="D63" s="682"/>
      <c r="E63" s="642"/>
      <c r="F63" s="642"/>
      <c r="G63" s="646"/>
      <c r="H63" s="943" t="s">
        <v>669</v>
      </c>
      <c r="I63" s="1064"/>
      <c r="J63" s="943" t="s">
        <v>669</v>
      </c>
      <c r="K63" s="1064"/>
      <c r="L63" s="943" t="s">
        <v>669</v>
      </c>
      <c r="M63" s="1064"/>
      <c r="N63" s="943" t="s">
        <v>669</v>
      </c>
      <c r="O63" s="1064"/>
      <c r="P63" s="943" t="s">
        <v>669</v>
      </c>
      <c r="Q63" s="1084"/>
      <c r="R63" s="943"/>
      <c r="S63" s="1064"/>
      <c r="T63" s="943"/>
      <c r="U63" s="1064"/>
      <c r="V63" s="943"/>
      <c r="W63" s="1064"/>
    </row>
    <row r="64" spans="1:23" ht="14.5" x14ac:dyDescent="0.35">
      <c r="A64" s="1079"/>
      <c r="B64" s="1104" t="s">
        <v>828</v>
      </c>
      <c r="C64" s="1106" t="s">
        <v>829</v>
      </c>
      <c r="D64" s="682"/>
      <c r="E64" s="642"/>
      <c r="F64" s="642"/>
      <c r="G64" s="646"/>
      <c r="H64" s="943" t="s">
        <v>669</v>
      </c>
      <c r="I64" s="1064"/>
      <c r="J64" s="943" t="s">
        <v>669</v>
      </c>
      <c r="K64" s="1064"/>
      <c r="L64" s="943" t="s">
        <v>669</v>
      </c>
      <c r="M64" s="1064"/>
      <c r="N64" s="943" t="s">
        <v>669</v>
      </c>
      <c r="O64" s="1064"/>
      <c r="P64" s="943" t="s">
        <v>669</v>
      </c>
      <c r="Q64" s="1084"/>
      <c r="R64" s="943"/>
      <c r="S64" s="1064"/>
      <c r="T64" s="943"/>
      <c r="U64" s="1064"/>
      <c r="V64" s="943"/>
      <c r="W64" s="1064"/>
    </row>
    <row r="65" spans="1:23" ht="14.5" x14ac:dyDescent="0.35">
      <c r="A65" s="1079"/>
      <c r="B65" s="1104" t="s">
        <v>830</v>
      </c>
      <c r="C65" s="1106"/>
      <c r="D65" s="682"/>
      <c r="E65" s="642"/>
      <c r="F65" s="642"/>
      <c r="G65" s="646"/>
      <c r="H65" s="943" t="s">
        <v>669</v>
      </c>
      <c r="I65" s="1064"/>
      <c r="J65" s="943" t="s">
        <v>669</v>
      </c>
      <c r="K65" s="1064"/>
      <c r="L65" s="943" t="s">
        <v>669</v>
      </c>
      <c r="M65" s="1064"/>
      <c r="N65" s="943" t="s">
        <v>669</v>
      </c>
      <c r="O65" s="1064"/>
      <c r="P65" s="943" t="s">
        <v>669</v>
      </c>
      <c r="Q65" s="1084"/>
      <c r="R65" s="943"/>
      <c r="S65" s="1064"/>
      <c r="T65" s="943"/>
      <c r="U65" s="1064"/>
      <c r="V65" s="943"/>
      <c r="W65" s="1064"/>
    </row>
    <row r="66" spans="1:23" ht="14.5" x14ac:dyDescent="0.35">
      <c r="A66" s="1079"/>
      <c r="B66" s="1104" t="s">
        <v>831</v>
      </c>
      <c r="C66" s="1106"/>
      <c r="D66" s="682"/>
      <c r="E66" s="642"/>
      <c r="F66" s="642"/>
      <c r="G66" s="646"/>
      <c r="H66" s="943" t="s">
        <v>669</v>
      </c>
      <c r="I66" s="1064"/>
      <c r="J66" s="943" t="s">
        <v>669</v>
      </c>
      <c r="K66" s="1064"/>
      <c r="L66" s="943" t="s">
        <v>671</v>
      </c>
      <c r="M66" s="1064"/>
      <c r="N66" s="943" t="s">
        <v>671</v>
      </c>
      <c r="O66" s="1064"/>
      <c r="P66" s="943" t="s">
        <v>671</v>
      </c>
      <c r="Q66" s="1084"/>
      <c r="R66" s="943"/>
      <c r="S66" s="1064"/>
      <c r="T66" s="943"/>
      <c r="U66" s="1064"/>
      <c r="V66" s="943"/>
      <c r="W66" s="1064"/>
    </row>
    <row r="67" spans="1:23" ht="14.5" x14ac:dyDescent="0.35">
      <c r="A67" s="1079"/>
      <c r="B67" s="1104" t="s">
        <v>832</v>
      </c>
      <c r="C67" s="1106"/>
      <c r="D67" s="682"/>
      <c r="E67" s="642"/>
      <c r="F67" s="642"/>
      <c r="G67" s="646"/>
      <c r="H67" s="943" t="s">
        <v>669</v>
      </c>
      <c r="I67" s="1064"/>
      <c r="J67" s="943" t="s">
        <v>669</v>
      </c>
      <c r="K67" s="1064"/>
      <c r="L67" s="943" t="s">
        <v>669</v>
      </c>
      <c r="M67" s="1064"/>
      <c r="N67" s="943" t="s">
        <v>669</v>
      </c>
      <c r="O67" s="1064"/>
      <c r="P67" s="943" t="s">
        <v>669</v>
      </c>
      <c r="Q67" s="1084"/>
      <c r="R67" s="943"/>
      <c r="S67" s="1064"/>
      <c r="T67" s="943"/>
      <c r="U67" s="1064"/>
      <c r="V67" s="943"/>
      <c r="W67" s="1064"/>
    </row>
    <row r="68" spans="1:23" ht="14.5" x14ac:dyDescent="0.35">
      <c r="A68" s="1079"/>
      <c r="B68" s="1104" t="s">
        <v>833</v>
      </c>
      <c r="C68" s="1106" t="s">
        <v>834</v>
      </c>
      <c r="D68" s="682"/>
      <c r="E68" s="642"/>
      <c r="F68" s="642"/>
      <c r="G68" s="646"/>
      <c r="H68" s="943" t="s">
        <v>669</v>
      </c>
      <c r="I68" s="1064"/>
      <c r="J68" s="943" t="s">
        <v>669</v>
      </c>
      <c r="K68" s="1064"/>
      <c r="L68" s="943" t="s">
        <v>669</v>
      </c>
      <c r="M68" s="1064"/>
      <c r="N68" s="943" t="s">
        <v>669</v>
      </c>
      <c r="O68" s="1064"/>
      <c r="P68" s="943" t="s">
        <v>669</v>
      </c>
      <c r="Q68" s="1084"/>
      <c r="R68" s="943"/>
      <c r="S68" s="1064"/>
      <c r="T68" s="943"/>
      <c r="U68" s="1064"/>
      <c r="V68" s="943"/>
      <c r="W68" s="1064"/>
    </row>
    <row r="69" spans="1:23" ht="21" x14ac:dyDescent="0.35">
      <c r="A69" s="1079"/>
      <c r="B69" s="1104" t="s">
        <v>835</v>
      </c>
      <c r="C69" s="1107" t="s">
        <v>836</v>
      </c>
      <c r="D69" s="682"/>
      <c r="E69" s="642"/>
      <c r="F69" s="642"/>
      <c r="G69" s="646"/>
      <c r="H69" s="943" t="s">
        <v>669</v>
      </c>
      <c r="I69" s="1064"/>
      <c r="J69" s="943" t="s">
        <v>669</v>
      </c>
      <c r="K69" s="1064"/>
      <c r="L69" s="943" t="s">
        <v>669</v>
      </c>
      <c r="M69" s="1064"/>
      <c r="N69" s="943" t="s">
        <v>669</v>
      </c>
      <c r="O69" s="1064"/>
      <c r="P69" s="943" t="s">
        <v>669</v>
      </c>
      <c r="Q69" s="1084"/>
      <c r="R69" s="943"/>
      <c r="S69" s="1064"/>
      <c r="T69" s="943"/>
      <c r="U69" s="1064"/>
      <c r="V69" s="943"/>
      <c r="W69" s="1064"/>
    </row>
    <row r="70" spans="1:23" ht="14.5" x14ac:dyDescent="0.35">
      <c r="A70" s="1079"/>
      <c r="B70" s="1104" t="s">
        <v>837</v>
      </c>
      <c r="C70" s="1107"/>
      <c r="D70" s="682"/>
      <c r="E70" s="642"/>
      <c r="F70" s="642"/>
      <c r="G70" s="646"/>
      <c r="H70" s="943"/>
      <c r="I70" s="1064"/>
      <c r="J70" s="943"/>
      <c r="K70" s="1064"/>
      <c r="L70" s="943"/>
      <c r="M70" s="1064"/>
      <c r="N70" s="943"/>
      <c r="O70" s="1064"/>
      <c r="P70" s="943"/>
      <c r="Q70" s="1084"/>
      <c r="R70" s="943"/>
      <c r="S70" s="1064"/>
      <c r="T70" s="943"/>
      <c r="U70" s="1064"/>
      <c r="V70" s="943"/>
      <c r="W70" s="1064"/>
    </row>
    <row r="71" spans="1:23" ht="14.5" x14ac:dyDescent="0.35">
      <c r="A71" s="1079"/>
      <c r="B71" s="1098" t="s">
        <v>838</v>
      </c>
      <c r="C71" s="1107"/>
      <c r="D71" s="682"/>
      <c r="E71" s="642"/>
      <c r="F71" s="642"/>
      <c r="G71" s="646"/>
      <c r="H71" s="943" t="s">
        <v>669</v>
      </c>
      <c r="I71" s="1064"/>
      <c r="J71" s="943" t="s">
        <v>669</v>
      </c>
      <c r="K71" s="1064"/>
      <c r="L71" s="943" t="s">
        <v>669</v>
      </c>
      <c r="M71" s="1064"/>
      <c r="N71" s="943" t="s">
        <v>669</v>
      </c>
      <c r="O71" s="1064"/>
      <c r="P71" s="943" t="s">
        <v>669</v>
      </c>
      <c r="Q71" s="1084"/>
      <c r="R71" s="943"/>
      <c r="S71" s="1064"/>
      <c r="T71" s="943"/>
      <c r="U71" s="1064"/>
      <c r="V71" s="943"/>
      <c r="W71" s="1064"/>
    </row>
    <row r="72" spans="1:23" ht="14.5" x14ac:dyDescent="0.35">
      <c r="A72" s="1079"/>
      <c r="B72" s="1102" t="s">
        <v>839</v>
      </c>
      <c r="C72" s="1107"/>
      <c r="D72" s="682"/>
      <c r="E72" s="642"/>
      <c r="F72" s="642"/>
      <c r="G72" s="646"/>
      <c r="H72" s="943"/>
      <c r="I72" s="1064"/>
      <c r="J72" s="943"/>
      <c r="K72" s="1064"/>
      <c r="L72" s="943"/>
      <c r="M72" s="1064"/>
      <c r="N72" s="943"/>
      <c r="O72" s="1064"/>
      <c r="P72" s="943"/>
      <c r="Q72" s="1084"/>
      <c r="R72" s="943"/>
      <c r="S72" s="1064"/>
      <c r="T72" s="943"/>
      <c r="U72" s="1064"/>
      <c r="V72" s="943"/>
      <c r="W72" s="1064"/>
    </row>
    <row r="73" spans="1:23" ht="14.5" x14ac:dyDescent="0.35">
      <c r="A73" s="1079"/>
      <c r="B73" s="1104" t="s">
        <v>840</v>
      </c>
      <c r="C73" s="1107"/>
      <c r="D73" s="682"/>
      <c r="E73" s="642"/>
      <c r="F73" s="642"/>
      <c r="G73" s="646"/>
      <c r="H73" s="943" t="s">
        <v>669</v>
      </c>
      <c r="I73" s="1064"/>
      <c r="J73" s="943" t="s">
        <v>669</v>
      </c>
      <c r="K73" s="1064"/>
      <c r="L73" s="943" t="s">
        <v>669</v>
      </c>
      <c r="M73" s="1064"/>
      <c r="N73" s="943" t="s">
        <v>669</v>
      </c>
      <c r="O73" s="1064"/>
      <c r="P73" s="943" t="s">
        <v>669</v>
      </c>
      <c r="Q73" s="1084"/>
      <c r="R73" s="943"/>
      <c r="S73" s="1064"/>
      <c r="T73" s="943"/>
      <c r="U73" s="1064"/>
      <c r="V73" s="943"/>
      <c r="W73" s="1064"/>
    </row>
    <row r="74" spans="1:23" ht="14.5" x14ac:dyDescent="0.35">
      <c r="A74" s="1079"/>
      <c r="B74" s="1104" t="s">
        <v>841</v>
      </c>
      <c r="C74" s="1107"/>
      <c r="D74" s="682"/>
      <c r="E74" s="642"/>
      <c r="F74" s="642"/>
      <c r="G74" s="646"/>
      <c r="H74" s="943" t="s">
        <v>671</v>
      </c>
      <c r="I74" s="1064"/>
      <c r="J74" s="943" t="s">
        <v>671</v>
      </c>
      <c r="K74" s="1064"/>
      <c r="L74" s="943" t="s">
        <v>671</v>
      </c>
      <c r="M74" s="1064"/>
      <c r="N74" s="943" t="s">
        <v>671</v>
      </c>
      <c r="O74" s="1064"/>
      <c r="P74" s="943" t="s">
        <v>671</v>
      </c>
      <c r="Q74" s="1084"/>
      <c r="R74" s="943"/>
      <c r="S74" s="1064"/>
      <c r="T74" s="943"/>
      <c r="U74" s="1064"/>
      <c r="V74" s="943"/>
      <c r="W74" s="1064"/>
    </row>
    <row r="75" spans="1:23" ht="14.5" x14ac:dyDescent="0.35">
      <c r="A75" s="1079"/>
      <c r="B75" s="1098" t="s">
        <v>461</v>
      </c>
      <c r="C75" s="1107"/>
      <c r="D75" s="682"/>
      <c r="E75" s="642"/>
      <c r="F75" s="642"/>
      <c r="G75" s="646"/>
      <c r="H75" s="943" t="s">
        <v>669</v>
      </c>
      <c r="I75" s="1064"/>
      <c r="J75" s="943" t="s">
        <v>669</v>
      </c>
      <c r="K75" s="1064"/>
      <c r="L75" s="943" t="s">
        <v>669</v>
      </c>
      <c r="M75" s="1064"/>
      <c r="N75" s="943" t="s">
        <v>669</v>
      </c>
      <c r="O75" s="1064"/>
      <c r="P75" s="943" t="s">
        <v>669</v>
      </c>
      <c r="Q75" s="1084"/>
      <c r="R75" s="943"/>
      <c r="S75" s="1064"/>
      <c r="T75" s="943"/>
      <c r="U75" s="1064"/>
      <c r="V75" s="943"/>
      <c r="W75" s="1064"/>
    </row>
    <row r="76" spans="1:23" ht="14.5" x14ac:dyDescent="0.35">
      <c r="A76" s="1079"/>
      <c r="B76" s="1108" t="s">
        <v>842</v>
      </c>
      <c r="C76" s="1107"/>
      <c r="D76" s="682"/>
      <c r="E76" s="642"/>
      <c r="F76" s="642"/>
      <c r="G76" s="646"/>
      <c r="H76" s="943" t="s">
        <v>669</v>
      </c>
      <c r="I76" s="1064"/>
      <c r="J76" s="943" t="s">
        <v>669</v>
      </c>
      <c r="K76" s="1064"/>
      <c r="L76" s="943" t="s">
        <v>669</v>
      </c>
      <c r="M76" s="1064"/>
      <c r="N76" s="943" t="s">
        <v>669</v>
      </c>
      <c r="O76" s="1064"/>
      <c r="P76" s="943" t="s">
        <v>669</v>
      </c>
      <c r="Q76" s="1084"/>
      <c r="R76" s="943"/>
      <c r="S76" s="1064"/>
      <c r="T76" s="943"/>
      <c r="U76" s="1064"/>
      <c r="V76" s="943"/>
      <c r="W76" s="1064"/>
    </row>
    <row r="77" spans="1:23" ht="14.5" x14ac:dyDescent="0.35">
      <c r="A77" s="1079"/>
      <c r="B77" s="1102" t="s">
        <v>843</v>
      </c>
      <c r="C77" s="1107"/>
      <c r="D77" s="682"/>
      <c r="E77" s="642"/>
      <c r="F77" s="642"/>
      <c r="G77" s="646"/>
      <c r="H77" s="943" t="s">
        <v>669</v>
      </c>
      <c r="I77" s="1064"/>
      <c r="J77" s="943" t="s">
        <v>669</v>
      </c>
      <c r="K77" s="1064"/>
      <c r="L77" s="943" t="s">
        <v>669</v>
      </c>
      <c r="M77" s="1064"/>
      <c r="N77" s="943" t="s">
        <v>669</v>
      </c>
      <c r="O77" s="1064"/>
      <c r="P77" s="943" t="s">
        <v>669</v>
      </c>
      <c r="Q77" s="1084"/>
      <c r="R77" s="943"/>
      <c r="S77" s="1064"/>
      <c r="T77" s="943"/>
      <c r="U77" s="1064"/>
      <c r="V77" s="943"/>
      <c r="W77" s="1064"/>
    </row>
    <row r="78" spans="1:23" ht="14.5" x14ac:dyDescent="0.35">
      <c r="A78" s="1079"/>
      <c r="B78" s="1102" t="s">
        <v>844</v>
      </c>
      <c r="C78" s="1107"/>
      <c r="D78" s="682"/>
      <c r="E78" s="642"/>
      <c r="F78" s="642"/>
      <c r="G78" s="646"/>
      <c r="H78" s="943" t="s">
        <v>669</v>
      </c>
      <c r="I78" s="1064"/>
      <c r="J78" s="943" t="s">
        <v>669</v>
      </c>
      <c r="K78" s="1064"/>
      <c r="L78" s="943" t="s">
        <v>669</v>
      </c>
      <c r="M78" s="1064"/>
      <c r="N78" s="943" t="s">
        <v>669</v>
      </c>
      <c r="O78" s="1064"/>
      <c r="P78" s="943" t="s">
        <v>669</v>
      </c>
      <c r="Q78" s="1084"/>
      <c r="R78" s="943"/>
      <c r="S78" s="1064"/>
      <c r="T78" s="943"/>
      <c r="U78" s="1064"/>
      <c r="V78" s="943"/>
      <c r="W78" s="1064"/>
    </row>
    <row r="79" spans="1:23" ht="14.5" x14ac:dyDescent="0.35">
      <c r="A79" s="1079"/>
      <c r="B79" s="1102" t="s">
        <v>845</v>
      </c>
      <c r="C79" s="1107"/>
      <c r="D79" s="682"/>
      <c r="E79" s="642"/>
      <c r="F79" s="642"/>
      <c r="G79" s="646"/>
      <c r="H79" s="943" t="s">
        <v>669</v>
      </c>
      <c r="I79" s="1064"/>
      <c r="J79" s="943" t="s">
        <v>669</v>
      </c>
      <c r="K79" s="1064"/>
      <c r="L79" s="943" t="s">
        <v>669</v>
      </c>
      <c r="M79" s="1064"/>
      <c r="N79" s="943" t="s">
        <v>669</v>
      </c>
      <c r="O79" s="1064"/>
      <c r="P79" s="943" t="s">
        <v>669</v>
      </c>
      <c r="Q79" s="1084"/>
      <c r="R79" s="943"/>
      <c r="S79" s="1064"/>
      <c r="T79" s="943"/>
      <c r="U79" s="1064"/>
      <c r="V79" s="943"/>
      <c r="W79" s="1064"/>
    </row>
    <row r="80" spans="1:23" ht="14.5" x14ac:dyDescent="0.35">
      <c r="A80" s="1079"/>
      <c r="B80" s="1109" t="s">
        <v>846</v>
      </c>
      <c r="C80" s="1107"/>
      <c r="D80" s="682"/>
      <c r="E80" s="642"/>
      <c r="F80" s="642"/>
      <c r="G80" s="646"/>
      <c r="H80" s="943" t="s">
        <v>669</v>
      </c>
      <c r="I80" s="1064"/>
      <c r="J80" s="943" t="s">
        <v>669</v>
      </c>
      <c r="K80" s="1064"/>
      <c r="L80" s="943" t="s">
        <v>669</v>
      </c>
      <c r="M80" s="1064"/>
      <c r="N80" s="943" t="s">
        <v>669</v>
      </c>
      <c r="O80" s="1064"/>
      <c r="P80" s="943" t="s">
        <v>669</v>
      </c>
      <c r="Q80" s="1084"/>
      <c r="R80" s="943"/>
      <c r="S80" s="1064"/>
      <c r="T80" s="943"/>
      <c r="U80" s="1064"/>
      <c r="V80" s="943"/>
      <c r="W80" s="1064"/>
    </row>
    <row r="81" spans="1:23" ht="14.5" x14ac:dyDescent="0.35">
      <c r="A81" s="1079"/>
      <c r="B81" s="1110" t="s">
        <v>847</v>
      </c>
      <c r="C81" s="1107"/>
      <c r="D81" s="682"/>
      <c r="E81" s="642"/>
      <c r="F81" s="642"/>
      <c r="G81" s="646"/>
      <c r="H81" s="1101" t="s">
        <v>654</v>
      </c>
      <c r="I81" s="1100">
        <v>80000</v>
      </c>
      <c r="J81" s="1101" t="s">
        <v>654</v>
      </c>
      <c r="K81" s="1100">
        <v>80000</v>
      </c>
      <c r="L81" s="1101" t="s">
        <v>654</v>
      </c>
      <c r="M81" s="1111">
        <v>80000</v>
      </c>
      <c r="N81" s="1101" t="s">
        <v>654</v>
      </c>
      <c r="O81" s="1111">
        <v>80000</v>
      </c>
      <c r="P81" s="1101" t="s">
        <v>654</v>
      </c>
      <c r="Q81" s="1111">
        <v>80000</v>
      </c>
      <c r="R81" s="943"/>
      <c r="S81" s="1064"/>
      <c r="T81" s="943"/>
      <c r="U81" s="1064"/>
      <c r="V81" s="943"/>
      <c r="W81" s="1064"/>
    </row>
    <row r="82" spans="1:23" ht="14.5" x14ac:dyDescent="0.35">
      <c r="A82" s="1079"/>
      <c r="B82" s="1098" t="s">
        <v>478</v>
      </c>
      <c r="C82" s="1086"/>
      <c r="D82" s="682"/>
      <c r="E82" s="642"/>
      <c r="F82" s="642"/>
      <c r="G82" s="646"/>
      <c r="H82" s="943" t="s">
        <v>669</v>
      </c>
      <c r="I82" s="1064"/>
      <c r="J82" s="943" t="s">
        <v>669</v>
      </c>
      <c r="K82" s="1064"/>
      <c r="L82" s="943" t="s">
        <v>669</v>
      </c>
      <c r="M82" s="1064"/>
      <c r="N82" s="943" t="s">
        <v>669</v>
      </c>
      <c r="O82" s="1064"/>
      <c r="P82" s="943" t="s">
        <v>669</v>
      </c>
      <c r="Q82" s="1084"/>
      <c r="R82" s="943"/>
      <c r="S82" s="1064"/>
      <c r="T82" s="943"/>
      <c r="U82" s="1064"/>
      <c r="V82" s="943"/>
      <c r="W82" s="1064"/>
    </row>
    <row r="83" spans="1:23" ht="14.5" x14ac:dyDescent="0.35">
      <c r="A83" s="1079"/>
      <c r="B83" s="1104" t="s">
        <v>848</v>
      </c>
      <c r="C83" s="1086"/>
      <c r="D83" s="682"/>
      <c r="E83" s="642"/>
      <c r="F83" s="642"/>
      <c r="G83" s="646"/>
      <c r="H83" s="943" t="s">
        <v>669</v>
      </c>
      <c r="I83" s="1064"/>
      <c r="J83" s="943" t="s">
        <v>669</v>
      </c>
      <c r="K83" s="1064"/>
      <c r="L83" s="943" t="s">
        <v>669</v>
      </c>
      <c r="M83" s="1111">
        <v>-282068</v>
      </c>
      <c r="N83" s="943" t="s">
        <v>669</v>
      </c>
      <c r="O83" s="1111">
        <v>-282068</v>
      </c>
      <c r="P83" s="943" t="s">
        <v>669</v>
      </c>
      <c r="Q83" s="1084"/>
      <c r="R83" s="943"/>
      <c r="S83" s="1064"/>
      <c r="T83" s="943"/>
      <c r="U83" s="1064"/>
      <c r="V83" s="943"/>
      <c r="W83" s="1064"/>
    </row>
    <row r="84" spans="1:23" ht="14.5" x14ac:dyDescent="0.35">
      <c r="A84" s="1079"/>
      <c r="B84" s="1104" t="s">
        <v>849</v>
      </c>
      <c r="C84" s="1086"/>
      <c r="D84" s="682"/>
      <c r="E84" s="642"/>
      <c r="F84" s="642"/>
      <c r="G84" s="646"/>
      <c r="H84" s="943" t="s">
        <v>669</v>
      </c>
      <c r="I84" s="1064"/>
      <c r="J84" s="943" t="s">
        <v>669</v>
      </c>
      <c r="K84" s="1064"/>
      <c r="L84" s="943" t="s">
        <v>669</v>
      </c>
      <c r="M84" s="1064"/>
      <c r="N84" s="943" t="s">
        <v>669</v>
      </c>
      <c r="O84" s="1064"/>
      <c r="P84" s="943" t="s">
        <v>669</v>
      </c>
      <c r="Q84" s="1084"/>
      <c r="R84" s="943"/>
      <c r="S84" s="1064"/>
      <c r="T84" s="943"/>
      <c r="U84" s="1064"/>
      <c r="V84" s="943"/>
      <c r="W84" s="1064"/>
    </row>
    <row r="85" spans="1:23" ht="14.5" x14ac:dyDescent="0.35">
      <c r="A85" s="1079"/>
      <c r="B85" s="1102" t="s">
        <v>850</v>
      </c>
      <c r="C85" s="1086"/>
      <c r="D85" s="682"/>
      <c r="E85" s="642"/>
      <c r="F85" s="642"/>
      <c r="G85" s="646"/>
      <c r="H85" s="943" t="s">
        <v>669</v>
      </c>
      <c r="I85" s="1064"/>
      <c r="J85" s="943" t="s">
        <v>669</v>
      </c>
      <c r="K85" s="1064"/>
      <c r="L85" s="943"/>
      <c r="M85" s="1064"/>
      <c r="N85" s="943"/>
      <c r="O85" s="1064"/>
      <c r="P85" s="943"/>
      <c r="Q85" s="1084"/>
      <c r="R85" s="943"/>
      <c r="S85" s="1064"/>
      <c r="T85" s="943"/>
      <c r="U85" s="1064"/>
      <c r="V85" s="943"/>
      <c r="W85" s="1064"/>
    </row>
    <row r="86" spans="1:23" ht="14.5" x14ac:dyDescent="0.35">
      <c r="A86" s="1079"/>
      <c r="B86" s="1098" t="s">
        <v>80</v>
      </c>
      <c r="C86" s="1086"/>
      <c r="D86" s="682"/>
      <c r="E86" s="642"/>
      <c r="F86" s="642"/>
      <c r="G86" s="646"/>
      <c r="H86" s="943" t="s">
        <v>669</v>
      </c>
      <c r="I86" s="1064"/>
      <c r="J86" s="943" t="s">
        <v>669</v>
      </c>
      <c r="K86" s="1064"/>
      <c r="L86" s="943" t="s">
        <v>669</v>
      </c>
      <c r="M86" s="1064"/>
      <c r="N86" s="943" t="s">
        <v>669</v>
      </c>
      <c r="O86" s="1064"/>
      <c r="P86" s="943" t="s">
        <v>669</v>
      </c>
      <c r="Q86" s="1084"/>
      <c r="R86" s="943"/>
      <c r="S86" s="1064"/>
      <c r="T86" s="943"/>
      <c r="U86" s="1064"/>
      <c r="V86" s="943"/>
      <c r="W86" s="1064"/>
    </row>
    <row r="87" spans="1:23" ht="14.5" x14ac:dyDescent="0.35">
      <c r="A87" s="1079"/>
      <c r="B87" s="1105" t="s">
        <v>817</v>
      </c>
      <c r="C87" s="1086"/>
      <c r="D87" s="682"/>
      <c r="E87" s="642"/>
      <c r="F87" s="642"/>
      <c r="G87" s="646"/>
      <c r="H87" s="943" t="s">
        <v>669</v>
      </c>
      <c r="I87" s="1064"/>
      <c r="J87" s="943" t="s">
        <v>669</v>
      </c>
      <c r="K87" s="1064"/>
      <c r="L87" s="943" t="s">
        <v>669</v>
      </c>
      <c r="M87" s="1064"/>
      <c r="N87" s="943" t="s">
        <v>669</v>
      </c>
      <c r="O87" s="1064"/>
      <c r="P87" s="943" t="s">
        <v>669</v>
      </c>
      <c r="Q87" s="1084"/>
      <c r="R87" s="943"/>
      <c r="S87" s="1064"/>
      <c r="T87" s="943"/>
      <c r="U87" s="1064"/>
      <c r="V87" s="943"/>
      <c r="W87" s="1064"/>
    </row>
    <row r="88" spans="1:23" ht="14.5" x14ac:dyDescent="0.35">
      <c r="A88" s="1079"/>
      <c r="B88" s="1104" t="s">
        <v>819</v>
      </c>
      <c r="C88" s="1086"/>
      <c r="D88" s="682"/>
      <c r="E88" s="642"/>
      <c r="F88" s="642"/>
      <c r="G88" s="646"/>
      <c r="H88" s="943" t="s">
        <v>669</v>
      </c>
      <c r="I88" s="1064"/>
      <c r="J88" s="943" t="s">
        <v>669</v>
      </c>
      <c r="K88" s="1064"/>
      <c r="L88" s="943" t="s">
        <v>669</v>
      </c>
      <c r="M88" s="1064"/>
      <c r="N88" s="943" t="s">
        <v>669</v>
      </c>
      <c r="O88" s="1064"/>
      <c r="P88" s="943" t="s">
        <v>669</v>
      </c>
      <c r="Q88" s="1084"/>
      <c r="R88" s="943"/>
      <c r="S88" s="1064"/>
      <c r="T88" s="943"/>
      <c r="U88" s="1064"/>
      <c r="V88" s="943"/>
      <c r="W88" s="1064"/>
    </row>
    <row r="89" spans="1:23" ht="14.5" x14ac:dyDescent="0.35">
      <c r="A89" s="1079"/>
      <c r="B89" s="1105" t="s">
        <v>851</v>
      </c>
      <c r="C89" s="1086"/>
      <c r="D89" s="682"/>
      <c r="E89" s="642"/>
      <c r="F89" s="642"/>
      <c r="G89" s="646"/>
      <c r="H89" s="943" t="s">
        <v>669</v>
      </c>
      <c r="I89" s="1064"/>
      <c r="J89" s="943" t="s">
        <v>669</v>
      </c>
      <c r="K89" s="1064"/>
      <c r="L89" s="943" t="s">
        <v>669</v>
      </c>
      <c r="M89" s="1064"/>
      <c r="N89" s="943" t="s">
        <v>669</v>
      </c>
      <c r="O89" s="1064"/>
      <c r="P89" s="943" t="s">
        <v>669</v>
      </c>
      <c r="Q89" s="1084"/>
      <c r="R89" s="943"/>
      <c r="S89" s="1064"/>
      <c r="T89" s="943"/>
      <c r="U89" s="1064"/>
      <c r="V89" s="943"/>
      <c r="W89" s="1064"/>
    </row>
    <row r="90" spans="1:23" ht="14.5" x14ac:dyDescent="0.35">
      <c r="A90" s="1079"/>
      <c r="B90" s="1104" t="s">
        <v>852</v>
      </c>
      <c r="C90" s="1086" t="s">
        <v>853</v>
      </c>
      <c r="D90" s="682"/>
      <c r="E90" s="642"/>
      <c r="F90" s="642"/>
      <c r="G90" s="646"/>
      <c r="H90" s="943" t="s">
        <v>669</v>
      </c>
      <c r="I90" s="1064"/>
      <c r="J90" s="943" t="s">
        <v>669</v>
      </c>
      <c r="K90" s="1064"/>
      <c r="L90" s="943" t="s">
        <v>669</v>
      </c>
      <c r="M90" s="1064"/>
      <c r="N90" s="943" t="s">
        <v>669</v>
      </c>
      <c r="O90" s="1064"/>
      <c r="P90" s="943" t="s">
        <v>669</v>
      </c>
      <c r="Q90" s="1084"/>
      <c r="R90" s="943"/>
      <c r="S90" s="1064"/>
      <c r="T90" s="943"/>
      <c r="U90" s="1064"/>
      <c r="V90" s="943"/>
      <c r="W90" s="1064"/>
    </row>
    <row r="91" spans="1:23" ht="14.5" x14ac:dyDescent="0.35">
      <c r="A91" s="1079"/>
      <c r="B91" s="1104" t="s">
        <v>832</v>
      </c>
      <c r="C91" s="1086"/>
      <c r="D91" s="682"/>
      <c r="E91" s="642"/>
      <c r="F91" s="642"/>
      <c r="G91" s="646"/>
      <c r="H91" s="943" t="s">
        <v>669</v>
      </c>
      <c r="I91" s="1064"/>
      <c r="J91" s="943" t="s">
        <v>669</v>
      </c>
      <c r="K91" s="1064"/>
      <c r="L91" s="943" t="s">
        <v>669</v>
      </c>
      <c r="M91" s="1064"/>
      <c r="N91" s="943" t="s">
        <v>669</v>
      </c>
      <c r="O91" s="1064"/>
      <c r="P91" s="943" t="s">
        <v>669</v>
      </c>
      <c r="Q91" s="1084"/>
      <c r="R91" s="943"/>
      <c r="S91" s="1064"/>
      <c r="T91" s="943"/>
      <c r="U91" s="1064"/>
      <c r="V91" s="943"/>
      <c r="W91" s="1064"/>
    </row>
    <row r="92" spans="1:23" ht="14.5" x14ac:dyDescent="0.35">
      <c r="A92" s="1079"/>
      <c r="B92" s="1098" t="s">
        <v>838</v>
      </c>
      <c r="C92" s="1086"/>
      <c r="D92" s="682"/>
      <c r="E92" s="642"/>
      <c r="F92" s="642"/>
      <c r="G92" s="646"/>
      <c r="H92" s="943" t="s">
        <v>669</v>
      </c>
      <c r="I92" s="1064"/>
      <c r="J92" s="943" t="s">
        <v>669</v>
      </c>
      <c r="K92" s="1064"/>
      <c r="L92" s="943" t="s">
        <v>669</v>
      </c>
      <c r="M92" s="1064"/>
      <c r="N92" s="943" t="s">
        <v>669</v>
      </c>
      <c r="O92" s="1064"/>
      <c r="P92" s="943" t="s">
        <v>669</v>
      </c>
      <c r="Q92" s="1084"/>
      <c r="R92" s="943"/>
      <c r="S92" s="1064"/>
      <c r="T92" s="943"/>
      <c r="U92" s="1064"/>
      <c r="V92" s="943"/>
      <c r="W92" s="1064"/>
    </row>
    <row r="93" spans="1:23" ht="14.5" x14ac:dyDescent="0.35">
      <c r="A93" s="1079"/>
      <c r="B93" s="1104" t="s">
        <v>854</v>
      </c>
      <c r="C93" s="1086"/>
      <c r="D93" s="682"/>
      <c r="E93" s="642"/>
      <c r="F93" s="642"/>
      <c r="G93" s="646"/>
      <c r="H93" s="943" t="s">
        <v>669</v>
      </c>
      <c r="I93" s="1064"/>
      <c r="J93" s="943" t="s">
        <v>669</v>
      </c>
      <c r="K93" s="1064"/>
      <c r="L93" s="943" t="s">
        <v>669</v>
      </c>
      <c r="M93" s="1064"/>
      <c r="N93" s="943" t="s">
        <v>669</v>
      </c>
      <c r="O93" s="1064"/>
      <c r="P93" s="943" t="s">
        <v>669</v>
      </c>
      <c r="Q93" s="1084"/>
      <c r="R93" s="943"/>
      <c r="S93" s="1064"/>
      <c r="T93" s="943"/>
      <c r="U93" s="1064"/>
      <c r="V93" s="943"/>
      <c r="W93" s="1064"/>
    </row>
    <row r="94" spans="1:23" ht="14.5" x14ac:dyDescent="0.35">
      <c r="A94" s="1079"/>
      <c r="B94" s="1098" t="s">
        <v>461</v>
      </c>
      <c r="C94" s="1086"/>
      <c r="D94" s="682"/>
      <c r="E94" s="642"/>
      <c r="F94" s="642"/>
      <c r="G94" s="646"/>
      <c r="H94" s="943" t="s">
        <v>669</v>
      </c>
      <c r="I94" s="1064"/>
      <c r="J94" s="943" t="s">
        <v>669</v>
      </c>
      <c r="K94" s="1064"/>
      <c r="L94" s="943" t="s">
        <v>669</v>
      </c>
      <c r="M94" s="1064"/>
      <c r="N94" s="943" t="s">
        <v>669</v>
      </c>
      <c r="O94" s="1064"/>
      <c r="P94" s="943" t="s">
        <v>669</v>
      </c>
      <c r="Q94" s="1084"/>
      <c r="R94" s="943"/>
      <c r="S94" s="1064"/>
      <c r="T94" s="943"/>
      <c r="U94" s="1064"/>
      <c r="V94" s="943"/>
      <c r="W94" s="1064"/>
    </row>
    <row r="95" spans="1:23" ht="14.5" x14ac:dyDescent="0.35">
      <c r="A95" s="1079"/>
      <c r="B95" s="1108" t="s">
        <v>842</v>
      </c>
      <c r="C95" s="1086"/>
      <c r="D95" s="682"/>
      <c r="E95" s="642"/>
      <c r="F95" s="642"/>
      <c r="G95" s="646"/>
      <c r="H95" s="943" t="s">
        <v>669</v>
      </c>
      <c r="I95" s="1064"/>
      <c r="J95" s="943" t="s">
        <v>669</v>
      </c>
      <c r="K95" s="1064"/>
      <c r="L95" s="943" t="s">
        <v>669</v>
      </c>
      <c r="M95" s="1064"/>
      <c r="N95" s="943" t="s">
        <v>669</v>
      </c>
      <c r="O95" s="1064"/>
      <c r="P95" s="943" t="s">
        <v>669</v>
      </c>
      <c r="Q95" s="1084"/>
      <c r="R95" s="943"/>
      <c r="S95" s="1064"/>
      <c r="T95" s="943"/>
      <c r="U95" s="1064"/>
      <c r="V95" s="943"/>
      <c r="W95" s="1064"/>
    </row>
    <row r="96" spans="1:23" ht="14.5" x14ac:dyDescent="0.35">
      <c r="A96" s="1079"/>
      <c r="B96" s="1102" t="s">
        <v>844</v>
      </c>
      <c r="C96" s="1086"/>
      <c r="D96" s="682"/>
      <c r="E96" s="642"/>
      <c r="F96" s="642"/>
      <c r="G96" s="646"/>
      <c r="H96" s="943" t="s">
        <v>669</v>
      </c>
      <c r="I96" s="1064"/>
      <c r="J96" s="943" t="s">
        <v>669</v>
      </c>
      <c r="K96" s="1064"/>
      <c r="L96" s="943" t="s">
        <v>669</v>
      </c>
      <c r="M96" s="1064"/>
      <c r="N96" s="943" t="s">
        <v>669</v>
      </c>
      <c r="O96" s="1064"/>
      <c r="P96" s="943" t="s">
        <v>669</v>
      </c>
      <c r="Q96" s="1084"/>
      <c r="R96" s="943"/>
      <c r="S96" s="1064"/>
      <c r="T96" s="943"/>
      <c r="U96" s="1064"/>
      <c r="V96" s="943"/>
      <c r="W96" s="1064"/>
    </row>
    <row r="97" spans="1:23" ht="14.5" x14ac:dyDescent="0.35">
      <c r="A97" s="1079"/>
      <c r="B97" s="1102" t="s">
        <v>845</v>
      </c>
      <c r="C97" s="1086"/>
      <c r="D97" s="682"/>
      <c r="E97" s="642"/>
      <c r="F97" s="642"/>
      <c r="G97" s="646"/>
      <c r="H97" s="943" t="s">
        <v>669</v>
      </c>
      <c r="I97" s="1064"/>
      <c r="J97" s="943" t="s">
        <v>669</v>
      </c>
      <c r="K97" s="1064"/>
      <c r="L97" s="943" t="s">
        <v>669</v>
      </c>
      <c r="M97" s="1064"/>
      <c r="N97" s="943" t="s">
        <v>669</v>
      </c>
      <c r="O97" s="1064"/>
      <c r="P97" s="943" t="s">
        <v>669</v>
      </c>
      <c r="Q97" s="1084"/>
      <c r="R97" s="943"/>
      <c r="S97" s="1064"/>
      <c r="T97" s="943"/>
      <c r="U97" s="1064"/>
      <c r="V97" s="943"/>
      <c r="W97" s="1064"/>
    </row>
    <row r="98" spans="1:23" ht="14.5" x14ac:dyDescent="0.35">
      <c r="A98" s="1079"/>
      <c r="B98" s="1109" t="s">
        <v>846</v>
      </c>
      <c r="C98" s="1086"/>
      <c r="D98" s="682"/>
      <c r="E98" s="642"/>
      <c r="F98" s="642"/>
      <c r="G98" s="646"/>
      <c r="H98" s="943" t="s">
        <v>669</v>
      </c>
      <c r="I98" s="1064"/>
      <c r="J98" s="943" t="s">
        <v>669</v>
      </c>
      <c r="K98" s="1064"/>
      <c r="L98" s="943" t="s">
        <v>669</v>
      </c>
      <c r="M98" s="1064"/>
      <c r="N98" s="943" t="s">
        <v>669</v>
      </c>
      <c r="O98" s="1064"/>
      <c r="P98" s="943" t="s">
        <v>669</v>
      </c>
      <c r="Q98" s="1084"/>
      <c r="R98" s="943"/>
      <c r="S98" s="1064"/>
      <c r="T98" s="943"/>
      <c r="U98" s="1064"/>
      <c r="V98" s="943"/>
      <c r="W98" s="1064"/>
    </row>
    <row r="99" spans="1:23" ht="14.5" x14ac:dyDescent="0.35">
      <c r="A99" s="1079"/>
      <c r="B99" s="1098" t="s">
        <v>478</v>
      </c>
      <c r="C99" s="1086"/>
      <c r="D99" s="682"/>
      <c r="E99" s="642"/>
      <c r="F99" s="642"/>
      <c r="G99" s="646"/>
      <c r="H99" s="943" t="s">
        <v>669</v>
      </c>
      <c r="I99" s="1064"/>
      <c r="J99" s="943" t="s">
        <v>669</v>
      </c>
      <c r="K99" s="1064"/>
      <c r="L99" s="943" t="s">
        <v>669</v>
      </c>
      <c r="M99" s="1064"/>
      <c r="N99" s="943" t="s">
        <v>669</v>
      </c>
      <c r="O99" s="1064"/>
      <c r="P99" s="943" t="s">
        <v>669</v>
      </c>
      <c r="Q99" s="1084"/>
      <c r="R99" s="943"/>
      <c r="S99" s="1064"/>
      <c r="T99" s="943"/>
      <c r="U99" s="1064"/>
      <c r="V99" s="943"/>
      <c r="W99" s="1064"/>
    </row>
    <row r="100" spans="1:23" ht="14.5" x14ac:dyDescent="0.35">
      <c r="A100" s="1079"/>
      <c r="B100" s="1104" t="s">
        <v>848</v>
      </c>
      <c r="C100" s="1086"/>
      <c r="D100" s="682"/>
      <c r="E100" s="642"/>
      <c r="F100" s="642"/>
      <c r="G100" s="646"/>
      <c r="H100" s="943" t="s">
        <v>669</v>
      </c>
      <c r="I100" s="1064"/>
      <c r="J100" s="943" t="s">
        <v>669</v>
      </c>
      <c r="K100" s="1064"/>
      <c r="L100" s="943" t="s">
        <v>669</v>
      </c>
      <c r="M100" s="1064"/>
      <c r="N100" s="943" t="s">
        <v>669</v>
      </c>
      <c r="O100" s="1064"/>
      <c r="P100" s="943" t="s">
        <v>669</v>
      </c>
      <c r="Q100" s="1084"/>
      <c r="R100" s="943"/>
      <c r="S100" s="1064"/>
      <c r="T100" s="943"/>
      <c r="U100" s="1064"/>
      <c r="V100" s="943"/>
      <c r="W100" s="1064"/>
    </row>
    <row r="101" spans="1:23" ht="14.5" x14ac:dyDescent="0.35">
      <c r="A101" s="1079"/>
      <c r="B101" s="1104" t="s">
        <v>849</v>
      </c>
      <c r="C101" s="1086"/>
      <c r="D101" s="682"/>
      <c r="E101" s="642"/>
      <c r="F101" s="642"/>
      <c r="G101" s="646"/>
      <c r="H101" s="943" t="s">
        <v>669</v>
      </c>
      <c r="I101" s="1064"/>
      <c r="J101" s="943" t="s">
        <v>669</v>
      </c>
      <c r="K101" s="1064"/>
      <c r="L101" s="943" t="s">
        <v>669</v>
      </c>
      <c r="M101" s="1064"/>
      <c r="N101" s="943" t="s">
        <v>669</v>
      </c>
      <c r="O101" s="1064"/>
      <c r="P101" s="943" t="s">
        <v>669</v>
      </c>
      <c r="Q101" s="1084"/>
      <c r="R101" s="943"/>
      <c r="S101" s="1064"/>
      <c r="T101" s="943"/>
      <c r="U101" s="1064"/>
      <c r="V101" s="943"/>
      <c r="W101" s="1064"/>
    </row>
    <row r="102" spans="1:23" ht="14.5" x14ac:dyDescent="0.35">
      <c r="A102" s="1079"/>
      <c r="B102" s="1102"/>
      <c r="C102" s="1086"/>
      <c r="D102" s="682"/>
      <c r="E102" s="642"/>
      <c r="F102" s="642"/>
      <c r="G102" s="646"/>
      <c r="H102" s="943"/>
      <c r="I102" s="1064"/>
      <c r="J102" s="943"/>
      <c r="K102" s="1064"/>
      <c r="L102" s="943"/>
      <c r="M102" s="1064"/>
      <c r="N102" s="943"/>
      <c r="O102" s="1064"/>
      <c r="P102" s="943"/>
      <c r="Q102" s="1084"/>
      <c r="R102" s="943"/>
      <c r="S102" s="1064"/>
      <c r="T102" s="943"/>
      <c r="U102" s="1064"/>
      <c r="V102" s="943"/>
      <c r="W102" s="1064"/>
    </row>
    <row r="103" spans="1:23" ht="14.5" x14ac:dyDescent="0.35">
      <c r="A103" s="1079"/>
      <c r="B103" s="1098" t="s">
        <v>794</v>
      </c>
      <c r="C103" s="1086"/>
      <c r="D103" s="682"/>
      <c r="E103" s="642"/>
      <c r="F103" s="642"/>
      <c r="G103" s="646"/>
      <c r="H103" s="943" t="s">
        <v>669</v>
      </c>
      <c r="I103" s="1064"/>
      <c r="J103" s="943" t="s">
        <v>669</v>
      </c>
      <c r="K103" s="1064"/>
      <c r="L103" s="943" t="s">
        <v>669</v>
      </c>
      <c r="M103" s="1064"/>
      <c r="N103" s="943" t="s">
        <v>669</v>
      </c>
      <c r="O103" s="1064"/>
      <c r="P103" s="943" t="s">
        <v>669</v>
      </c>
      <c r="Q103" s="1084"/>
      <c r="R103" s="943"/>
      <c r="S103" s="1064"/>
      <c r="T103" s="943"/>
      <c r="U103" s="1064"/>
      <c r="V103" s="943"/>
      <c r="W103" s="1064"/>
    </row>
    <row r="104" spans="1:23" ht="14.5" x14ac:dyDescent="0.35">
      <c r="A104" s="1079"/>
      <c r="B104" s="1112" t="s">
        <v>821</v>
      </c>
      <c r="C104" s="1086" t="s">
        <v>855</v>
      </c>
      <c r="D104" s="682"/>
      <c r="E104" s="642"/>
      <c r="F104" s="642"/>
      <c r="G104" s="646"/>
      <c r="H104" s="943" t="s">
        <v>669</v>
      </c>
      <c r="I104" s="1064"/>
      <c r="J104" s="943" t="s">
        <v>669</v>
      </c>
      <c r="K104" s="1064"/>
      <c r="L104" s="943" t="s">
        <v>669</v>
      </c>
      <c r="M104" s="1064"/>
      <c r="N104" s="943" t="s">
        <v>669</v>
      </c>
      <c r="O104" s="1064"/>
      <c r="P104" s="943" t="s">
        <v>669</v>
      </c>
      <c r="Q104" s="1084"/>
      <c r="R104" s="943"/>
      <c r="S104" s="1064"/>
      <c r="T104" s="943"/>
      <c r="U104" s="1064"/>
      <c r="V104" s="943"/>
      <c r="W104" s="1064"/>
    </row>
    <row r="105" spans="1:23" ht="14.5" x14ac:dyDescent="0.35">
      <c r="A105" s="1079"/>
      <c r="B105" s="1102" t="s">
        <v>856</v>
      </c>
      <c r="C105" s="1086"/>
      <c r="D105" s="682"/>
      <c r="E105" s="642"/>
      <c r="F105" s="642"/>
      <c r="G105" s="646"/>
      <c r="H105" s="943" t="s">
        <v>669</v>
      </c>
      <c r="I105" s="1064"/>
      <c r="J105" s="943" t="s">
        <v>669</v>
      </c>
      <c r="K105" s="1064"/>
      <c r="L105" s="943" t="s">
        <v>669</v>
      </c>
      <c r="M105" s="1064"/>
      <c r="N105" s="943" t="s">
        <v>669</v>
      </c>
      <c r="O105" s="1064"/>
      <c r="P105" s="943" t="s">
        <v>669</v>
      </c>
      <c r="Q105" s="1084"/>
      <c r="R105" s="943"/>
      <c r="S105" s="1064"/>
      <c r="T105" s="943"/>
      <c r="U105" s="1064"/>
      <c r="V105" s="943"/>
      <c r="W105" s="1064"/>
    </row>
    <row r="106" spans="1:23" ht="14.5" x14ac:dyDescent="0.35">
      <c r="A106" s="1079"/>
      <c r="B106" s="1098" t="s">
        <v>461</v>
      </c>
      <c r="C106" s="1086"/>
      <c r="D106" s="682"/>
      <c r="E106" s="642"/>
      <c r="F106" s="642"/>
      <c r="G106" s="646"/>
      <c r="H106" s="943" t="s">
        <v>669</v>
      </c>
      <c r="I106" s="1064"/>
      <c r="J106" s="943" t="s">
        <v>669</v>
      </c>
      <c r="K106" s="1064"/>
      <c r="L106" s="943" t="s">
        <v>669</v>
      </c>
      <c r="M106" s="1064"/>
      <c r="N106" s="943" t="s">
        <v>669</v>
      </c>
      <c r="O106" s="1064"/>
      <c r="P106" s="943" t="s">
        <v>669</v>
      </c>
      <c r="Q106" s="1084"/>
      <c r="R106" s="943"/>
      <c r="S106" s="1064"/>
      <c r="T106" s="943"/>
      <c r="U106" s="1064"/>
      <c r="V106" s="943"/>
      <c r="W106" s="1064"/>
    </row>
    <row r="107" spans="1:23" ht="14.5" x14ac:dyDescent="0.35">
      <c r="A107" s="1079"/>
      <c r="B107" s="1108" t="s">
        <v>842</v>
      </c>
      <c r="C107" s="1086"/>
      <c r="D107" s="682"/>
      <c r="E107" s="642"/>
      <c r="F107" s="642"/>
      <c r="G107" s="646"/>
      <c r="H107" s="943" t="s">
        <v>669</v>
      </c>
      <c r="I107" s="1064"/>
      <c r="J107" s="943" t="s">
        <v>669</v>
      </c>
      <c r="K107" s="1064"/>
      <c r="L107" s="943" t="s">
        <v>669</v>
      </c>
      <c r="M107" s="1064"/>
      <c r="N107" s="943" t="s">
        <v>669</v>
      </c>
      <c r="O107" s="1064"/>
      <c r="P107" s="943" t="s">
        <v>669</v>
      </c>
      <c r="Q107" s="1084"/>
      <c r="R107" s="943"/>
      <c r="S107" s="1064"/>
      <c r="T107" s="943"/>
      <c r="U107" s="1064"/>
      <c r="V107" s="943"/>
      <c r="W107" s="1064"/>
    </row>
    <row r="108" spans="1:23" ht="14.5" x14ac:dyDescent="0.35">
      <c r="A108" s="1079"/>
      <c r="B108" s="1102" t="s">
        <v>844</v>
      </c>
      <c r="C108" s="1086"/>
      <c r="D108" s="682"/>
      <c r="E108" s="642"/>
      <c r="F108" s="642"/>
      <c r="G108" s="646"/>
      <c r="H108" s="943" t="s">
        <v>669</v>
      </c>
      <c r="I108" s="1064"/>
      <c r="J108" s="943" t="s">
        <v>669</v>
      </c>
      <c r="K108" s="1064"/>
      <c r="L108" s="943" t="s">
        <v>669</v>
      </c>
      <c r="M108" s="1064"/>
      <c r="N108" s="943" t="s">
        <v>669</v>
      </c>
      <c r="O108" s="1064"/>
      <c r="P108" s="943" t="s">
        <v>669</v>
      </c>
      <c r="Q108" s="1084"/>
      <c r="R108" s="943"/>
      <c r="S108" s="1064"/>
      <c r="T108" s="943"/>
      <c r="U108" s="1064"/>
      <c r="V108" s="943"/>
      <c r="W108" s="1064"/>
    </row>
    <row r="109" spans="1:23" ht="14.5" x14ac:dyDescent="0.35">
      <c r="A109" s="1079"/>
      <c r="B109" s="1102" t="s">
        <v>845</v>
      </c>
      <c r="C109" s="1086"/>
      <c r="D109" s="682"/>
      <c r="E109" s="642"/>
      <c r="F109" s="642"/>
      <c r="G109" s="646"/>
      <c r="H109" s="943" t="s">
        <v>669</v>
      </c>
      <c r="I109" s="1064"/>
      <c r="J109" s="943" t="s">
        <v>669</v>
      </c>
      <c r="K109" s="1064"/>
      <c r="L109" s="943" t="s">
        <v>669</v>
      </c>
      <c r="M109" s="1064"/>
      <c r="N109" s="943" t="s">
        <v>669</v>
      </c>
      <c r="O109" s="1064"/>
      <c r="P109" s="943" t="s">
        <v>669</v>
      </c>
      <c r="Q109" s="1084"/>
      <c r="R109" s="943"/>
      <c r="S109" s="1064"/>
      <c r="T109" s="943"/>
      <c r="U109" s="1064"/>
      <c r="V109" s="943"/>
      <c r="W109" s="1064"/>
    </row>
    <row r="110" spans="1:23" ht="14.5" x14ac:dyDescent="0.35">
      <c r="A110" s="1079"/>
      <c r="B110" s="1109" t="s">
        <v>846</v>
      </c>
      <c r="C110" s="1086"/>
      <c r="D110" s="682"/>
      <c r="E110" s="642"/>
      <c r="F110" s="642"/>
      <c r="G110" s="646"/>
      <c r="H110" s="943" t="s">
        <v>669</v>
      </c>
      <c r="I110" s="1064"/>
      <c r="J110" s="943" t="s">
        <v>669</v>
      </c>
      <c r="K110" s="1064"/>
      <c r="L110" s="943" t="s">
        <v>669</v>
      </c>
      <c r="M110" s="1064"/>
      <c r="N110" s="943" t="s">
        <v>669</v>
      </c>
      <c r="O110" s="1064"/>
      <c r="P110" s="943" t="s">
        <v>669</v>
      </c>
      <c r="Q110" s="1084"/>
      <c r="R110" s="943"/>
      <c r="S110" s="1064"/>
      <c r="T110" s="943"/>
      <c r="U110" s="1064"/>
      <c r="V110" s="943"/>
      <c r="W110" s="1064"/>
    </row>
    <row r="111" spans="1:23" ht="14.5" x14ac:dyDescent="0.35">
      <c r="A111" s="1079"/>
      <c r="B111" s="1110" t="s">
        <v>847</v>
      </c>
      <c r="C111" s="1086"/>
      <c r="D111" s="682"/>
      <c r="E111" s="642"/>
      <c r="F111" s="642"/>
      <c r="G111" s="646"/>
      <c r="H111" s="943" t="s">
        <v>669</v>
      </c>
      <c r="I111" s="1064"/>
      <c r="J111" s="943" t="s">
        <v>669</v>
      </c>
      <c r="K111" s="1064"/>
      <c r="L111" s="943" t="s">
        <v>669</v>
      </c>
      <c r="M111" s="1064"/>
      <c r="N111" s="943" t="s">
        <v>669</v>
      </c>
      <c r="O111" s="1064"/>
      <c r="P111" s="943" t="s">
        <v>669</v>
      </c>
      <c r="Q111" s="1084"/>
      <c r="R111" s="943"/>
      <c r="S111" s="1064"/>
      <c r="T111" s="943"/>
      <c r="U111" s="1064"/>
      <c r="V111" s="943"/>
      <c r="W111" s="1064"/>
    </row>
    <row r="112" spans="1:23" ht="14.5" x14ac:dyDescent="0.35">
      <c r="A112" s="1079"/>
      <c r="B112" s="1098" t="s">
        <v>478</v>
      </c>
      <c r="C112" s="1086"/>
      <c r="D112" s="682"/>
      <c r="E112" s="642"/>
      <c r="F112" s="642"/>
      <c r="G112" s="646"/>
      <c r="H112" s="943" t="s">
        <v>669</v>
      </c>
      <c r="I112" s="1064"/>
      <c r="J112" s="943" t="s">
        <v>669</v>
      </c>
      <c r="K112" s="1064"/>
      <c r="L112" s="943" t="s">
        <v>669</v>
      </c>
      <c r="M112" s="1064"/>
      <c r="N112" s="943" t="s">
        <v>669</v>
      </c>
      <c r="O112" s="1064"/>
      <c r="P112" s="943" t="s">
        <v>669</v>
      </c>
      <c r="Q112" s="1064"/>
      <c r="R112" s="943"/>
      <c r="S112" s="1064"/>
      <c r="T112" s="943"/>
      <c r="U112" s="1064"/>
      <c r="V112" s="943"/>
      <c r="W112" s="1064"/>
    </row>
    <row r="113" spans="1:23" ht="14.5" x14ac:dyDescent="0.35">
      <c r="A113" s="1079"/>
      <c r="B113" s="1104" t="s">
        <v>848</v>
      </c>
      <c r="C113" s="1086"/>
      <c r="D113" s="682"/>
      <c r="E113" s="642"/>
      <c r="F113" s="642"/>
      <c r="G113" s="646"/>
      <c r="H113" s="943" t="s">
        <v>669</v>
      </c>
      <c r="I113" s="1064"/>
      <c r="J113" s="943" t="s">
        <v>669</v>
      </c>
      <c r="K113" s="1064"/>
      <c r="L113" s="943" t="s">
        <v>669</v>
      </c>
      <c r="M113" s="1064"/>
      <c r="N113" s="943" t="s">
        <v>669</v>
      </c>
      <c r="O113" s="1064"/>
      <c r="P113" s="943" t="s">
        <v>669</v>
      </c>
      <c r="Q113" s="1064"/>
      <c r="R113" s="943"/>
      <c r="S113" s="1064"/>
      <c r="T113" s="943"/>
      <c r="U113" s="1064"/>
      <c r="V113" s="943"/>
      <c r="W113" s="1064"/>
    </row>
    <row r="114" spans="1:23" ht="14.5" x14ac:dyDescent="0.35">
      <c r="A114" s="1079"/>
      <c r="B114" s="1104" t="s">
        <v>849</v>
      </c>
      <c r="C114" s="1086"/>
      <c r="D114" s="682"/>
      <c r="E114" s="642"/>
      <c r="F114" s="642"/>
      <c r="G114" s="646"/>
      <c r="H114" s="943" t="s">
        <v>669</v>
      </c>
      <c r="I114" s="1064"/>
      <c r="J114" s="943" t="s">
        <v>669</v>
      </c>
      <c r="K114" s="1064"/>
      <c r="L114" s="943" t="s">
        <v>669</v>
      </c>
      <c r="M114" s="1064"/>
      <c r="N114" s="943" t="s">
        <v>669</v>
      </c>
      <c r="O114" s="1064"/>
      <c r="P114" s="943" t="s">
        <v>669</v>
      </c>
      <c r="Q114" s="1064"/>
      <c r="R114" s="943"/>
      <c r="S114" s="1064"/>
      <c r="T114" s="943"/>
      <c r="U114" s="1064"/>
      <c r="V114" s="943"/>
      <c r="W114" s="1064"/>
    </row>
    <row r="115" spans="1:23" ht="14.5" x14ac:dyDescent="0.35">
      <c r="A115" s="1079"/>
      <c r="B115" s="1102"/>
      <c r="C115" s="1086"/>
      <c r="D115" s="682"/>
      <c r="E115" s="642"/>
      <c r="F115" s="642"/>
      <c r="G115" s="646"/>
      <c r="H115" s="943"/>
      <c r="I115" s="1064"/>
      <c r="J115" s="943"/>
      <c r="K115" s="1064"/>
      <c r="L115" s="943"/>
      <c r="M115" s="1064"/>
      <c r="N115" s="943"/>
      <c r="O115" s="1064"/>
      <c r="P115" s="943"/>
      <c r="Q115" s="1064"/>
      <c r="R115" s="943"/>
      <c r="S115" s="1064"/>
      <c r="T115" s="943"/>
      <c r="U115" s="1064"/>
      <c r="V115" s="943"/>
      <c r="W115" s="1064"/>
    </row>
    <row r="116" spans="1:23" ht="14.5" x14ac:dyDescent="0.35">
      <c r="A116" s="1079"/>
      <c r="B116" s="1102" t="s">
        <v>857</v>
      </c>
      <c r="C116" s="1086" t="s">
        <v>858</v>
      </c>
      <c r="D116" s="1113">
        <v>5</v>
      </c>
      <c r="E116" s="642" t="s">
        <v>859</v>
      </c>
      <c r="F116" s="654">
        <v>1300</v>
      </c>
      <c r="G116" s="646">
        <f>F116*D116</f>
        <v>6500</v>
      </c>
      <c r="H116" s="1101" t="s">
        <v>669</v>
      </c>
      <c r="I116" s="1100"/>
      <c r="J116" s="1101" t="s">
        <v>669</v>
      </c>
      <c r="K116" s="1100"/>
      <c r="L116" s="1101" t="s">
        <v>654</v>
      </c>
      <c r="M116" s="1114">
        <f>G116</f>
        <v>6500</v>
      </c>
      <c r="N116" s="1101" t="s">
        <v>654</v>
      </c>
      <c r="O116" s="1114">
        <f>I116</f>
        <v>0</v>
      </c>
      <c r="P116" s="1101" t="s">
        <v>654</v>
      </c>
      <c r="Q116" s="1100">
        <f>M116</f>
        <v>6500</v>
      </c>
      <c r="R116" s="943"/>
      <c r="S116" s="1064"/>
      <c r="T116" s="943"/>
      <c r="U116" s="1064"/>
      <c r="V116" s="943"/>
      <c r="W116" s="1064"/>
    </row>
    <row r="117" spans="1:23" ht="14.5" x14ac:dyDescent="0.35">
      <c r="A117" s="1079"/>
      <c r="B117" s="1102"/>
      <c r="C117" s="1086"/>
      <c r="D117" s="682"/>
      <c r="E117" s="642"/>
      <c r="F117" s="642"/>
      <c r="G117" s="646"/>
      <c r="H117" s="943"/>
      <c r="I117" s="1064"/>
      <c r="J117" s="943"/>
      <c r="K117" s="1064"/>
      <c r="L117" s="943"/>
      <c r="M117" s="1064"/>
      <c r="N117" s="943"/>
      <c r="O117" s="1064"/>
      <c r="P117" s="943"/>
      <c r="Q117" s="1064"/>
      <c r="R117" s="943"/>
      <c r="S117" s="1064"/>
      <c r="T117" s="943"/>
      <c r="U117" s="1064"/>
      <c r="V117" s="943"/>
      <c r="W117" s="1064"/>
    </row>
    <row r="118" spans="1:23" ht="14.5" x14ac:dyDescent="0.35">
      <c r="A118" s="1079"/>
      <c r="B118" s="1115" t="s">
        <v>860</v>
      </c>
      <c r="C118" s="1086"/>
      <c r="D118" s="682"/>
      <c r="E118" s="642"/>
      <c r="F118" s="642"/>
      <c r="G118" s="646"/>
      <c r="H118" s="943" t="s">
        <v>671</v>
      </c>
      <c r="I118" s="1064"/>
      <c r="J118" s="943" t="s">
        <v>671</v>
      </c>
      <c r="K118" s="1064"/>
      <c r="L118" s="943" t="s">
        <v>671</v>
      </c>
      <c r="M118" s="1064"/>
      <c r="N118" s="943" t="s">
        <v>671</v>
      </c>
      <c r="O118" s="1064"/>
      <c r="P118" s="943" t="s">
        <v>671</v>
      </c>
      <c r="Q118" s="1064"/>
      <c r="R118" s="943"/>
      <c r="S118" s="1064"/>
      <c r="T118" s="943"/>
      <c r="U118" s="1064"/>
      <c r="V118" s="943"/>
      <c r="W118" s="1064"/>
    </row>
    <row r="119" spans="1:23" ht="14.5" x14ac:dyDescent="0.35">
      <c r="A119" s="1079"/>
      <c r="B119" s="1102"/>
      <c r="C119" s="1086"/>
      <c r="D119" s="682"/>
      <c r="E119" s="642"/>
      <c r="F119" s="642"/>
      <c r="G119" s="646"/>
      <c r="H119" s="943"/>
      <c r="I119" s="1064"/>
      <c r="J119" s="943"/>
      <c r="K119" s="1064"/>
      <c r="L119" s="943"/>
      <c r="M119" s="1064"/>
      <c r="N119" s="943"/>
      <c r="O119" s="1064"/>
      <c r="P119" s="943"/>
      <c r="Q119" s="1064"/>
      <c r="R119" s="943"/>
      <c r="S119" s="1064"/>
      <c r="T119" s="943"/>
      <c r="U119" s="1064"/>
      <c r="V119" s="943"/>
      <c r="W119" s="1064"/>
    </row>
    <row r="120" spans="1:23" ht="14.5" x14ac:dyDescent="0.35">
      <c r="A120" s="1079"/>
      <c r="B120" s="1098" t="s">
        <v>861</v>
      </c>
      <c r="C120" s="1086"/>
      <c r="D120" s="682"/>
      <c r="E120" s="642"/>
      <c r="F120" s="642"/>
      <c r="G120" s="646"/>
      <c r="H120" s="943" t="s">
        <v>671</v>
      </c>
      <c r="I120" s="1064"/>
      <c r="J120" s="943" t="s">
        <v>669</v>
      </c>
      <c r="K120" s="1064"/>
      <c r="L120" s="943" t="s">
        <v>671</v>
      </c>
      <c r="M120" s="1064"/>
      <c r="N120" s="943" t="s">
        <v>671</v>
      </c>
      <c r="O120" s="1064"/>
      <c r="P120" s="943" t="s">
        <v>671</v>
      </c>
      <c r="Q120" s="1064"/>
      <c r="R120" s="943"/>
      <c r="S120" s="1064"/>
      <c r="T120" s="943"/>
      <c r="U120" s="1064"/>
      <c r="V120" s="943"/>
      <c r="W120" s="1064"/>
    </row>
    <row r="121" spans="1:23" ht="14.5" x14ac:dyDescent="0.35">
      <c r="A121" s="1079"/>
      <c r="B121" s="1098"/>
      <c r="C121" s="1086"/>
      <c r="D121" s="682"/>
      <c r="E121" s="642"/>
      <c r="F121" s="642"/>
      <c r="G121" s="646"/>
      <c r="H121" s="943"/>
      <c r="I121" s="1064"/>
      <c r="J121" s="943"/>
      <c r="K121" s="1064"/>
      <c r="L121" s="943"/>
      <c r="M121" s="1064"/>
      <c r="N121" s="943"/>
      <c r="O121" s="1064"/>
      <c r="P121" s="943"/>
      <c r="Q121" s="1064"/>
      <c r="R121" s="943"/>
      <c r="S121" s="1064"/>
      <c r="T121" s="943"/>
      <c r="U121" s="1064"/>
      <c r="V121" s="943"/>
      <c r="W121" s="1064"/>
    </row>
    <row r="122" spans="1:23" ht="14.5" x14ac:dyDescent="0.35">
      <c r="A122" s="1079" t="s">
        <v>862</v>
      </c>
      <c r="B122" s="1102" t="s">
        <v>863</v>
      </c>
      <c r="C122" s="1086" t="s">
        <v>864</v>
      </c>
      <c r="D122" s="682"/>
      <c r="E122" s="642"/>
      <c r="F122" s="642"/>
      <c r="G122" s="646"/>
      <c r="H122" s="943" t="s">
        <v>671</v>
      </c>
      <c r="I122" s="1064"/>
      <c r="J122" s="943" t="s">
        <v>669</v>
      </c>
      <c r="K122" s="1064"/>
      <c r="L122" s="943" t="s">
        <v>671</v>
      </c>
      <c r="M122" s="1064"/>
      <c r="N122" s="943" t="s">
        <v>671</v>
      </c>
      <c r="O122" s="1064"/>
      <c r="P122" s="943" t="s">
        <v>671</v>
      </c>
      <c r="Q122" s="1064"/>
      <c r="R122" s="943"/>
      <c r="S122" s="1064"/>
      <c r="T122" s="943"/>
      <c r="U122" s="1064"/>
      <c r="V122" s="943"/>
      <c r="W122" s="1064"/>
    </row>
    <row r="123" spans="1:23" ht="14.5" x14ac:dyDescent="0.35">
      <c r="A123" s="1079" t="s">
        <v>862</v>
      </c>
      <c r="B123" s="1102" t="s">
        <v>865</v>
      </c>
      <c r="C123" s="1086" t="s">
        <v>864</v>
      </c>
      <c r="D123" s="682"/>
      <c r="E123" s="642"/>
      <c r="F123" s="642"/>
      <c r="G123" s="646"/>
      <c r="H123" s="943" t="s">
        <v>671</v>
      </c>
      <c r="I123" s="1064"/>
      <c r="J123" s="943" t="s">
        <v>669</v>
      </c>
      <c r="K123" s="1064"/>
      <c r="L123" s="943" t="s">
        <v>671</v>
      </c>
      <c r="M123" s="1064"/>
      <c r="N123" s="943" t="s">
        <v>671</v>
      </c>
      <c r="O123" s="1064"/>
      <c r="P123" s="943" t="s">
        <v>671</v>
      </c>
      <c r="Q123" s="1064"/>
      <c r="R123" s="943"/>
      <c r="S123" s="1064"/>
      <c r="T123" s="943"/>
      <c r="U123" s="1064"/>
      <c r="V123" s="943"/>
      <c r="W123" s="1064"/>
    </row>
    <row r="124" spans="1:23" ht="14.5" x14ac:dyDescent="0.35">
      <c r="A124" s="1079" t="s">
        <v>862</v>
      </c>
      <c r="B124" s="1102" t="s">
        <v>866</v>
      </c>
      <c r="C124" s="1086" t="s">
        <v>864</v>
      </c>
      <c r="D124" s="682"/>
      <c r="E124" s="642"/>
      <c r="F124" s="642"/>
      <c r="G124" s="646"/>
      <c r="H124" s="943" t="s">
        <v>671</v>
      </c>
      <c r="I124" s="1064"/>
      <c r="J124" s="943" t="s">
        <v>669</v>
      </c>
      <c r="K124" s="1064"/>
      <c r="L124" s="943" t="s">
        <v>671</v>
      </c>
      <c r="M124" s="1064"/>
      <c r="N124" s="943" t="s">
        <v>671</v>
      </c>
      <c r="O124" s="1064"/>
      <c r="P124" s="943" t="s">
        <v>671</v>
      </c>
      <c r="Q124" s="1064"/>
      <c r="R124" s="943"/>
      <c r="S124" s="1064"/>
      <c r="T124" s="943"/>
      <c r="U124" s="1064"/>
      <c r="V124" s="943"/>
      <c r="W124" s="1064"/>
    </row>
    <row r="125" spans="1:23" ht="14.5" x14ac:dyDescent="0.35">
      <c r="A125" s="1079"/>
      <c r="B125" s="1102" t="s">
        <v>867</v>
      </c>
      <c r="C125" s="1086"/>
      <c r="D125" s="682"/>
      <c r="E125" s="642"/>
      <c r="F125" s="642"/>
      <c r="G125" s="646"/>
      <c r="H125" s="943" t="s">
        <v>671</v>
      </c>
      <c r="I125" s="1064"/>
      <c r="J125" s="943" t="s">
        <v>669</v>
      </c>
      <c r="K125" s="1064"/>
      <c r="L125" s="943" t="s">
        <v>671</v>
      </c>
      <c r="M125" s="1064"/>
      <c r="N125" s="943" t="s">
        <v>671</v>
      </c>
      <c r="O125" s="1064"/>
      <c r="P125" s="943" t="s">
        <v>671</v>
      </c>
      <c r="Q125" s="1064"/>
      <c r="R125" s="943"/>
      <c r="S125" s="1064"/>
      <c r="T125" s="943"/>
      <c r="U125" s="1064"/>
      <c r="V125" s="943"/>
      <c r="W125" s="1064"/>
    </row>
    <row r="126" spans="1:23" ht="14.5" x14ac:dyDescent="0.35">
      <c r="A126" s="1079" t="s">
        <v>862</v>
      </c>
      <c r="B126" s="1102" t="s">
        <v>868</v>
      </c>
      <c r="C126" s="1086" t="s">
        <v>864</v>
      </c>
      <c r="D126" s="682"/>
      <c r="E126" s="642"/>
      <c r="F126" s="642"/>
      <c r="G126" s="646"/>
      <c r="H126" s="943"/>
      <c r="I126" s="1064"/>
      <c r="J126" s="943"/>
      <c r="K126" s="1064"/>
      <c r="L126" s="943"/>
      <c r="M126" s="1064"/>
      <c r="N126" s="943"/>
      <c r="O126" s="1064"/>
      <c r="P126" s="943"/>
      <c r="Q126" s="1064"/>
      <c r="R126" s="943"/>
      <c r="S126" s="1064"/>
      <c r="T126" s="943"/>
      <c r="U126" s="1064"/>
      <c r="V126" s="943"/>
      <c r="W126" s="1064"/>
    </row>
    <row r="127" spans="1:23" ht="14.5" x14ac:dyDescent="0.35">
      <c r="A127" s="1079"/>
      <c r="B127" s="1102"/>
      <c r="C127" s="1086"/>
      <c r="D127" s="682"/>
      <c r="E127" s="642"/>
      <c r="F127" s="642"/>
      <c r="G127" s="646"/>
      <c r="H127" s="943"/>
      <c r="I127" s="1064"/>
      <c r="J127" s="943"/>
      <c r="K127" s="1064"/>
      <c r="L127" s="943"/>
      <c r="M127" s="1064"/>
      <c r="N127" s="943"/>
      <c r="O127" s="1064"/>
      <c r="P127" s="943"/>
      <c r="Q127" s="1064"/>
      <c r="R127" s="943"/>
      <c r="S127" s="1064"/>
      <c r="T127" s="943"/>
      <c r="U127" s="1064"/>
      <c r="V127" s="943"/>
      <c r="W127" s="1064"/>
    </row>
    <row r="128" spans="1:23" ht="14.5" x14ac:dyDescent="0.35">
      <c r="A128" s="1116"/>
      <c r="B128" s="1104" t="s">
        <v>869</v>
      </c>
      <c r="C128" s="1117"/>
      <c r="D128" s="1118"/>
      <c r="E128" s="1118"/>
      <c r="F128" s="1118"/>
      <c r="G128" s="1117"/>
      <c r="H128" s="943"/>
      <c r="I128" s="1119"/>
      <c r="J128" s="943"/>
      <c r="K128" s="1120">
        <v>-690000</v>
      </c>
      <c r="L128" s="943"/>
      <c r="M128" s="1119"/>
      <c r="N128" s="943"/>
      <c r="O128" s="1119"/>
      <c r="P128" s="943"/>
      <c r="Q128" s="1119"/>
      <c r="R128" s="943"/>
      <c r="S128" s="1119"/>
      <c r="T128" s="943"/>
      <c r="U128" s="1119"/>
      <c r="V128" s="943"/>
      <c r="W128" s="1119"/>
    </row>
    <row r="129" spans="1:23" ht="14.5" x14ac:dyDescent="0.35">
      <c r="A129" s="14"/>
      <c r="B129" s="15"/>
      <c r="C129" s="16"/>
      <c r="D129" s="16"/>
      <c r="E129" s="17"/>
      <c r="F129" s="18" t="s">
        <v>715</v>
      </c>
      <c r="G129" s="327">
        <f>SUM(G33:G128)</f>
        <v>21377270</v>
      </c>
      <c r="H129" s="20"/>
      <c r="I129" s="50">
        <f>SUM(I24:I128)</f>
        <v>20470000</v>
      </c>
      <c r="J129" s="20"/>
      <c r="K129" s="50">
        <f>SUM(K24:K128)</f>
        <v>19780000</v>
      </c>
      <c r="L129" s="20"/>
      <c r="M129" s="50">
        <f>SUM(M33:M128)</f>
        <v>21013937</v>
      </c>
      <c r="N129" s="20"/>
      <c r="O129" s="50">
        <f>SUM(O33:O128)</f>
        <v>20077932</v>
      </c>
      <c r="P129" s="41"/>
      <c r="Q129" s="50">
        <f>SUM(Q24:Q128)</f>
        <v>22221824</v>
      </c>
      <c r="R129" s="20"/>
      <c r="S129" s="50">
        <f>SUM(S24:S128)</f>
        <v>0</v>
      </c>
      <c r="T129" s="20"/>
      <c r="U129" s="50">
        <f>SUM(U24:U128)</f>
        <v>0</v>
      </c>
      <c r="V129" s="20"/>
      <c r="W129" s="50">
        <f>SUM(W24:W128)</f>
        <v>0</v>
      </c>
    </row>
    <row r="130" spans="1:23" ht="14.5" x14ac:dyDescent="0.35">
      <c r="A130" s="684"/>
      <c r="B130" s="655"/>
      <c r="C130" s="656"/>
      <c r="D130" s="656"/>
      <c r="E130" s="657"/>
      <c r="F130" s="658" t="s">
        <v>716</v>
      </c>
      <c r="G130" s="659"/>
      <c r="H130" s="959">
        <v>0</v>
      </c>
      <c r="I130" s="1121"/>
      <c r="J130" s="959">
        <v>0</v>
      </c>
      <c r="K130" s="1121"/>
      <c r="L130" s="959">
        <v>0</v>
      </c>
      <c r="M130" s="1121"/>
      <c r="N130" s="959">
        <v>0</v>
      </c>
      <c r="O130" s="1121"/>
      <c r="P130" s="673">
        <v>0</v>
      </c>
      <c r="Q130" s="1121"/>
      <c r="R130" s="959">
        <v>0</v>
      </c>
      <c r="S130" s="1121"/>
      <c r="T130" s="959">
        <v>0</v>
      </c>
      <c r="U130" s="1121"/>
      <c r="V130" s="959">
        <v>0</v>
      </c>
      <c r="W130" s="1121"/>
    </row>
    <row r="131" spans="1:23" ht="14.5" x14ac:dyDescent="0.35">
      <c r="A131" s="684"/>
      <c r="B131" s="655"/>
      <c r="C131" s="656"/>
      <c r="D131" s="656"/>
      <c r="E131" s="657"/>
      <c r="F131" s="658" t="s">
        <v>717</v>
      </c>
      <c r="G131" s="659"/>
      <c r="H131" s="961"/>
      <c r="I131" s="1122">
        <f>H130*I129</f>
        <v>0</v>
      </c>
      <c r="J131" s="961"/>
      <c r="K131" s="1122">
        <f>J130*K129</f>
        <v>0</v>
      </c>
      <c r="L131" s="961"/>
      <c r="M131" s="1122">
        <f>L130*M129</f>
        <v>0</v>
      </c>
      <c r="N131" s="961"/>
      <c r="O131" s="1122">
        <f>N130*O129</f>
        <v>0</v>
      </c>
      <c r="P131" s="674"/>
      <c r="Q131" s="1122">
        <f>P130*Q129</f>
        <v>0</v>
      </c>
      <c r="R131" s="961"/>
      <c r="S131" s="1122">
        <f>R130*S129</f>
        <v>0</v>
      </c>
      <c r="T131" s="961"/>
      <c r="U131" s="1122">
        <f>T130*U129</f>
        <v>0</v>
      </c>
      <c r="V131" s="961"/>
      <c r="W131" s="1122">
        <f>V130*W129</f>
        <v>0</v>
      </c>
    </row>
    <row r="132" spans="1:23" ht="14.5" x14ac:dyDescent="0.35">
      <c r="A132" s="684"/>
      <c r="B132" s="655"/>
      <c r="C132" s="656"/>
      <c r="D132" s="656"/>
      <c r="E132" s="3770"/>
      <c r="F132" s="3771"/>
      <c r="G132" s="659"/>
      <c r="H132" s="961"/>
      <c r="I132" s="963"/>
      <c r="J132" s="961"/>
      <c r="K132" s="963"/>
      <c r="L132" s="1123"/>
      <c r="M132" s="963"/>
      <c r="N132" s="1123"/>
      <c r="O132" s="963"/>
      <c r="P132" s="1123"/>
      <c r="Q132" s="962"/>
      <c r="R132" s="961"/>
      <c r="S132" s="963"/>
      <c r="T132" s="961"/>
      <c r="U132" s="963"/>
      <c r="V132" s="961"/>
      <c r="W132" s="963"/>
    </row>
    <row r="133" spans="1:23" ht="14.5" x14ac:dyDescent="0.35">
      <c r="A133" s="684"/>
      <c r="B133" s="655"/>
      <c r="C133" s="656"/>
      <c r="D133" s="656"/>
      <c r="E133" s="657"/>
      <c r="F133" s="658" t="s">
        <v>718</v>
      </c>
      <c r="G133" s="659"/>
      <c r="H133" s="964"/>
      <c r="I133" s="962">
        <f>SUM(I129:I131)</f>
        <v>20470000</v>
      </c>
      <c r="J133" s="964"/>
      <c r="K133" s="962">
        <f>SUM(K129:K131)</f>
        <v>19780000</v>
      </c>
      <c r="L133" s="964"/>
      <c r="M133" s="962">
        <f>SUM(M129:M132)</f>
        <v>21013937</v>
      </c>
      <c r="N133" s="964"/>
      <c r="O133" s="962">
        <f>SUM(O129:O132)</f>
        <v>20077932</v>
      </c>
      <c r="P133" s="675"/>
      <c r="Q133" s="962">
        <f>SUM(Q129:Q132)</f>
        <v>22221824</v>
      </c>
      <c r="R133" s="964"/>
      <c r="S133" s="962">
        <f>SUM(S129:S131)</f>
        <v>0</v>
      </c>
      <c r="T133" s="964"/>
      <c r="U133" s="962">
        <f>SUM(U129:U131)</f>
        <v>0</v>
      </c>
      <c r="V133" s="964"/>
      <c r="W133" s="962">
        <f>SUM(W129:W131)</f>
        <v>0</v>
      </c>
    </row>
    <row r="134" spans="1:23" ht="14.5" x14ac:dyDescent="0.35">
      <c r="A134" s="684"/>
      <c r="B134" s="655"/>
      <c r="C134" s="656"/>
      <c r="D134" s="656"/>
      <c r="E134" s="657"/>
      <c r="F134" s="660" t="s">
        <v>719</v>
      </c>
      <c r="G134" s="661"/>
      <c r="H134" s="965"/>
      <c r="I134" s="966" t="e">
        <f>I133/#REF!</f>
        <v>#REF!</v>
      </c>
      <c r="J134" s="965"/>
      <c r="K134" s="966" t="e">
        <f>K133/#REF!</f>
        <v>#REF!</v>
      </c>
      <c r="L134" s="965"/>
      <c r="M134" s="966" t="e">
        <f>M133/#REF!</f>
        <v>#REF!</v>
      </c>
      <c r="N134" s="965"/>
      <c r="O134" s="966" t="e">
        <f>O133/#REF!</f>
        <v>#REF!</v>
      </c>
      <c r="P134" s="676"/>
      <c r="Q134" s="966" t="e">
        <f>Q133/#REF!</f>
        <v>#REF!</v>
      </c>
      <c r="R134" s="965"/>
      <c r="S134" s="966" t="e">
        <f>S133/#REF!</f>
        <v>#REF!</v>
      </c>
      <c r="T134" s="965"/>
      <c r="U134" s="966" t="e">
        <f>U133/#REF!</f>
        <v>#REF!</v>
      </c>
      <c r="V134" s="965"/>
      <c r="W134" s="966" t="e">
        <f>W133/#REF!</f>
        <v>#REF!</v>
      </c>
    </row>
    <row r="135" spans="1:23" ht="14.5" x14ac:dyDescent="0.35">
      <c r="A135" s="684"/>
      <c r="B135" s="655"/>
      <c r="C135" s="656"/>
      <c r="D135" s="656"/>
      <c r="E135" s="657"/>
      <c r="F135" s="660" t="s">
        <v>720</v>
      </c>
      <c r="G135" s="662"/>
      <c r="H135" s="965"/>
      <c r="I135" s="966" t="e">
        <f>I133/#REF!</f>
        <v>#REF!</v>
      </c>
      <c r="J135" s="965"/>
      <c r="K135" s="966" t="e">
        <f>K133/#REF!</f>
        <v>#REF!</v>
      </c>
      <c r="L135" s="965"/>
      <c r="M135" s="966" t="e">
        <f>M133/#REF!</f>
        <v>#REF!</v>
      </c>
      <c r="N135" s="965"/>
      <c r="O135" s="966" t="e">
        <f>O133/#REF!</f>
        <v>#REF!</v>
      </c>
      <c r="P135" s="676"/>
      <c r="Q135" s="966" t="e">
        <f>Q133/#REF!</f>
        <v>#REF!</v>
      </c>
      <c r="R135" s="965"/>
      <c r="S135" s="966" t="e">
        <f>S133/#REF!</f>
        <v>#REF!</v>
      </c>
      <c r="T135" s="965"/>
      <c r="U135" s="966" t="e">
        <f>U133/#REF!</f>
        <v>#REF!</v>
      </c>
      <c r="V135" s="965"/>
      <c r="W135" s="966" t="e">
        <f>W133/#REF!</f>
        <v>#REF!</v>
      </c>
    </row>
    <row r="136" spans="1:23" ht="14.5" x14ac:dyDescent="0.35">
      <c r="A136" s="153"/>
      <c r="B136" s="154"/>
      <c r="C136" s="155"/>
      <c r="D136" s="155"/>
      <c r="E136" s="156"/>
      <c r="F136" s="157"/>
      <c r="G136" s="211"/>
      <c r="H136" s="160"/>
      <c r="I136" s="159"/>
      <c r="J136" s="160"/>
      <c r="K136" s="159"/>
      <c r="L136" s="160"/>
      <c r="M136" s="159"/>
      <c r="N136" s="160"/>
      <c r="O136" s="159"/>
      <c r="P136" s="158"/>
      <c r="Q136" s="159"/>
      <c r="R136" s="160"/>
      <c r="S136" s="159"/>
      <c r="T136" s="160"/>
      <c r="U136" s="159"/>
      <c r="V136" s="160"/>
      <c r="W136" s="159"/>
    </row>
    <row r="137" spans="1:23" ht="14.5" x14ac:dyDescent="0.35">
      <c r="A137" s="3764" t="s">
        <v>721</v>
      </c>
      <c r="B137" s="3765"/>
      <c r="C137" s="12"/>
      <c r="D137" s="12"/>
      <c r="E137" s="12"/>
      <c r="F137" s="12"/>
      <c r="G137" s="13"/>
      <c r="H137" s="21"/>
      <c r="I137" s="21"/>
      <c r="J137" s="21"/>
      <c r="K137" s="21"/>
      <c r="L137" s="21"/>
      <c r="M137" s="21"/>
      <c r="N137" s="21"/>
      <c r="O137" s="21"/>
      <c r="P137" s="42"/>
      <c r="Q137" s="21"/>
      <c r="R137" s="21"/>
      <c r="S137" s="21"/>
      <c r="T137" s="21"/>
      <c r="U137" s="21"/>
      <c r="V137" s="21"/>
      <c r="W137" s="21"/>
    </row>
    <row r="138" spans="1:23" ht="14.5" x14ac:dyDescent="0.35">
      <c r="A138" s="1124"/>
      <c r="B138" s="641"/>
      <c r="C138" s="1125"/>
      <c r="D138" s="1125"/>
      <c r="E138" s="1125"/>
      <c r="F138" s="1125"/>
      <c r="G138" s="1126"/>
      <c r="H138" s="1127"/>
      <c r="I138" s="1127"/>
      <c r="J138" s="1127"/>
      <c r="K138" s="1127"/>
      <c r="L138" s="1127"/>
      <c r="M138" s="1127"/>
      <c r="N138" s="1127"/>
      <c r="O138" s="1127"/>
      <c r="P138" s="1128"/>
      <c r="Q138" s="1127"/>
      <c r="R138" s="1127"/>
      <c r="S138" s="1127"/>
      <c r="T138" s="1127"/>
      <c r="U138" s="1127"/>
      <c r="V138" s="1127"/>
      <c r="W138" s="1127"/>
    </row>
    <row r="139" spans="1:23" ht="14.5" x14ac:dyDescent="0.35">
      <c r="A139" s="1124"/>
      <c r="B139" s="641"/>
      <c r="C139" s="1125"/>
      <c r="D139" s="1125"/>
      <c r="E139" s="1125"/>
      <c r="F139" s="1125"/>
      <c r="G139" s="1126"/>
      <c r="H139" s="1127"/>
      <c r="I139" s="1127"/>
      <c r="J139" s="1127"/>
      <c r="K139" s="1127"/>
      <c r="L139" s="1127"/>
      <c r="M139" s="1127"/>
      <c r="N139" s="1127"/>
      <c r="O139" s="1127"/>
      <c r="P139" s="1128"/>
      <c r="Q139" s="1127"/>
      <c r="R139" s="1127"/>
      <c r="S139" s="1127"/>
      <c r="T139" s="1127"/>
      <c r="U139" s="1127"/>
      <c r="V139" s="1127"/>
      <c r="W139" s="1127"/>
    </row>
    <row r="140" spans="1:23" ht="14.5" x14ac:dyDescent="0.35">
      <c r="A140" s="1124"/>
      <c r="B140" s="641"/>
      <c r="C140" s="1125"/>
      <c r="D140" s="1125"/>
      <c r="E140" s="1125"/>
      <c r="F140" s="1125"/>
      <c r="G140" s="1126"/>
      <c r="H140" s="1127"/>
      <c r="I140" s="1127"/>
      <c r="J140" s="1127"/>
      <c r="K140" s="1127"/>
      <c r="L140" s="1127"/>
      <c r="M140" s="1127"/>
      <c r="N140" s="1127"/>
      <c r="O140" s="1127"/>
      <c r="P140" s="1128"/>
      <c r="Q140" s="1127"/>
      <c r="R140" s="1127"/>
      <c r="S140" s="1127"/>
      <c r="T140" s="1127"/>
      <c r="U140" s="1127"/>
      <c r="V140" s="1127"/>
      <c r="W140" s="1127"/>
    </row>
    <row r="141" spans="1:23" ht="14.5" x14ac:dyDescent="0.35">
      <c r="A141" s="3764" t="s">
        <v>722</v>
      </c>
      <c r="B141" s="3765"/>
      <c r="C141" s="12"/>
      <c r="D141" s="12"/>
      <c r="E141" s="12"/>
      <c r="F141" s="12"/>
      <c r="G141" s="13"/>
      <c r="H141" s="21"/>
      <c r="I141" s="21"/>
      <c r="J141" s="21"/>
      <c r="K141" s="21"/>
      <c r="L141" s="21"/>
      <c r="M141" s="21"/>
      <c r="N141" s="21"/>
      <c r="O141" s="21"/>
      <c r="P141" s="42"/>
      <c r="Q141" s="21"/>
      <c r="R141" s="21"/>
      <c r="S141" s="21"/>
      <c r="T141" s="21"/>
      <c r="U141" s="21"/>
      <c r="V141" s="21"/>
      <c r="W141" s="21"/>
    </row>
    <row r="142" spans="1:23" ht="14.5" x14ac:dyDescent="0.35">
      <c r="A142" s="1124"/>
      <c r="B142" s="641"/>
      <c r="C142" s="1125"/>
      <c r="D142" s="1125"/>
      <c r="E142" s="1125"/>
      <c r="F142" s="1125"/>
      <c r="G142" s="1126"/>
      <c r="H142" s="1127"/>
      <c r="I142" s="1127"/>
      <c r="J142" s="1127"/>
      <c r="K142" s="1127"/>
      <c r="L142" s="1127"/>
      <c r="M142" s="1127"/>
      <c r="N142" s="1127"/>
      <c r="O142" s="1127"/>
      <c r="P142" s="1128"/>
      <c r="Q142" s="1127"/>
      <c r="R142" s="1127"/>
      <c r="S142" s="1127"/>
      <c r="T142" s="1127"/>
      <c r="U142" s="1127"/>
      <c r="V142" s="1127"/>
      <c r="W142" s="1127"/>
    </row>
    <row r="143" spans="1:23" ht="14.5" x14ac:dyDescent="0.35">
      <c r="A143" s="1124"/>
      <c r="B143" s="641"/>
      <c r="C143" s="1125"/>
      <c r="D143" s="1125"/>
      <c r="E143" s="1125"/>
      <c r="F143" s="1125"/>
      <c r="G143" s="1126"/>
      <c r="H143" s="1127"/>
      <c r="I143" s="1127"/>
      <c r="J143" s="1127"/>
      <c r="K143" s="1127"/>
      <c r="L143" s="1127"/>
      <c r="M143" s="1127"/>
      <c r="N143" s="1127"/>
      <c r="O143" s="1127"/>
      <c r="P143" s="1128"/>
      <c r="Q143" s="1127"/>
      <c r="R143" s="1127"/>
      <c r="S143" s="1127"/>
      <c r="T143" s="1127"/>
      <c r="U143" s="1127"/>
      <c r="V143" s="1127"/>
      <c r="W143" s="1127"/>
    </row>
    <row r="144" spans="1:23" ht="14.5" x14ac:dyDescent="0.35">
      <c r="A144" s="1124"/>
      <c r="B144" s="641"/>
      <c r="C144" s="1125"/>
      <c r="D144" s="1125"/>
      <c r="E144" s="1125"/>
      <c r="F144" s="1125"/>
      <c r="G144" s="1126"/>
      <c r="H144" s="1127"/>
      <c r="I144" s="1127"/>
      <c r="J144" s="1127"/>
      <c r="K144" s="1127"/>
      <c r="L144" s="1127"/>
      <c r="M144" s="1127"/>
      <c r="N144" s="1127"/>
      <c r="O144" s="1127"/>
      <c r="P144" s="1128"/>
      <c r="Q144" s="1127"/>
      <c r="R144" s="1127"/>
      <c r="S144" s="1127"/>
      <c r="T144" s="1127"/>
      <c r="U144" s="1127"/>
      <c r="V144" s="1127"/>
      <c r="W144" s="1127"/>
    </row>
    <row r="145" spans="1:23" ht="14.5" x14ac:dyDescent="0.35">
      <c r="A145" s="3764" t="s">
        <v>723</v>
      </c>
      <c r="B145" s="3765"/>
      <c r="C145" s="12"/>
      <c r="D145" s="12"/>
      <c r="E145" s="12"/>
      <c r="F145" s="12"/>
      <c r="G145" s="13"/>
      <c r="H145" s="21"/>
      <c r="I145" s="21"/>
      <c r="J145" s="21"/>
      <c r="K145" s="21"/>
      <c r="L145" s="21"/>
      <c r="M145" s="21"/>
      <c r="N145" s="21"/>
      <c r="O145" s="21"/>
      <c r="P145" s="42"/>
      <c r="Q145" s="21"/>
      <c r="R145" s="21"/>
      <c r="S145" s="21"/>
      <c r="T145" s="21"/>
      <c r="U145" s="21"/>
      <c r="V145" s="21"/>
      <c r="W145" s="21"/>
    </row>
    <row r="146" spans="1:23" ht="14.5" x14ac:dyDescent="0.35">
      <c r="A146" s="1124"/>
      <c r="B146" s="641"/>
      <c r="C146" s="1125"/>
      <c r="D146" s="1125"/>
      <c r="E146" s="1125"/>
      <c r="F146" s="1125"/>
      <c r="G146" s="1126"/>
      <c r="H146" s="1127"/>
      <c r="I146" s="1127"/>
      <c r="J146" s="1127"/>
      <c r="K146" s="1127"/>
      <c r="L146" s="1127"/>
      <c r="M146" s="1127"/>
      <c r="N146" s="1127"/>
      <c r="O146" s="1127"/>
      <c r="P146" s="1128"/>
      <c r="Q146" s="1127"/>
      <c r="R146" s="1127"/>
      <c r="S146" s="1127"/>
      <c r="T146" s="1127"/>
      <c r="U146" s="1127"/>
      <c r="V146" s="1127"/>
      <c r="W146" s="1127"/>
    </row>
    <row r="147" spans="1:23" ht="14.5" x14ac:dyDescent="0.35">
      <c r="A147" s="689"/>
      <c r="B147" s="641"/>
      <c r="C147" s="642"/>
      <c r="D147" s="642"/>
      <c r="E147" s="642"/>
      <c r="F147" s="642"/>
      <c r="G147" s="646"/>
      <c r="H147" s="973"/>
      <c r="I147" s="973"/>
      <c r="J147" s="973"/>
      <c r="K147" s="973"/>
      <c r="L147" s="973"/>
      <c r="M147" s="973"/>
      <c r="N147" s="973"/>
      <c r="O147" s="973"/>
      <c r="P147" s="664"/>
      <c r="Q147" s="973"/>
      <c r="R147" s="973"/>
      <c r="S147" s="973"/>
      <c r="T147" s="973"/>
      <c r="U147" s="973"/>
      <c r="V147" s="973"/>
      <c r="W147" s="973"/>
    </row>
    <row r="148" spans="1:23" s="2" customFormat="1" ht="14.5" x14ac:dyDescent="0.35">
      <c r="A148" s="686"/>
      <c r="B148" s="665"/>
      <c r="C148" s="642"/>
      <c r="D148" s="642"/>
      <c r="E148" s="642"/>
      <c r="F148" s="642"/>
      <c r="G148" s="646"/>
      <c r="H148" s="974"/>
      <c r="I148" s="974"/>
      <c r="J148" s="974"/>
      <c r="K148" s="974"/>
      <c r="L148" s="974"/>
      <c r="M148" s="974"/>
      <c r="N148" s="974"/>
      <c r="O148" s="974"/>
      <c r="P148" s="666"/>
      <c r="Q148" s="974"/>
      <c r="R148" s="974"/>
      <c r="S148" s="974"/>
      <c r="T148" s="974"/>
      <c r="U148" s="974"/>
      <c r="V148" s="974"/>
      <c r="W148" s="974"/>
    </row>
    <row r="149" spans="1:23" ht="14.5" x14ac:dyDescent="0.35">
      <c r="A149" s="3764" t="s">
        <v>724</v>
      </c>
      <c r="B149" s="3765"/>
      <c r="C149" s="12"/>
      <c r="D149" s="12"/>
      <c r="E149" s="12"/>
      <c r="F149" s="12"/>
      <c r="G149" s="13"/>
      <c r="H149" s="21"/>
      <c r="I149" s="21"/>
      <c r="J149" s="21"/>
      <c r="K149" s="21"/>
      <c r="L149" s="21"/>
      <c r="M149" s="21"/>
      <c r="N149" s="21"/>
      <c r="O149" s="21"/>
      <c r="P149" s="42"/>
      <c r="Q149" s="21"/>
      <c r="R149" s="21"/>
      <c r="S149" s="21"/>
      <c r="T149" s="21"/>
      <c r="U149" s="21"/>
      <c r="V149" s="21"/>
      <c r="W149" s="21"/>
    </row>
    <row r="150" spans="1:23" s="2" customFormat="1" ht="14.5" x14ac:dyDescent="0.35">
      <c r="A150" s="1129"/>
      <c r="B150" s="1130"/>
      <c r="C150" s="1125"/>
      <c r="D150" s="1125"/>
      <c r="E150" s="1125"/>
      <c r="F150" s="1125"/>
      <c r="G150" s="1126"/>
      <c r="H150" s="1127"/>
      <c r="I150" s="1127"/>
      <c r="J150" s="1127"/>
      <c r="K150" s="1127"/>
      <c r="L150" s="1127"/>
      <c r="M150" s="1127"/>
      <c r="N150" s="1127"/>
      <c r="O150" s="1127"/>
      <c r="P150" s="1128"/>
      <c r="Q150" s="1127"/>
      <c r="R150" s="1127"/>
      <c r="S150" s="1127"/>
      <c r="T150" s="1127"/>
      <c r="U150" s="1127"/>
      <c r="V150" s="1127"/>
      <c r="W150" s="1127"/>
    </row>
    <row r="151" spans="1:23" s="2" customFormat="1" ht="14.5" x14ac:dyDescent="0.35">
      <c r="A151" s="686"/>
      <c r="B151" s="665"/>
      <c r="C151" s="642"/>
      <c r="D151" s="642"/>
      <c r="E151" s="642"/>
      <c r="F151" s="642"/>
      <c r="G151" s="646"/>
      <c r="H151" s="977"/>
      <c r="I151" s="977"/>
      <c r="J151" s="977"/>
      <c r="K151" s="977"/>
      <c r="L151" s="977"/>
      <c r="M151" s="977"/>
      <c r="N151" s="977"/>
      <c r="O151" s="977"/>
      <c r="P151" s="667"/>
      <c r="Q151" s="977"/>
      <c r="R151" s="977"/>
      <c r="S151" s="977"/>
      <c r="T151" s="977"/>
      <c r="U151" s="977"/>
      <c r="V151" s="977"/>
      <c r="W151" s="977"/>
    </row>
    <row r="152" spans="1:23" s="2" customFormat="1" ht="14.5" x14ac:dyDescent="0.35">
      <c r="A152" s="686"/>
      <c r="B152" s="665"/>
      <c r="C152" s="642"/>
      <c r="D152" s="642"/>
      <c r="E152" s="642"/>
      <c r="F152" s="642"/>
      <c r="G152" s="646"/>
      <c r="H152" s="977"/>
      <c r="I152" s="977"/>
      <c r="J152" s="977"/>
      <c r="K152" s="977"/>
      <c r="L152" s="977"/>
      <c r="M152" s="977"/>
      <c r="N152" s="977"/>
      <c r="O152" s="977"/>
      <c r="P152" s="667"/>
      <c r="Q152" s="977"/>
      <c r="R152" s="977"/>
      <c r="S152" s="977"/>
      <c r="T152" s="977"/>
      <c r="U152" s="977"/>
      <c r="V152" s="977"/>
      <c r="W152" s="977"/>
    </row>
    <row r="153" spans="1:23" ht="14.5" x14ac:dyDescent="0.35">
      <c r="A153" s="3764" t="s">
        <v>870</v>
      </c>
      <c r="B153" s="3765"/>
      <c r="C153" s="12"/>
      <c r="D153" s="12"/>
      <c r="E153" s="12"/>
      <c r="F153" s="12"/>
      <c r="G153" s="13"/>
      <c r="H153" s="21"/>
      <c r="I153" s="21"/>
      <c r="J153" s="21"/>
      <c r="K153" s="21"/>
      <c r="L153" s="21"/>
      <c r="M153" s="21"/>
      <c r="N153" s="21"/>
      <c r="O153" s="21"/>
      <c r="P153" s="42"/>
      <c r="Q153" s="21"/>
      <c r="R153" s="21"/>
      <c r="S153" s="21"/>
      <c r="T153" s="1131"/>
      <c r="U153" s="1131"/>
      <c r="V153" s="1131"/>
      <c r="W153" s="1131"/>
    </row>
    <row r="154" spans="1:23" ht="14.5" x14ac:dyDescent="0.35">
      <c r="A154" s="689"/>
      <c r="B154" s="641"/>
      <c r="C154" s="642"/>
      <c r="D154" s="642"/>
      <c r="E154" s="642"/>
      <c r="F154" s="1043"/>
      <c r="G154" s="646"/>
      <c r="H154" s="977"/>
      <c r="I154" s="977"/>
      <c r="J154" s="977"/>
      <c r="K154" s="977"/>
      <c r="L154" s="977"/>
      <c r="M154" s="977"/>
      <c r="N154" s="977"/>
      <c r="O154" s="977"/>
      <c r="P154" s="667"/>
      <c r="Q154" s="654"/>
      <c r="R154" s="977"/>
      <c r="S154" s="977"/>
      <c r="T154" s="977"/>
      <c r="U154" s="977"/>
      <c r="V154" s="977"/>
      <c r="W154" s="977"/>
    </row>
    <row r="155" spans="1:23" ht="14.5" x14ac:dyDescent="0.35">
      <c r="A155" s="689"/>
      <c r="B155" s="641"/>
      <c r="C155" s="642"/>
      <c r="D155" s="642"/>
      <c r="E155" s="642"/>
      <c r="F155" s="1043"/>
      <c r="G155" s="646"/>
      <c r="H155" s="977"/>
      <c r="I155" s="977"/>
      <c r="J155" s="977"/>
      <c r="K155" s="977"/>
      <c r="L155" s="977"/>
      <c r="M155" s="977"/>
      <c r="N155" s="977"/>
      <c r="O155" s="977"/>
      <c r="P155" s="667"/>
      <c r="Q155" s="654"/>
      <c r="R155" s="977"/>
      <c r="S155" s="977"/>
      <c r="T155" s="977"/>
      <c r="U155" s="977"/>
      <c r="V155" s="977"/>
      <c r="W155" s="977"/>
    </row>
    <row r="156" spans="1:23" ht="14.5" x14ac:dyDescent="0.35">
      <c r="A156" s="689"/>
      <c r="B156" s="641"/>
      <c r="C156" s="642"/>
      <c r="D156" s="642"/>
      <c r="E156" s="642"/>
      <c r="F156" s="1043"/>
      <c r="G156" s="646"/>
      <c r="H156" s="977"/>
      <c r="I156" s="977"/>
      <c r="J156" s="977"/>
      <c r="K156" s="977"/>
      <c r="L156" s="977"/>
      <c r="M156" s="977"/>
      <c r="N156" s="977"/>
      <c r="O156" s="977"/>
      <c r="P156" s="667"/>
      <c r="Q156" s="654"/>
      <c r="R156" s="977"/>
      <c r="S156" s="977"/>
      <c r="T156" s="977"/>
      <c r="U156" s="977"/>
      <c r="V156" s="977"/>
      <c r="W156" s="977"/>
    </row>
    <row r="157" spans="1:23" ht="14.5" x14ac:dyDescent="0.35">
      <c r="A157" s="689"/>
      <c r="B157" s="641"/>
      <c r="C157" s="642"/>
      <c r="D157" s="642"/>
      <c r="E157" s="642"/>
      <c r="F157" s="654"/>
      <c r="G157" s="646"/>
      <c r="H157" s="977"/>
      <c r="I157" s="977"/>
      <c r="J157" s="977"/>
      <c r="K157" s="977"/>
      <c r="L157" s="977"/>
      <c r="M157" s="977"/>
      <c r="N157" s="977"/>
      <c r="O157" s="977"/>
      <c r="P157" s="667"/>
      <c r="Q157" s="654"/>
      <c r="R157" s="977"/>
      <c r="S157" s="977"/>
      <c r="T157" s="977"/>
      <c r="U157" s="977"/>
      <c r="V157" s="977"/>
      <c r="W157" s="977"/>
    </row>
    <row r="158" spans="1:23" ht="14.5" x14ac:dyDescent="0.35">
      <c r="A158" s="978"/>
      <c r="B158" s="939"/>
      <c r="C158" s="940"/>
      <c r="D158" s="940"/>
      <c r="E158" s="940"/>
      <c r="F158" s="1043"/>
      <c r="G158" s="1039"/>
      <c r="H158" s="981"/>
      <c r="I158" s="981"/>
      <c r="J158" s="981"/>
      <c r="K158" s="981"/>
      <c r="L158" s="981"/>
      <c r="M158" s="981"/>
      <c r="N158" s="981"/>
      <c r="O158" s="981"/>
      <c r="P158" s="980"/>
      <c r="Q158" s="981"/>
      <c r="R158" s="981"/>
      <c r="S158" s="981"/>
      <c r="T158" s="981"/>
      <c r="U158" s="981"/>
      <c r="V158" s="981"/>
      <c r="W158" s="981"/>
    </row>
    <row r="159" spans="1:23" ht="14.5" x14ac:dyDescent="0.35">
      <c r="A159" s="3764" t="s">
        <v>725</v>
      </c>
      <c r="B159" s="3765"/>
      <c r="C159" s="12"/>
      <c r="D159" s="12"/>
      <c r="E159" s="12"/>
      <c r="F159" s="12"/>
      <c r="G159" s="13"/>
      <c r="H159" s="21"/>
      <c r="I159" s="21"/>
      <c r="J159" s="21"/>
      <c r="K159" s="21"/>
      <c r="L159" s="21"/>
      <c r="M159" s="21"/>
      <c r="N159" s="21"/>
      <c r="O159" s="21"/>
      <c r="P159" s="42"/>
      <c r="Q159" s="21"/>
      <c r="R159" s="21"/>
      <c r="S159" s="21"/>
      <c r="T159" s="1131"/>
      <c r="U159" s="1131"/>
      <c r="V159" s="1131"/>
      <c r="W159" s="1131"/>
    </row>
    <row r="160" spans="1:23" ht="14.5" x14ac:dyDescent="0.35">
      <c r="A160" s="689"/>
      <c r="B160" s="641" t="s">
        <v>726</v>
      </c>
      <c r="C160" s="642"/>
      <c r="D160" s="642"/>
      <c r="E160" s="642"/>
      <c r="F160" s="642"/>
      <c r="G160" s="646"/>
      <c r="H160" s="977"/>
      <c r="I160" s="977"/>
      <c r="J160" s="977"/>
      <c r="K160" s="977"/>
      <c r="L160" s="977"/>
      <c r="M160" s="977"/>
      <c r="N160" s="977"/>
      <c r="O160" s="977"/>
      <c r="P160" s="667"/>
      <c r="Q160" s="977"/>
      <c r="R160" s="977"/>
      <c r="S160" s="977"/>
      <c r="T160" s="977"/>
      <c r="U160" s="977"/>
      <c r="V160" s="977"/>
      <c r="W160" s="977"/>
    </row>
    <row r="161" spans="1:23" ht="14.5" x14ac:dyDescent="0.35">
      <c r="A161" s="689"/>
      <c r="B161" s="641" t="s">
        <v>727</v>
      </c>
      <c r="C161" s="642"/>
      <c r="D161" s="642"/>
      <c r="E161" s="642"/>
      <c r="F161" s="642"/>
      <c r="G161" s="646"/>
      <c r="H161" s="977"/>
      <c r="I161" s="977"/>
      <c r="J161" s="977"/>
      <c r="K161" s="977"/>
      <c r="L161" s="977"/>
      <c r="M161" s="977"/>
      <c r="N161" s="977"/>
      <c r="O161" s="977"/>
      <c r="P161" s="667"/>
      <c r="Q161" s="977"/>
      <c r="R161" s="977"/>
      <c r="S161" s="977"/>
      <c r="T161" s="977"/>
      <c r="U161" s="977"/>
      <c r="V161" s="977"/>
      <c r="W161" s="977"/>
    </row>
    <row r="162" spans="1:23" ht="14.5" x14ac:dyDescent="0.35">
      <c r="A162" s="689"/>
      <c r="B162" s="641" t="s">
        <v>728</v>
      </c>
      <c r="C162" s="642"/>
      <c r="D162" s="642"/>
      <c r="E162" s="642"/>
      <c r="F162" s="642"/>
      <c r="G162" s="646"/>
      <c r="H162" s="977"/>
      <c r="I162" s="977"/>
      <c r="J162" s="977"/>
      <c r="K162" s="977"/>
      <c r="L162" s="977"/>
      <c r="M162" s="977"/>
      <c r="N162" s="977"/>
      <c r="O162" s="977"/>
      <c r="P162" s="667"/>
      <c r="Q162" s="977"/>
      <c r="R162" s="977"/>
      <c r="S162" s="977"/>
      <c r="T162" s="977"/>
      <c r="U162" s="977"/>
      <c r="V162" s="977"/>
      <c r="W162" s="977"/>
    </row>
    <row r="163" spans="1:23" ht="14.5" x14ac:dyDescent="0.35">
      <c r="A163" s="689"/>
      <c r="B163" s="641" t="s">
        <v>729</v>
      </c>
      <c r="C163" s="642"/>
      <c r="D163" s="642"/>
      <c r="E163" s="642"/>
      <c r="F163" s="642"/>
      <c r="G163" s="646"/>
      <c r="H163" s="977"/>
      <c r="I163" s="977"/>
      <c r="J163" s="977"/>
      <c r="K163" s="977"/>
      <c r="L163" s="977"/>
      <c r="M163" s="977"/>
      <c r="N163" s="977"/>
      <c r="O163" s="977"/>
      <c r="P163" s="667"/>
      <c r="Q163" s="977"/>
      <c r="R163" s="977"/>
      <c r="S163" s="977"/>
      <c r="T163" s="977"/>
      <c r="U163" s="977"/>
      <c r="V163" s="977"/>
      <c r="W163" s="977"/>
    </row>
    <row r="164" spans="1:23" ht="14.5" x14ac:dyDescent="0.35">
      <c r="A164" s="978"/>
      <c r="B164" s="939"/>
      <c r="C164" s="940"/>
      <c r="D164" s="940"/>
      <c r="E164" s="940"/>
      <c r="F164" s="940"/>
      <c r="G164" s="1039"/>
      <c r="H164" s="981"/>
      <c r="I164" s="981"/>
      <c r="J164" s="981"/>
      <c r="K164" s="981"/>
      <c r="L164" s="981"/>
      <c r="M164" s="981"/>
      <c r="N164" s="981"/>
      <c r="O164" s="981"/>
      <c r="P164" s="980"/>
      <c r="Q164" s="981"/>
      <c r="R164" s="981"/>
      <c r="S164" s="981"/>
      <c r="T164" s="981"/>
      <c r="U164" s="981"/>
      <c r="V164" s="981"/>
      <c r="W164" s="981"/>
    </row>
    <row r="165" spans="1:23" ht="14.5" x14ac:dyDescent="0.35">
      <c r="A165" s="7" t="s">
        <v>730</v>
      </c>
      <c r="B165" s="8"/>
      <c r="C165" s="12"/>
      <c r="D165" s="12"/>
      <c r="E165" s="12"/>
      <c r="F165" s="12"/>
      <c r="G165" s="13"/>
      <c r="H165" s="21"/>
      <c r="I165" s="21"/>
      <c r="J165" s="21"/>
      <c r="K165" s="21"/>
      <c r="L165" s="21"/>
      <c r="M165" s="21"/>
      <c r="N165" s="21"/>
      <c r="O165" s="21"/>
      <c r="P165" s="42"/>
      <c r="Q165" s="21"/>
      <c r="R165" s="21"/>
      <c r="S165" s="21"/>
      <c r="T165" s="21"/>
      <c r="U165" s="21"/>
      <c r="V165" s="21"/>
      <c r="W165" s="21"/>
    </row>
    <row r="166" spans="1:23" ht="14.5" x14ac:dyDescent="0.35">
      <c r="A166" s="1124"/>
      <c r="B166" s="1132" t="s">
        <v>731</v>
      </c>
      <c r="C166" s="1125"/>
      <c r="D166" s="1125"/>
      <c r="E166" s="1125"/>
      <c r="F166" s="1125"/>
      <c r="G166" s="1126"/>
      <c r="H166" s="1133"/>
      <c r="I166" s="1133"/>
      <c r="J166" s="1133"/>
      <c r="K166" s="1133"/>
      <c r="L166" s="1133"/>
      <c r="M166" s="1133"/>
      <c r="N166" s="1133"/>
      <c r="O166" s="1133"/>
      <c r="P166" s="1064"/>
      <c r="Q166" s="1133"/>
      <c r="R166" s="1133"/>
      <c r="S166" s="1133"/>
      <c r="T166" s="1133"/>
      <c r="U166" s="1133"/>
      <c r="V166" s="1133"/>
      <c r="W166" s="1133"/>
    </row>
    <row r="167" spans="1:23" ht="14.5" x14ac:dyDescent="0.35">
      <c r="A167" s="689"/>
      <c r="B167" s="641" t="s">
        <v>732</v>
      </c>
      <c r="C167" s="642"/>
      <c r="D167" s="642"/>
      <c r="E167" s="642"/>
      <c r="F167" s="642"/>
      <c r="G167" s="646"/>
      <c r="H167" s="984"/>
      <c r="I167" s="984"/>
      <c r="J167" s="984"/>
      <c r="K167" s="984"/>
      <c r="L167" s="984"/>
      <c r="M167" s="984"/>
      <c r="N167" s="984"/>
      <c r="O167" s="984"/>
      <c r="P167" s="668"/>
      <c r="Q167" s="984"/>
      <c r="R167" s="984"/>
      <c r="S167" s="984"/>
      <c r="T167" s="984"/>
      <c r="U167" s="984"/>
      <c r="V167" s="984"/>
      <c r="W167" s="984"/>
    </row>
    <row r="168" spans="1:23" ht="14.5" x14ac:dyDescent="0.35">
      <c r="A168" s="985"/>
      <c r="B168" s="986" t="s">
        <v>733</v>
      </c>
      <c r="C168" s="987"/>
      <c r="D168" s="987"/>
      <c r="E168" s="987"/>
      <c r="F168" s="987"/>
      <c r="G168" s="1040"/>
      <c r="H168" s="990"/>
      <c r="I168" s="990"/>
      <c r="J168" s="990"/>
      <c r="K168" s="990"/>
      <c r="L168" s="990"/>
      <c r="M168" s="990"/>
      <c r="N168" s="990"/>
      <c r="O168" s="990"/>
      <c r="P168" s="989"/>
      <c r="Q168" s="990"/>
      <c r="R168" s="990"/>
      <c r="S168" s="990"/>
      <c r="T168" s="990"/>
      <c r="U168" s="990"/>
      <c r="V168" s="990"/>
      <c r="W168" s="990"/>
    </row>
    <row r="170" spans="1:23" ht="14.5" x14ac:dyDescent="0.35">
      <c r="A170" s="78" t="s">
        <v>734</v>
      </c>
      <c r="B170" s="80"/>
      <c r="C170" s="2" t="s">
        <v>747</v>
      </c>
      <c r="D170" s="2" t="s">
        <v>80</v>
      </c>
      <c r="E170" s="2" t="s">
        <v>429</v>
      </c>
      <c r="F170" s="2" t="s">
        <v>746</v>
      </c>
    </row>
    <row r="171" spans="1:23" ht="14.5" x14ac:dyDescent="0.35">
      <c r="A171" s="79" t="s">
        <v>632</v>
      </c>
      <c r="B171" s="991" t="str">
        <f>H4</f>
        <v>Formcrete</v>
      </c>
    </row>
    <row r="172" spans="1:23" ht="14.5" x14ac:dyDescent="0.35">
      <c r="A172" s="687" t="s">
        <v>636</v>
      </c>
      <c r="B172" s="991" t="str">
        <f>H5</f>
        <v xml:space="preserve">Mujo </v>
      </c>
    </row>
    <row r="173" spans="1:23" ht="14.5" x14ac:dyDescent="0.35">
      <c r="A173" s="992" t="s">
        <v>639</v>
      </c>
      <c r="B173" s="993" t="str">
        <f>H6</f>
        <v>954-609-8102</v>
      </c>
    </row>
    <row r="174" spans="1:23" ht="14.5" x14ac:dyDescent="0.35">
      <c r="A174" s="992" t="s">
        <v>642</v>
      </c>
      <c r="B174" s="994" t="str">
        <f>H7</f>
        <v>maksu@formcrete.net</v>
      </c>
    </row>
    <row r="175" spans="1:23" ht="14.5" x14ac:dyDescent="0.35">
      <c r="A175" s="995" t="s">
        <v>735</v>
      </c>
      <c r="B175" s="1134">
        <f>I36+I41+I81</f>
        <v>18970000</v>
      </c>
      <c r="C175" s="325"/>
      <c r="D175" s="344">
        <f>I37+I40</f>
        <v>1040000</v>
      </c>
      <c r="E175" s="344">
        <f>I38</f>
        <v>340000</v>
      </c>
      <c r="F175" s="344">
        <f>I46+I42+I39</f>
        <v>120000</v>
      </c>
    </row>
    <row r="177" spans="1:2" ht="14.5" x14ac:dyDescent="0.35">
      <c r="A177" s="81"/>
      <c r="B177" s="1" t="s">
        <v>736</v>
      </c>
    </row>
    <row r="178" spans="1:2" ht="14.5" x14ac:dyDescent="0.35">
      <c r="A178" s="82"/>
      <c r="B178" s="1" t="s">
        <v>737</v>
      </c>
    </row>
  </sheetData>
  <mergeCells count="63">
    <mergeCell ref="J7:K7"/>
    <mergeCell ref="J8:K8"/>
    <mergeCell ref="J2:K2"/>
    <mergeCell ref="J3:K3"/>
    <mergeCell ref="J4:K4"/>
    <mergeCell ref="J5:K5"/>
    <mergeCell ref="J6:K6"/>
    <mergeCell ref="P7:Q7"/>
    <mergeCell ref="P8:Q8"/>
    <mergeCell ref="L4:M4"/>
    <mergeCell ref="L5:M5"/>
    <mergeCell ref="L6:M6"/>
    <mergeCell ref="L7:M7"/>
    <mergeCell ref="L8:M8"/>
    <mergeCell ref="N7:O7"/>
    <mergeCell ref="N8:O8"/>
    <mergeCell ref="V7:W7"/>
    <mergeCell ref="V8:W8"/>
    <mergeCell ref="P2:Q2"/>
    <mergeCell ref="L2:M2"/>
    <mergeCell ref="H2:I2"/>
    <mergeCell ref="R2:S2"/>
    <mergeCell ref="P3:Q3"/>
    <mergeCell ref="L3:M3"/>
    <mergeCell ref="H3:I3"/>
    <mergeCell ref="R3:S3"/>
    <mergeCell ref="H4:I4"/>
    <mergeCell ref="H5:I5"/>
    <mergeCell ref="H6:I6"/>
    <mergeCell ref="H7:I7"/>
    <mergeCell ref="P4:Q4"/>
    <mergeCell ref="P5:Q5"/>
    <mergeCell ref="V2:W2"/>
    <mergeCell ref="V3:W3"/>
    <mergeCell ref="V4:W4"/>
    <mergeCell ref="V5:W5"/>
    <mergeCell ref="V6:W6"/>
    <mergeCell ref="A159:B159"/>
    <mergeCell ref="A153:B153"/>
    <mergeCell ref="H8:I8"/>
    <mergeCell ref="T2:U2"/>
    <mergeCell ref="T3:U3"/>
    <mergeCell ref="T4:U4"/>
    <mergeCell ref="T5:U5"/>
    <mergeCell ref="T6:U6"/>
    <mergeCell ref="T7:U7"/>
    <mergeCell ref="T8:U8"/>
    <mergeCell ref="R4:S4"/>
    <mergeCell ref="R5:S5"/>
    <mergeCell ref="R6:S6"/>
    <mergeCell ref="R7:S7"/>
    <mergeCell ref="R8:S8"/>
    <mergeCell ref="P6:Q6"/>
    <mergeCell ref="E132:F132"/>
    <mergeCell ref="A141:B141"/>
    <mergeCell ref="A137:B137"/>
    <mergeCell ref="A145:B145"/>
    <mergeCell ref="A149:B149"/>
    <mergeCell ref="N2:O2"/>
    <mergeCell ref="N3:O3"/>
    <mergeCell ref="N4:O4"/>
    <mergeCell ref="N5:O5"/>
    <mergeCell ref="N6:O6"/>
  </mergeCells>
  <conditionalFormatting sqref="H20:H32">
    <cfRule type="cellIs" dxfId="2953" priority="19" operator="equal">
      <formula>"X"</formula>
    </cfRule>
    <cfRule type="cellIs" dxfId="2952" priority="20" operator="equal">
      <formula>"I"</formula>
    </cfRule>
  </conditionalFormatting>
  <conditionalFormatting sqref="J20:J32">
    <cfRule type="cellIs" dxfId="2951" priority="1" operator="equal">
      <formula>"X"</formula>
    </cfRule>
    <cfRule type="cellIs" dxfId="2950" priority="2" operator="equal">
      <formula>"I"</formula>
    </cfRule>
  </conditionalFormatting>
  <conditionalFormatting sqref="J34:J128">
    <cfRule type="cellIs" dxfId="2949" priority="3" operator="equal">
      <formula>"X"</formula>
    </cfRule>
    <cfRule type="cellIs" dxfId="2948" priority="4" operator="equal">
      <formula>"I"</formula>
    </cfRule>
  </conditionalFormatting>
  <conditionalFormatting sqref="L20:L32 H34:H128 L34:L128 P34:P128 R34:R128 T34:T128 V34:V128">
    <cfRule type="cellIs" dxfId="2947" priority="33" operator="equal">
      <formula>"X"</formula>
    </cfRule>
    <cfRule type="cellIs" dxfId="2946" priority="34" operator="equal">
      <formula>"I"</formula>
    </cfRule>
  </conditionalFormatting>
  <conditionalFormatting sqref="N20:N32">
    <cfRule type="cellIs" dxfId="2945" priority="13" operator="equal">
      <formula>"X"</formula>
    </cfRule>
    <cfRule type="cellIs" dxfId="2944" priority="14" operator="equal">
      <formula>"I"</formula>
    </cfRule>
  </conditionalFormatting>
  <conditionalFormatting sqref="N34:N128">
    <cfRule type="cellIs" dxfId="2943" priority="5" operator="equal">
      <formula>"X"</formula>
    </cfRule>
    <cfRule type="cellIs" dxfId="2942" priority="6" operator="equal">
      <formula>"I"</formula>
    </cfRule>
  </conditionalFormatting>
  <conditionalFormatting sqref="P20:P32">
    <cfRule type="cellIs" dxfId="2941" priority="15" operator="equal">
      <formula>"X"</formula>
    </cfRule>
    <cfRule type="cellIs" dxfId="2940" priority="16" operator="equal">
      <formula>"I"</formula>
    </cfRule>
  </conditionalFormatting>
  <conditionalFormatting sqref="R20:R32">
    <cfRule type="cellIs" dxfId="2939" priority="39" operator="equal">
      <formula>"X"</formula>
    </cfRule>
    <cfRule type="cellIs" dxfId="2938" priority="40" operator="equal">
      <formula>"I"</formula>
    </cfRule>
  </conditionalFormatting>
  <conditionalFormatting sqref="T20:T32">
    <cfRule type="cellIs" dxfId="2937" priority="41" operator="equal">
      <formula>"X"</formula>
    </cfRule>
    <cfRule type="cellIs" dxfId="2936" priority="42" operator="equal">
      <formula>"I"</formula>
    </cfRule>
  </conditionalFormatting>
  <conditionalFormatting sqref="V20:V32">
    <cfRule type="cellIs" dxfId="2935" priority="43" operator="equal">
      <formula>"X"</formula>
    </cfRule>
    <cfRule type="cellIs" dxfId="2934" priority="44" operator="equal">
      <formula>"I"</formula>
    </cfRule>
  </conditionalFormatting>
  <hyperlinks>
    <hyperlink ref="B3" location="'Cost Summary'!A1" display="BACK TO SUMMARY SHEET" xr:uid="{1343C82B-AAAD-4C82-B0EB-1C0C3C35AC76}"/>
    <hyperlink ref="H7:I7" r:id="rId1" display="maksu@formcrete.net" xr:uid="{D5562681-0B36-4CF5-BF6A-23227307FC2D}"/>
    <hyperlink ref="P7:Q7" r:id="rId2" display="egaray@kdconstruction.us" xr:uid="{3EF50D3D-B0A5-4217-84A8-248EE7BA8EC7}"/>
    <hyperlink ref="L7:M7" r:id="rId3" display="&lt;SeWilliams@starlitebuild.com&gt;" xr:uid="{933F7C52-0F5A-4A29-BCB2-548A51EBEDEC}"/>
    <hyperlink ref="N7:O7" r:id="rId4" display="&lt;SeWilliams@starlitebuild.com&gt;" xr:uid="{40A04088-74AA-4747-86ED-AFBA5FEA0D13}"/>
    <hyperlink ref="J7:K7" r:id="rId5" display="maksu@formcrete.net" xr:uid="{0441A046-3322-4A76-BB46-1449F5B3163E}"/>
  </hyperlinks>
  <printOptions horizontalCentered="1"/>
  <pageMargins left="0.45" right="0.45" top="0.75" bottom="0.75" header="0.3" footer="0.3"/>
  <pageSetup scale="70" orientation="portrait" horizontalDpi="1200" verticalDpi="1200" r:id="rId6"/>
  <legacyDrawing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472A-316A-4149-B698-EF2847CDFE74}">
  <sheetPr>
    <tabColor rgb="FF92D050"/>
  </sheetPr>
  <dimension ref="A1:S85"/>
  <sheetViews>
    <sheetView zoomScale="91" zoomScaleNormal="91" workbookViewId="0">
      <pane xSplit="2" ySplit="19" topLeftCell="C29" activePane="bottomRight" state="frozen"/>
      <selection pane="topRight" activeCell="C1" sqref="C1"/>
      <selection pane="bottomLeft" activeCell="A20" sqref="A20"/>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6.54296875" style="2" customWidth="1"/>
    <col min="14" max="14" width="7.453125" style="2" bestFit="1" customWidth="1"/>
    <col min="15" max="15" width="14.81640625" style="2" customWidth="1"/>
    <col min="16" max="16" width="7.453125" style="2" customWidth="1"/>
    <col min="17" max="17" width="16.5429687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76"/>
      <c r="I2" s="3776"/>
      <c r="J2" s="3751"/>
      <c r="K2" s="3751"/>
      <c r="L2" s="3751"/>
      <c r="M2" s="3751"/>
      <c r="N2" s="3751"/>
      <c r="O2" s="3751"/>
      <c r="P2" s="3751"/>
      <c r="Q2" s="3751"/>
      <c r="R2" s="3751"/>
      <c r="S2" s="3751"/>
    </row>
    <row r="3" spans="1:19" ht="19.5" x14ac:dyDescent="0.35">
      <c r="B3" s="137" t="s">
        <v>623</v>
      </c>
      <c r="E3" s="152"/>
      <c r="F3" s="124" t="s">
        <v>624</v>
      </c>
      <c r="G3" s="123" t="s">
        <v>557</v>
      </c>
      <c r="H3" s="3754" t="s">
        <v>871</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872</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873</v>
      </c>
      <c r="C6" s="642"/>
      <c r="D6" s="642"/>
      <c r="E6" s="642"/>
      <c r="F6" s="642"/>
      <c r="G6" s="643" t="s">
        <v>639</v>
      </c>
      <c r="H6" s="3756"/>
      <c r="I6" s="3757"/>
      <c r="J6" s="3756"/>
      <c r="K6" s="3757"/>
      <c r="L6" s="3777"/>
      <c r="M6" s="3757"/>
      <c r="N6" s="3756"/>
      <c r="O6" s="3757"/>
      <c r="P6" s="3777"/>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x14ac:dyDescent="0.35">
      <c r="A8" s="938" t="s">
        <v>644</v>
      </c>
      <c r="B8" s="939"/>
      <c r="C8" s="940"/>
      <c r="D8" s="940"/>
      <c r="E8" s="940"/>
      <c r="F8" s="940"/>
      <c r="G8" s="1024" t="s">
        <v>644</v>
      </c>
      <c r="H8" s="3760">
        <f>I46</f>
        <v>0</v>
      </c>
      <c r="I8" s="3761"/>
      <c r="J8" s="3760">
        <f>K46</f>
        <v>0</v>
      </c>
      <c r="K8" s="3761"/>
      <c r="L8" s="3760">
        <f>M46</f>
        <v>0</v>
      </c>
      <c r="M8" s="3761"/>
      <c r="N8" s="3760">
        <f>O46</f>
        <v>0</v>
      </c>
      <c r="O8" s="3761"/>
      <c r="P8" s="3760">
        <f>Q46</f>
        <v>0</v>
      </c>
      <c r="Q8" s="3761"/>
      <c r="R8" s="3760">
        <f>S46</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1135"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x14ac:dyDescent="0.35">
      <c r="A16" s="689"/>
      <c r="B16" s="641" t="e">
        <f>#REF!</f>
        <v>#REF!</v>
      </c>
      <c r="C16" s="647"/>
      <c r="D16" s="642"/>
      <c r="E16" s="642"/>
      <c r="F16" s="642"/>
      <c r="G16" s="646"/>
      <c r="H16" s="942"/>
      <c r="I16" s="942"/>
      <c r="J16" s="942"/>
      <c r="K16" s="942"/>
      <c r="L16" s="942"/>
      <c r="M16" s="942"/>
      <c r="N16" s="942"/>
      <c r="O16" s="942"/>
      <c r="P16" s="942"/>
      <c r="Q16" s="942"/>
      <c r="R16" s="942"/>
      <c r="S16" s="942"/>
    </row>
    <row r="17" spans="1:19" ht="15" hidden="1" customHeight="1" x14ac:dyDescent="0.35">
      <c r="A17" s="689"/>
      <c r="B17" s="641" t="e">
        <f>#REF!</f>
        <v>#REF!</v>
      </c>
      <c r="C17" s="647"/>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1136"/>
      <c r="B21" s="648" t="s">
        <v>872</v>
      </c>
      <c r="C21" s="647"/>
      <c r="D21" s="642"/>
      <c r="E21" s="642"/>
      <c r="F21" s="642"/>
      <c r="G21" s="646"/>
      <c r="H21" s="943"/>
      <c r="I21" s="1137"/>
      <c r="J21" s="943"/>
      <c r="K21" s="1137"/>
      <c r="L21" s="943"/>
      <c r="M21" s="1137"/>
      <c r="N21" s="943"/>
      <c r="O21" s="1137"/>
      <c r="P21" s="943"/>
      <c r="Q21" s="1137"/>
      <c r="R21" s="943"/>
      <c r="S21" s="1137"/>
    </row>
    <row r="22" spans="1:19" ht="15.5" x14ac:dyDescent="0.35">
      <c r="A22" s="1138"/>
      <c r="B22" s="1081" t="s">
        <v>657</v>
      </c>
      <c r="C22" s="681"/>
      <c r="D22" s="642"/>
      <c r="E22" s="642"/>
      <c r="F22" s="642"/>
      <c r="G22" s="646"/>
      <c r="H22" s="943"/>
      <c r="I22" s="1139"/>
      <c r="J22" s="943"/>
      <c r="K22" s="1137"/>
      <c r="L22" s="943"/>
      <c r="M22" s="1137"/>
      <c r="N22" s="943"/>
      <c r="O22" s="1137"/>
      <c r="P22" s="943"/>
      <c r="Q22" s="1137"/>
      <c r="R22" s="943"/>
      <c r="S22" s="1137"/>
    </row>
    <row r="23" spans="1:19" ht="15.75" customHeight="1" x14ac:dyDescent="0.35">
      <c r="A23" s="1136"/>
      <c r="B23" s="603" t="s">
        <v>658</v>
      </c>
      <c r="C23" s="647"/>
      <c r="D23" s="642"/>
      <c r="E23" s="642"/>
      <c r="F23" s="642"/>
      <c r="G23" s="646"/>
      <c r="H23" s="943"/>
      <c r="I23" s="1137"/>
      <c r="J23" s="943"/>
      <c r="K23" s="1137"/>
      <c r="L23" s="943"/>
      <c r="M23" s="1137"/>
      <c r="N23" s="943"/>
      <c r="O23" s="1137"/>
      <c r="P23" s="943"/>
      <c r="Q23" s="1137"/>
      <c r="R23" s="943"/>
      <c r="S23" s="1137"/>
    </row>
    <row r="24" spans="1:19" x14ac:dyDescent="0.35">
      <c r="A24" s="1136"/>
      <c r="B24" s="1083" t="s">
        <v>659</v>
      </c>
      <c r="C24" s="647"/>
      <c r="D24" s="642"/>
      <c r="E24" s="642"/>
      <c r="F24" s="642"/>
      <c r="G24" s="646"/>
      <c r="H24" s="943"/>
      <c r="I24" s="1084"/>
      <c r="J24" s="943"/>
      <c r="K24" s="1084"/>
      <c r="L24" s="943"/>
      <c r="M24" s="1084"/>
      <c r="N24" s="943"/>
      <c r="O24" s="1084"/>
      <c r="P24" s="943"/>
      <c r="Q24" s="1084"/>
      <c r="R24" s="943"/>
      <c r="S24" s="1084"/>
    </row>
    <row r="25" spans="1:19" ht="15.75" customHeight="1" x14ac:dyDescent="0.35">
      <c r="A25" s="1136"/>
      <c r="B25" s="1085" t="s">
        <v>660</v>
      </c>
      <c r="C25" s="647"/>
      <c r="D25" s="642"/>
      <c r="E25" s="642"/>
      <c r="F25" s="642"/>
      <c r="G25" s="646"/>
      <c r="H25" s="943"/>
      <c r="I25" s="1084"/>
      <c r="J25" s="943"/>
      <c r="K25" s="1084"/>
      <c r="L25" s="943"/>
      <c r="M25" s="1140"/>
      <c r="N25" s="943"/>
      <c r="O25" s="1084"/>
      <c r="P25" s="943"/>
      <c r="Q25" s="1140"/>
      <c r="R25" s="943"/>
      <c r="S25" s="1084"/>
    </row>
    <row r="26" spans="1:19" x14ac:dyDescent="0.35">
      <c r="A26" s="1136"/>
      <c r="B26" s="1085" t="s">
        <v>661</v>
      </c>
      <c r="C26" s="1086"/>
      <c r="D26" s="682"/>
      <c r="E26" s="642"/>
      <c r="F26" s="642"/>
      <c r="G26" s="646"/>
      <c r="H26" s="943"/>
      <c r="I26" s="1084"/>
      <c r="J26" s="943"/>
      <c r="K26" s="1137"/>
      <c r="L26" s="943"/>
      <c r="M26" s="984"/>
      <c r="N26" s="943"/>
      <c r="O26" s="1137"/>
      <c r="P26" s="943"/>
      <c r="Q26" s="984"/>
      <c r="R26" s="943"/>
      <c r="S26" s="1137"/>
    </row>
    <row r="27" spans="1:19" x14ac:dyDescent="0.35">
      <c r="A27" s="1136"/>
      <c r="B27" s="1085" t="s">
        <v>662</v>
      </c>
      <c r="C27" s="1086"/>
      <c r="D27" s="682"/>
      <c r="E27" s="642"/>
      <c r="F27" s="642"/>
      <c r="G27" s="646"/>
      <c r="H27" s="943"/>
      <c r="I27" s="1084"/>
      <c r="J27" s="943"/>
      <c r="K27" s="1137"/>
      <c r="L27" s="943"/>
      <c r="M27" s="984"/>
      <c r="N27" s="943"/>
      <c r="O27" s="1137"/>
      <c r="P27" s="943"/>
      <c r="Q27" s="984"/>
      <c r="R27" s="943"/>
      <c r="S27" s="1137"/>
    </row>
    <row r="28" spans="1:19" x14ac:dyDescent="0.35">
      <c r="A28" s="1136"/>
      <c r="B28" s="1085" t="s">
        <v>663</v>
      </c>
      <c r="C28" s="1086"/>
      <c r="D28" s="682"/>
      <c r="E28" s="642"/>
      <c r="F28" s="642"/>
      <c r="G28" s="646"/>
      <c r="H28" s="943"/>
      <c r="I28" s="1084"/>
      <c r="J28" s="943"/>
      <c r="K28" s="1137"/>
      <c r="L28" s="943"/>
      <c r="M28" s="984"/>
      <c r="N28" s="943"/>
      <c r="O28" s="1137"/>
      <c r="P28" s="943"/>
      <c r="Q28" s="984"/>
      <c r="R28" s="943"/>
      <c r="S28" s="1137"/>
    </row>
    <row r="29" spans="1:19" x14ac:dyDescent="0.35">
      <c r="A29" s="1136"/>
      <c r="B29" s="1085" t="s">
        <v>742</v>
      </c>
      <c r="C29" s="1086"/>
      <c r="D29" s="682"/>
      <c r="E29" s="642"/>
      <c r="F29" s="642"/>
      <c r="G29" s="646"/>
      <c r="H29" s="943"/>
      <c r="I29" s="1084"/>
      <c r="J29" s="943"/>
      <c r="K29" s="1137"/>
      <c r="L29" s="943"/>
      <c r="M29" s="984"/>
      <c r="N29" s="943"/>
      <c r="O29" s="1137"/>
      <c r="P29" s="943"/>
      <c r="Q29" s="984"/>
      <c r="R29" s="943"/>
      <c r="S29" s="1137"/>
    </row>
    <row r="30" spans="1:19" x14ac:dyDescent="0.35">
      <c r="A30" s="1136"/>
      <c r="B30" s="1087" t="s">
        <v>664</v>
      </c>
      <c r="C30" s="1086"/>
      <c r="D30" s="682"/>
      <c r="E30" s="642"/>
      <c r="F30" s="642"/>
      <c r="G30" s="646"/>
      <c r="H30" s="943"/>
      <c r="I30" s="1084"/>
      <c r="J30" s="943"/>
      <c r="K30" s="1137"/>
      <c r="L30" s="943"/>
      <c r="M30" s="984"/>
      <c r="N30" s="943"/>
      <c r="O30" s="1137"/>
      <c r="P30" s="943"/>
      <c r="Q30" s="984"/>
      <c r="R30" s="943"/>
      <c r="S30" s="1137"/>
    </row>
    <row r="31" spans="1:19" x14ac:dyDescent="0.35">
      <c r="A31" s="1136"/>
      <c r="B31" s="1141" t="s">
        <v>665</v>
      </c>
      <c r="C31" s="1142"/>
      <c r="D31" s="1143"/>
      <c r="E31" s="650"/>
      <c r="F31" s="650"/>
      <c r="G31" s="952"/>
      <c r="H31" s="636"/>
      <c r="I31" s="1144"/>
      <c r="J31" s="636"/>
      <c r="K31" s="1145"/>
      <c r="L31" s="1146"/>
      <c r="M31" s="1147"/>
      <c r="N31" s="1148"/>
      <c r="O31" s="1145"/>
      <c r="P31" s="1146"/>
      <c r="Q31" s="1147"/>
      <c r="R31" s="1148"/>
      <c r="S31" s="1145"/>
    </row>
    <row r="32" spans="1:19" x14ac:dyDescent="0.35">
      <c r="A32" s="1136"/>
      <c r="B32" s="1149" t="s">
        <v>874</v>
      </c>
      <c r="C32" s="1086"/>
      <c r="D32" s="682"/>
      <c r="E32" s="642"/>
      <c r="F32" s="642"/>
      <c r="G32" s="646"/>
      <c r="H32" s="943"/>
      <c r="I32" s="1084"/>
      <c r="J32" s="943"/>
      <c r="K32" s="1137"/>
      <c r="L32" s="943"/>
      <c r="M32" s="984"/>
      <c r="N32" s="943"/>
      <c r="O32" s="1137"/>
      <c r="P32" s="943"/>
      <c r="Q32" s="984"/>
      <c r="R32" s="943"/>
      <c r="S32" s="1137"/>
    </row>
    <row r="33" spans="1:19" x14ac:dyDescent="0.35">
      <c r="A33" s="1136"/>
      <c r="B33" s="1150"/>
      <c r="C33" s="1086"/>
      <c r="D33" s="682"/>
      <c r="E33" s="642"/>
      <c r="F33" s="642"/>
      <c r="G33" s="646"/>
      <c r="H33" s="943"/>
      <c r="I33" s="1084"/>
      <c r="J33" s="943"/>
      <c r="K33" s="1137"/>
      <c r="L33" s="943"/>
      <c r="M33" s="984"/>
      <c r="N33" s="943"/>
      <c r="O33" s="1137"/>
      <c r="P33" s="943"/>
      <c r="Q33" s="984"/>
      <c r="R33" s="943"/>
      <c r="S33" s="1137"/>
    </row>
    <row r="34" spans="1:19" x14ac:dyDescent="0.35">
      <c r="A34" s="1136"/>
      <c r="B34" s="1151"/>
      <c r="C34" s="1086"/>
      <c r="D34" s="682"/>
      <c r="E34" s="642"/>
      <c r="F34" s="642"/>
      <c r="G34" s="646"/>
      <c r="H34" s="943"/>
      <c r="I34" s="1084"/>
      <c r="J34" s="943"/>
      <c r="K34" s="1137"/>
      <c r="L34" s="943" t="s">
        <v>669</v>
      </c>
      <c r="M34" s="984"/>
      <c r="N34" s="943"/>
      <c r="O34" s="1137"/>
      <c r="P34" s="943"/>
      <c r="Q34" s="984"/>
      <c r="R34" s="943"/>
      <c r="S34" s="1137"/>
    </row>
    <row r="35" spans="1:19" x14ac:dyDescent="0.35">
      <c r="A35" s="1136"/>
      <c r="B35" s="1109"/>
      <c r="C35" s="1086"/>
      <c r="D35" s="682"/>
      <c r="E35" s="642"/>
      <c r="F35" s="642"/>
      <c r="G35" s="646"/>
      <c r="H35" s="943"/>
      <c r="I35" s="1084"/>
      <c r="J35" s="943"/>
      <c r="K35" s="1137"/>
      <c r="L35" s="943"/>
      <c r="M35" s="984"/>
      <c r="N35" s="943"/>
      <c r="O35" s="1137"/>
      <c r="P35" s="943"/>
      <c r="Q35" s="984"/>
      <c r="R35" s="943"/>
      <c r="S35" s="1137"/>
    </row>
    <row r="36" spans="1:19" x14ac:dyDescent="0.35">
      <c r="A36" s="1136"/>
      <c r="B36" s="1109"/>
      <c r="C36" s="1086"/>
      <c r="D36" s="682"/>
      <c r="E36" s="642"/>
      <c r="F36" s="642"/>
      <c r="G36" s="646"/>
      <c r="H36" s="943"/>
      <c r="I36" s="1084"/>
      <c r="J36" s="943"/>
      <c r="K36" s="1137"/>
      <c r="L36" s="943"/>
      <c r="M36" s="984"/>
      <c r="N36" s="943"/>
      <c r="O36" s="1137"/>
      <c r="P36" s="943"/>
      <c r="Q36" s="984"/>
      <c r="R36" s="943"/>
      <c r="S36" s="1137"/>
    </row>
    <row r="37" spans="1:19" x14ac:dyDescent="0.35">
      <c r="A37" s="1136"/>
      <c r="B37" s="1109"/>
      <c r="C37" s="1086"/>
      <c r="D37" s="682"/>
      <c r="E37" s="642"/>
      <c r="F37" s="642"/>
      <c r="G37" s="646"/>
      <c r="H37" s="943"/>
      <c r="I37" s="1084"/>
      <c r="J37" s="943"/>
      <c r="K37" s="1137"/>
      <c r="L37" s="943"/>
      <c r="M37" s="984"/>
      <c r="N37" s="943"/>
      <c r="O37" s="1137"/>
      <c r="P37" s="943"/>
      <c r="Q37" s="984"/>
      <c r="R37" s="943"/>
      <c r="S37" s="1137"/>
    </row>
    <row r="38" spans="1:19" x14ac:dyDescent="0.35">
      <c r="A38" s="1136"/>
      <c r="B38" s="1109"/>
      <c r="C38" s="1086"/>
      <c r="D38" s="682"/>
      <c r="E38" s="642"/>
      <c r="F38" s="642"/>
      <c r="G38" s="646"/>
      <c r="H38" s="943"/>
      <c r="I38" s="1084"/>
      <c r="J38" s="943"/>
      <c r="K38" s="1137"/>
      <c r="L38" s="943"/>
      <c r="M38" s="984"/>
      <c r="N38" s="943"/>
      <c r="O38" s="1137"/>
      <c r="P38" s="943"/>
      <c r="Q38" s="984"/>
      <c r="R38" s="943"/>
      <c r="S38" s="1137"/>
    </row>
    <row r="39" spans="1:19" x14ac:dyDescent="0.35">
      <c r="A39" s="1136"/>
      <c r="B39" s="1104"/>
      <c r="C39" s="642"/>
      <c r="D39" s="682"/>
      <c r="E39" s="642"/>
      <c r="F39" s="642"/>
      <c r="G39" s="646"/>
      <c r="H39" s="943"/>
      <c r="I39" s="1084"/>
      <c r="J39" s="943"/>
      <c r="K39" s="1084"/>
      <c r="L39" s="943"/>
      <c r="M39" s="1140"/>
      <c r="N39" s="943"/>
      <c r="O39" s="1137"/>
      <c r="P39" s="943"/>
      <c r="Q39" s="1140"/>
      <c r="R39" s="943"/>
      <c r="S39" s="1137"/>
    </row>
    <row r="40" spans="1:19" x14ac:dyDescent="0.35">
      <c r="A40" s="1136"/>
      <c r="B40" s="1104"/>
      <c r="C40" s="1039"/>
      <c r="D40" s="940"/>
      <c r="E40" s="940"/>
      <c r="F40" s="940"/>
      <c r="G40" s="1039"/>
      <c r="H40" s="943"/>
      <c r="I40" s="1084"/>
      <c r="J40" s="943"/>
      <c r="K40" s="1084"/>
      <c r="L40" s="943"/>
      <c r="M40" s="1140"/>
      <c r="N40" s="943"/>
      <c r="O40" s="1084"/>
      <c r="P40" s="943"/>
      <c r="Q40" s="1140"/>
      <c r="R40" s="943"/>
      <c r="S40" s="1084"/>
    </row>
    <row r="41" spans="1:19" x14ac:dyDescent="0.35">
      <c r="A41" s="1116"/>
      <c r="B41" s="1104"/>
      <c r="C41" s="1117"/>
      <c r="D41" s="1118"/>
      <c r="E41" s="1118"/>
      <c r="F41" s="1118"/>
      <c r="G41" s="1117"/>
      <c r="H41" s="943"/>
      <c r="I41" s="1119"/>
      <c r="J41" s="943"/>
      <c r="K41" s="1119"/>
      <c r="L41" s="943"/>
      <c r="M41" s="1152"/>
      <c r="N41" s="943"/>
      <c r="O41" s="1119"/>
      <c r="P41" s="943"/>
      <c r="Q41" s="1152"/>
      <c r="R41" s="943"/>
      <c r="S41" s="1119"/>
    </row>
    <row r="42" spans="1:19" x14ac:dyDescent="0.35">
      <c r="A42" s="14"/>
      <c r="B42" s="15"/>
      <c r="C42" s="16"/>
      <c r="D42" s="16"/>
      <c r="E42" s="17"/>
      <c r="F42" s="18" t="s">
        <v>715</v>
      </c>
      <c r="G42" s="19"/>
      <c r="H42" s="20"/>
      <c r="I42" s="50">
        <f>SUM(I24:I41)</f>
        <v>0</v>
      </c>
      <c r="J42" s="20"/>
      <c r="K42" s="50">
        <f>SUM(K24:K41)</f>
        <v>0</v>
      </c>
      <c r="L42" s="20"/>
      <c r="M42" s="50">
        <f>SUM(M24:M41)</f>
        <v>0</v>
      </c>
      <c r="N42" s="20"/>
      <c r="O42" s="50">
        <f>SUM(O24:O41)</f>
        <v>0</v>
      </c>
      <c r="P42" s="20"/>
      <c r="Q42" s="50">
        <f>SUM(Q24:Q41)</f>
        <v>0</v>
      </c>
      <c r="R42" s="20"/>
      <c r="S42" s="50">
        <f>SUM(S24:S41)</f>
        <v>0</v>
      </c>
    </row>
    <row r="43" spans="1:19" x14ac:dyDescent="0.35">
      <c r="A43" s="684"/>
      <c r="B43" s="655"/>
      <c r="C43" s="656"/>
      <c r="D43" s="656"/>
      <c r="E43" s="657"/>
      <c r="F43" s="658" t="s">
        <v>716</v>
      </c>
      <c r="G43" s="659"/>
      <c r="H43" s="959">
        <v>0</v>
      </c>
      <c r="I43" s="1121"/>
      <c r="J43" s="959">
        <v>0</v>
      </c>
      <c r="K43" s="1121"/>
      <c r="L43" s="1153">
        <v>0</v>
      </c>
      <c r="M43" s="1121"/>
      <c r="N43" s="959">
        <v>0</v>
      </c>
      <c r="O43" s="1121"/>
      <c r="P43" s="1153">
        <v>0</v>
      </c>
      <c r="Q43" s="1121"/>
      <c r="R43" s="959">
        <v>0</v>
      </c>
      <c r="S43" s="1121"/>
    </row>
    <row r="44" spans="1:19" x14ac:dyDescent="0.35">
      <c r="A44" s="684"/>
      <c r="B44" s="655"/>
      <c r="C44" s="656"/>
      <c r="D44" s="656"/>
      <c r="E44" s="657"/>
      <c r="F44" s="658" t="s">
        <v>717</v>
      </c>
      <c r="G44" s="659"/>
      <c r="H44" s="961"/>
      <c r="I44" s="1122">
        <f>H43*I42</f>
        <v>0</v>
      </c>
      <c r="J44" s="961"/>
      <c r="K44" s="1122">
        <f>J43*K42</f>
        <v>0</v>
      </c>
      <c r="L44" s="961"/>
      <c r="M44" s="1122">
        <f>L43*M42</f>
        <v>0</v>
      </c>
      <c r="N44" s="961"/>
      <c r="O44" s="1122">
        <f>N43*O42</f>
        <v>0</v>
      </c>
      <c r="P44" s="961"/>
      <c r="Q44" s="1122">
        <f>P43*Q42</f>
        <v>0</v>
      </c>
      <c r="R44" s="961"/>
      <c r="S44" s="1122">
        <f>R43*S42</f>
        <v>0</v>
      </c>
    </row>
    <row r="45" spans="1:19" x14ac:dyDescent="0.35">
      <c r="A45" s="684"/>
      <c r="B45" s="655"/>
      <c r="C45" s="656"/>
      <c r="D45" s="656"/>
      <c r="E45" s="657"/>
      <c r="F45" s="658"/>
      <c r="G45" s="659"/>
      <c r="H45" s="961"/>
      <c r="I45" s="963"/>
      <c r="J45" s="961"/>
      <c r="K45" s="963"/>
      <c r="L45" s="961"/>
      <c r="M45" s="963"/>
      <c r="N45" s="961"/>
      <c r="O45" s="963"/>
      <c r="P45" s="961"/>
      <c r="Q45" s="963"/>
      <c r="R45" s="961"/>
      <c r="S45" s="963"/>
    </row>
    <row r="46" spans="1:19" x14ac:dyDescent="0.35">
      <c r="A46" s="684"/>
      <c r="B46" s="655"/>
      <c r="C46" s="656"/>
      <c r="D46" s="656"/>
      <c r="E46" s="657"/>
      <c r="F46" s="658" t="s">
        <v>718</v>
      </c>
      <c r="G46" s="659"/>
      <c r="H46" s="964"/>
      <c r="I46" s="962">
        <f>SUM(I42:I44)</f>
        <v>0</v>
      </c>
      <c r="J46" s="964"/>
      <c r="K46" s="962">
        <f>SUM(K42:K44)</f>
        <v>0</v>
      </c>
      <c r="L46" s="964"/>
      <c r="M46" s="962">
        <f>SUM(M42:M44)</f>
        <v>0</v>
      </c>
      <c r="N46" s="964"/>
      <c r="O46" s="962">
        <f>SUM(O42:O44)</f>
        <v>0</v>
      </c>
      <c r="P46" s="964"/>
      <c r="Q46" s="962">
        <f>SUM(Q42:Q44)</f>
        <v>0</v>
      </c>
      <c r="R46" s="964"/>
      <c r="S46" s="962">
        <f>SUM(S42:S44)</f>
        <v>0</v>
      </c>
    </row>
    <row r="47" spans="1:19" x14ac:dyDescent="0.35">
      <c r="A47" s="684"/>
      <c r="B47" s="655"/>
      <c r="C47" s="656"/>
      <c r="D47" s="656"/>
      <c r="E47" s="657"/>
      <c r="F47" s="660" t="s">
        <v>719</v>
      </c>
      <c r="G47" s="661"/>
      <c r="H47" s="965"/>
      <c r="I47" s="966" t="e">
        <f>I46/#REF!</f>
        <v>#REF!</v>
      </c>
      <c r="J47" s="965"/>
      <c r="K47" s="966" t="e">
        <f>K46/#REF!</f>
        <v>#REF!</v>
      </c>
      <c r="L47" s="965"/>
      <c r="M47" s="966" t="e">
        <f>M46/#REF!</f>
        <v>#REF!</v>
      </c>
      <c r="N47" s="965"/>
      <c r="O47" s="966" t="e">
        <f>O46/#REF!</f>
        <v>#REF!</v>
      </c>
      <c r="P47" s="965"/>
      <c r="Q47" s="966" t="e">
        <f>Q46/#REF!</f>
        <v>#REF!</v>
      </c>
      <c r="R47" s="965"/>
      <c r="S47" s="966" t="e">
        <f>S46/#REF!</f>
        <v>#REF!</v>
      </c>
    </row>
    <row r="48" spans="1:19" x14ac:dyDescent="0.35">
      <c r="A48" s="684"/>
      <c r="B48" s="655"/>
      <c r="C48" s="656"/>
      <c r="D48" s="656"/>
      <c r="E48" s="657"/>
      <c r="F48" s="660" t="s">
        <v>720</v>
      </c>
      <c r="G48" s="662"/>
      <c r="H48" s="965"/>
      <c r="I48" s="966" t="e">
        <f>I46/#REF!</f>
        <v>#REF!</v>
      </c>
      <c r="J48" s="965"/>
      <c r="K48" s="966" t="e">
        <f>K46/#REF!</f>
        <v>#REF!</v>
      </c>
      <c r="L48" s="965"/>
      <c r="M48" s="966" t="e">
        <f>M46/#REF!</f>
        <v>#REF!</v>
      </c>
      <c r="N48" s="965"/>
      <c r="O48" s="966" t="e">
        <f>O46/#REF!</f>
        <v>#REF!</v>
      </c>
      <c r="P48" s="965"/>
      <c r="Q48" s="966" t="e">
        <f>Q46/#REF!</f>
        <v>#REF!</v>
      </c>
      <c r="R48" s="965"/>
      <c r="S48" s="966" t="e">
        <f>S46/#REF!</f>
        <v>#REF!</v>
      </c>
    </row>
    <row r="49" spans="1:19" x14ac:dyDescent="0.35">
      <c r="A49" s="153"/>
      <c r="B49" s="154"/>
      <c r="C49" s="155"/>
      <c r="D49" s="155"/>
      <c r="E49" s="156"/>
      <c r="F49" s="157"/>
      <c r="G49" s="211"/>
      <c r="H49" s="160"/>
      <c r="I49" s="159"/>
      <c r="J49" s="160"/>
      <c r="K49" s="159"/>
      <c r="L49" s="160"/>
      <c r="M49" s="159"/>
      <c r="N49" s="160"/>
      <c r="O49" s="159"/>
      <c r="P49" s="160"/>
      <c r="Q49" s="159"/>
      <c r="R49" s="160"/>
      <c r="S49" s="159"/>
    </row>
    <row r="50" spans="1:19" x14ac:dyDescent="0.35">
      <c r="A50" s="3764" t="s">
        <v>721</v>
      </c>
      <c r="B50" s="3765"/>
      <c r="C50" s="12"/>
      <c r="D50" s="12"/>
      <c r="E50" s="12"/>
      <c r="F50" s="12"/>
      <c r="G50" s="13"/>
      <c r="H50" s="21"/>
      <c r="I50" s="21"/>
      <c r="J50" s="21"/>
      <c r="K50" s="21"/>
      <c r="L50" s="21"/>
      <c r="M50" s="21"/>
      <c r="N50" s="21"/>
      <c r="O50" s="21"/>
      <c r="P50" s="21"/>
      <c r="Q50" s="21"/>
      <c r="R50" s="21"/>
      <c r="S50" s="21"/>
    </row>
    <row r="51" spans="1:19" x14ac:dyDescent="0.35">
      <c r="A51" s="1154"/>
      <c r="B51" s="641"/>
      <c r="C51" s="1057"/>
      <c r="D51" s="1057"/>
      <c r="E51" s="1057"/>
      <c r="F51" s="1057"/>
      <c r="G51" s="1049"/>
      <c r="H51" s="1071"/>
      <c r="I51" s="1071"/>
      <c r="J51" s="1071"/>
      <c r="K51" s="1071"/>
      <c r="L51" s="1071"/>
      <c r="M51" s="1071"/>
      <c r="N51" s="1071"/>
      <c r="O51" s="1071"/>
      <c r="P51" s="1071"/>
      <c r="Q51" s="1071"/>
      <c r="R51" s="1071"/>
      <c r="S51" s="1071"/>
    </row>
    <row r="52" spans="1:19" x14ac:dyDescent="0.35">
      <c r="A52" s="1154"/>
      <c r="B52" s="641"/>
      <c r="C52" s="1057"/>
      <c r="D52" s="1057"/>
      <c r="E52" s="1057"/>
      <c r="F52" s="1057"/>
      <c r="G52" s="1049"/>
      <c r="H52" s="1071"/>
      <c r="I52" s="1071"/>
      <c r="J52" s="1071"/>
      <c r="K52" s="1071"/>
      <c r="L52" s="1071"/>
      <c r="M52" s="1071"/>
      <c r="N52" s="1071"/>
      <c r="O52" s="1071"/>
      <c r="P52" s="1071"/>
      <c r="Q52" s="1071"/>
      <c r="R52" s="1071"/>
      <c r="S52" s="1071"/>
    </row>
    <row r="53" spans="1:19" s="2" customFormat="1" x14ac:dyDescent="0.35">
      <c r="A53" s="1154"/>
      <c r="B53" s="641"/>
      <c r="C53" s="1057"/>
      <c r="D53" s="1057"/>
      <c r="E53" s="1057"/>
      <c r="F53" s="1057"/>
      <c r="G53" s="1049"/>
      <c r="H53" s="1071"/>
      <c r="I53" s="1071"/>
      <c r="J53" s="1071"/>
      <c r="K53" s="1071"/>
      <c r="L53" s="1071"/>
      <c r="M53" s="1071"/>
      <c r="N53" s="1071"/>
      <c r="O53" s="1071"/>
      <c r="P53" s="1071"/>
      <c r="Q53" s="1071"/>
      <c r="R53" s="1071"/>
      <c r="S53" s="1071"/>
    </row>
    <row r="54" spans="1:19" x14ac:dyDescent="0.35">
      <c r="A54" s="3764" t="s">
        <v>722</v>
      </c>
      <c r="B54" s="3765"/>
      <c r="C54" s="12"/>
      <c r="D54" s="12"/>
      <c r="E54" s="12"/>
      <c r="F54" s="12"/>
      <c r="G54" s="13"/>
      <c r="H54" s="21"/>
      <c r="I54" s="21"/>
      <c r="J54" s="21"/>
      <c r="K54" s="21"/>
      <c r="L54" s="21"/>
      <c r="M54" s="21"/>
      <c r="N54" s="21"/>
      <c r="O54" s="21"/>
      <c r="P54" s="21"/>
      <c r="Q54" s="21"/>
      <c r="R54" s="21"/>
      <c r="S54" s="21"/>
    </row>
    <row r="55" spans="1:19" s="2" customFormat="1" x14ac:dyDescent="0.35">
      <c r="A55" s="1154"/>
      <c r="B55" s="641"/>
      <c r="C55" s="1057"/>
      <c r="D55" s="1057"/>
      <c r="E55" s="1057"/>
      <c r="F55" s="1057"/>
      <c r="G55" s="1049"/>
      <c r="H55" s="1071"/>
      <c r="I55" s="1071"/>
      <c r="J55" s="1071"/>
      <c r="K55" s="1071"/>
      <c r="L55" s="1071"/>
      <c r="M55" s="1071"/>
      <c r="N55" s="1071"/>
      <c r="O55" s="1071"/>
      <c r="P55" s="1071"/>
      <c r="Q55" s="1071"/>
      <c r="R55" s="1071"/>
      <c r="S55" s="1071"/>
    </row>
    <row r="56" spans="1:19" s="2" customFormat="1" x14ac:dyDescent="0.35">
      <c r="A56" s="1154"/>
      <c r="B56" s="641"/>
      <c r="C56" s="1057"/>
      <c r="D56" s="1057"/>
      <c r="E56" s="1057"/>
      <c r="F56" s="1057"/>
      <c r="G56" s="1049"/>
      <c r="H56" s="1071"/>
      <c r="I56" s="1071"/>
      <c r="J56" s="1071"/>
      <c r="K56" s="1071"/>
      <c r="L56" s="1071"/>
      <c r="M56" s="1071"/>
      <c r="N56" s="1071"/>
      <c r="O56" s="1071"/>
      <c r="P56" s="1071"/>
      <c r="Q56" s="1071"/>
      <c r="R56" s="1071"/>
      <c r="S56" s="1071"/>
    </row>
    <row r="57" spans="1:19" s="2" customFormat="1" x14ac:dyDescent="0.35">
      <c r="A57" s="1154"/>
      <c r="B57" s="641"/>
      <c r="C57" s="1057"/>
      <c r="D57" s="1057"/>
      <c r="E57" s="1057"/>
      <c r="F57" s="1057"/>
      <c r="G57" s="1049"/>
      <c r="H57" s="1071"/>
      <c r="I57" s="1071"/>
      <c r="J57" s="1071"/>
      <c r="K57" s="1071"/>
      <c r="L57" s="1071"/>
      <c r="M57" s="1071"/>
      <c r="N57" s="1071"/>
      <c r="O57" s="1071"/>
      <c r="P57" s="1071"/>
      <c r="Q57" s="1071"/>
      <c r="R57" s="1071"/>
      <c r="S57" s="1071"/>
    </row>
    <row r="58" spans="1:19" x14ac:dyDescent="0.35">
      <c r="A58" s="3764" t="s">
        <v>723</v>
      </c>
      <c r="B58" s="3765"/>
      <c r="C58" s="12"/>
      <c r="D58" s="12"/>
      <c r="E58" s="12"/>
      <c r="F58" s="12"/>
      <c r="G58" s="13"/>
      <c r="H58" s="21"/>
      <c r="I58" s="21"/>
      <c r="J58" s="21"/>
      <c r="K58" s="21"/>
      <c r="L58" s="21"/>
      <c r="M58" s="21"/>
      <c r="N58" s="21"/>
      <c r="O58" s="21"/>
      <c r="P58" s="21"/>
      <c r="Q58" s="21"/>
      <c r="R58" s="21"/>
      <c r="S58" s="21"/>
    </row>
    <row r="59" spans="1:19" x14ac:dyDescent="0.35">
      <c r="A59" s="1154"/>
      <c r="B59" s="641"/>
      <c r="C59" s="1057"/>
      <c r="D59" s="1057"/>
      <c r="E59" s="1057"/>
      <c r="F59" s="1057"/>
      <c r="G59" s="1049"/>
      <c r="H59" s="1071"/>
      <c r="I59" s="1071"/>
      <c r="J59" s="1071"/>
      <c r="K59" s="1071"/>
      <c r="L59" s="1071"/>
      <c r="M59" s="1071"/>
      <c r="N59" s="1071"/>
      <c r="O59" s="1071"/>
      <c r="P59" s="1071"/>
      <c r="Q59" s="1071"/>
      <c r="R59" s="1071"/>
      <c r="S59" s="1071"/>
    </row>
    <row r="60" spans="1:19" x14ac:dyDescent="0.35">
      <c r="A60" s="689"/>
      <c r="B60" s="641"/>
      <c r="C60" s="642"/>
      <c r="D60" s="642"/>
      <c r="E60" s="642"/>
      <c r="F60" s="642"/>
      <c r="G60" s="646"/>
      <c r="H60" s="973"/>
      <c r="I60" s="973"/>
      <c r="J60" s="973"/>
      <c r="K60" s="973"/>
      <c r="L60" s="973"/>
      <c r="M60" s="973"/>
      <c r="N60" s="973"/>
      <c r="O60" s="973"/>
      <c r="P60" s="973"/>
      <c r="Q60" s="973"/>
      <c r="R60" s="973"/>
      <c r="S60" s="973"/>
    </row>
    <row r="61" spans="1:19" x14ac:dyDescent="0.35">
      <c r="A61" s="686"/>
      <c r="B61" s="665"/>
      <c r="C61" s="642"/>
      <c r="D61" s="642"/>
      <c r="E61" s="642"/>
      <c r="F61" s="642"/>
      <c r="G61" s="646"/>
      <c r="H61" s="974"/>
      <c r="I61" s="974"/>
      <c r="J61" s="974"/>
      <c r="K61" s="974"/>
      <c r="L61" s="974"/>
      <c r="M61" s="974"/>
      <c r="N61" s="974"/>
      <c r="O61" s="974"/>
      <c r="P61" s="974"/>
      <c r="Q61" s="974"/>
      <c r="R61" s="974"/>
      <c r="S61" s="974"/>
    </row>
    <row r="62" spans="1:19" x14ac:dyDescent="0.35">
      <c r="A62" s="3764" t="s">
        <v>724</v>
      </c>
      <c r="B62" s="3765"/>
      <c r="C62" s="12"/>
      <c r="D62" s="12"/>
      <c r="E62" s="12"/>
      <c r="F62" s="12"/>
      <c r="G62" s="13"/>
      <c r="H62" s="21"/>
      <c r="I62" s="21"/>
      <c r="J62" s="21"/>
      <c r="K62" s="21"/>
      <c r="L62" s="21"/>
      <c r="M62" s="21"/>
      <c r="N62" s="21"/>
      <c r="O62" s="21"/>
      <c r="P62" s="21"/>
      <c r="Q62" s="21"/>
      <c r="R62" s="21"/>
      <c r="S62" s="21"/>
    </row>
    <row r="63" spans="1:19" x14ac:dyDescent="0.35">
      <c r="A63" s="1072"/>
      <c r="B63" s="1052"/>
      <c r="C63" s="1057"/>
      <c r="D63" s="1057"/>
      <c r="E63" s="1057"/>
      <c r="F63" s="1057"/>
      <c r="G63" s="1049"/>
      <c r="H63" s="1071"/>
      <c r="I63" s="1071"/>
      <c r="J63" s="1071"/>
      <c r="K63" s="1071"/>
      <c r="L63" s="1071"/>
      <c r="M63" s="1071"/>
      <c r="N63" s="1071"/>
      <c r="O63" s="1071"/>
      <c r="P63" s="1071"/>
      <c r="Q63" s="1071"/>
      <c r="R63" s="1071"/>
      <c r="S63" s="1071"/>
    </row>
    <row r="64" spans="1:19" x14ac:dyDescent="0.35">
      <c r="A64" s="686"/>
      <c r="B64" s="665"/>
      <c r="C64" s="642"/>
      <c r="D64" s="642"/>
      <c r="E64" s="642"/>
      <c r="F64" s="642"/>
      <c r="G64" s="646"/>
      <c r="H64" s="977"/>
      <c r="I64" s="977"/>
      <c r="J64" s="977"/>
      <c r="K64" s="977"/>
      <c r="L64" s="977"/>
      <c r="M64" s="977"/>
      <c r="N64" s="977"/>
      <c r="O64" s="977"/>
      <c r="P64" s="977"/>
      <c r="Q64" s="977"/>
      <c r="R64" s="977"/>
      <c r="S64" s="977"/>
    </row>
    <row r="65" spans="1:19" x14ac:dyDescent="0.35">
      <c r="A65" s="686"/>
      <c r="B65" s="665"/>
      <c r="C65" s="642"/>
      <c r="D65" s="642"/>
      <c r="E65" s="642"/>
      <c r="F65" s="642"/>
      <c r="G65" s="646"/>
      <c r="H65" s="977"/>
      <c r="I65" s="977"/>
      <c r="J65" s="977"/>
      <c r="K65" s="977"/>
      <c r="L65" s="977"/>
      <c r="M65" s="977"/>
      <c r="N65" s="977"/>
      <c r="O65" s="977"/>
      <c r="P65" s="977"/>
      <c r="Q65" s="977"/>
      <c r="R65" s="977"/>
      <c r="S65" s="977"/>
    </row>
    <row r="66" spans="1:19" x14ac:dyDescent="0.35">
      <c r="A66" s="3764" t="s">
        <v>725</v>
      </c>
      <c r="B66" s="3765"/>
      <c r="C66" s="12"/>
      <c r="D66" s="12"/>
      <c r="E66" s="12"/>
      <c r="F66" s="12"/>
      <c r="G66" s="13"/>
      <c r="H66" s="21"/>
      <c r="I66" s="21"/>
      <c r="J66" s="21"/>
      <c r="K66" s="21"/>
      <c r="L66" s="21"/>
      <c r="M66" s="21"/>
      <c r="N66" s="21"/>
      <c r="O66" s="21"/>
      <c r="P66" s="1131"/>
      <c r="Q66" s="1131"/>
      <c r="R66" s="1131"/>
      <c r="S66" s="1131"/>
    </row>
    <row r="67" spans="1:19" x14ac:dyDescent="0.35">
      <c r="A67" s="689"/>
      <c r="B67" s="641" t="s">
        <v>726</v>
      </c>
      <c r="C67" s="642"/>
      <c r="D67" s="642"/>
      <c r="E67" s="642"/>
      <c r="F67" s="642"/>
      <c r="G67" s="646"/>
      <c r="H67" s="977"/>
      <c r="I67" s="977"/>
      <c r="J67" s="977"/>
      <c r="K67" s="977"/>
      <c r="L67" s="977"/>
      <c r="M67" s="977"/>
      <c r="N67" s="977"/>
      <c r="O67" s="977"/>
      <c r="P67" s="977"/>
      <c r="Q67" s="977"/>
      <c r="R67" s="977"/>
      <c r="S67" s="977"/>
    </row>
    <row r="68" spans="1:19" x14ac:dyDescent="0.35">
      <c r="A68" s="689"/>
      <c r="B68" s="641" t="s">
        <v>727</v>
      </c>
      <c r="C68" s="642"/>
      <c r="D68" s="642"/>
      <c r="E68" s="642"/>
      <c r="F68" s="642"/>
      <c r="G68" s="646"/>
      <c r="H68" s="977"/>
      <c r="I68" s="977"/>
      <c r="J68" s="977"/>
      <c r="K68" s="977"/>
      <c r="L68" s="977"/>
      <c r="M68" s="977"/>
      <c r="N68" s="977"/>
      <c r="O68" s="977"/>
      <c r="P68" s="977"/>
      <c r="Q68" s="977"/>
      <c r="R68" s="977"/>
      <c r="S68" s="977"/>
    </row>
    <row r="69" spans="1:19" x14ac:dyDescent="0.35">
      <c r="A69" s="689"/>
      <c r="B69" s="641" t="s">
        <v>728</v>
      </c>
      <c r="C69" s="642"/>
      <c r="D69" s="642"/>
      <c r="E69" s="642"/>
      <c r="F69" s="642"/>
      <c r="G69" s="646"/>
      <c r="H69" s="977"/>
      <c r="I69" s="977"/>
      <c r="J69" s="977"/>
      <c r="K69" s="977"/>
      <c r="L69" s="977"/>
      <c r="M69" s="977"/>
      <c r="N69" s="977"/>
      <c r="O69" s="977"/>
      <c r="P69" s="977"/>
      <c r="Q69" s="977"/>
      <c r="R69" s="977"/>
      <c r="S69" s="977"/>
    </row>
    <row r="70" spans="1:19" x14ac:dyDescent="0.35">
      <c r="A70" s="689"/>
      <c r="B70" s="641" t="s">
        <v>729</v>
      </c>
      <c r="C70" s="642"/>
      <c r="D70" s="642"/>
      <c r="E70" s="642"/>
      <c r="F70" s="642"/>
      <c r="G70" s="646"/>
      <c r="H70" s="977"/>
      <c r="I70" s="977"/>
      <c r="J70" s="977"/>
      <c r="K70" s="977"/>
      <c r="L70" s="977"/>
      <c r="M70" s="977"/>
      <c r="N70" s="977"/>
      <c r="O70" s="977"/>
      <c r="P70" s="977"/>
      <c r="Q70" s="977"/>
      <c r="R70" s="977"/>
      <c r="S70" s="977"/>
    </row>
    <row r="71" spans="1:19" x14ac:dyDescent="0.35">
      <c r="A71" s="978"/>
      <c r="B71" s="939"/>
      <c r="C71" s="940"/>
      <c r="D71" s="940"/>
      <c r="E71" s="940"/>
      <c r="F71" s="940"/>
      <c r="G71" s="1039"/>
      <c r="H71" s="981"/>
      <c r="I71" s="981"/>
      <c r="J71" s="981"/>
      <c r="K71" s="981"/>
      <c r="L71" s="981"/>
      <c r="M71" s="981"/>
      <c r="N71" s="981"/>
      <c r="O71" s="981"/>
      <c r="P71" s="981"/>
      <c r="Q71" s="981"/>
      <c r="R71" s="981"/>
      <c r="S71" s="981"/>
    </row>
    <row r="72" spans="1:19" x14ac:dyDescent="0.35">
      <c r="A72" s="7" t="s">
        <v>730</v>
      </c>
      <c r="B72" s="8"/>
      <c r="C72" s="12"/>
      <c r="D72" s="12"/>
      <c r="E72" s="12"/>
      <c r="F72" s="12"/>
      <c r="G72" s="13"/>
      <c r="H72" s="21"/>
      <c r="I72" s="21"/>
      <c r="J72" s="21"/>
      <c r="K72" s="21"/>
      <c r="L72" s="21"/>
      <c r="M72" s="21"/>
      <c r="N72" s="21"/>
      <c r="O72" s="21"/>
      <c r="P72" s="21"/>
      <c r="Q72" s="21"/>
      <c r="R72" s="21"/>
      <c r="S72" s="21"/>
    </row>
    <row r="73" spans="1:19" x14ac:dyDescent="0.35">
      <c r="A73" s="1154"/>
      <c r="B73" s="1053" t="s">
        <v>731</v>
      </c>
      <c r="C73" s="1057"/>
      <c r="D73" s="1057"/>
      <c r="E73" s="1057"/>
      <c r="F73" s="1057"/>
      <c r="G73" s="1049"/>
      <c r="H73" s="1075"/>
      <c r="I73" s="1075"/>
      <c r="J73" s="1075"/>
      <c r="K73" s="1075"/>
      <c r="L73" s="1075"/>
      <c r="M73" s="1075"/>
      <c r="N73" s="1075"/>
      <c r="O73" s="1075"/>
      <c r="P73" s="1075"/>
      <c r="Q73" s="1075"/>
      <c r="R73" s="1075"/>
      <c r="S73" s="1075"/>
    </row>
    <row r="74" spans="1:19" x14ac:dyDescent="0.35">
      <c r="A74" s="689"/>
      <c r="B74" s="641" t="s">
        <v>732</v>
      </c>
      <c r="C74" s="642"/>
      <c r="D74" s="642"/>
      <c r="E74" s="642"/>
      <c r="F74" s="642"/>
      <c r="G74" s="646"/>
      <c r="H74" s="984"/>
      <c r="I74" s="984"/>
      <c r="J74" s="984"/>
      <c r="K74" s="984"/>
      <c r="L74" s="984"/>
      <c r="M74" s="984"/>
      <c r="N74" s="984"/>
      <c r="O74" s="984"/>
      <c r="P74" s="984"/>
      <c r="Q74" s="984"/>
      <c r="R74" s="984"/>
      <c r="S74" s="984"/>
    </row>
    <row r="75" spans="1:19" x14ac:dyDescent="0.35">
      <c r="A75" s="985"/>
      <c r="B75" s="986" t="s">
        <v>733</v>
      </c>
      <c r="C75" s="987"/>
      <c r="D75" s="987"/>
      <c r="E75" s="987"/>
      <c r="F75" s="987"/>
      <c r="G75" s="1040"/>
      <c r="H75" s="990"/>
      <c r="I75" s="990"/>
      <c r="J75" s="990"/>
      <c r="K75" s="990"/>
      <c r="L75" s="990"/>
      <c r="M75" s="990"/>
      <c r="N75" s="990"/>
      <c r="O75" s="990"/>
      <c r="P75" s="990"/>
      <c r="Q75" s="990"/>
      <c r="R75" s="990"/>
      <c r="S75" s="990"/>
    </row>
    <row r="77" spans="1:19" x14ac:dyDescent="0.35">
      <c r="A77" s="78" t="s">
        <v>734</v>
      </c>
      <c r="B77" s="80"/>
    </row>
    <row r="78" spans="1:19" x14ac:dyDescent="0.35">
      <c r="A78" s="79" t="s">
        <v>632</v>
      </c>
      <c r="B78" s="991"/>
    </row>
    <row r="79" spans="1:19" x14ac:dyDescent="0.35">
      <c r="A79" s="687" t="s">
        <v>636</v>
      </c>
      <c r="B79" s="991"/>
    </row>
    <row r="80" spans="1:19" x14ac:dyDescent="0.35">
      <c r="A80" s="992" t="s">
        <v>639</v>
      </c>
      <c r="B80" s="993"/>
    </row>
    <row r="81" spans="1:2" x14ac:dyDescent="0.35">
      <c r="A81" s="992" t="s">
        <v>642</v>
      </c>
      <c r="B81" s="994"/>
    </row>
    <row r="82" spans="1:2" x14ac:dyDescent="0.35">
      <c r="A82" s="995" t="s">
        <v>735</v>
      </c>
      <c r="B82" s="996"/>
    </row>
    <row r="84" spans="1:2" x14ac:dyDescent="0.35">
      <c r="A84" s="81"/>
      <c r="B84" s="1" t="s">
        <v>736</v>
      </c>
    </row>
    <row r="85" spans="1:2" x14ac:dyDescent="0.35">
      <c r="A85" s="82"/>
      <c r="B85" s="1" t="s">
        <v>737</v>
      </c>
    </row>
  </sheetData>
  <mergeCells count="47">
    <mergeCell ref="A50:B50"/>
    <mergeCell ref="A54:B54"/>
    <mergeCell ref="A58:B58"/>
    <mergeCell ref="A62:B62"/>
    <mergeCell ref="A66:B6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933" priority="3" operator="equal">
      <formula>"X"</formula>
    </cfRule>
    <cfRule type="cellIs" dxfId="2932" priority="4" operator="equal">
      <formula>"I"</formula>
    </cfRule>
  </conditionalFormatting>
  <conditionalFormatting sqref="H32:H41">
    <cfRule type="cellIs" dxfId="2931" priority="1" operator="equal">
      <formula>"X"</formula>
    </cfRule>
    <cfRule type="cellIs" dxfId="2930" priority="2" operator="equal">
      <formula>"I"</formula>
    </cfRule>
  </conditionalFormatting>
  <conditionalFormatting sqref="J20:J30">
    <cfRule type="cellIs" dxfId="2929" priority="7" operator="equal">
      <formula>"X"</formula>
    </cfRule>
    <cfRule type="cellIs" dxfId="2928" priority="8" operator="equal">
      <formula>"I"</formula>
    </cfRule>
  </conditionalFormatting>
  <conditionalFormatting sqref="J32:J41">
    <cfRule type="cellIs" dxfId="2927" priority="5" operator="equal">
      <formula>"X"</formula>
    </cfRule>
    <cfRule type="cellIs" dxfId="2926" priority="6" operator="equal">
      <formula>"I"</formula>
    </cfRule>
  </conditionalFormatting>
  <conditionalFormatting sqref="L20:L30">
    <cfRule type="cellIs" dxfId="2925" priority="11" operator="equal">
      <formula>"X"</formula>
    </cfRule>
    <cfRule type="cellIs" dxfId="2924" priority="12" operator="equal">
      <formula>"I"</formula>
    </cfRule>
  </conditionalFormatting>
  <conditionalFormatting sqref="L32:L41">
    <cfRule type="cellIs" dxfId="2923" priority="9" operator="equal">
      <formula>"X"</formula>
    </cfRule>
    <cfRule type="cellIs" dxfId="2922" priority="10" operator="equal">
      <formula>"I"</formula>
    </cfRule>
  </conditionalFormatting>
  <conditionalFormatting sqref="N20:N30">
    <cfRule type="cellIs" dxfId="2921" priority="15" operator="equal">
      <formula>"X"</formula>
    </cfRule>
    <cfRule type="cellIs" dxfId="2920" priority="16" operator="equal">
      <formula>"I"</formula>
    </cfRule>
  </conditionalFormatting>
  <conditionalFormatting sqref="N32:N41">
    <cfRule type="cellIs" dxfId="2919" priority="13" operator="equal">
      <formula>"X"</formula>
    </cfRule>
    <cfRule type="cellIs" dxfId="2918" priority="14" operator="equal">
      <formula>"I"</formula>
    </cfRule>
  </conditionalFormatting>
  <conditionalFormatting sqref="P20:P30">
    <cfRule type="cellIs" dxfId="2917" priority="19" operator="equal">
      <formula>"X"</formula>
    </cfRule>
    <cfRule type="cellIs" dxfId="2916" priority="20" operator="equal">
      <formula>"I"</formula>
    </cfRule>
  </conditionalFormatting>
  <conditionalFormatting sqref="P32:P41">
    <cfRule type="cellIs" dxfId="2915" priority="17" operator="equal">
      <formula>"X"</formula>
    </cfRule>
    <cfRule type="cellIs" dxfId="2914" priority="18" operator="equal">
      <formula>"I"</formula>
    </cfRule>
  </conditionalFormatting>
  <conditionalFormatting sqref="R20:R30">
    <cfRule type="cellIs" dxfId="2913" priority="23" operator="equal">
      <formula>"X"</formula>
    </cfRule>
    <cfRule type="cellIs" dxfId="2912" priority="24" operator="equal">
      <formula>"I"</formula>
    </cfRule>
  </conditionalFormatting>
  <conditionalFormatting sqref="R32:R41">
    <cfRule type="cellIs" dxfId="2911" priority="21" operator="equal">
      <formula>"X"</formula>
    </cfRule>
    <cfRule type="cellIs" dxfId="2910" priority="22" operator="equal">
      <formula>"I"</formula>
    </cfRule>
  </conditionalFormatting>
  <hyperlinks>
    <hyperlink ref="B3" location="'Cost Summary'!A1" display="BACK TO SUMMARY SHEET" xr:uid="{282CA93C-C9EA-442C-B76C-33596225F58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F979-116E-4F4F-ACC0-DB38A8DCA7E4}">
  <sheetPr>
    <tabColor rgb="FF92D050"/>
  </sheetPr>
  <dimension ref="A1:S85"/>
  <sheetViews>
    <sheetView zoomScale="91" zoomScaleNormal="91" workbookViewId="0">
      <pane xSplit="2" ySplit="19" topLeftCell="C29" activePane="bottomRight" state="frozen"/>
      <selection pane="topRight" activeCell="C1" sqref="C1"/>
      <selection pane="bottomLeft" activeCell="A20" sqref="A20"/>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6.54296875" style="2" customWidth="1"/>
    <col min="14" max="14" width="7.453125" style="2" bestFit="1" customWidth="1"/>
    <col min="15" max="15" width="14.81640625" style="2" customWidth="1"/>
    <col min="16" max="16" width="7.453125" style="2" customWidth="1"/>
    <col min="17" max="17" width="16.5429687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76"/>
      <c r="I2" s="3776"/>
      <c r="J2" s="3751"/>
      <c r="K2" s="3751"/>
      <c r="L2" s="3751"/>
      <c r="M2" s="3751"/>
      <c r="N2" s="3751"/>
      <c r="O2" s="3751"/>
      <c r="P2" s="3751"/>
      <c r="Q2" s="3751"/>
      <c r="R2" s="3751"/>
      <c r="S2" s="3751"/>
    </row>
    <row r="3" spans="1:19" ht="20" thickBot="1" x14ac:dyDescent="0.4">
      <c r="B3" s="137" t="s">
        <v>623</v>
      </c>
      <c r="E3" s="152"/>
      <c r="F3" s="124" t="s">
        <v>624</v>
      </c>
      <c r="G3" s="123" t="s">
        <v>557</v>
      </c>
      <c r="H3" s="3754" t="s">
        <v>871</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875</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458</v>
      </c>
      <c r="C6" s="642"/>
      <c r="D6" s="642"/>
      <c r="E6" s="642"/>
      <c r="F6" s="642"/>
      <c r="G6" s="643" t="s">
        <v>639</v>
      </c>
      <c r="H6" s="3756"/>
      <c r="I6" s="3757"/>
      <c r="J6" s="3756"/>
      <c r="K6" s="3757"/>
      <c r="L6" s="3777"/>
      <c r="M6" s="3757"/>
      <c r="N6" s="3756"/>
      <c r="O6" s="3757"/>
      <c r="P6" s="3777"/>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ht="15" thickBot="1" x14ac:dyDescent="0.4">
      <c r="A8" s="938" t="s">
        <v>644</v>
      </c>
      <c r="B8" s="939"/>
      <c r="C8" s="940"/>
      <c r="D8" s="940"/>
      <c r="E8" s="940"/>
      <c r="F8" s="940"/>
      <c r="G8" s="1024" t="s">
        <v>644</v>
      </c>
      <c r="H8" s="3760">
        <f>I46</f>
        <v>0</v>
      </c>
      <c r="I8" s="3761"/>
      <c r="J8" s="3760">
        <f>K46</f>
        <v>0</v>
      </c>
      <c r="K8" s="3761"/>
      <c r="L8" s="3760">
        <f>M46</f>
        <v>0</v>
      </c>
      <c r="M8" s="3761"/>
      <c r="N8" s="3760">
        <f>O46</f>
        <v>0</v>
      </c>
      <c r="O8" s="3761"/>
      <c r="P8" s="3760">
        <f>Q46</f>
        <v>0</v>
      </c>
      <c r="Q8" s="3761"/>
      <c r="R8" s="3760">
        <f>S46</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1056"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thickTop="1" x14ac:dyDescent="0.35">
      <c r="A16" s="689"/>
      <c r="B16" s="641" t="e">
        <f>#REF!</f>
        <v>#REF!</v>
      </c>
      <c r="C16" s="647"/>
      <c r="D16" s="642"/>
      <c r="E16" s="642"/>
      <c r="F16" s="642"/>
      <c r="G16" s="646"/>
      <c r="H16" s="942"/>
      <c r="I16" s="942"/>
      <c r="J16" s="942"/>
      <c r="K16" s="942"/>
      <c r="L16" s="942"/>
      <c r="M16" s="942"/>
      <c r="N16" s="942"/>
      <c r="O16" s="942"/>
      <c r="P16" s="942"/>
      <c r="Q16" s="942"/>
      <c r="R16" s="942"/>
      <c r="S16" s="942"/>
    </row>
    <row r="17" spans="1:19" ht="15" hidden="1" customHeight="1" thickTop="1" x14ac:dyDescent="0.35">
      <c r="A17" s="689"/>
      <c r="B17" s="641" t="e">
        <f>#REF!</f>
        <v>#REF!</v>
      </c>
      <c r="C17" s="647"/>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1079"/>
      <c r="B21" s="648" t="s">
        <v>875</v>
      </c>
      <c r="C21" s="647"/>
      <c r="D21" s="642"/>
      <c r="E21" s="642"/>
      <c r="F21" s="642"/>
      <c r="G21" s="646"/>
      <c r="H21" s="943"/>
      <c r="I21" s="1031"/>
      <c r="J21" s="943"/>
      <c r="K21" s="1031"/>
      <c r="L21" s="943"/>
      <c r="M21" s="1031"/>
      <c r="N21" s="943"/>
      <c r="O21" s="1031"/>
      <c r="P21" s="943"/>
      <c r="Q21" s="1031"/>
      <c r="R21" s="943"/>
      <c r="S21" s="1031"/>
    </row>
    <row r="22" spans="1:19" ht="16" thickBot="1" x14ac:dyDescent="0.4">
      <c r="A22" s="1155"/>
      <c r="B22" s="1081" t="s">
        <v>657</v>
      </c>
      <c r="C22" s="681"/>
      <c r="D22" s="642"/>
      <c r="E22" s="642"/>
      <c r="F22" s="642"/>
      <c r="G22" s="646"/>
      <c r="H22" s="943"/>
      <c r="I22" s="1156"/>
      <c r="J22" s="943"/>
      <c r="K22" s="1031"/>
      <c r="L22" s="943"/>
      <c r="M22" s="1031"/>
      <c r="N22" s="943"/>
      <c r="O22" s="1031"/>
      <c r="P22" s="943"/>
      <c r="Q22" s="1031"/>
      <c r="R22" s="943"/>
      <c r="S22" s="1031"/>
    </row>
    <row r="23" spans="1:19" ht="15.75" customHeight="1" x14ac:dyDescent="0.35">
      <c r="A23" s="1079"/>
      <c r="B23" s="603" t="s">
        <v>658</v>
      </c>
      <c r="C23" s="647"/>
      <c r="D23" s="642"/>
      <c r="E23" s="642"/>
      <c r="F23" s="642"/>
      <c r="G23" s="646"/>
      <c r="H23" s="943"/>
      <c r="I23" s="1031"/>
      <c r="J23" s="943"/>
      <c r="K23" s="1031"/>
      <c r="L23" s="943"/>
      <c r="M23" s="1031"/>
      <c r="N23" s="943"/>
      <c r="O23" s="1031"/>
      <c r="P23" s="943"/>
      <c r="Q23" s="1031"/>
      <c r="R23" s="943"/>
      <c r="S23" s="1031"/>
    </row>
    <row r="24" spans="1:19" x14ac:dyDescent="0.35">
      <c r="A24" s="1079"/>
      <c r="B24" s="1157" t="s">
        <v>659</v>
      </c>
      <c r="C24" s="647"/>
      <c r="D24" s="642"/>
      <c r="E24" s="642"/>
      <c r="F24" s="642"/>
      <c r="G24" s="646"/>
      <c r="H24" s="943"/>
      <c r="I24" s="1158"/>
      <c r="J24" s="943"/>
      <c r="K24" s="1158"/>
      <c r="L24" s="943"/>
      <c r="M24" s="1158"/>
      <c r="N24" s="943"/>
      <c r="O24" s="1158"/>
      <c r="P24" s="943"/>
      <c r="Q24" s="1158"/>
      <c r="R24" s="943"/>
      <c r="S24" s="1158"/>
    </row>
    <row r="25" spans="1:19" ht="15.75" customHeight="1" x14ac:dyDescent="0.35">
      <c r="A25" s="1079"/>
      <c r="B25" s="1159" t="s">
        <v>660</v>
      </c>
      <c r="C25" s="647"/>
      <c r="D25" s="642"/>
      <c r="E25" s="642"/>
      <c r="F25" s="642"/>
      <c r="G25" s="646"/>
      <c r="H25" s="943"/>
      <c r="I25" s="1158"/>
      <c r="J25" s="943"/>
      <c r="K25" s="1158"/>
      <c r="L25" s="943"/>
      <c r="M25" s="1140"/>
      <c r="N25" s="943"/>
      <c r="O25" s="1158"/>
      <c r="P25" s="943"/>
      <c r="Q25" s="1140"/>
      <c r="R25" s="943"/>
      <c r="S25" s="1158"/>
    </row>
    <row r="26" spans="1:19" x14ac:dyDescent="0.35">
      <c r="A26" s="1079"/>
      <c r="B26" s="1159" t="s">
        <v>661</v>
      </c>
      <c r="C26" s="1086"/>
      <c r="D26" s="682"/>
      <c r="E26" s="642"/>
      <c r="F26" s="642"/>
      <c r="G26" s="646"/>
      <c r="H26" s="943"/>
      <c r="I26" s="1158"/>
      <c r="J26" s="943"/>
      <c r="K26" s="1031"/>
      <c r="L26" s="943"/>
      <c r="M26" s="984"/>
      <c r="N26" s="943"/>
      <c r="O26" s="1031"/>
      <c r="P26" s="943"/>
      <c r="Q26" s="984"/>
      <c r="R26" s="943"/>
      <c r="S26" s="1031"/>
    </row>
    <row r="27" spans="1:19" x14ac:dyDescent="0.35">
      <c r="A27" s="1079"/>
      <c r="B27" s="1159" t="s">
        <v>662</v>
      </c>
      <c r="C27" s="1086"/>
      <c r="D27" s="682"/>
      <c r="E27" s="642"/>
      <c r="F27" s="642"/>
      <c r="G27" s="646"/>
      <c r="H27" s="943"/>
      <c r="I27" s="1158"/>
      <c r="J27" s="943"/>
      <c r="K27" s="1031"/>
      <c r="L27" s="943"/>
      <c r="M27" s="984"/>
      <c r="N27" s="943"/>
      <c r="O27" s="1031"/>
      <c r="P27" s="943"/>
      <c r="Q27" s="984"/>
      <c r="R27" s="943"/>
      <c r="S27" s="1031"/>
    </row>
    <row r="28" spans="1:19" x14ac:dyDescent="0.35">
      <c r="A28" s="1079"/>
      <c r="B28" s="1159" t="s">
        <v>663</v>
      </c>
      <c r="C28" s="1086"/>
      <c r="D28" s="682"/>
      <c r="E28" s="642"/>
      <c r="F28" s="642"/>
      <c r="G28" s="646"/>
      <c r="H28" s="943"/>
      <c r="I28" s="1158"/>
      <c r="J28" s="943"/>
      <c r="K28" s="1031"/>
      <c r="L28" s="943"/>
      <c r="M28" s="984"/>
      <c r="N28" s="943"/>
      <c r="O28" s="1031"/>
      <c r="P28" s="943"/>
      <c r="Q28" s="984"/>
      <c r="R28" s="943"/>
      <c r="S28" s="1031"/>
    </row>
    <row r="29" spans="1:19" x14ac:dyDescent="0.35">
      <c r="A29" s="1079"/>
      <c r="B29" s="1159" t="s">
        <v>742</v>
      </c>
      <c r="C29" s="1086"/>
      <c r="D29" s="682"/>
      <c r="E29" s="642"/>
      <c r="F29" s="642"/>
      <c r="G29" s="646"/>
      <c r="H29" s="943"/>
      <c r="I29" s="1158"/>
      <c r="J29" s="943"/>
      <c r="K29" s="1031"/>
      <c r="L29" s="943"/>
      <c r="M29" s="984"/>
      <c r="N29" s="943"/>
      <c r="O29" s="1031"/>
      <c r="P29" s="943"/>
      <c r="Q29" s="984"/>
      <c r="R29" s="943"/>
      <c r="S29" s="1031"/>
    </row>
    <row r="30" spans="1:19" x14ac:dyDescent="0.35">
      <c r="A30" s="1079"/>
      <c r="B30" s="1160" t="s">
        <v>664</v>
      </c>
      <c r="C30" s="1086"/>
      <c r="D30" s="682"/>
      <c r="E30" s="642"/>
      <c r="F30" s="642"/>
      <c r="G30" s="646"/>
      <c r="H30" s="943"/>
      <c r="I30" s="1158"/>
      <c r="J30" s="943"/>
      <c r="K30" s="1031"/>
      <c r="L30" s="943"/>
      <c r="M30" s="984"/>
      <c r="N30" s="943"/>
      <c r="O30" s="1031"/>
      <c r="P30" s="943"/>
      <c r="Q30" s="984"/>
      <c r="R30" s="943"/>
      <c r="S30" s="1031"/>
    </row>
    <row r="31" spans="1:19" x14ac:dyDescent="0.35">
      <c r="A31" s="1079"/>
      <c r="B31" s="1161" t="s">
        <v>665</v>
      </c>
      <c r="C31" s="1142"/>
      <c r="D31" s="1143"/>
      <c r="E31" s="650"/>
      <c r="F31" s="650"/>
      <c r="G31" s="952"/>
      <c r="H31" s="636"/>
      <c r="I31" s="1162"/>
      <c r="J31" s="636"/>
      <c r="K31" s="1163"/>
      <c r="L31" s="1146"/>
      <c r="M31" s="1147"/>
      <c r="N31" s="1148"/>
      <c r="O31" s="1163"/>
      <c r="P31" s="1146"/>
      <c r="Q31" s="1147"/>
      <c r="R31" s="1148"/>
      <c r="S31" s="1163"/>
    </row>
    <row r="32" spans="1:19" x14ac:dyDescent="0.35">
      <c r="A32" s="1079"/>
      <c r="B32" s="1164" t="s">
        <v>874</v>
      </c>
      <c r="C32" s="1086"/>
      <c r="D32" s="682"/>
      <c r="E32" s="642"/>
      <c r="F32" s="642"/>
      <c r="G32" s="646"/>
      <c r="H32" s="943"/>
      <c r="I32" s="1158"/>
      <c r="J32" s="943"/>
      <c r="K32" s="1031"/>
      <c r="L32" s="943"/>
      <c r="M32" s="984"/>
      <c r="N32" s="943"/>
      <c r="O32" s="1031"/>
      <c r="P32" s="943"/>
      <c r="Q32" s="984"/>
      <c r="R32" s="943"/>
      <c r="S32" s="1031"/>
    </row>
    <row r="33" spans="1:19" x14ac:dyDescent="0.35">
      <c r="A33" s="1079"/>
      <c r="B33" s="1150"/>
      <c r="C33" s="1086"/>
      <c r="D33" s="682"/>
      <c r="E33" s="642"/>
      <c r="F33" s="642"/>
      <c r="G33" s="646"/>
      <c r="H33" s="943"/>
      <c r="I33" s="1158"/>
      <c r="J33" s="943"/>
      <c r="K33" s="1031"/>
      <c r="L33" s="943"/>
      <c r="M33" s="984"/>
      <c r="N33" s="943"/>
      <c r="O33" s="1031"/>
      <c r="P33" s="943"/>
      <c r="Q33" s="984"/>
      <c r="R33" s="943"/>
      <c r="S33" s="1031"/>
    </row>
    <row r="34" spans="1:19" x14ac:dyDescent="0.35">
      <c r="A34" s="1079"/>
      <c r="B34" s="1151"/>
      <c r="C34" s="1086"/>
      <c r="D34" s="682"/>
      <c r="E34" s="642"/>
      <c r="F34" s="642"/>
      <c r="G34" s="646"/>
      <c r="H34" s="943"/>
      <c r="I34" s="1158"/>
      <c r="J34" s="943"/>
      <c r="K34" s="1031"/>
      <c r="L34" s="943" t="s">
        <v>669</v>
      </c>
      <c r="M34" s="984"/>
      <c r="N34" s="943"/>
      <c r="O34" s="1031"/>
      <c r="P34" s="943"/>
      <c r="Q34" s="984"/>
      <c r="R34" s="943"/>
      <c r="S34" s="1031"/>
    </row>
    <row r="35" spans="1:19" x14ac:dyDescent="0.35">
      <c r="A35" s="1079"/>
      <c r="B35" s="1109"/>
      <c r="C35" s="1086"/>
      <c r="D35" s="682"/>
      <c r="E35" s="642"/>
      <c r="F35" s="642"/>
      <c r="G35" s="646"/>
      <c r="H35" s="943"/>
      <c r="I35" s="1158"/>
      <c r="J35" s="943"/>
      <c r="K35" s="1031"/>
      <c r="L35" s="943"/>
      <c r="M35" s="984"/>
      <c r="N35" s="943"/>
      <c r="O35" s="1031"/>
      <c r="P35" s="943"/>
      <c r="Q35" s="984"/>
      <c r="R35" s="943"/>
      <c r="S35" s="1031"/>
    </row>
    <row r="36" spans="1:19" x14ac:dyDescent="0.35">
      <c r="A36" s="1079"/>
      <c r="B36" s="1109"/>
      <c r="C36" s="1086"/>
      <c r="D36" s="682"/>
      <c r="E36" s="642"/>
      <c r="F36" s="642"/>
      <c r="G36" s="646"/>
      <c r="H36" s="943"/>
      <c r="I36" s="1158"/>
      <c r="J36" s="943"/>
      <c r="K36" s="1031"/>
      <c r="L36" s="943"/>
      <c r="M36" s="984"/>
      <c r="N36" s="943"/>
      <c r="O36" s="1031"/>
      <c r="P36" s="943"/>
      <c r="Q36" s="984"/>
      <c r="R36" s="943"/>
      <c r="S36" s="1031"/>
    </row>
    <row r="37" spans="1:19" x14ac:dyDescent="0.35">
      <c r="A37" s="1079"/>
      <c r="B37" s="1109"/>
      <c r="C37" s="1086"/>
      <c r="D37" s="682"/>
      <c r="E37" s="642"/>
      <c r="F37" s="642"/>
      <c r="G37" s="646"/>
      <c r="H37" s="943"/>
      <c r="I37" s="1158"/>
      <c r="J37" s="943"/>
      <c r="K37" s="1031"/>
      <c r="L37" s="943"/>
      <c r="M37" s="984"/>
      <c r="N37" s="943"/>
      <c r="O37" s="1031"/>
      <c r="P37" s="943"/>
      <c r="Q37" s="984"/>
      <c r="R37" s="943"/>
      <c r="S37" s="1031"/>
    </row>
    <row r="38" spans="1:19" x14ac:dyDescent="0.35">
      <c r="A38" s="1079"/>
      <c r="B38" s="1109"/>
      <c r="C38" s="1086"/>
      <c r="D38" s="682"/>
      <c r="E38" s="642"/>
      <c r="F38" s="642"/>
      <c r="G38" s="646"/>
      <c r="H38" s="943"/>
      <c r="I38" s="1158"/>
      <c r="J38" s="943"/>
      <c r="K38" s="1031"/>
      <c r="L38" s="943"/>
      <c r="M38" s="984"/>
      <c r="N38" s="943"/>
      <c r="O38" s="1031"/>
      <c r="P38" s="943"/>
      <c r="Q38" s="984"/>
      <c r="R38" s="943"/>
      <c r="S38" s="1031"/>
    </row>
    <row r="39" spans="1:19" x14ac:dyDescent="0.35">
      <c r="A39" s="1079"/>
      <c r="B39" s="1104"/>
      <c r="C39" s="642"/>
      <c r="D39" s="682"/>
      <c r="E39" s="642"/>
      <c r="F39" s="642"/>
      <c r="G39" s="646"/>
      <c r="H39" s="943"/>
      <c r="I39" s="1158"/>
      <c r="J39" s="943"/>
      <c r="K39" s="1158"/>
      <c r="L39" s="943"/>
      <c r="M39" s="1140"/>
      <c r="N39" s="943"/>
      <c r="O39" s="1031"/>
      <c r="P39" s="943"/>
      <c r="Q39" s="1140"/>
      <c r="R39" s="943"/>
      <c r="S39" s="1031"/>
    </row>
    <row r="40" spans="1:19" x14ac:dyDescent="0.35">
      <c r="A40" s="1079"/>
      <c r="B40" s="1104"/>
      <c r="C40" s="1039"/>
      <c r="D40" s="940"/>
      <c r="E40" s="940"/>
      <c r="F40" s="940"/>
      <c r="G40" s="1039"/>
      <c r="H40" s="943"/>
      <c r="I40" s="1158"/>
      <c r="J40" s="943"/>
      <c r="K40" s="1158"/>
      <c r="L40" s="943"/>
      <c r="M40" s="1140"/>
      <c r="N40" s="943"/>
      <c r="O40" s="1158"/>
      <c r="P40" s="943"/>
      <c r="Q40" s="1140"/>
      <c r="R40" s="943"/>
      <c r="S40" s="1158"/>
    </row>
    <row r="41" spans="1:19" ht="15" thickBot="1" x14ac:dyDescent="0.4">
      <c r="A41" s="1116"/>
      <c r="B41" s="1104"/>
      <c r="C41" s="1117"/>
      <c r="D41" s="1118"/>
      <c r="E41" s="1118"/>
      <c r="F41" s="1118"/>
      <c r="G41" s="1117"/>
      <c r="H41" s="943"/>
      <c r="I41" s="1119"/>
      <c r="J41" s="943"/>
      <c r="K41" s="1119"/>
      <c r="L41" s="943"/>
      <c r="M41" s="1152"/>
      <c r="N41" s="943"/>
      <c r="O41" s="1119"/>
      <c r="P41" s="943"/>
      <c r="Q41" s="1152"/>
      <c r="R41" s="943"/>
      <c r="S41" s="1119"/>
    </row>
    <row r="42" spans="1:19" ht="15" thickTop="1" x14ac:dyDescent="0.35">
      <c r="A42" s="14"/>
      <c r="B42" s="15"/>
      <c r="C42" s="16"/>
      <c r="D42" s="16"/>
      <c r="E42" s="17"/>
      <c r="F42" s="18" t="s">
        <v>715</v>
      </c>
      <c r="G42" s="19"/>
      <c r="H42" s="20"/>
      <c r="I42" s="50">
        <f>SUM(I24:I41)</f>
        <v>0</v>
      </c>
      <c r="J42" s="20"/>
      <c r="K42" s="50">
        <f>SUM(K24:K41)</f>
        <v>0</v>
      </c>
      <c r="L42" s="20"/>
      <c r="M42" s="50">
        <f>SUM(M24:M41)</f>
        <v>0</v>
      </c>
      <c r="N42" s="20"/>
      <c r="O42" s="50">
        <f>SUM(O24:O41)</f>
        <v>0</v>
      </c>
      <c r="P42" s="20"/>
      <c r="Q42" s="50">
        <f>SUM(Q24:Q41)</f>
        <v>0</v>
      </c>
      <c r="R42" s="20"/>
      <c r="S42" s="50">
        <f>SUM(S24:S41)</f>
        <v>0</v>
      </c>
    </row>
    <row r="43" spans="1:19" x14ac:dyDescent="0.35">
      <c r="A43" s="684"/>
      <c r="B43" s="655"/>
      <c r="C43" s="656"/>
      <c r="D43" s="656"/>
      <c r="E43" s="657"/>
      <c r="F43" s="658" t="s">
        <v>716</v>
      </c>
      <c r="G43" s="659"/>
      <c r="H43" s="959">
        <v>0</v>
      </c>
      <c r="I43" s="1121"/>
      <c r="J43" s="959">
        <v>0</v>
      </c>
      <c r="K43" s="1121"/>
      <c r="L43" s="1153">
        <v>0</v>
      </c>
      <c r="M43" s="1121"/>
      <c r="N43" s="959">
        <v>0</v>
      </c>
      <c r="O43" s="1121"/>
      <c r="P43" s="1153">
        <v>0</v>
      </c>
      <c r="Q43" s="1121"/>
      <c r="R43" s="959">
        <v>0</v>
      </c>
      <c r="S43" s="1121"/>
    </row>
    <row r="44" spans="1:19" x14ac:dyDescent="0.35">
      <c r="A44" s="684"/>
      <c r="B44" s="655"/>
      <c r="C44" s="656"/>
      <c r="D44" s="656"/>
      <c r="E44" s="657"/>
      <c r="F44" s="658" t="s">
        <v>717</v>
      </c>
      <c r="G44" s="659"/>
      <c r="H44" s="961"/>
      <c r="I44" s="1122">
        <f>H43*I42</f>
        <v>0</v>
      </c>
      <c r="J44" s="961"/>
      <c r="K44" s="1122">
        <f>J43*K42</f>
        <v>0</v>
      </c>
      <c r="L44" s="961"/>
      <c r="M44" s="1122">
        <f>L43*M42</f>
        <v>0</v>
      </c>
      <c r="N44" s="961"/>
      <c r="O44" s="1122">
        <f>N43*O42</f>
        <v>0</v>
      </c>
      <c r="P44" s="961"/>
      <c r="Q44" s="1122">
        <f>P43*Q42</f>
        <v>0</v>
      </c>
      <c r="R44" s="961"/>
      <c r="S44" s="1122">
        <f>R43*S42</f>
        <v>0</v>
      </c>
    </row>
    <row r="45" spans="1:19" x14ac:dyDescent="0.35">
      <c r="A45" s="684"/>
      <c r="B45" s="655"/>
      <c r="C45" s="656"/>
      <c r="D45" s="656"/>
      <c r="E45" s="657"/>
      <c r="F45" s="658"/>
      <c r="G45" s="659"/>
      <c r="H45" s="961"/>
      <c r="I45" s="963"/>
      <c r="J45" s="961"/>
      <c r="K45" s="963"/>
      <c r="L45" s="961"/>
      <c r="M45" s="963"/>
      <c r="N45" s="961"/>
      <c r="O45" s="963"/>
      <c r="P45" s="961"/>
      <c r="Q45" s="963"/>
      <c r="R45" s="961"/>
      <c r="S45" s="963"/>
    </row>
    <row r="46" spans="1:19" x14ac:dyDescent="0.35">
      <c r="A46" s="684"/>
      <c r="B46" s="655"/>
      <c r="C46" s="656"/>
      <c r="D46" s="656"/>
      <c r="E46" s="657"/>
      <c r="F46" s="658" t="s">
        <v>718</v>
      </c>
      <c r="G46" s="659"/>
      <c r="H46" s="964"/>
      <c r="I46" s="962">
        <f>SUM(I42:I44)</f>
        <v>0</v>
      </c>
      <c r="J46" s="964"/>
      <c r="K46" s="962">
        <f>SUM(K42:K44)</f>
        <v>0</v>
      </c>
      <c r="L46" s="964"/>
      <c r="M46" s="962">
        <f>SUM(M42:M44)</f>
        <v>0</v>
      </c>
      <c r="N46" s="964"/>
      <c r="O46" s="962">
        <f>SUM(O42:O44)</f>
        <v>0</v>
      </c>
      <c r="P46" s="964"/>
      <c r="Q46" s="962">
        <f>SUM(Q42:Q44)</f>
        <v>0</v>
      </c>
      <c r="R46" s="964"/>
      <c r="S46" s="962">
        <f>SUM(S42:S44)</f>
        <v>0</v>
      </c>
    </row>
    <row r="47" spans="1:19" x14ac:dyDescent="0.35">
      <c r="A47" s="684"/>
      <c r="B47" s="655"/>
      <c r="C47" s="656"/>
      <c r="D47" s="656"/>
      <c r="E47" s="657"/>
      <c r="F47" s="660" t="s">
        <v>719</v>
      </c>
      <c r="G47" s="661"/>
      <c r="H47" s="965"/>
      <c r="I47" s="966" t="e">
        <f>I46/#REF!</f>
        <v>#REF!</v>
      </c>
      <c r="J47" s="965"/>
      <c r="K47" s="966" t="e">
        <f>K46/#REF!</f>
        <v>#REF!</v>
      </c>
      <c r="L47" s="965"/>
      <c r="M47" s="966" t="e">
        <f>M46/#REF!</f>
        <v>#REF!</v>
      </c>
      <c r="N47" s="965"/>
      <c r="O47" s="966" t="e">
        <f>O46/#REF!</f>
        <v>#REF!</v>
      </c>
      <c r="P47" s="965"/>
      <c r="Q47" s="966" t="e">
        <f>Q46/#REF!</f>
        <v>#REF!</v>
      </c>
      <c r="R47" s="965"/>
      <c r="S47" s="966" t="e">
        <f>S46/#REF!</f>
        <v>#REF!</v>
      </c>
    </row>
    <row r="48" spans="1:19" x14ac:dyDescent="0.35">
      <c r="A48" s="684"/>
      <c r="B48" s="655"/>
      <c r="C48" s="656"/>
      <c r="D48" s="656"/>
      <c r="E48" s="657"/>
      <c r="F48" s="660" t="s">
        <v>720</v>
      </c>
      <c r="G48" s="662"/>
      <c r="H48" s="965"/>
      <c r="I48" s="966" t="e">
        <f>I46/#REF!</f>
        <v>#REF!</v>
      </c>
      <c r="J48" s="965"/>
      <c r="K48" s="966" t="e">
        <f>K46/#REF!</f>
        <v>#REF!</v>
      </c>
      <c r="L48" s="965"/>
      <c r="M48" s="966" t="e">
        <f>M46/#REF!</f>
        <v>#REF!</v>
      </c>
      <c r="N48" s="965"/>
      <c r="O48" s="966" t="e">
        <f>O46/#REF!</f>
        <v>#REF!</v>
      </c>
      <c r="P48" s="965"/>
      <c r="Q48" s="966" t="e">
        <f>Q46/#REF!</f>
        <v>#REF!</v>
      </c>
      <c r="R48" s="965"/>
      <c r="S48" s="966" t="e">
        <f>S46/#REF!</f>
        <v>#REF!</v>
      </c>
    </row>
    <row r="49" spans="1:19" ht="15" thickBot="1" x14ac:dyDescent="0.4">
      <c r="A49" s="153"/>
      <c r="B49" s="154"/>
      <c r="C49" s="155"/>
      <c r="D49" s="155"/>
      <c r="E49" s="156"/>
      <c r="F49" s="157"/>
      <c r="G49" s="211"/>
      <c r="H49" s="160"/>
      <c r="I49" s="159"/>
      <c r="J49" s="160"/>
      <c r="K49" s="159"/>
      <c r="L49" s="160"/>
      <c r="M49" s="159"/>
      <c r="N49" s="160"/>
      <c r="O49" s="159"/>
      <c r="P49" s="160"/>
      <c r="Q49" s="159"/>
      <c r="R49" s="160"/>
      <c r="S49" s="159"/>
    </row>
    <row r="50" spans="1:19" ht="15.5" thickTop="1" thickBot="1" x14ac:dyDescent="0.4">
      <c r="A50" s="3764" t="s">
        <v>721</v>
      </c>
      <c r="B50" s="3765"/>
      <c r="C50" s="12"/>
      <c r="D50" s="12"/>
      <c r="E50" s="12"/>
      <c r="F50" s="12"/>
      <c r="G50" s="13"/>
      <c r="H50" s="21"/>
      <c r="I50" s="21"/>
      <c r="J50" s="21"/>
      <c r="K50" s="21"/>
      <c r="L50" s="21"/>
      <c r="M50" s="21"/>
      <c r="N50" s="21"/>
      <c r="O50" s="21"/>
      <c r="P50" s="21"/>
      <c r="Q50" s="21"/>
      <c r="R50" s="21"/>
      <c r="S50" s="21"/>
    </row>
    <row r="51" spans="1:19" ht="15" thickTop="1" x14ac:dyDescent="0.35">
      <c r="A51" s="1154"/>
      <c r="B51" s="641"/>
      <c r="C51" s="1057"/>
      <c r="D51" s="1057"/>
      <c r="E51" s="1057"/>
      <c r="F51" s="1057"/>
      <c r="G51" s="1049"/>
      <c r="H51" s="1071"/>
      <c r="I51" s="1071"/>
      <c r="J51" s="1071"/>
      <c r="K51" s="1071"/>
      <c r="L51" s="1071"/>
      <c r="M51" s="1071"/>
      <c r="N51" s="1071"/>
      <c r="O51" s="1071"/>
      <c r="P51" s="1071"/>
      <c r="Q51" s="1071"/>
      <c r="R51" s="1071"/>
      <c r="S51" s="1071"/>
    </row>
    <row r="52" spans="1:19" x14ac:dyDescent="0.35">
      <c r="A52" s="1154"/>
      <c r="B52" s="641"/>
      <c r="C52" s="1057"/>
      <c r="D52" s="1057"/>
      <c r="E52" s="1057"/>
      <c r="F52" s="1057"/>
      <c r="G52" s="1049"/>
      <c r="H52" s="1071"/>
      <c r="I52" s="1071"/>
      <c r="J52" s="1071"/>
      <c r="K52" s="1071"/>
      <c r="L52" s="1071"/>
      <c r="M52" s="1071"/>
      <c r="N52" s="1071"/>
      <c r="O52" s="1071"/>
      <c r="P52" s="1071"/>
      <c r="Q52" s="1071"/>
      <c r="R52" s="1071"/>
      <c r="S52" s="1071"/>
    </row>
    <row r="53" spans="1:19" s="2" customFormat="1" ht="15" thickBot="1" x14ac:dyDescent="0.4">
      <c r="A53" s="1154"/>
      <c r="B53" s="641"/>
      <c r="C53" s="1057"/>
      <c r="D53" s="1057"/>
      <c r="E53" s="1057"/>
      <c r="F53" s="1057"/>
      <c r="G53" s="1049"/>
      <c r="H53" s="1071"/>
      <c r="I53" s="1071"/>
      <c r="J53" s="1071"/>
      <c r="K53" s="1071"/>
      <c r="L53" s="1071"/>
      <c r="M53" s="1071"/>
      <c r="N53" s="1071"/>
      <c r="O53" s="1071"/>
      <c r="P53" s="1071"/>
      <c r="Q53" s="1071"/>
      <c r="R53" s="1071"/>
      <c r="S53" s="1071"/>
    </row>
    <row r="54" spans="1:19" ht="15.5" thickTop="1" thickBot="1" x14ac:dyDescent="0.4">
      <c r="A54" s="3764" t="s">
        <v>722</v>
      </c>
      <c r="B54" s="3765"/>
      <c r="C54" s="12"/>
      <c r="D54" s="12"/>
      <c r="E54" s="12"/>
      <c r="F54" s="12"/>
      <c r="G54" s="13"/>
      <c r="H54" s="21"/>
      <c r="I54" s="21"/>
      <c r="J54" s="21"/>
      <c r="K54" s="21"/>
      <c r="L54" s="21"/>
      <c r="M54" s="21"/>
      <c r="N54" s="21"/>
      <c r="O54" s="21"/>
      <c r="P54" s="21"/>
      <c r="Q54" s="21"/>
      <c r="R54" s="21"/>
      <c r="S54" s="21"/>
    </row>
    <row r="55" spans="1:19" s="2" customFormat="1" ht="15" thickTop="1" x14ac:dyDescent="0.35">
      <c r="A55" s="1154"/>
      <c r="B55" s="641"/>
      <c r="C55" s="1057"/>
      <c r="D55" s="1057"/>
      <c r="E55" s="1057"/>
      <c r="F55" s="1057"/>
      <c r="G55" s="1049"/>
      <c r="H55" s="1071"/>
      <c r="I55" s="1071"/>
      <c r="J55" s="1071"/>
      <c r="K55" s="1071"/>
      <c r="L55" s="1071"/>
      <c r="M55" s="1071"/>
      <c r="N55" s="1071"/>
      <c r="O55" s="1071"/>
      <c r="P55" s="1071"/>
      <c r="Q55" s="1071"/>
      <c r="R55" s="1071"/>
      <c r="S55" s="1071"/>
    </row>
    <row r="56" spans="1:19" s="2" customFormat="1" x14ac:dyDescent="0.35">
      <c r="A56" s="1154"/>
      <c r="B56" s="641"/>
      <c r="C56" s="1057"/>
      <c r="D56" s="1057"/>
      <c r="E56" s="1057"/>
      <c r="F56" s="1057"/>
      <c r="G56" s="1049"/>
      <c r="H56" s="1071"/>
      <c r="I56" s="1071"/>
      <c r="J56" s="1071"/>
      <c r="K56" s="1071"/>
      <c r="L56" s="1071"/>
      <c r="M56" s="1071"/>
      <c r="N56" s="1071"/>
      <c r="O56" s="1071"/>
      <c r="P56" s="1071"/>
      <c r="Q56" s="1071"/>
      <c r="R56" s="1071"/>
      <c r="S56" s="1071"/>
    </row>
    <row r="57" spans="1:19" s="2" customFormat="1" ht="15" thickBot="1" x14ac:dyDescent="0.4">
      <c r="A57" s="1154"/>
      <c r="B57" s="641"/>
      <c r="C57" s="1057"/>
      <c r="D57" s="1057"/>
      <c r="E57" s="1057"/>
      <c r="F57" s="1057"/>
      <c r="G57" s="1049"/>
      <c r="H57" s="1071"/>
      <c r="I57" s="1071"/>
      <c r="J57" s="1071"/>
      <c r="K57" s="1071"/>
      <c r="L57" s="1071"/>
      <c r="M57" s="1071"/>
      <c r="N57" s="1071"/>
      <c r="O57" s="1071"/>
      <c r="P57" s="1071"/>
      <c r="Q57" s="1071"/>
      <c r="R57" s="1071"/>
      <c r="S57" s="1071"/>
    </row>
    <row r="58" spans="1:19" ht="15.5" thickTop="1" thickBot="1" x14ac:dyDescent="0.4">
      <c r="A58" s="3764" t="s">
        <v>723</v>
      </c>
      <c r="B58" s="3765"/>
      <c r="C58" s="12"/>
      <c r="D58" s="12"/>
      <c r="E58" s="12"/>
      <c r="F58" s="12"/>
      <c r="G58" s="13"/>
      <c r="H58" s="21"/>
      <c r="I58" s="21"/>
      <c r="J58" s="21"/>
      <c r="K58" s="21"/>
      <c r="L58" s="21"/>
      <c r="M58" s="21"/>
      <c r="N58" s="21"/>
      <c r="O58" s="21"/>
      <c r="P58" s="21"/>
      <c r="Q58" s="21"/>
      <c r="R58" s="21"/>
      <c r="S58" s="21"/>
    </row>
    <row r="59" spans="1:19" ht="15" thickTop="1" x14ac:dyDescent="0.35">
      <c r="A59" s="1154"/>
      <c r="B59" s="641"/>
      <c r="C59" s="1057"/>
      <c r="D59" s="1057"/>
      <c r="E59" s="1057"/>
      <c r="F59" s="1057"/>
      <c r="G59" s="1049"/>
      <c r="H59" s="1071"/>
      <c r="I59" s="1071"/>
      <c r="J59" s="1071"/>
      <c r="K59" s="1071"/>
      <c r="L59" s="1071"/>
      <c r="M59" s="1071"/>
      <c r="N59" s="1071"/>
      <c r="O59" s="1071"/>
      <c r="P59" s="1071"/>
      <c r="Q59" s="1071"/>
      <c r="R59" s="1071"/>
      <c r="S59" s="1071"/>
    </row>
    <row r="60" spans="1:19" x14ac:dyDescent="0.35">
      <c r="A60" s="689"/>
      <c r="B60" s="641"/>
      <c r="C60" s="642"/>
      <c r="D60" s="642"/>
      <c r="E60" s="642"/>
      <c r="F60" s="642"/>
      <c r="G60" s="646"/>
      <c r="H60" s="973"/>
      <c r="I60" s="973"/>
      <c r="J60" s="973"/>
      <c r="K60" s="973"/>
      <c r="L60" s="973"/>
      <c r="M60" s="973"/>
      <c r="N60" s="973"/>
      <c r="O60" s="973"/>
      <c r="P60" s="973"/>
      <c r="Q60" s="973"/>
      <c r="R60" s="973"/>
      <c r="S60" s="973"/>
    </row>
    <row r="61" spans="1:19" ht="15" thickBot="1" x14ac:dyDescent="0.4">
      <c r="A61" s="686"/>
      <c r="B61" s="665"/>
      <c r="C61" s="642"/>
      <c r="D61" s="642"/>
      <c r="E61" s="642"/>
      <c r="F61" s="642"/>
      <c r="G61" s="646"/>
      <c r="H61" s="974"/>
      <c r="I61" s="974"/>
      <c r="J61" s="974"/>
      <c r="K61" s="974"/>
      <c r="L61" s="974"/>
      <c r="M61" s="974"/>
      <c r="N61" s="974"/>
      <c r="O61" s="974"/>
      <c r="P61" s="974"/>
      <c r="Q61" s="974"/>
      <c r="R61" s="974"/>
      <c r="S61" s="974"/>
    </row>
    <row r="62" spans="1:19" ht="15.5" thickTop="1" thickBot="1" x14ac:dyDescent="0.4">
      <c r="A62" s="3764" t="s">
        <v>724</v>
      </c>
      <c r="B62" s="3765"/>
      <c r="C62" s="12"/>
      <c r="D62" s="12"/>
      <c r="E62" s="12"/>
      <c r="F62" s="12"/>
      <c r="G62" s="13"/>
      <c r="H62" s="21"/>
      <c r="I62" s="21"/>
      <c r="J62" s="21"/>
      <c r="K62" s="21"/>
      <c r="L62" s="21"/>
      <c r="M62" s="21"/>
      <c r="N62" s="21"/>
      <c r="O62" s="21"/>
      <c r="P62" s="21"/>
      <c r="Q62" s="21"/>
      <c r="R62" s="21"/>
      <c r="S62" s="21"/>
    </row>
    <row r="63" spans="1:19" ht="15" thickTop="1" x14ac:dyDescent="0.35">
      <c r="A63" s="1072"/>
      <c r="B63" s="1052"/>
      <c r="C63" s="1057"/>
      <c r="D63" s="1057"/>
      <c r="E63" s="1057"/>
      <c r="F63" s="1057"/>
      <c r="G63" s="1049"/>
      <c r="H63" s="1071"/>
      <c r="I63" s="1071"/>
      <c r="J63" s="1071"/>
      <c r="K63" s="1071"/>
      <c r="L63" s="1071"/>
      <c r="M63" s="1071"/>
      <c r="N63" s="1071"/>
      <c r="O63" s="1071"/>
      <c r="P63" s="1071"/>
      <c r="Q63" s="1071"/>
      <c r="R63" s="1071"/>
      <c r="S63" s="1071"/>
    </row>
    <row r="64" spans="1:19" x14ac:dyDescent="0.35">
      <c r="A64" s="686"/>
      <c r="B64" s="665"/>
      <c r="C64" s="642"/>
      <c r="D64" s="642"/>
      <c r="E64" s="642"/>
      <c r="F64" s="642"/>
      <c r="G64" s="646"/>
      <c r="H64" s="977"/>
      <c r="I64" s="977"/>
      <c r="J64" s="977"/>
      <c r="K64" s="977"/>
      <c r="L64" s="977"/>
      <c r="M64" s="977"/>
      <c r="N64" s="977"/>
      <c r="O64" s="977"/>
      <c r="P64" s="977"/>
      <c r="Q64" s="977"/>
      <c r="R64" s="977"/>
      <c r="S64" s="977"/>
    </row>
    <row r="65" spans="1:19" ht="15" thickBot="1" x14ac:dyDescent="0.4">
      <c r="A65" s="686"/>
      <c r="B65" s="665"/>
      <c r="C65" s="642"/>
      <c r="D65" s="642"/>
      <c r="E65" s="642"/>
      <c r="F65" s="642"/>
      <c r="G65" s="646"/>
      <c r="H65" s="977"/>
      <c r="I65" s="977"/>
      <c r="J65" s="977"/>
      <c r="K65" s="977"/>
      <c r="L65" s="977"/>
      <c r="M65" s="977"/>
      <c r="N65" s="977"/>
      <c r="O65" s="977"/>
      <c r="P65" s="977"/>
      <c r="Q65" s="977"/>
      <c r="R65" s="977"/>
      <c r="S65" s="977"/>
    </row>
    <row r="66" spans="1:19" ht="15.5" thickTop="1" thickBot="1" x14ac:dyDescent="0.4">
      <c r="A66" s="3764" t="s">
        <v>725</v>
      </c>
      <c r="B66" s="3765"/>
      <c r="C66" s="12"/>
      <c r="D66" s="12"/>
      <c r="E66" s="12"/>
      <c r="F66" s="12"/>
      <c r="G66" s="13"/>
      <c r="H66" s="21"/>
      <c r="I66" s="21"/>
      <c r="J66" s="21"/>
      <c r="K66" s="21"/>
      <c r="L66" s="21"/>
      <c r="M66" s="21"/>
      <c r="N66" s="21"/>
      <c r="O66" s="21"/>
      <c r="P66" s="1131"/>
      <c r="Q66" s="1131"/>
      <c r="R66" s="1131"/>
      <c r="S66" s="1131"/>
    </row>
    <row r="67" spans="1:19" ht="15" thickTop="1" x14ac:dyDescent="0.35">
      <c r="A67" s="689"/>
      <c r="B67" s="641" t="s">
        <v>726</v>
      </c>
      <c r="C67" s="642"/>
      <c r="D67" s="642"/>
      <c r="E67" s="642"/>
      <c r="F67" s="642"/>
      <c r="G67" s="646"/>
      <c r="H67" s="977"/>
      <c r="I67" s="977"/>
      <c r="J67" s="977"/>
      <c r="K67" s="977"/>
      <c r="L67" s="977"/>
      <c r="M67" s="977"/>
      <c r="N67" s="977"/>
      <c r="O67" s="977"/>
      <c r="P67" s="977"/>
      <c r="Q67" s="977"/>
      <c r="R67" s="977"/>
      <c r="S67" s="977"/>
    </row>
    <row r="68" spans="1:19" x14ac:dyDescent="0.35">
      <c r="A68" s="689"/>
      <c r="B68" s="641" t="s">
        <v>727</v>
      </c>
      <c r="C68" s="642"/>
      <c r="D68" s="642"/>
      <c r="E68" s="642"/>
      <c r="F68" s="642"/>
      <c r="G68" s="646"/>
      <c r="H68" s="977"/>
      <c r="I68" s="977"/>
      <c r="J68" s="977"/>
      <c r="K68" s="977"/>
      <c r="L68" s="977"/>
      <c r="M68" s="977"/>
      <c r="N68" s="977"/>
      <c r="O68" s="977"/>
      <c r="P68" s="977"/>
      <c r="Q68" s="977"/>
      <c r="R68" s="977"/>
      <c r="S68" s="977"/>
    </row>
    <row r="69" spans="1:19" x14ac:dyDescent="0.35">
      <c r="A69" s="689"/>
      <c r="B69" s="641" t="s">
        <v>728</v>
      </c>
      <c r="C69" s="642"/>
      <c r="D69" s="642"/>
      <c r="E69" s="642"/>
      <c r="F69" s="642"/>
      <c r="G69" s="646"/>
      <c r="H69" s="977"/>
      <c r="I69" s="977"/>
      <c r="J69" s="977"/>
      <c r="K69" s="977"/>
      <c r="L69" s="977"/>
      <c r="M69" s="977"/>
      <c r="N69" s="977"/>
      <c r="O69" s="977"/>
      <c r="P69" s="977"/>
      <c r="Q69" s="977"/>
      <c r="R69" s="977"/>
      <c r="S69" s="977"/>
    </row>
    <row r="70" spans="1:19" x14ac:dyDescent="0.35">
      <c r="A70" s="689"/>
      <c r="B70" s="641" t="s">
        <v>729</v>
      </c>
      <c r="C70" s="642"/>
      <c r="D70" s="642"/>
      <c r="E70" s="642"/>
      <c r="F70" s="642"/>
      <c r="G70" s="646"/>
      <c r="H70" s="977"/>
      <c r="I70" s="977"/>
      <c r="J70" s="977"/>
      <c r="K70" s="977"/>
      <c r="L70" s="977"/>
      <c r="M70" s="977"/>
      <c r="N70" s="977"/>
      <c r="O70" s="977"/>
      <c r="P70" s="977"/>
      <c r="Q70" s="977"/>
      <c r="R70" s="977"/>
      <c r="S70" s="977"/>
    </row>
    <row r="71" spans="1:19" ht="15" thickBot="1" x14ac:dyDescent="0.4">
      <c r="A71" s="978"/>
      <c r="B71" s="939"/>
      <c r="C71" s="940"/>
      <c r="D71" s="940"/>
      <c r="E71" s="940"/>
      <c r="F71" s="940"/>
      <c r="G71" s="1039"/>
      <c r="H71" s="981"/>
      <c r="I71" s="981"/>
      <c r="J71" s="981"/>
      <c r="K71" s="981"/>
      <c r="L71" s="981"/>
      <c r="M71" s="981"/>
      <c r="N71" s="981"/>
      <c r="O71" s="981"/>
      <c r="P71" s="981"/>
      <c r="Q71" s="981"/>
      <c r="R71" s="981"/>
      <c r="S71" s="981"/>
    </row>
    <row r="72" spans="1:19" ht="15.5" thickTop="1" thickBot="1" x14ac:dyDescent="0.4">
      <c r="A72" s="7" t="s">
        <v>730</v>
      </c>
      <c r="B72" s="8"/>
      <c r="C72" s="12"/>
      <c r="D72" s="12"/>
      <c r="E72" s="12"/>
      <c r="F72" s="12"/>
      <c r="G72" s="13"/>
      <c r="H72" s="21"/>
      <c r="I72" s="21"/>
      <c r="J72" s="21"/>
      <c r="K72" s="21"/>
      <c r="L72" s="21"/>
      <c r="M72" s="21"/>
      <c r="N72" s="21"/>
      <c r="O72" s="21"/>
      <c r="P72" s="21"/>
      <c r="Q72" s="21"/>
      <c r="R72" s="21"/>
      <c r="S72" s="21"/>
    </row>
    <row r="73" spans="1:19" ht="15" thickTop="1" x14ac:dyDescent="0.35">
      <c r="A73" s="1154"/>
      <c r="B73" s="1053" t="s">
        <v>731</v>
      </c>
      <c r="C73" s="1057"/>
      <c r="D73" s="1057"/>
      <c r="E73" s="1057"/>
      <c r="F73" s="1057"/>
      <c r="G73" s="1049"/>
      <c r="H73" s="1075"/>
      <c r="I73" s="1075"/>
      <c r="J73" s="1075"/>
      <c r="K73" s="1075"/>
      <c r="L73" s="1075"/>
      <c r="M73" s="1075"/>
      <c r="N73" s="1075"/>
      <c r="O73" s="1075"/>
      <c r="P73" s="1075"/>
      <c r="Q73" s="1075"/>
      <c r="R73" s="1075"/>
      <c r="S73" s="1075"/>
    </row>
    <row r="74" spans="1:19" x14ac:dyDescent="0.35">
      <c r="A74" s="689"/>
      <c r="B74" s="641" t="s">
        <v>732</v>
      </c>
      <c r="C74" s="642"/>
      <c r="D74" s="642"/>
      <c r="E74" s="642"/>
      <c r="F74" s="642"/>
      <c r="G74" s="646"/>
      <c r="H74" s="984"/>
      <c r="I74" s="984"/>
      <c r="J74" s="984"/>
      <c r="K74" s="984"/>
      <c r="L74" s="984"/>
      <c r="M74" s="984"/>
      <c r="N74" s="984"/>
      <c r="O74" s="984"/>
      <c r="P74" s="984"/>
      <c r="Q74" s="984"/>
      <c r="R74" s="984"/>
      <c r="S74" s="984"/>
    </row>
    <row r="75" spans="1:19" ht="15" thickBot="1" x14ac:dyDescent="0.4">
      <c r="A75" s="985"/>
      <c r="B75" s="986" t="s">
        <v>733</v>
      </c>
      <c r="C75" s="987"/>
      <c r="D75" s="987"/>
      <c r="E75" s="987"/>
      <c r="F75" s="987"/>
      <c r="G75" s="1040"/>
      <c r="H75" s="990"/>
      <c r="I75" s="990"/>
      <c r="J75" s="990"/>
      <c r="K75" s="990"/>
      <c r="L75" s="990"/>
      <c r="M75" s="990"/>
      <c r="N75" s="990"/>
      <c r="O75" s="990"/>
      <c r="P75" s="990"/>
      <c r="Q75" s="990"/>
      <c r="R75" s="990"/>
      <c r="S75" s="990"/>
    </row>
    <row r="76" spans="1:19" ht="15.5" thickTop="1" thickBot="1" x14ac:dyDescent="0.4"/>
    <row r="77" spans="1:19" ht="15.5" thickTop="1" thickBot="1" x14ac:dyDescent="0.4">
      <c r="A77" s="78" t="s">
        <v>734</v>
      </c>
      <c r="B77" s="80"/>
    </row>
    <row r="78" spans="1:19" ht="15" thickTop="1" x14ac:dyDescent="0.35">
      <c r="A78" s="79" t="s">
        <v>632</v>
      </c>
      <c r="B78" s="991"/>
    </row>
    <row r="79" spans="1:19" x14ac:dyDescent="0.35">
      <c r="A79" s="687" t="s">
        <v>636</v>
      </c>
      <c r="B79" s="991"/>
    </row>
    <row r="80" spans="1:19" x14ac:dyDescent="0.35">
      <c r="A80" s="992" t="s">
        <v>639</v>
      </c>
      <c r="B80" s="993"/>
    </row>
    <row r="81" spans="1:2" x14ac:dyDescent="0.35">
      <c r="A81" s="992" t="s">
        <v>642</v>
      </c>
      <c r="B81" s="994"/>
    </row>
    <row r="82" spans="1:2" ht="15" thickBot="1" x14ac:dyDescent="0.4">
      <c r="A82" s="995" t="s">
        <v>735</v>
      </c>
      <c r="B82" s="996"/>
    </row>
    <row r="83" spans="1:2" ht="15" thickTop="1" x14ac:dyDescent="0.35"/>
    <row r="84" spans="1:2" x14ac:dyDescent="0.35">
      <c r="A84" s="81"/>
      <c r="B84" s="1" t="s">
        <v>736</v>
      </c>
    </row>
    <row r="85" spans="1:2" x14ac:dyDescent="0.35">
      <c r="A85" s="82"/>
      <c r="B85" s="1" t="s">
        <v>737</v>
      </c>
    </row>
  </sheetData>
  <mergeCells count="47">
    <mergeCell ref="A50:B50"/>
    <mergeCell ref="A54:B54"/>
    <mergeCell ref="A58:B58"/>
    <mergeCell ref="A62:B62"/>
    <mergeCell ref="A66:B6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2909" priority="3" operator="equal">
      <formula>"X"</formula>
    </cfRule>
    <cfRule type="cellIs" dxfId="2908" priority="4" operator="equal">
      <formula>"I"</formula>
    </cfRule>
  </conditionalFormatting>
  <conditionalFormatting sqref="H32:H41">
    <cfRule type="cellIs" dxfId="2907" priority="1" operator="equal">
      <formula>"X"</formula>
    </cfRule>
    <cfRule type="cellIs" dxfId="2906" priority="2" operator="equal">
      <formula>"I"</formula>
    </cfRule>
  </conditionalFormatting>
  <conditionalFormatting sqref="J20:J30">
    <cfRule type="cellIs" dxfId="2905" priority="7" operator="equal">
      <formula>"X"</formula>
    </cfRule>
    <cfRule type="cellIs" dxfId="2904" priority="8" operator="equal">
      <formula>"I"</formula>
    </cfRule>
  </conditionalFormatting>
  <conditionalFormatting sqref="J32:J41">
    <cfRule type="cellIs" dxfId="2903" priority="5" operator="equal">
      <formula>"X"</formula>
    </cfRule>
    <cfRule type="cellIs" dxfId="2902" priority="6" operator="equal">
      <formula>"I"</formula>
    </cfRule>
  </conditionalFormatting>
  <conditionalFormatting sqref="L20:L30">
    <cfRule type="cellIs" dxfId="2901" priority="11" operator="equal">
      <formula>"X"</formula>
    </cfRule>
    <cfRule type="cellIs" dxfId="2900" priority="12" operator="equal">
      <formula>"I"</formula>
    </cfRule>
  </conditionalFormatting>
  <conditionalFormatting sqref="L32:L41">
    <cfRule type="cellIs" dxfId="2899" priority="9" operator="equal">
      <formula>"X"</formula>
    </cfRule>
    <cfRule type="cellIs" dxfId="2898" priority="10" operator="equal">
      <formula>"I"</formula>
    </cfRule>
  </conditionalFormatting>
  <conditionalFormatting sqref="N20:N30">
    <cfRule type="cellIs" dxfId="2897" priority="15" operator="equal">
      <formula>"X"</formula>
    </cfRule>
    <cfRule type="cellIs" dxfId="2896" priority="16" operator="equal">
      <formula>"I"</formula>
    </cfRule>
  </conditionalFormatting>
  <conditionalFormatting sqref="N32:N41">
    <cfRule type="cellIs" dxfId="2895" priority="13" operator="equal">
      <formula>"X"</formula>
    </cfRule>
    <cfRule type="cellIs" dxfId="2894" priority="14" operator="equal">
      <formula>"I"</formula>
    </cfRule>
  </conditionalFormatting>
  <conditionalFormatting sqref="P20:P30">
    <cfRule type="cellIs" dxfId="2893" priority="19" operator="equal">
      <formula>"X"</formula>
    </cfRule>
    <cfRule type="cellIs" dxfId="2892" priority="20" operator="equal">
      <formula>"I"</formula>
    </cfRule>
  </conditionalFormatting>
  <conditionalFormatting sqref="P32:P41">
    <cfRule type="cellIs" dxfId="2891" priority="17" operator="equal">
      <formula>"X"</formula>
    </cfRule>
    <cfRule type="cellIs" dxfId="2890" priority="18" operator="equal">
      <formula>"I"</formula>
    </cfRule>
  </conditionalFormatting>
  <conditionalFormatting sqref="R20:R30">
    <cfRule type="cellIs" dxfId="2889" priority="23" operator="equal">
      <formula>"X"</formula>
    </cfRule>
    <cfRule type="cellIs" dxfId="2888" priority="24" operator="equal">
      <formula>"I"</formula>
    </cfRule>
  </conditionalFormatting>
  <conditionalFormatting sqref="R32:R41">
    <cfRule type="cellIs" dxfId="2887" priority="21" operator="equal">
      <formula>"X"</formula>
    </cfRule>
    <cfRule type="cellIs" dxfId="2886" priority="22" operator="equal">
      <formula>"I"</formula>
    </cfRule>
  </conditionalFormatting>
  <hyperlinks>
    <hyperlink ref="B3" location="'Cost Summary'!A1" display="BACK TO SUMMARY SHEET" xr:uid="{1008E6F8-37B3-41C5-87BA-27B7A59CAE36}"/>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0A71-F448-453D-BC28-DF572E3568E1}">
  <sheetPr>
    <tabColor rgb="FF92D050"/>
  </sheetPr>
  <dimension ref="A1:S135"/>
  <sheetViews>
    <sheetView zoomScale="85" zoomScaleNormal="85"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6.54296875" style="2" customWidth="1"/>
    <col min="14" max="14" width="7.453125" style="2" bestFit="1" customWidth="1"/>
    <col min="15" max="15" width="14.81640625" style="2" customWidth="1"/>
    <col min="16" max="16" width="7.453125" style="2" customWidth="1"/>
    <col min="17" max="17" width="16.5429687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76"/>
      <c r="I2" s="3776"/>
      <c r="J2" s="3751"/>
      <c r="K2" s="3751"/>
      <c r="L2" s="3751"/>
      <c r="M2" s="3751"/>
      <c r="N2" s="3751"/>
      <c r="O2" s="3751"/>
      <c r="P2" s="3751"/>
      <c r="Q2" s="3751"/>
      <c r="R2" s="3751"/>
      <c r="S2" s="3751"/>
    </row>
    <row r="3" spans="1:19" ht="20" thickBot="1" x14ac:dyDescent="0.4">
      <c r="B3" s="137" t="s">
        <v>623</v>
      </c>
      <c r="E3" s="152"/>
      <c r="F3" s="124" t="s">
        <v>624</v>
      </c>
      <c r="G3" s="123" t="s">
        <v>557</v>
      </c>
      <c r="H3" s="3754" t="s">
        <v>871</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876</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877</v>
      </c>
      <c r="C6" s="642"/>
      <c r="D6" s="642"/>
      <c r="E6" s="642"/>
      <c r="F6" s="642"/>
      <c r="G6" s="643" t="s">
        <v>639</v>
      </c>
      <c r="H6" s="3756"/>
      <c r="I6" s="3757"/>
      <c r="J6" s="3756"/>
      <c r="K6" s="3757"/>
      <c r="L6" s="3777"/>
      <c r="M6" s="3757"/>
      <c r="N6" s="3756"/>
      <c r="O6" s="3757"/>
      <c r="P6" s="3777"/>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ht="15" thickBot="1" x14ac:dyDescent="0.4">
      <c r="A8" s="938" t="s">
        <v>644</v>
      </c>
      <c r="B8" s="939"/>
      <c r="C8" s="940"/>
      <c r="D8" s="940"/>
      <c r="E8" s="940"/>
      <c r="F8" s="940"/>
      <c r="G8" s="1024" t="s">
        <v>644</v>
      </c>
      <c r="H8" s="3760">
        <f>I96</f>
        <v>0</v>
      </c>
      <c r="I8" s="3761"/>
      <c r="J8" s="3760">
        <f>K96</f>
        <v>0</v>
      </c>
      <c r="K8" s="3761"/>
      <c r="L8" s="3760">
        <f>M96</f>
        <v>0</v>
      </c>
      <c r="M8" s="3761"/>
      <c r="N8" s="3760">
        <f>O96</f>
        <v>0</v>
      </c>
      <c r="O8" s="3761"/>
      <c r="P8" s="3760">
        <f>Q96</f>
        <v>0</v>
      </c>
      <c r="Q8" s="3761"/>
      <c r="R8" s="3760">
        <f>S96</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1056"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thickTop="1" x14ac:dyDescent="0.35">
      <c r="A16" s="689"/>
      <c r="B16" s="641" t="e">
        <f>#REF!</f>
        <v>#REF!</v>
      </c>
      <c r="C16" s="647"/>
      <c r="D16" s="642"/>
      <c r="E16" s="642"/>
      <c r="F16" s="642"/>
      <c r="G16" s="646"/>
      <c r="H16" s="942"/>
      <c r="I16" s="942"/>
      <c r="J16" s="942"/>
      <c r="K16" s="942"/>
      <c r="L16" s="942"/>
      <c r="M16" s="942"/>
      <c r="N16" s="942"/>
      <c r="O16" s="942"/>
      <c r="P16" s="942"/>
      <c r="Q16" s="942"/>
      <c r="R16" s="942"/>
      <c r="S16" s="942"/>
    </row>
    <row r="17" spans="1:19" ht="15" hidden="1" customHeight="1" thickTop="1" x14ac:dyDescent="0.35">
      <c r="A17" s="689"/>
      <c r="B17" s="641" t="e">
        <f>#REF!</f>
        <v>#REF!</v>
      </c>
      <c r="C17" s="647"/>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1079"/>
      <c r="B21" s="648" t="s">
        <v>876</v>
      </c>
      <c r="C21" s="647"/>
      <c r="D21" s="642"/>
      <c r="E21" s="642"/>
      <c r="F21" s="642"/>
      <c r="G21" s="646"/>
      <c r="H21" s="943"/>
      <c r="I21" s="1031"/>
      <c r="J21" s="943"/>
      <c r="K21" s="1031"/>
      <c r="L21" s="943"/>
      <c r="M21" s="1031"/>
      <c r="N21" s="943"/>
      <c r="O21" s="1031"/>
      <c r="P21" s="943"/>
      <c r="Q21" s="1031"/>
      <c r="R21" s="943"/>
      <c r="S21" s="1031"/>
    </row>
    <row r="22" spans="1:19" ht="16" thickBot="1" x14ac:dyDescent="0.4">
      <c r="A22" s="1165"/>
      <c r="B22" s="604" t="s">
        <v>657</v>
      </c>
      <c r="C22" s="647"/>
      <c r="D22" s="642"/>
      <c r="E22" s="642"/>
      <c r="F22" s="642"/>
      <c r="G22" s="646"/>
      <c r="H22" s="943"/>
      <c r="I22" s="1156"/>
      <c r="J22" s="943"/>
      <c r="K22" s="1031"/>
      <c r="L22" s="943"/>
      <c r="M22" s="1031"/>
      <c r="N22" s="943"/>
      <c r="O22" s="1031"/>
      <c r="P22" s="943"/>
      <c r="Q22" s="1031"/>
      <c r="R22" s="943"/>
      <c r="S22" s="1031"/>
    </row>
    <row r="23" spans="1:19" ht="15.75" customHeight="1" x14ac:dyDescent="0.35">
      <c r="A23" s="1079"/>
      <c r="B23" s="603" t="s">
        <v>658</v>
      </c>
      <c r="C23" s="647"/>
      <c r="D23" s="642"/>
      <c r="E23" s="642"/>
      <c r="F23" s="642"/>
      <c r="G23" s="646"/>
      <c r="H23" s="943"/>
      <c r="I23" s="1031"/>
      <c r="J23" s="943"/>
      <c r="K23" s="1031"/>
      <c r="L23" s="943"/>
      <c r="M23" s="1031"/>
      <c r="N23" s="943"/>
      <c r="O23" s="1031"/>
      <c r="P23" s="943"/>
      <c r="Q23" s="1031"/>
      <c r="R23" s="943"/>
      <c r="S23" s="1031"/>
    </row>
    <row r="24" spans="1:19" x14ac:dyDescent="0.35">
      <c r="A24" s="1079"/>
      <c r="B24" s="1166" t="s">
        <v>659</v>
      </c>
      <c r="C24" s="647"/>
      <c r="D24" s="642"/>
      <c r="E24" s="642"/>
      <c r="F24" s="642"/>
      <c r="G24" s="646"/>
      <c r="H24" s="943"/>
      <c r="I24" s="1030"/>
      <c r="J24" s="943"/>
      <c r="K24" s="1030"/>
      <c r="L24" s="943"/>
      <c r="M24" s="1140"/>
      <c r="N24" s="943"/>
      <c r="O24" s="1030"/>
      <c r="P24" s="943"/>
      <c r="Q24" s="1140"/>
      <c r="R24" s="943"/>
      <c r="S24" s="1030"/>
    </row>
    <row r="25" spans="1:19" ht="15.75" customHeight="1" x14ac:dyDescent="0.35">
      <c r="A25" s="1079"/>
      <c r="B25" s="1167" t="s">
        <v>660</v>
      </c>
      <c r="C25" s="647"/>
      <c r="D25" s="642"/>
      <c r="E25" s="642"/>
      <c r="F25" s="642"/>
      <c r="G25" s="646"/>
      <c r="H25" s="943"/>
      <c r="I25" s="1030"/>
      <c r="J25" s="943"/>
      <c r="K25" s="1030"/>
      <c r="L25" s="943"/>
      <c r="M25" s="136"/>
      <c r="N25" s="943"/>
      <c r="O25" s="1030"/>
      <c r="P25" s="943"/>
      <c r="Q25" s="136"/>
      <c r="R25" s="943"/>
      <c r="S25" s="1030"/>
    </row>
    <row r="26" spans="1:19" x14ac:dyDescent="0.35">
      <c r="A26" s="1079"/>
      <c r="B26" s="1167" t="s">
        <v>661</v>
      </c>
      <c r="C26" s="1086"/>
      <c r="D26" s="682"/>
      <c r="E26" s="642"/>
      <c r="F26" s="642"/>
      <c r="G26" s="646"/>
      <c r="H26" s="943"/>
      <c r="I26" s="1030"/>
      <c r="J26" s="943"/>
      <c r="K26" s="1031"/>
      <c r="L26" s="943"/>
      <c r="M26" s="984"/>
      <c r="N26" s="943"/>
      <c r="O26" s="1031"/>
      <c r="P26" s="943"/>
      <c r="Q26" s="984"/>
      <c r="R26" s="943"/>
      <c r="S26" s="1031"/>
    </row>
    <row r="27" spans="1:19" x14ac:dyDescent="0.35">
      <c r="A27" s="1079"/>
      <c r="B27" s="1167" t="s">
        <v>662</v>
      </c>
      <c r="C27" s="1086"/>
      <c r="D27" s="682"/>
      <c r="E27" s="642"/>
      <c r="F27" s="642"/>
      <c r="G27" s="646"/>
      <c r="H27" s="943"/>
      <c r="I27" s="1030"/>
      <c r="J27" s="943"/>
      <c r="K27" s="1031"/>
      <c r="L27" s="943"/>
      <c r="M27" s="984"/>
      <c r="N27" s="943"/>
      <c r="O27" s="1031"/>
      <c r="P27" s="943"/>
      <c r="Q27" s="984"/>
      <c r="R27" s="943"/>
      <c r="S27" s="1031"/>
    </row>
    <row r="28" spans="1:19" x14ac:dyDescent="0.35">
      <c r="A28" s="1079"/>
      <c r="B28" s="1167" t="s">
        <v>663</v>
      </c>
      <c r="C28" s="1086"/>
      <c r="D28" s="682"/>
      <c r="E28" s="642"/>
      <c r="F28" s="642"/>
      <c r="G28" s="646"/>
      <c r="H28" s="943"/>
      <c r="I28" s="1030"/>
      <c r="J28" s="943"/>
      <c r="K28" s="1031"/>
      <c r="L28" s="943"/>
      <c r="M28" s="984"/>
      <c r="N28" s="943"/>
      <c r="O28" s="1031"/>
      <c r="P28" s="943"/>
      <c r="Q28" s="984"/>
      <c r="R28" s="943"/>
      <c r="S28" s="1031"/>
    </row>
    <row r="29" spans="1:19" x14ac:dyDescent="0.35">
      <c r="A29" s="1079"/>
      <c r="B29" s="1167" t="s">
        <v>742</v>
      </c>
      <c r="C29" s="1086"/>
      <c r="D29" s="682"/>
      <c r="E29" s="642"/>
      <c r="F29" s="642"/>
      <c r="G29" s="646"/>
      <c r="H29" s="943"/>
      <c r="I29" s="1030"/>
      <c r="J29" s="943"/>
      <c r="K29" s="1031"/>
      <c r="L29" s="943"/>
      <c r="M29" s="984"/>
      <c r="N29" s="943"/>
      <c r="O29" s="1031"/>
      <c r="P29" s="943"/>
      <c r="Q29" s="984"/>
      <c r="R29" s="943"/>
      <c r="S29" s="1031"/>
    </row>
    <row r="30" spans="1:19" x14ac:dyDescent="0.35">
      <c r="A30" s="1079"/>
      <c r="B30" s="1160" t="s">
        <v>664</v>
      </c>
      <c r="C30" s="1086"/>
      <c r="D30" s="682"/>
      <c r="E30" s="642"/>
      <c r="F30" s="642"/>
      <c r="G30" s="646"/>
      <c r="H30" s="943"/>
      <c r="I30" s="1030"/>
      <c r="J30" s="943"/>
      <c r="K30" s="1031"/>
      <c r="L30" s="943"/>
      <c r="M30" s="984"/>
      <c r="N30" s="943"/>
      <c r="O30" s="1031"/>
      <c r="P30" s="943"/>
      <c r="Q30" s="984"/>
      <c r="R30" s="943"/>
      <c r="S30" s="1031"/>
    </row>
    <row r="31" spans="1:19" x14ac:dyDescent="0.35">
      <c r="A31" s="1079"/>
      <c r="B31" s="1161" t="s">
        <v>665</v>
      </c>
      <c r="C31" s="1142"/>
      <c r="D31" s="1143"/>
      <c r="E31" s="650"/>
      <c r="F31" s="650"/>
      <c r="G31" s="952"/>
      <c r="H31" s="636"/>
      <c r="I31" s="1162"/>
      <c r="J31" s="636"/>
      <c r="K31" s="1163"/>
      <c r="L31" s="1146"/>
      <c r="M31" s="1147"/>
      <c r="N31" s="1148"/>
      <c r="O31" s="1163"/>
      <c r="P31" s="1146"/>
      <c r="Q31" s="1147"/>
      <c r="R31" s="1148"/>
      <c r="S31" s="1163"/>
    </row>
    <row r="32" spans="1:19" x14ac:dyDescent="0.35">
      <c r="A32" s="1079"/>
      <c r="B32" s="1164" t="s">
        <v>874</v>
      </c>
      <c r="C32" s="1086"/>
      <c r="D32" s="682"/>
      <c r="E32" s="642"/>
      <c r="F32" s="642"/>
      <c r="G32" s="646"/>
      <c r="H32" s="943"/>
      <c r="I32" s="1030"/>
      <c r="J32" s="943"/>
      <c r="K32" s="1031"/>
      <c r="L32" s="943"/>
      <c r="M32" s="984"/>
      <c r="N32" s="943"/>
      <c r="O32" s="1031"/>
      <c r="P32" s="943"/>
      <c r="Q32" s="984"/>
      <c r="R32" s="943"/>
      <c r="S32" s="1031"/>
    </row>
    <row r="33" spans="1:19" x14ac:dyDescent="0.35">
      <c r="A33" s="1079"/>
      <c r="B33" s="1150"/>
      <c r="C33" s="1086"/>
      <c r="D33" s="682"/>
      <c r="E33" s="642"/>
      <c r="F33" s="642"/>
      <c r="G33" s="646"/>
      <c r="H33" s="943"/>
      <c r="I33" s="1030"/>
      <c r="J33" s="943"/>
      <c r="K33" s="1031"/>
      <c r="L33" s="943"/>
      <c r="M33" s="984"/>
      <c r="N33" s="943"/>
      <c r="O33" s="1031"/>
      <c r="P33" s="943"/>
      <c r="Q33" s="984"/>
      <c r="R33" s="943"/>
      <c r="S33" s="1031"/>
    </row>
    <row r="34" spans="1:19" x14ac:dyDescent="0.35">
      <c r="A34" s="1079"/>
      <c r="B34" s="1151" t="s">
        <v>878</v>
      </c>
      <c r="C34" s="1086"/>
      <c r="D34" s="682"/>
      <c r="E34" s="642"/>
      <c r="F34" s="642"/>
      <c r="G34" s="646"/>
      <c r="H34" s="943"/>
      <c r="I34" s="1030"/>
      <c r="J34" s="943"/>
      <c r="K34" s="1031"/>
      <c r="L34" s="943"/>
      <c r="M34" s="984"/>
      <c r="N34" s="943"/>
      <c r="O34" s="1031"/>
      <c r="P34" s="943"/>
      <c r="Q34" s="984"/>
      <c r="R34" s="943"/>
      <c r="S34" s="1031"/>
    </row>
    <row r="35" spans="1:19" x14ac:dyDescent="0.35">
      <c r="A35" s="1079"/>
      <c r="B35" s="1109" t="s">
        <v>879</v>
      </c>
      <c r="C35" s="1086"/>
      <c r="D35" s="682"/>
      <c r="E35" s="642"/>
      <c r="F35" s="642"/>
      <c r="G35" s="646"/>
      <c r="H35" s="943"/>
      <c r="I35" s="1030"/>
      <c r="J35" s="943"/>
      <c r="K35" s="1031"/>
      <c r="L35" s="943"/>
      <c r="M35" s="984"/>
      <c r="N35" s="943"/>
      <c r="O35" s="1031"/>
      <c r="P35" s="943"/>
      <c r="Q35" s="984"/>
      <c r="R35" s="943"/>
      <c r="S35" s="1031"/>
    </row>
    <row r="36" spans="1:19" x14ac:dyDescent="0.35">
      <c r="A36" s="1079"/>
      <c r="B36" s="1109" t="s">
        <v>880</v>
      </c>
      <c r="C36" s="1086"/>
      <c r="D36" s="682"/>
      <c r="E36" s="642"/>
      <c r="F36" s="642"/>
      <c r="G36" s="646"/>
      <c r="H36" s="943"/>
      <c r="I36" s="1030"/>
      <c r="J36" s="943"/>
      <c r="K36" s="1031"/>
      <c r="L36" s="943"/>
      <c r="M36" s="984"/>
      <c r="N36" s="943"/>
      <c r="O36" s="1031"/>
      <c r="P36" s="943"/>
      <c r="Q36" s="984"/>
      <c r="R36" s="943"/>
      <c r="S36" s="1031"/>
    </row>
    <row r="37" spans="1:19" x14ac:dyDescent="0.35">
      <c r="A37" s="1079"/>
      <c r="B37" s="1109" t="s">
        <v>881</v>
      </c>
      <c r="C37" s="1086"/>
      <c r="D37" s="682"/>
      <c r="E37" s="642"/>
      <c r="F37" s="642"/>
      <c r="G37" s="646"/>
      <c r="H37" s="943"/>
      <c r="I37" s="1030"/>
      <c r="J37" s="943"/>
      <c r="K37" s="1031"/>
      <c r="L37" s="943"/>
      <c r="M37" s="984"/>
      <c r="N37" s="943"/>
      <c r="O37" s="1031"/>
      <c r="P37" s="943"/>
      <c r="Q37" s="984"/>
      <c r="R37" s="943"/>
      <c r="S37" s="1031"/>
    </row>
    <row r="38" spans="1:19" x14ac:dyDescent="0.35">
      <c r="A38" s="1079"/>
      <c r="B38" s="1109" t="s">
        <v>882</v>
      </c>
      <c r="C38" s="1086"/>
      <c r="D38" s="682"/>
      <c r="E38" s="642"/>
      <c r="F38" s="642"/>
      <c r="G38" s="646"/>
      <c r="H38" s="943"/>
      <c r="I38" s="1030"/>
      <c r="J38" s="943"/>
      <c r="K38" s="1031"/>
      <c r="L38" s="943"/>
      <c r="M38" s="984"/>
      <c r="N38" s="943"/>
      <c r="O38" s="1031"/>
      <c r="P38" s="943"/>
      <c r="Q38" s="984"/>
      <c r="R38" s="943"/>
      <c r="S38" s="1031"/>
    </row>
    <row r="39" spans="1:19" x14ac:dyDescent="0.35">
      <c r="A39" s="1079"/>
      <c r="B39" s="1109" t="s">
        <v>883</v>
      </c>
      <c r="C39" s="1086"/>
      <c r="D39" s="682"/>
      <c r="E39" s="642"/>
      <c r="F39" s="642"/>
      <c r="G39" s="646"/>
      <c r="H39" s="943"/>
      <c r="I39" s="1030"/>
      <c r="J39" s="943"/>
      <c r="K39" s="1031"/>
      <c r="L39" s="943"/>
      <c r="M39" s="984"/>
      <c r="N39" s="943"/>
      <c r="O39" s="1031"/>
      <c r="P39" s="943"/>
      <c r="Q39" s="984"/>
      <c r="R39" s="943"/>
      <c r="S39" s="1031"/>
    </row>
    <row r="40" spans="1:19" x14ac:dyDescent="0.35">
      <c r="A40" s="1079"/>
      <c r="B40" s="1109" t="s">
        <v>884</v>
      </c>
      <c r="C40" s="1086"/>
      <c r="D40" s="682"/>
      <c r="E40" s="642"/>
      <c r="F40" s="642"/>
      <c r="G40" s="646"/>
      <c r="H40" s="943"/>
      <c r="I40" s="1030"/>
      <c r="J40" s="943"/>
      <c r="K40" s="1031"/>
      <c r="L40" s="943"/>
      <c r="M40" s="984"/>
      <c r="N40" s="943"/>
      <c r="O40" s="1031"/>
      <c r="P40" s="943"/>
      <c r="Q40" s="984"/>
      <c r="R40" s="943"/>
      <c r="S40" s="1031"/>
    </row>
    <row r="41" spans="1:19" x14ac:dyDescent="0.35">
      <c r="A41" s="1079"/>
      <c r="B41" s="1109" t="s">
        <v>885</v>
      </c>
      <c r="C41" s="1086"/>
      <c r="D41" s="682"/>
      <c r="E41" s="642"/>
      <c r="F41" s="642"/>
      <c r="G41" s="646"/>
      <c r="H41" s="943"/>
      <c r="I41" s="1030"/>
      <c r="J41" s="943"/>
      <c r="K41" s="1031"/>
      <c r="L41" s="943"/>
      <c r="M41" s="984"/>
      <c r="N41" s="943"/>
      <c r="O41" s="1031"/>
      <c r="P41" s="943"/>
      <c r="Q41" s="984"/>
      <c r="R41" s="943"/>
      <c r="S41" s="1031"/>
    </row>
    <row r="42" spans="1:19" x14ac:dyDescent="0.35">
      <c r="A42" s="1079"/>
      <c r="B42" s="1109" t="s">
        <v>886</v>
      </c>
      <c r="C42" s="1086"/>
      <c r="D42" s="682"/>
      <c r="E42" s="642"/>
      <c r="F42" s="642"/>
      <c r="G42" s="646"/>
      <c r="H42" s="943" t="s">
        <v>669</v>
      </c>
      <c r="I42" s="1030"/>
      <c r="J42" s="943"/>
      <c r="K42" s="1031"/>
      <c r="L42" s="943"/>
      <c r="M42" s="984"/>
      <c r="N42" s="943"/>
      <c r="O42" s="1031"/>
      <c r="P42" s="943"/>
      <c r="Q42" s="984"/>
      <c r="R42" s="943"/>
      <c r="S42" s="1031"/>
    </row>
    <row r="43" spans="1:19" x14ac:dyDescent="0.35">
      <c r="A43" s="1079"/>
      <c r="B43" s="1109"/>
      <c r="C43" s="1086"/>
      <c r="D43" s="682"/>
      <c r="E43" s="642"/>
      <c r="F43" s="642"/>
      <c r="G43" s="646"/>
      <c r="H43" s="943"/>
      <c r="I43" s="1030"/>
      <c r="J43" s="943"/>
      <c r="K43" s="1031"/>
      <c r="L43" s="943"/>
      <c r="M43" s="984"/>
      <c r="N43" s="943"/>
      <c r="O43" s="1031"/>
      <c r="P43" s="943"/>
      <c r="Q43" s="984"/>
      <c r="R43" s="943"/>
      <c r="S43" s="1031"/>
    </row>
    <row r="44" spans="1:19" x14ac:dyDescent="0.35">
      <c r="A44" s="1079"/>
      <c r="B44" s="1151" t="s">
        <v>887</v>
      </c>
      <c r="C44" s="1086"/>
      <c r="D44" s="682"/>
      <c r="E44" s="642"/>
      <c r="F44" s="642"/>
      <c r="G44" s="646"/>
      <c r="H44" s="943"/>
      <c r="I44" s="1030"/>
      <c r="J44" s="943"/>
      <c r="K44" s="1031"/>
      <c r="L44" s="943"/>
      <c r="M44" s="984"/>
      <c r="N44" s="943"/>
      <c r="O44" s="1031"/>
      <c r="P44" s="943"/>
      <c r="Q44" s="984"/>
      <c r="R44" s="943"/>
      <c r="S44" s="1031"/>
    </row>
    <row r="45" spans="1:19" x14ac:dyDescent="0.35">
      <c r="A45" s="1079"/>
      <c r="B45" s="1109" t="s">
        <v>888</v>
      </c>
      <c r="C45" s="1086"/>
      <c r="D45" s="682"/>
      <c r="E45" s="642"/>
      <c r="F45" s="642"/>
      <c r="G45" s="646"/>
      <c r="H45" s="943"/>
      <c r="I45" s="1030"/>
      <c r="J45" s="943"/>
      <c r="K45" s="1031"/>
      <c r="L45" s="943"/>
      <c r="M45" s="984"/>
      <c r="N45" s="943"/>
      <c r="O45" s="1031"/>
      <c r="P45" s="943"/>
      <c r="Q45" s="984"/>
      <c r="R45" s="943"/>
      <c r="S45" s="1031"/>
    </row>
    <row r="46" spans="1:19" x14ac:dyDescent="0.35">
      <c r="A46" s="1079"/>
      <c r="B46" s="1109" t="s">
        <v>889</v>
      </c>
      <c r="C46" s="1086"/>
      <c r="D46" s="682"/>
      <c r="E46" s="642"/>
      <c r="F46" s="642"/>
      <c r="G46" s="646"/>
      <c r="H46" s="943"/>
      <c r="I46" s="1030"/>
      <c r="J46" s="943"/>
      <c r="K46" s="1031"/>
      <c r="L46" s="943"/>
      <c r="M46" s="984"/>
      <c r="N46" s="943"/>
      <c r="O46" s="1031"/>
      <c r="P46" s="943"/>
      <c r="Q46" s="984"/>
      <c r="R46" s="943"/>
      <c r="S46" s="1031"/>
    </row>
    <row r="47" spans="1:19" x14ac:dyDescent="0.35">
      <c r="A47" s="1079"/>
      <c r="B47" s="1109" t="s">
        <v>890</v>
      </c>
      <c r="C47" s="1086"/>
      <c r="D47" s="682"/>
      <c r="E47" s="642"/>
      <c r="F47" s="642"/>
      <c r="G47" s="646"/>
      <c r="H47" s="943"/>
      <c r="I47" s="1030"/>
      <c r="J47" s="943"/>
      <c r="K47" s="1031"/>
      <c r="L47" s="943"/>
      <c r="M47" s="984"/>
      <c r="N47" s="943"/>
      <c r="O47" s="1031"/>
      <c r="P47" s="943"/>
      <c r="Q47" s="984"/>
      <c r="R47" s="943"/>
      <c r="S47" s="1031"/>
    </row>
    <row r="48" spans="1:19" x14ac:dyDescent="0.35">
      <c r="A48" s="1079"/>
      <c r="B48" s="1109" t="s">
        <v>891</v>
      </c>
      <c r="C48" s="1086"/>
      <c r="D48" s="682"/>
      <c r="E48" s="642"/>
      <c r="F48" s="642"/>
      <c r="G48" s="646"/>
      <c r="H48" s="943"/>
      <c r="I48" s="1030"/>
      <c r="J48" s="943"/>
      <c r="K48" s="1031"/>
      <c r="L48" s="943"/>
      <c r="M48" s="984"/>
      <c r="N48" s="943"/>
      <c r="O48" s="1031"/>
      <c r="P48" s="943"/>
      <c r="Q48" s="984"/>
      <c r="R48" s="943"/>
      <c r="S48" s="1031"/>
    </row>
    <row r="49" spans="1:19" x14ac:dyDescent="0.35">
      <c r="A49" s="1079"/>
      <c r="B49" s="1109" t="s">
        <v>892</v>
      </c>
      <c r="C49" s="1086"/>
      <c r="D49" s="682"/>
      <c r="E49" s="642"/>
      <c r="F49" s="642"/>
      <c r="G49" s="646"/>
      <c r="H49" s="943"/>
      <c r="I49" s="1030"/>
      <c r="J49" s="943"/>
      <c r="K49" s="1031"/>
      <c r="L49" s="943"/>
      <c r="M49" s="984"/>
      <c r="N49" s="943"/>
      <c r="O49" s="1031"/>
      <c r="P49" s="943"/>
      <c r="Q49" s="984"/>
      <c r="R49" s="943"/>
      <c r="S49" s="1031"/>
    </row>
    <row r="50" spans="1:19" x14ac:dyDescent="0.35">
      <c r="A50" s="1079"/>
      <c r="B50" s="1109" t="s">
        <v>893</v>
      </c>
      <c r="C50" s="1086"/>
      <c r="D50" s="682"/>
      <c r="E50" s="642"/>
      <c r="F50" s="642"/>
      <c r="G50" s="646"/>
      <c r="H50" s="943"/>
      <c r="I50" s="1030"/>
      <c r="J50" s="943"/>
      <c r="K50" s="1031"/>
      <c r="L50" s="943"/>
      <c r="M50" s="984"/>
      <c r="N50" s="943"/>
      <c r="O50" s="1031"/>
      <c r="P50" s="943"/>
      <c r="Q50" s="984"/>
      <c r="R50" s="943"/>
      <c r="S50" s="1031"/>
    </row>
    <row r="51" spans="1:19" x14ac:dyDescent="0.35">
      <c r="A51" s="1079"/>
      <c r="B51" s="1109" t="s">
        <v>894</v>
      </c>
      <c r="C51" s="1086"/>
      <c r="D51" s="682"/>
      <c r="E51" s="642"/>
      <c r="F51" s="642"/>
      <c r="G51" s="646"/>
      <c r="H51" s="943"/>
      <c r="I51" s="1030"/>
      <c r="J51" s="943"/>
      <c r="K51" s="1031"/>
      <c r="L51" s="943"/>
      <c r="M51" s="984"/>
      <c r="N51" s="943"/>
      <c r="O51" s="1031"/>
      <c r="P51" s="943"/>
      <c r="Q51" s="984"/>
      <c r="R51" s="943"/>
      <c r="S51" s="1031"/>
    </row>
    <row r="52" spans="1:19" x14ac:dyDescent="0.35">
      <c r="A52" s="1079"/>
      <c r="B52" s="1109" t="s">
        <v>895</v>
      </c>
      <c r="C52" s="1086"/>
      <c r="D52" s="682"/>
      <c r="E52" s="642"/>
      <c r="F52" s="642"/>
      <c r="G52" s="646"/>
      <c r="H52" s="943"/>
      <c r="I52" s="1030"/>
      <c r="J52" s="943"/>
      <c r="K52" s="1031"/>
      <c r="L52" s="943"/>
      <c r="M52" s="984"/>
      <c r="N52" s="943"/>
      <c r="O52" s="1031"/>
      <c r="P52" s="943"/>
      <c r="Q52" s="984"/>
      <c r="R52" s="943"/>
      <c r="S52" s="1031"/>
    </row>
    <row r="53" spans="1:19" x14ac:dyDescent="0.35">
      <c r="A53" s="1079"/>
      <c r="B53" s="1109" t="s">
        <v>896</v>
      </c>
      <c r="C53" s="1086"/>
      <c r="D53" s="682"/>
      <c r="E53" s="642"/>
      <c r="F53" s="642"/>
      <c r="G53" s="646"/>
      <c r="H53" s="943"/>
      <c r="I53" s="1030"/>
      <c r="J53" s="943"/>
      <c r="K53" s="1031"/>
      <c r="L53" s="943"/>
      <c r="M53" s="984"/>
      <c r="N53" s="943"/>
      <c r="O53" s="1031"/>
      <c r="P53" s="943"/>
      <c r="Q53" s="984"/>
      <c r="R53" s="943"/>
      <c r="S53" s="1031"/>
    </row>
    <row r="54" spans="1:19" x14ac:dyDescent="0.35">
      <c r="A54" s="1079"/>
      <c r="B54" s="1109" t="s">
        <v>897</v>
      </c>
      <c r="C54" s="1086"/>
      <c r="D54" s="682"/>
      <c r="E54" s="642"/>
      <c r="F54" s="642"/>
      <c r="G54" s="646"/>
      <c r="H54" s="943"/>
      <c r="I54" s="1030"/>
      <c r="J54" s="943"/>
      <c r="K54" s="1031"/>
      <c r="L54" s="943"/>
      <c r="M54" s="984"/>
      <c r="N54" s="943"/>
      <c r="O54" s="1031"/>
      <c r="P54" s="943"/>
      <c r="Q54" s="984"/>
      <c r="R54" s="943"/>
      <c r="S54" s="1031"/>
    </row>
    <row r="55" spans="1:19" x14ac:dyDescent="0.35">
      <c r="A55" s="1079"/>
      <c r="B55" s="1109" t="s">
        <v>898</v>
      </c>
      <c r="C55" s="1086"/>
      <c r="D55" s="682"/>
      <c r="E55" s="642"/>
      <c r="F55" s="642"/>
      <c r="G55" s="646"/>
      <c r="H55" s="943"/>
      <c r="I55" s="1030"/>
      <c r="J55" s="943"/>
      <c r="K55" s="1031"/>
      <c r="L55" s="943"/>
      <c r="M55" s="984"/>
      <c r="N55" s="943"/>
      <c r="O55" s="1031"/>
      <c r="P55" s="943"/>
      <c r="Q55" s="984"/>
      <c r="R55" s="943"/>
      <c r="S55" s="1031"/>
    </row>
    <row r="56" spans="1:19" x14ac:dyDescent="0.35">
      <c r="A56" s="1079"/>
      <c r="B56" s="1109"/>
      <c r="C56" s="1086"/>
      <c r="D56" s="682"/>
      <c r="E56" s="642"/>
      <c r="F56" s="642"/>
      <c r="G56" s="646"/>
      <c r="H56" s="943"/>
      <c r="I56" s="1030"/>
      <c r="J56" s="943"/>
      <c r="K56" s="1031"/>
      <c r="L56" s="943"/>
      <c r="M56" s="984"/>
      <c r="N56" s="943"/>
      <c r="O56" s="1031"/>
      <c r="P56" s="943"/>
      <c r="Q56" s="984"/>
      <c r="R56" s="943"/>
      <c r="S56" s="1031"/>
    </row>
    <row r="57" spans="1:19" x14ac:dyDescent="0.35">
      <c r="A57" s="1079"/>
      <c r="B57" s="1151" t="s">
        <v>899</v>
      </c>
      <c r="C57" s="1086"/>
      <c r="D57" s="682"/>
      <c r="E57" s="642"/>
      <c r="F57" s="642"/>
      <c r="G57" s="646"/>
      <c r="H57" s="943"/>
      <c r="I57" s="1031"/>
      <c r="J57" s="943"/>
      <c r="K57" s="1031"/>
      <c r="L57" s="943"/>
      <c r="M57" s="984"/>
      <c r="N57" s="943"/>
      <c r="O57" s="1031"/>
      <c r="P57" s="943"/>
      <c r="Q57" s="984"/>
      <c r="R57" s="943"/>
      <c r="S57" s="1031"/>
    </row>
    <row r="58" spans="1:19" x14ac:dyDescent="0.35">
      <c r="A58" s="1079"/>
      <c r="B58" s="1109" t="s">
        <v>900</v>
      </c>
      <c r="C58" s="1086"/>
      <c r="D58" s="682"/>
      <c r="E58" s="642"/>
      <c r="F58" s="642"/>
      <c r="G58" s="646"/>
      <c r="H58" s="943"/>
      <c r="I58" s="1031"/>
      <c r="J58" s="943"/>
      <c r="K58" s="1031"/>
      <c r="L58" s="943"/>
      <c r="M58" s="984"/>
      <c r="N58" s="943"/>
      <c r="O58" s="1031"/>
      <c r="P58" s="943"/>
      <c r="Q58" s="984"/>
      <c r="R58" s="943"/>
      <c r="S58" s="1031"/>
    </row>
    <row r="59" spans="1:19" x14ac:dyDescent="0.35">
      <c r="A59" s="1079"/>
      <c r="B59" s="1109" t="s">
        <v>901</v>
      </c>
      <c r="C59" s="1086"/>
      <c r="D59" s="682"/>
      <c r="E59" s="642"/>
      <c r="F59" s="642"/>
      <c r="G59" s="646"/>
      <c r="H59" s="943"/>
      <c r="I59" s="1031"/>
      <c r="J59" s="943"/>
      <c r="K59" s="1031"/>
      <c r="L59" s="943"/>
      <c r="M59" s="984"/>
      <c r="N59" s="943"/>
      <c r="O59" s="1031"/>
      <c r="P59" s="943"/>
      <c r="Q59" s="984"/>
      <c r="R59" s="943"/>
      <c r="S59" s="1031"/>
    </row>
    <row r="60" spans="1:19" x14ac:dyDescent="0.35">
      <c r="A60" s="1079"/>
      <c r="B60" s="1109" t="s">
        <v>902</v>
      </c>
      <c r="C60" s="1086"/>
      <c r="D60" s="682"/>
      <c r="E60" s="642"/>
      <c r="F60" s="642"/>
      <c r="G60" s="646"/>
      <c r="H60" s="943"/>
      <c r="I60" s="1031"/>
      <c r="J60" s="943"/>
      <c r="K60" s="1031"/>
      <c r="L60" s="943"/>
      <c r="M60" s="984"/>
      <c r="N60" s="943"/>
      <c r="O60" s="1031"/>
      <c r="P60" s="943"/>
      <c r="Q60" s="984"/>
      <c r="R60" s="943"/>
      <c r="S60" s="1031"/>
    </row>
    <row r="61" spans="1:19" x14ac:dyDescent="0.35">
      <c r="A61" s="1079"/>
      <c r="B61" s="1109" t="s">
        <v>903</v>
      </c>
      <c r="C61" s="1086"/>
      <c r="D61" s="682"/>
      <c r="E61" s="642"/>
      <c r="F61" s="642"/>
      <c r="G61" s="646"/>
      <c r="H61" s="943"/>
      <c r="I61" s="1031"/>
      <c r="J61" s="943"/>
      <c r="K61" s="1031"/>
      <c r="L61" s="943"/>
      <c r="M61" s="984"/>
      <c r="N61" s="943"/>
      <c r="O61" s="1031"/>
      <c r="P61" s="943"/>
      <c r="Q61" s="984"/>
      <c r="R61" s="943"/>
      <c r="S61" s="1031"/>
    </row>
    <row r="62" spans="1:19" x14ac:dyDescent="0.35">
      <c r="A62" s="1079"/>
      <c r="B62" s="1109" t="s">
        <v>904</v>
      </c>
      <c r="C62" s="1086"/>
      <c r="D62" s="682"/>
      <c r="E62" s="642"/>
      <c r="F62" s="642"/>
      <c r="G62" s="646"/>
      <c r="H62" s="943"/>
      <c r="I62" s="1031"/>
      <c r="J62" s="943"/>
      <c r="K62" s="1031"/>
      <c r="L62" s="943"/>
      <c r="M62" s="984"/>
      <c r="N62" s="943"/>
      <c r="O62" s="1031"/>
      <c r="P62" s="943"/>
      <c r="Q62" s="984"/>
      <c r="R62" s="943"/>
      <c r="S62" s="1031"/>
    </row>
    <row r="63" spans="1:19" x14ac:dyDescent="0.35">
      <c r="A63" s="1079"/>
      <c r="B63" s="1109" t="s">
        <v>905</v>
      </c>
      <c r="C63" s="1086"/>
      <c r="D63" s="682"/>
      <c r="E63" s="642"/>
      <c r="F63" s="642"/>
      <c r="G63" s="646"/>
      <c r="H63" s="943"/>
      <c r="I63" s="1031"/>
      <c r="J63" s="943"/>
      <c r="K63" s="1031"/>
      <c r="L63" s="943"/>
      <c r="M63" s="984"/>
      <c r="N63" s="943"/>
      <c r="O63" s="1031"/>
      <c r="P63" s="943"/>
      <c r="Q63" s="984"/>
      <c r="R63" s="943"/>
      <c r="S63" s="1031"/>
    </row>
    <row r="64" spans="1:19" x14ac:dyDescent="0.35">
      <c r="A64" s="1079"/>
      <c r="B64" s="1109" t="s">
        <v>906</v>
      </c>
      <c r="C64" s="1086"/>
      <c r="D64" s="682"/>
      <c r="E64" s="642"/>
      <c r="F64" s="642"/>
      <c r="G64" s="646"/>
      <c r="H64" s="943"/>
      <c r="I64" s="1031"/>
      <c r="J64" s="943"/>
      <c r="K64" s="1031"/>
      <c r="L64" s="943"/>
      <c r="M64" s="984"/>
      <c r="N64" s="943"/>
      <c r="O64" s="1031"/>
      <c r="P64" s="943"/>
      <c r="Q64" s="984"/>
      <c r="R64" s="943"/>
      <c r="S64" s="1031"/>
    </row>
    <row r="65" spans="1:19" x14ac:dyDescent="0.35">
      <c r="A65" s="1079"/>
      <c r="B65" s="1109" t="s">
        <v>907</v>
      </c>
      <c r="C65" s="1086"/>
      <c r="D65" s="682"/>
      <c r="E65" s="642"/>
      <c r="F65" s="642"/>
      <c r="G65" s="646"/>
      <c r="H65" s="943"/>
      <c r="I65" s="1031"/>
      <c r="J65" s="943"/>
      <c r="K65" s="1031"/>
      <c r="L65" s="943"/>
      <c r="M65" s="984"/>
      <c r="N65" s="943"/>
      <c r="O65" s="1031"/>
      <c r="P65" s="943"/>
      <c r="Q65" s="984"/>
      <c r="R65" s="943"/>
      <c r="S65" s="1031"/>
    </row>
    <row r="66" spans="1:19" x14ac:dyDescent="0.35">
      <c r="A66" s="1079"/>
      <c r="B66" s="1109" t="s">
        <v>908</v>
      </c>
      <c r="C66" s="1086"/>
      <c r="D66" s="682"/>
      <c r="E66" s="642"/>
      <c r="F66" s="642"/>
      <c r="G66" s="646"/>
      <c r="H66" s="943"/>
      <c r="I66" s="1031"/>
      <c r="J66" s="943"/>
      <c r="K66" s="1031"/>
      <c r="L66" s="943"/>
      <c r="M66" s="984"/>
      <c r="N66" s="943"/>
      <c r="O66" s="1031"/>
      <c r="P66" s="943"/>
      <c r="Q66" s="984"/>
      <c r="R66" s="943"/>
      <c r="S66" s="1031"/>
    </row>
    <row r="67" spans="1:19" x14ac:dyDescent="0.35">
      <c r="A67" s="1079"/>
      <c r="B67" s="1109" t="s">
        <v>909</v>
      </c>
      <c r="C67" s="1086"/>
      <c r="D67" s="682"/>
      <c r="E67" s="642"/>
      <c r="F67" s="642"/>
      <c r="G67" s="646"/>
      <c r="H67" s="943"/>
      <c r="I67" s="1031"/>
      <c r="J67" s="943"/>
      <c r="K67" s="1031"/>
      <c r="L67" s="943"/>
      <c r="M67" s="984"/>
      <c r="N67" s="943"/>
      <c r="O67" s="1031"/>
      <c r="P67" s="943"/>
      <c r="Q67" s="984"/>
      <c r="R67" s="943"/>
      <c r="S67" s="1031"/>
    </row>
    <row r="68" spans="1:19" x14ac:dyDescent="0.35">
      <c r="A68" s="1079"/>
      <c r="B68" s="1109" t="s">
        <v>910</v>
      </c>
      <c r="C68" s="1086"/>
      <c r="D68" s="682"/>
      <c r="E68" s="642"/>
      <c r="F68" s="642"/>
      <c r="G68" s="646"/>
      <c r="H68" s="943"/>
      <c r="I68" s="1031"/>
      <c r="J68" s="943"/>
      <c r="K68" s="1031"/>
      <c r="L68" s="943"/>
      <c r="M68" s="984"/>
      <c r="N68" s="943"/>
      <c r="O68" s="1031"/>
      <c r="P68" s="943"/>
      <c r="Q68" s="984"/>
      <c r="R68" s="943"/>
      <c r="S68" s="1031"/>
    </row>
    <row r="69" spans="1:19" x14ac:dyDescent="0.35">
      <c r="A69" s="1079"/>
      <c r="B69" s="1109" t="s">
        <v>911</v>
      </c>
      <c r="C69" s="1086"/>
      <c r="D69" s="682"/>
      <c r="E69" s="642"/>
      <c r="F69" s="642"/>
      <c r="G69" s="646"/>
      <c r="H69" s="943"/>
      <c r="I69" s="1031"/>
      <c r="J69" s="943"/>
      <c r="K69" s="1031"/>
      <c r="L69" s="943"/>
      <c r="M69" s="984"/>
      <c r="N69" s="943"/>
      <c r="O69" s="1031"/>
      <c r="P69" s="943"/>
      <c r="Q69" s="984"/>
      <c r="R69" s="943"/>
      <c r="S69" s="1031"/>
    </row>
    <row r="70" spans="1:19" x14ac:dyDescent="0.35">
      <c r="A70" s="1079"/>
      <c r="B70" s="1109" t="s">
        <v>912</v>
      </c>
      <c r="C70" s="1086"/>
      <c r="D70" s="682"/>
      <c r="E70" s="642"/>
      <c r="F70" s="642"/>
      <c r="G70" s="646"/>
      <c r="H70" s="943"/>
      <c r="I70" s="1031"/>
      <c r="J70" s="943"/>
      <c r="K70" s="1031"/>
      <c r="L70" s="943"/>
      <c r="M70" s="984"/>
      <c r="N70" s="943"/>
      <c r="O70" s="1031"/>
      <c r="P70" s="943"/>
      <c r="Q70" s="984"/>
      <c r="R70" s="943"/>
      <c r="S70" s="1031"/>
    </row>
    <row r="71" spans="1:19" x14ac:dyDescent="0.35">
      <c r="A71" s="1079"/>
      <c r="B71" s="1109" t="s">
        <v>913</v>
      </c>
      <c r="C71" s="1086"/>
      <c r="D71" s="682"/>
      <c r="E71" s="642"/>
      <c r="F71" s="642"/>
      <c r="G71" s="646"/>
      <c r="H71" s="943"/>
      <c r="I71" s="1031"/>
      <c r="J71" s="943"/>
      <c r="K71" s="1031"/>
      <c r="L71" s="943"/>
      <c r="M71" s="984"/>
      <c r="N71" s="943"/>
      <c r="O71" s="1031"/>
      <c r="P71" s="943"/>
      <c r="Q71" s="984"/>
      <c r="R71" s="943"/>
      <c r="S71" s="1031"/>
    </row>
    <row r="72" spans="1:19" x14ac:dyDescent="0.35">
      <c r="A72" s="1079"/>
      <c r="B72" s="1109" t="s">
        <v>914</v>
      </c>
      <c r="C72" s="1086"/>
      <c r="D72" s="682"/>
      <c r="E72" s="642"/>
      <c r="F72" s="642"/>
      <c r="G72" s="646"/>
      <c r="H72" s="943"/>
      <c r="I72" s="1031"/>
      <c r="J72" s="943"/>
      <c r="K72" s="1031"/>
      <c r="L72" s="943"/>
      <c r="M72" s="984"/>
      <c r="N72" s="943"/>
      <c r="O72" s="1031"/>
      <c r="P72" s="943"/>
      <c r="Q72" s="984"/>
      <c r="R72" s="943"/>
      <c r="S72" s="1031"/>
    </row>
    <row r="73" spans="1:19" x14ac:dyDescent="0.35">
      <c r="A73" s="1079"/>
      <c r="B73" s="1109" t="s">
        <v>915</v>
      </c>
      <c r="C73" s="1086"/>
      <c r="D73" s="682"/>
      <c r="E73" s="642"/>
      <c r="F73" s="642"/>
      <c r="G73" s="646"/>
      <c r="H73" s="943"/>
      <c r="I73" s="1031"/>
      <c r="J73" s="943"/>
      <c r="K73" s="1031"/>
      <c r="L73" s="943"/>
      <c r="M73" s="984"/>
      <c r="N73" s="943"/>
      <c r="O73" s="1031"/>
      <c r="P73" s="943"/>
      <c r="Q73" s="984"/>
      <c r="R73" s="943"/>
      <c r="S73" s="1031"/>
    </row>
    <row r="74" spans="1:19" x14ac:dyDescent="0.35">
      <c r="A74" s="1079"/>
      <c r="B74" s="1109" t="s">
        <v>916</v>
      </c>
      <c r="C74" s="1086"/>
      <c r="D74" s="682"/>
      <c r="E74" s="642"/>
      <c r="F74" s="642"/>
      <c r="G74" s="646"/>
      <c r="H74" s="943"/>
      <c r="I74" s="1031"/>
      <c r="J74" s="943"/>
      <c r="K74" s="1031"/>
      <c r="L74" s="943"/>
      <c r="M74" s="984"/>
      <c r="N74" s="943"/>
      <c r="O74" s="1031"/>
      <c r="P74" s="943"/>
      <c r="Q74" s="984"/>
      <c r="R74" s="943"/>
      <c r="S74" s="1031"/>
    </row>
    <row r="75" spans="1:19" x14ac:dyDescent="0.35">
      <c r="A75" s="1079"/>
      <c r="B75" s="1109" t="s">
        <v>917</v>
      </c>
      <c r="C75" s="1086"/>
      <c r="D75" s="682"/>
      <c r="E75" s="642"/>
      <c r="F75" s="642"/>
      <c r="G75" s="646"/>
      <c r="H75" s="943"/>
      <c r="I75" s="1031"/>
      <c r="J75" s="943"/>
      <c r="K75" s="1031"/>
      <c r="L75" s="943"/>
      <c r="M75" s="1031"/>
      <c r="N75" s="943"/>
      <c r="O75" s="1031"/>
      <c r="P75" s="943"/>
      <c r="Q75" s="1031"/>
      <c r="R75" s="943"/>
      <c r="S75" s="1031"/>
    </row>
    <row r="76" spans="1:19" x14ac:dyDescent="0.35">
      <c r="A76" s="1079"/>
      <c r="B76" s="1109" t="s">
        <v>918</v>
      </c>
      <c r="C76" s="1086"/>
      <c r="D76" s="682"/>
      <c r="E76" s="642"/>
      <c r="F76" s="642"/>
      <c r="G76" s="646"/>
      <c r="H76" s="943"/>
      <c r="I76" s="1031"/>
      <c r="J76" s="943"/>
      <c r="K76" s="1031"/>
      <c r="L76" s="943"/>
      <c r="M76" s="1031"/>
      <c r="N76" s="943"/>
      <c r="O76" s="1031"/>
      <c r="P76" s="943"/>
      <c r="Q76" s="1031"/>
      <c r="R76" s="943"/>
      <c r="S76" s="1031"/>
    </row>
    <row r="77" spans="1:19" x14ac:dyDescent="0.35">
      <c r="A77" s="1079"/>
      <c r="B77" s="1109" t="s">
        <v>919</v>
      </c>
      <c r="C77" s="1086"/>
      <c r="D77" s="682"/>
      <c r="E77" s="642"/>
      <c r="F77" s="642"/>
      <c r="G77" s="646"/>
      <c r="H77" s="943"/>
      <c r="I77" s="1031"/>
      <c r="J77" s="943"/>
      <c r="K77" s="1031"/>
      <c r="L77" s="943"/>
      <c r="M77" s="1031"/>
      <c r="N77" s="943"/>
      <c r="O77" s="1031"/>
      <c r="P77" s="943"/>
      <c r="Q77" s="1031"/>
      <c r="R77" s="943"/>
      <c r="S77" s="1031"/>
    </row>
    <row r="78" spans="1:19" x14ac:dyDescent="0.35">
      <c r="A78" s="1079"/>
      <c r="B78" s="1109" t="s">
        <v>920</v>
      </c>
      <c r="C78" s="1086"/>
      <c r="D78" s="682"/>
      <c r="E78" s="642"/>
      <c r="F78" s="642"/>
      <c r="G78" s="646"/>
      <c r="H78" s="943"/>
      <c r="I78" s="1031"/>
      <c r="J78" s="943"/>
      <c r="K78" s="1031"/>
      <c r="L78" s="943"/>
      <c r="M78" s="1031"/>
      <c r="N78" s="943"/>
      <c r="O78" s="1031"/>
      <c r="P78" s="943"/>
      <c r="Q78" s="1031"/>
      <c r="R78" s="943"/>
      <c r="S78" s="1031"/>
    </row>
    <row r="79" spans="1:19" x14ac:dyDescent="0.35">
      <c r="A79" s="1079"/>
      <c r="B79" s="1109" t="s">
        <v>921</v>
      </c>
      <c r="C79" s="1086"/>
      <c r="D79" s="682"/>
      <c r="E79" s="642"/>
      <c r="F79" s="642"/>
      <c r="G79" s="646"/>
      <c r="H79" s="943"/>
      <c r="I79" s="1031"/>
      <c r="J79" s="943"/>
      <c r="K79" s="1031"/>
      <c r="L79" s="943"/>
      <c r="M79" s="1031"/>
      <c r="N79" s="943"/>
      <c r="O79" s="1031"/>
      <c r="P79" s="943"/>
      <c r="Q79" s="1031"/>
      <c r="R79" s="943"/>
      <c r="S79" s="1031"/>
    </row>
    <row r="80" spans="1:19" x14ac:dyDescent="0.35">
      <c r="A80" s="1079"/>
      <c r="B80" s="1109" t="s">
        <v>922</v>
      </c>
      <c r="C80" s="1086"/>
      <c r="D80" s="682"/>
      <c r="E80" s="642"/>
      <c r="F80" s="642"/>
      <c r="G80" s="646"/>
      <c r="H80" s="943"/>
      <c r="I80" s="1031"/>
      <c r="J80" s="943"/>
      <c r="K80" s="1031"/>
      <c r="L80" s="943"/>
      <c r="M80" s="1031"/>
      <c r="N80" s="943"/>
      <c r="O80" s="1031"/>
      <c r="P80" s="943"/>
      <c r="Q80" s="1031"/>
      <c r="R80" s="943"/>
      <c r="S80" s="1031"/>
    </row>
    <row r="81" spans="1:19" x14ac:dyDescent="0.35">
      <c r="A81" s="1079"/>
      <c r="B81" s="1109"/>
      <c r="C81" s="1086"/>
      <c r="D81" s="682"/>
      <c r="E81" s="642"/>
      <c r="F81" s="642"/>
      <c r="G81" s="646"/>
      <c r="H81" s="943"/>
      <c r="I81" s="1031"/>
      <c r="J81" s="943"/>
      <c r="K81" s="1031"/>
      <c r="L81" s="943"/>
      <c r="M81" s="1031"/>
      <c r="N81" s="943"/>
      <c r="O81" s="1031"/>
      <c r="P81" s="943"/>
      <c r="Q81" s="1031"/>
      <c r="R81" s="943"/>
      <c r="S81" s="1031"/>
    </row>
    <row r="82" spans="1:19" x14ac:dyDescent="0.35">
      <c r="A82" s="1079"/>
      <c r="B82" s="1109" t="s">
        <v>923</v>
      </c>
      <c r="C82" s="1086"/>
      <c r="D82" s="682"/>
      <c r="E82" s="642"/>
      <c r="F82" s="642"/>
      <c r="G82" s="646"/>
      <c r="H82" s="943"/>
      <c r="I82" s="1031"/>
      <c r="J82" s="943"/>
      <c r="K82" s="1031"/>
      <c r="L82" s="943"/>
      <c r="M82" s="1031"/>
      <c r="N82" s="943"/>
      <c r="O82" s="1031"/>
      <c r="P82" s="943"/>
      <c r="Q82" s="1031"/>
      <c r="R82" s="943"/>
      <c r="S82" s="1031"/>
    </row>
    <row r="83" spans="1:19" x14ac:dyDescent="0.35">
      <c r="A83" s="1079"/>
      <c r="B83" s="1109" t="s">
        <v>924</v>
      </c>
      <c r="C83" s="1086"/>
      <c r="D83" s="682"/>
      <c r="E83" s="642"/>
      <c r="F83" s="642"/>
      <c r="G83" s="646"/>
      <c r="H83" s="943"/>
      <c r="I83" s="1031"/>
      <c r="J83" s="943"/>
      <c r="K83" s="1031"/>
      <c r="L83" s="943"/>
      <c r="M83" s="1031"/>
      <c r="N83" s="943"/>
      <c r="O83" s="1031"/>
      <c r="P83" s="943"/>
      <c r="Q83" s="1031"/>
      <c r="R83" s="943"/>
      <c r="S83" s="1031"/>
    </row>
    <row r="84" spans="1:19" x14ac:dyDescent="0.35">
      <c r="A84" s="1079"/>
      <c r="B84" s="1109"/>
      <c r="C84" s="1086"/>
      <c r="D84" s="682"/>
      <c r="E84" s="642"/>
      <c r="F84" s="642"/>
      <c r="G84" s="646"/>
      <c r="H84" s="943"/>
      <c r="I84" s="1031"/>
      <c r="J84" s="943"/>
      <c r="K84" s="1031"/>
      <c r="L84" s="943"/>
      <c r="M84" s="1031"/>
      <c r="N84" s="943"/>
      <c r="O84" s="1031"/>
      <c r="P84" s="943"/>
      <c r="Q84" s="1031"/>
      <c r="R84" s="943"/>
      <c r="S84" s="1031"/>
    </row>
    <row r="85" spans="1:19" x14ac:dyDescent="0.35">
      <c r="A85" s="1079"/>
      <c r="B85" s="1109" t="s">
        <v>925</v>
      </c>
      <c r="C85" s="1086"/>
      <c r="D85" s="682"/>
      <c r="E85" s="642"/>
      <c r="F85" s="642"/>
      <c r="G85" s="646"/>
      <c r="H85" s="943"/>
      <c r="I85" s="1031"/>
      <c r="J85" s="943"/>
      <c r="K85" s="1031"/>
      <c r="L85" s="943"/>
      <c r="M85" s="1031"/>
      <c r="N85" s="943"/>
      <c r="O85" s="1031"/>
      <c r="P85" s="943"/>
      <c r="Q85" s="1031"/>
      <c r="R85" s="943"/>
      <c r="S85" s="1031"/>
    </row>
    <row r="86" spans="1:19" x14ac:dyDescent="0.35">
      <c r="A86" s="1079"/>
      <c r="B86" s="1102"/>
      <c r="C86" s="1086"/>
      <c r="D86" s="682"/>
      <c r="E86" s="642"/>
      <c r="F86" s="642"/>
      <c r="G86" s="646"/>
      <c r="H86" s="943"/>
      <c r="I86" s="1031"/>
      <c r="J86" s="943"/>
      <c r="K86" s="1031"/>
      <c r="L86" s="943"/>
      <c r="M86" s="1031"/>
      <c r="N86" s="943"/>
      <c r="O86" s="1031"/>
      <c r="P86" s="943"/>
      <c r="Q86" s="1031"/>
      <c r="R86" s="943"/>
      <c r="S86" s="1031"/>
    </row>
    <row r="87" spans="1:19" x14ac:dyDescent="0.35">
      <c r="A87" s="1079"/>
      <c r="B87" s="1102"/>
      <c r="C87" s="1086"/>
      <c r="D87" s="682"/>
      <c r="E87" s="642"/>
      <c r="F87" s="642"/>
      <c r="G87" s="646"/>
      <c r="H87" s="943"/>
      <c r="I87" s="1031"/>
      <c r="J87" s="943"/>
      <c r="K87" s="1031"/>
      <c r="L87" s="943"/>
      <c r="M87" s="1031"/>
      <c r="N87" s="943"/>
      <c r="O87" s="1031"/>
      <c r="P87" s="943"/>
      <c r="Q87" s="1031"/>
      <c r="R87" s="943"/>
      <c r="S87" s="1031"/>
    </row>
    <row r="88" spans="1:19" x14ac:dyDescent="0.35">
      <c r="A88" s="1079"/>
      <c r="B88" s="1102"/>
      <c r="C88" s="1086"/>
      <c r="D88" s="682"/>
      <c r="E88" s="642"/>
      <c r="F88" s="642"/>
      <c r="G88" s="646"/>
      <c r="H88" s="943"/>
      <c r="I88" s="1031"/>
      <c r="J88" s="943"/>
      <c r="K88" s="1031"/>
      <c r="L88" s="943"/>
      <c r="M88" s="1031"/>
      <c r="N88" s="943"/>
      <c r="O88" s="1031"/>
      <c r="P88" s="943"/>
      <c r="Q88" s="1031"/>
      <c r="R88" s="943"/>
      <c r="S88" s="1031"/>
    </row>
    <row r="89" spans="1:19" x14ac:dyDescent="0.35">
      <c r="A89" s="1079"/>
      <c r="B89" s="1098"/>
      <c r="C89" s="1086"/>
      <c r="D89" s="682"/>
      <c r="E89" s="642"/>
      <c r="F89" s="642"/>
      <c r="G89" s="646"/>
      <c r="H89" s="943"/>
      <c r="I89" s="1031"/>
      <c r="J89" s="943"/>
      <c r="K89" s="1031"/>
      <c r="L89" s="943"/>
      <c r="M89" s="1031"/>
      <c r="N89" s="943"/>
      <c r="O89" s="1031"/>
      <c r="P89" s="943"/>
      <c r="Q89" s="1031"/>
      <c r="R89" s="943"/>
      <c r="S89" s="1031"/>
    </row>
    <row r="90" spans="1:19" x14ac:dyDescent="0.35">
      <c r="A90" s="1079"/>
      <c r="B90" s="1104"/>
      <c r="C90" s="642"/>
      <c r="D90" s="682"/>
      <c r="E90" s="642"/>
      <c r="F90" s="642"/>
      <c r="G90" s="646"/>
      <c r="H90" s="943"/>
      <c r="I90" s="1030"/>
      <c r="J90" s="943"/>
      <c r="K90" s="1030"/>
      <c r="L90" s="943"/>
      <c r="M90" s="1030"/>
      <c r="N90" s="943"/>
      <c r="O90" s="1031"/>
      <c r="P90" s="943"/>
      <c r="Q90" s="1030"/>
      <c r="R90" s="943"/>
      <c r="S90" s="1031"/>
    </row>
    <row r="91" spans="1:19" ht="15" thickBot="1" x14ac:dyDescent="0.4">
      <c r="A91" s="1079"/>
      <c r="B91" s="1104"/>
      <c r="C91" s="1039"/>
      <c r="D91" s="940"/>
      <c r="E91" s="940"/>
      <c r="F91" s="940"/>
      <c r="G91" s="1039"/>
      <c r="H91" s="943"/>
      <c r="I91" s="1030"/>
      <c r="J91" s="943"/>
      <c r="K91" s="1030"/>
      <c r="L91" s="943"/>
      <c r="M91" s="1030"/>
      <c r="N91" s="943"/>
      <c r="O91" s="1030"/>
      <c r="P91" s="943"/>
      <c r="Q91" s="1030"/>
      <c r="R91" s="943"/>
      <c r="S91" s="1030"/>
    </row>
    <row r="92" spans="1:19" ht="15" thickTop="1" x14ac:dyDescent="0.35">
      <c r="A92" s="14"/>
      <c r="B92" s="15"/>
      <c r="C92" s="16"/>
      <c r="D92" s="16"/>
      <c r="E92" s="17"/>
      <c r="F92" s="18" t="s">
        <v>715</v>
      </c>
      <c r="G92" s="19"/>
      <c r="H92" s="20"/>
      <c r="I92" s="50">
        <f>SUM(I24:I91)</f>
        <v>0</v>
      </c>
      <c r="J92" s="20"/>
      <c r="K92" s="50">
        <f>SUM(K24:K91)</f>
        <v>0</v>
      </c>
      <c r="L92" s="20"/>
      <c r="M92" s="50">
        <f>SUM(M24:M91)</f>
        <v>0</v>
      </c>
      <c r="N92" s="20"/>
      <c r="O92" s="50">
        <f>SUM(O24:O91)</f>
        <v>0</v>
      </c>
      <c r="P92" s="20"/>
      <c r="Q92" s="50">
        <f>SUM(Q24:Q91)</f>
        <v>0</v>
      </c>
      <c r="R92" s="20"/>
      <c r="S92" s="50">
        <f>SUM(S24:S91)</f>
        <v>0</v>
      </c>
    </row>
    <row r="93" spans="1:19" x14ac:dyDescent="0.35">
      <c r="A93" s="684"/>
      <c r="B93" s="655"/>
      <c r="C93" s="656"/>
      <c r="D93" s="656"/>
      <c r="E93" s="657"/>
      <c r="F93" s="658" t="s">
        <v>716</v>
      </c>
      <c r="G93" s="659"/>
      <c r="H93" s="959">
        <v>0</v>
      </c>
      <c r="I93" s="1121"/>
      <c r="J93" s="959">
        <v>0</v>
      </c>
      <c r="K93" s="1121"/>
      <c r="L93" s="1153">
        <v>0</v>
      </c>
      <c r="M93" s="1121"/>
      <c r="N93" s="959">
        <v>0</v>
      </c>
      <c r="O93" s="1121"/>
      <c r="P93" s="1153">
        <v>0</v>
      </c>
      <c r="Q93" s="1121"/>
      <c r="R93" s="959">
        <v>0</v>
      </c>
      <c r="S93" s="1121"/>
    </row>
    <row r="94" spans="1:19" x14ac:dyDescent="0.35">
      <c r="A94" s="684"/>
      <c r="B94" s="655"/>
      <c r="C94" s="656"/>
      <c r="D94" s="656"/>
      <c r="E94" s="657"/>
      <c r="F94" s="658" t="s">
        <v>717</v>
      </c>
      <c r="G94" s="659"/>
      <c r="H94" s="961"/>
      <c r="I94" s="1122">
        <f>H93*I92</f>
        <v>0</v>
      </c>
      <c r="J94" s="961"/>
      <c r="K94" s="1122">
        <f>J93*K92</f>
        <v>0</v>
      </c>
      <c r="L94" s="961"/>
      <c r="M94" s="1122">
        <f>L93*M92</f>
        <v>0</v>
      </c>
      <c r="N94" s="961"/>
      <c r="O94" s="1122">
        <f>N93*O92</f>
        <v>0</v>
      </c>
      <c r="P94" s="961"/>
      <c r="Q94" s="1122">
        <f>P93*Q92</f>
        <v>0</v>
      </c>
      <c r="R94" s="961"/>
      <c r="S94" s="1122">
        <f>R93*S92</f>
        <v>0</v>
      </c>
    </row>
    <row r="95" spans="1:19" x14ac:dyDescent="0.35">
      <c r="A95" s="684"/>
      <c r="B95" s="655"/>
      <c r="C95" s="656"/>
      <c r="D95" s="656"/>
      <c r="E95" s="657"/>
      <c r="F95" s="658"/>
      <c r="G95" s="659"/>
      <c r="H95" s="961"/>
      <c r="I95" s="963"/>
      <c r="J95" s="961"/>
      <c r="K95" s="963"/>
      <c r="L95" s="961"/>
      <c r="M95" s="963"/>
      <c r="N95" s="961"/>
      <c r="O95" s="963"/>
      <c r="P95" s="961"/>
      <c r="Q95" s="963"/>
      <c r="R95" s="961"/>
      <c r="S95" s="963"/>
    </row>
    <row r="96" spans="1:19" x14ac:dyDescent="0.35">
      <c r="A96" s="684"/>
      <c r="B96" s="655"/>
      <c r="C96" s="656"/>
      <c r="D96" s="656"/>
      <c r="E96" s="657"/>
      <c r="F96" s="658" t="s">
        <v>718</v>
      </c>
      <c r="G96" s="659"/>
      <c r="H96" s="964"/>
      <c r="I96" s="962">
        <f>SUM(I92:I94)</f>
        <v>0</v>
      </c>
      <c r="J96" s="964"/>
      <c r="K96" s="962">
        <f>SUM(K92:K94)</f>
        <v>0</v>
      </c>
      <c r="L96" s="964"/>
      <c r="M96" s="962">
        <f>SUM(M92:M94)</f>
        <v>0</v>
      </c>
      <c r="N96" s="964"/>
      <c r="O96" s="962">
        <f>SUM(O92:O94)</f>
        <v>0</v>
      </c>
      <c r="P96" s="964"/>
      <c r="Q96" s="962">
        <f>SUM(Q92:Q94)</f>
        <v>0</v>
      </c>
      <c r="R96" s="964"/>
      <c r="S96" s="962">
        <f>SUM(S92:S94)</f>
        <v>0</v>
      </c>
    </row>
    <row r="97" spans="1:19" x14ac:dyDescent="0.35">
      <c r="A97" s="684"/>
      <c r="B97" s="655"/>
      <c r="C97" s="656"/>
      <c r="D97" s="656"/>
      <c r="E97" s="657"/>
      <c r="F97" s="660" t="s">
        <v>719</v>
      </c>
      <c r="G97" s="661"/>
      <c r="H97" s="965"/>
      <c r="I97" s="966" t="e">
        <f>I96/#REF!</f>
        <v>#REF!</v>
      </c>
      <c r="J97" s="965"/>
      <c r="K97" s="966" t="e">
        <f>K96/#REF!</f>
        <v>#REF!</v>
      </c>
      <c r="L97" s="965"/>
      <c r="M97" s="966" t="e">
        <f>M96/#REF!</f>
        <v>#REF!</v>
      </c>
      <c r="N97" s="965"/>
      <c r="O97" s="966" t="e">
        <f>O96/#REF!</f>
        <v>#REF!</v>
      </c>
      <c r="P97" s="965"/>
      <c r="Q97" s="966" t="e">
        <f>Q96/#REF!</f>
        <v>#REF!</v>
      </c>
      <c r="R97" s="965"/>
      <c r="S97" s="966" t="e">
        <f>S96/#REF!</f>
        <v>#REF!</v>
      </c>
    </row>
    <row r="98" spans="1:19" x14ac:dyDescent="0.35">
      <c r="A98" s="684"/>
      <c r="B98" s="655"/>
      <c r="C98" s="656"/>
      <c r="D98" s="656"/>
      <c r="E98" s="657"/>
      <c r="F98" s="660" t="s">
        <v>720</v>
      </c>
      <c r="G98" s="662"/>
      <c r="H98" s="965"/>
      <c r="I98" s="966" t="e">
        <f>I96/#REF!</f>
        <v>#REF!</v>
      </c>
      <c r="J98" s="965"/>
      <c r="K98" s="966" t="e">
        <f>K96/#REF!</f>
        <v>#REF!</v>
      </c>
      <c r="L98" s="965"/>
      <c r="M98" s="966" t="e">
        <f>M96/#REF!</f>
        <v>#REF!</v>
      </c>
      <c r="N98" s="965"/>
      <c r="O98" s="966" t="e">
        <f>O96/#REF!</f>
        <v>#REF!</v>
      </c>
      <c r="P98" s="965"/>
      <c r="Q98" s="966" t="e">
        <f>Q96/#REF!</f>
        <v>#REF!</v>
      </c>
      <c r="R98" s="965"/>
      <c r="S98" s="966" t="e">
        <f>S96/#REF!</f>
        <v>#REF!</v>
      </c>
    </row>
    <row r="99" spans="1:19" ht="15" thickBot="1" x14ac:dyDescent="0.4">
      <c r="A99" s="684"/>
      <c r="B99" s="655"/>
      <c r="C99" s="656"/>
      <c r="D99" s="656"/>
      <c r="E99" s="657"/>
      <c r="F99" s="658"/>
      <c r="G99" s="663"/>
      <c r="H99" s="1168"/>
      <c r="I99" s="1169"/>
      <c r="J99" s="967"/>
      <c r="K99" s="967"/>
      <c r="L99" s="967"/>
      <c r="M99" s="967"/>
      <c r="N99" s="967"/>
      <c r="O99" s="967"/>
      <c r="P99" s="967"/>
      <c r="Q99" s="967"/>
      <c r="R99" s="967"/>
      <c r="S99" s="967"/>
    </row>
    <row r="100" spans="1:19" ht="15.5" thickTop="1" thickBot="1" x14ac:dyDescent="0.4">
      <c r="A100" s="3764" t="s">
        <v>721</v>
      </c>
      <c r="B100" s="3765"/>
      <c r="C100" s="12"/>
      <c r="D100" s="12"/>
      <c r="E100" s="12"/>
      <c r="F100" s="12"/>
      <c r="G100" s="13"/>
      <c r="H100" s="21"/>
      <c r="I100" s="21"/>
      <c r="J100" s="21"/>
      <c r="K100" s="21"/>
      <c r="L100" s="21"/>
      <c r="M100" s="21"/>
      <c r="N100" s="21"/>
      <c r="O100" s="21"/>
      <c r="P100" s="21"/>
      <c r="Q100" s="21"/>
      <c r="R100" s="21"/>
      <c r="S100" s="21"/>
    </row>
    <row r="101" spans="1:19" ht="15" thickTop="1" x14ac:dyDescent="0.35">
      <c r="A101" s="1170"/>
      <c r="B101" s="641"/>
      <c r="C101" s="1171"/>
      <c r="D101" s="1171"/>
      <c r="E101" s="1171"/>
      <c r="F101" s="1171"/>
      <c r="G101" s="1172"/>
      <c r="H101" s="1173"/>
      <c r="I101" s="1173"/>
      <c r="J101" s="1173"/>
      <c r="K101" s="1173"/>
      <c r="L101" s="1173"/>
      <c r="M101" s="1173"/>
      <c r="N101" s="1173"/>
      <c r="O101" s="1173"/>
      <c r="P101" s="1173"/>
      <c r="Q101" s="1173"/>
      <c r="R101" s="1173"/>
      <c r="S101" s="1173"/>
    </row>
    <row r="102" spans="1:19" x14ac:dyDescent="0.35">
      <c r="A102" s="1170"/>
      <c r="B102" s="641"/>
      <c r="C102" s="1171"/>
      <c r="D102" s="1171"/>
      <c r="E102" s="1171"/>
      <c r="F102" s="1171"/>
      <c r="G102" s="1172"/>
      <c r="H102" s="1173"/>
      <c r="I102" s="1173"/>
      <c r="J102" s="1173"/>
      <c r="K102" s="1173"/>
      <c r="L102" s="1173"/>
      <c r="M102" s="1173"/>
      <c r="N102" s="1173"/>
      <c r="O102" s="1173"/>
      <c r="P102" s="1173"/>
      <c r="Q102" s="1173"/>
      <c r="R102" s="1173"/>
      <c r="S102" s="1173"/>
    </row>
    <row r="103" spans="1:19" s="2" customFormat="1" ht="15" thickBot="1" x14ac:dyDescent="0.4">
      <c r="A103" s="1170"/>
      <c r="B103" s="641"/>
      <c r="C103" s="1171"/>
      <c r="D103" s="1171"/>
      <c r="E103" s="1171"/>
      <c r="F103" s="1171"/>
      <c r="G103" s="1172"/>
      <c r="H103" s="1173"/>
      <c r="I103" s="1173"/>
      <c r="J103" s="1173"/>
      <c r="K103" s="1173"/>
      <c r="L103" s="1173"/>
      <c r="M103" s="1173"/>
      <c r="N103" s="1173"/>
      <c r="O103" s="1173"/>
      <c r="P103" s="1173"/>
      <c r="Q103" s="1173"/>
      <c r="R103" s="1173"/>
      <c r="S103" s="1173"/>
    </row>
    <row r="104" spans="1:19" ht="15.5" thickTop="1" thickBot="1" x14ac:dyDescent="0.4">
      <c r="A104" s="3764" t="s">
        <v>722</v>
      </c>
      <c r="B104" s="3765"/>
      <c r="C104" s="12"/>
      <c r="D104" s="12"/>
      <c r="E104" s="12"/>
      <c r="F104" s="12"/>
      <c r="G104" s="13"/>
      <c r="H104" s="21"/>
      <c r="I104" s="21"/>
      <c r="J104" s="21"/>
      <c r="K104" s="21"/>
      <c r="L104" s="21"/>
      <c r="M104" s="21"/>
      <c r="N104" s="21"/>
      <c r="O104" s="21"/>
      <c r="P104" s="21"/>
      <c r="Q104" s="21"/>
      <c r="R104" s="21"/>
      <c r="S104" s="21"/>
    </row>
    <row r="105" spans="1:19" s="2" customFormat="1" ht="15" thickTop="1" x14ac:dyDescent="0.35">
      <c r="A105" s="1170"/>
      <c r="B105" s="641"/>
      <c r="C105" s="1171"/>
      <c r="D105" s="1171"/>
      <c r="E105" s="1171"/>
      <c r="F105" s="1171"/>
      <c r="G105" s="1172"/>
      <c r="H105" s="1173"/>
      <c r="I105" s="1173"/>
      <c r="J105" s="1173"/>
      <c r="K105" s="1173"/>
      <c r="L105" s="1173"/>
      <c r="M105" s="1173"/>
      <c r="N105" s="1173"/>
      <c r="O105" s="1173"/>
      <c r="P105" s="1173"/>
      <c r="Q105" s="1173"/>
      <c r="R105" s="1173"/>
      <c r="S105" s="1173"/>
    </row>
    <row r="106" spans="1:19" s="2" customFormat="1" x14ac:dyDescent="0.35">
      <c r="A106" s="1170"/>
      <c r="B106" s="641"/>
      <c r="C106" s="1171"/>
      <c r="D106" s="1171"/>
      <c r="E106" s="1171"/>
      <c r="F106" s="1171"/>
      <c r="G106" s="1172"/>
      <c r="H106" s="1173"/>
      <c r="I106" s="1173"/>
      <c r="J106" s="1173"/>
      <c r="K106" s="1173"/>
      <c r="L106" s="1173"/>
      <c r="M106" s="1173"/>
      <c r="N106" s="1173"/>
      <c r="O106" s="1173"/>
      <c r="P106" s="1173"/>
      <c r="Q106" s="1173"/>
      <c r="R106" s="1173"/>
      <c r="S106" s="1173"/>
    </row>
    <row r="107" spans="1:19" s="2" customFormat="1" ht="15" thickBot="1" x14ac:dyDescent="0.4">
      <c r="A107" s="1170"/>
      <c r="B107" s="641"/>
      <c r="C107" s="1171"/>
      <c r="D107" s="1171"/>
      <c r="E107" s="1171"/>
      <c r="F107" s="1171"/>
      <c r="G107" s="1172"/>
      <c r="H107" s="1173"/>
      <c r="I107" s="1173"/>
      <c r="J107" s="1173"/>
      <c r="K107" s="1173"/>
      <c r="L107" s="1173"/>
      <c r="M107" s="1173"/>
      <c r="N107" s="1173"/>
      <c r="O107" s="1173"/>
      <c r="P107" s="1173"/>
      <c r="Q107" s="1173"/>
      <c r="R107" s="1173"/>
      <c r="S107" s="1173"/>
    </row>
    <row r="108" spans="1:19" ht="15.5" thickTop="1" thickBot="1" x14ac:dyDescent="0.4">
      <c r="A108" s="3764" t="s">
        <v>723</v>
      </c>
      <c r="B108" s="3765"/>
      <c r="C108" s="12"/>
      <c r="D108" s="12"/>
      <c r="E108" s="12"/>
      <c r="F108" s="12"/>
      <c r="G108" s="13"/>
      <c r="H108" s="21"/>
      <c r="I108" s="21"/>
      <c r="J108" s="21"/>
      <c r="K108" s="21"/>
      <c r="L108" s="21"/>
      <c r="M108" s="21"/>
      <c r="N108" s="21"/>
      <c r="O108" s="21"/>
      <c r="P108" s="21"/>
      <c r="Q108" s="21"/>
      <c r="R108" s="21"/>
      <c r="S108" s="21"/>
    </row>
    <row r="109" spans="1:19" ht="15" thickTop="1" x14ac:dyDescent="0.35">
      <c r="A109" s="1170"/>
      <c r="B109" s="641"/>
      <c r="C109" s="1171"/>
      <c r="D109" s="1171"/>
      <c r="E109" s="1171"/>
      <c r="F109" s="1171"/>
      <c r="G109" s="1172"/>
      <c r="H109" s="1173"/>
      <c r="I109" s="1173"/>
      <c r="J109" s="1173"/>
      <c r="K109" s="1173"/>
      <c r="L109" s="1173"/>
      <c r="M109" s="1173"/>
      <c r="N109" s="1173"/>
      <c r="O109" s="1173"/>
      <c r="P109" s="1173"/>
      <c r="Q109" s="1173"/>
      <c r="R109" s="1173"/>
      <c r="S109" s="1173"/>
    </row>
    <row r="110" spans="1:19" x14ac:dyDescent="0.35">
      <c r="A110" s="689"/>
      <c r="B110" s="641"/>
      <c r="C110" s="642"/>
      <c r="D110" s="642"/>
      <c r="E110" s="642"/>
      <c r="F110" s="642"/>
      <c r="G110" s="646"/>
      <c r="H110" s="973"/>
      <c r="I110" s="973"/>
      <c r="J110" s="973"/>
      <c r="K110" s="973"/>
      <c r="L110" s="973"/>
      <c r="M110" s="973"/>
      <c r="N110" s="973"/>
      <c r="O110" s="973"/>
      <c r="P110" s="973"/>
      <c r="Q110" s="973"/>
      <c r="R110" s="973"/>
      <c r="S110" s="973"/>
    </row>
    <row r="111" spans="1:19" ht="15" thickBot="1" x14ac:dyDescent="0.4">
      <c r="A111" s="686"/>
      <c r="B111" s="665"/>
      <c r="C111" s="642"/>
      <c r="D111" s="642"/>
      <c r="E111" s="642"/>
      <c r="F111" s="642"/>
      <c r="G111" s="646"/>
      <c r="H111" s="974"/>
      <c r="I111" s="974"/>
      <c r="J111" s="974"/>
      <c r="K111" s="974"/>
      <c r="L111" s="974"/>
      <c r="M111" s="974"/>
      <c r="N111" s="974"/>
      <c r="O111" s="974"/>
      <c r="P111" s="974"/>
      <c r="Q111" s="974"/>
      <c r="R111" s="974"/>
      <c r="S111" s="974"/>
    </row>
    <row r="112" spans="1:19" ht="15.5" thickTop="1" thickBot="1" x14ac:dyDescent="0.4">
      <c r="A112" s="3764" t="s">
        <v>724</v>
      </c>
      <c r="B112" s="3765"/>
      <c r="C112" s="12"/>
      <c r="D112" s="12"/>
      <c r="E112" s="12"/>
      <c r="F112" s="12"/>
      <c r="G112" s="13"/>
      <c r="H112" s="21"/>
      <c r="I112" s="21"/>
      <c r="J112" s="21"/>
      <c r="K112" s="21"/>
      <c r="L112" s="21"/>
      <c r="M112" s="21"/>
      <c r="N112" s="21"/>
      <c r="O112" s="21"/>
      <c r="P112" s="21"/>
      <c r="Q112" s="21"/>
      <c r="R112" s="21"/>
      <c r="S112" s="21"/>
    </row>
    <row r="113" spans="1:19" ht="15" thickTop="1" x14ac:dyDescent="0.35">
      <c r="A113" s="1174"/>
      <c r="B113" s="1175"/>
      <c r="C113" s="1171"/>
      <c r="D113" s="1171"/>
      <c r="E113" s="1171"/>
      <c r="F113" s="1171"/>
      <c r="G113" s="1172"/>
      <c r="H113" s="1173"/>
      <c r="I113" s="1173"/>
      <c r="J113" s="1173"/>
      <c r="K113" s="1173"/>
      <c r="L113" s="1173"/>
      <c r="M113" s="1173"/>
      <c r="N113" s="1173"/>
      <c r="O113" s="1173"/>
      <c r="P113" s="1173"/>
      <c r="Q113" s="1173"/>
      <c r="R113" s="1173"/>
      <c r="S113" s="1173"/>
    </row>
    <row r="114" spans="1:19" x14ac:dyDescent="0.35">
      <c r="A114" s="686"/>
      <c r="B114" s="665"/>
      <c r="C114" s="642"/>
      <c r="D114" s="642"/>
      <c r="E114" s="642"/>
      <c r="F114" s="642"/>
      <c r="G114" s="646"/>
      <c r="H114" s="977"/>
      <c r="I114" s="977"/>
      <c r="J114" s="977"/>
      <c r="K114" s="977"/>
      <c r="L114" s="977"/>
      <c r="M114" s="977"/>
      <c r="N114" s="977"/>
      <c r="O114" s="977"/>
      <c r="P114" s="977"/>
      <c r="Q114" s="977"/>
      <c r="R114" s="977"/>
      <c r="S114" s="977"/>
    </row>
    <row r="115" spans="1:19" ht="15" thickBot="1" x14ac:dyDescent="0.4">
      <c r="A115" s="686"/>
      <c r="B115" s="665"/>
      <c r="C115" s="642"/>
      <c r="D115" s="642"/>
      <c r="E115" s="642"/>
      <c r="F115" s="642"/>
      <c r="G115" s="646"/>
      <c r="H115" s="977"/>
      <c r="I115" s="977"/>
      <c r="J115" s="977"/>
      <c r="K115" s="977"/>
      <c r="L115" s="977"/>
      <c r="M115" s="977"/>
      <c r="N115" s="977"/>
      <c r="O115" s="977"/>
      <c r="P115" s="977"/>
      <c r="Q115" s="977"/>
      <c r="R115" s="977"/>
      <c r="S115" s="977"/>
    </row>
    <row r="116" spans="1:19" ht="15.5" thickTop="1" thickBot="1" x14ac:dyDescent="0.4">
      <c r="A116" s="3764" t="s">
        <v>725</v>
      </c>
      <c r="B116" s="3765"/>
      <c r="C116" s="12"/>
      <c r="D116" s="12"/>
      <c r="E116" s="12"/>
      <c r="F116" s="12"/>
      <c r="G116" s="13"/>
      <c r="H116" s="21"/>
      <c r="I116" s="21"/>
      <c r="J116" s="21"/>
      <c r="K116" s="21"/>
      <c r="L116" s="21"/>
      <c r="M116" s="21"/>
      <c r="N116" s="21"/>
      <c r="O116" s="21"/>
      <c r="P116" s="1131"/>
      <c r="Q116" s="1131"/>
      <c r="R116" s="1131"/>
      <c r="S116" s="1131"/>
    </row>
    <row r="117" spans="1:19" ht="15" thickTop="1" x14ac:dyDescent="0.35">
      <c r="A117" s="689"/>
      <c r="B117" s="641" t="s">
        <v>726</v>
      </c>
      <c r="C117" s="642"/>
      <c r="D117" s="642"/>
      <c r="E117" s="642"/>
      <c r="F117" s="642"/>
      <c r="G117" s="646"/>
      <c r="H117" s="977"/>
      <c r="I117" s="977"/>
      <c r="J117" s="977"/>
      <c r="K117" s="977"/>
      <c r="L117" s="977"/>
      <c r="M117" s="977"/>
      <c r="N117" s="977"/>
      <c r="O117" s="977"/>
      <c r="P117" s="977"/>
      <c r="Q117" s="977"/>
      <c r="R117" s="977"/>
      <c r="S117" s="977"/>
    </row>
    <row r="118" spans="1:19" x14ac:dyDescent="0.35">
      <c r="A118" s="689"/>
      <c r="B118" s="641" t="s">
        <v>727</v>
      </c>
      <c r="C118" s="642"/>
      <c r="D118" s="642"/>
      <c r="E118" s="642"/>
      <c r="F118" s="642"/>
      <c r="G118" s="646"/>
      <c r="H118" s="977"/>
      <c r="I118" s="977"/>
      <c r="J118" s="977"/>
      <c r="K118" s="977"/>
      <c r="L118" s="977"/>
      <c r="M118" s="977"/>
      <c r="N118" s="977"/>
      <c r="O118" s="977"/>
      <c r="P118" s="977"/>
      <c r="Q118" s="977"/>
      <c r="R118" s="977"/>
      <c r="S118" s="977"/>
    </row>
    <row r="119" spans="1:19" x14ac:dyDescent="0.35">
      <c r="A119" s="689"/>
      <c r="B119" s="641" t="s">
        <v>728</v>
      </c>
      <c r="C119" s="642"/>
      <c r="D119" s="642"/>
      <c r="E119" s="642"/>
      <c r="F119" s="642"/>
      <c r="G119" s="646"/>
      <c r="H119" s="977"/>
      <c r="I119" s="977"/>
      <c r="J119" s="977"/>
      <c r="K119" s="977"/>
      <c r="L119" s="977"/>
      <c r="M119" s="977"/>
      <c r="N119" s="977"/>
      <c r="O119" s="977"/>
      <c r="P119" s="977"/>
      <c r="Q119" s="977"/>
      <c r="R119" s="977"/>
      <c r="S119" s="977"/>
    </row>
    <row r="120" spans="1:19" x14ac:dyDescent="0.35">
      <c r="A120" s="689"/>
      <c r="B120" s="641" t="s">
        <v>729</v>
      </c>
      <c r="C120" s="642"/>
      <c r="D120" s="642"/>
      <c r="E120" s="642"/>
      <c r="F120" s="642"/>
      <c r="G120" s="646"/>
      <c r="H120" s="977"/>
      <c r="I120" s="977"/>
      <c r="J120" s="977"/>
      <c r="K120" s="977"/>
      <c r="L120" s="977"/>
      <c r="M120" s="977"/>
      <c r="N120" s="977"/>
      <c r="O120" s="977"/>
      <c r="P120" s="977"/>
      <c r="Q120" s="977"/>
      <c r="R120" s="977"/>
      <c r="S120" s="977"/>
    </row>
    <row r="121" spans="1:19" ht="15" thickBot="1" x14ac:dyDescent="0.4">
      <c r="A121" s="978"/>
      <c r="B121" s="939"/>
      <c r="C121" s="940"/>
      <c r="D121" s="940"/>
      <c r="E121" s="940"/>
      <c r="F121" s="940"/>
      <c r="G121" s="1039"/>
      <c r="H121" s="981"/>
      <c r="I121" s="981"/>
      <c r="J121" s="981"/>
      <c r="K121" s="981"/>
      <c r="L121" s="981"/>
      <c r="M121" s="981"/>
      <c r="N121" s="981"/>
      <c r="O121" s="981"/>
      <c r="P121" s="981"/>
      <c r="Q121" s="981"/>
      <c r="R121" s="981"/>
      <c r="S121" s="981"/>
    </row>
    <row r="122" spans="1:19" ht="15.5" thickTop="1" thickBot="1" x14ac:dyDescent="0.4">
      <c r="A122" s="7" t="s">
        <v>730</v>
      </c>
      <c r="B122" s="8"/>
      <c r="C122" s="12"/>
      <c r="D122" s="12"/>
      <c r="E122" s="12"/>
      <c r="F122" s="12"/>
      <c r="G122" s="13"/>
      <c r="H122" s="21"/>
      <c r="I122" s="21"/>
      <c r="J122" s="21"/>
      <c r="K122" s="21"/>
      <c r="L122" s="21"/>
      <c r="M122" s="21"/>
      <c r="N122" s="21"/>
      <c r="O122" s="21"/>
      <c r="P122" s="21"/>
      <c r="Q122" s="21"/>
      <c r="R122" s="21"/>
      <c r="S122" s="21"/>
    </row>
    <row r="123" spans="1:19" ht="15" thickTop="1" x14ac:dyDescent="0.35">
      <c r="A123" s="1170"/>
      <c r="B123" s="1176" t="s">
        <v>731</v>
      </c>
      <c r="C123" s="1171"/>
      <c r="D123" s="1171"/>
      <c r="E123" s="1171"/>
      <c r="F123" s="1171"/>
      <c r="G123" s="1172"/>
      <c r="H123" s="1177"/>
      <c r="I123" s="1177"/>
      <c r="J123" s="1177"/>
      <c r="K123" s="1177"/>
      <c r="L123" s="1177"/>
      <c r="M123" s="1177"/>
      <c r="N123" s="1177"/>
      <c r="O123" s="1177"/>
      <c r="P123" s="1177"/>
      <c r="Q123" s="1177"/>
      <c r="R123" s="1177"/>
      <c r="S123" s="1177"/>
    </row>
    <row r="124" spans="1:19" x14ac:dyDescent="0.35">
      <c r="A124" s="689"/>
      <c r="B124" s="641" t="s">
        <v>732</v>
      </c>
      <c r="C124" s="642"/>
      <c r="D124" s="642"/>
      <c r="E124" s="642"/>
      <c r="F124" s="642"/>
      <c r="G124" s="646"/>
      <c r="H124" s="984"/>
      <c r="I124" s="984"/>
      <c r="J124" s="984"/>
      <c r="K124" s="984"/>
      <c r="L124" s="984"/>
      <c r="M124" s="984"/>
      <c r="N124" s="984"/>
      <c r="O124" s="984"/>
      <c r="P124" s="984"/>
      <c r="Q124" s="984"/>
      <c r="R124" s="984"/>
      <c r="S124" s="984"/>
    </row>
    <row r="125" spans="1:19" ht="15" thickBot="1" x14ac:dyDescent="0.4">
      <c r="A125" s="985"/>
      <c r="B125" s="986" t="s">
        <v>733</v>
      </c>
      <c r="C125" s="987"/>
      <c r="D125" s="987"/>
      <c r="E125" s="987"/>
      <c r="F125" s="987"/>
      <c r="G125" s="1040"/>
      <c r="H125" s="990"/>
      <c r="I125" s="990"/>
      <c r="J125" s="990"/>
      <c r="K125" s="990"/>
      <c r="L125" s="990"/>
      <c r="M125" s="990"/>
      <c r="N125" s="990"/>
      <c r="O125" s="990"/>
      <c r="P125" s="990"/>
      <c r="Q125" s="990"/>
      <c r="R125" s="990"/>
      <c r="S125" s="990"/>
    </row>
    <row r="126" spans="1:19" ht="15.5" thickTop="1" thickBot="1" x14ac:dyDescent="0.4"/>
    <row r="127" spans="1:19" ht="15.5" thickTop="1" thickBot="1" x14ac:dyDescent="0.4">
      <c r="A127" s="78" t="s">
        <v>734</v>
      </c>
      <c r="B127" s="80"/>
    </row>
    <row r="128" spans="1:19" ht="15" thickTop="1" x14ac:dyDescent="0.35">
      <c r="A128" s="79" t="s">
        <v>632</v>
      </c>
      <c r="B128" s="991"/>
    </row>
    <row r="129" spans="1:2" x14ac:dyDescent="0.35">
      <c r="A129" s="687" t="s">
        <v>636</v>
      </c>
      <c r="B129" s="991"/>
    </row>
    <row r="130" spans="1:2" x14ac:dyDescent="0.35">
      <c r="A130" s="992" t="s">
        <v>639</v>
      </c>
      <c r="B130" s="993"/>
    </row>
    <row r="131" spans="1:2" x14ac:dyDescent="0.35">
      <c r="A131" s="992" t="s">
        <v>642</v>
      </c>
      <c r="B131" s="994"/>
    </row>
    <row r="132" spans="1:2" ht="15" thickBot="1" x14ac:dyDescent="0.4">
      <c r="A132" s="995" t="s">
        <v>735</v>
      </c>
      <c r="B132" s="996"/>
    </row>
    <row r="133" spans="1:2" ht="15" thickTop="1" x14ac:dyDescent="0.35"/>
    <row r="134" spans="1:2" x14ac:dyDescent="0.35">
      <c r="A134" s="81"/>
      <c r="B134" s="1" t="s">
        <v>736</v>
      </c>
    </row>
    <row r="135" spans="1:2" x14ac:dyDescent="0.35">
      <c r="A135" s="82"/>
      <c r="B135" s="1" t="s">
        <v>737</v>
      </c>
    </row>
  </sheetData>
  <mergeCells count="47">
    <mergeCell ref="A100:B100"/>
    <mergeCell ref="A104:B104"/>
    <mergeCell ref="A108:B108"/>
    <mergeCell ref="A112:B112"/>
    <mergeCell ref="A116:B11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2885" priority="15" operator="equal">
      <formula>"X"</formula>
    </cfRule>
    <cfRule type="cellIs" dxfId="2884" priority="16" operator="equal">
      <formula>"I"</formula>
    </cfRule>
  </conditionalFormatting>
  <conditionalFormatting sqref="H32:H91">
    <cfRule type="cellIs" dxfId="2883" priority="1" operator="equal">
      <formula>"X"</formula>
    </cfRule>
    <cfRule type="cellIs" dxfId="2882" priority="2" operator="equal">
      <formula>"I"</formula>
    </cfRule>
  </conditionalFormatting>
  <conditionalFormatting sqref="J20:J30">
    <cfRule type="cellIs" dxfId="2881" priority="17" operator="equal">
      <formula>"X"</formula>
    </cfRule>
    <cfRule type="cellIs" dxfId="2880" priority="18" operator="equal">
      <formula>"I"</formula>
    </cfRule>
  </conditionalFormatting>
  <conditionalFormatting sqref="J32:J91">
    <cfRule type="cellIs" dxfId="2879" priority="3" operator="equal">
      <formula>"X"</formula>
    </cfRule>
    <cfRule type="cellIs" dxfId="2878" priority="4" operator="equal">
      <formula>"I"</formula>
    </cfRule>
  </conditionalFormatting>
  <conditionalFormatting sqref="L20:L30">
    <cfRule type="cellIs" dxfId="2877" priority="19" operator="equal">
      <formula>"X"</formula>
    </cfRule>
    <cfRule type="cellIs" dxfId="2876" priority="20" operator="equal">
      <formula>"I"</formula>
    </cfRule>
  </conditionalFormatting>
  <conditionalFormatting sqref="L32:L91">
    <cfRule type="cellIs" dxfId="2875" priority="5" operator="equal">
      <formula>"X"</formula>
    </cfRule>
    <cfRule type="cellIs" dxfId="2874" priority="6" operator="equal">
      <formula>"I"</formula>
    </cfRule>
  </conditionalFormatting>
  <conditionalFormatting sqref="N20:N30">
    <cfRule type="cellIs" dxfId="2873" priority="21" operator="equal">
      <formula>"X"</formula>
    </cfRule>
    <cfRule type="cellIs" dxfId="2872" priority="22" operator="equal">
      <formula>"I"</formula>
    </cfRule>
  </conditionalFormatting>
  <conditionalFormatting sqref="N32:N91">
    <cfRule type="cellIs" dxfId="2871" priority="7" operator="equal">
      <formula>"X"</formula>
    </cfRule>
    <cfRule type="cellIs" dxfId="2870" priority="8" operator="equal">
      <formula>"I"</formula>
    </cfRule>
  </conditionalFormatting>
  <conditionalFormatting sqref="P20:P30">
    <cfRule type="cellIs" dxfId="2869" priority="23" operator="equal">
      <formula>"X"</formula>
    </cfRule>
    <cfRule type="cellIs" dxfId="2868" priority="24" operator="equal">
      <formula>"I"</formula>
    </cfRule>
  </conditionalFormatting>
  <conditionalFormatting sqref="P32:P91">
    <cfRule type="cellIs" dxfId="2867" priority="9" operator="equal">
      <formula>"X"</formula>
    </cfRule>
    <cfRule type="cellIs" dxfId="2866" priority="10" operator="equal">
      <formula>"I"</formula>
    </cfRule>
  </conditionalFormatting>
  <conditionalFormatting sqref="R20:R30">
    <cfRule type="cellIs" dxfId="2865" priority="25" operator="equal">
      <formula>"X"</formula>
    </cfRule>
    <cfRule type="cellIs" dxfId="2864" priority="26" operator="equal">
      <formula>"I"</formula>
    </cfRule>
  </conditionalFormatting>
  <conditionalFormatting sqref="R32:R91">
    <cfRule type="cellIs" dxfId="2863" priority="13" operator="equal">
      <formula>"X"</formula>
    </cfRule>
    <cfRule type="cellIs" dxfId="2862" priority="14" operator="equal">
      <formula>"I"</formula>
    </cfRule>
  </conditionalFormatting>
  <hyperlinks>
    <hyperlink ref="B3" location="'Cost Summary'!A1" display="BACK TO SUMMARY SHEET" xr:uid="{EF159137-9392-4EFE-89D8-93DF1B7DA2F6}"/>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B44B-8D38-4059-ABFF-02F5CEF84F5D}">
  <sheetPr>
    <tabColor rgb="FF92D050"/>
  </sheetPr>
  <dimension ref="A1:S135"/>
  <sheetViews>
    <sheetView zoomScale="85" zoomScaleNormal="85"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6.54296875" style="2" customWidth="1"/>
    <col min="14" max="14" width="7.453125" style="2" bestFit="1" customWidth="1"/>
    <col min="15" max="15" width="14.81640625" style="2" customWidth="1"/>
    <col min="16" max="16" width="7.453125" style="2" customWidth="1"/>
    <col min="17" max="17" width="16.5429687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76"/>
      <c r="I2" s="3776"/>
      <c r="J2" s="3751"/>
      <c r="K2" s="3751"/>
      <c r="L2" s="3751"/>
      <c r="M2" s="3751"/>
      <c r="N2" s="3751"/>
      <c r="O2" s="3751"/>
      <c r="P2" s="3751"/>
      <c r="Q2" s="3751"/>
      <c r="R2" s="3751"/>
      <c r="S2" s="3751"/>
    </row>
    <row r="3" spans="1:19" ht="19.5" x14ac:dyDescent="0.35">
      <c r="B3" s="137" t="s">
        <v>623</v>
      </c>
      <c r="E3" s="152"/>
      <c r="F3" s="124" t="s">
        <v>624</v>
      </c>
      <c r="G3" s="123" t="s">
        <v>557</v>
      </c>
      <c r="H3" s="3754" t="s">
        <v>871</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926</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927</v>
      </c>
      <c r="C6" s="642"/>
      <c r="D6" s="642"/>
      <c r="E6" s="642"/>
      <c r="F6" s="642"/>
      <c r="G6" s="643" t="s">
        <v>639</v>
      </c>
      <c r="H6" s="3756"/>
      <c r="I6" s="3757"/>
      <c r="J6" s="3756"/>
      <c r="K6" s="3757"/>
      <c r="L6" s="3777"/>
      <c r="M6" s="3757"/>
      <c r="N6" s="3756"/>
      <c r="O6" s="3757"/>
      <c r="P6" s="3777"/>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x14ac:dyDescent="0.35">
      <c r="A8" s="938" t="s">
        <v>644</v>
      </c>
      <c r="B8" s="939"/>
      <c r="C8" s="940"/>
      <c r="D8" s="940"/>
      <c r="E8" s="940"/>
      <c r="F8" s="940"/>
      <c r="G8" s="1024" t="s">
        <v>644</v>
      </c>
      <c r="H8" s="3760">
        <f>I96</f>
        <v>0</v>
      </c>
      <c r="I8" s="3761"/>
      <c r="J8" s="3760">
        <f>K96</f>
        <v>0</v>
      </c>
      <c r="K8" s="3761"/>
      <c r="L8" s="3760">
        <f>M96</f>
        <v>0</v>
      </c>
      <c r="M8" s="3761"/>
      <c r="N8" s="3760">
        <f>O96</f>
        <v>0</v>
      </c>
      <c r="O8" s="3761"/>
      <c r="P8" s="3760">
        <f>Q96</f>
        <v>0</v>
      </c>
      <c r="Q8" s="3761"/>
      <c r="R8" s="3760">
        <f>S96</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1178"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x14ac:dyDescent="0.35">
      <c r="A16" s="689"/>
      <c r="B16" s="641" t="e">
        <f>#REF!</f>
        <v>#REF!</v>
      </c>
      <c r="C16" s="647"/>
      <c r="D16" s="642"/>
      <c r="E16" s="642"/>
      <c r="F16" s="642"/>
      <c r="G16" s="646"/>
      <c r="H16" s="942"/>
      <c r="I16" s="942"/>
      <c r="J16" s="942"/>
      <c r="K16" s="942"/>
      <c r="L16" s="942"/>
      <c r="M16" s="942"/>
      <c r="N16" s="942"/>
      <c r="O16" s="942"/>
      <c r="P16" s="942"/>
      <c r="Q16" s="942"/>
      <c r="R16" s="942"/>
      <c r="S16" s="942"/>
    </row>
    <row r="17" spans="1:19" ht="15" hidden="1" customHeight="1" x14ac:dyDescent="0.35">
      <c r="A17" s="689"/>
      <c r="B17" s="641" t="e">
        <f>#REF!</f>
        <v>#REF!</v>
      </c>
      <c r="C17" s="647"/>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1179"/>
      <c r="B21" s="648" t="s">
        <v>926</v>
      </c>
      <c r="C21" s="647"/>
      <c r="D21" s="642"/>
      <c r="E21" s="642"/>
      <c r="F21" s="642"/>
      <c r="G21" s="646"/>
      <c r="H21" s="943"/>
      <c r="I21" s="1180"/>
      <c r="J21" s="943"/>
      <c r="K21" s="1180"/>
      <c r="L21" s="943"/>
      <c r="M21" s="1180"/>
      <c r="N21" s="943"/>
      <c r="O21" s="1180"/>
      <c r="P21" s="943"/>
      <c r="Q21" s="1180"/>
      <c r="R21" s="943"/>
      <c r="S21" s="1180"/>
    </row>
    <row r="22" spans="1:19" ht="15.5" x14ac:dyDescent="0.35">
      <c r="A22" s="1181"/>
      <c r="B22" s="604" t="s">
        <v>657</v>
      </c>
      <c r="C22" s="647"/>
      <c r="D22" s="642"/>
      <c r="E22" s="642"/>
      <c r="F22" s="642"/>
      <c r="G22" s="646"/>
      <c r="H22" s="943"/>
      <c r="I22" s="1182"/>
      <c r="J22" s="943"/>
      <c r="K22" s="1180"/>
      <c r="L22" s="943"/>
      <c r="M22" s="1180"/>
      <c r="N22" s="943"/>
      <c r="O22" s="1180"/>
      <c r="P22" s="943"/>
      <c r="Q22" s="1180"/>
      <c r="R22" s="943"/>
      <c r="S22" s="1180"/>
    </row>
    <row r="23" spans="1:19" ht="15.75" customHeight="1" x14ac:dyDescent="0.35">
      <c r="A23" s="1179"/>
      <c r="B23" s="603" t="s">
        <v>658</v>
      </c>
      <c r="C23" s="647"/>
      <c r="D23" s="642"/>
      <c r="E23" s="642"/>
      <c r="F23" s="642"/>
      <c r="G23" s="646"/>
      <c r="H23" s="943"/>
      <c r="I23" s="1180"/>
      <c r="J23" s="943"/>
      <c r="K23" s="1180"/>
      <c r="L23" s="943"/>
      <c r="M23" s="1180"/>
      <c r="N23" s="943"/>
      <c r="O23" s="1180"/>
      <c r="P23" s="943"/>
      <c r="Q23" s="1180"/>
      <c r="R23" s="943"/>
      <c r="S23" s="1180"/>
    </row>
    <row r="24" spans="1:19" x14ac:dyDescent="0.35">
      <c r="A24" s="1179"/>
      <c r="B24" s="1183" t="s">
        <v>659</v>
      </c>
      <c r="C24" s="647"/>
      <c r="D24" s="642"/>
      <c r="E24" s="642"/>
      <c r="F24" s="642"/>
      <c r="G24" s="646"/>
      <c r="H24" s="943"/>
      <c r="I24" s="1184"/>
      <c r="J24" s="943"/>
      <c r="K24" s="1184"/>
      <c r="L24" s="943"/>
      <c r="M24" s="1140"/>
      <c r="N24" s="943"/>
      <c r="O24" s="1184"/>
      <c r="P24" s="943"/>
      <c r="Q24" s="1140"/>
      <c r="R24" s="943"/>
      <c r="S24" s="1184"/>
    </row>
    <row r="25" spans="1:19" ht="15.75" customHeight="1" x14ac:dyDescent="0.35">
      <c r="A25" s="1179"/>
      <c r="B25" s="1185" t="s">
        <v>660</v>
      </c>
      <c r="C25" s="647"/>
      <c r="D25" s="642"/>
      <c r="E25" s="642"/>
      <c r="F25" s="642"/>
      <c r="G25" s="646"/>
      <c r="H25" s="943"/>
      <c r="I25" s="1184"/>
      <c r="J25" s="943"/>
      <c r="K25" s="1184"/>
      <c r="L25" s="943"/>
      <c r="M25" s="136"/>
      <c r="N25" s="943"/>
      <c r="O25" s="1184"/>
      <c r="P25" s="943"/>
      <c r="Q25" s="136"/>
      <c r="R25" s="943"/>
      <c r="S25" s="1184"/>
    </row>
    <row r="26" spans="1:19" x14ac:dyDescent="0.35">
      <c r="A26" s="1179"/>
      <c r="B26" s="1185" t="s">
        <v>661</v>
      </c>
      <c r="C26" s="1086"/>
      <c r="D26" s="682"/>
      <c r="E26" s="642"/>
      <c r="F26" s="642"/>
      <c r="G26" s="646"/>
      <c r="H26" s="943"/>
      <c r="I26" s="1184"/>
      <c r="J26" s="943"/>
      <c r="K26" s="1180"/>
      <c r="L26" s="943"/>
      <c r="M26" s="984"/>
      <c r="N26" s="943"/>
      <c r="O26" s="1180"/>
      <c r="P26" s="943"/>
      <c r="Q26" s="984"/>
      <c r="R26" s="943"/>
      <c r="S26" s="1180"/>
    </row>
    <row r="27" spans="1:19" x14ac:dyDescent="0.35">
      <c r="A27" s="1179"/>
      <c r="B27" s="1185" t="s">
        <v>662</v>
      </c>
      <c r="C27" s="1086"/>
      <c r="D27" s="682"/>
      <c r="E27" s="642"/>
      <c r="F27" s="642"/>
      <c r="G27" s="646"/>
      <c r="H27" s="943"/>
      <c r="I27" s="1184"/>
      <c r="J27" s="943"/>
      <c r="K27" s="1180"/>
      <c r="L27" s="943"/>
      <c r="M27" s="984"/>
      <c r="N27" s="943"/>
      <c r="O27" s="1180"/>
      <c r="P27" s="943"/>
      <c r="Q27" s="984"/>
      <c r="R27" s="943"/>
      <c r="S27" s="1180"/>
    </row>
    <row r="28" spans="1:19" x14ac:dyDescent="0.35">
      <c r="A28" s="1179"/>
      <c r="B28" s="1185" t="s">
        <v>663</v>
      </c>
      <c r="C28" s="1086"/>
      <c r="D28" s="682"/>
      <c r="E28" s="642"/>
      <c r="F28" s="642"/>
      <c r="G28" s="646"/>
      <c r="H28" s="943"/>
      <c r="I28" s="1184"/>
      <c r="J28" s="943"/>
      <c r="K28" s="1180"/>
      <c r="L28" s="943"/>
      <c r="M28" s="984"/>
      <c r="N28" s="943"/>
      <c r="O28" s="1180"/>
      <c r="P28" s="943"/>
      <c r="Q28" s="984"/>
      <c r="R28" s="943"/>
      <c r="S28" s="1180"/>
    </row>
    <row r="29" spans="1:19" x14ac:dyDescent="0.35">
      <c r="A29" s="1179"/>
      <c r="B29" s="1185" t="s">
        <v>742</v>
      </c>
      <c r="C29" s="1086"/>
      <c r="D29" s="682"/>
      <c r="E29" s="642"/>
      <c r="F29" s="642"/>
      <c r="G29" s="646"/>
      <c r="H29" s="943"/>
      <c r="I29" s="1184"/>
      <c r="J29" s="943"/>
      <c r="K29" s="1180"/>
      <c r="L29" s="943"/>
      <c r="M29" s="984"/>
      <c r="N29" s="943"/>
      <c r="O29" s="1180"/>
      <c r="P29" s="943"/>
      <c r="Q29" s="984"/>
      <c r="R29" s="943"/>
      <c r="S29" s="1180"/>
    </row>
    <row r="30" spans="1:19" x14ac:dyDescent="0.35">
      <c r="A30" s="1179"/>
      <c r="B30" s="1186" t="s">
        <v>664</v>
      </c>
      <c r="C30" s="1086"/>
      <c r="D30" s="682"/>
      <c r="E30" s="642"/>
      <c r="F30" s="642"/>
      <c r="G30" s="646"/>
      <c r="H30" s="943"/>
      <c r="I30" s="1184"/>
      <c r="J30" s="943"/>
      <c r="K30" s="1180"/>
      <c r="L30" s="943"/>
      <c r="M30" s="984"/>
      <c r="N30" s="943"/>
      <c r="O30" s="1180"/>
      <c r="P30" s="943"/>
      <c r="Q30" s="984"/>
      <c r="R30" s="943"/>
      <c r="S30" s="1180"/>
    </row>
    <row r="31" spans="1:19" x14ac:dyDescent="0.35">
      <c r="A31" s="1179"/>
      <c r="B31" s="1187" t="s">
        <v>665</v>
      </c>
      <c r="C31" s="1142"/>
      <c r="D31" s="1143"/>
      <c r="E31" s="650"/>
      <c r="F31" s="650"/>
      <c r="G31" s="952"/>
      <c r="H31" s="636"/>
      <c r="I31" s="1188"/>
      <c r="J31" s="636"/>
      <c r="K31" s="1189"/>
      <c r="L31" s="1146"/>
      <c r="M31" s="1147"/>
      <c r="N31" s="1148"/>
      <c r="O31" s="1189"/>
      <c r="P31" s="1146"/>
      <c r="Q31" s="1147"/>
      <c r="R31" s="1148"/>
      <c r="S31" s="1189"/>
    </row>
    <row r="32" spans="1:19" x14ac:dyDescent="0.35">
      <c r="A32" s="1179"/>
      <c r="B32" s="1190" t="s">
        <v>874</v>
      </c>
      <c r="C32" s="1086"/>
      <c r="D32" s="682"/>
      <c r="E32" s="642"/>
      <c r="F32" s="642"/>
      <c r="G32" s="646"/>
      <c r="H32" s="943"/>
      <c r="I32" s="1184"/>
      <c r="J32" s="943"/>
      <c r="K32" s="1180"/>
      <c r="L32" s="943"/>
      <c r="M32" s="984"/>
      <c r="N32" s="943"/>
      <c r="O32" s="1180"/>
      <c r="P32" s="943"/>
      <c r="Q32" s="984"/>
      <c r="R32" s="943"/>
      <c r="S32" s="1180"/>
    </row>
    <row r="33" spans="1:19" x14ac:dyDescent="0.35">
      <c r="A33" s="1179"/>
      <c r="B33" s="1150"/>
      <c r="C33" s="1086"/>
      <c r="D33" s="682"/>
      <c r="E33" s="642"/>
      <c r="F33" s="642"/>
      <c r="G33" s="646"/>
      <c r="H33" s="943"/>
      <c r="I33" s="1184"/>
      <c r="J33" s="943"/>
      <c r="K33" s="1180"/>
      <c r="L33" s="943"/>
      <c r="M33" s="984"/>
      <c r="N33" s="943"/>
      <c r="O33" s="1180"/>
      <c r="P33" s="943"/>
      <c r="Q33" s="984"/>
      <c r="R33" s="943"/>
      <c r="S33" s="1180"/>
    </row>
    <row r="34" spans="1:19" x14ac:dyDescent="0.35">
      <c r="A34" s="1179"/>
      <c r="B34" s="1151" t="s">
        <v>878</v>
      </c>
      <c r="C34" s="1086"/>
      <c r="D34" s="682"/>
      <c r="E34" s="642"/>
      <c r="F34" s="642"/>
      <c r="G34" s="646"/>
      <c r="H34" s="943"/>
      <c r="I34" s="1184"/>
      <c r="J34" s="943"/>
      <c r="K34" s="1180"/>
      <c r="L34" s="943"/>
      <c r="M34" s="984"/>
      <c r="N34" s="943"/>
      <c r="O34" s="1180"/>
      <c r="P34" s="943"/>
      <c r="Q34" s="984"/>
      <c r="R34" s="943"/>
      <c r="S34" s="1180"/>
    </row>
    <row r="35" spans="1:19" x14ac:dyDescent="0.35">
      <c r="A35" s="1179"/>
      <c r="B35" s="1109" t="s">
        <v>879</v>
      </c>
      <c r="C35" s="1086"/>
      <c r="D35" s="682"/>
      <c r="E35" s="642"/>
      <c r="F35" s="642"/>
      <c r="G35" s="646"/>
      <c r="H35" s="943"/>
      <c r="I35" s="1184"/>
      <c r="J35" s="943"/>
      <c r="K35" s="1180"/>
      <c r="L35" s="943"/>
      <c r="M35" s="984"/>
      <c r="N35" s="943"/>
      <c r="O35" s="1180"/>
      <c r="P35" s="943"/>
      <c r="Q35" s="984"/>
      <c r="R35" s="943"/>
      <c r="S35" s="1180"/>
    </row>
    <row r="36" spans="1:19" x14ac:dyDescent="0.35">
      <c r="A36" s="1179"/>
      <c r="B36" s="1109" t="s">
        <v>880</v>
      </c>
      <c r="C36" s="1086"/>
      <c r="D36" s="682"/>
      <c r="E36" s="642"/>
      <c r="F36" s="642"/>
      <c r="G36" s="646"/>
      <c r="H36" s="943"/>
      <c r="I36" s="1184"/>
      <c r="J36" s="943"/>
      <c r="K36" s="1180"/>
      <c r="L36" s="943"/>
      <c r="M36" s="984"/>
      <c r="N36" s="943"/>
      <c r="O36" s="1180"/>
      <c r="P36" s="943"/>
      <c r="Q36" s="984"/>
      <c r="R36" s="943"/>
      <c r="S36" s="1180"/>
    </row>
    <row r="37" spans="1:19" x14ac:dyDescent="0.35">
      <c r="A37" s="1179"/>
      <c r="B37" s="1109" t="s">
        <v>881</v>
      </c>
      <c r="C37" s="1086"/>
      <c r="D37" s="682"/>
      <c r="E37" s="642"/>
      <c r="F37" s="642"/>
      <c r="G37" s="646"/>
      <c r="H37" s="943"/>
      <c r="I37" s="1184"/>
      <c r="J37" s="943"/>
      <c r="K37" s="1180"/>
      <c r="L37" s="943"/>
      <c r="M37" s="984"/>
      <c r="N37" s="943"/>
      <c r="O37" s="1180"/>
      <c r="P37" s="943"/>
      <c r="Q37" s="984"/>
      <c r="R37" s="943"/>
      <c r="S37" s="1180"/>
    </row>
    <row r="38" spans="1:19" x14ac:dyDescent="0.35">
      <c r="A38" s="1179"/>
      <c r="B38" s="1109" t="s">
        <v>882</v>
      </c>
      <c r="C38" s="1086"/>
      <c r="D38" s="682"/>
      <c r="E38" s="642"/>
      <c r="F38" s="642"/>
      <c r="G38" s="646"/>
      <c r="H38" s="943"/>
      <c r="I38" s="1184"/>
      <c r="J38" s="943"/>
      <c r="K38" s="1180"/>
      <c r="L38" s="943"/>
      <c r="M38" s="984"/>
      <c r="N38" s="943"/>
      <c r="O38" s="1180"/>
      <c r="P38" s="943"/>
      <c r="Q38" s="984"/>
      <c r="R38" s="943"/>
      <c r="S38" s="1180"/>
    </row>
    <row r="39" spans="1:19" x14ac:dyDescent="0.35">
      <c r="A39" s="1179"/>
      <c r="B39" s="1109" t="s">
        <v>883</v>
      </c>
      <c r="C39" s="1086"/>
      <c r="D39" s="682"/>
      <c r="E39" s="642"/>
      <c r="F39" s="642"/>
      <c r="G39" s="646"/>
      <c r="H39" s="943"/>
      <c r="I39" s="1184"/>
      <c r="J39" s="943"/>
      <c r="K39" s="1180"/>
      <c r="L39" s="943"/>
      <c r="M39" s="984"/>
      <c r="N39" s="943"/>
      <c r="O39" s="1180"/>
      <c r="P39" s="943"/>
      <c r="Q39" s="984"/>
      <c r="R39" s="943"/>
      <c r="S39" s="1180"/>
    </row>
    <row r="40" spans="1:19" x14ac:dyDescent="0.35">
      <c r="A40" s="1179"/>
      <c r="B40" s="1109" t="s">
        <v>884</v>
      </c>
      <c r="C40" s="1086"/>
      <c r="D40" s="682"/>
      <c r="E40" s="642"/>
      <c r="F40" s="642"/>
      <c r="G40" s="646"/>
      <c r="H40" s="943"/>
      <c r="I40" s="1184"/>
      <c r="J40" s="943"/>
      <c r="K40" s="1180"/>
      <c r="L40" s="943"/>
      <c r="M40" s="984"/>
      <c r="N40" s="943"/>
      <c r="O40" s="1180"/>
      <c r="P40" s="943"/>
      <c r="Q40" s="984"/>
      <c r="R40" s="943"/>
      <c r="S40" s="1180"/>
    </row>
    <row r="41" spans="1:19" x14ac:dyDescent="0.35">
      <c r="A41" s="1179"/>
      <c r="B41" s="1109" t="s">
        <v>885</v>
      </c>
      <c r="C41" s="1086"/>
      <c r="D41" s="682"/>
      <c r="E41" s="642"/>
      <c r="F41" s="642"/>
      <c r="G41" s="646"/>
      <c r="H41" s="943"/>
      <c r="I41" s="1184"/>
      <c r="J41" s="943"/>
      <c r="K41" s="1180"/>
      <c r="L41" s="943"/>
      <c r="M41" s="984"/>
      <c r="N41" s="943"/>
      <c r="O41" s="1180"/>
      <c r="P41" s="943"/>
      <c r="Q41" s="984"/>
      <c r="R41" s="943"/>
      <c r="S41" s="1180"/>
    </row>
    <row r="42" spans="1:19" x14ac:dyDescent="0.35">
      <c r="A42" s="1179"/>
      <c r="B42" s="1109" t="s">
        <v>886</v>
      </c>
      <c r="C42" s="1086"/>
      <c r="D42" s="682"/>
      <c r="E42" s="642"/>
      <c r="F42" s="642"/>
      <c r="G42" s="646"/>
      <c r="H42" s="943" t="s">
        <v>669</v>
      </c>
      <c r="I42" s="1184"/>
      <c r="J42" s="943"/>
      <c r="K42" s="1180"/>
      <c r="L42" s="943"/>
      <c r="M42" s="984"/>
      <c r="N42" s="943"/>
      <c r="O42" s="1180"/>
      <c r="P42" s="943"/>
      <c r="Q42" s="984"/>
      <c r="R42" s="943"/>
      <c r="S42" s="1180"/>
    </row>
    <row r="43" spans="1:19" x14ac:dyDescent="0.35">
      <c r="A43" s="1179"/>
      <c r="B43" s="1109"/>
      <c r="C43" s="1086"/>
      <c r="D43" s="682"/>
      <c r="E43" s="642"/>
      <c r="F43" s="642"/>
      <c r="G43" s="646"/>
      <c r="H43" s="943"/>
      <c r="I43" s="1184"/>
      <c r="J43" s="943"/>
      <c r="K43" s="1180"/>
      <c r="L43" s="943"/>
      <c r="M43" s="984"/>
      <c r="N43" s="943"/>
      <c r="O43" s="1180"/>
      <c r="P43" s="943"/>
      <c r="Q43" s="984"/>
      <c r="R43" s="943"/>
      <c r="S43" s="1180"/>
    </row>
    <row r="44" spans="1:19" x14ac:dyDescent="0.35">
      <c r="A44" s="1179"/>
      <c r="B44" s="1151" t="s">
        <v>887</v>
      </c>
      <c r="C44" s="1086"/>
      <c r="D44" s="682"/>
      <c r="E44" s="642"/>
      <c r="F44" s="642"/>
      <c r="G44" s="646"/>
      <c r="H44" s="943"/>
      <c r="I44" s="1184"/>
      <c r="J44" s="943"/>
      <c r="K44" s="1180"/>
      <c r="L44" s="943"/>
      <c r="M44" s="984"/>
      <c r="N44" s="943"/>
      <c r="O44" s="1180"/>
      <c r="P44" s="943"/>
      <c r="Q44" s="984"/>
      <c r="R44" s="943"/>
      <c r="S44" s="1180"/>
    </row>
    <row r="45" spans="1:19" x14ac:dyDescent="0.35">
      <c r="A45" s="1179"/>
      <c r="B45" s="1109" t="s">
        <v>888</v>
      </c>
      <c r="C45" s="1086"/>
      <c r="D45" s="682"/>
      <c r="E45" s="642"/>
      <c r="F45" s="642"/>
      <c r="G45" s="646"/>
      <c r="H45" s="943"/>
      <c r="I45" s="1184"/>
      <c r="J45" s="943"/>
      <c r="K45" s="1180"/>
      <c r="L45" s="943"/>
      <c r="M45" s="984"/>
      <c r="N45" s="943"/>
      <c r="O45" s="1180"/>
      <c r="P45" s="943"/>
      <c r="Q45" s="984"/>
      <c r="R45" s="943"/>
      <c r="S45" s="1180"/>
    </row>
    <row r="46" spans="1:19" x14ac:dyDescent="0.35">
      <c r="A46" s="1179"/>
      <c r="B46" s="1109" t="s">
        <v>889</v>
      </c>
      <c r="C46" s="1086"/>
      <c r="D46" s="682"/>
      <c r="E46" s="642"/>
      <c r="F46" s="642"/>
      <c r="G46" s="646"/>
      <c r="H46" s="943"/>
      <c r="I46" s="1184"/>
      <c r="J46" s="943"/>
      <c r="K46" s="1180"/>
      <c r="L46" s="943"/>
      <c r="M46" s="984"/>
      <c r="N46" s="943"/>
      <c r="O46" s="1180"/>
      <c r="P46" s="943"/>
      <c r="Q46" s="984"/>
      <c r="R46" s="943"/>
      <c r="S46" s="1180"/>
    </row>
    <row r="47" spans="1:19" x14ac:dyDescent="0.35">
      <c r="A47" s="1179"/>
      <c r="B47" s="1109" t="s">
        <v>890</v>
      </c>
      <c r="C47" s="1086"/>
      <c r="D47" s="682"/>
      <c r="E47" s="642"/>
      <c r="F47" s="642"/>
      <c r="G47" s="646"/>
      <c r="H47" s="943"/>
      <c r="I47" s="1184"/>
      <c r="J47" s="943"/>
      <c r="K47" s="1180"/>
      <c r="L47" s="943"/>
      <c r="M47" s="984"/>
      <c r="N47" s="943"/>
      <c r="O47" s="1180"/>
      <c r="P47" s="943"/>
      <c r="Q47" s="984"/>
      <c r="R47" s="943"/>
      <c r="S47" s="1180"/>
    </row>
    <row r="48" spans="1:19" x14ac:dyDescent="0.35">
      <c r="A48" s="1179"/>
      <c r="B48" s="1109" t="s">
        <v>891</v>
      </c>
      <c r="C48" s="1086"/>
      <c r="D48" s="682"/>
      <c r="E48" s="642"/>
      <c r="F48" s="642"/>
      <c r="G48" s="646"/>
      <c r="H48" s="943"/>
      <c r="I48" s="1184"/>
      <c r="J48" s="943"/>
      <c r="K48" s="1180"/>
      <c r="L48" s="943"/>
      <c r="M48" s="984"/>
      <c r="N48" s="943"/>
      <c r="O48" s="1180"/>
      <c r="P48" s="943"/>
      <c r="Q48" s="984"/>
      <c r="R48" s="943"/>
      <c r="S48" s="1180"/>
    </row>
    <row r="49" spans="1:19" x14ac:dyDescent="0.35">
      <c r="A49" s="1179"/>
      <c r="B49" s="1109" t="s">
        <v>892</v>
      </c>
      <c r="C49" s="1086"/>
      <c r="D49" s="682"/>
      <c r="E49" s="642"/>
      <c r="F49" s="642"/>
      <c r="G49" s="646"/>
      <c r="H49" s="943"/>
      <c r="I49" s="1184"/>
      <c r="J49" s="943"/>
      <c r="K49" s="1180"/>
      <c r="L49" s="943"/>
      <c r="M49" s="984"/>
      <c r="N49" s="943"/>
      <c r="O49" s="1180"/>
      <c r="P49" s="943"/>
      <c r="Q49" s="984"/>
      <c r="R49" s="943"/>
      <c r="S49" s="1180"/>
    </row>
    <row r="50" spans="1:19" x14ac:dyDescent="0.35">
      <c r="A50" s="1179"/>
      <c r="B50" s="1109" t="s">
        <v>893</v>
      </c>
      <c r="C50" s="1086"/>
      <c r="D50" s="682"/>
      <c r="E50" s="642"/>
      <c r="F50" s="642"/>
      <c r="G50" s="646"/>
      <c r="H50" s="943"/>
      <c r="I50" s="1184"/>
      <c r="J50" s="943"/>
      <c r="K50" s="1180"/>
      <c r="L50" s="943"/>
      <c r="M50" s="984"/>
      <c r="N50" s="943"/>
      <c r="O50" s="1180"/>
      <c r="P50" s="943"/>
      <c r="Q50" s="984"/>
      <c r="R50" s="943"/>
      <c r="S50" s="1180"/>
    </row>
    <row r="51" spans="1:19" x14ac:dyDescent="0.35">
      <c r="A51" s="1179"/>
      <c r="B51" s="1109" t="s">
        <v>894</v>
      </c>
      <c r="C51" s="1086"/>
      <c r="D51" s="682"/>
      <c r="E51" s="642"/>
      <c r="F51" s="642"/>
      <c r="G51" s="646"/>
      <c r="H51" s="943"/>
      <c r="I51" s="1184"/>
      <c r="J51" s="943"/>
      <c r="K51" s="1180"/>
      <c r="L51" s="943"/>
      <c r="M51" s="984"/>
      <c r="N51" s="943"/>
      <c r="O51" s="1180"/>
      <c r="P51" s="943"/>
      <c r="Q51" s="984"/>
      <c r="R51" s="943"/>
      <c r="S51" s="1180"/>
    </row>
    <row r="52" spans="1:19" x14ac:dyDescent="0.35">
      <c r="A52" s="1179"/>
      <c r="B52" s="1109" t="s">
        <v>895</v>
      </c>
      <c r="C52" s="1086"/>
      <c r="D52" s="682"/>
      <c r="E52" s="642"/>
      <c r="F52" s="642"/>
      <c r="G52" s="646"/>
      <c r="H52" s="943"/>
      <c r="I52" s="1184"/>
      <c r="J52" s="943"/>
      <c r="K52" s="1180"/>
      <c r="L52" s="943"/>
      <c r="M52" s="984"/>
      <c r="N52" s="943"/>
      <c r="O52" s="1180"/>
      <c r="P52" s="943"/>
      <c r="Q52" s="984"/>
      <c r="R52" s="943"/>
      <c r="S52" s="1180"/>
    </row>
    <row r="53" spans="1:19" x14ac:dyDescent="0.35">
      <c r="A53" s="1179"/>
      <c r="B53" s="1109" t="s">
        <v>896</v>
      </c>
      <c r="C53" s="1086"/>
      <c r="D53" s="682"/>
      <c r="E53" s="642"/>
      <c r="F53" s="642"/>
      <c r="G53" s="646"/>
      <c r="H53" s="943"/>
      <c r="I53" s="1184"/>
      <c r="J53" s="943"/>
      <c r="K53" s="1180"/>
      <c r="L53" s="943"/>
      <c r="M53" s="984"/>
      <c r="N53" s="943"/>
      <c r="O53" s="1180"/>
      <c r="P53" s="943"/>
      <c r="Q53" s="984"/>
      <c r="R53" s="943"/>
      <c r="S53" s="1180"/>
    </row>
    <row r="54" spans="1:19" x14ac:dyDescent="0.35">
      <c r="A54" s="1179"/>
      <c r="B54" s="1109" t="s">
        <v>897</v>
      </c>
      <c r="C54" s="1086"/>
      <c r="D54" s="682"/>
      <c r="E54" s="642"/>
      <c r="F54" s="642"/>
      <c r="G54" s="646"/>
      <c r="H54" s="943"/>
      <c r="I54" s="1184"/>
      <c r="J54" s="943"/>
      <c r="K54" s="1180"/>
      <c r="L54" s="943"/>
      <c r="M54" s="984"/>
      <c r="N54" s="943"/>
      <c r="O54" s="1180"/>
      <c r="P54" s="943"/>
      <c r="Q54" s="984"/>
      <c r="R54" s="943"/>
      <c r="S54" s="1180"/>
    </row>
    <row r="55" spans="1:19" x14ac:dyDescent="0.35">
      <c r="A55" s="1179"/>
      <c r="B55" s="1109" t="s">
        <v>898</v>
      </c>
      <c r="C55" s="1086"/>
      <c r="D55" s="682"/>
      <c r="E55" s="642"/>
      <c r="F55" s="642"/>
      <c r="G55" s="646"/>
      <c r="H55" s="943"/>
      <c r="I55" s="1184"/>
      <c r="J55" s="943"/>
      <c r="K55" s="1180"/>
      <c r="L55" s="943"/>
      <c r="M55" s="984"/>
      <c r="N55" s="943"/>
      <c r="O55" s="1180"/>
      <c r="P55" s="943"/>
      <c r="Q55" s="984"/>
      <c r="R55" s="943"/>
      <c r="S55" s="1180"/>
    </row>
    <row r="56" spans="1:19" x14ac:dyDescent="0.35">
      <c r="A56" s="1179"/>
      <c r="B56" s="1109"/>
      <c r="C56" s="1086"/>
      <c r="D56" s="682"/>
      <c r="E56" s="642"/>
      <c r="F56" s="642"/>
      <c r="G56" s="646"/>
      <c r="H56" s="943"/>
      <c r="I56" s="1184"/>
      <c r="J56" s="943"/>
      <c r="K56" s="1180"/>
      <c r="L56" s="943"/>
      <c r="M56" s="984"/>
      <c r="N56" s="943"/>
      <c r="O56" s="1180"/>
      <c r="P56" s="943"/>
      <c r="Q56" s="984"/>
      <c r="R56" s="943"/>
      <c r="S56" s="1180"/>
    </row>
    <row r="57" spans="1:19" x14ac:dyDescent="0.35">
      <c r="A57" s="1179"/>
      <c r="B57" s="1151" t="s">
        <v>899</v>
      </c>
      <c r="C57" s="1086"/>
      <c r="D57" s="682"/>
      <c r="E57" s="642"/>
      <c r="F57" s="642"/>
      <c r="G57" s="646"/>
      <c r="H57" s="943"/>
      <c r="I57" s="1180"/>
      <c r="J57" s="943"/>
      <c r="K57" s="1180"/>
      <c r="L57" s="943"/>
      <c r="M57" s="984"/>
      <c r="N57" s="943"/>
      <c r="O57" s="1180"/>
      <c r="P57" s="943"/>
      <c r="Q57" s="984"/>
      <c r="R57" s="943"/>
      <c r="S57" s="1180"/>
    </row>
    <row r="58" spans="1:19" x14ac:dyDescent="0.35">
      <c r="A58" s="1179"/>
      <c r="B58" s="1109" t="s">
        <v>900</v>
      </c>
      <c r="C58" s="1086"/>
      <c r="D58" s="682"/>
      <c r="E58" s="642"/>
      <c r="F58" s="642"/>
      <c r="G58" s="646"/>
      <c r="H58" s="943"/>
      <c r="I58" s="1180"/>
      <c r="J58" s="943"/>
      <c r="K58" s="1180"/>
      <c r="L58" s="943"/>
      <c r="M58" s="984"/>
      <c r="N58" s="943"/>
      <c r="O58" s="1180"/>
      <c r="P58" s="943"/>
      <c r="Q58" s="984"/>
      <c r="R58" s="943"/>
      <c r="S58" s="1180"/>
    </row>
    <row r="59" spans="1:19" x14ac:dyDescent="0.35">
      <c r="A59" s="1179"/>
      <c r="B59" s="1109" t="s">
        <v>901</v>
      </c>
      <c r="C59" s="1086"/>
      <c r="D59" s="682"/>
      <c r="E59" s="642"/>
      <c r="F59" s="642"/>
      <c r="G59" s="646"/>
      <c r="H59" s="943"/>
      <c r="I59" s="1180"/>
      <c r="J59" s="943"/>
      <c r="K59" s="1180"/>
      <c r="L59" s="943"/>
      <c r="M59" s="984"/>
      <c r="N59" s="943"/>
      <c r="O59" s="1180"/>
      <c r="P59" s="943"/>
      <c r="Q59" s="984"/>
      <c r="R59" s="943"/>
      <c r="S59" s="1180"/>
    </row>
    <row r="60" spans="1:19" x14ac:dyDescent="0.35">
      <c r="A60" s="1179"/>
      <c r="B60" s="1109" t="s">
        <v>902</v>
      </c>
      <c r="C60" s="1086"/>
      <c r="D60" s="682"/>
      <c r="E60" s="642"/>
      <c r="F60" s="642"/>
      <c r="G60" s="646"/>
      <c r="H60" s="943"/>
      <c r="I60" s="1180"/>
      <c r="J60" s="943"/>
      <c r="K60" s="1180"/>
      <c r="L60" s="943"/>
      <c r="M60" s="984"/>
      <c r="N60" s="943"/>
      <c r="O60" s="1180"/>
      <c r="P60" s="943"/>
      <c r="Q60" s="984"/>
      <c r="R60" s="943"/>
      <c r="S60" s="1180"/>
    </row>
    <row r="61" spans="1:19" x14ac:dyDescent="0.35">
      <c r="A61" s="1179"/>
      <c r="B61" s="1109" t="s">
        <v>903</v>
      </c>
      <c r="C61" s="1086"/>
      <c r="D61" s="682"/>
      <c r="E61" s="642"/>
      <c r="F61" s="642"/>
      <c r="G61" s="646"/>
      <c r="H61" s="943"/>
      <c r="I61" s="1180"/>
      <c r="J61" s="943"/>
      <c r="K61" s="1180"/>
      <c r="L61" s="943"/>
      <c r="M61" s="984"/>
      <c r="N61" s="943"/>
      <c r="O61" s="1180"/>
      <c r="P61" s="943"/>
      <c r="Q61" s="984"/>
      <c r="R61" s="943"/>
      <c r="S61" s="1180"/>
    </row>
    <row r="62" spans="1:19" x14ac:dyDescent="0.35">
      <c r="A62" s="1179"/>
      <c r="B62" s="1109" t="s">
        <v>904</v>
      </c>
      <c r="C62" s="1086"/>
      <c r="D62" s="682"/>
      <c r="E62" s="642"/>
      <c r="F62" s="642"/>
      <c r="G62" s="646"/>
      <c r="H62" s="943"/>
      <c r="I62" s="1180"/>
      <c r="J62" s="943"/>
      <c r="K62" s="1180"/>
      <c r="L62" s="943"/>
      <c r="M62" s="984"/>
      <c r="N62" s="943"/>
      <c r="O62" s="1180"/>
      <c r="P62" s="943"/>
      <c r="Q62" s="984"/>
      <c r="R62" s="943"/>
      <c r="S62" s="1180"/>
    </row>
    <row r="63" spans="1:19" x14ac:dyDescent="0.35">
      <c r="A63" s="1179"/>
      <c r="B63" s="1109" t="s">
        <v>905</v>
      </c>
      <c r="C63" s="1086"/>
      <c r="D63" s="682"/>
      <c r="E63" s="642"/>
      <c r="F63" s="642"/>
      <c r="G63" s="646"/>
      <c r="H63" s="943"/>
      <c r="I63" s="1180"/>
      <c r="J63" s="943"/>
      <c r="K63" s="1180"/>
      <c r="L63" s="943"/>
      <c r="M63" s="984"/>
      <c r="N63" s="943"/>
      <c r="O63" s="1180"/>
      <c r="P63" s="943"/>
      <c r="Q63" s="984"/>
      <c r="R63" s="943"/>
      <c r="S63" s="1180"/>
    </row>
    <row r="64" spans="1:19" x14ac:dyDescent="0.35">
      <c r="A64" s="1179"/>
      <c r="B64" s="1109" t="s">
        <v>906</v>
      </c>
      <c r="C64" s="1086"/>
      <c r="D64" s="682"/>
      <c r="E64" s="642"/>
      <c r="F64" s="642"/>
      <c r="G64" s="646"/>
      <c r="H64" s="943"/>
      <c r="I64" s="1180"/>
      <c r="J64" s="943"/>
      <c r="K64" s="1180"/>
      <c r="L64" s="943"/>
      <c r="M64" s="984"/>
      <c r="N64" s="943"/>
      <c r="O64" s="1180"/>
      <c r="P64" s="943"/>
      <c r="Q64" s="984"/>
      <c r="R64" s="943"/>
      <c r="S64" s="1180"/>
    </row>
    <row r="65" spans="1:19" x14ac:dyDescent="0.35">
      <c r="A65" s="1179"/>
      <c r="B65" s="1109" t="s">
        <v>907</v>
      </c>
      <c r="C65" s="1086"/>
      <c r="D65" s="682"/>
      <c r="E65" s="642"/>
      <c r="F65" s="642"/>
      <c r="G65" s="646"/>
      <c r="H65" s="943"/>
      <c r="I65" s="1180"/>
      <c r="J65" s="943"/>
      <c r="K65" s="1180"/>
      <c r="L65" s="943"/>
      <c r="M65" s="984"/>
      <c r="N65" s="943"/>
      <c r="O65" s="1180"/>
      <c r="P65" s="943"/>
      <c r="Q65" s="984"/>
      <c r="R65" s="943"/>
      <c r="S65" s="1180"/>
    </row>
    <row r="66" spans="1:19" x14ac:dyDescent="0.35">
      <c r="A66" s="1179"/>
      <c r="B66" s="1109" t="s">
        <v>908</v>
      </c>
      <c r="C66" s="1086"/>
      <c r="D66" s="682"/>
      <c r="E66" s="642"/>
      <c r="F66" s="642"/>
      <c r="G66" s="646"/>
      <c r="H66" s="943"/>
      <c r="I66" s="1180"/>
      <c r="J66" s="943"/>
      <c r="K66" s="1180"/>
      <c r="L66" s="943"/>
      <c r="M66" s="984"/>
      <c r="N66" s="943"/>
      <c r="O66" s="1180"/>
      <c r="P66" s="943"/>
      <c r="Q66" s="984"/>
      <c r="R66" s="943"/>
      <c r="S66" s="1180"/>
    </row>
    <row r="67" spans="1:19" x14ac:dyDescent="0.35">
      <c r="A67" s="1179"/>
      <c r="B67" s="1109" t="s">
        <v>909</v>
      </c>
      <c r="C67" s="1086"/>
      <c r="D67" s="682"/>
      <c r="E67" s="642"/>
      <c r="F67" s="642"/>
      <c r="G67" s="646"/>
      <c r="H67" s="943"/>
      <c r="I67" s="1180"/>
      <c r="J67" s="943"/>
      <c r="K67" s="1180"/>
      <c r="L67" s="943"/>
      <c r="M67" s="984"/>
      <c r="N67" s="943"/>
      <c r="O67" s="1180"/>
      <c r="P67" s="943"/>
      <c r="Q67" s="984"/>
      <c r="R67" s="943"/>
      <c r="S67" s="1180"/>
    </row>
    <row r="68" spans="1:19" x14ac:dyDescent="0.35">
      <c r="A68" s="1179"/>
      <c r="B68" s="1109" t="s">
        <v>910</v>
      </c>
      <c r="C68" s="1086"/>
      <c r="D68" s="682"/>
      <c r="E68" s="642"/>
      <c r="F68" s="642"/>
      <c r="G68" s="646"/>
      <c r="H68" s="943"/>
      <c r="I68" s="1180"/>
      <c r="J68" s="943"/>
      <c r="K68" s="1180"/>
      <c r="L68" s="943"/>
      <c r="M68" s="984"/>
      <c r="N68" s="943"/>
      <c r="O68" s="1180"/>
      <c r="P68" s="943"/>
      <c r="Q68" s="984"/>
      <c r="R68" s="943"/>
      <c r="S68" s="1180"/>
    </row>
    <row r="69" spans="1:19" x14ac:dyDescent="0.35">
      <c r="A69" s="1179"/>
      <c r="B69" s="1109" t="s">
        <v>911</v>
      </c>
      <c r="C69" s="1086"/>
      <c r="D69" s="682"/>
      <c r="E69" s="642"/>
      <c r="F69" s="642"/>
      <c r="G69" s="646"/>
      <c r="H69" s="943"/>
      <c r="I69" s="1180"/>
      <c r="J69" s="943"/>
      <c r="K69" s="1180"/>
      <c r="L69" s="943"/>
      <c r="M69" s="984"/>
      <c r="N69" s="943"/>
      <c r="O69" s="1180"/>
      <c r="P69" s="943"/>
      <c r="Q69" s="984"/>
      <c r="R69" s="943"/>
      <c r="S69" s="1180"/>
    </row>
    <row r="70" spans="1:19" x14ac:dyDescent="0.35">
      <c r="A70" s="1179"/>
      <c r="B70" s="1109" t="s">
        <v>912</v>
      </c>
      <c r="C70" s="1086"/>
      <c r="D70" s="682"/>
      <c r="E70" s="642"/>
      <c r="F70" s="642"/>
      <c r="G70" s="646"/>
      <c r="H70" s="943"/>
      <c r="I70" s="1180"/>
      <c r="J70" s="943"/>
      <c r="K70" s="1180"/>
      <c r="L70" s="943"/>
      <c r="M70" s="984"/>
      <c r="N70" s="943"/>
      <c r="O70" s="1180"/>
      <c r="P70" s="943"/>
      <c r="Q70" s="984"/>
      <c r="R70" s="943"/>
      <c r="S70" s="1180"/>
    </row>
    <row r="71" spans="1:19" x14ac:dyDescent="0.35">
      <c r="A71" s="1179"/>
      <c r="B71" s="1109" t="s">
        <v>913</v>
      </c>
      <c r="C71" s="1086"/>
      <c r="D71" s="682"/>
      <c r="E71" s="642"/>
      <c r="F71" s="642"/>
      <c r="G71" s="646"/>
      <c r="H71" s="943"/>
      <c r="I71" s="1180"/>
      <c r="J71" s="943"/>
      <c r="K71" s="1180"/>
      <c r="L71" s="943"/>
      <c r="M71" s="984"/>
      <c r="N71" s="943"/>
      <c r="O71" s="1180"/>
      <c r="P71" s="943"/>
      <c r="Q71" s="984"/>
      <c r="R71" s="943"/>
      <c r="S71" s="1180"/>
    </row>
    <row r="72" spans="1:19" x14ac:dyDescent="0.35">
      <c r="A72" s="1179"/>
      <c r="B72" s="1109" t="s">
        <v>914</v>
      </c>
      <c r="C72" s="1086"/>
      <c r="D72" s="682"/>
      <c r="E72" s="642"/>
      <c r="F72" s="642"/>
      <c r="G72" s="646"/>
      <c r="H72" s="943"/>
      <c r="I72" s="1180"/>
      <c r="J72" s="943"/>
      <c r="K72" s="1180"/>
      <c r="L72" s="943"/>
      <c r="M72" s="984"/>
      <c r="N72" s="943"/>
      <c r="O72" s="1180"/>
      <c r="P72" s="943"/>
      <c r="Q72" s="984"/>
      <c r="R72" s="943"/>
      <c r="S72" s="1180"/>
    </row>
    <row r="73" spans="1:19" x14ac:dyDescent="0.35">
      <c r="A73" s="1179"/>
      <c r="B73" s="1109" t="s">
        <v>915</v>
      </c>
      <c r="C73" s="1086"/>
      <c r="D73" s="682"/>
      <c r="E73" s="642"/>
      <c r="F73" s="642"/>
      <c r="G73" s="646"/>
      <c r="H73" s="943"/>
      <c r="I73" s="1180"/>
      <c r="J73" s="943"/>
      <c r="K73" s="1180"/>
      <c r="L73" s="943"/>
      <c r="M73" s="984"/>
      <c r="N73" s="943"/>
      <c r="O73" s="1180"/>
      <c r="P73" s="943"/>
      <c r="Q73" s="984"/>
      <c r="R73" s="943"/>
      <c r="S73" s="1180"/>
    </row>
    <row r="74" spans="1:19" x14ac:dyDescent="0.35">
      <c r="A74" s="1179"/>
      <c r="B74" s="1109" t="s">
        <v>916</v>
      </c>
      <c r="C74" s="1086"/>
      <c r="D74" s="682"/>
      <c r="E74" s="642"/>
      <c r="F74" s="642"/>
      <c r="G74" s="646"/>
      <c r="H74" s="943"/>
      <c r="I74" s="1180"/>
      <c r="J74" s="943"/>
      <c r="K74" s="1180"/>
      <c r="L74" s="943"/>
      <c r="M74" s="984"/>
      <c r="N74" s="943"/>
      <c r="O74" s="1180"/>
      <c r="P74" s="943"/>
      <c r="Q74" s="984"/>
      <c r="R74" s="943"/>
      <c r="S74" s="1180"/>
    </row>
    <row r="75" spans="1:19" x14ac:dyDescent="0.35">
      <c r="A75" s="1179"/>
      <c r="B75" s="1109" t="s">
        <v>917</v>
      </c>
      <c r="C75" s="1086"/>
      <c r="D75" s="682"/>
      <c r="E75" s="642"/>
      <c r="F75" s="642"/>
      <c r="G75" s="646"/>
      <c r="H75" s="943"/>
      <c r="I75" s="1180"/>
      <c r="J75" s="943"/>
      <c r="K75" s="1180"/>
      <c r="L75" s="943"/>
      <c r="M75" s="1180"/>
      <c r="N75" s="943"/>
      <c r="O75" s="1180"/>
      <c r="P75" s="943"/>
      <c r="Q75" s="1180"/>
      <c r="R75" s="943"/>
      <c r="S75" s="1180"/>
    </row>
    <row r="76" spans="1:19" x14ac:dyDescent="0.35">
      <c r="A76" s="1179"/>
      <c r="B76" s="1109" t="s">
        <v>918</v>
      </c>
      <c r="C76" s="1086"/>
      <c r="D76" s="682"/>
      <c r="E76" s="642"/>
      <c r="F76" s="642"/>
      <c r="G76" s="646"/>
      <c r="H76" s="943"/>
      <c r="I76" s="1180"/>
      <c r="J76" s="943"/>
      <c r="K76" s="1180"/>
      <c r="L76" s="943"/>
      <c r="M76" s="1180"/>
      <c r="N76" s="943"/>
      <c r="O76" s="1180"/>
      <c r="P76" s="943"/>
      <c r="Q76" s="1180"/>
      <c r="R76" s="943"/>
      <c r="S76" s="1180"/>
    </row>
    <row r="77" spans="1:19" x14ac:dyDescent="0.35">
      <c r="A77" s="1179"/>
      <c r="B77" s="1109" t="s">
        <v>919</v>
      </c>
      <c r="C77" s="1086"/>
      <c r="D77" s="682"/>
      <c r="E77" s="642"/>
      <c r="F77" s="642"/>
      <c r="G77" s="646"/>
      <c r="H77" s="943"/>
      <c r="I77" s="1180"/>
      <c r="J77" s="943"/>
      <c r="K77" s="1180"/>
      <c r="L77" s="943"/>
      <c r="M77" s="1180"/>
      <c r="N77" s="943"/>
      <c r="O77" s="1180"/>
      <c r="P77" s="943"/>
      <c r="Q77" s="1180"/>
      <c r="R77" s="943"/>
      <c r="S77" s="1180"/>
    </row>
    <row r="78" spans="1:19" x14ac:dyDescent="0.35">
      <c r="A78" s="1179"/>
      <c r="B78" s="1109" t="s">
        <v>920</v>
      </c>
      <c r="C78" s="1086"/>
      <c r="D78" s="682"/>
      <c r="E78" s="642"/>
      <c r="F78" s="642"/>
      <c r="G78" s="646"/>
      <c r="H78" s="943"/>
      <c r="I78" s="1180"/>
      <c r="J78" s="943"/>
      <c r="K78" s="1180"/>
      <c r="L78" s="943"/>
      <c r="M78" s="1180"/>
      <c r="N78" s="943"/>
      <c r="O78" s="1180"/>
      <c r="P78" s="943"/>
      <c r="Q78" s="1180"/>
      <c r="R78" s="943"/>
      <c r="S78" s="1180"/>
    </row>
    <row r="79" spans="1:19" x14ac:dyDescent="0.35">
      <c r="A79" s="1179"/>
      <c r="B79" s="1109" t="s">
        <v>921</v>
      </c>
      <c r="C79" s="1086"/>
      <c r="D79" s="682"/>
      <c r="E79" s="642"/>
      <c r="F79" s="642"/>
      <c r="G79" s="646"/>
      <c r="H79" s="943"/>
      <c r="I79" s="1180"/>
      <c r="J79" s="943"/>
      <c r="K79" s="1180"/>
      <c r="L79" s="943"/>
      <c r="M79" s="1180"/>
      <c r="N79" s="943"/>
      <c r="O79" s="1180"/>
      <c r="P79" s="943"/>
      <c r="Q79" s="1180"/>
      <c r="R79" s="943"/>
      <c r="S79" s="1180"/>
    </row>
    <row r="80" spans="1:19" x14ac:dyDescent="0.35">
      <c r="A80" s="1179"/>
      <c r="B80" s="1109" t="s">
        <v>922</v>
      </c>
      <c r="C80" s="1086"/>
      <c r="D80" s="682"/>
      <c r="E80" s="642"/>
      <c r="F80" s="642"/>
      <c r="G80" s="646"/>
      <c r="H80" s="943"/>
      <c r="I80" s="1180"/>
      <c r="J80" s="943"/>
      <c r="K80" s="1180"/>
      <c r="L80" s="943"/>
      <c r="M80" s="1180"/>
      <c r="N80" s="943"/>
      <c r="O80" s="1180"/>
      <c r="P80" s="943"/>
      <c r="Q80" s="1180"/>
      <c r="R80" s="943"/>
      <c r="S80" s="1180"/>
    </row>
    <row r="81" spans="1:19" x14ac:dyDescent="0.35">
      <c r="A81" s="1179"/>
      <c r="B81" s="1109"/>
      <c r="C81" s="1086"/>
      <c r="D81" s="682"/>
      <c r="E81" s="642"/>
      <c r="F81" s="642"/>
      <c r="G81" s="646"/>
      <c r="H81" s="943"/>
      <c r="I81" s="1180"/>
      <c r="J81" s="943"/>
      <c r="K81" s="1180"/>
      <c r="L81" s="943"/>
      <c r="M81" s="1180"/>
      <c r="N81" s="943"/>
      <c r="O81" s="1180"/>
      <c r="P81" s="943"/>
      <c r="Q81" s="1180"/>
      <c r="R81" s="943"/>
      <c r="S81" s="1180"/>
    </row>
    <row r="82" spans="1:19" x14ac:dyDescent="0.35">
      <c r="A82" s="1179"/>
      <c r="B82" s="1109" t="s">
        <v>923</v>
      </c>
      <c r="C82" s="1086"/>
      <c r="D82" s="682"/>
      <c r="E82" s="642"/>
      <c r="F82" s="642"/>
      <c r="G82" s="646"/>
      <c r="H82" s="943"/>
      <c r="I82" s="1180"/>
      <c r="J82" s="943"/>
      <c r="K82" s="1180"/>
      <c r="L82" s="943"/>
      <c r="M82" s="1180"/>
      <c r="N82" s="943"/>
      <c r="O82" s="1180"/>
      <c r="P82" s="943"/>
      <c r="Q82" s="1180"/>
      <c r="R82" s="943"/>
      <c r="S82" s="1180"/>
    </row>
    <row r="83" spans="1:19" x14ac:dyDescent="0.35">
      <c r="A83" s="1179"/>
      <c r="B83" s="1109" t="s">
        <v>924</v>
      </c>
      <c r="C83" s="1086"/>
      <c r="D83" s="682"/>
      <c r="E83" s="642"/>
      <c r="F83" s="642"/>
      <c r="G83" s="646"/>
      <c r="H83" s="943"/>
      <c r="I83" s="1180"/>
      <c r="J83" s="943"/>
      <c r="K83" s="1180"/>
      <c r="L83" s="943"/>
      <c r="M83" s="1180"/>
      <c r="N83" s="943"/>
      <c r="O83" s="1180"/>
      <c r="P83" s="943"/>
      <c r="Q83" s="1180"/>
      <c r="R83" s="943"/>
      <c r="S83" s="1180"/>
    </row>
    <row r="84" spans="1:19" x14ac:dyDescent="0.35">
      <c r="A84" s="1179"/>
      <c r="B84" s="1109"/>
      <c r="C84" s="1086"/>
      <c r="D84" s="682"/>
      <c r="E84" s="642"/>
      <c r="F84" s="642"/>
      <c r="G84" s="646"/>
      <c r="H84" s="943"/>
      <c r="I84" s="1180"/>
      <c r="J84" s="943"/>
      <c r="K84" s="1180"/>
      <c r="L84" s="943"/>
      <c r="M84" s="1180"/>
      <c r="N84" s="943"/>
      <c r="O84" s="1180"/>
      <c r="P84" s="943"/>
      <c r="Q84" s="1180"/>
      <c r="R84" s="943"/>
      <c r="S84" s="1180"/>
    </row>
    <row r="85" spans="1:19" x14ac:dyDescent="0.35">
      <c r="A85" s="1179"/>
      <c r="B85" s="1109" t="s">
        <v>925</v>
      </c>
      <c r="C85" s="1086"/>
      <c r="D85" s="682"/>
      <c r="E85" s="642"/>
      <c r="F85" s="642"/>
      <c r="G85" s="646"/>
      <c r="H85" s="943"/>
      <c r="I85" s="1180"/>
      <c r="J85" s="943"/>
      <c r="K85" s="1180"/>
      <c r="L85" s="943"/>
      <c r="M85" s="1180"/>
      <c r="N85" s="943"/>
      <c r="O85" s="1180"/>
      <c r="P85" s="943"/>
      <c r="Q85" s="1180"/>
      <c r="R85" s="943"/>
      <c r="S85" s="1180"/>
    </row>
    <row r="86" spans="1:19" x14ac:dyDescent="0.35">
      <c r="A86" s="1179"/>
      <c r="B86" s="1102"/>
      <c r="C86" s="1086"/>
      <c r="D86" s="682"/>
      <c r="E86" s="642"/>
      <c r="F86" s="642"/>
      <c r="G86" s="646"/>
      <c r="H86" s="943"/>
      <c r="I86" s="1180"/>
      <c r="J86" s="943"/>
      <c r="K86" s="1180"/>
      <c r="L86" s="943"/>
      <c r="M86" s="1180"/>
      <c r="N86" s="943"/>
      <c r="O86" s="1180"/>
      <c r="P86" s="943"/>
      <c r="Q86" s="1180"/>
      <c r="R86" s="943"/>
      <c r="S86" s="1180"/>
    </row>
    <row r="87" spans="1:19" x14ac:dyDescent="0.35">
      <c r="A87" s="1179"/>
      <c r="B87" s="1102"/>
      <c r="C87" s="1086"/>
      <c r="D87" s="682"/>
      <c r="E87" s="642"/>
      <c r="F87" s="642"/>
      <c r="G87" s="646"/>
      <c r="H87" s="943"/>
      <c r="I87" s="1180"/>
      <c r="J87" s="943"/>
      <c r="K87" s="1180"/>
      <c r="L87" s="943"/>
      <c r="M87" s="1180"/>
      <c r="N87" s="943"/>
      <c r="O87" s="1180"/>
      <c r="P87" s="943"/>
      <c r="Q87" s="1180"/>
      <c r="R87" s="943"/>
      <c r="S87" s="1180"/>
    </row>
    <row r="88" spans="1:19" x14ac:dyDescent="0.35">
      <c r="A88" s="1179"/>
      <c r="B88" s="1102"/>
      <c r="C88" s="1086"/>
      <c r="D88" s="682"/>
      <c r="E88" s="642"/>
      <c r="F88" s="642"/>
      <c r="G88" s="646"/>
      <c r="H88" s="943"/>
      <c r="I88" s="1180"/>
      <c r="J88" s="943"/>
      <c r="K88" s="1180"/>
      <c r="L88" s="943"/>
      <c r="M88" s="1180"/>
      <c r="N88" s="943"/>
      <c r="O88" s="1180"/>
      <c r="P88" s="943"/>
      <c r="Q88" s="1180"/>
      <c r="R88" s="943"/>
      <c r="S88" s="1180"/>
    </row>
    <row r="89" spans="1:19" x14ac:dyDescent="0.35">
      <c r="A89" s="1179"/>
      <c r="B89" s="1098"/>
      <c r="C89" s="1086"/>
      <c r="D89" s="682"/>
      <c r="E89" s="642"/>
      <c r="F89" s="642"/>
      <c r="G89" s="646"/>
      <c r="H89" s="943"/>
      <c r="I89" s="1180"/>
      <c r="J89" s="943"/>
      <c r="K89" s="1180"/>
      <c r="L89" s="943"/>
      <c r="M89" s="1180"/>
      <c r="N89" s="943"/>
      <c r="O89" s="1180"/>
      <c r="P89" s="943"/>
      <c r="Q89" s="1180"/>
      <c r="R89" s="943"/>
      <c r="S89" s="1180"/>
    </row>
    <row r="90" spans="1:19" x14ac:dyDescent="0.35">
      <c r="A90" s="1179"/>
      <c r="B90" s="1104"/>
      <c r="C90" s="642"/>
      <c r="D90" s="682"/>
      <c r="E90" s="642"/>
      <c r="F90" s="642"/>
      <c r="G90" s="646"/>
      <c r="H90" s="943"/>
      <c r="I90" s="1184"/>
      <c r="J90" s="943"/>
      <c r="K90" s="1184"/>
      <c r="L90" s="943"/>
      <c r="M90" s="1184"/>
      <c r="N90" s="943"/>
      <c r="O90" s="1180"/>
      <c r="P90" s="943"/>
      <c r="Q90" s="1184"/>
      <c r="R90" s="943"/>
      <c r="S90" s="1180"/>
    </row>
    <row r="91" spans="1:19" x14ac:dyDescent="0.35">
      <c r="A91" s="1179"/>
      <c r="B91" s="1104"/>
      <c r="C91" s="1039"/>
      <c r="D91" s="940"/>
      <c r="E91" s="940"/>
      <c r="F91" s="940"/>
      <c r="G91" s="1039"/>
      <c r="H91" s="943"/>
      <c r="I91" s="1184"/>
      <c r="J91" s="943"/>
      <c r="K91" s="1184"/>
      <c r="L91" s="943"/>
      <c r="M91" s="1184"/>
      <c r="N91" s="943"/>
      <c r="O91" s="1184"/>
      <c r="P91" s="943"/>
      <c r="Q91" s="1184"/>
      <c r="R91" s="943"/>
      <c r="S91" s="1184"/>
    </row>
    <row r="92" spans="1:19" x14ac:dyDescent="0.35">
      <c r="A92" s="14"/>
      <c r="B92" s="15"/>
      <c r="C92" s="16"/>
      <c r="D92" s="16"/>
      <c r="E92" s="17"/>
      <c r="F92" s="18" t="s">
        <v>715</v>
      </c>
      <c r="G92" s="19"/>
      <c r="H92" s="20"/>
      <c r="I92" s="50">
        <f>SUM(I24:I91)</f>
        <v>0</v>
      </c>
      <c r="J92" s="20"/>
      <c r="K92" s="50">
        <f>SUM(K24:K91)</f>
        <v>0</v>
      </c>
      <c r="L92" s="20"/>
      <c r="M92" s="50">
        <f>SUM(M24:M91)</f>
        <v>0</v>
      </c>
      <c r="N92" s="20"/>
      <c r="O92" s="50">
        <f>SUM(O24:O91)</f>
        <v>0</v>
      </c>
      <c r="P92" s="20"/>
      <c r="Q92" s="50">
        <f>SUM(Q24:Q91)</f>
        <v>0</v>
      </c>
      <c r="R92" s="20"/>
      <c r="S92" s="50">
        <f>SUM(S24:S91)</f>
        <v>0</v>
      </c>
    </row>
    <row r="93" spans="1:19" x14ac:dyDescent="0.35">
      <c r="A93" s="684"/>
      <c r="B93" s="655"/>
      <c r="C93" s="656"/>
      <c r="D93" s="656"/>
      <c r="E93" s="657"/>
      <c r="F93" s="658" t="s">
        <v>716</v>
      </c>
      <c r="G93" s="659"/>
      <c r="H93" s="959">
        <v>0</v>
      </c>
      <c r="I93" s="1121"/>
      <c r="J93" s="959">
        <v>0</v>
      </c>
      <c r="K93" s="1121"/>
      <c r="L93" s="1153">
        <v>0</v>
      </c>
      <c r="M93" s="1121"/>
      <c r="N93" s="959">
        <v>0</v>
      </c>
      <c r="O93" s="1121"/>
      <c r="P93" s="1153">
        <v>0</v>
      </c>
      <c r="Q93" s="1121"/>
      <c r="R93" s="959">
        <v>0</v>
      </c>
      <c r="S93" s="1121"/>
    </row>
    <row r="94" spans="1:19" x14ac:dyDescent="0.35">
      <c r="A94" s="684"/>
      <c r="B94" s="655"/>
      <c r="C94" s="656"/>
      <c r="D94" s="656"/>
      <c r="E94" s="657"/>
      <c r="F94" s="658" t="s">
        <v>717</v>
      </c>
      <c r="G94" s="659"/>
      <c r="H94" s="961"/>
      <c r="I94" s="1122">
        <f>H93*I92</f>
        <v>0</v>
      </c>
      <c r="J94" s="961"/>
      <c r="K94" s="1122">
        <f>J93*K92</f>
        <v>0</v>
      </c>
      <c r="L94" s="961"/>
      <c r="M94" s="1122">
        <f>L93*M92</f>
        <v>0</v>
      </c>
      <c r="N94" s="961"/>
      <c r="O94" s="1122">
        <f>N93*O92</f>
        <v>0</v>
      </c>
      <c r="P94" s="961"/>
      <c r="Q94" s="1122">
        <f>P93*Q92</f>
        <v>0</v>
      </c>
      <c r="R94" s="961"/>
      <c r="S94" s="1122">
        <f>R93*S92</f>
        <v>0</v>
      </c>
    </row>
    <row r="95" spans="1:19" x14ac:dyDescent="0.35">
      <c r="A95" s="684"/>
      <c r="B95" s="655"/>
      <c r="C95" s="656"/>
      <c r="D95" s="656"/>
      <c r="E95" s="657"/>
      <c r="F95" s="658"/>
      <c r="G95" s="659"/>
      <c r="H95" s="961"/>
      <c r="I95" s="963"/>
      <c r="J95" s="961"/>
      <c r="K95" s="963"/>
      <c r="L95" s="961"/>
      <c r="M95" s="963"/>
      <c r="N95" s="961"/>
      <c r="O95" s="963"/>
      <c r="P95" s="961"/>
      <c r="Q95" s="963"/>
      <c r="R95" s="961"/>
      <c r="S95" s="963"/>
    </row>
    <row r="96" spans="1:19" x14ac:dyDescent="0.35">
      <c r="A96" s="684"/>
      <c r="B96" s="655"/>
      <c r="C96" s="656"/>
      <c r="D96" s="656"/>
      <c r="E96" s="657"/>
      <c r="F96" s="658" t="s">
        <v>718</v>
      </c>
      <c r="G96" s="659"/>
      <c r="H96" s="964"/>
      <c r="I96" s="962">
        <f>SUM(I92:I94)</f>
        <v>0</v>
      </c>
      <c r="J96" s="964"/>
      <c r="K96" s="962">
        <f>SUM(K92:K94)</f>
        <v>0</v>
      </c>
      <c r="L96" s="964"/>
      <c r="M96" s="962">
        <f>SUM(M92:M94)</f>
        <v>0</v>
      </c>
      <c r="N96" s="964"/>
      <c r="O96" s="962">
        <f>SUM(O92:O94)</f>
        <v>0</v>
      </c>
      <c r="P96" s="964"/>
      <c r="Q96" s="962">
        <f>SUM(Q92:Q94)</f>
        <v>0</v>
      </c>
      <c r="R96" s="964"/>
      <c r="S96" s="962">
        <f>SUM(S92:S94)</f>
        <v>0</v>
      </c>
    </row>
    <row r="97" spans="1:19" x14ac:dyDescent="0.35">
      <c r="A97" s="684"/>
      <c r="B97" s="655"/>
      <c r="C97" s="656"/>
      <c r="D97" s="656"/>
      <c r="E97" s="657"/>
      <c r="F97" s="660" t="s">
        <v>719</v>
      </c>
      <c r="G97" s="661"/>
      <c r="H97" s="965"/>
      <c r="I97" s="966" t="e">
        <f>I96/#REF!</f>
        <v>#REF!</v>
      </c>
      <c r="J97" s="965"/>
      <c r="K97" s="966" t="e">
        <f>K96/#REF!</f>
        <v>#REF!</v>
      </c>
      <c r="L97" s="965"/>
      <c r="M97" s="966" t="e">
        <f>M96/#REF!</f>
        <v>#REF!</v>
      </c>
      <c r="N97" s="965"/>
      <c r="O97" s="966" t="e">
        <f>O96/#REF!</f>
        <v>#REF!</v>
      </c>
      <c r="P97" s="965"/>
      <c r="Q97" s="966" t="e">
        <f>Q96/#REF!</f>
        <v>#REF!</v>
      </c>
      <c r="R97" s="965"/>
      <c r="S97" s="966" t="e">
        <f>S96/#REF!</f>
        <v>#REF!</v>
      </c>
    </row>
    <row r="98" spans="1:19" x14ac:dyDescent="0.35">
      <c r="A98" s="684"/>
      <c r="B98" s="655"/>
      <c r="C98" s="656"/>
      <c r="D98" s="656"/>
      <c r="E98" s="657"/>
      <c r="F98" s="660" t="s">
        <v>720</v>
      </c>
      <c r="G98" s="662"/>
      <c r="H98" s="965"/>
      <c r="I98" s="966" t="e">
        <f>I96/#REF!</f>
        <v>#REF!</v>
      </c>
      <c r="J98" s="965"/>
      <c r="K98" s="966" t="e">
        <f>K96/#REF!</f>
        <v>#REF!</v>
      </c>
      <c r="L98" s="965"/>
      <c r="M98" s="966" t="e">
        <f>M96/#REF!</f>
        <v>#REF!</v>
      </c>
      <c r="N98" s="965"/>
      <c r="O98" s="966" t="e">
        <f>O96/#REF!</f>
        <v>#REF!</v>
      </c>
      <c r="P98" s="965"/>
      <c r="Q98" s="966" t="e">
        <f>Q96/#REF!</f>
        <v>#REF!</v>
      </c>
      <c r="R98" s="965"/>
      <c r="S98" s="966" t="e">
        <f>S96/#REF!</f>
        <v>#REF!</v>
      </c>
    </row>
    <row r="99" spans="1:19" x14ac:dyDescent="0.35">
      <c r="A99" s="684"/>
      <c r="B99" s="655"/>
      <c r="C99" s="656"/>
      <c r="D99" s="656"/>
      <c r="E99" s="657"/>
      <c r="F99" s="658"/>
      <c r="G99" s="663"/>
      <c r="H99" s="1168"/>
      <c r="I99" s="1169"/>
      <c r="J99" s="967"/>
      <c r="K99" s="967"/>
      <c r="L99" s="967"/>
      <c r="M99" s="967"/>
      <c r="N99" s="967"/>
      <c r="O99" s="967"/>
      <c r="P99" s="967"/>
      <c r="Q99" s="967"/>
      <c r="R99" s="967"/>
      <c r="S99" s="967"/>
    </row>
    <row r="100" spans="1:19" x14ac:dyDescent="0.35">
      <c r="A100" s="3764" t="s">
        <v>721</v>
      </c>
      <c r="B100" s="3765"/>
      <c r="C100" s="12"/>
      <c r="D100" s="12"/>
      <c r="E100" s="12"/>
      <c r="F100" s="12"/>
      <c r="G100" s="13"/>
      <c r="H100" s="21"/>
      <c r="I100" s="21"/>
      <c r="J100" s="21"/>
      <c r="K100" s="21"/>
      <c r="L100" s="21"/>
      <c r="M100" s="21"/>
      <c r="N100" s="21"/>
      <c r="O100" s="21"/>
      <c r="P100" s="21"/>
      <c r="Q100" s="21"/>
      <c r="R100" s="21"/>
      <c r="S100" s="21"/>
    </row>
    <row r="101" spans="1:19" x14ac:dyDescent="0.35">
      <c r="A101" s="1170"/>
      <c r="B101" s="641"/>
      <c r="C101" s="1171"/>
      <c r="D101" s="1171"/>
      <c r="E101" s="1171"/>
      <c r="F101" s="1171"/>
      <c r="G101" s="1172"/>
      <c r="H101" s="1173"/>
      <c r="I101" s="1173"/>
      <c r="J101" s="1173"/>
      <c r="K101" s="1173"/>
      <c r="L101" s="1173"/>
      <c r="M101" s="1173"/>
      <c r="N101" s="1173"/>
      <c r="O101" s="1173"/>
      <c r="P101" s="1173"/>
      <c r="Q101" s="1173"/>
      <c r="R101" s="1173"/>
      <c r="S101" s="1173"/>
    </row>
    <row r="102" spans="1:19" x14ac:dyDescent="0.35">
      <c r="A102" s="1170"/>
      <c r="B102" s="641"/>
      <c r="C102" s="1171"/>
      <c r="D102" s="1171"/>
      <c r="E102" s="1171"/>
      <c r="F102" s="1171"/>
      <c r="G102" s="1172"/>
      <c r="H102" s="1173"/>
      <c r="I102" s="1173"/>
      <c r="J102" s="1173"/>
      <c r="K102" s="1173"/>
      <c r="L102" s="1173"/>
      <c r="M102" s="1173"/>
      <c r="N102" s="1173"/>
      <c r="O102" s="1173"/>
      <c r="P102" s="1173"/>
      <c r="Q102" s="1173"/>
      <c r="R102" s="1173"/>
      <c r="S102" s="1173"/>
    </row>
    <row r="103" spans="1:19" s="2" customFormat="1" x14ac:dyDescent="0.35">
      <c r="A103" s="1170"/>
      <c r="B103" s="641"/>
      <c r="C103" s="1171"/>
      <c r="D103" s="1171"/>
      <c r="E103" s="1171"/>
      <c r="F103" s="1171"/>
      <c r="G103" s="1172"/>
      <c r="H103" s="1173"/>
      <c r="I103" s="1173"/>
      <c r="J103" s="1173"/>
      <c r="K103" s="1173"/>
      <c r="L103" s="1173"/>
      <c r="M103" s="1173"/>
      <c r="N103" s="1173"/>
      <c r="O103" s="1173"/>
      <c r="P103" s="1173"/>
      <c r="Q103" s="1173"/>
      <c r="R103" s="1173"/>
      <c r="S103" s="1173"/>
    </row>
    <row r="104" spans="1:19" x14ac:dyDescent="0.35">
      <c r="A104" s="3764" t="s">
        <v>722</v>
      </c>
      <c r="B104" s="3765"/>
      <c r="C104" s="12"/>
      <c r="D104" s="12"/>
      <c r="E104" s="12"/>
      <c r="F104" s="12"/>
      <c r="G104" s="13"/>
      <c r="H104" s="21"/>
      <c r="I104" s="21"/>
      <c r="J104" s="21"/>
      <c r="K104" s="21"/>
      <c r="L104" s="21"/>
      <c r="M104" s="21"/>
      <c r="N104" s="21"/>
      <c r="O104" s="21"/>
      <c r="P104" s="21"/>
      <c r="Q104" s="21"/>
      <c r="R104" s="21"/>
      <c r="S104" s="21"/>
    </row>
    <row r="105" spans="1:19" s="2" customFormat="1" x14ac:dyDescent="0.35">
      <c r="A105" s="1170"/>
      <c r="B105" s="641"/>
      <c r="C105" s="1171"/>
      <c r="D105" s="1171"/>
      <c r="E105" s="1171"/>
      <c r="F105" s="1171"/>
      <c r="G105" s="1172"/>
      <c r="H105" s="1173"/>
      <c r="I105" s="1173"/>
      <c r="J105" s="1173"/>
      <c r="K105" s="1173"/>
      <c r="L105" s="1173"/>
      <c r="M105" s="1173"/>
      <c r="N105" s="1173"/>
      <c r="O105" s="1173"/>
      <c r="P105" s="1173"/>
      <c r="Q105" s="1173"/>
      <c r="R105" s="1173"/>
      <c r="S105" s="1173"/>
    </row>
    <row r="106" spans="1:19" s="2" customFormat="1" x14ac:dyDescent="0.35">
      <c r="A106" s="1170"/>
      <c r="B106" s="641"/>
      <c r="C106" s="1171"/>
      <c r="D106" s="1171"/>
      <c r="E106" s="1171"/>
      <c r="F106" s="1171"/>
      <c r="G106" s="1172"/>
      <c r="H106" s="1173"/>
      <c r="I106" s="1173"/>
      <c r="J106" s="1173"/>
      <c r="K106" s="1173"/>
      <c r="L106" s="1173"/>
      <c r="M106" s="1173"/>
      <c r="N106" s="1173"/>
      <c r="O106" s="1173"/>
      <c r="P106" s="1173"/>
      <c r="Q106" s="1173"/>
      <c r="R106" s="1173"/>
      <c r="S106" s="1173"/>
    </row>
    <row r="107" spans="1:19" s="2" customFormat="1" x14ac:dyDescent="0.35">
      <c r="A107" s="1170"/>
      <c r="B107" s="641"/>
      <c r="C107" s="1171"/>
      <c r="D107" s="1171"/>
      <c r="E107" s="1171"/>
      <c r="F107" s="1171"/>
      <c r="G107" s="1172"/>
      <c r="H107" s="1173"/>
      <c r="I107" s="1173"/>
      <c r="J107" s="1173"/>
      <c r="K107" s="1173"/>
      <c r="L107" s="1173"/>
      <c r="M107" s="1173"/>
      <c r="N107" s="1173"/>
      <c r="O107" s="1173"/>
      <c r="P107" s="1173"/>
      <c r="Q107" s="1173"/>
      <c r="R107" s="1173"/>
      <c r="S107" s="1173"/>
    </row>
    <row r="108" spans="1:19" x14ac:dyDescent="0.35">
      <c r="A108" s="3764" t="s">
        <v>723</v>
      </c>
      <c r="B108" s="3765"/>
      <c r="C108" s="12"/>
      <c r="D108" s="12"/>
      <c r="E108" s="12"/>
      <c r="F108" s="12"/>
      <c r="G108" s="13"/>
      <c r="H108" s="21"/>
      <c r="I108" s="21"/>
      <c r="J108" s="21"/>
      <c r="K108" s="21"/>
      <c r="L108" s="21"/>
      <c r="M108" s="21"/>
      <c r="N108" s="21"/>
      <c r="O108" s="21"/>
      <c r="P108" s="21"/>
      <c r="Q108" s="21"/>
      <c r="R108" s="21"/>
      <c r="S108" s="21"/>
    </row>
    <row r="109" spans="1:19" x14ac:dyDescent="0.35">
      <c r="A109" s="1170"/>
      <c r="B109" s="641"/>
      <c r="C109" s="1171"/>
      <c r="D109" s="1171"/>
      <c r="E109" s="1171"/>
      <c r="F109" s="1171"/>
      <c r="G109" s="1172"/>
      <c r="H109" s="1173"/>
      <c r="I109" s="1173"/>
      <c r="J109" s="1173"/>
      <c r="K109" s="1173"/>
      <c r="L109" s="1173"/>
      <c r="M109" s="1173"/>
      <c r="N109" s="1173"/>
      <c r="O109" s="1173"/>
      <c r="P109" s="1173"/>
      <c r="Q109" s="1173"/>
      <c r="R109" s="1173"/>
      <c r="S109" s="1173"/>
    </row>
    <row r="110" spans="1:19" x14ac:dyDescent="0.35">
      <c r="A110" s="689"/>
      <c r="B110" s="641"/>
      <c r="C110" s="642"/>
      <c r="D110" s="642"/>
      <c r="E110" s="642"/>
      <c r="F110" s="642"/>
      <c r="G110" s="646"/>
      <c r="H110" s="973"/>
      <c r="I110" s="973"/>
      <c r="J110" s="973"/>
      <c r="K110" s="973"/>
      <c r="L110" s="973"/>
      <c r="M110" s="973"/>
      <c r="N110" s="973"/>
      <c r="O110" s="973"/>
      <c r="P110" s="973"/>
      <c r="Q110" s="973"/>
      <c r="R110" s="973"/>
      <c r="S110" s="973"/>
    </row>
    <row r="111" spans="1:19" x14ac:dyDescent="0.35">
      <c r="A111" s="686"/>
      <c r="B111" s="665"/>
      <c r="C111" s="642"/>
      <c r="D111" s="642"/>
      <c r="E111" s="642"/>
      <c r="F111" s="642"/>
      <c r="G111" s="646"/>
      <c r="H111" s="974"/>
      <c r="I111" s="974"/>
      <c r="J111" s="974"/>
      <c r="K111" s="974"/>
      <c r="L111" s="974"/>
      <c r="M111" s="974"/>
      <c r="N111" s="974"/>
      <c r="O111" s="974"/>
      <c r="P111" s="974"/>
      <c r="Q111" s="974"/>
      <c r="R111" s="974"/>
      <c r="S111" s="974"/>
    </row>
    <row r="112" spans="1:19" x14ac:dyDescent="0.35">
      <c r="A112" s="3764" t="s">
        <v>724</v>
      </c>
      <c r="B112" s="3765"/>
      <c r="C112" s="12"/>
      <c r="D112" s="12"/>
      <c r="E112" s="12"/>
      <c r="F112" s="12"/>
      <c r="G112" s="13"/>
      <c r="H112" s="21"/>
      <c r="I112" s="21"/>
      <c r="J112" s="21"/>
      <c r="K112" s="21"/>
      <c r="L112" s="21"/>
      <c r="M112" s="21"/>
      <c r="N112" s="21"/>
      <c r="O112" s="21"/>
      <c r="P112" s="21"/>
      <c r="Q112" s="21"/>
      <c r="R112" s="21"/>
      <c r="S112" s="21"/>
    </row>
    <row r="113" spans="1:19" x14ac:dyDescent="0.35">
      <c r="A113" s="1174"/>
      <c r="B113" s="1175"/>
      <c r="C113" s="1171"/>
      <c r="D113" s="1171"/>
      <c r="E113" s="1171"/>
      <c r="F113" s="1171"/>
      <c r="G113" s="1172"/>
      <c r="H113" s="1173"/>
      <c r="I113" s="1173"/>
      <c r="J113" s="1173"/>
      <c r="K113" s="1173"/>
      <c r="L113" s="1173"/>
      <c r="M113" s="1173"/>
      <c r="N113" s="1173"/>
      <c r="O113" s="1173"/>
      <c r="P113" s="1173"/>
      <c r="Q113" s="1173"/>
      <c r="R113" s="1173"/>
      <c r="S113" s="1173"/>
    </row>
    <row r="114" spans="1:19" x14ac:dyDescent="0.35">
      <c r="A114" s="686"/>
      <c r="B114" s="665"/>
      <c r="C114" s="642"/>
      <c r="D114" s="642"/>
      <c r="E114" s="642"/>
      <c r="F114" s="642"/>
      <c r="G114" s="646"/>
      <c r="H114" s="977"/>
      <c r="I114" s="977"/>
      <c r="J114" s="977"/>
      <c r="K114" s="977"/>
      <c r="L114" s="977"/>
      <c r="M114" s="977"/>
      <c r="N114" s="977"/>
      <c r="O114" s="977"/>
      <c r="P114" s="977"/>
      <c r="Q114" s="977"/>
      <c r="R114" s="977"/>
      <c r="S114" s="977"/>
    </row>
    <row r="115" spans="1:19" x14ac:dyDescent="0.35">
      <c r="A115" s="686"/>
      <c r="B115" s="665"/>
      <c r="C115" s="642"/>
      <c r="D115" s="642"/>
      <c r="E115" s="642"/>
      <c r="F115" s="642"/>
      <c r="G115" s="646"/>
      <c r="H115" s="977"/>
      <c r="I115" s="977"/>
      <c r="J115" s="977"/>
      <c r="K115" s="977"/>
      <c r="L115" s="977"/>
      <c r="M115" s="977"/>
      <c r="N115" s="977"/>
      <c r="O115" s="977"/>
      <c r="P115" s="977"/>
      <c r="Q115" s="977"/>
      <c r="R115" s="977"/>
      <c r="S115" s="977"/>
    </row>
    <row r="116" spans="1:19" x14ac:dyDescent="0.35">
      <c r="A116" s="3764" t="s">
        <v>725</v>
      </c>
      <c r="B116" s="3765"/>
      <c r="C116" s="12"/>
      <c r="D116" s="12"/>
      <c r="E116" s="12"/>
      <c r="F116" s="12"/>
      <c r="G116" s="13"/>
      <c r="H116" s="21"/>
      <c r="I116" s="21"/>
      <c r="J116" s="21"/>
      <c r="K116" s="21"/>
      <c r="L116" s="21"/>
      <c r="M116" s="21"/>
      <c r="N116" s="21"/>
      <c r="O116" s="21"/>
      <c r="P116" s="1131"/>
      <c r="Q116" s="1131"/>
      <c r="R116" s="1131"/>
      <c r="S116" s="1131"/>
    </row>
    <row r="117" spans="1:19" x14ac:dyDescent="0.35">
      <c r="A117" s="689"/>
      <c r="B117" s="641" t="s">
        <v>726</v>
      </c>
      <c r="C117" s="642"/>
      <c r="D117" s="642"/>
      <c r="E117" s="642"/>
      <c r="F117" s="642"/>
      <c r="G117" s="646"/>
      <c r="H117" s="977"/>
      <c r="I117" s="977"/>
      <c r="J117" s="977"/>
      <c r="K117" s="977"/>
      <c r="L117" s="977"/>
      <c r="M117" s="977"/>
      <c r="N117" s="977"/>
      <c r="O117" s="977"/>
      <c r="P117" s="977"/>
      <c r="Q117" s="977"/>
      <c r="R117" s="977"/>
      <c r="S117" s="977"/>
    </row>
    <row r="118" spans="1:19" x14ac:dyDescent="0.35">
      <c r="A118" s="689"/>
      <c r="B118" s="641" t="s">
        <v>727</v>
      </c>
      <c r="C118" s="642"/>
      <c r="D118" s="642"/>
      <c r="E118" s="642"/>
      <c r="F118" s="642"/>
      <c r="G118" s="646"/>
      <c r="H118" s="977"/>
      <c r="I118" s="977"/>
      <c r="J118" s="977"/>
      <c r="K118" s="977"/>
      <c r="L118" s="977"/>
      <c r="M118" s="977"/>
      <c r="N118" s="977"/>
      <c r="O118" s="977"/>
      <c r="P118" s="977"/>
      <c r="Q118" s="977"/>
      <c r="R118" s="977"/>
      <c r="S118" s="977"/>
    </row>
    <row r="119" spans="1:19" x14ac:dyDescent="0.35">
      <c r="A119" s="689"/>
      <c r="B119" s="641" t="s">
        <v>728</v>
      </c>
      <c r="C119" s="642"/>
      <c r="D119" s="642"/>
      <c r="E119" s="642"/>
      <c r="F119" s="642"/>
      <c r="G119" s="646"/>
      <c r="H119" s="977"/>
      <c r="I119" s="977"/>
      <c r="J119" s="977"/>
      <c r="K119" s="977"/>
      <c r="L119" s="977"/>
      <c r="M119" s="977"/>
      <c r="N119" s="977"/>
      <c r="O119" s="977"/>
      <c r="P119" s="977"/>
      <c r="Q119" s="977"/>
      <c r="R119" s="977"/>
      <c r="S119" s="977"/>
    </row>
    <row r="120" spans="1:19" x14ac:dyDescent="0.35">
      <c r="A120" s="689"/>
      <c r="B120" s="641" t="s">
        <v>729</v>
      </c>
      <c r="C120" s="642"/>
      <c r="D120" s="642"/>
      <c r="E120" s="642"/>
      <c r="F120" s="642"/>
      <c r="G120" s="646"/>
      <c r="H120" s="977"/>
      <c r="I120" s="977"/>
      <c r="J120" s="977"/>
      <c r="K120" s="977"/>
      <c r="L120" s="977"/>
      <c r="M120" s="977"/>
      <c r="N120" s="977"/>
      <c r="O120" s="977"/>
      <c r="P120" s="977"/>
      <c r="Q120" s="977"/>
      <c r="R120" s="977"/>
      <c r="S120" s="977"/>
    </row>
    <row r="121" spans="1:19" x14ac:dyDescent="0.35">
      <c r="A121" s="978"/>
      <c r="B121" s="939"/>
      <c r="C121" s="940"/>
      <c r="D121" s="940"/>
      <c r="E121" s="940"/>
      <c r="F121" s="940"/>
      <c r="G121" s="1039"/>
      <c r="H121" s="981"/>
      <c r="I121" s="981"/>
      <c r="J121" s="981"/>
      <c r="K121" s="981"/>
      <c r="L121" s="981"/>
      <c r="M121" s="981"/>
      <c r="N121" s="981"/>
      <c r="O121" s="981"/>
      <c r="P121" s="981"/>
      <c r="Q121" s="981"/>
      <c r="R121" s="981"/>
      <c r="S121" s="981"/>
    </row>
    <row r="122" spans="1:19" x14ac:dyDescent="0.35">
      <c r="A122" s="7" t="s">
        <v>730</v>
      </c>
      <c r="B122" s="8"/>
      <c r="C122" s="12"/>
      <c r="D122" s="12"/>
      <c r="E122" s="12"/>
      <c r="F122" s="12"/>
      <c r="G122" s="13"/>
      <c r="H122" s="21"/>
      <c r="I122" s="21"/>
      <c r="J122" s="21"/>
      <c r="K122" s="21"/>
      <c r="L122" s="21"/>
      <c r="M122" s="21"/>
      <c r="N122" s="21"/>
      <c r="O122" s="21"/>
      <c r="P122" s="21"/>
      <c r="Q122" s="21"/>
      <c r="R122" s="21"/>
      <c r="S122" s="21"/>
    </row>
    <row r="123" spans="1:19" x14ac:dyDescent="0.35">
      <c r="A123" s="1170"/>
      <c r="B123" s="1176" t="s">
        <v>731</v>
      </c>
      <c r="C123" s="1171"/>
      <c r="D123" s="1171"/>
      <c r="E123" s="1171"/>
      <c r="F123" s="1171"/>
      <c r="G123" s="1172"/>
      <c r="H123" s="1177"/>
      <c r="I123" s="1177"/>
      <c r="J123" s="1177"/>
      <c r="K123" s="1177"/>
      <c r="L123" s="1177"/>
      <c r="M123" s="1177"/>
      <c r="N123" s="1177"/>
      <c r="O123" s="1177"/>
      <c r="P123" s="1177"/>
      <c r="Q123" s="1177"/>
      <c r="R123" s="1177"/>
      <c r="S123" s="1177"/>
    </row>
    <row r="124" spans="1:19" x14ac:dyDescent="0.35">
      <c r="A124" s="689"/>
      <c r="B124" s="641" t="s">
        <v>732</v>
      </c>
      <c r="C124" s="642"/>
      <c r="D124" s="642"/>
      <c r="E124" s="642"/>
      <c r="F124" s="642"/>
      <c r="G124" s="646"/>
      <c r="H124" s="984"/>
      <c r="I124" s="984"/>
      <c r="J124" s="984"/>
      <c r="K124" s="984"/>
      <c r="L124" s="984"/>
      <c r="M124" s="984"/>
      <c r="N124" s="984"/>
      <c r="O124" s="984"/>
      <c r="P124" s="984"/>
      <c r="Q124" s="984"/>
      <c r="R124" s="984"/>
      <c r="S124" s="984"/>
    </row>
    <row r="125" spans="1:19" x14ac:dyDescent="0.35">
      <c r="A125" s="985"/>
      <c r="B125" s="986" t="s">
        <v>733</v>
      </c>
      <c r="C125" s="987"/>
      <c r="D125" s="987"/>
      <c r="E125" s="987"/>
      <c r="F125" s="987"/>
      <c r="G125" s="1040"/>
      <c r="H125" s="990"/>
      <c r="I125" s="990"/>
      <c r="J125" s="990"/>
      <c r="K125" s="990"/>
      <c r="L125" s="990"/>
      <c r="M125" s="990"/>
      <c r="N125" s="990"/>
      <c r="O125" s="990"/>
      <c r="P125" s="990"/>
      <c r="Q125" s="990"/>
      <c r="R125" s="990"/>
      <c r="S125" s="990"/>
    </row>
    <row r="127" spans="1:19" x14ac:dyDescent="0.35">
      <c r="A127" s="78" t="s">
        <v>734</v>
      </c>
      <c r="B127" s="80"/>
    </row>
    <row r="128" spans="1:19" x14ac:dyDescent="0.35">
      <c r="A128" s="79" t="s">
        <v>632</v>
      </c>
      <c r="B128" s="991"/>
    </row>
    <row r="129" spans="1:2" x14ac:dyDescent="0.35">
      <c r="A129" s="687" t="s">
        <v>636</v>
      </c>
      <c r="B129" s="991"/>
    </row>
    <row r="130" spans="1:2" x14ac:dyDescent="0.35">
      <c r="A130" s="992" t="s">
        <v>639</v>
      </c>
      <c r="B130" s="993"/>
    </row>
    <row r="131" spans="1:2" x14ac:dyDescent="0.35">
      <c r="A131" s="992" t="s">
        <v>642</v>
      </c>
      <c r="B131" s="994"/>
    </row>
    <row r="132" spans="1:2" x14ac:dyDescent="0.35">
      <c r="A132" s="995" t="s">
        <v>735</v>
      </c>
      <c r="B132" s="996"/>
    </row>
    <row r="134" spans="1:2" x14ac:dyDescent="0.35">
      <c r="A134" s="81"/>
      <c r="B134" s="1" t="s">
        <v>736</v>
      </c>
    </row>
    <row r="135" spans="1:2" x14ac:dyDescent="0.35">
      <c r="A135" s="82"/>
      <c r="B135" s="1" t="s">
        <v>737</v>
      </c>
    </row>
  </sheetData>
  <mergeCells count="47">
    <mergeCell ref="A100:B100"/>
    <mergeCell ref="A104:B104"/>
    <mergeCell ref="A108:B108"/>
    <mergeCell ref="A112:B112"/>
    <mergeCell ref="A116:B11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861" priority="13" operator="equal">
      <formula>"X"</formula>
    </cfRule>
    <cfRule type="cellIs" dxfId="2860" priority="14" operator="equal">
      <formula>"I"</formula>
    </cfRule>
  </conditionalFormatting>
  <conditionalFormatting sqref="H32:H91">
    <cfRule type="cellIs" dxfId="2859" priority="1" operator="equal">
      <formula>"X"</formula>
    </cfRule>
    <cfRule type="cellIs" dxfId="2858" priority="2" operator="equal">
      <formula>"I"</formula>
    </cfRule>
  </conditionalFormatting>
  <conditionalFormatting sqref="J20:J30">
    <cfRule type="cellIs" dxfId="2857" priority="15" operator="equal">
      <formula>"X"</formula>
    </cfRule>
    <cfRule type="cellIs" dxfId="2856" priority="16" operator="equal">
      <formula>"I"</formula>
    </cfRule>
  </conditionalFormatting>
  <conditionalFormatting sqref="J32:J91">
    <cfRule type="cellIs" dxfId="2855" priority="3" operator="equal">
      <formula>"X"</formula>
    </cfRule>
    <cfRule type="cellIs" dxfId="2854" priority="4" operator="equal">
      <formula>"I"</formula>
    </cfRule>
  </conditionalFormatting>
  <conditionalFormatting sqref="L20:L30">
    <cfRule type="cellIs" dxfId="2853" priority="17" operator="equal">
      <formula>"X"</formula>
    </cfRule>
    <cfRule type="cellIs" dxfId="2852" priority="18" operator="equal">
      <formula>"I"</formula>
    </cfRule>
  </conditionalFormatting>
  <conditionalFormatting sqref="L32:L91">
    <cfRule type="cellIs" dxfId="2851" priority="5" operator="equal">
      <formula>"X"</formula>
    </cfRule>
    <cfRule type="cellIs" dxfId="2850" priority="6" operator="equal">
      <formula>"I"</formula>
    </cfRule>
  </conditionalFormatting>
  <conditionalFormatting sqref="N20:N30">
    <cfRule type="cellIs" dxfId="2849" priority="19" operator="equal">
      <formula>"X"</formula>
    </cfRule>
    <cfRule type="cellIs" dxfId="2848" priority="20" operator="equal">
      <formula>"I"</formula>
    </cfRule>
  </conditionalFormatting>
  <conditionalFormatting sqref="N32:N91">
    <cfRule type="cellIs" dxfId="2847" priority="7" operator="equal">
      <formula>"X"</formula>
    </cfRule>
    <cfRule type="cellIs" dxfId="2846" priority="8" operator="equal">
      <formula>"I"</formula>
    </cfRule>
  </conditionalFormatting>
  <conditionalFormatting sqref="P20:P30">
    <cfRule type="cellIs" dxfId="2845" priority="21" operator="equal">
      <formula>"X"</formula>
    </cfRule>
    <cfRule type="cellIs" dxfId="2844" priority="22" operator="equal">
      <formula>"I"</formula>
    </cfRule>
  </conditionalFormatting>
  <conditionalFormatting sqref="P32:P91">
    <cfRule type="cellIs" dxfId="2843" priority="9" operator="equal">
      <formula>"X"</formula>
    </cfRule>
    <cfRule type="cellIs" dxfId="2842" priority="10" operator="equal">
      <formula>"I"</formula>
    </cfRule>
  </conditionalFormatting>
  <conditionalFormatting sqref="R20:R30">
    <cfRule type="cellIs" dxfId="2841" priority="23" operator="equal">
      <formula>"X"</formula>
    </cfRule>
    <cfRule type="cellIs" dxfId="2840" priority="24" operator="equal">
      <formula>"I"</formula>
    </cfRule>
  </conditionalFormatting>
  <conditionalFormatting sqref="R32:R91">
    <cfRule type="cellIs" dxfId="2839" priority="11" operator="equal">
      <formula>"X"</formula>
    </cfRule>
    <cfRule type="cellIs" dxfId="2838" priority="12" operator="equal">
      <formula>"I"</formula>
    </cfRule>
  </conditionalFormatting>
  <hyperlinks>
    <hyperlink ref="B3" location="'Cost Summary'!A1" display="BACK TO SUMMARY SHEET" xr:uid="{09E2169C-F753-48F3-A722-99070DD1D26E}"/>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658C-8F38-4DCD-BE37-C0DF4A3023A7}">
  <sheetPr>
    <tabColor rgb="FF92D050"/>
  </sheetPr>
  <dimension ref="A1:S135"/>
  <sheetViews>
    <sheetView zoomScale="85" zoomScaleNormal="85"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6.54296875" style="2" customWidth="1"/>
    <col min="14" max="14" width="7.453125" style="2" bestFit="1" customWidth="1"/>
    <col min="15" max="15" width="14.81640625" style="2" customWidth="1"/>
    <col min="16" max="16" width="7.453125" style="2" customWidth="1"/>
    <col min="17" max="17" width="16.5429687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76"/>
      <c r="I2" s="3776"/>
      <c r="J2" s="3751"/>
      <c r="K2" s="3751"/>
      <c r="L2" s="3751"/>
      <c r="M2" s="3751"/>
      <c r="N2" s="3751"/>
      <c r="O2" s="3751"/>
      <c r="P2" s="3751"/>
      <c r="Q2" s="3751"/>
      <c r="R2" s="3751"/>
      <c r="S2" s="3751"/>
    </row>
    <row r="3" spans="1:19" ht="19.5" x14ac:dyDescent="0.35">
      <c r="B3" s="137" t="s">
        <v>623</v>
      </c>
      <c r="E3" s="152"/>
      <c r="F3" s="124" t="s">
        <v>624</v>
      </c>
      <c r="G3" s="123" t="s">
        <v>557</v>
      </c>
      <c r="H3" s="3754" t="s">
        <v>871</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928</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929</v>
      </c>
      <c r="C6" s="642"/>
      <c r="D6" s="642"/>
      <c r="E6" s="642"/>
      <c r="F6" s="642"/>
      <c r="G6" s="643" t="s">
        <v>639</v>
      </c>
      <c r="H6" s="3756"/>
      <c r="I6" s="3757"/>
      <c r="J6" s="3756"/>
      <c r="K6" s="3757"/>
      <c r="L6" s="3777"/>
      <c r="M6" s="3757"/>
      <c r="N6" s="3756"/>
      <c r="O6" s="3757"/>
      <c r="P6" s="3777"/>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x14ac:dyDescent="0.35">
      <c r="A8" s="938" t="s">
        <v>644</v>
      </c>
      <c r="B8" s="939"/>
      <c r="C8" s="940"/>
      <c r="D8" s="940"/>
      <c r="E8" s="940"/>
      <c r="F8" s="940"/>
      <c r="G8" s="1024" t="s">
        <v>644</v>
      </c>
      <c r="H8" s="3760">
        <f>I96</f>
        <v>0</v>
      </c>
      <c r="I8" s="3761"/>
      <c r="J8" s="3760">
        <f>K96</f>
        <v>0</v>
      </c>
      <c r="K8" s="3761"/>
      <c r="L8" s="3760">
        <f>M96</f>
        <v>0</v>
      </c>
      <c r="M8" s="3761"/>
      <c r="N8" s="3760">
        <f>O96</f>
        <v>0</v>
      </c>
      <c r="O8" s="3761"/>
      <c r="P8" s="3760">
        <f>Q96</f>
        <v>0</v>
      </c>
      <c r="Q8" s="3761"/>
      <c r="R8" s="3760">
        <f>S96</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1178"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x14ac:dyDescent="0.35">
      <c r="A16" s="689"/>
      <c r="B16" s="641" t="e">
        <f>#REF!</f>
        <v>#REF!</v>
      </c>
      <c r="C16" s="647"/>
      <c r="D16" s="642"/>
      <c r="E16" s="642"/>
      <c r="F16" s="642"/>
      <c r="G16" s="646"/>
      <c r="H16" s="942"/>
      <c r="I16" s="942"/>
      <c r="J16" s="942"/>
      <c r="K16" s="942"/>
      <c r="L16" s="942"/>
      <c r="M16" s="942"/>
      <c r="N16" s="942"/>
      <c r="O16" s="942"/>
      <c r="P16" s="942"/>
      <c r="Q16" s="942"/>
      <c r="R16" s="942"/>
      <c r="S16" s="942"/>
    </row>
    <row r="17" spans="1:19" ht="15" hidden="1" customHeight="1" x14ac:dyDescent="0.35">
      <c r="A17" s="689"/>
      <c r="B17" s="641" t="e">
        <f>#REF!</f>
        <v>#REF!</v>
      </c>
      <c r="C17" s="647"/>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1179"/>
      <c r="B21" s="648" t="s">
        <v>928</v>
      </c>
      <c r="C21" s="647"/>
      <c r="D21" s="642"/>
      <c r="E21" s="642"/>
      <c r="F21" s="642"/>
      <c r="G21" s="646"/>
      <c r="H21" s="943"/>
      <c r="I21" s="1180"/>
      <c r="J21" s="943"/>
      <c r="K21" s="1180"/>
      <c r="L21" s="943"/>
      <c r="M21" s="1180"/>
      <c r="N21" s="943"/>
      <c r="O21" s="1180"/>
      <c r="P21" s="943"/>
      <c r="Q21" s="1180"/>
      <c r="R21" s="943"/>
      <c r="S21" s="1180"/>
    </row>
    <row r="22" spans="1:19" ht="15.5" x14ac:dyDescent="0.35">
      <c r="A22" s="1181"/>
      <c r="B22" s="604" t="s">
        <v>657</v>
      </c>
      <c r="C22" s="647"/>
      <c r="D22" s="642"/>
      <c r="E22" s="642"/>
      <c r="F22" s="642"/>
      <c r="G22" s="646"/>
      <c r="H22" s="943"/>
      <c r="I22" s="1182"/>
      <c r="J22" s="943"/>
      <c r="K22" s="1180"/>
      <c r="L22" s="943"/>
      <c r="M22" s="1180"/>
      <c r="N22" s="943"/>
      <c r="O22" s="1180"/>
      <c r="P22" s="943"/>
      <c r="Q22" s="1180"/>
      <c r="R22" s="943"/>
      <c r="S22" s="1180"/>
    </row>
    <row r="23" spans="1:19" ht="15.75" customHeight="1" x14ac:dyDescent="0.35">
      <c r="A23" s="1179"/>
      <c r="B23" s="603" t="s">
        <v>658</v>
      </c>
      <c r="C23" s="647"/>
      <c r="D23" s="642"/>
      <c r="E23" s="642"/>
      <c r="F23" s="642"/>
      <c r="G23" s="646"/>
      <c r="H23" s="943"/>
      <c r="I23" s="1180"/>
      <c r="J23" s="943"/>
      <c r="K23" s="1180"/>
      <c r="L23" s="943"/>
      <c r="M23" s="1180"/>
      <c r="N23" s="943"/>
      <c r="O23" s="1180"/>
      <c r="P23" s="943"/>
      <c r="Q23" s="1180"/>
      <c r="R23" s="943"/>
      <c r="S23" s="1180"/>
    </row>
    <row r="24" spans="1:19" x14ac:dyDescent="0.35">
      <c r="A24" s="1179"/>
      <c r="B24" s="1157" t="s">
        <v>659</v>
      </c>
      <c r="C24" s="647"/>
      <c r="D24" s="642"/>
      <c r="E24" s="642"/>
      <c r="F24" s="642"/>
      <c r="G24" s="646"/>
      <c r="H24" s="943"/>
      <c r="I24" s="1158"/>
      <c r="J24" s="943"/>
      <c r="K24" s="1158"/>
      <c r="L24" s="943"/>
      <c r="M24" s="1140"/>
      <c r="N24" s="943"/>
      <c r="O24" s="1158"/>
      <c r="P24" s="943"/>
      <c r="Q24" s="1140"/>
      <c r="R24" s="943"/>
      <c r="S24" s="1158"/>
    </row>
    <row r="25" spans="1:19" ht="15.75" customHeight="1" x14ac:dyDescent="0.35">
      <c r="A25" s="1179"/>
      <c r="B25" s="1159" t="s">
        <v>660</v>
      </c>
      <c r="C25" s="647"/>
      <c r="D25" s="642"/>
      <c r="E25" s="642"/>
      <c r="F25" s="642"/>
      <c r="G25" s="646"/>
      <c r="H25" s="943"/>
      <c r="I25" s="1158"/>
      <c r="J25" s="943"/>
      <c r="K25" s="1158"/>
      <c r="L25" s="943"/>
      <c r="M25" s="136"/>
      <c r="N25" s="943"/>
      <c r="O25" s="1158"/>
      <c r="P25" s="943"/>
      <c r="Q25" s="136"/>
      <c r="R25" s="943"/>
      <c r="S25" s="1158"/>
    </row>
    <row r="26" spans="1:19" x14ac:dyDescent="0.35">
      <c r="A26" s="1179"/>
      <c r="B26" s="1159" t="s">
        <v>661</v>
      </c>
      <c r="C26" s="1086"/>
      <c r="D26" s="682"/>
      <c r="E26" s="642"/>
      <c r="F26" s="642"/>
      <c r="G26" s="646"/>
      <c r="H26" s="943"/>
      <c r="I26" s="1158"/>
      <c r="J26" s="943"/>
      <c r="K26" s="1180"/>
      <c r="L26" s="943"/>
      <c r="M26" s="984"/>
      <c r="N26" s="943"/>
      <c r="O26" s="1180"/>
      <c r="P26" s="943"/>
      <c r="Q26" s="984"/>
      <c r="R26" s="943"/>
      <c r="S26" s="1180"/>
    </row>
    <row r="27" spans="1:19" x14ac:dyDescent="0.35">
      <c r="A27" s="1179"/>
      <c r="B27" s="1159" t="s">
        <v>662</v>
      </c>
      <c r="C27" s="1086"/>
      <c r="D27" s="682"/>
      <c r="E27" s="642"/>
      <c r="F27" s="642"/>
      <c r="G27" s="646"/>
      <c r="H27" s="943"/>
      <c r="I27" s="1158"/>
      <c r="J27" s="943"/>
      <c r="K27" s="1180"/>
      <c r="L27" s="943"/>
      <c r="M27" s="984"/>
      <c r="N27" s="943"/>
      <c r="O27" s="1180"/>
      <c r="P27" s="943"/>
      <c r="Q27" s="984"/>
      <c r="R27" s="943"/>
      <c r="S27" s="1180"/>
    </row>
    <row r="28" spans="1:19" x14ac:dyDescent="0.35">
      <c r="A28" s="1179"/>
      <c r="B28" s="1159" t="s">
        <v>663</v>
      </c>
      <c r="C28" s="1086"/>
      <c r="D28" s="682"/>
      <c r="E28" s="642"/>
      <c r="F28" s="642"/>
      <c r="G28" s="646"/>
      <c r="H28" s="943"/>
      <c r="I28" s="1158"/>
      <c r="J28" s="943"/>
      <c r="K28" s="1180"/>
      <c r="L28" s="943"/>
      <c r="M28" s="984"/>
      <c r="N28" s="943"/>
      <c r="O28" s="1180"/>
      <c r="P28" s="943"/>
      <c r="Q28" s="984"/>
      <c r="R28" s="943"/>
      <c r="S28" s="1180"/>
    </row>
    <row r="29" spans="1:19" x14ac:dyDescent="0.35">
      <c r="A29" s="1179"/>
      <c r="B29" s="1159" t="s">
        <v>742</v>
      </c>
      <c r="C29" s="1086"/>
      <c r="D29" s="682"/>
      <c r="E29" s="642"/>
      <c r="F29" s="642"/>
      <c r="G29" s="646"/>
      <c r="H29" s="943"/>
      <c r="I29" s="1158"/>
      <c r="J29" s="943"/>
      <c r="K29" s="1180"/>
      <c r="L29" s="943"/>
      <c r="M29" s="984"/>
      <c r="N29" s="943"/>
      <c r="O29" s="1180"/>
      <c r="P29" s="943"/>
      <c r="Q29" s="984"/>
      <c r="R29" s="943"/>
      <c r="S29" s="1180"/>
    </row>
    <row r="30" spans="1:19" x14ac:dyDescent="0.35">
      <c r="A30" s="1179"/>
      <c r="B30" s="1160" t="s">
        <v>664</v>
      </c>
      <c r="C30" s="1086"/>
      <c r="D30" s="682"/>
      <c r="E30" s="642"/>
      <c r="F30" s="642"/>
      <c r="G30" s="646"/>
      <c r="H30" s="943"/>
      <c r="I30" s="1158"/>
      <c r="J30" s="943"/>
      <c r="K30" s="1180"/>
      <c r="L30" s="943"/>
      <c r="M30" s="984"/>
      <c r="N30" s="943"/>
      <c r="O30" s="1180"/>
      <c r="P30" s="943"/>
      <c r="Q30" s="984"/>
      <c r="R30" s="943"/>
      <c r="S30" s="1180"/>
    </row>
    <row r="31" spans="1:19" x14ac:dyDescent="0.35">
      <c r="A31" s="1179"/>
      <c r="B31" s="1161" t="s">
        <v>665</v>
      </c>
      <c r="C31" s="1142"/>
      <c r="D31" s="1143"/>
      <c r="E31" s="650"/>
      <c r="F31" s="650"/>
      <c r="G31" s="952"/>
      <c r="H31" s="636"/>
      <c r="I31" s="1162"/>
      <c r="J31" s="636"/>
      <c r="K31" s="1163"/>
      <c r="L31" s="1146"/>
      <c r="M31" s="1147"/>
      <c r="N31" s="1148"/>
      <c r="O31" s="1163"/>
      <c r="P31" s="1146"/>
      <c r="Q31" s="1147"/>
      <c r="R31" s="1148"/>
      <c r="S31" s="1163"/>
    </row>
    <row r="32" spans="1:19" x14ac:dyDescent="0.35">
      <c r="A32" s="1179"/>
      <c r="B32" s="1164" t="s">
        <v>874</v>
      </c>
      <c r="C32" s="1086"/>
      <c r="D32" s="682"/>
      <c r="E32" s="642"/>
      <c r="F32" s="642"/>
      <c r="G32" s="646"/>
      <c r="H32" s="943"/>
      <c r="I32" s="1158"/>
      <c r="J32" s="943"/>
      <c r="K32" s="1180"/>
      <c r="L32" s="943"/>
      <c r="M32" s="984"/>
      <c r="N32" s="943"/>
      <c r="O32" s="1180"/>
      <c r="P32" s="943"/>
      <c r="Q32" s="984"/>
      <c r="R32" s="943"/>
      <c r="S32" s="1180"/>
    </row>
    <row r="33" spans="1:19" x14ac:dyDescent="0.35">
      <c r="A33" s="1179"/>
      <c r="B33" s="1150"/>
      <c r="C33" s="1086"/>
      <c r="D33" s="682"/>
      <c r="E33" s="642"/>
      <c r="F33" s="642"/>
      <c r="G33" s="646"/>
      <c r="H33" s="943"/>
      <c r="I33" s="1158"/>
      <c r="J33" s="943"/>
      <c r="K33" s="1180"/>
      <c r="L33" s="943"/>
      <c r="M33" s="984"/>
      <c r="N33" s="943"/>
      <c r="O33" s="1180"/>
      <c r="P33" s="943"/>
      <c r="Q33" s="984"/>
      <c r="R33" s="943"/>
      <c r="S33" s="1180"/>
    </row>
    <row r="34" spans="1:19" x14ac:dyDescent="0.35">
      <c r="A34" s="1179"/>
      <c r="B34" s="1151" t="s">
        <v>878</v>
      </c>
      <c r="C34" s="1086"/>
      <c r="D34" s="682"/>
      <c r="E34" s="642"/>
      <c r="F34" s="642"/>
      <c r="G34" s="646"/>
      <c r="H34" s="943"/>
      <c r="I34" s="1158"/>
      <c r="J34" s="943"/>
      <c r="K34" s="1180"/>
      <c r="L34" s="943"/>
      <c r="M34" s="984"/>
      <c r="N34" s="943"/>
      <c r="O34" s="1180"/>
      <c r="P34" s="943"/>
      <c r="Q34" s="984"/>
      <c r="R34" s="943"/>
      <c r="S34" s="1180"/>
    </row>
    <row r="35" spans="1:19" x14ac:dyDescent="0.35">
      <c r="A35" s="1179"/>
      <c r="B35" s="1109" t="s">
        <v>879</v>
      </c>
      <c r="C35" s="1086"/>
      <c r="D35" s="682"/>
      <c r="E35" s="642"/>
      <c r="F35" s="642"/>
      <c r="G35" s="646"/>
      <c r="H35" s="943"/>
      <c r="I35" s="1158"/>
      <c r="J35" s="943"/>
      <c r="K35" s="1180"/>
      <c r="L35" s="943"/>
      <c r="M35" s="984"/>
      <c r="N35" s="943"/>
      <c r="O35" s="1180"/>
      <c r="P35" s="943"/>
      <c r="Q35" s="984"/>
      <c r="R35" s="943"/>
      <c r="S35" s="1180"/>
    </row>
    <row r="36" spans="1:19" x14ac:dyDescent="0.35">
      <c r="A36" s="1179"/>
      <c r="B36" s="1109" t="s">
        <v>880</v>
      </c>
      <c r="C36" s="1086"/>
      <c r="D36" s="682"/>
      <c r="E36" s="642"/>
      <c r="F36" s="642"/>
      <c r="G36" s="646"/>
      <c r="H36" s="943"/>
      <c r="I36" s="1158"/>
      <c r="J36" s="943"/>
      <c r="K36" s="1180"/>
      <c r="L36" s="943"/>
      <c r="M36" s="984"/>
      <c r="N36" s="943"/>
      <c r="O36" s="1180"/>
      <c r="P36" s="943"/>
      <c r="Q36" s="984"/>
      <c r="R36" s="943"/>
      <c r="S36" s="1180"/>
    </row>
    <row r="37" spans="1:19" x14ac:dyDescent="0.35">
      <c r="A37" s="1179"/>
      <c r="B37" s="1109" t="s">
        <v>881</v>
      </c>
      <c r="C37" s="1086"/>
      <c r="D37" s="682"/>
      <c r="E37" s="642"/>
      <c r="F37" s="642"/>
      <c r="G37" s="646"/>
      <c r="H37" s="943"/>
      <c r="I37" s="1158"/>
      <c r="J37" s="943"/>
      <c r="K37" s="1180"/>
      <c r="L37" s="943"/>
      <c r="M37" s="984"/>
      <c r="N37" s="943"/>
      <c r="O37" s="1180"/>
      <c r="P37" s="943"/>
      <c r="Q37" s="984"/>
      <c r="R37" s="943"/>
      <c r="S37" s="1180"/>
    </row>
    <row r="38" spans="1:19" x14ac:dyDescent="0.35">
      <c r="A38" s="1179"/>
      <c r="B38" s="1109" t="s">
        <v>882</v>
      </c>
      <c r="C38" s="1086"/>
      <c r="D38" s="682"/>
      <c r="E38" s="642"/>
      <c r="F38" s="642"/>
      <c r="G38" s="646"/>
      <c r="H38" s="943"/>
      <c r="I38" s="1158"/>
      <c r="J38" s="943"/>
      <c r="K38" s="1180"/>
      <c r="L38" s="943"/>
      <c r="M38" s="984"/>
      <c r="N38" s="943"/>
      <c r="O38" s="1180"/>
      <c r="P38" s="943"/>
      <c r="Q38" s="984"/>
      <c r="R38" s="943"/>
      <c r="S38" s="1180"/>
    </row>
    <row r="39" spans="1:19" x14ac:dyDescent="0.35">
      <c r="A39" s="1179"/>
      <c r="B39" s="1109" t="s">
        <v>883</v>
      </c>
      <c r="C39" s="1086"/>
      <c r="D39" s="682"/>
      <c r="E39" s="642"/>
      <c r="F39" s="642"/>
      <c r="G39" s="646"/>
      <c r="H39" s="943"/>
      <c r="I39" s="1158"/>
      <c r="J39" s="943"/>
      <c r="K39" s="1180"/>
      <c r="L39" s="943"/>
      <c r="M39" s="984"/>
      <c r="N39" s="943"/>
      <c r="O39" s="1180"/>
      <c r="P39" s="943"/>
      <c r="Q39" s="984"/>
      <c r="R39" s="943"/>
      <c r="S39" s="1180"/>
    </row>
    <row r="40" spans="1:19" x14ac:dyDescent="0.35">
      <c r="A40" s="1179"/>
      <c r="B40" s="1109" t="s">
        <v>884</v>
      </c>
      <c r="C40" s="1086"/>
      <c r="D40" s="682"/>
      <c r="E40" s="642"/>
      <c r="F40" s="642"/>
      <c r="G40" s="646"/>
      <c r="H40" s="943"/>
      <c r="I40" s="1158"/>
      <c r="J40" s="943"/>
      <c r="K40" s="1180"/>
      <c r="L40" s="943"/>
      <c r="M40" s="984"/>
      <c r="N40" s="943"/>
      <c r="O40" s="1180"/>
      <c r="P40" s="943"/>
      <c r="Q40" s="984"/>
      <c r="R40" s="943"/>
      <c r="S40" s="1180"/>
    </row>
    <row r="41" spans="1:19" x14ac:dyDescent="0.35">
      <c r="A41" s="1179"/>
      <c r="B41" s="1109" t="s">
        <v>885</v>
      </c>
      <c r="C41" s="1086"/>
      <c r="D41" s="682"/>
      <c r="E41" s="642"/>
      <c r="F41" s="642"/>
      <c r="G41" s="646"/>
      <c r="H41" s="943"/>
      <c r="I41" s="1158"/>
      <c r="J41" s="943"/>
      <c r="K41" s="1180"/>
      <c r="L41" s="943"/>
      <c r="M41" s="984"/>
      <c r="N41" s="943"/>
      <c r="O41" s="1180"/>
      <c r="P41" s="943"/>
      <c r="Q41" s="984"/>
      <c r="R41" s="943"/>
      <c r="S41" s="1180"/>
    </row>
    <row r="42" spans="1:19" x14ac:dyDescent="0.35">
      <c r="A42" s="1179"/>
      <c r="B42" s="1109" t="s">
        <v>886</v>
      </c>
      <c r="C42" s="1086"/>
      <c r="D42" s="682"/>
      <c r="E42" s="642"/>
      <c r="F42" s="642"/>
      <c r="G42" s="646"/>
      <c r="H42" s="943" t="s">
        <v>669</v>
      </c>
      <c r="I42" s="1158"/>
      <c r="J42" s="943"/>
      <c r="K42" s="1180"/>
      <c r="L42" s="943"/>
      <c r="M42" s="984"/>
      <c r="N42" s="943"/>
      <c r="O42" s="1180"/>
      <c r="P42" s="943"/>
      <c r="Q42" s="984"/>
      <c r="R42" s="943"/>
      <c r="S42" s="1180"/>
    </row>
    <row r="43" spans="1:19" x14ac:dyDescent="0.35">
      <c r="A43" s="1179"/>
      <c r="B43" s="1109"/>
      <c r="C43" s="1086"/>
      <c r="D43" s="682"/>
      <c r="E43" s="642"/>
      <c r="F43" s="642"/>
      <c r="G43" s="646"/>
      <c r="H43" s="943"/>
      <c r="I43" s="1158"/>
      <c r="J43" s="943"/>
      <c r="K43" s="1180"/>
      <c r="L43" s="943"/>
      <c r="M43" s="984"/>
      <c r="N43" s="943"/>
      <c r="O43" s="1180"/>
      <c r="P43" s="943"/>
      <c r="Q43" s="984"/>
      <c r="R43" s="943"/>
      <c r="S43" s="1180"/>
    </row>
    <row r="44" spans="1:19" x14ac:dyDescent="0.35">
      <c r="A44" s="1179"/>
      <c r="B44" s="1151" t="s">
        <v>887</v>
      </c>
      <c r="C44" s="1086"/>
      <c r="D44" s="682"/>
      <c r="E44" s="642"/>
      <c r="F44" s="642"/>
      <c r="G44" s="646"/>
      <c r="H44" s="943"/>
      <c r="I44" s="1158"/>
      <c r="J44" s="943"/>
      <c r="K44" s="1180"/>
      <c r="L44" s="943"/>
      <c r="M44" s="984"/>
      <c r="N44" s="943"/>
      <c r="O44" s="1180"/>
      <c r="P44" s="943"/>
      <c r="Q44" s="984"/>
      <c r="R44" s="943"/>
      <c r="S44" s="1180"/>
    </row>
    <row r="45" spans="1:19" x14ac:dyDescent="0.35">
      <c r="A45" s="1179"/>
      <c r="B45" s="1109" t="s">
        <v>888</v>
      </c>
      <c r="C45" s="1086"/>
      <c r="D45" s="682"/>
      <c r="E45" s="642"/>
      <c r="F45" s="642"/>
      <c r="G45" s="646"/>
      <c r="H45" s="943"/>
      <c r="I45" s="1158"/>
      <c r="J45" s="943"/>
      <c r="K45" s="1180"/>
      <c r="L45" s="943"/>
      <c r="M45" s="984"/>
      <c r="N45" s="943"/>
      <c r="O45" s="1180"/>
      <c r="P45" s="943"/>
      <c r="Q45" s="984"/>
      <c r="R45" s="943"/>
      <c r="S45" s="1180"/>
    </row>
    <row r="46" spans="1:19" x14ac:dyDescent="0.35">
      <c r="A46" s="1179"/>
      <c r="B46" s="1109" t="s">
        <v>889</v>
      </c>
      <c r="C46" s="1086"/>
      <c r="D46" s="682"/>
      <c r="E46" s="642"/>
      <c r="F46" s="642"/>
      <c r="G46" s="646"/>
      <c r="H46" s="943"/>
      <c r="I46" s="1158"/>
      <c r="J46" s="943"/>
      <c r="K46" s="1180"/>
      <c r="L46" s="943"/>
      <c r="M46" s="984"/>
      <c r="N46" s="943"/>
      <c r="O46" s="1180"/>
      <c r="P46" s="943"/>
      <c r="Q46" s="984"/>
      <c r="R46" s="943"/>
      <c r="S46" s="1180"/>
    </row>
    <row r="47" spans="1:19" x14ac:dyDescent="0.35">
      <c r="A47" s="1179"/>
      <c r="B47" s="1109" t="s">
        <v>890</v>
      </c>
      <c r="C47" s="1086"/>
      <c r="D47" s="682"/>
      <c r="E47" s="642"/>
      <c r="F47" s="642"/>
      <c r="G47" s="646"/>
      <c r="H47" s="943"/>
      <c r="I47" s="1158"/>
      <c r="J47" s="943"/>
      <c r="K47" s="1180"/>
      <c r="L47" s="943"/>
      <c r="M47" s="984"/>
      <c r="N47" s="943"/>
      <c r="O47" s="1180"/>
      <c r="P47" s="943"/>
      <c r="Q47" s="984"/>
      <c r="R47" s="943"/>
      <c r="S47" s="1180"/>
    </row>
    <row r="48" spans="1:19" x14ac:dyDescent="0.35">
      <c r="A48" s="1179"/>
      <c r="B48" s="1109" t="s">
        <v>891</v>
      </c>
      <c r="C48" s="1086"/>
      <c r="D48" s="682"/>
      <c r="E48" s="642"/>
      <c r="F48" s="642"/>
      <c r="G48" s="646"/>
      <c r="H48" s="943"/>
      <c r="I48" s="1158"/>
      <c r="J48" s="943"/>
      <c r="K48" s="1180"/>
      <c r="L48" s="943"/>
      <c r="M48" s="984"/>
      <c r="N48" s="943"/>
      <c r="O48" s="1180"/>
      <c r="P48" s="943"/>
      <c r="Q48" s="984"/>
      <c r="R48" s="943"/>
      <c r="S48" s="1180"/>
    </row>
    <row r="49" spans="1:19" x14ac:dyDescent="0.35">
      <c r="A49" s="1179"/>
      <c r="B49" s="1109" t="s">
        <v>892</v>
      </c>
      <c r="C49" s="1086"/>
      <c r="D49" s="682"/>
      <c r="E49" s="642"/>
      <c r="F49" s="642"/>
      <c r="G49" s="646"/>
      <c r="H49" s="943"/>
      <c r="I49" s="1158"/>
      <c r="J49" s="943"/>
      <c r="K49" s="1180"/>
      <c r="L49" s="943"/>
      <c r="M49" s="984"/>
      <c r="N49" s="943"/>
      <c r="O49" s="1180"/>
      <c r="P49" s="943"/>
      <c r="Q49" s="984"/>
      <c r="R49" s="943"/>
      <c r="S49" s="1180"/>
    </row>
    <row r="50" spans="1:19" x14ac:dyDescent="0.35">
      <c r="A50" s="1179"/>
      <c r="B50" s="1109" t="s">
        <v>893</v>
      </c>
      <c r="C50" s="1086"/>
      <c r="D50" s="682"/>
      <c r="E50" s="642"/>
      <c r="F50" s="642"/>
      <c r="G50" s="646"/>
      <c r="H50" s="943"/>
      <c r="I50" s="1158"/>
      <c r="J50" s="943"/>
      <c r="K50" s="1180"/>
      <c r="L50" s="943"/>
      <c r="M50" s="984"/>
      <c r="N50" s="943"/>
      <c r="O50" s="1180"/>
      <c r="P50" s="943"/>
      <c r="Q50" s="984"/>
      <c r="R50" s="943"/>
      <c r="S50" s="1180"/>
    </row>
    <row r="51" spans="1:19" x14ac:dyDescent="0.35">
      <c r="A51" s="1179"/>
      <c r="B51" s="1109" t="s">
        <v>894</v>
      </c>
      <c r="C51" s="1086"/>
      <c r="D51" s="682"/>
      <c r="E51" s="642"/>
      <c r="F51" s="642"/>
      <c r="G51" s="646"/>
      <c r="H51" s="943"/>
      <c r="I51" s="1158"/>
      <c r="J51" s="943"/>
      <c r="K51" s="1180"/>
      <c r="L51" s="943"/>
      <c r="M51" s="984"/>
      <c r="N51" s="943"/>
      <c r="O51" s="1180"/>
      <c r="P51" s="943"/>
      <c r="Q51" s="984"/>
      <c r="R51" s="943"/>
      <c r="S51" s="1180"/>
    </row>
    <row r="52" spans="1:19" x14ac:dyDescent="0.35">
      <c r="A52" s="1179"/>
      <c r="B52" s="1109" t="s">
        <v>895</v>
      </c>
      <c r="C52" s="1086"/>
      <c r="D52" s="682"/>
      <c r="E52" s="642"/>
      <c r="F52" s="642"/>
      <c r="G52" s="646"/>
      <c r="H52" s="943"/>
      <c r="I52" s="1158"/>
      <c r="J52" s="943"/>
      <c r="K52" s="1180"/>
      <c r="L52" s="943"/>
      <c r="M52" s="984"/>
      <c r="N52" s="943"/>
      <c r="O52" s="1180"/>
      <c r="P52" s="943"/>
      <c r="Q52" s="984"/>
      <c r="R52" s="943"/>
      <c r="S52" s="1180"/>
    </row>
    <row r="53" spans="1:19" x14ac:dyDescent="0.35">
      <c r="A53" s="1179"/>
      <c r="B53" s="1109" t="s">
        <v>896</v>
      </c>
      <c r="C53" s="1086"/>
      <c r="D53" s="682"/>
      <c r="E53" s="642"/>
      <c r="F53" s="642"/>
      <c r="G53" s="646"/>
      <c r="H53" s="943"/>
      <c r="I53" s="1158"/>
      <c r="J53" s="943"/>
      <c r="K53" s="1180"/>
      <c r="L53" s="943"/>
      <c r="M53" s="984"/>
      <c r="N53" s="943"/>
      <c r="O53" s="1180"/>
      <c r="P53" s="943"/>
      <c r="Q53" s="984"/>
      <c r="R53" s="943"/>
      <c r="S53" s="1180"/>
    </row>
    <row r="54" spans="1:19" x14ac:dyDescent="0.35">
      <c r="A54" s="1179"/>
      <c r="B54" s="1109" t="s">
        <v>897</v>
      </c>
      <c r="C54" s="1086"/>
      <c r="D54" s="682"/>
      <c r="E54" s="642"/>
      <c r="F54" s="642"/>
      <c r="G54" s="646"/>
      <c r="H54" s="943"/>
      <c r="I54" s="1158"/>
      <c r="J54" s="943"/>
      <c r="K54" s="1180"/>
      <c r="L54" s="943"/>
      <c r="M54" s="984"/>
      <c r="N54" s="943"/>
      <c r="O54" s="1180"/>
      <c r="P54" s="943"/>
      <c r="Q54" s="984"/>
      <c r="R54" s="943"/>
      <c r="S54" s="1180"/>
    </row>
    <row r="55" spans="1:19" x14ac:dyDescent="0.35">
      <c r="A55" s="1179"/>
      <c r="B55" s="1109" t="s">
        <v>898</v>
      </c>
      <c r="C55" s="1086"/>
      <c r="D55" s="682"/>
      <c r="E55" s="642"/>
      <c r="F55" s="642"/>
      <c r="G55" s="646"/>
      <c r="H55" s="943"/>
      <c r="I55" s="1158"/>
      <c r="J55" s="943"/>
      <c r="K55" s="1180"/>
      <c r="L55" s="943"/>
      <c r="M55" s="984"/>
      <c r="N55" s="943"/>
      <c r="O55" s="1180"/>
      <c r="P55" s="943"/>
      <c r="Q55" s="984"/>
      <c r="R55" s="943"/>
      <c r="S55" s="1180"/>
    </row>
    <row r="56" spans="1:19" x14ac:dyDescent="0.35">
      <c r="A56" s="1179"/>
      <c r="B56" s="1109"/>
      <c r="C56" s="1086"/>
      <c r="D56" s="682"/>
      <c r="E56" s="642"/>
      <c r="F56" s="642"/>
      <c r="G56" s="646"/>
      <c r="H56" s="943"/>
      <c r="I56" s="1158"/>
      <c r="J56" s="943"/>
      <c r="K56" s="1180"/>
      <c r="L56" s="943"/>
      <c r="M56" s="984"/>
      <c r="N56" s="943"/>
      <c r="O56" s="1180"/>
      <c r="P56" s="943"/>
      <c r="Q56" s="984"/>
      <c r="R56" s="943"/>
      <c r="S56" s="1180"/>
    </row>
    <row r="57" spans="1:19" x14ac:dyDescent="0.35">
      <c r="A57" s="1179"/>
      <c r="B57" s="1151" t="s">
        <v>899</v>
      </c>
      <c r="C57" s="1086"/>
      <c r="D57" s="682"/>
      <c r="E57" s="642"/>
      <c r="F57" s="642"/>
      <c r="G57" s="646"/>
      <c r="H57" s="943"/>
      <c r="I57" s="1180"/>
      <c r="J57" s="943"/>
      <c r="K57" s="1180"/>
      <c r="L57" s="943"/>
      <c r="M57" s="984"/>
      <c r="N57" s="943"/>
      <c r="O57" s="1180"/>
      <c r="P57" s="943"/>
      <c r="Q57" s="984"/>
      <c r="R57" s="943"/>
      <c r="S57" s="1180"/>
    </row>
    <row r="58" spans="1:19" x14ac:dyDescent="0.35">
      <c r="A58" s="1179"/>
      <c r="B58" s="1109" t="s">
        <v>900</v>
      </c>
      <c r="C58" s="1086"/>
      <c r="D58" s="682"/>
      <c r="E58" s="642"/>
      <c r="F58" s="642"/>
      <c r="G58" s="646"/>
      <c r="H58" s="943"/>
      <c r="I58" s="1180"/>
      <c r="J58" s="943"/>
      <c r="K58" s="1180"/>
      <c r="L58" s="943"/>
      <c r="M58" s="984"/>
      <c r="N58" s="943"/>
      <c r="O58" s="1180"/>
      <c r="P58" s="943"/>
      <c r="Q58" s="984"/>
      <c r="R58" s="943"/>
      <c r="S58" s="1180"/>
    </row>
    <row r="59" spans="1:19" x14ac:dyDescent="0.35">
      <c r="A59" s="1179"/>
      <c r="B59" s="1109" t="s">
        <v>901</v>
      </c>
      <c r="C59" s="1086"/>
      <c r="D59" s="682"/>
      <c r="E59" s="642"/>
      <c r="F59" s="642"/>
      <c r="G59" s="646"/>
      <c r="H59" s="943"/>
      <c r="I59" s="1180"/>
      <c r="J59" s="943"/>
      <c r="K59" s="1180"/>
      <c r="L59" s="943"/>
      <c r="M59" s="984"/>
      <c r="N59" s="943"/>
      <c r="O59" s="1180"/>
      <c r="P59" s="943"/>
      <c r="Q59" s="984"/>
      <c r="R59" s="943"/>
      <c r="S59" s="1180"/>
    </row>
    <row r="60" spans="1:19" x14ac:dyDescent="0.35">
      <c r="A60" s="1179"/>
      <c r="B60" s="1109" t="s">
        <v>902</v>
      </c>
      <c r="C60" s="1086"/>
      <c r="D60" s="682"/>
      <c r="E60" s="642"/>
      <c r="F60" s="642"/>
      <c r="G60" s="646"/>
      <c r="H60" s="943"/>
      <c r="I60" s="1180"/>
      <c r="J60" s="943"/>
      <c r="K60" s="1180"/>
      <c r="L60" s="943"/>
      <c r="M60" s="984"/>
      <c r="N60" s="943"/>
      <c r="O60" s="1180"/>
      <c r="P60" s="943"/>
      <c r="Q60" s="984"/>
      <c r="R60" s="943"/>
      <c r="S60" s="1180"/>
    </row>
    <row r="61" spans="1:19" x14ac:dyDescent="0.35">
      <c r="A61" s="1179"/>
      <c r="B61" s="1109" t="s">
        <v>903</v>
      </c>
      <c r="C61" s="1086"/>
      <c r="D61" s="682"/>
      <c r="E61" s="642"/>
      <c r="F61" s="642"/>
      <c r="G61" s="646"/>
      <c r="H61" s="943"/>
      <c r="I61" s="1180"/>
      <c r="J61" s="943"/>
      <c r="K61" s="1180"/>
      <c r="L61" s="943"/>
      <c r="M61" s="984"/>
      <c r="N61" s="943"/>
      <c r="O61" s="1180"/>
      <c r="P61" s="943"/>
      <c r="Q61" s="984"/>
      <c r="R61" s="943"/>
      <c r="S61" s="1180"/>
    </row>
    <row r="62" spans="1:19" x14ac:dyDescent="0.35">
      <c r="A62" s="1179"/>
      <c r="B62" s="1109" t="s">
        <v>904</v>
      </c>
      <c r="C62" s="1086"/>
      <c r="D62" s="682"/>
      <c r="E62" s="642"/>
      <c r="F62" s="642"/>
      <c r="G62" s="646"/>
      <c r="H62" s="943"/>
      <c r="I62" s="1180"/>
      <c r="J62" s="943"/>
      <c r="K62" s="1180"/>
      <c r="L62" s="943"/>
      <c r="M62" s="984"/>
      <c r="N62" s="943"/>
      <c r="O62" s="1180"/>
      <c r="P62" s="943"/>
      <c r="Q62" s="984"/>
      <c r="R62" s="943"/>
      <c r="S62" s="1180"/>
    </row>
    <row r="63" spans="1:19" x14ac:dyDescent="0.35">
      <c r="A63" s="1179"/>
      <c r="B63" s="1109" t="s">
        <v>905</v>
      </c>
      <c r="C63" s="1086"/>
      <c r="D63" s="682"/>
      <c r="E63" s="642"/>
      <c r="F63" s="642"/>
      <c r="G63" s="646"/>
      <c r="H63" s="943"/>
      <c r="I63" s="1180"/>
      <c r="J63" s="943"/>
      <c r="K63" s="1180"/>
      <c r="L63" s="943"/>
      <c r="M63" s="984"/>
      <c r="N63" s="943"/>
      <c r="O63" s="1180"/>
      <c r="P63" s="943"/>
      <c r="Q63" s="984"/>
      <c r="R63" s="943"/>
      <c r="S63" s="1180"/>
    </row>
    <row r="64" spans="1:19" x14ac:dyDescent="0.35">
      <c r="A64" s="1179"/>
      <c r="B64" s="1109" t="s">
        <v>906</v>
      </c>
      <c r="C64" s="1086"/>
      <c r="D64" s="682"/>
      <c r="E64" s="642"/>
      <c r="F64" s="642"/>
      <c r="G64" s="646"/>
      <c r="H64" s="943"/>
      <c r="I64" s="1180"/>
      <c r="J64" s="943"/>
      <c r="K64" s="1180"/>
      <c r="L64" s="943"/>
      <c r="M64" s="984"/>
      <c r="N64" s="943"/>
      <c r="O64" s="1180"/>
      <c r="P64" s="943"/>
      <c r="Q64" s="984"/>
      <c r="R64" s="943"/>
      <c r="S64" s="1180"/>
    </row>
    <row r="65" spans="1:19" x14ac:dyDescent="0.35">
      <c r="A65" s="1179"/>
      <c r="B65" s="1109" t="s">
        <v>907</v>
      </c>
      <c r="C65" s="1086"/>
      <c r="D65" s="682"/>
      <c r="E65" s="642"/>
      <c r="F65" s="642"/>
      <c r="G65" s="646"/>
      <c r="H65" s="943"/>
      <c r="I65" s="1180"/>
      <c r="J65" s="943"/>
      <c r="K65" s="1180"/>
      <c r="L65" s="943"/>
      <c r="M65" s="984"/>
      <c r="N65" s="943"/>
      <c r="O65" s="1180"/>
      <c r="P65" s="943"/>
      <c r="Q65" s="984"/>
      <c r="R65" s="943"/>
      <c r="S65" s="1180"/>
    </row>
    <row r="66" spans="1:19" x14ac:dyDescent="0.35">
      <c r="A66" s="1179"/>
      <c r="B66" s="1109" t="s">
        <v>908</v>
      </c>
      <c r="C66" s="1086"/>
      <c r="D66" s="682"/>
      <c r="E66" s="642"/>
      <c r="F66" s="642"/>
      <c r="G66" s="646"/>
      <c r="H66" s="943"/>
      <c r="I66" s="1180"/>
      <c r="J66" s="943"/>
      <c r="K66" s="1180"/>
      <c r="L66" s="943"/>
      <c r="M66" s="984"/>
      <c r="N66" s="943"/>
      <c r="O66" s="1180"/>
      <c r="P66" s="943"/>
      <c r="Q66" s="984"/>
      <c r="R66" s="943"/>
      <c r="S66" s="1180"/>
    </row>
    <row r="67" spans="1:19" x14ac:dyDescent="0.35">
      <c r="A67" s="1179"/>
      <c r="B67" s="1109" t="s">
        <v>909</v>
      </c>
      <c r="C67" s="1086"/>
      <c r="D67" s="682"/>
      <c r="E67" s="642"/>
      <c r="F67" s="642"/>
      <c r="G67" s="646"/>
      <c r="H67" s="943"/>
      <c r="I67" s="1180"/>
      <c r="J67" s="943"/>
      <c r="K67" s="1180"/>
      <c r="L67" s="943"/>
      <c r="M67" s="984"/>
      <c r="N67" s="943"/>
      <c r="O67" s="1180"/>
      <c r="P67" s="943"/>
      <c r="Q67" s="984"/>
      <c r="R67" s="943"/>
      <c r="S67" s="1180"/>
    </row>
    <row r="68" spans="1:19" x14ac:dyDescent="0.35">
      <c r="A68" s="1179"/>
      <c r="B68" s="1109" t="s">
        <v>910</v>
      </c>
      <c r="C68" s="1086"/>
      <c r="D68" s="682"/>
      <c r="E68" s="642"/>
      <c r="F68" s="642"/>
      <c r="G68" s="646"/>
      <c r="H68" s="943"/>
      <c r="I68" s="1180"/>
      <c r="J68" s="943"/>
      <c r="K68" s="1180"/>
      <c r="L68" s="943"/>
      <c r="M68" s="984"/>
      <c r="N68" s="943"/>
      <c r="O68" s="1180"/>
      <c r="P68" s="943"/>
      <c r="Q68" s="984"/>
      <c r="R68" s="943"/>
      <c r="S68" s="1180"/>
    </row>
    <row r="69" spans="1:19" x14ac:dyDescent="0.35">
      <c r="A69" s="1179"/>
      <c r="B69" s="1109" t="s">
        <v>911</v>
      </c>
      <c r="C69" s="1086"/>
      <c r="D69" s="682"/>
      <c r="E69" s="642"/>
      <c r="F69" s="642"/>
      <c r="G69" s="646"/>
      <c r="H69" s="943"/>
      <c r="I69" s="1180"/>
      <c r="J69" s="943"/>
      <c r="K69" s="1180"/>
      <c r="L69" s="943"/>
      <c r="M69" s="984"/>
      <c r="N69" s="943"/>
      <c r="O69" s="1180"/>
      <c r="P69" s="943"/>
      <c r="Q69" s="984"/>
      <c r="R69" s="943"/>
      <c r="S69" s="1180"/>
    </row>
    <row r="70" spans="1:19" x14ac:dyDescent="0.35">
      <c r="A70" s="1179"/>
      <c r="B70" s="1109" t="s">
        <v>912</v>
      </c>
      <c r="C70" s="1086"/>
      <c r="D70" s="682"/>
      <c r="E70" s="642"/>
      <c r="F70" s="642"/>
      <c r="G70" s="646"/>
      <c r="H70" s="943"/>
      <c r="I70" s="1180"/>
      <c r="J70" s="943"/>
      <c r="K70" s="1180"/>
      <c r="L70" s="943"/>
      <c r="M70" s="984"/>
      <c r="N70" s="943"/>
      <c r="O70" s="1180"/>
      <c r="P70" s="943"/>
      <c r="Q70" s="984"/>
      <c r="R70" s="943"/>
      <c r="S70" s="1180"/>
    </row>
    <row r="71" spans="1:19" x14ac:dyDescent="0.35">
      <c r="A71" s="1179"/>
      <c r="B71" s="1109" t="s">
        <v>913</v>
      </c>
      <c r="C71" s="1086"/>
      <c r="D71" s="682"/>
      <c r="E71" s="642"/>
      <c r="F71" s="642"/>
      <c r="G71" s="646"/>
      <c r="H71" s="943"/>
      <c r="I71" s="1180"/>
      <c r="J71" s="943"/>
      <c r="K71" s="1180"/>
      <c r="L71" s="943"/>
      <c r="M71" s="984"/>
      <c r="N71" s="943"/>
      <c r="O71" s="1180"/>
      <c r="P71" s="943"/>
      <c r="Q71" s="984"/>
      <c r="R71" s="943"/>
      <c r="S71" s="1180"/>
    </row>
    <row r="72" spans="1:19" x14ac:dyDescent="0.35">
      <c r="A72" s="1179"/>
      <c r="B72" s="1109" t="s">
        <v>914</v>
      </c>
      <c r="C72" s="1086"/>
      <c r="D72" s="682"/>
      <c r="E72" s="642"/>
      <c r="F72" s="642"/>
      <c r="G72" s="646"/>
      <c r="H72" s="943"/>
      <c r="I72" s="1180"/>
      <c r="J72" s="943"/>
      <c r="K72" s="1180"/>
      <c r="L72" s="943"/>
      <c r="M72" s="984"/>
      <c r="N72" s="943"/>
      <c r="O72" s="1180"/>
      <c r="P72" s="943"/>
      <c r="Q72" s="984"/>
      <c r="R72" s="943"/>
      <c r="S72" s="1180"/>
    </row>
    <row r="73" spans="1:19" x14ac:dyDescent="0.35">
      <c r="A73" s="1179"/>
      <c r="B73" s="1109" t="s">
        <v>915</v>
      </c>
      <c r="C73" s="1086"/>
      <c r="D73" s="682"/>
      <c r="E73" s="642"/>
      <c r="F73" s="642"/>
      <c r="G73" s="646"/>
      <c r="H73" s="943"/>
      <c r="I73" s="1180"/>
      <c r="J73" s="943"/>
      <c r="K73" s="1180"/>
      <c r="L73" s="943"/>
      <c r="M73" s="984"/>
      <c r="N73" s="943"/>
      <c r="O73" s="1180"/>
      <c r="P73" s="943"/>
      <c r="Q73" s="984"/>
      <c r="R73" s="943"/>
      <c r="S73" s="1180"/>
    </row>
    <row r="74" spans="1:19" x14ac:dyDescent="0.35">
      <c r="A74" s="1179"/>
      <c r="B74" s="1109" t="s">
        <v>916</v>
      </c>
      <c r="C74" s="1086"/>
      <c r="D74" s="682"/>
      <c r="E74" s="642"/>
      <c r="F74" s="642"/>
      <c r="G74" s="646"/>
      <c r="H74" s="943"/>
      <c r="I74" s="1180"/>
      <c r="J74" s="943"/>
      <c r="K74" s="1180"/>
      <c r="L74" s="943"/>
      <c r="M74" s="984"/>
      <c r="N74" s="943"/>
      <c r="O74" s="1180"/>
      <c r="P74" s="943"/>
      <c r="Q74" s="984"/>
      <c r="R74" s="943"/>
      <c r="S74" s="1180"/>
    </row>
    <row r="75" spans="1:19" x14ac:dyDescent="0.35">
      <c r="A75" s="1179"/>
      <c r="B75" s="1109" t="s">
        <v>917</v>
      </c>
      <c r="C75" s="1086"/>
      <c r="D75" s="682"/>
      <c r="E75" s="642"/>
      <c r="F75" s="642"/>
      <c r="G75" s="646"/>
      <c r="H75" s="943"/>
      <c r="I75" s="1180"/>
      <c r="J75" s="943"/>
      <c r="K75" s="1180"/>
      <c r="L75" s="943"/>
      <c r="M75" s="1180"/>
      <c r="N75" s="943"/>
      <c r="O75" s="1180"/>
      <c r="P75" s="943"/>
      <c r="Q75" s="1180"/>
      <c r="R75" s="943"/>
      <c r="S75" s="1180"/>
    </row>
    <row r="76" spans="1:19" x14ac:dyDescent="0.35">
      <c r="A76" s="1179"/>
      <c r="B76" s="1109" t="s">
        <v>918</v>
      </c>
      <c r="C76" s="1086"/>
      <c r="D76" s="682"/>
      <c r="E76" s="642"/>
      <c r="F76" s="642"/>
      <c r="G76" s="646"/>
      <c r="H76" s="943"/>
      <c r="I76" s="1180"/>
      <c r="J76" s="943"/>
      <c r="K76" s="1180"/>
      <c r="L76" s="943"/>
      <c r="M76" s="1180"/>
      <c r="N76" s="943"/>
      <c r="O76" s="1180"/>
      <c r="P76" s="943"/>
      <c r="Q76" s="1180"/>
      <c r="R76" s="943"/>
      <c r="S76" s="1180"/>
    </row>
    <row r="77" spans="1:19" x14ac:dyDescent="0.35">
      <c r="A77" s="1179"/>
      <c r="B77" s="1109" t="s">
        <v>919</v>
      </c>
      <c r="C77" s="1086"/>
      <c r="D77" s="682"/>
      <c r="E77" s="642"/>
      <c r="F77" s="642"/>
      <c r="G77" s="646"/>
      <c r="H77" s="943"/>
      <c r="I77" s="1180"/>
      <c r="J77" s="943"/>
      <c r="K77" s="1180"/>
      <c r="L77" s="943"/>
      <c r="M77" s="1180"/>
      <c r="N77" s="943"/>
      <c r="O77" s="1180"/>
      <c r="P77" s="943"/>
      <c r="Q77" s="1180"/>
      <c r="R77" s="943"/>
      <c r="S77" s="1180"/>
    </row>
    <row r="78" spans="1:19" x14ac:dyDescent="0.35">
      <c r="A78" s="1179"/>
      <c r="B78" s="1109" t="s">
        <v>920</v>
      </c>
      <c r="C78" s="1086"/>
      <c r="D78" s="682"/>
      <c r="E78" s="642"/>
      <c r="F78" s="642"/>
      <c r="G78" s="646"/>
      <c r="H78" s="943"/>
      <c r="I78" s="1180"/>
      <c r="J78" s="943"/>
      <c r="K78" s="1180"/>
      <c r="L78" s="943"/>
      <c r="M78" s="1180"/>
      <c r="N78" s="943"/>
      <c r="O78" s="1180"/>
      <c r="P78" s="943"/>
      <c r="Q78" s="1180"/>
      <c r="R78" s="943"/>
      <c r="S78" s="1180"/>
    </row>
    <row r="79" spans="1:19" x14ac:dyDescent="0.35">
      <c r="A79" s="1179"/>
      <c r="B79" s="1109" t="s">
        <v>921</v>
      </c>
      <c r="C79" s="1086"/>
      <c r="D79" s="682"/>
      <c r="E79" s="642"/>
      <c r="F79" s="642"/>
      <c r="G79" s="646"/>
      <c r="H79" s="943"/>
      <c r="I79" s="1180"/>
      <c r="J79" s="943"/>
      <c r="K79" s="1180"/>
      <c r="L79" s="943"/>
      <c r="M79" s="1180"/>
      <c r="N79" s="943"/>
      <c r="O79" s="1180"/>
      <c r="P79" s="943"/>
      <c r="Q79" s="1180"/>
      <c r="R79" s="943"/>
      <c r="S79" s="1180"/>
    </row>
    <row r="80" spans="1:19" x14ac:dyDescent="0.35">
      <c r="A80" s="1179"/>
      <c r="B80" s="1109" t="s">
        <v>922</v>
      </c>
      <c r="C80" s="1086"/>
      <c r="D80" s="682"/>
      <c r="E80" s="642"/>
      <c r="F80" s="642"/>
      <c r="G80" s="646"/>
      <c r="H80" s="943"/>
      <c r="I80" s="1180"/>
      <c r="J80" s="943"/>
      <c r="K80" s="1180"/>
      <c r="L80" s="943"/>
      <c r="M80" s="1180"/>
      <c r="N80" s="943"/>
      <c r="O80" s="1180"/>
      <c r="P80" s="943"/>
      <c r="Q80" s="1180"/>
      <c r="R80" s="943"/>
      <c r="S80" s="1180"/>
    </row>
    <row r="81" spans="1:19" x14ac:dyDescent="0.35">
      <c r="A81" s="1179"/>
      <c r="B81" s="1109"/>
      <c r="C81" s="1086"/>
      <c r="D81" s="682"/>
      <c r="E81" s="642"/>
      <c r="F81" s="642"/>
      <c r="G81" s="646"/>
      <c r="H81" s="943"/>
      <c r="I81" s="1180"/>
      <c r="J81" s="943"/>
      <c r="K81" s="1180"/>
      <c r="L81" s="943"/>
      <c r="M81" s="1180"/>
      <c r="N81" s="943"/>
      <c r="O81" s="1180"/>
      <c r="P81" s="943"/>
      <c r="Q81" s="1180"/>
      <c r="R81" s="943"/>
      <c r="S81" s="1180"/>
    </row>
    <row r="82" spans="1:19" x14ac:dyDescent="0.35">
      <c r="A82" s="1179"/>
      <c r="B82" s="1109" t="s">
        <v>923</v>
      </c>
      <c r="C82" s="1086"/>
      <c r="D82" s="682"/>
      <c r="E82" s="642"/>
      <c r="F82" s="642"/>
      <c r="G82" s="646"/>
      <c r="H82" s="943"/>
      <c r="I82" s="1180"/>
      <c r="J82" s="943"/>
      <c r="K82" s="1180"/>
      <c r="L82" s="943"/>
      <c r="M82" s="1180"/>
      <c r="N82" s="943"/>
      <c r="O82" s="1180"/>
      <c r="P82" s="943"/>
      <c r="Q82" s="1180"/>
      <c r="R82" s="943"/>
      <c r="S82" s="1180"/>
    </row>
    <row r="83" spans="1:19" x14ac:dyDescent="0.35">
      <c r="A83" s="1179"/>
      <c r="B83" s="1109" t="s">
        <v>924</v>
      </c>
      <c r="C83" s="1086"/>
      <c r="D83" s="682"/>
      <c r="E83" s="642"/>
      <c r="F83" s="642"/>
      <c r="G83" s="646"/>
      <c r="H83" s="943"/>
      <c r="I83" s="1180"/>
      <c r="J83" s="943"/>
      <c r="K83" s="1180"/>
      <c r="L83" s="943"/>
      <c r="M83" s="1180"/>
      <c r="N83" s="943"/>
      <c r="O83" s="1180"/>
      <c r="P83" s="943"/>
      <c r="Q83" s="1180"/>
      <c r="R83" s="943"/>
      <c r="S83" s="1180"/>
    </row>
    <row r="84" spans="1:19" x14ac:dyDescent="0.35">
      <c r="A84" s="1179"/>
      <c r="B84" s="1109"/>
      <c r="C84" s="1086"/>
      <c r="D84" s="682"/>
      <c r="E84" s="642"/>
      <c r="F84" s="642"/>
      <c r="G84" s="646"/>
      <c r="H84" s="943"/>
      <c r="I84" s="1180"/>
      <c r="J84" s="943"/>
      <c r="K84" s="1180"/>
      <c r="L84" s="943"/>
      <c r="M84" s="1180"/>
      <c r="N84" s="943"/>
      <c r="O84" s="1180"/>
      <c r="P84" s="943"/>
      <c r="Q84" s="1180"/>
      <c r="R84" s="943"/>
      <c r="S84" s="1180"/>
    </row>
    <row r="85" spans="1:19" x14ac:dyDescent="0.35">
      <c r="A85" s="1179"/>
      <c r="B85" s="1109" t="s">
        <v>925</v>
      </c>
      <c r="C85" s="1086"/>
      <c r="D85" s="682"/>
      <c r="E85" s="642"/>
      <c r="F85" s="642"/>
      <c r="G85" s="646"/>
      <c r="H85" s="943"/>
      <c r="I85" s="1180"/>
      <c r="J85" s="943"/>
      <c r="K85" s="1180"/>
      <c r="L85" s="943"/>
      <c r="M85" s="1180"/>
      <c r="N85" s="943"/>
      <c r="O85" s="1180"/>
      <c r="P85" s="943"/>
      <c r="Q85" s="1180"/>
      <c r="R85" s="943"/>
      <c r="S85" s="1180"/>
    </row>
    <row r="86" spans="1:19" x14ac:dyDescent="0.35">
      <c r="A86" s="1179"/>
      <c r="B86" s="1102"/>
      <c r="C86" s="1086"/>
      <c r="D86" s="682"/>
      <c r="E86" s="642"/>
      <c r="F86" s="642"/>
      <c r="G86" s="646"/>
      <c r="H86" s="943"/>
      <c r="I86" s="1180"/>
      <c r="J86" s="943"/>
      <c r="K86" s="1180"/>
      <c r="L86" s="943"/>
      <c r="M86" s="1180"/>
      <c r="N86" s="943"/>
      <c r="O86" s="1180"/>
      <c r="P86" s="943"/>
      <c r="Q86" s="1180"/>
      <c r="R86" s="943"/>
      <c r="S86" s="1180"/>
    </row>
    <row r="87" spans="1:19" x14ac:dyDescent="0.35">
      <c r="A87" s="1179"/>
      <c r="B87" s="1102"/>
      <c r="C87" s="1086"/>
      <c r="D87" s="682"/>
      <c r="E87" s="642"/>
      <c r="F87" s="642"/>
      <c r="G87" s="646"/>
      <c r="H87" s="943"/>
      <c r="I87" s="1180"/>
      <c r="J87" s="943"/>
      <c r="K87" s="1180"/>
      <c r="L87" s="943"/>
      <c r="M87" s="1180"/>
      <c r="N87" s="943"/>
      <c r="O87" s="1180"/>
      <c r="P87" s="943"/>
      <c r="Q87" s="1180"/>
      <c r="R87" s="943"/>
      <c r="S87" s="1180"/>
    </row>
    <row r="88" spans="1:19" x14ac:dyDescent="0.35">
      <c r="A88" s="1179"/>
      <c r="B88" s="1102"/>
      <c r="C88" s="1086"/>
      <c r="D88" s="682"/>
      <c r="E88" s="642"/>
      <c r="F88" s="642"/>
      <c r="G88" s="646"/>
      <c r="H88" s="943"/>
      <c r="I88" s="1180"/>
      <c r="J88" s="943"/>
      <c r="K88" s="1180"/>
      <c r="L88" s="943"/>
      <c r="M88" s="1180"/>
      <c r="N88" s="943"/>
      <c r="O88" s="1180"/>
      <c r="P88" s="943"/>
      <c r="Q88" s="1180"/>
      <c r="R88" s="943"/>
      <c r="S88" s="1180"/>
    </row>
    <row r="89" spans="1:19" x14ac:dyDescent="0.35">
      <c r="A89" s="1179"/>
      <c r="B89" s="1098"/>
      <c r="C89" s="1086"/>
      <c r="D89" s="682"/>
      <c r="E89" s="642"/>
      <c r="F89" s="642"/>
      <c r="G89" s="646"/>
      <c r="H89" s="943"/>
      <c r="I89" s="1180"/>
      <c r="J89" s="943"/>
      <c r="K89" s="1180"/>
      <c r="L89" s="943"/>
      <c r="M89" s="1180"/>
      <c r="N89" s="943"/>
      <c r="O89" s="1180"/>
      <c r="P89" s="943"/>
      <c r="Q89" s="1180"/>
      <c r="R89" s="943"/>
      <c r="S89" s="1180"/>
    </row>
    <row r="90" spans="1:19" x14ac:dyDescent="0.35">
      <c r="A90" s="1179"/>
      <c r="B90" s="1104"/>
      <c r="C90" s="642"/>
      <c r="D90" s="682"/>
      <c r="E90" s="642"/>
      <c r="F90" s="642"/>
      <c r="G90" s="646"/>
      <c r="H90" s="943"/>
      <c r="I90" s="1158"/>
      <c r="J90" s="943"/>
      <c r="K90" s="1158"/>
      <c r="L90" s="943"/>
      <c r="M90" s="1158"/>
      <c r="N90" s="943"/>
      <c r="O90" s="1180"/>
      <c r="P90" s="943"/>
      <c r="Q90" s="1158"/>
      <c r="R90" s="943"/>
      <c r="S90" s="1180"/>
    </row>
    <row r="91" spans="1:19" x14ac:dyDescent="0.35">
      <c r="A91" s="1179"/>
      <c r="B91" s="1104"/>
      <c r="C91" s="1039"/>
      <c r="D91" s="940"/>
      <c r="E91" s="940"/>
      <c r="F91" s="940"/>
      <c r="G91" s="1039"/>
      <c r="H91" s="943"/>
      <c r="I91" s="1158"/>
      <c r="J91" s="943"/>
      <c r="K91" s="1158"/>
      <c r="L91" s="943"/>
      <c r="M91" s="1158"/>
      <c r="N91" s="943"/>
      <c r="O91" s="1158"/>
      <c r="P91" s="943"/>
      <c r="Q91" s="1158"/>
      <c r="R91" s="943"/>
      <c r="S91" s="1158"/>
    </row>
    <row r="92" spans="1:19" x14ac:dyDescent="0.35">
      <c r="A92" s="14"/>
      <c r="B92" s="15"/>
      <c r="C92" s="16"/>
      <c r="D92" s="16"/>
      <c r="E92" s="17"/>
      <c r="F92" s="18" t="s">
        <v>715</v>
      </c>
      <c r="G92" s="19"/>
      <c r="H92" s="20"/>
      <c r="I92" s="50">
        <f>SUM(I24:I91)</f>
        <v>0</v>
      </c>
      <c r="J92" s="20"/>
      <c r="K92" s="50">
        <f>SUM(K24:K91)</f>
        <v>0</v>
      </c>
      <c r="L92" s="20"/>
      <c r="M92" s="50">
        <f>SUM(M24:M91)</f>
        <v>0</v>
      </c>
      <c r="N92" s="20"/>
      <c r="O92" s="50">
        <f>SUM(O24:O91)</f>
        <v>0</v>
      </c>
      <c r="P92" s="20"/>
      <c r="Q92" s="50">
        <f>SUM(Q24:Q91)</f>
        <v>0</v>
      </c>
      <c r="R92" s="20"/>
      <c r="S92" s="50">
        <f>SUM(S24:S91)</f>
        <v>0</v>
      </c>
    </row>
    <row r="93" spans="1:19" x14ac:dyDescent="0.35">
      <c r="A93" s="684"/>
      <c r="B93" s="655"/>
      <c r="C93" s="656"/>
      <c r="D93" s="656"/>
      <c r="E93" s="657"/>
      <c r="F93" s="658" t="s">
        <v>716</v>
      </c>
      <c r="G93" s="659"/>
      <c r="H93" s="959">
        <v>0</v>
      </c>
      <c r="I93" s="1121"/>
      <c r="J93" s="959">
        <v>0</v>
      </c>
      <c r="K93" s="1121"/>
      <c r="L93" s="1153">
        <v>0</v>
      </c>
      <c r="M93" s="1121"/>
      <c r="N93" s="959">
        <v>0</v>
      </c>
      <c r="O93" s="1121"/>
      <c r="P93" s="1153">
        <v>0</v>
      </c>
      <c r="Q93" s="1121"/>
      <c r="R93" s="959">
        <v>0</v>
      </c>
      <c r="S93" s="1121"/>
    </row>
    <row r="94" spans="1:19" x14ac:dyDescent="0.35">
      <c r="A94" s="684"/>
      <c r="B94" s="655"/>
      <c r="C94" s="656"/>
      <c r="D94" s="656"/>
      <c r="E94" s="657"/>
      <c r="F94" s="658" t="s">
        <v>717</v>
      </c>
      <c r="G94" s="659"/>
      <c r="H94" s="961"/>
      <c r="I94" s="1122">
        <f>H93*I92</f>
        <v>0</v>
      </c>
      <c r="J94" s="961"/>
      <c r="K94" s="1122">
        <f>J93*K92</f>
        <v>0</v>
      </c>
      <c r="L94" s="961"/>
      <c r="M94" s="1122">
        <f>L93*M92</f>
        <v>0</v>
      </c>
      <c r="N94" s="961"/>
      <c r="O94" s="1122">
        <f>N93*O92</f>
        <v>0</v>
      </c>
      <c r="P94" s="961"/>
      <c r="Q94" s="1122">
        <f>P93*Q92</f>
        <v>0</v>
      </c>
      <c r="R94" s="961"/>
      <c r="S94" s="1122">
        <f>R93*S92</f>
        <v>0</v>
      </c>
    </row>
    <row r="95" spans="1:19" x14ac:dyDescent="0.35">
      <c r="A95" s="684"/>
      <c r="B95" s="655"/>
      <c r="C95" s="656"/>
      <c r="D95" s="656"/>
      <c r="E95" s="657"/>
      <c r="F95" s="658"/>
      <c r="G95" s="659"/>
      <c r="H95" s="961"/>
      <c r="I95" s="963"/>
      <c r="J95" s="961"/>
      <c r="K95" s="963"/>
      <c r="L95" s="961"/>
      <c r="M95" s="963"/>
      <c r="N95" s="961"/>
      <c r="O95" s="963"/>
      <c r="P95" s="961"/>
      <c r="Q95" s="963"/>
      <c r="R95" s="961"/>
      <c r="S95" s="963"/>
    </row>
    <row r="96" spans="1:19" x14ac:dyDescent="0.35">
      <c r="A96" s="684"/>
      <c r="B96" s="655"/>
      <c r="C96" s="656"/>
      <c r="D96" s="656"/>
      <c r="E96" s="657"/>
      <c r="F96" s="658" t="s">
        <v>718</v>
      </c>
      <c r="G96" s="659"/>
      <c r="H96" s="964"/>
      <c r="I96" s="962">
        <f>SUM(I92:I94)</f>
        <v>0</v>
      </c>
      <c r="J96" s="964"/>
      <c r="K96" s="962">
        <f>SUM(K92:K94)</f>
        <v>0</v>
      </c>
      <c r="L96" s="964"/>
      <c r="M96" s="962">
        <f>SUM(M92:M94)</f>
        <v>0</v>
      </c>
      <c r="N96" s="964"/>
      <c r="O96" s="962">
        <f>SUM(O92:O94)</f>
        <v>0</v>
      </c>
      <c r="P96" s="964"/>
      <c r="Q96" s="962">
        <f>SUM(Q92:Q94)</f>
        <v>0</v>
      </c>
      <c r="R96" s="964"/>
      <c r="S96" s="962">
        <f>SUM(S92:S94)</f>
        <v>0</v>
      </c>
    </row>
    <row r="97" spans="1:19" x14ac:dyDescent="0.35">
      <c r="A97" s="684"/>
      <c r="B97" s="655"/>
      <c r="C97" s="656"/>
      <c r="D97" s="656"/>
      <c r="E97" s="657"/>
      <c r="F97" s="660" t="s">
        <v>719</v>
      </c>
      <c r="G97" s="661"/>
      <c r="H97" s="965"/>
      <c r="I97" s="966" t="e">
        <f>I96/#REF!</f>
        <v>#REF!</v>
      </c>
      <c r="J97" s="965"/>
      <c r="K97" s="966" t="e">
        <f>K96/#REF!</f>
        <v>#REF!</v>
      </c>
      <c r="L97" s="965"/>
      <c r="M97" s="966" t="e">
        <f>M96/#REF!</f>
        <v>#REF!</v>
      </c>
      <c r="N97" s="965"/>
      <c r="O97" s="966" t="e">
        <f>O96/#REF!</f>
        <v>#REF!</v>
      </c>
      <c r="P97" s="965"/>
      <c r="Q97" s="966" t="e">
        <f>Q96/#REF!</f>
        <v>#REF!</v>
      </c>
      <c r="R97" s="965"/>
      <c r="S97" s="966" t="e">
        <f>S96/#REF!</f>
        <v>#REF!</v>
      </c>
    </row>
    <row r="98" spans="1:19" x14ac:dyDescent="0.35">
      <c r="A98" s="684"/>
      <c r="B98" s="655"/>
      <c r="C98" s="656"/>
      <c r="D98" s="656"/>
      <c r="E98" s="657"/>
      <c r="F98" s="660" t="s">
        <v>720</v>
      </c>
      <c r="G98" s="662"/>
      <c r="H98" s="965"/>
      <c r="I98" s="966" t="e">
        <f>I96/#REF!</f>
        <v>#REF!</v>
      </c>
      <c r="J98" s="965"/>
      <c r="K98" s="966" t="e">
        <f>K96/#REF!</f>
        <v>#REF!</v>
      </c>
      <c r="L98" s="965"/>
      <c r="M98" s="966" t="e">
        <f>M96/#REF!</f>
        <v>#REF!</v>
      </c>
      <c r="N98" s="965"/>
      <c r="O98" s="966" t="e">
        <f>O96/#REF!</f>
        <v>#REF!</v>
      </c>
      <c r="P98" s="965"/>
      <c r="Q98" s="966" t="e">
        <f>Q96/#REF!</f>
        <v>#REF!</v>
      </c>
      <c r="R98" s="965"/>
      <c r="S98" s="966" t="e">
        <f>S96/#REF!</f>
        <v>#REF!</v>
      </c>
    </row>
    <row r="99" spans="1:19" x14ac:dyDescent="0.35">
      <c r="A99" s="684"/>
      <c r="B99" s="655"/>
      <c r="C99" s="656"/>
      <c r="D99" s="656"/>
      <c r="E99" s="657"/>
      <c r="F99" s="658"/>
      <c r="G99" s="663"/>
      <c r="H99" s="1168"/>
      <c r="I99" s="1169"/>
      <c r="J99" s="967"/>
      <c r="K99" s="967"/>
      <c r="L99" s="967"/>
      <c r="M99" s="967"/>
      <c r="N99" s="967"/>
      <c r="O99" s="967"/>
      <c r="P99" s="967"/>
      <c r="Q99" s="967"/>
      <c r="R99" s="967"/>
      <c r="S99" s="967"/>
    </row>
    <row r="100" spans="1:19" x14ac:dyDescent="0.35">
      <c r="A100" s="3764" t="s">
        <v>721</v>
      </c>
      <c r="B100" s="3765"/>
      <c r="C100" s="12"/>
      <c r="D100" s="12"/>
      <c r="E100" s="12"/>
      <c r="F100" s="12"/>
      <c r="G100" s="13"/>
      <c r="H100" s="21"/>
      <c r="I100" s="21"/>
      <c r="J100" s="21"/>
      <c r="K100" s="21"/>
      <c r="L100" s="21"/>
      <c r="M100" s="21"/>
      <c r="N100" s="21"/>
      <c r="O100" s="21"/>
      <c r="P100" s="21"/>
      <c r="Q100" s="21"/>
      <c r="R100" s="21"/>
      <c r="S100" s="21"/>
    </row>
    <row r="101" spans="1:19" x14ac:dyDescent="0.35">
      <c r="A101" s="1170"/>
      <c r="B101" s="641"/>
      <c r="C101" s="1171"/>
      <c r="D101" s="1171"/>
      <c r="E101" s="1171"/>
      <c r="F101" s="1171"/>
      <c r="G101" s="1172"/>
      <c r="H101" s="1173"/>
      <c r="I101" s="1173"/>
      <c r="J101" s="1173"/>
      <c r="K101" s="1173"/>
      <c r="L101" s="1173"/>
      <c r="M101" s="1173"/>
      <c r="N101" s="1173"/>
      <c r="O101" s="1173"/>
      <c r="P101" s="1173"/>
      <c r="Q101" s="1173"/>
      <c r="R101" s="1173"/>
      <c r="S101" s="1173"/>
    </row>
    <row r="102" spans="1:19" x14ac:dyDescent="0.35">
      <c r="A102" s="1170"/>
      <c r="B102" s="641"/>
      <c r="C102" s="1171"/>
      <c r="D102" s="1171"/>
      <c r="E102" s="1171"/>
      <c r="F102" s="1171"/>
      <c r="G102" s="1172"/>
      <c r="H102" s="1173"/>
      <c r="I102" s="1173"/>
      <c r="J102" s="1173"/>
      <c r="K102" s="1173"/>
      <c r="L102" s="1173"/>
      <c r="M102" s="1173"/>
      <c r="N102" s="1173"/>
      <c r="O102" s="1173"/>
      <c r="P102" s="1173"/>
      <c r="Q102" s="1173"/>
      <c r="R102" s="1173"/>
      <c r="S102" s="1173"/>
    </row>
    <row r="103" spans="1:19" s="2" customFormat="1" x14ac:dyDescent="0.35">
      <c r="A103" s="1170"/>
      <c r="B103" s="641"/>
      <c r="C103" s="1171"/>
      <c r="D103" s="1171"/>
      <c r="E103" s="1171"/>
      <c r="F103" s="1171"/>
      <c r="G103" s="1172"/>
      <c r="H103" s="1173"/>
      <c r="I103" s="1173"/>
      <c r="J103" s="1173"/>
      <c r="K103" s="1173"/>
      <c r="L103" s="1173"/>
      <c r="M103" s="1173"/>
      <c r="N103" s="1173"/>
      <c r="O103" s="1173"/>
      <c r="P103" s="1173"/>
      <c r="Q103" s="1173"/>
      <c r="R103" s="1173"/>
      <c r="S103" s="1173"/>
    </row>
    <row r="104" spans="1:19" x14ac:dyDescent="0.35">
      <c r="A104" s="3764" t="s">
        <v>722</v>
      </c>
      <c r="B104" s="3765"/>
      <c r="C104" s="12"/>
      <c r="D104" s="12"/>
      <c r="E104" s="12"/>
      <c r="F104" s="12"/>
      <c r="G104" s="13"/>
      <c r="H104" s="21"/>
      <c r="I104" s="21"/>
      <c r="J104" s="21"/>
      <c r="K104" s="21"/>
      <c r="L104" s="21"/>
      <c r="M104" s="21"/>
      <c r="N104" s="21"/>
      <c r="O104" s="21"/>
      <c r="P104" s="21"/>
      <c r="Q104" s="21"/>
      <c r="R104" s="21"/>
      <c r="S104" s="21"/>
    </row>
    <row r="105" spans="1:19" s="2" customFormat="1" x14ac:dyDescent="0.35">
      <c r="A105" s="1170"/>
      <c r="B105" s="641"/>
      <c r="C105" s="1171"/>
      <c r="D105" s="1171"/>
      <c r="E105" s="1171"/>
      <c r="F105" s="1171"/>
      <c r="G105" s="1172"/>
      <c r="H105" s="1173"/>
      <c r="I105" s="1173"/>
      <c r="J105" s="1173"/>
      <c r="K105" s="1173"/>
      <c r="L105" s="1173"/>
      <c r="M105" s="1173"/>
      <c r="N105" s="1173"/>
      <c r="O105" s="1173"/>
      <c r="P105" s="1173"/>
      <c r="Q105" s="1173"/>
      <c r="R105" s="1173"/>
      <c r="S105" s="1173"/>
    </row>
    <row r="106" spans="1:19" s="2" customFormat="1" x14ac:dyDescent="0.35">
      <c r="A106" s="1170"/>
      <c r="B106" s="641"/>
      <c r="C106" s="1171"/>
      <c r="D106" s="1171"/>
      <c r="E106" s="1171"/>
      <c r="F106" s="1171"/>
      <c r="G106" s="1172"/>
      <c r="H106" s="1173"/>
      <c r="I106" s="1173"/>
      <c r="J106" s="1173"/>
      <c r="K106" s="1173"/>
      <c r="L106" s="1173"/>
      <c r="M106" s="1173"/>
      <c r="N106" s="1173"/>
      <c r="O106" s="1173"/>
      <c r="P106" s="1173"/>
      <c r="Q106" s="1173"/>
      <c r="R106" s="1173"/>
      <c r="S106" s="1173"/>
    </row>
    <row r="107" spans="1:19" s="2" customFormat="1" x14ac:dyDescent="0.35">
      <c r="A107" s="1170"/>
      <c r="B107" s="641"/>
      <c r="C107" s="1171"/>
      <c r="D107" s="1171"/>
      <c r="E107" s="1171"/>
      <c r="F107" s="1171"/>
      <c r="G107" s="1172"/>
      <c r="H107" s="1173"/>
      <c r="I107" s="1173"/>
      <c r="J107" s="1173"/>
      <c r="K107" s="1173"/>
      <c r="L107" s="1173"/>
      <c r="M107" s="1173"/>
      <c r="N107" s="1173"/>
      <c r="O107" s="1173"/>
      <c r="P107" s="1173"/>
      <c r="Q107" s="1173"/>
      <c r="R107" s="1173"/>
      <c r="S107" s="1173"/>
    </row>
    <row r="108" spans="1:19" x14ac:dyDescent="0.35">
      <c r="A108" s="3764" t="s">
        <v>723</v>
      </c>
      <c r="B108" s="3765"/>
      <c r="C108" s="12"/>
      <c r="D108" s="12"/>
      <c r="E108" s="12"/>
      <c r="F108" s="12"/>
      <c r="G108" s="13"/>
      <c r="H108" s="21"/>
      <c r="I108" s="21"/>
      <c r="J108" s="21"/>
      <c r="K108" s="21"/>
      <c r="L108" s="21"/>
      <c r="M108" s="21"/>
      <c r="N108" s="21"/>
      <c r="O108" s="21"/>
      <c r="P108" s="21"/>
      <c r="Q108" s="21"/>
      <c r="R108" s="21"/>
      <c r="S108" s="21"/>
    </row>
    <row r="109" spans="1:19" x14ac:dyDescent="0.35">
      <c r="A109" s="1170"/>
      <c r="B109" s="641"/>
      <c r="C109" s="1171"/>
      <c r="D109" s="1171"/>
      <c r="E109" s="1171"/>
      <c r="F109" s="1171"/>
      <c r="G109" s="1172"/>
      <c r="H109" s="1173"/>
      <c r="I109" s="1173"/>
      <c r="J109" s="1173"/>
      <c r="K109" s="1173"/>
      <c r="L109" s="1173"/>
      <c r="M109" s="1173"/>
      <c r="N109" s="1173"/>
      <c r="O109" s="1173"/>
      <c r="P109" s="1173"/>
      <c r="Q109" s="1173"/>
      <c r="R109" s="1173"/>
      <c r="S109" s="1173"/>
    </row>
    <row r="110" spans="1:19" x14ac:dyDescent="0.35">
      <c r="A110" s="689"/>
      <c r="B110" s="641"/>
      <c r="C110" s="642"/>
      <c r="D110" s="642"/>
      <c r="E110" s="642"/>
      <c r="F110" s="642"/>
      <c r="G110" s="646"/>
      <c r="H110" s="973"/>
      <c r="I110" s="973"/>
      <c r="J110" s="973"/>
      <c r="K110" s="973"/>
      <c r="L110" s="973"/>
      <c r="M110" s="973"/>
      <c r="N110" s="973"/>
      <c r="O110" s="973"/>
      <c r="P110" s="973"/>
      <c r="Q110" s="973"/>
      <c r="R110" s="973"/>
      <c r="S110" s="973"/>
    </row>
    <row r="111" spans="1:19" x14ac:dyDescent="0.35">
      <c r="A111" s="686"/>
      <c r="B111" s="665"/>
      <c r="C111" s="642"/>
      <c r="D111" s="642"/>
      <c r="E111" s="642"/>
      <c r="F111" s="642"/>
      <c r="G111" s="646"/>
      <c r="H111" s="974"/>
      <c r="I111" s="974"/>
      <c r="J111" s="974"/>
      <c r="K111" s="974"/>
      <c r="L111" s="974"/>
      <c r="M111" s="974"/>
      <c r="N111" s="974"/>
      <c r="O111" s="974"/>
      <c r="P111" s="974"/>
      <c r="Q111" s="974"/>
      <c r="R111" s="974"/>
      <c r="S111" s="974"/>
    </row>
    <row r="112" spans="1:19" x14ac:dyDescent="0.35">
      <c r="A112" s="3764" t="s">
        <v>724</v>
      </c>
      <c r="B112" s="3765"/>
      <c r="C112" s="12"/>
      <c r="D112" s="12"/>
      <c r="E112" s="12"/>
      <c r="F112" s="12"/>
      <c r="G112" s="13"/>
      <c r="H112" s="21"/>
      <c r="I112" s="21"/>
      <c r="J112" s="21"/>
      <c r="K112" s="21"/>
      <c r="L112" s="21"/>
      <c r="M112" s="21"/>
      <c r="N112" s="21"/>
      <c r="O112" s="21"/>
      <c r="P112" s="21"/>
      <c r="Q112" s="21"/>
      <c r="R112" s="21"/>
      <c r="S112" s="21"/>
    </row>
    <row r="113" spans="1:19" x14ac:dyDescent="0.35">
      <c r="A113" s="1174"/>
      <c r="B113" s="1175"/>
      <c r="C113" s="1171"/>
      <c r="D113" s="1171"/>
      <c r="E113" s="1171"/>
      <c r="F113" s="1171"/>
      <c r="G113" s="1172"/>
      <c r="H113" s="1173"/>
      <c r="I113" s="1173"/>
      <c r="J113" s="1173"/>
      <c r="K113" s="1173"/>
      <c r="L113" s="1173"/>
      <c r="M113" s="1173"/>
      <c r="N113" s="1173"/>
      <c r="O113" s="1173"/>
      <c r="P113" s="1173"/>
      <c r="Q113" s="1173"/>
      <c r="R113" s="1173"/>
      <c r="S113" s="1173"/>
    </row>
    <row r="114" spans="1:19" x14ac:dyDescent="0.35">
      <c r="A114" s="686"/>
      <c r="B114" s="665"/>
      <c r="C114" s="642"/>
      <c r="D114" s="642"/>
      <c r="E114" s="642"/>
      <c r="F114" s="642"/>
      <c r="G114" s="646"/>
      <c r="H114" s="977"/>
      <c r="I114" s="977"/>
      <c r="J114" s="977"/>
      <c r="K114" s="977"/>
      <c r="L114" s="977"/>
      <c r="M114" s="977"/>
      <c r="N114" s="977"/>
      <c r="O114" s="977"/>
      <c r="P114" s="977"/>
      <c r="Q114" s="977"/>
      <c r="R114" s="977"/>
      <c r="S114" s="977"/>
    </row>
    <row r="115" spans="1:19" x14ac:dyDescent="0.35">
      <c r="A115" s="686"/>
      <c r="B115" s="665"/>
      <c r="C115" s="642"/>
      <c r="D115" s="642"/>
      <c r="E115" s="642"/>
      <c r="F115" s="642"/>
      <c r="G115" s="646"/>
      <c r="H115" s="977"/>
      <c r="I115" s="977"/>
      <c r="J115" s="977"/>
      <c r="K115" s="977"/>
      <c r="L115" s="977"/>
      <c r="M115" s="977"/>
      <c r="N115" s="977"/>
      <c r="O115" s="977"/>
      <c r="P115" s="977"/>
      <c r="Q115" s="977"/>
      <c r="R115" s="977"/>
      <c r="S115" s="977"/>
    </row>
    <row r="116" spans="1:19" x14ac:dyDescent="0.35">
      <c r="A116" s="3764" t="s">
        <v>725</v>
      </c>
      <c r="B116" s="3765"/>
      <c r="C116" s="12"/>
      <c r="D116" s="12"/>
      <c r="E116" s="12"/>
      <c r="F116" s="12"/>
      <c r="G116" s="13"/>
      <c r="H116" s="21"/>
      <c r="I116" s="21"/>
      <c r="J116" s="21"/>
      <c r="K116" s="21"/>
      <c r="L116" s="21"/>
      <c r="M116" s="21"/>
      <c r="N116" s="21"/>
      <c r="O116" s="21"/>
      <c r="P116" s="1131"/>
      <c r="Q116" s="1131"/>
      <c r="R116" s="1131"/>
      <c r="S116" s="1131"/>
    </row>
    <row r="117" spans="1:19" x14ac:dyDescent="0.35">
      <c r="A117" s="689"/>
      <c r="B117" s="641" t="s">
        <v>726</v>
      </c>
      <c r="C117" s="642"/>
      <c r="D117" s="642"/>
      <c r="E117" s="642"/>
      <c r="F117" s="642"/>
      <c r="G117" s="646"/>
      <c r="H117" s="977"/>
      <c r="I117" s="977"/>
      <c r="J117" s="977"/>
      <c r="K117" s="977"/>
      <c r="L117" s="977"/>
      <c r="M117" s="977"/>
      <c r="N117" s="977"/>
      <c r="O117" s="977"/>
      <c r="P117" s="977"/>
      <c r="Q117" s="977"/>
      <c r="R117" s="977"/>
      <c r="S117" s="977"/>
    </row>
    <row r="118" spans="1:19" x14ac:dyDescent="0.35">
      <c r="A118" s="689"/>
      <c r="B118" s="641" t="s">
        <v>727</v>
      </c>
      <c r="C118" s="642"/>
      <c r="D118" s="642"/>
      <c r="E118" s="642"/>
      <c r="F118" s="642"/>
      <c r="G118" s="646"/>
      <c r="H118" s="977"/>
      <c r="I118" s="977"/>
      <c r="J118" s="977"/>
      <c r="K118" s="977"/>
      <c r="L118" s="977"/>
      <c r="M118" s="977"/>
      <c r="N118" s="977"/>
      <c r="O118" s="977"/>
      <c r="P118" s="977"/>
      <c r="Q118" s="977"/>
      <c r="R118" s="977"/>
      <c r="S118" s="977"/>
    </row>
    <row r="119" spans="1:19" x14ac:dyDescent="0.35">
      <c r="A119" s="689"/>
      <c r="B119" s="641" t="s">
        <v>728</v>
      </c>
      <c r="C119" s="642"/>
      <c r="D119" s="642"/>
      <c r="E119" s="642"/>
      <c r="F119" s="642"/>
      <c r="G119" s="646"/>
      <c r="H119" s="977"/>
      <c r="I119" s="977"/>
      <c r="J119" s="977"/>
      <c r="K119" s="977"/>
      <c r="L119" s="977"/>
      <c r="M119" s="977"/>
      <c r="N119" s="977"/>
      <c r="O119" s="977"/>
      <c r="P119" s="977"/>
      <c r="Q119" s="977"/>
      <c r="R119" s="977"/>
      <c r="S119" s="977"/>
    </row>
    <row r="120" spans="1:19" x14ac:dyDescent="0.35">
      <c r="A120" s="689"/>
      <c r="B120" s="641" t="s">
        <v>729</v>
      </c>
      <c r="C120" s="642"/>
      <c r="D120" s="642"/>
      <c r="E120" s="642"/>
      <c r="F120" s="642"/>
      <c r="G120" s="646"/>
      <c r="H120" s="977"/>
      <c r="I120" s="977"/>
      <c r="J120" s="977"/>
      <c r="K120" s="977"/>
      <c r="L120" s="977"/>
      <c r="M120" s="977"/>
      <c r="N120" s="977"/>
      <c r="O120" s="977"/>
      <c r="P120" s="977"/>
      <c r="Q120" s="977"/>
      <c r="R120" s="977"/>
      <c r="S120" s="977"/>
    </row>
    <row r="121" spans="1:19" x14ac:dyDescent="0.35">
      <c r="A121" s="978"/>
      <c r="B121" s="939"/>
      <c r="C121" s="940"/>
      <c r="D121" s="940"/>
      <c r="E121" s="940"/>
      <c r="F121" s="940"/>
      <c r="G121" s="1039"/>
      <c r="H121" s="981"/>
      <c r="I121" s="981"/>
      <c r="J121" s="981"/>
      <c r="K121" s="981"/>
      <c r="L121" s="981"/>
      <c r="M121" s="981"/>
      <c r="N121" s="981"/>
      <c r="O121" s="981"/>
      <c r="P121" s="981"/>
      <c r="Q121" s="981"/>
      <c r="R121" s="981"/>
      <c r="S121" s="981"/>
    </row>
    <row r="122" spans="1:19" x14ac:dyDescent="0.35">
      <c r="A122" s="7" t="s">
        <v>730</v>
      </c>
      <c r="B122" s="8"/>
      <c r="C122" s="12"/>
      <c r="D122" s="12"/>
      <c r="E122" s="12"/>
      <c r="F122" s="12"/>
      <c r="G122" s="13"/>
      <c r="H122" s="21"/>
      <c r="I122" s="21"/>
      <c r="J122" s="21"/>
      <c r="K122" s="21"/>
      <c r="L122" s="21"/>
      <c r="M122" s="21"/>
      <c r="N122" s="21"/>
      <c r="O122" s="21"/>
      <c r="P122" s="21"/>
      <c r="Q122" s="21"/>
      <c r="R122" s="21"/>
      <c r="S122" s="21"/>
    </row>
    <row r="123" spans="1:19" x14ac:dyDescent="0.35">
      <c r="A123" s="1170"/>
      <c r="B123" s="1176" t="s">
        <v>731</v>
      </c>
      <c r="C123" s="1171"/>
      <c r="D123" s="1171"/>
      <c r="E123" s="1171"/>
      <c r="F123" s="1171"/>
      <c r="G123" s="1172"/>
      <c r="H123" s="1177"/>
      <c r="I123" s="1177"/>
      <c r="J123" s="1177"/>
      <c r="K123" s="1177"/>
      <c r="L123" s="1177"/>
      <c r="M123" s="1177"/>
      <c r="N123" s="1177"/>
      <c r="O123" s="1177"/>
      <c r="P123" s="1177"/>
      <c r="Q123" s="1177"/>
      <c r="R123" s="1177"/>
      <c r="S123" s="1177"/>
    </row>
    <row r="124" spans="1:19" x14ac:dyDescent="0.35">
      <c r="A124" s="689"/>
      <c r="B124" s="641" t="s">
        <v>732</v>
      </c>
      <c r="C124" s="642"/>
      <c r="D124" s="642"/>
      <c r="E124" s="642"/>
      <c r="F124" s="642"/>
      <c r="G124" s="646"/>
      <c r="H124" s="984"/>
      <c r="I124" s="984"/>
      <c r="J124" s="984"/>
      <c r="K124" s="984"/>
      <c r="L124" s="984"/>
      <c r="M124" s="984"/>
      <c r="N124" s="984"/>
      <c r="O124" s="984"/>
      <c r="P124" s="984"/>
      <c r="Q124" s="984"/>
      <c r="R124" s="984"/>
      <c r="S124" s="984"/>
    </row>
    <row r="125" spans="1:19" x14ac:dyDescent="0.35">
      <c r="A125" s="985"/>
      <c r="B125" s="986" t="s">
        <v>733</v>
      </c>
      <c r="C125" s="987"/>
      <c r="D125" s="987"/>
      <c r="E125" s="987"/>
      <c r="F125" s="987"/>
      <c r="G125" s="1040"/>
      <c r="H125" s="990"/>
      <c r="I125" s="990"/>
      <c r="J125" s="990"/>
      <c r="K125" s="990"/>
      <c r="L125" s="990"/>
      <c r="M125" s="990"/>
      <c r="N125" s="990"/>
      <c r="O125" s="990"/>
      <c r="P125" s="990"/>
      <c r="Q125" s="990"/>
      <c r="R125" s="990"/>
      <c r="S125" s="990"/>
    </row>
    <row r="127" spans="1:19" x14ac:dyDescent="0.35">
      <c r="A127" s="78" t="s">
        <v>734</v>
      </c>
      <c r="B127" s="80"/>
    </row>
    <row r="128" spans="1:19" x14ac:dyDescent="0.35">
      <c r="A128" s="79" t="s">
        <v>632</v>
      </c>
      <c r="B128" s="991"/>
    </row>
    <row r="129" spans="1:2" x14ac:dyDescent="0.35">
      <c r="A129" s="687" t="s">
        <v>636</v>
      </c>
      <c r="B129" s="991"/>
    </row>
    <row r="130" spans="1:2" x14ac:dyDescent="0.35">
      <c r="A130" s="992" t="s">
        <v>639</v>
      </c>
      <c r="B130" s="993"/>
    </row>
    <row r="131" spans="1:2" x14ac:dyDescent="0.35">
      <c r="A131" s="992" t="s">
        <v>642</v>
      </c>
      <c r="B131" s="994"/>
    </row>
    <row r="132" spans="1:2" x14ac:dyDescent="0.35">
      <c r="A132" s="995" t="s">
        <v>735</v>
      </c>
      <c r="B132" s="996"/>
    </row>
    <row r="134" spans="1:2" x14ac:dyDescent="0.35">
      <c r="A134" s="81"/>
      <c r="B134" s="1" t="s">
        <v>736</v>
      </c>
    </row>
    <row r="135" spans="1:2" x14ac:dyDescent="0.35">
      <c r="A135" s="82"/>
      <c r="B135" s="1" t="s">
        <v>737</v>
      </c>
    </row>
  </sheetData>
  <mergeCells count="47">
    <mergeCell ref="A100:B100"/>
    <mergeCell ref="A104:B104"/>
    <mergeCell ref="A108:B108"/>
    <mergeCell ref="A112:B112"/>
    <mergeCell ref="A116:B11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837" priority="13" operator="equal">
      <formula>"X"</formula>
    </cfRule>
    <cfRule type="cellIs" dxfId="2836" priority="14" operator="equal">
      <formula>"I"</formula>
    </cfRule>
  </conditionalFormatting>
  <conditionalFormatting sqref="H32:H91">
    <cfRule type="cellIs" dxfId="2835" priority="1" operator="equal">
      <formula>"X"</formula>
    </cfRule>
    <cfRule type="cellIs" dxfId="2834" priority="2" operator="equal">
      <formula>"I"</formula>
    </cfRule>
  </conditionalFormatting>
  <conditionalFormatting sqref="J20:J30">
    <cfRule type="cellIs" dxfId="2833" priority="15" operator="equal">
      <formula>"X"</formula>
    </cfRule>
    <cfRule type="cellIs" dxfId="2832" priority="16" operator="equal">
      <formula>"I"</formula>
    </cfRule>
  </conditionalFormatting>
  <conditionalFormatting sqref="J32:J91">
    <cfRule type="cellIs" dxfId="2831" priority="3" operator="equal">
      <formula>"X"</formula>
    </cfRule>
    <cfRule type="cellIs" dxfId="2830" priority="4" operator="equal">
      <formula>"I"</formula>
    </cfRule>
  </conditionalFormatting>
  <conditionalFormatting sqref="L20:L30">
    <cfRule type="cellIs" dxfId="2829" priority="17" operator="equal">
      <formula>"X"</formula>
    </cfRule>
    <cfRule type="cellIs" dxfId="2828" priority="18" operator="equal">
      <formula>"I"</formula>
    </cfRule>
  </conditionalFormatting>
  <conditionalFormatting sqref="L32:L91">
    <cfRule type="cellIs" dxfId="2827" priority="5" operator="equal">
      <formula>"X"</formula>
    </cfRule>
    <cfRule type="cellIs" dxfId="2826" priority="6" operator="equal">
      <formula>"I"</formula>
    </cfRule>
  </conditionalFormatting>
  <conditionalFormatting sqref="N20:N30">
    <cfRule type="cellIs" dxfId="2825" priority="19" operator="equal">
      <formula>"X"</formula>
    </cfRule>
    <cfRule type="cellIs" dxfId="2824" priority="20" operator="equal">
      <formula>"I"</formula>
    </cfRule>
  </conditionalFormatting>
  <conditionalFormatting sqref="N32:N91">
    <cfRule type="cellIs" dxfId="2823" priority="7" operator="equal">
      <formula>"X"</formula>
    </cfRule>
    <cfRule type="cellIs" dxfId="2822" priority="8" operator="equal">
      <formula>"I"</formula>
    </cfRule>
  </conditionalFormatting>
  <conditionalFormatting sqref="P20:P30">
    <cfRule type="cellIs" dxfId="2821" priority="21" operator="equal">
      <formula>"X"</formula>
    </cfRule>
    <cfRule type="cellIs" dxfId="2820" priority="22" operator="equal">
      <formula>"I"</formula>
    </cfRule>
  </conditionalFormatting>
  <conditionalFormatting sqref="P32:P91">
    <cfRule type="cellIs" dxfId="2819" priority="9" operator="equal">
      <formula>"X"</formula>
    </cfRule>
    <cfRule type="cellIs" dxfId="2818" priority="10" operator="equal">
      <formula>"I"</formula>
    </cfRule>
  </conditionalFormatting>
  <conditionalFormatting sqref="R20:R30">
    <cfRule type="cellIs" dxfId="2817" priority="23" operator="equal">
      <formula>"X"</formula>
    </cfRule>
    <cfRule type="cellIs" dxfId="2816" priority="24" operator="equal">
      <formula>"I"</formula>
    </cfRule>
  </conditionalFormatting>
  <conditionalFormatting sqref="R32:R91">
    <cfRule type="cellIs" dxfId="2815" priority="11" operator="equal">
      <formula>"X"</formula>
    </cfRule>
    <cfRule type="cellIs" dxfId="2814" priority="12" operator="equal">
      <formula>"I"</formula>
    </cfRule>
  </conditionalFormatting>
  <hyperlinks>
    <hyperlink ref="B3" location="'Cost Summary'!A1" display="BACK TO SUMMARY SHEET" xr:uid="{6179248F-26CE-4E38-AF89-C50B7C7B279C}"/>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06D7-18D7-4389-879F-CA80079CE5FA}">
  <sheetPr>
    <tabColor rgb="FFFFC000"/>
  </sheetPr>
  <dimension ref="A1:S130"/>
  <sheetViews>
    <sheetView zoomScale="95" zoomScaleNormal="95" workbookViewId="0">
      <pane xSplit="2" ySplit="9" topLeftCell="C44" activePane="bottomRight" state="frozen"/>
      <selection pane="topRight" activeCell="C1" sqref="C1"/>
      <selection pane="bottomLeft" activeCell="A11" sqref="A11"/>
      <selection pane="bottomRight" activeCell="B57" sqref="B49:B57"/>
    </sheetView>
  </sheetViews>
  <sheetFormatPr defaultRowHeight="14.5" x14ac:dyDescent="0.35"/>
  <cols>
    <col min="1" max="1" width="22.1796875" bestFit="1" customWidth="1"/>
    <col min="2" max="2" width="70.7265625" style="1" customWidth="1"/>
    <col min="3" max="3" width="10.81640625" style="2" bestFit="1" customWidth="1"/>
    <col min="4" max="5" width="7.54296875" style="2" customWidth="1"/>
    <col min="6" max="6" width="7.7265625" style="2" customWidth="1"/>
    <col min="7" max="7" width="13.1796875" style="2" bestFit="1"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6.54296875" style="2" customWidth="1"/>
    <col min="14" max="14" width="7.453125" style="2" bestFit="1" customWidth="1"/>
    <col min="15" max="15" width="14.81640625" style="2" customWidth="1"/>
    <col min="16" max="16" width="7.453125" style="2" customWidth="1"/>
    <col min="17" max="17" width="16.5429687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76"/>
      <c r="I2" s="3776"/>
      <c r="J2" s="3751"/>
      <c r="K2" s="3751"/>
      <c r="L2" s="3751"/>
      <c r="M2" s="3751"/>
      <c r="N2" s="3751"/>
      <c r="O2" s="3751"/>
      <c r="P2" s="3751"/>
      <c r="Q2" s="3751"/>
      <c r="R2" s="3751"/>
      <c r="S2" s="3751"/>
    </row>
    <row r="3" spans="1:19" ht="20" thickBot="1" x14ac:dyDescent="0.4">
      <c r="B3" s="137" t="s">
        <v>623</v>
      </c>
      <c r="E3" s="152"/>
      <c r="F3" s="124" t="s">
        <v>624</v>
      </c>
      <c r="G3" s="123" t="s">
        <v>557</v>
      </c>
      <c r="H3" s="3754" t="s">
        <v>871</v>
      </c>
      <c r="I3" s="3755"/>
      <c r="J3" s="3754" t="s">
        <v>626</v>
      </c>
      <c r="K3" s="3755"/>
      <c r="L3" s="3754" t="s">
        <v>627</v>
      </c>
      <c r="M3" s="3755"/>
      <c r="N3" s="3754" t="s">
        <v>628</v>
      </c>
      <c r="O3" s="3755"/>
      <c r="P3" s="3754" t="s">
        <v>772</v>
      </c>
      <c r="Q3" s="3755"/>
      <c r="R3" s="3754" t="s">
        <v>773</v>
      </c>
      <c r="S3" s="3755"/>
    </row>
    <row r="4" spans="1:19" ht="15" thickTop="1" x14ac:dyDescent="0.35">
      <c r="A4" s="3" t="s">
        <v>930</v>
      </c>
      <c r="B4" s="4" t="str">
        <f>'AREA CALC''s'!B4</f>
        <v>Alton Hilltop Gardens</v>
      </c>
      <c r="C4" s="5"/>
      <c r="D4" s="5"/>
      <c r="E4" s="5"/>
      <c r="F4" s="5"/>
      <c r="G4" s="6" t="s">
        <v>632</v>
      </c>
      <c r="H4" s="3752"/>
      <c r="I4" s="3753"/>
      <c r="J4" s="3752"/>
      <c r="K4" s="3753"/>
      <c r="L4" s="3752"/>
      <c r="M4" s="3753"/>
      <c r="N4" s="3752"/>
      <c r="O4" s="3753"/>
      <c r="P4" s="3752"/>
      <c r="Q4" s="3753"/>
      <c r="R4" s="3752"/>
      <c r="S4" s="3753"/>
    </row>
    <row r="5" spans="1:19" x14ac:dyDescent="0.35">
      <c r="A5" s="688" t="s">
        <v>634</v>
      </c>
      <c r="B5" s="641" t="s">
        <v>461</v>
      </c>
      <c r="C5" s="642"/>
      <c r="D5" s="642"/>
      <c r="E5" s="642"/>
      <c r="F5" s="642"/>
      <c r="G5" s="643" t="s">
        <v>636</v>
      </c>
      <c r="H5" s="3758"/>
      <c r="I5" s="3759"/>
      <c r="J5" s="3758"/>
      <c r="K5" s="3759"/>
      <c r="L5" s="3758"/>
      <c r="M5" s="3759"/>
      <c r="N5" s="3758"/>
      <c r="O5" s="3759"/>
      <c r="P5" s="3758"/>
      <c r="Q5" s="3759"/>
      <c r="R5" s="3758"/>
      <c r="S5" s="3759"/>
    </row>
    <row r="6" spans="1:19" x14ac:dyDescent="0.35">
      <c r="A6" s="688" t="s">
        <v>638</v>
      </c>
      <c r="B6" s="644" t="s">
        <v>460</v>
      </c>
      <c r="C6" s="642"/>
      <c r="D6" s="642"/>
      <c r="E6" s="642"/>
      <c r="F6" s="642"/>
      <c r="G6" s="643" t="s">
        <v>639</v>
      </c>
      <c r="H6" s="3756"/>
      <c r="I6" s="3757"/>
      <c r="J6" s="3756"/>
      <c r="K6" s="3757"/>
      <c r="L6" s="3777"/>
      <c r="M6" s="3757"/>
      <c r="N6" s="3756"/>
      <c r="O6" s="3757"/>
      <c r="P6" s="3777"/>
      <c r="Q6" s="3757"/>
      <c r="R6" s="3756"/>
      <c r="S6" s="3757"/>
    </row>
    <row r="7" spans="1:19" x14ac:dyDescent="0.35">
      <c r="A7" s="688" t="s">
        <v>641</v>
      </c>
      <c r="B7" s="645"/>
      <c r="C7" s="642"/>
      <c r="D7" s="642"/>
      <c r="E7" s="642"/>
      <c r="F7" s="642"/>
      <c r="G7" s="643" t="s">
        <v>642</v>
      </c>
      <c r="H7" s="3762"/>
      <c r="I7" s="3763"/>
      <c r="J7" s="3762"/>
      <c r="K7" s="3763"/>
      <c r="L7" s="3762"/>
      <c r="M7" s="3763"/>
      <c r="N7" s="3762"/>
      <c r="O7" s="3763"/>
      <c r="P7" s="3762"/>
      <c r="Q7" s="3763"/>
      <c r="R7" s="3762"/>
      <c r="S7" s="3763"/>
    </row>
    <row r="8" spans="1:19" ht="15" thickBot="1" x14ac:dyDescent="0.4">
      <c r="A8" s="938" t="s">
        <v>644</v>
      </c>
      <c r="B8" s="939"/>
      <c r="C8" s="940"/>
      <c r="D8" s="940"/>
      <c r="E8" s="940"/>
      <c r="F8" s="940"/>
      <c r="G8" s="1024" t="s">
        <v>644</v>
      </c>
      <c r="H8" s="3760">
        <f>I91</f>
        <v>0</v>
      </c>
      <c r="I8" s="3761"/>
      <c r="J8" s="3760">
        <f>K91</f>
        <v>0</v>
      </c>
      <c r="K8" s="3761"/>
      <c r="L8" s="3760">
        <f>M91</f>
        <v>0</v>
      </c>
      <c r="M8" s="3761"/>
      <c r="N8" s="3760">
        <f>O91</f>
        <v>0</v>
      </c>
      <c r="O8" s="3761"/>
      <c r="P8" s="3760">
        <f>Q91</f>
        <v>0</v>
      </c>
      <c r="Q8" s="3761"/>
      <c r="R8" s="3760">
        <f>S91</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1178"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thickTop="1" x14ac:dyDescent="0.35">
      <c r="A16" s="689"/>
      <c r="B16" s="641" t="e">
        <f>#REF!</f>
        <v>#REF!</v>
      </c>
      <c r="C16" s="647"/>
      <c r="D16" s="642"/>
      <c r="E16" s="642"/>
      <c r="F16" s="642"/>
      <c r="G16" s="646"/>
      <c r="H16" s="942"/>
      <c r="I16" s="942"/>
      <c r="J16" s="942"/>
      <c r="K16" s="942"/>
      <c r="L16" s="942"/>
      <c r="M16" s="942"/>
      <c r="N16" s="942"/>
      <c r="O16" s="942"/>
      <c r="P16" s="942"/>
      <c r="Q16" s="942"/>
      <c r="R16" s="942"/>
      <c r="S16" s="942"/>
    </row>
    <row r="17" spans="1:19" ht="15" hidden="1" customHeight="1" thickTop="1" x14ac:dyDescent="0.35">
      <c r="A17" s="689"/>
      <c r="B17" s="641" t="e">
        <f>#REF!</f>
        <v>#REF!</v>
      </c>
      <c r="C17" s="647"/>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c r="D19" s="642"/>
      <c r="E19" s="642"/>
      <c r="F19" s="642"/>
      <c r="G19" s="646"/>
      <c r="H19" s="942"/>
      <c r="I19" s="942"/>
      <c r="J19" s="942"/>
      <c r="K19" s="942"/>
      <c r="L19" s="942"/>
      <c r="M19" s="942"/>
      <c r="N19" s="942"/>
      <c r="O19" s="942"/>
      <c r="P19" s="942"/>
      <c r="Q19" s="942"/>
      <c r="R19" s="942"/>
      <c r="S19" s="942"/>
    </row>
    <row r="20" spans="1:19" ht="15" thickTop="1" x14ac:dyDescent="0.35">
      <c r="A20" s="1170"/>
      <c r="B20" s="641"/>
      <c r="C20" s="647"/>
      <c r="D20" s="642"/>
      <c r="E20" s="642"/>
      <c r="F20" s="642"/>
      <c r="G20" s="646"/>
      <c r="H20" s="943"/>
      <c r="I20" s="1191"/>
      <c r="J20" s="943"/>
      <c r="K20" s="1191"/>
      <c r="L20" s="943"/>
      <c r="M20" s="1191"/>
      <c r="N20" s="943"/>
      <c r="O20" s="1191"/>
      <c r="P20" s="943"/>
      <c r="Q20" s="1191"/>
      <c r="R20" s="943"/>
      <c r="S20" s="1191"/>
    </row>
    <row r="21" spans="1:19" ht="15" thickBot="1" x14ac:dyDescent="0.4">
      <c r="A21" s="1179"/>
      <c r="B21" s="648" t="s">
        <v>461</v>
      </c>
      <c r="C21" s="647"/>
      <c r="D21" s="642"/>
      <c r="E21" s="642"/>
      <c r="F21" s="642"/>
      <c r="G21" s="646"/>
      <c r="H21" s="943"/>
      <c r="I21" s="1180"/>
      <c r="J21" s="943"/>
      <c r="K21" s="1180"/>
      <c r="L21" s="943"/>
      <c r="M21" s="1180"/>
      <c r="N21" s="943"/>
      <c r="O21" s="1180"/>
      <c r="P21" s="943"/>
      <c r="Q21" s="1180"/>
      <c r="R21" s="943"/>
      <c r="S21" s="1180"/>
    </row>
    <row r="22" spans="1:19" ht="16" thickBot="1" x14ac:dyDescent="0.4">
      <c r="A22" s="1181"/>
      <c r="B22" s="604" t="s">
        <v>657</v>
      </c>
      <c r="C22" s="647"/>
      <c r="D22" s="642"/>
      <c r="E22" s="642"/>
      <c r="F22" s="642"/>
      <c r="G22" s="646"/>
      <c r="H22" s="943"/>
      <c r="I22" s="1182"/>
      <c r="J22" s="943"/>
      <c r="K22" s="1180"/>
      <c r="L22" s="943"/>
      <c r="M22" s="1180"/>
      <c r="N22" s="943"/>
      <c r="O22" s="1180"/>
      <c r="P22" s="943"/>
      <c r="Q22" s="1180"/>
      <c r="R22" s="943"/>
      <c r="S22" s="1180"/>
    </row>
    <row r="23" spans="1:19" ht="15.75" customHeight="1" x14ac:dyDescent="0.35">
      <c r="A23" s="1179"/>
      <c r="B23" s="603" t="s">
        <v>658</v>
      </c>
      <c r="C23" s="647"/>
      <c r="D23" s="642"/>
      <c r="E23" s="642"/>
      <c r="F23" s="642"/>
      <c r="G23" s="646"/>
      <c r="H23" s="943"/>
      <c r="I23" s="1180"/>
      <c r="J23" s="943"/>
      <c r="K23" s="1180"/>
      <c r="L23" s="943"/>
      <c r="M23" s="1180"/>
      <c r="N23" s="943"/>
      <c r="O23" s="1180"/>
      <c r="P23" s="943"/>
      <c r="Q23" s="1180"/>
      <c r="R23" s="943"/>
      <c r="S23" s="1180"/>
    </row>
    <row r="24" spans="1:19" x14ac:dyDescent="0.35">
      <c r="A24" s="1179"/>
      <c r="B24" s="1157" t="s">
        <v>659</v>
      </c>
      <c r="C24" s="647"/>
      <c r="D24" s="642"/>
      <c r="E24" s="642"/>
      <c r="F24" s="642"/>
      <c r="G24" s="646"/>
      <c r="H24" s="943"/>
      <c r="I24" s="1158"/>
      <c r="J24" s="943"/>
      <c r="K24" s="1158"/>
      <c r="L24" s="943"/>
      <c r="M24" s="1158"/>
      <c r="N24" s="943"/>
      <c r="O24" s="1158"/>
      <c r="P24" s="943"/>
      <c r="Q24" s="1158"/>
      <c r="R24" s="943"/>
      <c r="S24" s="1158"/>
    </row>
    <row r="25" spans="1:19" ht="15.75" customHeight="1" x14ac:dyDescent="0.35">
      <c r="A25" s="1179"/>
      <c r="B25" s="1159" t="s">
        <v>660</v>
      </c>
      <c r="C25" s="647"/>
      <c r="D25" s="642"/>
      <c r="E25" s="642"/>
      <c r="F25" s="642"/>
      <c r="G25" s="646"/>
      <c r="H25" s="943"/>
      <c r="I25" s="1158"/>
      <c r="J25" s="943"/>
      <c r="K25" s="1158"/>
      <c r="L25" s="943"/>
      <c r="M25" s="1158"/>
      <c r="N25" s="943"/>
      <c r="O25" s="1158"/>
      <c r="P25" s="943"/>
      <c r="Q25" s="1158"/>
      <c r="R25" s="943"/>
      <c r="S25" s="1158"/>
    </row>
    <row r="26" spans="1:19" x14ac:dyDescent="0.35">
      <c r="A26" s="1179"/>
      <c r="B26" s="1159" t="s">
        <v>661</v>
      </c>
      <c r="C26" s="1086"/>
      <c r="D26" s="682"/>
      <c r="E26" s="642"/>
      <c r="F26" s="642"/>
      <c r="G26" s="646"/>
      <c r="H26" s="943"/>
      <c r="I26" s="1158"/>
      <c r="J26" s="943"/>
      <c r="K26" s="1180"/>
      <c r="L26" s="943"/>
      <c r="M26" s="1140"/>
      <c r="N26" s="943"/>
      <c r="O26" s="1180"/>
      <c r="P26" s="943"/>
      <c r="Q26" s="1140"/>
      <c r="R26" s="943"/>
      <c r="S26" s="1180"/>
    </row>
    <row r="27" spans="1:19" x14ac:dyDescent="0.35">
      <c r="A27" s="1179"/>
      <c r="B27" s="1159" t="s">
        <v>662</v>
      </c>
      <c r="C27" s="1086"/>
      <c r="D27" s="682"/>
      <c r="E27" s="642"/>
      <c r="F27" s="642"/>
      <c r="G27" s="646"/>
      <c r="H27" s="943"/>
      <c r="I27" s="1158"/>
      <c r="J27" s="943"/>
      <c r="K27" s="1180"/>
      <c r="L27" s="943"/>
      <c r="M27" s="1140"/>
      <c r="N27" s="943"/>
      <c r="O27" s="1180"/>
      <c r="P27" s="943"/>
      <c r="Q27" s="1140"/>
      <c r="R27" s="943"/>
      <c r="S27" s="1180"/>
    </row>
    <row r="28" spans="1:19" x14ac:dyDescent="0.35">
      <c r="A28" s="1179"/>
      <c r="B28" s="1159" t="s">
        <v>663</v>
      </c>
      <c r="C28" s="1086"/>
      <c r="D28" s="682"/>
      <c r="E28" s="642"/>
      <c r="F28" s="642"/>
      <c r="G28" s="646"/>
      <c r="H28" s="943"/>
      <c r="I28" s="1158"/>
      <c r="J28" s="943"/>
      <c r="K28" s="1180"/>
      <c r="L28" s="943"/>
      <c r="M28" s="136"/>
      <c r="N28" s="943"/>
      <c r="O28" s="1180"/>
      <c r="P28" s="943"/>
      <c r="Q28" s="136"/>
      <c r="R28" s="943"/>
      <c r="S28" s="1180"/>
    </row>
    <row r="29" spans="1:19" x14ac:dyDescent="0.35">
      <c r="A29" s="1179"/>
      <c r="B29" s="1159" t="s">
        <v>742</v>
      </c>
      <c r="C29" s="1086"/>
      <c r="D29" s="682"/>
      <c r="E29" s="642"/>
      <c r="F29" s="642"/>
      <c r="G29" s="646"/>
      <c r="H29" s="943"/>
      <c r="I29" s="1158"/>
      <c r="J29" s="943"/>
      <c r="K29" s="1180"/>
      <c r="L29" s="943"/>
      <c r="M29" s="136"/>
      <c r="N29" s="943"/>
      <c r="O29" s="1180"/>
      <c r="P29" s="943"/>
      <c r="Q29" s="136"/>
      <c r="R29" s="943"/>
      <c r="S29" s="1180"/>
    </row>
    <row r="30" spans="1:19" x14ac:dyDescent="0.35">
      <c r="A30" s="1179"/>
      <c r="B30" s="1160" t="s">
        <v>664</v>
      </c>
      <c r="C30" s="1086"/>
      <c r="D30" s="682"/>
      <c r="E30" s="642"/>
      <c r="F30" s="642"/>
      <c r="G30" s="646"/>
      <c r="H30" s="943"/>
      <c r="I30" s="1158"/>
      <c r="J30" s="943"/>
      <c r="K30" s="1180"/>
      <c r="L30" s="943"/>
      <c r="M30" s="984"/>
      <c r="N30" s="943"/>
      <c r="O30" s="1180"/>
      <c r="P30" s="943"/>
      <c r="Q30" s="984"/>
      <c r="R30" s="943"/>
      <c r="S30" s="1180"/>
    </row>
    <row r="31" spans="1:19" x14ac:dyDescent="0.35">
      <c r="A31" s="1179"/>
      <c r="B31" s="1161" t="s">
        <v>665</v>
      </c>
      <c r="C31" s="1142"/>
      <c r="D31" s="1143"/>
      <c r="E31" s="650"/>
      <c r="F31" s="650"/>
      <c r="G31" s="952"/>
      <c r="H31" s="636"/>
      <c r="I31" s="1162"/>
      <c r="J31" s="636"/>
      <c r="K31" s="1163"/>
      <c r="L31" s="1146"/>
      <c r="M31" s="1147"/>
      <c r="N31" s="1148"/>
      <c r="O31" s="1163"/>
      <c r="P31" s="1146"/>
      <c r="Q31" s="1147"/>
      <c r="R31" s="1148"/>
      <c r="S31" s="1163"/>
    </row>
    <row r="32" spans="1:19" x14ac:dyDescent="0.35">
      <c r="A32" s="1179"/>
      <c r="B32" s="1164" t="s">
        <v>874</v>
      </c>
      <c r="C32" s="1086"/>
      <c r="D32" s="682"/>
      <c r="E32" s="642"/>
      <c r="F32" s="642"/>
      <c r="G32" s="646"/>
      <c r="H32" s="943"/>
      <c r="I32" s="1158"/>
      <c r="J32" s="943"/>
      <c r="K32" s="1180"/>
      <c r="L32" s="943"/>
      <c r="M32" s="984"/>
      <c r="N32" s="943"/>
      <c r="O32" s="1180"/>
      <c r="P32" s="943"/>
      <c r="Q32" s="984"/>
      <c r="R32" s="943"/>
      <c r="S32" s="1180"/>
    </row>
    <row r="33" spans="1:19" x14ac:dyDescent="0.35">
      <c r="A33" s="1179"/>
      <c r="B33" s="1150"/>
      <c r="C33" s="1086"/>
      <c r="D33" s="682"/>
      <c r="E33" s="642"/>
      <c r="F33" s="642"/>
      <c r="G33" s="646"/>
      <c r="H33" s="943"/>
      <c r="I33" s="1158"/>
      <c r="J33" s="943"/>
      <c r="K33" s="1180"/>
      <c r="L33" s="943"/>
      <c r="M33" s="984"/>
      <c r="N33" s="943"/>
      <c r="O33" s="1180"/>
      <c r="P33" s="943"/>
      <c r="Q33" s="984"/>
      <c r="R33" s="943"/>
      <c r="S33" s="1180"/>
    </row>
    <row r="34" spans="1:19" x14ac:dyDescent="0.35">
      <c r="A34" s="1179"/>
      <c r="B34" s="1192" t="s">
        <v>931</v>
      </c>
      <c r="C34" s="1086"/>
      <c r="D34" s="682"/>
      <c r="E34" s="642"/>
      <c r="F34" s="642"/>
      <c r="G34" s="646"/>
      <c r="H34" s="943"/>
      <c r="I34" s="1158"/>
      <c r="J34" s="943"/>
      <c r="K34" s="1180"/>
      <c r="L34" s="943"/>
      <c r="M34" s="984"/>
      <c r="N34" s="943"/>
      <c r="O34" s="1180"/>
      <c r="P34" s="943"/>
      <c r="Q34" s="984"/>
      <c r="R34" s="943"/>
      <c r="S34" s="1180"/>
    </row>
    <row r="35" spans="1:19" x14ac:dyDescent="0.35">
      <c r="A35" s="1179"/>
      <c r="B35" s="1193" t="s">
        <v>932</v>
      </c>
      <c r="C35" s="1086"/>
      <c r="D35" s="682"/>
      <c r="E35" s="642"/>
      <c r="F35" s="642"/>
      <c r="G35" s="646"/>
      <c r="H35" s="943"/>
      <c r="I35" s="1158"/>
      <c r="J35" s="943"/>
      <c r="K35" s="1180"/>
      <c r="L35" s="943"/>
      <c r="M35" s="984"/>
      <c r="N35" s="943"/>
      <c r="O35" s="1180"/>
      <c r="P35" s="943"/>
      <c r="Q35" s="984"/>
      <c r="R35" s="943"/>
      <c r="S35" s="1180"/>
    </row>
    <row r="36" spans="1:19" x14ac:dyDescent="0.35">
      <c r="A36" s="1179"/>
      <c r="B36" s="1193" t="s">
        <v>933</v>
      </c>
      <c r="C36" s="1086"/>
      <c r="D36" s="682"/>
      <c r="E36" s="642"/>
      <c r="F36" s="642"/>
      <c r="G36" s="646"/>
      <c r="H36" s="943"/>
      <c r="I36" s="1158"/>
      <c r="J36" s="943"/>
      <c r="K36" s="1180"/>
      <c r="L36" s="943"/>
      <c r="M36" s="984"/>
      <c r="N36" s="943"/>
      <c r="O36" s="1180"/>
      <c r="P36" s="943"/>
      <c r="Q36" s="984"/>
      <c r="R36" s="943"/>
      <c r="S36" s="1180"/>
    </row>
    <row r="37" spans="1:19" x14ac:dyDescent="0.35">
      <c r="A37" s="1179"/>
      <c r="B37" s="1193" t="s">
        <v>934</v>
      </c>
      <c r="C37" s="1086"/>
      <c r="D37" s="682"/>
      <c r="E37" s="642"/>
      <c r="F37" s="642"/>
      <c r="G37" s="646"/>
      <c r="H37" s="943"/>
      <c r="I37" s="1158"/>
      <c r="J37" s="943"/>
      <c r="K37" s="1180"/>
      <c r="L37" s="943"/>
      <c r="M37" s="984"/>
      <c r="N37" s="943"/>
      <c r="O37" s="1180"/>
      <c r="P37" s="943"/>
      <c r="Q37" s="984"/>
      <c r="R37" s="943"/>
      <c r="S37" s="1180"/>
    </row>
    <row r="38" spans="1:19" x14ac:dyDescent="0.35">
      <c r="A38" s="1179"/>
      <c r="B38" s="1193" t="s">
        <v>935</v>
      </c>
      <c r="C38" s="1086"/>
      <c r="D38" s="682"/>
      <c r="E38" s="642"/>
      <c r="F38" s="642"/>
      <c r="G38" s="646"/>
      <c r="H38" s="943"/>
      <c r="I38" s="1158"/>
      <c r="J38" s="943"/>
      <c r="K38" s="1180"/>
      <c r="L38" s="943"/>
      <c r="M38" s="984"/>
      <c r="N38" s="943"/>
      <c r="O38" s="1180"/>
      <c r="P38" s="943"/>
      <c r="Q38" s="984"/>
      <c r="R38" s="943"/>
      <c r="S38" s="1180"/>
    </row>
    <row r="39" spans="1:19" x14ac:dyDescent="0.35">
      <c r="A39" s="1179"/>
      <c r="B39" s="1193" t="s">
        <v>936</v>
      </c>
      <c r="C39" s="1086"/>
      <c r="D39" s="682"/>
      <c r="E39" s="642"/>
      <c r="F39" s="642"/>
      <c r="G39" s="646"/>
      <c r="H39" s="943"/>
      <c r="I39" s="1158"/>
      <c r="J39" s="943"/>
      <c r="K39" s="1180"/>
      <c r="L39" s="943"/>
      <c r="M39" s="984"/>
      <c r="N39" s="943"/>
      <c r="O39" s="1180"/>
      <c r="P39" s="943"/>
      <c r="Q39" s="984"/>
      <c r="R39" s="943"/>
      <c r="S39" s="1180"/>
    </row>
    <row r="40" spans="1:19" x14ac:dyDescent="0.35">
      <c r="A40" s="1179"/>
      <c r="B40" s="1193" t="s">
        <v>937</v>
      </c>
      <c r="C40" s="1086"/>
      <c r="D40" s="682"/>
      <c r="E40" s="642"/>
      <c r="F40" s="642"/>
      <c r="G40" s="646"/>
      <c r="H40" s="943" t="s">
        <v>669</v>
      </c>
      <c r="I40" s="1158"/>
      <c r="J40" s="943"/>
      <c r="K40" s="1180"/>
      <c r="L40" s="943"/>
      <c r="M40" s="984"/>
      <c r="N40" s="943"/>
      <c r="O40" s="1180"/>
      <c r="P40" s="943"/>
      <c r="Q40" s="984"/>
      <c r="R40" s="943"/>
      <c r="S40" s="1180"/>
    </row>
    <row r="41" spans="1:19" x14ac:dyDescent="0.35">
      <c r="A41" s="1179"/>
      <c r="B41" s="1193" t="s">
        <v>938</v>
      </c>
      <c r="C41" s="1086"/>
      <c r="D41" s="682"/>
      <c r="E41" s="642"/>
      <c r="F41" s="642"/>
      <c r="G41" s="646"/>
      <c r="H41" s="943"/>
      <c r="I41" s="1158"/>
      <c r="J41" s="943"/>
      <c r="K41" s="1180"/>
      <c r="L41" s="943"/>
      <c r="M41" s="984"/>
      <c r="N41" s="943"/>
      <c r="O41" s="1180"/>
      <c r="P41" s="943"/>
      <c r="Q41" s="984"/>
      <c r="R41" s="943"/>
      <c r="S41" s="1180"/>
    </row>
    <row r="42" spans="1:19" x14ac:dyDescent="0.35">
      <c r="A42" s="1179"/>
      <c r="B42" s="1193" t="s">
        <v>939</v>
      </c>
      <c r="C42" s="1086"/>
      <c r="D42" s="682"/>
      <c r="E42" s="642"/>
      <c r="F42" s="642"/>
      <c r="G42" s="646"/>
      <c r="H42" s="943"/>
      <c r="I42" s="1158"/>
      <c r="J42" s="943"/>
      <c r="K42" s="1180"/>
      <c r="L42" s="943"/>
      <c r="M42" s="984"/>
      <c r="N42" s="943"/>
      <c r="O42" s="1180"/>
      <c r="P42" s="943"/>
      <c r="Q42" s="984"/>
      <c r="R42" s="943"/>
      <c r="S42" s="1180"/>
    </row>
    <row r="43" spans="1:19" x14ac:dyDescent="0.35">
      <c r="A43" s="1179"/>
      <c r="B43" s="1194" t="s">
        <v>940</v>
      </c>
      <c r="C43" s="1086"/>
      <c r="D43" s="682"/>
      <c r="E43" s="642"/>
      <c r="F43" s="642"/>
      <c r="G43" s="646"/>
      <c r="H43" s="943"/>
      <c r="I43" s="1158"/>
      <c r="J43" s="943"/>
      <c r="K43" s="1180"/>
      <c r="L43" s="943"/>
      <c r="M43" s="984"/>
      <c r="N43" s="943"/>
      <c r="O43" s="1180"/>
      <c r="P43" s="943"/>
      <c r="Q43" s="984"/>
      <c r="R43" s="943"/>
      <c r="S43" s="1180"/>
    </row>
    <row r="44" spans="1:19" x14ac:dyDescent="0.35">
      <c r="A44" s="1179"/>
      <c r="B44" s="1194" t="s">
        <v>941</v>
      </c>
      <c r="C44" s="1086"/>
      <c r="D44" s="682"/>
      <c r="E44" s="642"/>
      <c r="F44" s="642"/>
      <c r="G44" s="646"/>
      <c r="H44" s="943"/>
      <c r="I44" s="1158"/>
      <c r="J44" s="943"/>
      <c r="K44" s="1180"/>
      <c r="L44" s="943"/>
      <c r="M44" s="1140"/>
      <c r="N44" s="943"/>
      <c r="O44" s="1180"/>
      <c r="P44" s="943"/>
      <c r="Q44" s="1140"/>
      <c r="R44" s="943"/>
      <c r="S44" s="1180"/>
    </row>
    <row r="45" spans="1:19" x14ac:dyDescent="0.35">
      <c r="A45" s="1179"/>
      <c r="B45" s="1194" t="s">
        <v>942</v>
      </c>
      <c r="C45" s="1086"/>
      <c r="D45" s="682"/>
      <c r="E45" s="642"/>
      <c r="F45" s="642"/>
      <c r="G45" s="646"/>
      <c r="H45" s="943"/>
      <c r="I45" s="1158"/>
      <c r="J45" s="943"/>
      <c r="K45" s="1180"/>
      <c r="L45" s="943"/>
      <c r="M45" s="136"/>
      <c r="N45" s="943"/>
      <c r="O45" s="1180"/>
      <c r="P45" s="943"/>
      <c r="Q45" s="136"/>
      <c r="R45" s="943"/>
      <c r="S45" s="1180"/>
    </row>
    <row r="46" spans="1:19" x14ac:dyDescent="0.35">
      <c r="A46" s="1179"/>
      <c r="B46" s="1194"/>
      <c r="C46" s="1086"/>
      <c r="D46" s="682"/>
      <c r="E46" s="642"/>
      <c r="F46" s="642"/>
      <c r="G46" s="646"/>
      <c r="H46" s="943"/>
      <c r="I46" s="1158"/>
      <c r="J46" s="943"/>
      <c r="K46" s="1180"/>
      <c r="L46" s="943"/>
      <c r="M46" s="136"/>
      <c r="N46" s="943"/>
      <c r="O46" s="1180"/>
      <c r="P46" s="943"/>
      <c r="Q46" s="136"/>
      <c r="R46" s="943"/>
      <c r="S46" s="1180"/>
    </row>
    <row r="47" spans="1:19" x14ac:dyDescent="0.35">
      <c r="A47" s="1179"/>
      <c r="B47" s="1194"/>
      <c r="C47" s="1086"/>
      <c r="D47" s="682"/>
      <c r="E47" s="642"/>
      <c r="F47" s="642"/>
      <c r="G47" s="646"/>
      <c r="H47" s="943"/>
      <c r="I47" s="1158"/>
      <c r="J47" s="943"/>
      <c r="K47" s="1180"/>
      <c r="L47" s="943"/>
      <c r="M47" s="136"/>
      <c r="N47" s="943"/>
      <c r="O47" s="1180"/>
      <c r="P47" s="943"/>
      <c r="Q47" s="136"/>
      <c r="R47" s="943"/>
      <c r="S47" s="1180"/>
    </row>
    <row r="48" spans="1:19" x14ac:dyDescent="0.35">
      <c r="A48" s="1179"/>
      <c r="B48" s="1194"/>
      <c r="C48" s="1086"/>
      <c r="D48" s="682"/>
      <c r="E48" s="642"/>
      <c r="F48" s="642"/>
      <c r="G48" s="646"/>
      <c r="H48" s="943"/>
      <c r="I48" s="1158"/>
      <c r="J48" s="943"/>
      <c r="K48" s="1180"/>
      <c r="L48" s="943"/>
      <c r="M48" s="136"/>
      <c r="N48" s="943"/>
      <c r="O48" s="1180"/>
      <c r="P48" s="943"/>
      <c r="Q48" s="136"/>
      <c r="R48" s="943"/>
      <c r="S48" s="1180"/>
    </row>
    <row r="49" spans="1:19" x14ac:dyDescent="0.35">
      <c r="A49" s="1179"/>
      <c r="B49" s="1108"/>
      <c r="C49" s="1086"/>
      <c r="D49" s="682"/>
      <c r="E49" s="642"/>
      <c r="F49" s="642"/>
      <c r="G49" s="646"/>
      <c r="H49" s="943"/>
      <c r="I49" s="1158"/>
      <c r="J49" s="943"/>
      <c r="K49" s="1180"/>
      <c r="L49" s="943"/>
      <c r="M49" s="136"/>
      <c r="N49" s="943"/>
      <c r="O49" s="1180"/>
      <c r="P49" s="943"/>
      <c r="Q49" s="136"/>
      <c r="R49" s="943"/>
      <c r="S49" s="1180"/>
    </row>
    <row r="50" spans="1:19" x14ac:dyDescent="0.35">
      <c r="A50" s="1179"/>
      <c r="B50" s="1102"/>
      <c r="C50" s="1086"/>
      <c r="D50" s="682"/>
      <c r="E50" s="642"/>
      <c r="F50" s="642"/>
      <c r="G50" s="646"/>
      <c r="H50" s="943"/>
      <c r="I50" s="1158"/>
      <c r="J50" s="943"/>
      <c r="K50" s="1180"/>
      <c r="L50" s="943"/>
      <c r="M50" s="136"/>
      <c r="N50" s="943"/>
      <c r="O50" s="1180"/>
      <c r="P50" s="943"/>
      <c r="Q50" s="136"/>
      <c r="R50" s="943"/>
      <c r="S50" s="1180"/>
    </row>
    <row r="51" spans="1:19" x14ac:dyDescent="0.35">
      <c r="A51" s="1179"/>
      <c r="B51" s="1102"/>
      <c r="C51" s="1086"/>
      <c r="D51" s="682"/>
      <c r="E51" s="642"/>
      <c r="F51" s="642"/>
      <c r="G51" s="646"/>
      <c r="H51" s="943"/>
      <c r="I51" s="1158"/>
      <c r="J51" s="943"/>
      <c r="K51" s="1180"/>
      <c r="L51" s="943"/>
      <c r="M51" s="984"/>
      <c r="N51" s="943"/>
      <c r="O51" s="1180"/>
      <c r="P51" s="943"/>
      <c r="Q51" s="984"/>
      <c r="R51" s="943"/>
      <c r="S51" s="1180"/>
    </row>
    <row r="52" spans="1:19" x14ac:dyDescent="0.35">
      <c r="A52" s="1179"/>
      <c r="B52" s="1109"/>
      <c r="C52" s="1086"/>
      <c r="D52" s="682"/>
      <c r="E52" s="642"/>
      <c r="F52" s="642"/>
      <c r="G52" s="646"/>
      <c r="H52" s="943"/>
      <c r="I52" s="1158"/>
      <c r="J52" s="943"/>
      <c r="K52" s="1180"/>
      <c r="L52" s="943"/>
      <c r="M52" s="984"/>
      <c r="N52" s="943"/>
      <c r="O52" s="1180"/>
      <c r="P52" s="943"/>
      <c r="Q52" s="984"/>
      <c r="R52" s="943"/>
      <c r="S52" s="1180"/>
    </row>
    <row r="53" spans="1:19" x14ac:dyDescent="0.35">
      <c r="A53" s="1179"/>
      <c r="B53" s="1109"/>
      <c r="C53" s="1086"/>
      <c r="D53" s="682"/>
      <c r="E53" s="642"/>
      <c r="F53" s="642"/>
      <c r="G53" s="646"/>
      <c r="H53" s="943"/>
      <c r="I53" s="1158"/>
      <c r="J53" s="943"/>
      <c r="K53" s="1180"/>
      <c r="L53" s="943"/>
      <c r="M53" s="984"/>
      <c r="N53" s="943"/>
      <c r="O53" s="1180"/>
      <c r="P53" s="943"/>
      <c r="Q53" s="984"/>
      <c r="R53" s="943"/>
      <c r="S53" s="1180"/>
    </row>
    <row r="54" spans="1:19" x14ac:dyDescent="0.35">
      <c r="A54" s="1179"/>
      <c r="B54" s="1109"/>
      <c r="C54" s="1086"/>
      <c r="D54" s="682"/>
      <c r="E54" s="642"/>
      <c r="F54" s="642"/>
      <c r="G54" s="646"/>
      <c r="H54" s="943"/>
      <c r="I54" s="1158"/>
      <c r="J54" s="943"/>
      <c r="K54" s="1180"/>
      <c r="L54" s="943"/>
      <c r="M54" s="984"/>
      <c r="N54" s="943"/>
      <c r="O54" s="1180"/>
      <c r="P54" s="943"/>
      <c r="Q54" s="984"/>
      <c r="R54" s="943"/>
      <c r="S54" s="1180"/>
    </row>
    <row r="55" spans="1:19" x14ac:dyDescent="0.35">
      <c r="A55" s="1179"/>
      <c r="B55" s="1109"/>
      <c r="C55" s="1086"/>
      <c r="D55" s="682"/>
      <c r="E55" s="642"/>
      <c r="F55" s="642"/>
      <c r="G55" s="646"/>
      <c r="H55" s="943"/>
      <c r="I55" s="1158"/>
      <c r="J55" s="943"/>
      <c r="K55" s="1180"/>
      <c r="L55" s="943"/>
      <c r="M55" s="984"/>
      <c r="N55" s="943"/>
      <c r="O55" s="1180"/>
      <c r="P55" s="943"/>
      <c r="Q55" s="984"/>
      <c r="R55" s="943"/>
      <c r="S55" s="1180"/>
    </row>
    <row r="56" spans="1:19" x14ac:dyDescent="0.35">
      <c r="A56" s="1179"/>
      <c r="B56" s="1109"/>
      <c r="C56" s="1086"/>
      <c r="D56" s="682"/>
      <c r="E56" s="642"/>
      <c r="F56" s="642"/>
      <c r="G56" s="646"/>
      <c r="H56" s="943"/>
      <c r="I56" s="1158"/>
      <c r="J56" s="943"/>
      <c r="K56" s="1180"/>
      <c r="L56" s="943"/>
      <c r="M56" s="984"/>
      <c r="N56" s="943"/>
      <c r="O56" s="1180"/>
      <c r="P56" s="943"/>
      <c r="Q56" s="984"/>
      <c r="R56" s="943"/>
      <c r="S56" s="1180"/>
    </row>
    <row r="57" spans="1:19" x14ac:dyDescent="0.35">
      <c r="A57" s="1179"/>
      <c r="B57" s="1109"/>
      <c r="C57" s="1086"/>
      <c r="D57" s="682"/>
      <c r="E57" s="642"/>
      <c r="F57" s="642"/>
      <c r="G57" s="646"/>
      <c r="H57" s="943"/>
      <c r="I57" s="1158"/>
      <c r="J57" s="943"/>
      <c r="K57" s="1180"/>
      <c r="L57" s="943"/>
      <c r="M57" s="984"/>
      <c r="N57" s="943"/>
      <c r="O57" s="1180"/>
      <c r="P57" s="943"/>
      <c r="Q57" s="984"/>
      <c r="R57" s="943"/>
      <c r="S57" s="1180"/>
    </row>
    <row r="58" spans="1:19" x14ac:dyDescent="0.35">
      <c r="A58" s="1179"/>
      <c r="B58" s="1109"/>
      <c r="C58" s="1086"/>
      <c r="D58" s="682"/>
      <c r="E58" s="642"/>
      <c r="F58" s="642"/>
      <c r="G58" s="646"/>
      <c r="H58" s="943"/>
      <c r="I58" s="1158"/>
      <c r="J58" s="943"/>
      <c r="K58" s="1180"/>
      <c r="L58" s="943"/>
      <c r="M58" s="984"/>
      <c r="N58" s="943"/>
      <c r="O58" s="1180"/>
      <c r="P58" s="943"/>
      <c r="Q58" s="984"/>
      <c r="R58" s="943"/>
      <c r="S58" s="1180"/>
    </row>
    <row r="59" spans="1:19" x14ac:dyDescent="0.35">
      <c r="A59" s="1179"/>
      <c r="B59" s="1109"/>
      <c r="C59" s="1086"/>
      <c r="D59" s="682"/>
      <c r="E59" s="642"/>
      <c r="F59" s="642"/>
      <c r="G59" s="646"/>
      <c r="H59" s="943"/>
      <c r="I59" s="1158"/>
      <c r="J59" s="943"/>
      <c r="K59" s="1180"/>
      <c r="L59" s="943"/>
      <c r="M59" s="984"/>
      <c r="N59" s="943"/>
      <c r="O59" s="1180"/>
      <c r="P59" s="943"/>
      <c r="Q59" s="984"/>
      <c r="R59" s="943"/>
      <c r="S59" s="1180"/>
    </row>
    <row r="60" spans="1:19" x14ac:dyDescent="0.35">
      <c r="A60" s="1179"/>
      <c r="B60" s="1109"/>
      <c r="C60" s="1086"/>
      <c r="D60" s="682"/>
      <c r="E60" s="642"/>
      <c r="F60" s="642"/>
      <c r="G60" s="646"/>
      <c r="H60" s="943"/>
      <c r="I60" s="1158"/>
      <c r="J60" s="943"/>
      <c r="K60" s="1180"/>
      <c r="L60" s="943"/>
      <c r="M60" s="984"/>
      <c r="N60" s="943"/>
      <c r="O60" s="1180"/>
      <c r="P60" s="943"/>
      <c r="Q60" s="984"/>
      <c r="R60" s="943"/>
      <c r="S60" s="1180"/>
    </row>
    <row r="61" spans="1:19" x14ac:dyDescent="0.35">
      <c r="A61" s="1179"/>
      <c r="B61" s="1109"/>
      <c r="C61" s="1086"/>
      <c r="D61" s="682"/>
      <c r="E61" s="642"/>
      <c r="F61" s="642"/>
      <c r="G61" s="646"/>
      <c r="H61" s="943"/>
      <c r="I61" s="1158"/>
      <c r="J61" s="943"/>
      <c r="K61" s="1180"/>
      <c r="L61" s="943"/>
      <c r="M61" s="984"/>
      <c r="N61" s="943"/>
      <c r="O61" s="1180"/>
      <c r="P61" s="943"/>
      <c r="Q61" s="984"/>
      <c r="R61" s="943"/>
      <c r="S61" s="1180"/>
    </row>
    <row r="62" spans="1:19" x14ac:dyDescent="0.35">
      <c r="A62" s="1179"/>
      <c r="B62" s="1151"/>
      <c r="C62" s="1086"/>
      <c r="D62" s="682"/>
      <c r="E62" s="642"/>
      <c r="F62" s="642"/>
      <c r="G62" s="646"/>
      <c r="H62" s="943"/>
      <c r="I62" s="1180"/>
      <c r="J62" s="943"/>
      <c r="K62" s="1180"/>
      <c r="L62" s="943"/>
      <c r="M62" s="984"/>
      <c r="N62" s="943"/>
      <c r="O62" s="1180"/>
      <c r="P62" s="943"/>
      <c r="Q62" s="984"/>
      <c r="R62" s="943"/>
      <c r="S62" s="1180"/>
    </row>
    <row r="63" spans="1:19" x14ac:dyDescent="0.35">
      <c r="A63" s="1179"/>
      <c r="B63" s="1109"/>
      <c r="C63" s="1086"/>
      <c r="D63" s="682"/>
      <c r="E63" s="642"/>
      <c r="F63" s="642"/>
      <c r="G63" s="646"/>
      <c r="H63" s="943"/>
      <c r="I63" s="1180"/>
      <c r="J63" s="943"/>
      <c r="K63" s="1180"/>
      <c r="L63" s="943"/>
      <c r="M63" s="984"/>
      <c r="N63" s="943"/>
      <c r="O63" s="1180"/>
      <c r="P63" s="943"/>
      <c r="Q63" s="984"/>
      <c r="R63" s="943"/>
      <c r="S63" s="1180"/>
    </row>
    <row r="64" spans="1:19" x14ac:dyDescent="0.35">
      <c r="A64" s="1179"/>
      <c r="B64" s="1109"/>
      <c r="C64" s="1086"/>
      <c r="D64" s="682"/>
      <c r="E64" s="642"/>
      <c r="F64" s="642"/>
      <c r="G64" s="646"/>
      <c r="H64" s="943"/>
      <c r="I64" s="1180"/>
      <c r="J64" s="943"/>
      <c r="K64" s="1180"/>
      <c r="L64" s="943"/>
      <c r="M64" s="1180"/>
      <c r="N64" s="943"/>
      <c r="O64" s="1180"/>
      <c r="P64" s="943"/>
      <c r="Q64" s="1180"/>
      <c r="R64" s="943"/>
      <c r="S64" s="1180"/>
    </row>
    <row r="65" spans="1:19" x14ac:dyDescent="0.35">
      <c r="A65" s="1179"/>
      <c r="B65" s="1109"/>
      <c r="C65" s="1086"/>
      <c r="D65" s="682"/>
      <c r="E65" s="642"/>
      <c r="F65" s="642"/>
      <c r="G65" s="646"/>
      <c r="H65" s="943"/>
      <c r="I65" s="1180"/>
      <c r="J65" s="943"/>
      <c r="K65" s="1180"/>
      <c r="L65" s="943"/>
      <c r="M65" s="1180"/>
      <c r="N65" s="943"/>
      <c r="O65" s="1180"/>
      <c r="P65" s="943"/>
      <c r="Q65" s="1180"/>
      <c r="R65" s="943"/>
      <c r="S65" s="1180"/>
    </row>
    <row r="66" spans="1:19" x14ac:dyDescent="0.35">
      <c r="A66" s="1179"/>
      <c r="B66" s="1109"/>
      <c r="C66" s="1086"/>
      <c r="D66" s="682"/>
      <c r="E66" s="642"/>
      <c r="F66" s="642"/>
      <c r="G66" s="646"/>
      <c r="H66" s="943"/>
      <c r="I66" s="1180"/>
      <c r="J66" s="943"/>
      <c r="K66" s="1180"/>
      <c r="L66" s="943"/>
      <c r="M66" s="1180"/>
      <c r="N66" s="943"/>
      <c r="O66" s="1180"/>
      <c r="P66" s="943"/>
      <c r="Q66" s="1180"/>
      <c r="R66" s="943"/>
      <c r="S66" s="1180"/>
    </row>
    <row r="67" spans="1:19" x14ac:dyDescent="0.35">
      <c r="A67" s="1179"/>
      <c r="B67" s="1109"/>
      <c r="C67" s="1086"/>
      <c r="D67" s="682"/>
      <c r="E67" s="642"/>
      <c r="F67" s="642"/>
      <c r="G67" s="646"/>
      <c r="H67" s="943"/>
      <c r="I67" s="1180"/>
      <c r="J67" s="943"/>
      <c r="K67" s="1180"/>
      <c r="L67" s="943"/>
      <c r="M67" s="1180"/>
      <c r="N67" s="943"/>
      <c r="O67" s="1180"/>
      <c r="P67" s="943"/>
      <c r="Q67" s="1180"/>
      <c r="R67" s="943"/>
      <c r="S67" s="1180"/>
    </row>
    <row r="68" spans="1:19" x14ac:dyDescent="0.35">
      <c r="A68" s="1179"/>
      <c r="B68" s="1109"/>
      <c r="C68" s="1086"/>
      <c r="D68" s="682"/>
      <c r="E68" s="642"/>
      <c r="F68" s="642"/>
      <c r="G68" s="646"/>
      <c r="H68" s="943"/>
      <c r="I68" s="1180"/>
      <c r="J68" s="943"/>
      <c r="K68" s="1180"/>
      <c r="L68" s="943"/>
      <c r="M68" s="1180"/>
      <c r="N68" s="943"/>
      <c r="O68" s="1180"/>
      <c r="P68" s="943"/>
      <c r="Q68" s="1180"/>
      <c r="R68" s="943"/>
      <c r="S68" s="1180"/>
    </row>
    <row r="69" spans="1:19" x14ac:dyDescent="0.35">
      <c r="A69" s="1179"/>
      <c r="B69" s="1109"/>
      <c r="C69" s="1086"/>
      <c r="D69" s="682"/>
      <c r="E69" s="642"/>
      <c r="F69" s="642"/>
      <c r="G69" s="646"/>
      <c r="H69" s="943"/>
      <c r="I69" s="1180"/>
      <c r="J69" s="943"/>
      <c r="K69" s="1180"/>
      <c r="L69" s="943"/>
      <c r="M69" s="1180"/>
      <c r="N69" s="943"/>
      <c r="O69" s="1180"/>
      <c r="P69" s="943"/>
      <c r="Q69" s="1180"/>
      <c r="R69" s="943"/>
      <c r="S69" s="1180"/>
    </row>
    <row r="70" spans="1:19" x14ac:dyDescent="0.35">
      <c r="A70" s="1179"/>
      <c r="B70" s="1109"/>
      <c r="C70" s="1086"/>
      <c r="D70" s="682"/>
      <c r="E70" s="642"/>
      <c r="F70" s="642"/>
      <c r="G70" s="646"/>
      <c r="H70" s="943"/>
      <c r="I70" s="1180"/>
      <c r="J70" s="943"/>
      <c r="K70" s="1180"/>
      <c r="L70" s="943"/>
      <c r="M70" s="1180"/>
      <c r="N70" s="943"/>
      <c r="O70" s="1180"/>
      <c r="P70" s="943"/>
      <c r="Q70" s="1180"/>
      <c r="R70" s="943"/>
      <c r="S70" s="1180"/>
    </row>
    <row r="71" spans="1:19" x14ac:dyDescent="0.35">
      <c r="A71" s="1179"/>
      <c r="B71" s="1109"/>
      <c r="C71" s="1086"/>
      <c r="D71" s="682"/>
      <c r="E71" s="642"/>
      <c r="F71" s="642"/>
      <c r="G71" s="646"/>
      <c r="H71" s="943"/>
      <c r="I71" s="1180"/>
      <c r="J71" s="943"/>
      <c r="K71" s="1180"/>
      <c r="L71" s="943"/>
      <c r="M71" s="1180"/>
      <c r="N71" s="943"/>
      <c r="O71" s="1180"/>
      <c r="P71" s="943"/>
      <c r="Q71" s="1180"/>
      <c r="R71" s="943"/>
      <c r="S71" s="1180"/>
    </row>
    <row r="72" spans="1:19" x14ac:dyDescent="0.35">
      <c r="A72" s="1179"/>
      <c r="B72" s="1109"/>
      <c r="C72" s="1086"/>
      <c r="D72" s="682"/>
      <c r="E72" s="642"/>
      <c r="F72" s="642"/>
      <c r="G72" s="646"/>
      <c r="H72" s="943"/>
      <c r="I72" s="1180"/>
      <c r="J72" s="943"/>
      <c r="K72" s="1180"/>
      <c r="L72" s="943"/>
      <c r="M72" s="1180"/>
      <c r="N72" s="943"/>
      <c r="O72" s="1180"/>
      <c r="P72" s="943"/>
      <c r="Q72" s="1180"/>
      <c r="R72" s="943"/>
      <c r="S72" s="1180"/>
    </row>
    <row r="73" spans="1:19" x14ac:dyDescent="0.35">
      <c r="A73" s="1179"/>
      <c r="B73" s="1109"/>
      <c r="C73" s="1086"/>
      <c r="D73" s="682"/>
      <c r="E73" s="642"/>
      <c r="F73" s="642"/>
      <c r="G73" s="646"/>
      <c r="H73" s="943"/>
      <c r="I73" s="1180"/>
      <c r="J73" s="943"/>
      <c r="K73" s="1180"/>
      <c r="L73" s="943"/>
      <c r="M73" s="1180"/>
      <c r="N73" s="943"/>
      <c r="O73" s="1180"/>
      <c r="P73" s="943"/>
      <c r="Q73" s="1180"/>
      <c r="R73" s="943"/>
      <c r="S73" s="1180"/>
    </row>
    <row r="74" spans="1:19" x14ac:dyDescent="0.35">
      <c r="A74" s="1179"/>
      <c r="B74" s="1109"/>
      <c r="C74" s="1086"/>
      <c r="D74" s="682"/>
      <c r="E74" s="642"/>
      <c r="F74" s="642"/>
      <c r="G74" s="646"/>
      <c r="H74" s="943"/>
      <c r="I74" s="1180"/>
      <c r="J74" s="943"/>
      <c r="K74" s="1180"/>
      <c r="L74" s="943"/>
      <c r="M74" s="1180"/>
      <c r="N74" s="943"/>
      <c r="O74" s="1180"/>
      <c r="P74" s="943"/>
      <c r="Q74" s="1180"/>
      <c r="R74" s="943"/>
      <c r="S74" s="1180"/>
    </row>
    <row r="75" spans="1:19" x14ac:dyDescent="0.35">
      <c r="A75" s="1179"/>
      <c r="B75" s="1109"/>
      <c r="C75" s="1086"/>
      <c r="D75" s="682"/>
      <c r="E75" s="642"/>
      <c r="F75" s="642"/>
      <c r="G75" s="646"/>
      <c r="H75" s="943"/>
      <c r="I75" s="1180"/>
      <c r="J75" s="943"/>
      <c r="K75" s="1180"/>
      <c r="L75" s="943"/>
      <c r="M75" s="1180"/>
      <c r="N75" s="943"/>
      <c r="O75" s="1180"/>
      <c r="P75" s="943"/>
      <c r="Q75" s="1180"/>
      <c r="R75" s="943"/>
      <c r="S75" s="1180"/>
    </row>
    <row r="76" spans="1:19" x14ac:dyDescent="0.35">
      <c r="A76" s="1179"/>
      <c r="B76" s="1109"/>
      <c r="C76" s="1086"/>
      <c r="D76" s="682"/>
      <c r="E76" s="642"/>
      <c r="F76" s="642"/>
      <c r="G76" s="646"/>
      <c r="H76" s="943"/>
      <c r="I76" s="1180"/>
      <c r="J76" s="943"/>
      <c r="K76" s="1180"/>
      <c r="L76" s="943"/>
      <c r="M76" s="1180"/>
      <c r="N76" s="943"/>
      <c r="O76" s="1180"/>
      <c r="P76" s="943"/>
      <c r="Q76" s="1180"/>
      <c r="R76" s="943"/>
      <c r="S76" s="1180"/>
    </row>
    <row r="77" spans="1:19" x14ac:dyDescent="0.35">
      <c r="A77" s="1179"/>
      <c r="B77" s="1109"/>
      <c r="C77" s="1086"/>
      <c r="D77" s="682"/>
      <c r="E77" s="642"/>
      <c r="F77" s="642"/>
      <c r="G77" s="646"/>
      <c r="H77" s="943"/>
      <c r="I77" s="1180"/>
      <c r="J77" s="943"/>
      <c r="K77" s="1180"/>
      <c r="L77" s="943"/>
      <c r="M77" s="1180"/>
      <c r="N77" s="943"/>
      <c r="O77" s="1180"/>
      <c r="P77" s="943"/>
      <c r="Q77" s="1180"/>
      <c r="R77" s="943"/>
      <c r="S77" s="1180"/>
    </row>
    <row r="78" spans="1:19" x14ac:dyDescent="0.35">
      <c r="A78" s="1179"/>
      <c r="B78" s="1109"/>
      <c r="C78" s="1086"/>
      <c r="D78" s="682"/>
      <c r="E78" s="642"/>
      <c r="F78" s="642"/>
      <c r="G78" s="646"/>
      <c r="H78" s="943"/>
      <c r="I78" s="1180"/>
      <c r="J78" s="943"/>
      <c r="K78" s="1180"/>
      <c r="L78" s="943"/>
      <c r="M78" s="1180"/>
      <c r="N78" s="943"/>
      <c r="O78" s="1180"/>
      <c r="P78" s="943"/>
      <c r="Q78" s="1180"/>
      <c r="R78" s="943"/>
      <c r="S78" s="1180"/>
    </row>
    <row r="79" spans="1:19" x14ac:dyDescent="0.35">
      <c r="A79" s="1179"/>
      <c r="B79" s="1109"/>
      <c r="C79" s="1086"/>
      <c r="D79" s="682"/>
      <c r="E79" s="642"/>
      <c r="F79" s="642"/>
      <c r="G79" s="646"/>
      <c r="H79" s="943"/>
      <c r="I79" s="1180"/>
      <c r="J79" s="943"/>
      <c r="K79" s="1180"/>
      <c r="L79" s="943"/>
      <c r="M79" s="1180"/>
      <c r="N79" s="943"/>
      <c r="O79" s="1180"/>
      <c r="P79" s="943"/>
      <c r="Q79" s="1180"/>
      <c r="R79" s="943"/>
      <c r="S79" s="1180"/>
    </row>
    <row r="80" spans="1:19" x14ac:dyDescent="0.35">
      <c r="A80" s="1179"/>
      <c r="B80" s="1109"/>
      <c r="C80" s="1086"/>
      <c r="D80" s="682"/>
      <c r="E80" s="642"/>
      <c r="F80" s="642"/>
      <c r="G80" s="646"/>
      <c r="H80" s="943"/>
      <c r="I80" s="1180"/>
      <c r="J80" s="943"/>
      <c r="K80" s="1180"/>
      <c r="L80" s="943"/>
      <c r="M80" s="1180"/>
      <c r="N80" s="943"/>
      <c r="O80" s="1180"/>
      <c r="P80" s="943"/>
      <c r="Q80" s="1180"/>
      <c r="R80" s="943"/>
      <c r="S80" s="1180"/>
    </row>
    <row r="81" spans="1:19" x14ac:dyDescent="0.35">
      <c r="A81" s="1179"/>
      <c r="B81" s="1109"/>
      <c r="C81" s="1086"/>
      <c r="D81" s="682"/>
      <c r="E81" s="642"/>
      <c r="F81" s="642"/>
      <c r="G81" s="646"/>
      <c r="H81" s="943"/>
      <c r="I81" s="1180"/>
      <c r="J81" s="943"/>
      <c r="K81" s="1180"/>
      <c r="L81" s="943"/>
      <c r="M81" s="1180"/>
      <c r="N81" s="943"/>
      <c r="O81" s="1180"/>
      <c r="P81" s="943"/>
      <c r="Q81" s="1180"/>
      <c r="R81" s="943"/>
      <c r="S81" s="1180"/>
    </row>
    <row r="82" spans="1:19" x14ac:dyDescent="0.35">
      <c r="A82" s="1179"/>
      <c r="B82" s="1109"/>
      <c r="C82" s="1086"/>
      <c r="D82" s="682"/>
      <c r="E82" s="642"/>
      <c r="F82" s="642"/>
      <c r="G82" s="646"/>
      <c r="H82" s="943"/>
      <c r="I82" s="1180"/>
      <c r="J82" s="943"/>
      <c r="K82" s="1180"/>
      <c r="L82" s="943"/>
      <c r="M82" s="1180"/>
      <c r="N82" s="943"/>
      <c r="O82" s="1180"/>
      <c r="P82" s="943"/>
      <c r="Q82" s="1180"/>
      <c r="R82" s="943"/>
      <c r="S82" s="1180"/>
    </row>
    <row r="83" spans="1:19" x14ac:dyDescent="0.35">
      <c r="A83" s="1179"/>
      <c r="B83" s="1109"/>
      <c r="C83" s="1086"/>
      <c r="D83" s="682"/>
      <c r="E83" s="642"/>
      <c r="F83" s="642"/>
      <c r="G83" s="646"/>
      <c r="H83" s="943"/>
      <c r="I83" s="1180"/>
      <c r="J83" s="943"/>
      <c r="K83" s="1180"/>
      <c r="L83" s="943"/>
      <c r="M83" s="1180"/>
      <c r="N83" s="943"/>
      <c r="O83" s="1180"/>
      <c r="P83" s="943"/>
      <c r="Q83" s="1180"/>
      <c r="R83" s="943"/>
      <c r="S83" s="1180"/>
    </row>
    <row r="84" spans="1:19" x14ac:dyDescent="0.35">
      <c r="A84" s="1179"/>
      <c r="B84" s="1109"/>
      <c r="C84" s="1086"/>
      <c r="D84" s="682"/>
      <c r="E84" s="642"/>
      <c r="F84" s="642"/>
      <c r="G84" s="646"/>
      <c r="H84" s="943"/>
      <c r="I84" s="1180"/>
      <c r="J84" s="943"/>
      <c r="K84" s="1180"/>
      <c r="L84" s="943"/>
      <c r="M84" s="1180"/>
      <c r="N84" s="943"/>
      <c r="O84" s="1180"/>
      <c r="P84" s="943"/>
      <c r="Q84" s="1180"/>
      <c r="R84" s="943"/>
      <c r="S84" s="1180"/>
    </row>
    <row r="85" spans="1:19" x14ac:dyDescent="0.35">
      <c r="A85" s="1179"/>
      <c r="B85" s="1104"/>
      <c r="C85" s="1039"/>
      <c r="D85" s="940"/>
      <c r="E85" s="940"/>
      <c r="F85" s="940"/>
      <c r="G85" s="1039"/>
      <c r="H85" s="943"/>
      <c r="I85" s="1158"/>
      <c r="J85" s="943"/>
      <c r="K85" s="1158"/>
      <c r="L85" s="943"/>
      <c r="M85" s="1158"/>
      <c r="N85" s="943"/>
      <c r="O85" s="1158"/>
      <c r="P85" s="943"/>
      <c r="Q85" s="1158"/>
      <c r="R85" s="943"/>
      <c r="S85" s="1158"/>
    </row>
    <row r="86" spans="1:19" ht="15" thickBot="1" x14ac:dyDescent="0.4">
      <c r="A86" s="1116"/>
      <c r="B86" s="1104"/>
      <c r="C86" s="1117"/>
      <c r="D86" s="1118"/>
      <c r="E86" s="1118"/>
      <c r="F86" s="1118"/>
      <c r="G86" s="1117"/>
      <c r="H86" s="943"/>
      <c r="I86" s="1119"/>
      <c r="J86" s="943"/>
      <c r="K86" s="1119"/>
      <c r="L86" s="943"/>
      <c r="M86" s="1119"/>
      <c r="N86" s="943"/>
      <c r="O86" s="1119"/>
      <c r="P86" s="943"/>
      <c r="Q86" s="1119"/>
      <c r="R86" s="943"/>
      <c r="S86" s="1119"/>
    </row>
    <row r="87" spans="1:19" ht="15" thickTop="1" x14ac:dyDescent="0.35">
      <c r="A87" s="14"/>
      <c r="B87" s="15"/>
      <c r="C87" s="16"/>
      <c r="D87" s="16"/>
      <c r="E87" s="17"/>
      <c r="F87" s="18" t="s">
        <v>715</v>
      </c>
      <c r="G87" s="19"/>
      <c r="H87" s="20"/>
      <c r="I87" s="50">
        <f>SUM(I24:I86)</f>
        <v>0</v>
      </c>
      <c r="J87" s="20"/>
      <c r="K87" s="50">
        <f>SUM(K24:K86)</f>
        <v>0</v>
      </c>
      <c r="L87" s="20"/>
      <c r="M87" s="50">
        <f>SUM(M24:M86)</f>
        <v>0</v>
      </c>
      <c r="N87" s="20"/>
      <c r="O87" s="50">
        <f>SUM(O24:O86)</f>
        <v>0</v>
      </c>
      <c r="P87" s="20"/>
      <c r="Q87" s="50">
        <f>SUM(Q24:Q86)</f>
        <v>0</v>
      </c>
      <c r="R87" s="20"/>
      <c r="S87" s="50">
        <f>SUM(S24:S86)</f>
        <v>0</v>
      </c>
    </row>
    <row r="88" spans="1:19" x14ac:dyDescent="0.35">
      <c r="A88" s="684"/>
      <c r="B88" s="655"/>
      <c r="C88" s="656"/>
      <c r="D88" s="656"/>
      <c r="E88" s="657"/>
      <c r="F88" s="658" t="s">
        <v>716</v>
      </c>
      <c r="G88" s="659"/>
      <c r="H88" s="959">
        <v>0</v>
      </c>
      <c r="I88" s="1121"/>
      <c r="J88" s="959">
        <v>0</v>
      </c>
      <c r="K88" s="1121"/>
      <c r="L88" s="1153">
        <v>0</v>
      </c>
      <c r="M88" s="1121"/>
      <c r="N88" s="959">
        <v>0</v>
      </c>
      <c r="O88" s="1121"/>
      <c r="P88" s="1153">
        <v>0</v>
      </c>
      <c r="Q88" s="1121"/>
      <c r="R88" s="959">
        <v>0</v>
      </c>
      <c r="S88" s="1121"/>
    </row>
    <row r="89" spans="1:19" x14ac:dyDescent="0.35">
      <c r="A89" s="684"/>
      <c r="B89" s="655"/>
      <c r="C89" s="656"/>
      <c r="D89" s="656"/>
      <c r="E89" s="657"/>
      <c r="F89" s="658" t="s">
        <v>717</v>
      </c>
      <c r="G89" s="659"/>
      <c r="H89" s="961"/>
      <c r="I89" s="1122">
        <f>H88*I87</f>
        <v>0</v>
      </c>
      <c r="J89" s="961"/>
      <c r="K89" s="1122">
        <f>J88*K87</f>
        <v>0</v>
      </c>
      <c r="L89" s="961"/>
      <c r="M89" s="1122">
        <f>L88*M87</f>
        <v>0</v>
      </c>
      <c r="N89" s="961"/>
      <c r="O89" s="1122">
        <f>N88*O87</f>
        <v>0</v>
      </c>
      <c r="P89" s="961"/>
      <c r="Q89" s="1122">
        <f>P88*Q87</f>
        <v>0</v>
      </c>
      <c r="R89" s="961"/>
      <c r="S89" s="1122">
        <f>R88*S87</f>
        <v>0</v>
      </c>
    </row>
    <row r="90" spans="1:19" x14ac:dyDescent="0.35">
      <c r="A90" s="684"/>
      <c r="B90" s="655"/>
      <c r="C90" s="656"/>
      <c r="D90" s="656"/>
      <c r="E90" s="657"/>
      <c r="F90" s="658"/>
      <c r="G90" s="659"/>
      <c r="H90" s="961"/>
      <c r="I90" s="963"/>
      <c r="J90" s="961"/>
      <c r="K90" s="963"/>
      <c r="L90" s="961"/>
      <c r="M90" s="963"/>
      <c r="N90" s="961"/>
      <c r="O90" s="963"/>
      <c r="P90" s="961"/>
      <c r="Q90" s="963"/>
      <c r="R90" s="961"/>
      <c r="S90" s="963"/>
    </row>
    <row r="91" spans="1:19" x14ac:dyDescent="0.35">
      <c r="A91" s="684"/>
      <c r="B91" s="655"/>
      <c r="C91" s="656"/>
      <c r="D91" s="656"/>
      <c r="E91" s="657"/>
      <c r="F91" s="658" t="s">
        <v>718</v>
      </c>
      <c r="G91" s="659"/>
      <c r="H91" s="964"/>
      <c r="I91" s="962">
        <f>SUM(I87:I89)</f>
        <v>0</v>
      </c>
      <c r="J91" s="964"/>
      <c r="K91" s="962">
        <f>SUM(K87:K89)</f>
        <v>0</v>
      </c>
      <c r="L91" s="964"/>
      <c r="M91" s="962">
        <f>SUM(M87:M89)</f>
        <v>0</v>
      </c>
      <c r="N91" s="964"/>
      <c r="O91" s="962">
        <f>SUM(O87:O89)</f>
        <v>0</v>
      </c>
      <c r="P91" s="964"/>
      <c r="Q91" s="962">
        <f>SUM(Q87:Q89)</f>
        <v>0</v>
      </c>
      <c r="R91" s="964"/>
      <c r="S91" s="962">
        <f>SUM(S87:S89)</f>
        <v>0</v>
      </c>
    </row>
    <row r="92" spans="1:19" x14ac:dyDescent="0.35">
      <c r="A92" s="684"/>
      <c r="B92" s="655"/>
      <c r="C92" s="656"/>
      <c r="D92" s="656"/>
      <c r="E92" s="657"/>
      <c r="F92" s="660" t="s">
        <v>719</v>
      </c>
      <c r="G92" s="661"/>
      <c r="H92" s="965"/>
      <c r="I92" s="966" t="e">
        <f>I91/#REF!</f>
        <v>#REF!</v>
      </c>
      <c r="J92" s="965"/>
      <c r="K92" s="966" t="e">
        <f>K91/#REF!</f>
        <v>#REF!</v>
      </c>
      <c r="L92" s="965"/>
      <c r="M92" s="966" t="e">
        <f>M91/#REF!</f>
        <v>#REF!</v>
      </c>
      <c r="N92" s="965"/>
      <c r="O92" s="966" t="e">
        <f>O91/#REF!</f>
        <v>#REF!</v>
      </c>
      <c r="P92" s="965"/>
      <c r="Q92" s="966" t="e">
        <f>Q91/#REF!</f>
        <v>#REF!</v>
      </c>
      <c r="R92" s="965"/>
      <c r="S92" s="966" t="e">
        <f>S91/#REF!</f>
        <v>#REF!</v>
      </c>
    </row>
    <row r="93" spans="1:19" x14ac:dyDescent="0.35">
      <c r="A93" s="684"/>
      <c r="B93" s="655"/>
      <c r="C93" s="656"/>
      <c r="D93" s="656"/>
      <c r="E93" s="657"/>
      <c r="F93" s="660" t="s">
        <v>720</v>
      </c>
      <c r="G93" s="662"/>
      <c r="H93" s="965"/>
      <c r="I93" s="966" t="e">
        <f>I91/#REF!</f>
        <v>#REF!</v>
      </c>
      <c r="J93" s="965"/>
      <c r="K93" s="966" t="e">
        <f>K91/#REF!</f>
        <v>#REF!</v>
      </c>
      <c r="L93" s="965"/>
      <c r="M93" s="966" t="e">
        <f>M91/#REF!</f>
        <v>#REF!</v>
      </c>
      <c r="N93" s="965"/>
      <c r="O93" s="966" t="e">
        <f>O91/#REF!</f>
        <v>#REF!</v>
      </c>
      <c r="P93" s="965"/>
      <c r="Q93" s="966" t="e">
        <f>Q91/#REF!</f>
        <v>#REF!</v>
      </c>
      <c r="R93" s="965"/>
      <c r="S93" s="966" t="e">
        <f>S91/#REF!</f>
        <v>#REF!</v>
      </c>
    </row>
    <row r="94" spans="1:19" ht="15" thickBot="1" x14ac:dyDescent="0.4">
      <c r="A94" s="684"/>
      <c r="B94" s="655"/>
      <c r="C94" s="656"/>
      <c r="D94" s="656"/>
      <c r="E94" s="657"/>
      <c r="F94" s="658"/>
      <c r="G94" s="663"/>
      <c r="H94" s="1168"/>
      <c r="I94" s="1169"/>
      <c r="J94" s="967"/>
      <c r="K94" s="967"/>
      <c r="L94" s="967"/>
      <c r="M94" s="967"/>
      <c r="N94" s="967"/>
      <c r="O94" s="967"/>
      <c r="P94" s="967"/>
      <c r="Q94" s="967"/>
      <c r="R94" s="967"/>
      <c r="S94" s="967"/>
    </row>
    <row r="95" spans="1:19" ht="15.5" thickTop="1" thickBot="1" x14ac:dyDescent="0.4">
      <c r="A95" s="3764" t="s">
        <v>721</v>
      </c>
      <c r="B95" s="3765"/>
      <c r="C95" s="12"/>
      <c r="D95" s="12"/>
      <c r="E95" s="12"/>
      <c r="F95" s="12"/>
      <c r="G95" s="13"/>
      <c r="H95" s="21"/>
      <c r="I95" s="21"/>
      <c r="J95" s="21"/>
      <c r="K95" s="21"/>
      <c r="L95" s="21"/>
      <c r="M95" s="21"/>
      <c r="N95" s="21"/>
      <c r="O95" s="21"/>
      <c r="P95" s="21"/>
      <c r="Q95" s="21"/>
      <c r="R95" s="21"/>
      <c r="S95" s="21"/>
    </row>
    <row r="96" spans="1:19" ht="15" thickTop="1" x14ac:dyDescent="0.35">
      <c r="A96" s="1170"/>
      <c r="B96" s="641"/>
      <c r="C96" s="707"/>
      <c r="D96" s="707"/>
      <c r="E96" s="707"/>
      <c r="F96" s="707"/>
      <c r="G96" s="1195"/>
      <c r="H96" s="972"/>
      <c r="I96" s="972"/>
      <c r="J96" s="972"/>
      <c r="K96" s="972"/>
      <c r="L96" s="972"/>
      <c r="M96" s="972"/>
      <c r="N96" s="972"/>
      <c r="O96" s="972"/>
      <c r="P96" s="972"/>
      <c r="Q96" s="972"/>
      <c r="R96" s="972"/>
      <c r="S96" s="972"/>
    </row>
    <row r="97" spans="1:19" x14ac:dyDescent="0.35">
      <c r="A97" s="1170"/>
      <c r="B97" s="641"/>
      <c r="C97" s="707"/>
      <c r="D97" s="707"/>
      <c r="E97" s="707"/>
      <c r="F97" s="707"/>
      <c r="G97" s="1195"/>
      <c r="H97" s="972"/>
      <c r="I97" s="972"/>
      <c r="J97" s="972"/>
      <c r="K97" s="972"/>
      <c r="L97" s="972"/>
      <c r="M97" s="972"/>
      <c r="N97" s="972"/>
      <c r="O97" s="972"/>
      <c r="P97" s="972"/>
      <c r="Q97" s="972"/>
      <c r="R97" s="972"/>
      <c r="S97" s="972"/>
    </row>
    <row r="98" spans="1:19" s="2" customFormat="1" ht="15" thickBot="1" x14ac:dyDescent="0.4">
      <c r="A98" s="1170"/>
      <c r="B98" s="641"/>
      <c r="C98" s="707"/>
      <c r="D98" s="707"/>
      <c r="E98" s="707"/>
      <c r="F98" s="707"/>
      <c r="G98" s="1195"/>
      <c r="H98" s="972"/>
      <c r="I98" s="972"/>
      <c r="J98" s="972"/>
      <c r="K98" s="972"/>
      <c r="L98" s="972"/>
      <c r="M98" s="972"/>
      <c r="N98" s="972"/>
      <c r="O98" s="972"/>
      <c r="P98" s="972"/>
      <c r="Q98" s="972"/>
      <c r="R98" s="972"/>
      <c r="S98" s="972"/>
    </row>
    <row r="99" spans="1:19" ht="15.5" thickTop="1" thickBot="1" x14ac:dyDescent="0.4">
      <c r="A99" s="3764" t="s">
        <v>722</v>
      </c>
      <c r="B99" s="3765"/>
      <c r="C99" s="12"/>
      <c r="D99" s="12"/>
      <c r="E99" s="12"/>
      <c r="F99" s="12"/>
      <c r="G99" s="13"/>
      <c r="H99" s="21"/>
      <c r="I99" s="21"/>
      <c r="J99" s="21"/>
      <c r="K99" s="21"/>
      <c r="L99" s="21"/>
      <c r="M99" s="21"/>
      <c r="N99" s="21"/>
      <c r="O99" s="21"/>
      <c r="P99" s="21"/>
      <c r="Q99" s="21"/>
      <c r="R99" s="21"/>
      <c r="S99" s="21"/>
    </row>
    <row r="100" spans="1:19" s="2" customFormat="1" ht="15" thickTop="1" x14ac:dyDescent="0.35">
      <c r="A100" s="1170"/>
      <c r="B100" s="641"/>
      <c r="C100" s="707"/>
      <c r="D100" s="707"/>
      <c r="E100" s="707"/>
      <c r="F100" s="707"/>
      <c r="G100" s="1195"/>
      <c r="H100" s="972"/>
      <c r="I100" s="972"/>
      <c r="J100" s="972"/>
      <c r="K100" s="972"/>
      <c r="L100" s="972"/>
      <c r="M100" s="972"/>
      <c r="N100" s="972"/>
      <c r="O100" s="972"/>
      <c r="P100" s="972"/>
      <c r="Q100" s="972"/>
      <c r="R100" s="972"/>
      <c r="S100" s="972"/>
    </row>
    <row r="101" spans="1:19" s="2" customFormat="1" x14ac:dyDescent="0.35">
      <c r="A101" s="1170"/>
      <c r="B101" s="641"/>
      <c r="C101" s="707"/>
      <c r="D101" s="707"/>
      <c r="E101" s="707"/>
      <c r="F101" s="707"/>
      <c r="G101" s="1195"/>
      <c r="H101" s="972"/>
      <c r="I101" s="972"/>
      <c r="J101" s="972"/>
      <c r="K101" s="972"/>
      <c r="L101" s="972"/>
      <c r="M101" s="972"/>
      <c r="N101" s="972"/>
      <c r="O101" s="972"/>
      <c r="P101" s="972"/>
      <c r="Q101" s="972"/>
      <c r="R101" s="972"/>
      <c r="S101" s="972"/>
    </row>
    <row r="102" spans="1:19" s="2" customFormat="1" ht="15" thickBot="1" x14ac:dyDescent="0.4">
      <c r="A102" s="1170"/>
      <c r="B102" s="641"/>
      <c r="C102" s="707"/>
      <c r="D102" s="707"/>
      <c r="E102" s="707"/>
      <c r="F102" s="707"/>
      <c r="G102" s="1195"/>
      <c r="H102" s="972"/>
      <c r="I102" s="972"/>
      <c r="J102" s="972"/>
      <c r="K102" s="972"/>
      <c r="L102" s="972"/>
      <c r="M102" s="972"/>
      <c r="N102" s="972"/>
      <c r="O102" s="972"/>
      <c r="P102" s="972"/>
      <c r="Q102" s="972"/>
      <c r="R102" s="972"/>
      <c r="S102" s="972"/>
    </row>
    <row r="103" spans="1:19" ht="15.5" thickTop="1" thickBot="1" x14ac:dyDescent="0.4">
      <c r="A103" s="3764" t="s">
        <v>723</v>
      </c>
      <c r="B103" s="3765"/>
      <c r="C103" s="12"/>
      <c r="D103" s="12"/>
      <c r="E103" s="12"/>
      <c r="F103" s="12"/>
      <c r="G103" s="13"/>
      <c r="H103" s="21"/>
      <c r="I103" s="21"/>
      <c r="J103" s="21"/>
      <c r="K103" s="21"/>
      <c r="L103" s="21"/>
      <c r="M103" s="21"/>
      <c r="N103" s="21"/>
      <c r="O103" s="21"/>
      <c r="P103" s="21"/>
      <c r="Q103" s="21"/>
      <c r="R103" s="21"/>
      <c r="S103" s="21"/>
    </row>
    <row r="104" spans="1:19" ht="15" thickTop="1" x14ac:dyDescent="0.35">
      <c r="A104" s="1170"/>
      <c r="B104" s="641"/>
      <c r="C104" s="707"/>
      <c r="D104" s="707"/>
      <c r="E104" s="707"/>
      <c r="F104" s="707"/>
      <c r="G104" s="1195"/>
      <c r="H104" s="972"/>
      <c r="I104" s="972"/>
      <c r="J104" s="972"/>
      <c r="K104" s="972"/>
      <c r="L104" s="972"/>
      <c r="M104" s="972"/>
      <c r="N104" s="972"/>
      <c r="O104" s="972"/>
      <c r="P104" s="972"/>
      <c r="Q104" s="972"/>
      <c r="R104" s="972"/>
      <c r="S104" s="972"/>
    </row>
    <row r="105" spans="1:19" x14ac:dyDescent="0.35">
      <c r="A105" s="689"/>
      <c r="B105" s="641"/>
      <c r="C105" s="642"/>
      <c r="D105" s="642"/>
      <c r="E105" s="642"/>
      <c r="F105" s="642"/>
      <c r="G105" s="646"/>
      <c r="H105" s="973"/>
      <c r="I105" s="973"/>
      <c r="J105" s="973"/>
      <c r="K105" s="973"/>
      <c r="L105" s="973"/>
      <c r="M105" s="973"/>
      <c r="N105" s="973"/>
      <c r="O105" s="973"/>
      <c r="P105" s="973"/>
      <c r="Q105" s="973"/>
      <c r="R105" s="973"/>
      <c r="S105" s="973"/>
    </row>
    <row r="106" spans="1:19" ht="15" thickBot="1" x14ac:dyDescent="0.4">
      <c r="A106" s="686"/>
      <c r="B106" s="665"/>
      <c r="C106" s="642"/>
      <c r="D106" s="642"/>
      <c r="E106" s="642"/>
      <c r="F106" s="642"/>
      <c r="G106" s="646"/>
      <c r="H106" s="974"/>
      <c r="I106" s="974"/>
      <c r="J106" s="974"/>
      <c r="K106" s="974"/>
      <c r="L106" s="974"/>
      <c r="M106" s="974"/>
      <c r="N106" s="974"/>
      <c r="O106" s="974"/>
      <c r="P106" s="974"/>
      <c r="Q106" s="974"/>
      <c r="R106" s="974"/>
      <c r="S106" s="974"/>
    </row>
    <row r="107" spans="1:19" ht="15.5" thickTop="1" thickBot="1" x14ac:dyDescent="0.4">
      <c r="A107" s="3764" t="s">
        <v>724</v>
      </c>
      <c r="B107" s="3765"/>
      <c r="C107" s="12"/>
      <c r="D107" s="12"/>
      <c r="E107" s="12"/>
      <c r="F107" s="12"/>
      <c r="G107" s="13"/>
      <c r="H107" s="21"/>
      <c r="I107" s="21"/>
      <c r="J107" s="21"/>
      <c r="K107" s="21"/>
      <c r="L107" s="21"/>
      <c r="M107" s="21"/>
      <c r="N107" s="21"/>
      <c r="O107" s="21"/>
      <c r="P107" s="21"/>
      <c r="Q107" s="21"/>
      <c r="R107" s="21"/>
      <c r="S107" s="21"/>
    </row>
    <row r="108" spans="1:19" ht="15" thickTop="1" x14ac:dyDescent="0.35">
      <c r="A108" s="975"/>
      <c r="B108" s="708"/>
      <c r="C108" s="707"/>
      <c r="D108" s="707"/>
      <c r="E108" s="707"/>
      <c r="F108" s="707"/>
      <c r="G108" s="1195"/>
      <c r="H108" s="972"/>
      <c r="I108" s="972"/>
      <c r="J108" s="972"/>
      <c r="K108" s="972"/>
      <c r="L108" s="972"/>
      <c r="M108" s="972"/>
      <c r="N108" s="972"/>
      <c r="O108" s="972"/>
      <c r="P108" s="972"/>
      <c r="Q108" s="972"/>
      <c r="R108" s="972"/>
      <c r="S108" s="972"/>
    </row>
    <row r="109" spans="1:19" x14ac:dyDescent="0.35">
      <c r="A109" s="686"/>
      <c r="B109" s="665"/>
      <c r="C109" s="642"/>
      <c r="D109" s="642"/>
      <c r="E109" s="642"/>
      <c r="F109" s="642"/>
      <c r="G109" s="646"/>
      <c r="H109" s="977"/>
      <c r="I109" s="977"/>
      <c r="J109" s="977"/>
      <c r="K109" s="977"/>
      <c r="L109" s="977"/>
      <c r="M109" s="977"/>
      <c r="N109" s="977"/>
      <c r="O109" s="977"/>
      <c r="P109" s="977"/>
      <c r="Q109" s="977"/>
      <c r="R109" s="977"/>
      <c r="S109" s="977"/>
    </row>
    <row r="110" spans="1:19" ht="15" thickBot="1" x14ac:dyDescent="0.4">
      <c r="A110" s="686"/>
      <c r="B110" s="665"/>
      <c r="C110" s="642"/>
      <c r="D110" s="642"/>
      <c r="E110" s="642"/>
      <c r="F110" s="642"/>
      <c r="G110" s="646"/>
      <c r="H110" s="977"/>
      <c r="I110" s="977"/>
      <c r="J110" s="977"/>
      <c r="K110" s="977"/>
      <c r="L110" s="977"/>
      <c r="M110" s="977"/>
      <c r="N110" s="977"/>
      <c r="O110" s="977"/>
      <c r="P110" s="977"/>
      <c r="Q110" s="977"/>
      <c r="R110" s="977"/>
      <c r="S110" s="977"/>
    </row>
    <row r="111" spans="1:19" ht="15.5" thickTop="1" thickBot="1" x14ac:dyDescent="0.4">
      <c r="A111" s="3764" t="s">
        <v>725</v>
      </c>
      <c r="B111" s="3765"/>
      <c r="C111" s="12"/>
      <c r="D111" s="12"/>
      <c r="E111" s="12"/>
      <c r="F111" s="12"/>
      <c r="G111" s="13"/>
      <c r="H111" s="21"/>
      <c r="I111" s="21"/>
      <c r="J111" s="21"/>
      <c r="K111" s="21"/>
      <c r="L111" s="21"/>
      <c r="M111" s="21"/>
      <c r="N111" s="21"/>
      <c r="O111" s="21"/>
      <c r="P111" s="21"/>
      <c r="Q111" s="21"/>
      <c r="R111" s="21"/>
      <c r="S111" s="21"/>
    </row>
    <row r="112" spans="1:19" ht="15" thickTop="1" x14ac:dyDescent="0.35">
      <c r="A112" s="689"/>
      <c r="B112" s="641" t="s">
        <v>726</v>
      </c>
      <c r="C112" s="642"/>
      <c r="D112" s="642"/>
      <c r="E112" s="642"/>
      <c r="F112" s="642"/>
      <c r="G112" s="646"/>
      <c r="H112" s="977"/>
      <c r="I112" s="977"/>
      <c r="J112" s="977"/>
      <c r="K112" s="977"/>
      <c r="L112" s="977"/>
      <c r="M112" s="977"/>
      <c r="N112" s="977"/>
      <c r="O112" s="977"/>
      <c r="P112" s="977"/>
      <c r="Q112" s="977"/>
      <c r="R112" s="977"/>
      <c r="S112" s="977"/>
    </row>
    <row r="113" spans="1:19" x14ac:dyDescent="0.35">
      <c r="A113" s="689"/>
      <c r="B113" s="641" t="s">
        <v>727</v>
      </c>
      <c r="C113" s="642"/>
      <c r="D113" s="642"/>
      <c r="E113" s="642"/>
      <c r="F113" s="642"/>
      <c r="G113" s="646"/>
      <c r="H113" s="977"/>
      <c r="I113" s="977"/>
      <c r="J113" s="977"/>
      <c r="K113" s="977"/>
      <c r="L113" s="977"/>
      <c r="M113" s="977"/>
      <c r="N113" s="977"/>
      <c r="O113" s="977"/>
      <c r="P113" s="977"/>
      <c r="Q113" s="977"/>
      <c r="R113" s="977"/>
      <c r="S113" s="977"/>
    </row>
    <row r="114" spans="1:19" x14ac:dyDescent="0.35">
      <c r="A114" s="689"/>
      <c r="B114" s="641" t="s">
        <v>728</v>
      </c>
      <c r="C114" s="642"/>
      <c r="D114" s="642"/>
      <c r="E114" s="642"/>
      <c r="F114" s="642"/>
      <c r="G114" s="646"/>
      <c r="H114" s="977"/>
      <c r="I114" s="977"/>
      <c r="J114" s="977"/>
      <c r="K114" s="977"/>
      <c r="L114" s="977"/>
      <c r="M114" s="977"/>
      <c r="N114" s="977"/>
      <c r="O114" s="977"/>
      <c r="P114" s="977"/>
      <c r="Q114" s="977"/>
      <c r="R114" s="977"/>
      <c r="S114" s="977"/>
    </row>
    <row r="115" spans="1:19" x14ac:dyDescent="0.35">
      <c r="A115" s="689"/>
      <c r="B115" s="641" t="s">
        <v>729</v>
      </c>
      <c r="C115" s="642"/>
      <c r="D115" s="642"/>
      <c r="E115" s="642"/>
      <c r="F115" s="642"/>
      <c r="G115" s="646"/>
      <c r="H115" s="977"/>
      <c r="I115" s="977"/>
      <c r="J115" s="977"/>
      <c r="K115" s="977"/>
      <c r="L115" s="977"/>
      <c r="M115" s="977"/>
      <c r="N115" s="977"/>
      <c r="O115" s="977"/>
      <c r="P115" s="977"/>
      <c r="Q115" s="977"/>
      <c r="R115" s="977"/>
      <c r="S115" s="977"/>
    </row>
    <row r="116" spans="1:19" ht="15" thickBot="1" x14ac:dyDescent="0.4">
      <c r="A116" s="978"/>
      <c r="B116" s="939"/>
      <c r="C116" s="940"/>
      <c r="D116" s="940"/>
      <c r="E116" s="940"/>
      <c r="F116" s="940"/>
      <c r="G116" s="1039"/>
      <c r="H116" s="981"/>
      <c r="I116" s="981"/>
      <c r="J116" s="981"/>
      <c r="K116" s="981"/>
      <c r="L116" s="981"/>
      <c r="M116" s="981"/>
      <c r="N116" s="981"/>
      <c r="O116" s="981"/>
      <c r="P116" s="981"/>
      <c r="Q116" s="981"/>
      <c r="R116" s="981"/>
      <c r="S116" s="981"/>
    </row>
    <row r="117" spans="1:19" ht="15.5" thickTop="1" thickBot="1" x14ac:dyDescent="0.4">
      <c r="A117" s="7" t="s">
        <v>730</v>
      </c>
      <c r="B117" s="8"/>
      <c r="C117" s="12"/>
      <c r="D117" s="12"/>
      <c r="E117" s="12"/>
      <c r="F117" s="12"/>
      <c r="G117" s="13"/>
      <c r="H117" s="21"/>
      <c r="I117" s="21"/>
      <c r="J117" s="21"/>
      <c r="K117" s="21"/>
      <c r="L117" s="21"/>
      <c r="M117" s="21"/>
      <c r="N117" s="21"/>
      <c r="O117" s="21"/>
      <c r="P117" s="21"/>
      <c r="Q117" s="21"/>
      <c r="R117" s="21"/>
      <c r="S117" s="21"/>
    </row>
    <row r="118" spans="1:19" ht="15" thickTop="1" x14ac:dyDescent="0.35">
      <c r="A118" s="1170"/>
      <c r="B118" s="709" t="s">
        <v>731</v>
      </c>
      <c r="C118" s="707"/>
      <c r="D118" s="707"/>
      <c r="E118" s="707"/>
      <c r="F118" s="707"/>
      <c r="G118" s="1195"/>
      <c r="H118" s="983"/>
      <c r="I118" s="983"/>
      <c r="J118" s="983"/>
      <c r="K118" s="983"/>
      <c r="L118" s="983"/>
      <c r="M118" s="983"/>
      <c r="N118" s="983"/>
      <c r="O118" s="983"/>
      <c r="P118" s="983"/>
      <c r="Q118" s="983"/>
      <c r="R118" s="983"/>
      <c r="S118" s="983"/>
    </row>
    <row r="119" spans="1:19" x14ac:dyDescent="0.35">
      <c r="A119" s="689"/>
      <c r="B119" s="641" t="s">
        <v>732</v>
      </c>
      <c r="C119" s="642"/>
      <c r="D119" s="642"/>
      <c r="E119" s="642"/>
      <c r="F119" s="642"/>
      <c r="G119" s="646"/>
      <c r="H119" s="984"/>
      <c r="I119" s="984"/>
      <c r="J119" s="984"/>
      <c r="K119" s="984"/>
      <c r="L119" s="984"/>
      <c r="M119" s="984"/>
      <c r="N119" s="984"/>
      <c r="O119" s="984"/>
      <c r="P119" s="984"/>
      <c r="Q119" s="984"/>
      <c r="R119" s="984"/>
      <c r="S119" s="984"/>
    </row>
    <row r="120" spans="1:19" ht="15" thickBot="1" x14ac:dyDescent="0.4">
      <c r="A120" s="985"/>
      <c r="B120" s="986" t="s">
        <v>733</v>
      </c>
      <c r="C120" s="987"/>
      <c r="D120" s="987"/>
      <c r="E120" s="987"/>
      <c r="F120" s="987"/>
      <c r="G120" s="1040"/>
      <c r="H120" s="990"/>
      <c r="I120" s="990"/>
      <c r="J120" s="990"/>
      <c r="K120" s="990"/>
      <c r="L120" s="990"/>
      <c r="M120" s="990"/>
      <c r="N120" s="990"/>
      <c r="O120" s="990"/>
      <c r="P120" s="990"/>
      <c r="Q120" s="990"/>
      <c r="R120" s="990"/>
      <c r="S120" s="990"/>
    </row>
    <row r="121" spans="1:19" ht="15.5" thickTop="1" thickBot="1" x14ac:dyDescent="0.4"/>
    <row r="122" spans="1:19" ht="15.5" thickTop="1" thickBot="1" x14ac:dyDescent="0.4">
      <c r="A122" s="78" t="s">
        <v>734</v>
      </c>
      <c r="B122" s="80"/>
    </row>
    <row r="123" spans="1:19" ht="15" thickTop="1" x14ac:dyDescent="0.35">
      <c r="A123" s="79" t="s">
        <v>632</v>
      </c>
      <c r="B123" s="991"/>
    </row>
    <row r="124" spans="1:19" x14ac:dyDescent="0.35">
      <c r="A124" s="687" t="s">
        <v>636</v>
      </c>
      <c r="B124" s="991"/>
    </row>
    <row r="125" spans="1:19" x14ac:dyDescent="0.35">
      <c r="A125" s="992" t="s">
        <v>639</v>
      </c>
      <c r="B125" s="993"/>
    </row>
    <row r="126" spans="1:19" x14ac:dyDescent="0.35">
      <c r="A126" s="992" t="s">
        <v>642</v>
      </c>
      <c r="B126" s="994"/>
    </row>
    <row r="127" spans="1:19" ht="15" thickBot="1" x14ac:dyDescent="0.4">
      <c r="A127" s="995" t="s">
        <v>735</v>
      </c>
      <c r="B127" s="996"/>
    </row>
    <row r="128" spans="1:19" ht="15" thickTop="1" x14ac:dyDescent="0.35"/>
    <row r="129" spans="1:2" x14ac:dyDescent="0.35">
      <c r="A129" s="81"/>
      <c r="B129" s="1" t="s">
        <v>736</v>
      </c>
    </row>
    <row r="130" spans="1:2" x14ac:dyDescent="0.35">
      <c r="A130" s="82"/>
      <c r="B130" s="1" t="s">
        <v>737</v>
      </c>
    </row>
  </sheetData>
  <mergeCells count="47">
    <mergeCell ref="A95:B95"/>
    <mergeCell ref="A99:B99"/>
    <mergeCell ref="A103:B103"/>
    <mergeCell ref="A107:B107"/>
    <mergeCell ref="A111:B111"/>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2813" priority="9" operator="equal">
      <formula>"X"</formula>
    </cfRule>
    <cfRule type="cellIs" dxfId="2812" priority="10" operator="equal">
      <formula>"I"</formula>
    </cfRule>
  </conditionalFormatting>
  <conditionalFormatting sqref="H32:H86">
    <cfRule type="cellIs" dxfId="2811" priority="1" operator="equal">
      <formula>"X"</formula>
    </cfRule>
    <cfRule type="cellIs" dxfId="2810" priority="2" operator="equal">
      <formula>"I"</formula>
    </cfRule>
  </conditionalFormatting>
  <conditionalFormatting sqref="J20:J30">
    <cfRule type="cellIs" dxfId="2809" priority="11" operator="equal">
      <formula>"X"</formula>
    </cfRule>
    <cfRule type="cellIs" dxfId="2808" priority="12" operator="equal">
      <formula>"I"</formula>
    </cfRule>
  </conditionalFormatting>
  <conditionalFormatting sqref="J32:J86">
    <cfRule type="cellIs" dxfId="2807" priority="3" operator="equal">
      <formula>"X"</formula>
    </cfRule>
    <cfRule type="cellIs" dxfId="2806" priority="4" operator="equal">
      <formula>"I"</formula>
    </cfRule>
  </conditionalFormatting>
  <conditionalFormatting sqref="L20:L30">
    <cfRule type="cellIs" dxfId="2805" priority="13" operator="equal">
      <formula>"X"</formula>
    </cfRule>
    <cfRule type="cellIs" dxfId="2804" priority="14" operator="equal">
      <formula>"I"</formula>
    </cfRule>
  </conditionalFormatting>
  <conditionalFormatting sqref="L32:L86">
    <cfRule type="cellIs" dxfId="2803" priority="5" operator="equal">
      <formula>"X"</formula>
    </cfRule>
    <cfRule type="cellIs" dxfId="2802" priority="6" operator="equal">
      <formula>"I"</formula>
    </cfRule>
  </conditionalFormatting>
  <conditionalFormatting sqref="N20:N30">
    <cfRule type="cellIs" dxfId="2801" priority="15" operator="equal">
      <formula>"X"</formula>
    </cfRule>
    <cfRule type="cellIs" dxfId="2800" priority="16" operator="equal">
      <formula>"I"</formula>
    </cfRule>
  </conditionalFormatting>
  <conditionalFormatting sqref="N32:N86">
    <cfRule type="cellIs" dxfId="2799" priority="7" operator="equal">
      <formula>"X"</formula>
    </cfRule>
    <cfRule type="cellIs" dxfId="2798" priority="8" operator="equal">
      <formula>"I"</formula>
    </cfRule>
  </conditionalFormatting>
  <conditionalFormatting sqref="P20:P30">
    <cfRule type="cellIs" dxfId="2797" priority="17" operator="equal">
      <formula>"X"</formula>
    </cfRule>
    <cfRule type="cellIs" dxfId="2796" priority="18" operator="equal">
      <formula>"I"</formula>
    </cfRule>
  </conditionalFormatting>
  <conditionalFormatting sqref="P32:P86">
    <cfRule type="cellIs" dxfId="2795" priority="19" operator="equal">
      <formula>"X"</formula>
    </cfRule>
    <cfRule type="cellIs" dxfId="2794" priority="20" operator="equal">
      <formula>"I"</formula>
    </cfRule>
  </conditionalFormatting>
  <conditionalFormatting sqref="R20:R30">
    <cfRule type="cellIs" dxfId="2793" priority="25" operator="equal">
      <formula>"X"</formula>
    </cfRule>
    <cfRule type="cellIs" dxfId="2792" priority="26" operator="equal">
      <formula>"I"</formula>
    </cfRule>
  </conditionalFormatting>
  <conditionalFormatting sqref="R32:R86">
    <cfRule type="cellIs" dxfId="2791" priority="23" operator="equal">
      <formula>"X"</formula>
    </cfRule>
    <cfRule type="cellIs" dxfId="2790" priority="24" operator="equal">
      <formula>"I"</formula>
    </cfRule>
  </conditionalFormatting>
  <hyperlinks>
    <hyperlink ref="B3" location="'Cost Summary'!A1" display="BACK TO SUMMARY SHEET" xr:uid="{1988C98C-218E-4A3B-AD39-A8E9F402B7B7}"/>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F892-E0D9-449E-9AD4-6E287B15F442}">
  <sheetPr>
    <tabColor rgb="FF92D050"/>
  </sheetPr>
  <dimension ref="A1:U91"/>
  <sheetViews>
    <sheetView zoomScale="85" zoomScaleNormal="85" workbookViewId="0">
      <pane xSplit="2" ySplit="9" topLeftCell="D28" activePane="bottomRight" state="frozen"/>
      <selection pane="topRight" activeCell="C1" sqref="C1"/>
      <selection pane="bottomLeft" activeCell="A11" sqref="A11"/>
      <selection pane="bottomRight" activeCell="J4" sqref="J4:K4"/>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81640625" style="2" customWidth="1"/>
    <col min="7" max="7" width="12.26953125" style="2" customWidth="1"/>
    <col min="8" max="8" width="7.453125" style="2" customWidth="1"/>
    <col min="9" max="9" width="16.54296875" style="2" customWidth="1"/>
    <col min="10" max="10" width="7.453125" style="2" customWidth="1"/>
    <col min="11" max="11" width="16.54296875" style="2" customWidth="1"/>
    <col min="12" max="12" width="7.453125" style="2" bestFit="1" customWidth="1"/>
    <col min="13" max="13" width="14.81640625" style="2" customWidth="1"/>
    <col min="14" max="14" width="8.453125" style="2" customWidth="1"/>
    <col min="15" max="15" width="14.81640625" style="2" customWidth="1"/>
    <col min="16" max="16" width="7.26953125" style="2" customWidth="1"/>
    <col min="17" max="17" width="14.81640625" style="2" customWidth="1"/>
    <col min="18" max="18" width="7.453125" style="2" customWidth="1"/>
    <col min="19" max="19" width="14.81640625" style="2" customWidth="1"/>
    <col min="20" max="20" width="7.453125" style="2" bestFit="1" customWidth="1"/>
    <col min="21" max="21" width="14.81640625" style="2" customWidth="1"/>
  </cols>
  <sheetData>
    <row r="1" spans="1:21" x14ac:dyDescent="0.35">
      <c r="E1" s="152"/>
      <c r="F1" s="125"/>
      <c r="G1" s="123" t="s">
        <v>621</v>
      </c>
      <c r="N1" s="3783">
        <f>N8-H8</f>
        <v>-253772</v>
      </c>
      <c r="O1" s="3784"/>
    </row>
    <row r="2" spans="1:21" x14ac:dyDescent="0.35">
      <c r="C2" s="332"/>
      <c r="E2" s="152"/>
      <c r="F2" s="122" t="s">
        <v>622</v>
      </c>
      <c r="G2" s="123" t="s">
        <v>451</v>
      </c>
      <c r="H2" s="3780"/>
      <c r="I2" s="3780"/>
      <c r="J2" s="3780" t="s">
        <v>943</v>
      </c>
      <c r="K2" s="3780"/>
      <c r="L2" s="3780" t="s">
        <v>944</v>
      </c>
      <c r="M2" s="3780"/>
      <c r="N2" s="3751" t="s">
        <v>945</v>
      </c>
      <c r="O2" s="3751"/>
      <c r="P2" s="3776"/>
      <c r="Q2" s="3776"/>
      <c r="R2" s="3782"/>
      <c r="S2" s="3782"/>
      <c r="T2" s="3751"/>
      <c r="U2" s="3751"/>
    </row>
    <row r="3" spans="1:21" ht="19.5" x14ac:dyDescent="0.35">
      <c r="B3" s="137" t="s">
        <v>623</v>
      </c>
      <c r="E3" s="152"/>
      <c r="F3" s="124" t="s">
        <v>624</v>
      </c>
      <c r="G3" s="123" t="s">
        <v>557</v>
      </c>
      <c r="H3" s="3772" t="s">
        <v>625</v>
      </c>
      <c r="I3" s="3773"/>
      <c r="J3" s="3778" t="s">
        <v>626</v>
      </c>
      <c r="K3" s="3779"/>
      <c r="L3" s="3754" t="s">
        <v>627</v>
      </c>
      <c r="M3" s="3755"/>
      <c r="N3" s="3754" t="s">
        <v>627</v>
      </c>
      <c r="O3" s="3755"/>
      <c r="P3" s="3754" t="s">
        <v>628</v>
      </c>
      <c r="Q3" s="3755"/>
      <c r="R3" s="3754" t="s">
        <v>772</v>
      </c>
      <c r="S3" s="3755"/>
      <c r="T3" s="3754" t="s">
        <v>773</v>
      </c>
      <c r="U3" s="3755"/>
    </row>
    <row r="4" spans="1:21" x14ac:dyDescent="0.35">
      <c r="A4" s="3" t="s">
        <v>631</v>
      </c>
      <c r="B4" s="4" t="str">
        <f>'AREA CALC''s'!B4</f>
        <v>Alton Hilltop Gardens</v>
      </c>
      <c r="C4" s="5"/>
      <c r="D4" s="5"/>
      <c r="E4" s="5"/>
      <c r="F4" s="5"/>
      <c r="G4" s="6" t="s">
        <v>632</v>
      </c>
      <c r="H4" s="3752" t="s">
        <v>946</v>
      </c>
      <c r="I4" s="3753"/>
      <c r="J4" s="3752" t="s">
        <v>947</v>
      </c>
      <c r="K4" s="3753"/>
      <c r="L4" s="3752" t="s">
        <v>948</v>
      </c>
      <c r="M4" s="3753"/>
      <c r="N4" s="3752" t="s">
        <v>948</v>
      </c>
      <c r="O4" s="3753"/>
      <c r="P4" s="3752" t="s">
        <v>949</v>
      </c>
      <c r="Q4" s="3753"/>
      <c r="R4" s="3752" t="s">
        <v>950</v>
      </c>
      <c r="S4" s="3753"/>
      <c r="T4" s="3752"/>
      <c r="U4" s="3753"/>
    </row>
    <row r="5" spans="1:21" x14ac:dyDescent="0.35">
      <c r="A5" s="688" t="s">
        <v>634</v>
      </c>
      <c r="B5" s="641" t="s">
        <v>459</v>
      </c>
      <c r="C5" s="642"/>
      <c r="D5" s="642"/>
      <c r="E5" s="642"/>
      <c r="F5" s="642"/>
      <c r="G5" s="643" t="s">
        <v>636</v>
      </c>
      <c r="H5" s="3758" t="s">
        <v>951</v>
      </c>
      <c r="I5" s="3759"/>
      <c r="J5" s="3758" t="s">
        <v>952</v>
      </c>
      <c r="K5" s="3759"/>
      <c r="L5" s="3758" t="s">
        <v>953</v>
      </c>
      <c r="M5" s="3759"/>
      <c r="N5" s="3758" t="s">
        <v>953</v>
      </c>
      <c r="O5" s="3759"/>
      <c r="P5" s="3758" t="s">
        <v>954</v>
      </c>
      <c r="Q5" s="3759"/>
      <c r="R5" s="3781" t="s">
        <v>955</v>
      </c>
      <c r="S5" s="3759"/>
      <c r="T5" s="3758"/>
      <c r="U5" s="3759"/>
    </row>
    <row r="6" spans="1:21" x14ac:dyDescent="0.35">
      <c r="A6" s="688" t="s">
        <v>638</v>
      </c>
      <c r="B6" s="644" t="s">
        <v>458</v>
      </c>
      <c r="C6" s="642"/>
      <c r="D6" s="642"/>
      <c r="E6" s="642"/>
      <c r="F6" s="642"/>
      <c r="G6" s="643" t="s">
        <v>639</v>
      </c>
      <c r="H6" s="3758" t="s">
        <v>956</v>
      </c>
      <c r="I6" s="3759"/>
      <c r="J6" s="3758" t="s">
        <v>957</v>
      </c>
      <c r="K6" s="3759"/>
      <c r="L6" s="3756" t="s">
        <v>958</v>
      </c>
      <c r="M6" s="3757"/>
      <c r="N6" s="3756" t="s">
        <v>958</v>
      </c>
      <c r="O6" s="3757"/>
      <c r="P6" s="3756" t="s">
        <v>959</v>
      </c>
      <c r="Q6" s="3757"/>
      <c r="R6" s="3756" t="s">
        <v>960</v>
      </c>
      <c r="S6" s="3757"/>
      <c r="T6" s="3756"/>
      <c r="U6" s="3757"/>
    </row>
    <row r="7" spans="1:21" x14ac:dyDescent="0.35">
      <c r="A7" s="688" t="s">
        <v>641</v>
      </c>
      <c r="B7" s="645"/>
      <c r="C7" s="642"/>
      <c r="D7" s="642"/>
      <c r="E7" s="642"/>
      <c r="F7" s="642"/>
      <c r="G7" s="643" t="s">
        <v>642</v>
      </c>
      <c r="H7" s="3762" t="s">
        <v>961</v>
      </c>
      <c r="I7" s="3763"/>
      <c r="J7" s="3762" t="s">
        <v>962</v>
      </c>
      <c r="K7" s="3763"/>
      <c r="L7" s="3762" t="s">
        <v>963</v>
      </c>
      <c r="M7" s="3763"/>
      <c r="N7" s="3762" t="s">
        <v>963</v>
      </c>
      <c r="O7" s="3763"/>
      <c r="P7" s="3762" t="s">
        <v>964</v>
      </c>
      <c r="Q7" s="3763"/>
      <c r="R7" s="3762" t="s">
        <v>965</v>
      </c>
      <c r="S7" s="3763"/>
      <c r="T7" s="3762"/>
      <c r="U7" s="3763"/>
    </row>
    <row r="8" spans="1:21" x14ac:dyDescent="0.35">
      <c r="A8" s="938" t="s">
        <v>644</v>
      </c>
      <c r="B8" s="939"/>
      <c r="C8" s="940"/>
      <c r="D8" s="940"/>
      <c r="E8" s="940"/>
      <c r="F8" s="940"/>
      <c r="G8" s="1024" t="s">
        <v>644</v>
      </c>
      <c r="H8" s="3760">
        <f>I52</f>
        <v>368772</v>
      </c>
      <c r="I8" s="3761"/>
      <c r="J8" s="3760">
        <f>K52</f>
        <v>409660</v>
      </c>
      <c r="K8" s="3761"/>
      <c r="L8" s="3760">
        <f>M52</f>
        <v>419940</v>
      </c>
      <c r="M8" s="3761"/>
      <c r="N8" s="3760">
        <f>O52</f>
        <v>115000</v>
      </c>
      <c r="O8" s="3761"/>
      <c r="P8" s="3760">
        <f>Q52</f>
        <v>0</v>
      </c>
      <c r="Q8" s="3761"/>
      <c r="R8" s="3760">
        <f>S52</f>
        <v>0</v>
      </c>
      <c r="S8" s="3761"/>
      <c r="T8" s="3760">
        <f>U52</f>
        <v>0</v>
      </c>
      <c r="U8" s="3761"/>
    </row>
    <row r="9" spans="1:2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idden="1" x14ac:dyDescent="0.35">
      <c r="A10" s="689"/>
      <c r="B10" s="941" t="s">
        <v>653</v>
      </c>
      <c r="C10" s="642"/>
      <c r="D10" s="642"/>
      <c r="E10" s="642"/>
      <c r="F10" s="642"/>
      <c r="G10" s="646"/>
      <c r="H10" s="942"/>
      <c r="I10" s="942"/>
      <c r="J10" s="942"/>
      <c r="K10" s="942"/>
      <c r="L10" s="942"/>
      <c r="M10" s="942"/>
      <c r="N10" s="942"/>
      <c r="O10" s="942"/>
      <c r="P10" s="942"/>
      <c r="Q10" s="942"/>
      <c r="R10" s="942"/>
      <c r="S10" s="942"/>
      <c r="T10" s="942"/>
      <c r="U10" s="942"/>
    </row>
    <row r="11" spans="1:21"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c r="T11" s="942"/>
      <c r="U11" s="942"/>
    </row>
    <row r="12" spans="1:21"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c r="T12" s="942"/>
      <c r="U12" s="942"/>
    </row>
    <row r="13" spans="1:21"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row>
    <row r="14" spans="1:21"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row>
    <row r="15" spans="1:21"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row>
    <row r="16" spans="1:21" ht="15" hidden="1" customHeight="1" x14ac:dyDescent="0.35">
      <c r="A16" s="689"/>
      <c r="B16" s="641" t="e">
        <f>#REF!</f>
        <v>#REF!</v>
      </c>
      <c r="C16" s="647"/>
      <c r="D16" s="642"/>
      <c r="E16" s="642"/>
      <c r="F16" s="642"/>
      <c r="G16" s="646"/>
      <c r="H16" s="942"/>
      <c r="I16" s="942"/>
      <c r="J16" s="942"/>
      <c r="K16" s="942"/>
      <c r="L16" s="942"/>
      <c r="M16" s="942"/>
      <c r="N16" s="942"/>
      <c r="O16" s="942"/>
      <c r="P16" s="942"/>
      <c r="Q16" s="942"/>
      <c r="R16" s="942"/>
      <c r="S16" s="942"/>
      <c r="T16" s="942"/>
      <c r="U16" s="942"/>
    </row>
    <row r="17" spans="1:21" ht="15" hidden="1" customHeight="1" x14ac:dyDescent="0.35">
      <c r="A17" s="689"/>
      <c r="B17" s="641" t="e">
        <f>#REF!</f>
        <v>#REF!</v>
      </c>
      <c r="C17" s="647"/>
      <c r="D17" s="642"/>
      <c r="E17" s="642"/>
      <c r="F17" s="642"/>
      <c r="G17" s="646"/>
      <c r="H17" s="942"/>
      <c r="I17" s="942"/>
      <c r="J17" s="942"/>
      <c r="K17" s="942"/>
      <c r="L17" s="942"/>
      <c r="M17" s="942"/>
      <c r="N17" s="942"/>
      <c r="O17" s="942"/>
      <c r="P17" s="942"/>
      <c r="Q17" s="942"/>
      <c r="R17" s="942"/>
      <c r="S17" s="942"/>
      <c r="T17" s="942"/>
      <c r="U17" s="942"/>
    </row>
    <row r="18" spans="1:21"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row>
    <row r="19" spans="1:21" hidden="1" x14ac:dyDescent="0.35">
      <c r="A19" s="689"/>
      <c r="B19" s="641" t="e">
        <f>#REF!</f>
        <v>#REF!</v>
      </c>
      <c r="C19" s="647"/>
      <c r="D19" s="642"/>
      <c r="E19" s="642"/>
      <c r="F19" s="642"/>
      <c r="G19" s="646"/>
      <c r="H19" s="942"/>
      <c r="I19" s="942"/>
      <c r="J19" s="942"/>
      <c r="K19" s="942"/>
      <c r="L19" s="942"/>
      <c r="M19" s="942"/>
      <c r="N19" s="942"/>
      <c r="O19" s="942"/>
      <c r="P19" s="942"/>
      <c r="Q19" s="942"/>
      <c r="R19" s="942"/>
      <c r="S19" s="942"/>
      <c r="T19" s="942"/>
      <c r="U19" s="942"/>
    </row>
    <row r="20" spans="1:21" x14ac:dyDescent="0.35">
      <c r="A20" s="689"/>
      <c r="B20" s="641"/>
      <c r="C20" s="647"/>
      <c r="D20" s="642"/>
      <c r="E20" s="642"/>
      <c r="F20" s="642"/>
      <c r="G20" s="646"/>
      <c r="H20" s="943"/>
      <c r="I20" s="942"/>
      <c r="J20" s="943"/>
      <c r="K20" s="942"/>
      <c r="L20" s="943"/>
      <c r="M20" s="942"/>
      <c r="N20" s="943"/>
      <c r="O20" s="942"/>
      <c r="P20" s="943"/>
      <c r="Q20" s="942"/>
      <c r="R20" s="943"/>
      <c r="S20" s="942"/>
      <c r="T20" s="943"/>
      <c r="U20" s="942"/>
    </row>
    <row r="21" spans="1:21" x14ac:dyDescent="0.35">
      <c r="A21" s="998"/>
      <c r="B21" s="648" t="s">
        <v>459</v>
      </c>
      <c r="C21" s="647"/>
      <c r="D21" s="642"/>
      <c r="E21" s="642"/>
      <c r="F21" s="642"/>
      <c r="G21" s="646"/>
      <c r="H21" s="943"/>
      <c r="I21" s="632"/>
      <c r="J21" s="943"/>
      <c r="K21" s="632"/>
      <c r="L21" s="943"/>
      <c r="M21" s="632"/>
      <c r="N21" s="943"/>
      <c r="O21" s="632"/>
      <c r="P21" s="943"/>
      <c r="Q21" s="632"/>
      <c r="R21" s="943"/>
      <c r="S21" s="632"/>
      <c r="T21" s="943"/>
      <c r="U21" s="632"/>
    </row>
    <row r="22" spans="1:21" ht="15.5" x14ac:dyDescent="0.35">
      <c r="A22" s="1196"/>
      <c r="B22" s="604" t="s">
        <v>657</v>
      </c>
      <c r="C22" s="647"/>
      <c r="D22" s="642"/>
      <c r="E22" s="642"/>
      <c r="F22" s="642"/>
      <c r="G22" s="646"/>
      <c r="H22" s="943"/>
      <c r="I22" s="632"/>
      <c r="J22" s="943"/>
      <c r="K22" s="632"/>
      <c r="L22" s="943"/>
      <c r="M22" s="632"/>
      <c r="N22" s="943"/>
      <c r="O22" s="632"/>
      <c r="P22" s="943"/>
      <c r="Q22" s="1197"/>
      <c r="R22" s="943"/>
      <c r="S22" s="632"/>
      <c r="T22" s="943"/>
      <c r="U22" s="632"/>
    </row>
    <row r="23" spans="1:21" ht="15.75" customHeight="1" x14ac:dyDescent="0.35">
      <c r="A23" s="998"/>
      <c r="B23" s="603" t="s">
        <v>658</v>
      </c>
      <c r="C23" s="647"/>
      <c r="D23" s="642"/>
      <c r="E23" s="642"/>
      <c r="F23" s="642"/>
      <c r="G23" s="646"/>
      <c r="H23" s="943" t="s">
        <v>669</v>
      </c>
      <c r="I23" s="632"/>
      <c r="J23" s="943" t="s">
        <v>669</v>
      </c>
      <c r="K23" s="632"/>
      <c r="L23" s="943" t="s">
        <v>669</v>
      </c>
      <c r="M23" s="632"/>
      <c r="N23" s="943" t="s">
        <v>669</v>
      </c>
      <c r="O23" s="632"/>
      <c r="P23" s="943"/>
      <c r="Q23" s="632"/>
      <c r="R23" s="943"/>
      <c r="S23" s="632"/>
      <c r="T23" s="943"/>
      <c r="U23" s="632"/>
    </row>
    <row r="24" spans="1:21" x14ac:dyDescent="0.35">
      <c r="A24" s="998"/>
      <c r="B24" s="1198" t="s">
        <v>659</v>
      </c>
      <c r="C24" s="647"/>
      <c r="D24" s="642"/>
      <c r="E24" s="642"/>
      <c r="F24" s="642"/>
      <c r="G24" s="646"/>
      <c r="H24" s="943" t="s">
        <v>669</v>
      </c>
      <c r="I24" s="630"/>
      <c r="J24" s="943" t="s">
        <v>669</v>
      </c>
      <c r="K24" s="630"/>
      <c r="L24" s="943" t="s">
        <v>669</v>
      </c>
      <c r="M24" s="630"/>
      <c r="N24" s="943" t="s">
        <v>669</v>
      </c>
      <c r="O24" s="630"/>
      <c r="P24" s="943"/>
      <c r="Q24" s="630"/>
      <c r="R24" s="943"/>
      <c r="S24" s="630"/>
      <c r="T24" s="943"/>
      <c r="U24" s="630"/>
    </row>
    <row r="25" spans="1:21" ht="15.75" customHeight="1" x14ac:dyDescent="0.35">
      <c r="A25" s="998"/>
      <c r="B25" s="1199" t="s">
        <v>660</v>
      </c>
      <c r="C25" s="647"/>
      <c r="D25" s="642"/>
      <c r="E25" s="642"/>
      <c r="F25" s="642"/>
      <c r="G25" s="646"/>
      <c r="H25" s="943" t="s">
        <v>671</v>
      </c>
      <c r="I25" s="630"/>
      <c r="J25" s="943" t="s">
        <v>671</v>
      </c>
      <c r="K25" s="630"/>
      <c r="L25" s="943" t="s">
        <v>671</v>
      </c>
      <c r="M25" s="630"/>
      <c r="N25" s="943" t="s">
        <v>671</v>
      </c>
      <c r="O25" s="630"/>
      <c r="P25" s="943"/>
      <c r="Q25" s="630"/>
      <c r="R25" s="943"/>
      <c r="S25" s="630"/>
      <c r="T25" s="943"/>
      <c r="U25" s="630"/>
    </row>
    <row r="26" spans="1:21" x14ac:dyDescent="0.35">
      <c r="A26" s="998"/>
      <c r="B26" s="1199" t="s">
        <v>661</v>
      </c>
      <c r="C26" s="1086"/>
      <c r="D26" s="682"/>
      <c r="E26" s="642"/>
      <c r="F26" s="642"/>
      <c r="G26" s="646"/>
      <c r="H26" s="943" t="s">
        <v>669</v>
      </c>
      <c r="I26" s="984"/>
      <c r="J26" s="943" t="s">
        <v>669</v>
      </c>
      <c r="K26" s="984"/>
      <c r="L26" s="943" t="s">
        <v>669</v>
      </c>
      <c r="M26" s="632"/>
      <c r="N26" s="943" t="s">
        <v>669</v>
      </c>
      <c r="O26" s="632"/>
      <c r="P26" s="943"/>
      <c r="Q26" s="630"/>
      <c r="R26" s="943"/>
      <c r="S26" s="632"/>
      <c r="T26" s="943"/>
      <c r="U26" s="632"/>
    </row>
    <row r="27" spans="1:21" x14ac:dyDescent="0.35">
      <c r="A27" s="998"/>
      <c r="B27" s="1199" t="s">
        <v>662</v>
      </c>
      <c r="C27" s="1086"/>
      <c r="D27" s="682"/>
      <c r="E27" s="642"/>
      <c r="F27" s="642"/>
      <c r="G27" s="646"/>
      <c r="H27" s="943" t="s">
        <v>669</v>
      </c>
      <c r="I27" s="984"/>
      <c r="J27" s="943" t="s">
        <v>669</v>
      </c>
      <c r="K27" s="984"/>
      <c r="L27" s="943" t="s">
        <v>669</v>
      </c>
      <c r="M27" s="632"/>
      <c r="N27" s="943" t="s">
        <v>669</v>
      </c>
      <c r="O27" s="632"/>
      <c r="P27" s="943"/>
      <c r="Q27" s="630"/>
      <c r="R27" s="943"/>
      <c r="S27" s="632"/>
      <c r="T27" s="943"/>
      <c r="U27" s="632"/>
    </row>
    <row r="28" spans="1:21" x14ac:dyDescent="0.35">
      <c r="A28" s="998"/>
      <c r="B28" s="1199" t="s">
        <v>663</v>
      </c>
      <c r="C28" s="1086"/>
      <c r="D28" s="682"/>
      <c r="E28" s="642"/>
      <c r="F28" s="642"/>
      <c r="G28" s="646"/>
      <c r="H28" s="943" t="s">
        <v>669</v>
      </c>
      <c r="I28" s="984"/>
      <c r="J28" s="943" t="s">
        <v>669</v>
      </c>
      <c r="K28" s="984"/>
      <c r="L28" s="943" t="s">
        <v>669</v>
      </c>
      <c r="M28" s="632"/>
      <c r="N28" s="943" t="s">
        <v>669</v>
      </c>
      <c r="O28" s="632"/>
      <c r="P28" s="943"/>
      <c r="Q28" s="630"/>
      <c r="R28" s="943"/>
      <c r="S28" s="632"/>
      <c r="T28" s="943"/>
      <c r="U28" s="632"/>
    </row>
    <row r="29" spans="1:21" x14ac:dyDescent="0.35">
      <c r="A29" s="998"/>
      <c r="B29" s="1199" t="s">
        <v>789</v>
      </c>
      <c r="C29" s="1086"/>
      <c r="D29" s="682"/>
      <c r="E29" s="642"/>
      <c r="F29" s="642"/>
      <c r="G29" s="646"/>
      <c r="H29" s="943" t="s">
        <v>671</v>
      </c>
      <c r="I29" s="984" t="s">
        <v>966</v>
      </c>
      <c r="J29" s="943" t="s">
        <v>671</v>
      </c>
      <c r="K29" s="984" t="s">
        <v>967</v>
      </c>
      <c r="L29" s="943" t="s">
        <v>671</v>
      </c>
      <c r="M29" s="984" t="s">
        <v>966</v>
      </c>
      <c r="N29" s="943" t="s">
        <v>671</v>
      </c>
      <c r="O29" s="984" t="s">
        <v>966</v>
      </c>
      <c r="P29" s="943"/>
      <c r="Q29" s="630"/>
      <c r="R29" s="943"/>
      <c r="S29" s="632"/>
      <c r="T29" s="943"/>
      <c r="U29" s="632"/>
    </row>
    <row r="30" spans="1:21" x14ac:dyDescent="0.35">
      <c r="A30" s="998"/>
      <c r="B30" s="1199" t="s">
        <v>790</v>
      </c>
      <c r="C30" s="1086"/>
      <c r="D30" s="682"/>
      <c r="E30" s="642"/>
      <c r="F30" s="642"/>
      <c r="G30" s="646"/>
      <c r="H30" s="943" t="s">
        <v>671</v>
      </c>
      <c r="I30" s="984"/>
      <c r="J30" s="943" t="s">
        <v>671</v>
      </c>
      <c r="K30" s="984" t="s">
        <v>968</v>
      </c>
      <c r="L30" s="943" t="s">
        <v>671</v>
      </c>
      <c r="M30" s="632"/>
      <c r="N30" s="943" t="s">
        <v>671</v>
      </c>
      <c r="O30" s="632"/>
      <c r="P30" s="943"/>
      <c r="Q30" s="630"/>
      <c r="R30" s="943"/>
      <c r="S30" s="632"/>
      <c r="T30" s="943"/>
      <c r="U30" s="632"/>
    </row>
    <row r="31" spans="1:21" x14ac:dyDescent="0.35">
      <c r="A31" s="998"/>
      <c r="B31" s="1199" t="s">
        <v>791</v>
      </c>
      <c r="C31" s="1086"/>
      <c r="D31" s="682"/>
      <c r="E31" s="642"/>
      <c r="F31" s="642"/>
      <c r="G31" s="646"/>
      <c r="H31" s="943" t="s">
        <v>671</v>
      </c>
      <c r="I31" s="984"/>
      <c r="J31" s="943" t="s">
        <v>671</v>
      </c>
      <c r="K31" s="984"/>
      <c r="L31" s="943" t="s">
        <v>671</v>
      </c>
      <c r="M31" s="632"/>
      <c r="N31" s="943" t="s">
        <v>671</v>
      </c>
      <c r="O31" s="632"/>
      <c r="P31" s="943"/>
      <c r="Q31" s="630"/>
      <c r="R31" s="943"/>
      <c r="S31" s="632"/>
      <c r="T31" s="943"/>
      <c r="U31" s="632"/>
    </row>
    <row r="32" spans="1:21" x14ac:dyDescent="0.35">
      <c r="A32" s="998"/>
      <c r="B32" s="1200" t="s">
        <v>664</v>
      </c>
      <c r="C32" s="1086"/>
      <c r="D32" s="682"/>
      <c r="E32" s="642"/>
      <c r="F32" s="642"/>
      <c r="G32" s="646"/>
      <c r="H32" s="943"/>
      <c r="I32" s="984"/>
      <c r="J32" s="943"/>
      <c r="K32" s="984"/>
      <c r="L32" s="943"/>
      <c r="M32" s="632"/>
      <c r="N32" s="943"/>
      <c r="O32" s="632"/>
      <c r="P32" s="943"/>
      <c r="Q32" s="630"/>
      <c r="R32" s="943"/>
      <c r="S32" s="632"/>
      <c r="T32" s="943"/>
      <c r="U32" s="632"/>
    </row>
    <row r="33" spans="1:21" x14ac:dyDescent="0.35">
      <c r="A33" s="998"/>
      <c r="B33" s="1201" t="s">
        <v>665</v>
      </c>
      <c r="C33" s="1142"/>
      <c r="D33" s="1143"/>
      <c r="E33" s="650"/>
      <c r="F33" s="650"/>
      <c r="G33" s="952"/>
      <c r="H33" s="636"/>
      <c r="I33" s="1202">
        <f>105811+1380+2961+280+900+5500</f>
        <v>116832</v>
      </c>
      <c r="J33" s="636"/>
      <c r="K33" s="1203">
        <v>157720</v>
      </c>
      <c r="L33" s="636"/>
      <c r="M33" s="1202">
        <v>168000</v>
      </c>
      <c r="N33" s="636"/>
      <c r="O33" s="1202">
        <v>115000</v>
      </c>
      <c r="P33" s="636"/>
      <c r="Q33" s="631"/>
      <c r="R33" s="636"/>
      <c r="S33" s="1204"/>
      <c r="T33" s="636"/>
      <c r="U33" s="1204"/>
    </row>
    <row r="34" spans="1:21" x14ac:dyDescent="0.35">
      <c r="A34" s="998"/>
      <c r="B34" s="1205" t="s">
        <v>874</v>
      </c>
      <c r="C34" s="1086"/>
      <c r="D34" s="682"/>
      <c r="E34" s="642"/>
      <c r="F34" s="642"/>
      <c r="G34" s="646"/>
      <c r="H34" s="943"/>
      <c r="I34" s="984"/>
      <c r="J34" s="943"/>
      <c r="K34" s="984"/>
      <c r="L34" s="943"/>
      <c r="M34" s="632"/>
      <c r="N34" s="943"/>
      <c r="O34" s="632"/>
      <c r="P34" s="943"/>
      <c r="Q34" s="630"/>
      <c r="R34" s="943"/>
      <c r="S34" s="632"/>
      <c r="T34" s="943"/>
      <c r="U34" s="632"/>
    </row>
    <row r="35" spans="1:21" x14ac:dyDescent="0.35">
      <c r="A35" s="998"/>
      <c r="B35" s="1150"/>
      <c r="C35" s="1086"/>
      <c r="D35" s="682"/>
      <c r="E35" s="642"/>
      <c r="F35" s="642"/>
      <c r="G35" s="646"/>
      <c r="H35" s="943"/>
      <c r="I35" s="984"/>
      <c r="J35" s="943"/>
      <c r="K35" s="984"/>
      <c r="L35" s="943"/>
      <c r="M35" s="632"/>
      <c r="N35" s="943"/>
      <c r="O35" s="632"/>
      <c r="P35" s="943"/>
      <c r="Q35" s="630"/>
      <c r="R35" s="943"/>
      <c r="S35" s="632"/>
      <c r="T35" s="943"/>
      <c r="U35" s="632"/>
    </row>
    <row r="36" spans="1:21" x14ac:dyDescent="0.35">
      <c r="A36" s="998"/>
      <c r="B36" s="1112" t="s">
        <v>969</v>
      </c>
      <c r="C36" s="1107" t="s">
        <v>970</v>
      </c>
      <c r="D36" s="682">
        <v>980</v>
      </c>
      <c r="E36" s="642" t="s">
        <v>752</v>
      </c>
      <c r="F36" s="1012">
        <v>130</v>
      </c>
      <c r="G36" s="690">
        <f>F36*D36</f>
        <v>127400</v>
      </c>
      <c r="H36" s="943" t="s">
        <v>669</v>
      </c>
      <c r="I36" s="632" t="s">
        <v>971</v>
      </c>
      <c r="J36" s="943" t="s">
        <v>669</v>
      </c>
      <c r="K36" s="632" t="s">
        <v>971</v>
      </c>
      <c r="L36" s="943" t="s">
        <v>669</v>
      </c>
      <c r="M36" s="632" t="s">
        <v>972</v>
      </c>
      <c r="N36" s="943" t="s">
        <v>669</v>
      </c>
      <c r="O36" s="632" t="s">
        <v>973</v>
      </c>
      <c r="P36" s="943"/>
      <c r="Q36" s="630"/>
      <c r="R36" s="943"/>
      <c r="S36" s="632"/>
      <c r="T36" s="943"/>
      <c r="U36" s="632"/>
    </row>
    <row r="37" spans="1:21" x14ac:dyDescent="0.35">
      <c r="A37" s="998"/>
      <c r="B37" s="1206" t="s">
        <v>974</v>
      </c>
      <c r="C37" s="1107" t="s">
        <v>970</v>
      </c>
      <c r="D37" s="682">
        <v>14</v>
      </c>
      <c r="E37" s="642" t="s">
        <v>666</v>
      </c>
      <c r="F37" s="1012">
        <v>1300</v>
      </c>
      <c r="G37" s="690">
        <f>F37*D37</f>
        <v>18200</v>
      </c>
      <c r="H37" s="943" t="s">
        <v>669</v>
      </c>
      <c r="I37" s="984"/>
      <c r="J37" s="943" t="s">
        <v>669</v>
      </c>
      <c r="K37" s="984"/>
      <c r="L37" s="943" t="s">
        <v>669</v>
      </c>
      <c r="M37" s="632"/>
      <c r="N37" s="943" t="s">
        <v>671</v>
      </c>
      <c r="O37" s="632"/>
      <c r="P37" s="943"/>
      <c r="Q37" s="630"/>
      <c r="R37" s="943"/>
      <c r="S37" s="632"/>
      <c r="T37" s="943"/>
      <c r="U37" s="632"/>
    </row>
    <row r="38" spans="1:21" x14ac:dyDescent="0.35">
      <c r="A38" s="998"/>
      <c r="B38" s="1150"/>
      <c r="C38" s="1086"/>
      <c r="D38" s="682"/>
      <c r="E38" s="642"/>
      <c r="F38" s="642"/>
      <c r="G38" s="646"/>
      <c r="H38" s="943"/>
      <c r="I38" s="984"/>
      <c r="J38" s="943"/>
      <c r="K38" s="984"/>
      <c r="L38" s="943"/>
      <c r="M38" s="632"/>
      <c r="N38" s="943"/>
      <c r="O38" s="632"/>
      <c r="P38" s="943"/>
      <c r="Q38" s="630"/>
      <c r="R38" s="943"/>
      <c r="S38" s="632"/>
      <c r="T38" s="943"/>
      <c r="U38" s="632"/>
    </row>
    <row r="39" spans="1:21" x14ac:dyDescent="0.35">
      <c r="A39" s="998"/>
      <c r="B39" s="1112" t="s">
        <v>975</v>
      </c>
      <c r="C39" s="1086"/>
      <c r="D39" s="682">
        <f>980*6</f>
        <v>5880</v>
      </c>
      <c r="E39" s="642" t="s">
        <v>28</v>
      </c>
      <c r="F39" s="1012">
        <v>25</v>
      </c>
      <c r="G39" s="1012">
        <f>F39*D39</f>
        <v>147000</v>
      </c>
      <c r="H39" s="943" t="s">
        <v>669</v>
      </c>
      <c r="I39" s="974">
        <f>125970*2</f>
        <v>251940</v>
      </c>
      <c r="J39" s="1101" t="s">
        <v>654</v>
      </c>
      <c r="K39" s="1207">
        <f>I39</f>
        <v>251940</v>
      </c>
      <c r="L39" s="1101" t="s">
        <v>654</v>
      </c>
      <c r="M39" s="1208">
        <f>I39</f>
        <v>251940</v>
      </c>
      <c r="N39" s="943" t="s">
        <v>669</v>
      </c>
      <c r="O39" s="632" t="s">
        <v>976</v>
      </c>
      <c r="P39" s="943"/>
      <c r="Q39" s="630"/>
      <c r="R39" s="943"/>
      <c r="S39" s="632"/>
      <c r="T39" s="943"/>
      <c r="U39" s="632"/>
    </row>
    <row r="40" spans="1:21" x14ac:dyDescent="0.35">
      <c r="A40" s="998"/>
      <c r="B40" s="1150"/>
      <c r="C40" s="1086"/>
      <c r="D40" s="682"/>
      <c r="E40" s="642"/>
      <c r="F40" s="642"/>
      <c r="G40" s="646"/>
      <c r="H40" s="943"/>
      <c r="I40" s="984"/>
      <c r="J40" s="943"/>
      <c r="K40" s="984"/>
      <c r="L40" s="943"/>
      <c r="M40" s="632"/>
      <c r="N40" s="943"/>
      <c r="O40" s="632"/>
      <c r="P40" s="943"/>
      <c r="Q40" s="630"/>
      <c r="R40" s="943"/>
      <c r="S40" s="632"/>
      <c r="T40" s="943"/>
      <c r="U40" s="632"/>
    </row>
    <row r="41" spans="1:21" x14ac:dyDescent="0.35">
      <c r="A41" s="998"/>
      <c r="B41" s="1151"/>
      <c r="C41" s="1086"/>
      <c r="D41" s="682"/>
      <c r="E41" s="642"/>
      <c r="F41" s="642"/>
      <c r="G41" s="646"/>
      <c r="H41" s="943"/>
      <c r="I41" s="984"/>
      <c r="J41" s="943"/>
      <c r="K41" s="984"/>
      <c r="L41" s="943"/>
      <c r="M41" s="632"/>
      <c r="N41" s="943"/>
      <c r="O41" s="632"/>
      <c r="P41" s="943"/>
      <c r="Q41" s="630"/>
      <c r="R41" s="943"/>
      <c r="S41" s="632"/>
      <c r="T41" s="943"/>
      <c r="U41" s="632"/>
    </row>
    <row r="42" spans="1:21" x14ac:dyDescent="0.35">
      <c r="A42" s="998"/>
      <c r="B42" s="1109"/>
      <c r="C42" s="1086"/>
      <c r="D42" s="682"/>
      <c r="E42" s="642"/>
      <c r="F42" s="642"/>
      <c r="G42" s="646"/>
      <c r="H42" s="943"/>
      <c r="I42" s="984"/>
      <c r="J42" s="943"/>
      <c r="K42" s="984"/>
      <c r="L42" s="943"/>
      <c r="M42" s="632"/>
      <c r="N42" s="943"/>
      <c r="O42" s="632"/>
      <c r="P42" s="943"/>
      <c r="Q42" s="630"/>
      <c r="R42" s="943"/>
      <c r="S42" s="632"/>
      <c r="T42" s="943"/>
      <c r="U42" s="632"/>
    </row>
    <row r="43" spans="1:21" x14ac:dyDescent="0.35">
      <c r="A43" s="998"/>
      <c r="B43" s="1109"/>
      <c r="C43" s="1086"/>
      <c r="D43" s="682"/>
      <c r="E43" s="642"/>
      <c r="F43" s="642"/>
      <c r="G43" s="646"/>
      <c r="H43" s="943"/>
      <c r="I43" s="984"/>
      <c r="J43" s="943"/>
      <c r="K43" s="984"/>
      <c r="L43" s="943"/>
      <c r="M43" s="632"/>
      <c r="N43" s="943"/>
      <c r="O43" s="632"/>
      <c r="P43" s="943"/>
      <c r="Q43" s="630"/>
      <c r="R43" s="943"/>
      <c r="S43" s="632"/>
      <c r="T43" s="943"/>
      <c r="U43" s="632"/>
    </row>
    <row r="44" spans="1:21" x14ac:dyDescent="0.35">
      <c r="A44" s="998"/>
      <c r="B44" s="1109"/>
      <c r="C44" s="1086"/>
      <c r="D44" s="682"/>
      <c r="E44" s="642"/>
      <c r="F44" s="642"/>
      <c r="G44" s="646"/>
      <c r="H44" s="943"/>
      <c r="I44" s="984"/>
      <c r="J44" s="943"/>
      <c r="K44" s="984"/>
      <c r="L44" s="943"/>
      <c r="M44" s="632"/>
      <c r="N44" s="943"/>
      <c r="O44" s="632"/>
      <c r="P44" s="943"/>
      <c r="Q44" s="630"/>
      <c r="R44" s="943"/>
      <c r="S44" s="632"/>
      <c r="T44" s="943"/>
      <c r="U44" s="632"/>
    </row>
    <row r="45" spans="1:21" x14ac:dyDescent="0.35">
      <c r="A45" s="998"/>
      <c r="B45" s="1109"/>
      <c r="C45" s="1086"/>
      <c r="D45" s="682"/>
      <c r="E45" s="642"/>
      <c r="F45" s="642"/>
      <c r="G45" s="646"/>
      <c r="H45" s="943"/>
      <c r="I45" s="984"/>
      <c r="J45" s="943"/>
      <c r="K45" s="984"/>
      <c r="L45" s="943"/>
      <c r="M45" s="632"/>
      <c r="N45" s="943"/>
      <c r="O45" s="632"/>
      <c r="P45" s="943"/>
      <c r="Q45" s="630"/>
      <c r="R45" s="943"/>
      <c r="S45" s="632"/>
      <c r="T45" s="943"/>
      <c r="U45" s="632"/>
    </row>
    <row r="46" spans="1:21" x14ac:dyDescent="0.35">
      <c r="A46" s="998"/>
      <c r="B46" s="1109"/>
      <c r="C46" s="1086"/>
      <c r="D46" s="682"/>
      <c r="E46" s="642"/>
      <c r="F46" s="642"/>
      <c r="G46" s="646"/>
      <c r="H46" s="943"/>
      <c r="I46" s="1140"/>
      <c r="J46" s="943"/>
      <c r="K46" s="1140"/>
      <c r="L46" s="943"/>
      <c r="M46" s="632"/>
      <c r="N46" s="943"/>
      <c r="O46" s="632"/>
      <c r="P46" s="943"/>
      <c r="Q46" s="630"/>
      <c r="R46" s="943"/>
      <c r="S46" s="632"/>
      <c r="T46" s="943"/>
      <c r="U46" s="632"/>
    </row>
    <row r="47" spans="1:21" x14ac:dyDescent="0.35">
      <c r="A47" s="1116"/>
      <c r="B47" s="1104"/>
      <c r="C47" s="1117"/>
      <c r="D47" s="1118"/>
      <c r="E47" s="1118"/>
      <c r="F47" s="1118"/>
      <c r="G47" s="1117"/>
      <c r="H47" s="943"/>
      <c r="I47" s="1209"/>
      <c r="J47" s="943"/>
      <c r="K47" s="1209"/>
      <c r="L47" s="943"/>
      <c r="M47" s="1119"/>
      <c r="N47" s="943"/>
      <c r="O47" s="1119"/>
      <c r="P47" s="943"/>
      <c r="Q47" s="1119"/>
      <c r="R47" s="943"/>
      <c r="S47" s="1119"/>
      <c r="T47" s="943"/>
      <c r="U47" s="1119"/>
    </row>
    <row r="48" spans="1:21" x14ac:dyDescent="0.35">
      <c r="A48" s="14"/>
      <c r="B48" s="15"/>
      <c r="C48" s="16"/>
      <c r="D48" s="16"/>
      <c r="E48" s="17"/>
      <c r="F48" s="18" t="s">
        <v>715</v>
      </c>
      <c r="G48" s="19"/>
      <c r="H48" s="20"/>
      <c r="I48" s="50">
        <f>SUM(I24:I47)</f>
        <v>368772</v>
      </c>
      <c r="J48" s="20"/>
      <c r="K48" s="50">
        <f>SUM(K24:K47)</f>
        <v>409660</v>
      </c>
      <c r="L48" s="20"/>
      <c r="M48" s="50">
        <f>SUM(M24:M47)</f>
        <v>419940</v>
      </c>
      <c r="N48" s="20"/>
      <c r="O48" s="50">
        <f>SUM(O24:O47)</f>
        <v>115000</v>
      </c>
      <c r="P48" s="20"/>
      <c r="Q48" s="50">
        <f>SUM(Q24:Q47)</f>
        <v>0</v>
      </c>
      <c r="R48" s="20"/>
      <c r="S48" s="50">
        <f>SUM(S24:S47)</f>
        <v>0</v>
      </c>
      <c r="T48" s="20"/>
      <c r="U48" s="50">
        <f>SUM(U24:U47)</f>
        <v>0</v>
      </c>
    </row>
    <row r="49" spans="1:21" x14ac:dyDescent="0.35">
      <c r="A49" s="684"/>
      <c r="B49" s="655"/>
      <c r="C49" s="656"/>
      <c r="D49" s="656"/>
      <c r="E49" s="657"/>
      <c r="F49" s="658" t="s">
        <v>716</v>
      </c>
      <c r="G49" s="659"/>
      <c r="H49" s="1153">
        <v>0</v>
      </c>
      <c r="I49" s="1121"/>
      <c r="J49" s="1153">
        <v>0</v>
      </c>
      <c r="K49" s="1121"/>
      <c r="L49" s="959">
        <v>0</v>
      </c>
      <c r="M49" s="1121"/>
      <c r="N49" s="959">
        <v>0</v>
      </c>
      <c r="O49" s="1121"/>
      <c r="P49" s="959">
        <v>0</v>
      </c>
      <c r="Q49" s="1121"/>
      <c r="R49" s="959">
        <v>0</v>
      </c>
      <c r="S49" s="1121"/>
      <c r="T49" s="959">
        <v>0</v>
      </c>
      <c r="U49" s="1121"/>
    </row>
    <row r="50" spans="1:21" x14ac:dyDescent="0.35">
      <c r="A50" s="684"/>
      <c r="B50" s="655"/>
      <c r="C50" s="656"/>
      <c r="D50" s="656"/>
      <c r="E50" s="657"/>
      <c r="F50" s="658" t="s">
        <v>717</v>
      </c>
      <c r="G50" s="659"/>
      <c r="H50" s="961"/>
      <c r="I50" s="1122">
        <f>H49*I48</f>
        <v>0</v>
      </c>
      <c r="J50" s="961"/>
      <c r="K50" s="1122">
        <f>J49*K48</f>
        <v>0</v>
      </c>
      <c r="L50" s="961"/>
      <c r="M50" s="1122">
        <f>L49*M48</f>
        <v>0</v>
      </c>
      <c r="N50" s="961"/>
      <c r="O50" s="1122">
        <f>N49*O48</f>
        <v>0</v>
      </c>
      <c r="P50" s="961"/>
      <c r="Q50" s="1122">
        <f>P49*Q48</f>
        <v>0</v>
      </c>
      <c r="R50" s="961"/>
      <c r="S50" s="1122">
        <f>R49*S48</f>
        <v>0</v>
      </c>
      <c r="T50" s="961"/>
      <c r="U50" s="1122">
        <f>T49*U48</f>
        <v>0</v>
      </c>
    </row>
    <row r="51" spans="1:21" x14ac:dyDescent="0.35">
      <c r="A51" s="684"/>
      <c r="B51" s="655"/>
      <c r="C51" s="656"/>
      <c r="D51" s="656"/>
      <c r="E51" s="657"/>
      <c r="F51" s="658"/>
      <c r="G51" s="659"/>
      <c r="H51" s="961"/>
      <c r="I51" s="963"/>
      <c r="J51" s="961"/>
      <c r="K51" s="963"/>
      <c r="L51" s="961"/>
      <c r="M51" s="963"/>
      <c r="N51" s="961"/>
      <c r="O51" s="963"/>
      <c r="P51" s="961"/>
      <c r="Q51" s="963"/>
      <c r="R51" s="961"/>
      <c r="S51" s="963"/>
      <c r="T51" s="961"/>
      <c r="U51" s="963"/>
    </row>
    <row r="52" spans="1:21" x14ac:dyDescent="0.35">
      <c r="A52" s="684"/>
      <c r="B52" s="655"/>
      <c r="C52" s="656"/>
      <c r="D52" s="656"/>
      <c r="E52" s="657"/>
      <c r="F52" s="658" t="s">
        <v>718</v>
      </c>
      <c r="G52" s="659"/>
      <c r="H52" s="964"/>
      <c r="I52" s="962">
        <f>SUM(I48:I50)</f>
        <v>368772</v>
      </c>
      <c r="J52" s="964"/>
      <c r="K52" s="962">
        <f>SUM(K48:K50)</f>
        <v>409660</v>
      </c>
      <c r="L52" s="964"/>
      <c r="M52" s="962">
        <f>SUM(M48:M50)</f>
        <v>419940</v>
      </c>
      <c r="N52" s="964"/>
      <c r="O52" s="962">
        <f>SUM(O48:O50)</f>
        <v>115000</v>
      </c>
      <c r="P52" s="964"/>
      <c r="Q52" s="962">
        <f>SUM(Q48:Q50)</f>
        <v>0</v>
      </c>
      <c r="R52" s="964"/>
      <c r="S52" s="962">
        <f>SUM(S48:S50)</f>
        <v>0</v>
      </c>
      <c r="T52" s="964"/>
      <c r="U52" s="962">
        <f>SUM(U48:U50)</f>
        <v>0</v>
      </c>
    </row>
    <row r="53" spans="1:21" x14ac:dyDescent="0.35">
      <c r="A53" s="684"/>
      <c r="B53" s="655"/>
      <c r="C53" s="656"/>
      <c r="D53" s="656"/>
      <c r="E53" s="657"/>
      <c r="F53" s="660" t="s">
        <v>719</v>
      </c>
      <c r="G53" s="661"/>
      <c r="H53" s="965"/>
      <c r="I53" s="966" t="e">
        <f>I52/#REF!</f>
        <v>#REF!</v>
      </c>
      <c r="J53" s="965"/>
      <c r="K53" s="966" t="e">
        <f>K52/#REF!</f>
        <v>#REF!</v>
      </c>
      <c r="L53" s="965"/>
      <c r="M53" s="966" t="e">
        <f>M52/#REF!</f>
        <v>#REF!</v>
      </c>
      <c r="N53" s="965"/>
      <c r="O53" s="966" t="e">
        <f>O52/#REF!</f>
        <v>#REF!</v>
      </c>
      <c r="P53" s="965"/>
      <c r="Q53" s="966" t="e">
        <f>Q52/#REF!</f>
        <v>#REF!</v>
      </c>
      <c r="R53" s="965"/>
      <c r="S53" s="966" t="e">
        <f>S52/#REF!</f>
        <v>#REF!</v>
      </c>
      <c r="T53" s="965"/>
      <c r="U53" s="966" t="e">
        <f>U52/#REF!</f>
        <v>#REF!</v>
      </c>
    </row>
    <row r="54" spans="1:21" x14ac:dyDescent="0.35">
      <c r="A54" s="684"/>
      <c r="B54" s="655"/>
      <c r="C54" s="656"/>
      <c r="D54" s="656"/>
      <c r="E54" s="657"/>
      <c r="F54" s="660" t="s">
        <v>720</v>
      </c>
      <c r="G54" s="662"/>
      <c r="H54" s="965"/>
      <c r="I54" s="966" t="e">
        <f>I52/#REF!</f>
        <v>#REF!</v>
      </c>
      <c r="J54" s="965"/>
      <c r="K54" s="966" t="e">
        <f>K52/#REF!</f>
        <v>#REF!</v>
      </c>
      <c r="L54" s="965"/>
      <c r="M54" s="966" t="e">
        <f>M52/#REF!</f>
        <v>#REF!</v>
      </c>
      <c r="N54" s="965"/>
      <c r="O54" s="966" t="e">
        <f>O52/#REF!</f>
        <v>#REF!</v>
      </c>
      <c r="P54" s="965"/>
      <c r="Q54" s="966" t="e">
        <f>Q52/#REF!</f>
        <v>#REF!</v>
      </c>
      <c r="R54" s="965"/>
      <c r="S54" s="966" t="e">
        <f>S52/#REF!</f>
        <v>#REF!</v>
      </c>
      <c r="T54" s="965"/>
      <c r="U54" s="966" t="e">
        <f>U52/#REF!</f>
        <v>#REF!</v>
      </c>
    </row>
    <row r="55" spans="1:21" x14ac:dyDescent="0.35">
      <c r="A55" s="153"/>
      <c r="B55" s="154"/>
      <c r="C55" s="155"/>
      <c r="D55" s="155"/>
      <c r="E55" s="156"/>
      <c r="F55" s="157"/>
      <c r="G55" s="211"/>
      <c r="H55" s="160"/>
      <c r="I55" s="159"/>
      <c r="J55" s="160"/>
      <c r="K55" s="159"/>
      <c r="L55" s="160"/>
      <c r="M55" s="159"/>
      <c r="N55" s="160"/>
      <c r="O55" s="159"/>
      <c r="P55" s="160"/>
      <c r="Q55" s="159"/>
      <c r="R55" s="160"/>
      <c r="S55" s="159"/>
      <c r="T55" s="160"/>
      <c r="U55" s="159"/>
    </row>
    <row r="56" spans="1:21" x14ac:dyDescent="0.35">
      <c r="A56" s="3764" t="s">
        <v>721</v>
      </c>
      <c r="B56" s="3765"/>
      <c r="C56" s="12"/>
      <c r="D56" s="12"/>
      <c r="E56" s="12"/>
      <c r="F56" s="12"/>
      <c r="G56" s="13"/>
      <c r="H56" s="21"/>
      <c r="I56" s="21"/>
      <c r="J56" s="21"/>
      <c r="K56" s="21"/>
      <c r="L56" s="21"/>
      <c r="M56" s="21"/>
      <c r="N56" s="21"/>
      <c r="O56" s="21"/>
      <c r="P56" s="21"/>
      <c r="Q56" s="21"/>
      <c r="R56" s="21"/>
      <c r="S56" s="21"/>
      <c r="T56" s="21"/>
      <c r="U56" s="21"/>
    </row>
    <row r="57" spans="1:21" x14ac:dyDescent="0.35">
      <c r="A57" s="968"/>
      <c r="B57" s="641"/>
      <c r="C57" s="707"/>
      <c r="D57" s="707"/>
      <c r="E57" s="707"/>
      <c r="F57" s="707"/>
      <c r="G57" s="1195"/>
      <c r="H57" s="972"/>
      <c r="I57" s="972"/>
      <c r="J57" s="972"/>
      <c r="K57" s="972"/>
      <c r="L57" s="972"/>
      <c r="M57" s="972"/>
      <c r="N57" s="972"/>
      <c r="O57" s="972"/>
      <c r="P57" s="972"/>
      <c r="Q57" s="972"/>
      <c r="R57" s="972"/>
      <c r="S57" s="972"/>
      <c r="T57" s="972"/>
      <c r="U57" s="972"/>
    </row>
    <row r="58" spans="1:21" x14ac:dyDescent="0.35">
      <c r="A58" s="968"/>
      <c r="B58" s="641"/>
      <c r="C58" s="707"/>
      <c r="D58" s="707"/>
      <c r="E58" s="707"/>
      <c r="F58" s="707"/>
      <c r="G58" s="1195"/>
      <c r="H58" s="972"/>
      <c r="I58" s="972"/>
      <c r="J58" s="972"/>
      <c r="K58" s="972"/>
      <c r="L58" s="972"/>
      <c r="M58" s="972"/>
      <c r="N58" s="972"/>
      <c r="O58" s="972"/>
      <c r="P58" s="972"/>
      <c r="Q58" s="972"/>
      <c r="R58" s="972"/>
      <c r="S58" s="972"/>
      <c r="T58" s="972"/>
      <c r="U58" s="972"/>
    </row>
    <row r="59" spans="1:21" s="2" customFormat="1" x14ac:dyDescent="0.35">
      <c r="A59" s="968"/>
      <c r="B59" s="641"/>
      <c r="C59" s="707"/>
      <c r="D59" s="707"/>
      <c r="E59" s="707"/>
      <c r="F59" s="707"/>
      <c r="G59" s="1195"/>
      <c r="H59" s="972"/>
      <c r="I59" s="972"/>
      <c r="J59" s="972"/>
      <c r="K59" s="972"/>
      <c r="L59" s="972"/>
      <c r="M59" s="972"/>
      <c r="N59" s="972"/>
      <c r="O59" s="972"/>
      <c r="P59" s="972"/>
      <c r="Q59" s="972"/>
      <c r="R59" s="972"/>
      <c r="S59" s="972"/>
      <c r="T59" s="972"/>
      <c r="U59" s="972"/>
    </row>
    <row r="60" spans="1:21" x14ac:dyDescent="0.35">
      <c r="A60" s="3764" t="s">
        <v>722</v>
      </c>
      <c r="B60" s="3765"/>
      <c r="C60" s="12"/>
      <c r="D60" s="12"/>
      <c r="E60" s="12"/>
      <c r="F60" s="12"/>
      <c r="G60" s="13"/>
      <c r="H60" s="21"/>
      <c r="I60" s="21"/>
      <c r="J60" s="21"/>
      <c r="K60" s="21"/>
      <c r="L60" s="21"/>
      <c r="M60" s="21"/>
      <c r="N60" s="21"/>
      <c r="O60" s="21"/>
      <c r="P60" s="21"/>
      <c r="Q60" s="21"/>
      <c r="R60" s="21"/>
      <c r="S60" s="21"/>
      <c r="T60" s="21"/>
      <c r="U60" s="21"/>
    </row>
    <row r="61" spans="1:21" s="2" customFormat="1" x14ac:dyDescent="0.35">
      <c r="A61" s="968"/>
      <c r="B61" s="641"/>
      <c r="C61" s="707"/>
      <c r="D61" s="707"/>
      <c r="E61" s="707"/>
      <c r="F61" s="707"/>
      <c r="G61" s="1195"/>
      <c r="H61" s="972"/>
      <c r="I61" s="972"/>
      <c r="J61" s="972"/>
      <c r="K61" s="972"/>
      <c r="L61" s="972"/>
      <c r="M61" s="972"/>
      <c r="N61" s="972"/>
      <c r="O61" s="972"/>
      <c r="P61" s="972"/>
      <c r="Q61" s="972"/>
      <c r="R61" s="972"/>
      <c r="S61" s="972"/>
      <c r="T61" s="972"/>
      <c r="U61" s="972"/>
    </row>
    <row r="62" spans="1:21" s="2" customFormat="1" x14ac:dyDescent="0.35">
      <c r="A62" s="968"/>
      <c r="B62" s="641"/>
      <c r="C62" s="707"/>
      <c r="D62" s="707"/>
      <c r="E62" s="707"/>
      <c r="F62" s="707"/>
      <c r="G62" s="1195"/>
      <c r="H62" s="972"/>
      <c r="I62" s="972"/>
      <c r="J62" s="972"/>
      <c r="K62" s="972"/>
      <c r="L62" s="972"/>
      <c r="M62" s="972"/>
      <c r="N62" s="972"/>
      <c r="O62" s="972"/>
      <c r="P62" s="972"/>
      <c r="Q62" s="972"/>
      <c r="R62" s="972"/>
      <c r="S62" s="972"/>
      <c r="T62" s="972"/>
      <c r="U62" s="972"/>
    </row>
    <row r="63" spans="1:21" s="2" customFormat="1" x14ac:dyDescent="0.35">
      <c r="A63" s="968"/>
      <c r="B63" s="641"/>
      <c r="C63" s="707"/>
      <c r="D63" s="707"/>
      <c r="E63" s="707"/>
      <c r="F63" s="707"/>
      <c r="G63" s="1195"/>
      <c r="H63" s="972"/>
      <c r="I63" s="972"/>
      <c r="J63" s="972"/>
      <c r="K63" s="972"/>
      <c r="L63" s="972"/>
      <c r="M63" s="972"/>
      <c r="N63" s="972"/>
      <c r="O63" s="972"/>
      <c r="P63" s="972"/>
      <c r="Q63" s="972"/>
      <c r="R63" s="972"/>
      <c r="S63" s="972"/>
      <c r="T63" s="972"/>
      <c r="U63" s="972"/>
    </row>
    <row r="64" spans="1:21" x14ac:dyDescent="0.35">
      <c r="A64" s="3764" t="s">
        <v>723</v>
      </c>
      <c r="B64" s="3765"/>
      <c r="C64" s="12"/>
      <c r="D64" s="12"/>
      <c r="E64" s="12"/>
      <c r="F64" s="12"/>
      <c r="G64" s="13"/>
      <c r="H64" s="21"/>
      <c r="I64" s="21"/>
      <c r="J64" s="21"/>
      <c r="K64" s="21"/>
      <c r="L64" s="21"/>
      <c r="M64" s="21"/>
      <c r="N64" s="21"/>
      <c r="O64" s="21"/>
      <c r="P64" s="21"/>
      <c r="Q64" s="21"/>
      <c r="R64" s="21"/>
      <c r="S64" s="21"/>
      <c r="T64" s="21"/>
      <c r="U64" s="21"/>
    </row>
    <row r="65" spans="1:21" x14ac:dyDescent="0.35">
      <c r="A65" s="968"/>
      <c r="B65" s="641" t="s">
        <v>977</v>
      </c>
      <c r="C65" s="707"/>
      <c r="D65" s="707"/>
      <c r="E65" s="707"/>
      <c r="F65" s="707"/>
      <c r="G65" s="1195"/>
      <c r="H65" s="943"/>
      <c r="I65" s="974"/>
      <c r="J65" s="972"/>
      <c r="K65" s="972"/>
      <c r="L65" s="972"/>
      <c r="M65" s="972"/>
      <c r="N65" s="972"/>
      <c r="O65" s="972"/>
      <c r="P65" s="972"/>
      <c r="Q65" s="972"/>
      <c r="R65" s="972"/>
      <c r="S65" s="972"/>
      <c r="T65" s="972"/>
      <c r="U65" s="972"/>
    </row>
    <row r="66" spans="1:21" x14ac:dyDescent="0.35">
      <c r="A66" s="689"/>
      <c r="B66" s="641"/>
      <c r="C66" s="642"/>
      <c r="D66" s="642"/>
      <c r="E66" s="642"/>
      <c r="F66" s="642"/>
      <c r="G66" s="646"/>
      <c r="H66" s="973"/>
      <c r="I66" s="973"/>
      <c r="J66" s="973"/>
      <c r="K66" s="973"/>
      <c r="L66" s="973"/>
      <c r="M66" s="973"/>
      <c r="N66" s="973"/>
      <c r="O66" s="973"/>
      <c r="P66" s="973"/>
      <c r="Q66" s="973"/>
      <c r="R66" s="973"/>
      <c r="S66" s="973"/>
      <c r="T66" s="973"/>
      <c r="U66" s="973"/>
    </row>
    <row r="67" spans="1:21" x14ac:dyDescent="0.35">
      <c r="A67" s="686"/>
      <c r="B67" s="665"/>
      <c r="C67" s="642"/>
      <c r="D67" s="642"/>
      <c r="E67" s="642"/>
      <c r="F67" s="642"/>
      <c r="G67" s="646"/>
      <c r="H67" s="974"/>
      <c r="I67" s="974"/>
      <c r="J67" s="974"/>
      <c r="K67" s="974"/>
      <c r="L67" s="974"/>
      <c r="M67" s="974"/>
      <c r="N67" s="974"/>
      <c r="O67" s="974"/>
      <c r="P67" s="974"/>
      <c r="Q67" s="974"/>
      <c r="R67" s="974"/>
      <c r="S67" s="974"/>
      <c r="T67" s="974"/>
      <c r="U67" s="974"/>
    </row>
    <row r="68" spans="1:21" x14ac:dyDescent="0.35">
      <c r="A68" s="3764" t="s">
        <v>724</v>
      </c>
      <c r="B68" s="3765"/>
      <c r="C68" s="12"/>
      <c r="D68" s="12"/>
      <c r="E68" s="12"/>
      <c r="F68" s="12"/>
      <c r="G68" s="13"/>
      <c r="H68" s="21"/>
      <c r="I68" s="21"/>
      <c r="J68" s="21"/>
      <c r="K68" s="21"/>
      <c r="L68" s="21"/>
      <c r="M68" s="21"/>
      <c r="N68" s="21"/>
      <c r="O68" s="21"/>
      <c r="P68" s="21"/>
      <c r="Q68" s="21"/>
      <c r="R68" s="21"/>
      <c r="S68" s="21"/>
      <c r="T68" s="21"/>
      <c r="U68" s="21"/>
    </row>
    <row r="69" spans="1:21" x14ac:dyDescent="0.35">
      <c r="A69" s="975"/>
      <c r="B69" s="708" t="s">
        <v>978</v>
      </c>
      <c r="C69" s="707"/>
      <c r="D69" s="707"/>
      <c r="E69" s="707"/>
      <c r="F69" s="707"/>
      <c r="G69" s="1195"/>
      <c r="H69" s="943" t="s">
        <v>669</v>
      </c>
      <c r="I69" s="972">
        <f>-125970</f>
        <v>-125970</v>
      </c>
      <c r="J69" s="972"/>
      <c r="K69" s="972"/>
      <c r="L69" s="943"/>
      <c r="M69" s="972"/>
      <c r="N69" s="943"/>
      <c r="O69" s="972"/>
      <c r="P69" s="972"/>
      <c r="Q69" s="972"/>
      <c r="R69" s="972"/>
      <c r="S69" s="972"/>
      <c r="T69" s="972"/>
      <c r="U69" s="972"/>
    </row>
    <row r="70" spans="1:21" x14ac:dyDescent="0.35">
      <c r="A70" s="686"/>
      <c r="B70" s="665" t="s">
        <v>979</v>
      </c>
      <c r="C70" s="642"/>
      <c r="D70" s="642"/>
      <c r="E70" s="642"/>
      <c r="F70" s="642"/>
      <c r="G70" s="646"/>
      <c r="H70" s="943" t="s">
        <v>669</v>
      </c>
      <c r="I70" s="977">
        <f>-125970</f>
        <v>-125970</v>
      </c>
      <c r="J70" s="977"/>
      <c r="K70" s="977"/>
      <c r="L70" s="977"/>
      <c r="M70" s="977"/>
      <c r="N70" s="977"/>
      <c r="O70" s="977"/>
      <c r="P70" s="977"/>
      <c r="Q70" s="977"/>
      <c r="R70" s="977"/>
      <c r="S70" s="977"/>
      <c r="T70" s="977"/>
      <c r="U70" s="977"/>
    </row>
    <row r="71" spans="1:21" x14ac:dyDescent="0.35">
      <c r="A71" s="686"/>
      <c r="B71" s="665" t="s">
        <v>980</v>
      </c>
      <c r="C71" s="642"/>
      <c r="D71" s="642"/>
      <c r="E71" s="642"/>
      <c r="F71" s="642"/>
      <c r="G71" s="646"/>
      <c r="H71" s="1210" t="s">
        <v>671</v>
      </c>
      <c r="I71" s="977"/>
      <c r="J71" s="1211" t="s">
        <v>669</v>
      </c>
      <c r="K71" s="977">
        <v>174340</v>
      </c>
      <c r="L71" s="977"/>
      <c r="M71" s="977"/>
      <c r="N71" s="977"/>
      <c r="O71" s="977"/>
      <c r="P71" s="977"/>
      <c r="Q71" s="977"/>
      <c r="R71" s="977"/>
      <c r="S71" s="977"/>
      <c r="T71" s="977"/>
      <c r="U71" s="977"/>
    </row>
    <row r="72" spans="1:21" x14ac:dyDescent="0.35">
      <c r="A72" s="3764" t="s">
        <v>725</v>
      </c>
      <c r="B72" s="3765"/>
      <c r="C72" s="12"/>
      <c r="D72" s="12"/>
      <c r="E72" s="12"/>
      <c r="F72" s="12"/>
      <c r="G72" s="13"/>
      <c r="H72" s="21"/>
      <c r="I72" s="21"/>
      <c r="J72" s="1131"/>
      <c r="K72" s="1131"/>
      <c r="L72" s="21"/>
      <c r="M72" s="21"/>
      <c r="N72" s="21"/>
      <c r="O72" s="21"/>
      <c r="P72" s="21"/>
      <c r="Q72" s="21"/>
      <c r="R72" s="21"/>
      <c r="S72" s="21"/>
      <c r="T72" s="1131"/>
      <c r="U72" s="1131"/>
    </row>
    <row r="73" spans="1:21" x14ac:dyDescent="0.35">
      <c r="A73" s="689"/>
      <c r="B73" s="641" t="s">
        <v>726</v>
      </c>
      <c r="C73" s="642"/>
      <c r="D73" s="642"/>
      <c r="E73" s="642"/>
      <c r="F73" s="642"/>
      <c r="G73" s="646"/>
      <c r="H73" s="977"/>
      <c r="I73" s="977"/>
      <c r="J73" s="977"/>
      <c r="K73" s="977"/>
      <c r="L73" s="977"/>
      <c r="M73" s="977"/>
      <c r="N73" s="977"/>
      <c r="O73" s="977"/>
      <c r="P73" s="977"/>
      <c r="Q73" s="977"/>
      <c r="R73" s="977"/>
      <c r="S73" s="977"/>
      <c r="T73" s="977"/>
      <c r="U73" s="977"/>
    </row>
    <row r="74" spans="1:21" x14ac:dyDescent="0.35">
      <c r="A74" s="689"/>
      <c r="B74" s="641" t="s">
        <v>727</v>
      </c>
      <c r="C74" s="642"/>
      <c r="D74" s="642"/>
      <c r="E74" s="642"/>
      <c r="F74" s="642"/>
      <c r="G74" s="646"/>
      <c r="H74" s="977"/>
      <c r="I74" s="977"/>
      <c r="J74" s="977"/>
      <c r="K74" s="977"/>
      <c r="L74" s="977"/>
      <c r="M74" s="977"/>
      <c r="N74" s="977"/>
      <c r="O74" s="977"/>
      <c r="P74" s="977"/>
      <c r="Q74" s="977"/>
      <c r="R74" s="977"/>
      <c r="S74" s="977"/>
      <c r="T74" s="977"/>
      <c r="U74" s="977"/>
    </row>
    <row r="75" spans="1:21" x14ac:dyDescent="0.35">
      <c r="A75" s="689"/>
      <c r="B75" s="641" t="s">
        <v>728</v>
      </c>
      <c r="C75" s="642"/>
      <c r="D75" s="642"/>
      <c r="E75" s="642"/>
      <c r="F75" s="642"/>
      <c r="G75" s="646"/>
      <c r="H75" s="977"/>
      <c r="I75" s="977"/>
      <c r="J75" s="977"/>
      <c r="K75" s="977"/>
      <c r="L75" s="977"/>
      <c r="M75" s="977"/>
      <c r="N75" s="977"/>
      <c r="O75" s="977"/>
      <c r="P75" s="977"/>
      <c r="Q75" s="977"/>
      <c r="R75" s="977"/>
      <c r="S75" s="977"/>
      <c r="T75" s="977"/>
      <c r="U75" s="977"/>
    </row>
    <row r="76" spans="1:21" x14ac:dyDescent="0.35">
      <c r="A76" s="689"/>
      <c r="B76" s="641" t="s">
        <v>729</v>
      </c>
      <c r="C76" s="642"/>
      <c r="D76" s="642"/>
      <c r="E76" s="642"/>
      <c r="F76" s="642"/>
      <c r="G76" s="646"/>
      <c r="H76" s="977"/>
      <c r="I76" s="977"/>
      <c r="J76" s="977"/>
      <c r="K76" s="977"/>
      <c r="L76" s="977"/>
      <c r="M76" s="977"/>
      <c r="N76" s="977"/>
      <c r="O76" s="977"/>
      <c r="P76" s="977"/>
      <c r="Q76" s="977"/>
      <c r="R76" s="977"/>
      <c r="S76" s="977"/>
      <c r="T76" s="977"/>
      <c r="U76" s="977"/>
    </row>
    <row r="77" spans="1:21" x14ac:dyDescent="0.35">
      <c r="A77" s="978"/>
      <c r="B77" s="939"/>
      <c r="C77" s="940"/>
      <c r="D77" s="940"/>
      <c r="E77" s="940"/>
      <c r="F77" s="940"/>
      <c r="G77" s="1039"/>
      <c r="H77" s="981"/>
      <c r="I77" s="981"/>
      <c r="J77" s="981"/>
      <c r="K77" s="981"/>
      <c r="L77" s="981"/>
      <c r="M77" s="981"/>
      <c r="N77" s="981"/>
      <c r="O77" s="981"/>
      <c r="P77" s="981"/>
      <c r="Q77" s="981"/>
      <c r="R77" s="981"/>
      <c r="S77" s="981"/>
      <c r="T77" s="981"/>
      <c r="U77" s="981"/>
    </row>
    <row r="78" spans="1:21" x14ac:dyDescent="0.35">
      <c r="A78" s="7" t="s">
        <v>730</v>
      </c>
      <c r="B78" s="8"/>
      <c r="C78" s="12"/>
      <c r="D78" s="12"/>
      <c r="E78" s="12"/>
      <c r="F78" s="12"/>
      <c r="G78" s="13"/>
      <c r="H78" s="21"/>
      <c r="I78" s="21"/>
      <c r="J78" s="21"/>
      <c r="K78" s="21"/>
      <c r="L78" s="21"/>
      <c r="M78" s="21"/>
      <c r="N78" s="21"/>
      <c r="O78" s="21"/>
      <c r="P78" s="21"/>
      <c r="Q78" s="21"/>
      <c r="R78" s="21"/>
      <c r="S78" s="21"/>
      <c r="T78" s="21"/>
      <c r="U78" s="21"/>
    </row>
    <row r="79" spans="1:21" x14ac:dyDescent="0.35">
      <c r="A79" s="968"/>
      <c r="B79" s="709" t="s">
        <v>731</v>
      </c>
      <c r="C79" s="707"/>
      <c r="D79" s="707"/>
      <c r="E79" s="707"/>
      <c r="F79" s="707"/>
      <c r="G79" s="1195"/>
      <c r="H79" s="983"/>
      <c r="I79" s="983"/>
      <c r="J79" s="983"/>
      <c r="K79" s="983"/>
      <c r="L79" s="983"/>
      <c r="M79" s="983"/>
      <c r="N79" s="983"/>
      <c r="O79" s="983"/>
      <c r="P79" s="983"/>
      <c r="Q79" s="983"/>
      <c r="R79" s="983"/>
      <c r="S79" s="983"/>
      <c r="T79" s="983"/>
      <c r="U79" s="983"/>
    </row>
    <row r="80" spans="1:21" x14ac:dyDescent="0.35">
      <c r="A80" s="689"/>
      <c r="B80" s="641" t="s">
        <v>732</v>
      </c>
      <c r="C80" s="642"/>
      <c r="D80" s="642"/>
      <c r="E80" s="642"/>
      <c r="F80" s="642"/>
      <c r="G80" s="646"/>
      <c r="H80" s="984"/>
      <c r="I80" s="984"/>
      <c r="J80" s="984"/>
      <c r="K80" s="984"/>
      <c r="L80" s="984"/>
      <c r="M80" s="984"/>
      <c r="N80" s="984"/>
      <c r="O80" s="984"/>
      <c r="P80" s="984"/>
      <c r="Q80" s="984"/>
      <c r="R80" s="984"/>
      <c r="S80" s="984"/>
      <c r="T80" s="984"/>
      <c r="U80" s="984"/>
    </row>
    <row r="81" spans="1:21" x14ac:dyDescent="0.35">
      <c r="A81" s="985"/>
      <c r="B81" s="986" t="s">
        <v>733</v>
      </c>
      <c r="C81" s="987"/>
      <c r="D81" s="987"/>
      <c r="E81" s="987"/>
      <c r="F81" s="987"/>
      <c r="G81" s="1040"/>
      <c r="H81" s="990"/>
      <c r="I81" s="990"/>
      <c r="J81" s="990"/>
      <c r="K81" s="990"/>
      <c r="L81" s="990"/>
      <c r="M81" s="990"/>
      <c r="N81" s="990"/>
      <c r="O81" s="990"/>
      <c r="P81" s="990"/>
      <c r="Q81" s="990"/>
      <c r="R81" s="990"/>
      <c r="S81" s="990"/>
      <c r="T81" s="990"/>
      <c r="U81" s="990"/>
    </row>
    <row r="83" spans="1:21" x14ac:dyDescent="0.35">
      <c r="A83" s="78" t="s">
        <v>734</v>
      </c>
      <c r="B83" s="80"/>
    </row>
    <row r="84" spans="1:21" x14ac:dyDescent="0.35">
      <c r="A84" s="79" t="s">
        <v>632</v>
      </c>
      <c r="B84" s="80" t="str">
        <f>H4</f>
        <v>Signature Privacy Walls</v>
      </c>
    </row>
    <row r="85" spans="1:21" x14ac:dyDescent="0.35">
      <c r="A85" s="687" t="s">
        <v>636</v>
      </c>
      <c r="B85" s="991" t="str">
        <f>H5</f>
        <v>Nick Solomon</v>
      </c>
    </row>
    <row r="86" spans="1:21" x14ac:dyDescent="0.35">
      <c r="A86" s="992" t="s">
        <v>639</v>
      </c>
      <c r="B86" s="993" t="str">
        <f>H6</f>
        <v xml:space="preserve">727-458-0018  </v>
      </c>
    </row>
    <row r="87" spans="1:21" x14ac:dyDescent="0.35">
      <c r="A87" s="992" t="s">
        <v>642</v>
      </c>
      <c r="B87" s="994" t="str">
        <f>H7</f>
        <v xml:space="preserve"> nick@signatureprivacywalls.com</v>
      </c>
      <c r="C87" s="2" t="s">
        <v>80</v>
      </c>
      <c r="D87" s="2" t="s">
        <v>429</v>
      </c>
      <c r="E87" s="2" t="s">
        <v>746</v>
      </c>
    </row>
    <row r="88" spans="1:21" x14ac:dyDescent="0.35">
      <c r="A88" s="995" t="s">
        <v>735</v>
      </c>
      <c r="B88" s="996">
        <f>H8</f>
        <v>368772</v>
      </c>
    </row>
    <row r="90" spans="1:21" x14ac:dyDescent="0.35">
      <c r="A90" s="81"/>
      <c r="B90" s="1" t="s">
        <v>736</v>
      </c>
    </row>
    <row r="91" spans="1:21" x14ac:dyDescent="0.35">
      <c r="A91" s="82"/>
      <c r="B91" s="1" t="s">
        <v>737</v>
      </c>
    </row>
  </sheetData>
  <mergeCells count="55">
    <mergeCell ref="N1:O1"/>
    <mergeCell ref="A56:B56"/>
    <mergeCell ref="A60:B60"/>
    <mergeCell ref="A64:B64"/>
    <mergeCell ref="A68:B68"/>
    <mergeCell ref="H8:I8"/>
    <mergeCell ref="L8:M8"/>
    <mergeCell ref="N8:O8"/>
    <mergeCell ref="A72:B72"/>
    <mergeCell ref="L2:M2"/>
    <mergeCell ref="P4:Q4"/>
    <mergeCell ref="R4:S4"/>
    <mergeCell ref="H4:I4"/>
    <mergeCell ref="L4:M4"/>
    <mergeCell ref="P3:Q3"/>
    <mergeCell ref="R3:S3"/>
    <mergeCell ref="H3:I3"/>
    <mergeCell ref="L3:M3"/>
    <mergeCell ref="P2:Q2"/>
    <mergeCell ref="R2:S2"/>
    <mergeCell ref="H2:I2"/>
    <mergeCell ref="N2:O2"/>
    <mergeCell ref="N3:O3"/>
    <mergeCell ref="N4:O4"/>
    <mergeCell ref="P6:Q6"/>
    <mergeCell ref="R6:S6"/>
    <mergeCell ref="H6:I6"/>
    <mergeCell ref="L6:M6"/>
    <mergeCell ref="P5:Q5"/>
    <mergeCell ref="R5:S5"/>
    <mergeCell ref="H5:I5"/>
    <mergeCell ref="L5:M5"/>
    <mergeCell ref="N5:O5"/>
    <mergeCell ref="N6:O6"/>
    <mergeCell ref="P7:Q7"/>
    <mergeCell ref="R7:S7"/>
    <mergeCell ref="H7:I7"/>
    <mergeCell ref="L7:M7"/>
    <mergeCell ref="N7:O7"/>
    <mergeCell ref="T7:U7"/>
    <mergeCell ref="J8:K8"/>
    <mergeCell ref="T8:U8"/>
    <mergeCell ref="T2:U2"/>
    <mergeCell ref="J3:K3"/>
    <mergeCell ref="T3:U3"/>
    <mergeCell ref="J4:K4"/>
    <mergeCell ref="T4:U4"/>
    <mergeCell ref="J5:K5"/>
    <mergeCell ref="T5:U5"/>
    <mergeCell ref="J6:K6"/>
    <mergeCell ref="T6:U6"/>
    <mergeCell ref="J2:K2"/>
    <mergeCell ref="J7:K7"/>
    <mergeCell ref="P8:Q8"/>
    <mergeCell ref="R8:S8"/>
  </mergeCells>
  <conditionalFormatting sqref="H20:H32 J20:J32 L20:L32 P20:P32 R20:R32 T20:T32">
    <cfRule type="cellIs" dxfId="2789" priority="33" operator="equal">
      <formula>"X"</formula>
    </cfRule>
    <cfRule type="cellIs" dxfId="2788" priority="34" operator="equal">
      <formula>"I"</formula>
    </cfRule>
  </conditionalFormatting>
  <conditionalFormatting sqref="H34:H47">
    <cfRule type="cellIs" dxfId="2787" priority="15" operator="equal">
      <formula>"X"</formula>
    </cfRule>
    <cfRule type="cellIs" dxfId="2786" priority="16" operator="equal">
      <formula>"I"</formula>
    </cfRule>
  </conditionalFormatting>
  <conditionalFormatting sqref="H65">
    <cfRule type="cellIs" dxfId="2785" priority="13" operator="equal">
      <formula>"X"</formula>
    </cfRule>
    <cfRule type="cellIs" dxfId="2784" priority="14" operator="equal">
      <formula>"I"</formula>
    </cfRule>
  </conditionalFormatting>
  <conditionalFormatting sqref="H69:H70">
    <cfRule type="cellIs" dxfId="2783" priority="9" operator="equal">
      <formula>"X"</formula>
    </cfRule>
    <cfRule type="cellIs" dxfId="2782" priority="10" operator="equal">
      <formula>"I"</formula>
    </cfRule>
  </conditionalFormatting>
  <conditionalFormatting sqref="J34:J47">
    <cfRule type="cellIs" dxfId="2781" priority="19" operator="equal">
      <formula>"X"</formula>
    </cfRule>
    <cfRule type="cellIs" dxfId="2780" priority="20" operator="equal">
      <formula>"I"</formula>
    </cfRule>
  </conditionalFormatting>
  <conditionalFormatting sqref="L34:L47">
    <cfRule type="cellIs" dxfId="2779" priority="27" operator="equal">
      <formula>"X"</formula>
    </cfRule>
    <cfRule type="cellIs" dxfId="2778" priority="28" operator="equal">
      <formula>"I"</formula>
    </cfRule>
  </conditionalFormatting>
  <conditionalFormatting sqref="L69">
    <cfRule type="cellIs" dxfId="2777" priority="23" operator="equal">
      <formula>"X"</formula>
    </cfRule>
    <cfRule type="cellIs" dxfId="2776" priority="24" operator="equal">
      <formula>"I"</formula>
    </cfRule>
  </conditionalFormatting>
  <conditionalFormatting sqref="N20:N32">
    <cfRule type="cellIs" dxfId="2775" priority="7" operator="equal">
      <formula>"X"</formula>
    </cfRule>
    <cfRule type="cellIs" dxfId="2774" priority="8" operator="equal">
      <formula>"I"</formula>
    </cfRule>
  </conditionalFormatting>
  <conditionalFormatting sqref="N34:N47">
    <cfRule type="cellIs" dxfId="2773" priority="5" operator="equal">
      <formula>"X"</formula>
    </cfRule>
    <cfRule type="cellIs" dxfId="2772" priority="6" operator="equal">
      <formula>"I"</formula>
    </cfRule>
  </conditionalFormatting>
  <conditionalFormatting sqref="N69">
    <cfRule type="cellIs" dxfId="2771" priority="3" operator="equal">
      <formula>"X"</formula>
    </cfRule>
    <cfRule type="cellIs" dxfId="2770" priority="4" operator="equal">
      <formula>"I"</formula>
    </cfRule>
  </conditionalFormatting>
  <conditionalFormatting sqref="P34:P47">
    <cfRule type="cellIs" dxfId="2769" priority="31" operator="equal">
      <formula>"X"</formula>
    </cfRule>
    <cfRule type="cellIs" dxfId="2768" priority="32" operator="equal">
      <formula>"I"</formula>
    </cfRule>
  </conditionalFormatting>
  <conditionalFormatting sqref="R34:R47">
    <cfRule type="cellIs" dxfId="2767" priority="35" operator="equal">
      <formula>"X"</formula>
    </cfRule>
    <cfRule type="cellIs" dxfId="2766" priority="36" operator="equal">
      <formula>"I"</formula>
    </cfRule>
  </conditionalFormatting>
  <conditionalFormatting sqref="T34:T47">
    <cfRule type="cellIs" dxfId="2765" priority="51" operator="equal">
      <formula>"X"</formula>
    </cfRule>
    <cfRule type="cellIs" dxfId="2764" priority="52" operator="equal">
      <formula>"I"</formula>
    </cfRule>
  </conditionalFormatting>
  <conditionalFormatting sqref="J71">
    <cfRule type="cellIs" dxfId="2763" priority="1" operator="equal">
      <formula>"X"</formula>
    </cfRule>
    <cfRule type="cellIs" dxfId="2762" priority="2" operator="equal">
      <formula>"I"</formula>
    </cfRule>
  </conditionalFormatting>
  <hyperlinks>
    <hyperlink ref="B3" location="'Cost Summary'!A1" display="BACK TO SUMMARY SHEET" xr:uid="{DFE08542-DB84-4819-A9AF-5DC4BFE52024}"/>
    <hyperlink ref="H6:I6" r:id="rId1" display="tel:17272372495" xr:uid="{C6ED7AB5-C04D-4D90-A0BE-91B7B626C86F}"/>
    <hyperlink ref="H7:I7" r:id="rId2" display="signatureprivacywalls@gmail.com" xr:uid="{8823A990-DF02-4EE0-8FEE-DE287DA20A6A}"/>
    <hyperlink ref="P7:Q7" r:id="rId3" display="jfoster@ameaglefence.com" xr:uid="{400910F0-7C46-4B21-A238-3989CE36A9AC}"/>
    <hyperlink ref="R7:S7" r:id="rId4" display="bids@caststoneinternational.com" xr:uid="{CD9467BA-7F44-4589-87D9-324BBC972A11}"/>
    <hyperlink ref="J7:K7" r:id="rId5" display="&lt;chris@permacastwalls.com&gt;" xr:uid="{8C91213B-596B-4AA9-B625-DA14A5E3D635}"/>
  </hyperlinks>
  <pageMargins left="0.7" right="0.7" top="0.75" bottom="0.75" header="0.3" footer="0.3"/>
  <pageSetup orientation="portrait" r:id="rId6"/>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31CB-11A1-457F-A1F0-5AD9ADF756A3}">
  <sheetPr>
    <tabColor rgb="FFFFC000"/>
  </sheetPr>
  <dimension ref="A1:W116"/>
  <sheetViews>
    <sheetView zoomScale="91" zoomScaleNormal="91" workbookViewId="0">
      <pane xSplit="2" ySplit="9" topLeftCell="G43" activePane="bottomRight" state="frozen"/>
      <selection pane="topRight" activeCell="C1" sqref="C1"/>
      <selection pane="bottomLeft" activeCell="A10" sqref="A10"/>
      <selection pane="bottomRight" activeCell="Q59" sqref="Q59"/>
    </sheetView>
  </sheetViews>
  <sheetFormatPr defaultRowHeight="14.5" x14ac:dyDescent="0.35"/>
  <cols>
    <col min="1" max="1" width="12.54296875" customWidth="1"/>
    <col min="2" max="2" width="70.7265625" style="1" customWidth="1"/>
    <col min="3" max="3" width="13" style="2" customWidth="1"/>
    <col min="4" max="4" width="7.54296875" style="2" customWidth="1"/>
    <col min="5" max="5" width="10.453125" style="2" customWidth="1"/>
    <col min="6" max="6" width="10.26953125" style="2" customWidth="1"/>
    <col min="7" max="7" width="12.26953125" style="2" customWidth="1"/>
    <col min="8" max="8" width="7.453125" style="2" hidden="1" customWidth="1"/>
    <col min="9" max="9" width="14.81640625" style="2" hidden="1" customWidth="1"/>
    <col min="10" max="10" width="7.453125" style="2" bestFit="1" customWidth="1"/>
    <col min="11" max="11" width="14.81640625" style="2" customWidth="1"/>
    <col min="12" max="12" width="7.453125" style="2" bestFit="1" customWidth="1"/>
    <col min="13" max="13" width="14.81640625" style="51" customWidth="1"/>
    <col min="14" max="14" width="8.26953125" style="2" customWidth="1"/>
    <col min="15" max="15" width="14.81640625" style="2" customWidth="1"/>
    <col min="16" max="16" width="7.453125" style="2" bestFit="1" customWidth="1"/>
    <col min="17" max="17" width="14.81640625" style="2" customWidth="1"/>
    <col min="18" max="18" width="7.81640625" style="2" customWidth="1"/>
    <col min="19" max="19" width="14.81640625" style="2" customWidth="1"/>
    <col min="20" max="20" width="7.7265625" style="2" customWidth="1"/>
    <col min="21" max="21" width="14.81640625" style="2" customWidth="1"/>
    <col min="22" max="22" width="7.453125" style="2" bestFit="1" customWidth="1"/>
    <col min="23" max="23" width="14.81640625" style="2" customWidth="1"/>
  </cols>
  <sheetData>
    <row r="1" spans="1:21" x14ac:dyDescent="0.35">
      <c r="E1" s="152"/>
      <c r="F1" s="125"/>
      <c r="G1" s="123" t="s">
        <v>621</v>
      </c>
      <c r="J1" s="3785"/>
      <c r="K1" s="3785"/>
      <c r="L1" s="3785" t="s">
        <v>981</v>
      </c>
      <c r="M1" s="3785"/>
      <c r="N1" s="3785"/>
      <c r="O1" s="3785"/>
      <c r="P1" s="3785"/>
      <c r="Q1" s="3785"/>
      <c r="R1" s="3785" t="s">
        <v>981</v>
      </c>
      <c r="S1" s="3785"/>
      <c r="T1" s="3785" t="s">
        <v>981</v>
      </c>
      <c r="U1" s="3785"/>
    </row>
    <row r="2" spans="1:21" ht="15.75" customHeight="1" x14ac:dyDescent="0.35">
      <c r="E2" s="152"/>
      <c r="F2" s="122" t="s">
        <v>622</v>
      </c>
      <c r="G2" s="123" t="s">
        <v>451</v>
      </c>
      <c r="H2" s="3751" t="s">
        <v>982</v>
      </c>
      <c r="I2" s="3751"/>
      <c r="J2" s="3751" t="s">
        <v>983</v>
      </c>
      <c r="K2" s="3751"/>
      <c r="L2" s="3751"/>
      <c r="M2" s="3751"/>
      <c r="N2" s="3751" t="s">
        <v>984</v>
      </c>
      <c r="O2" s="3751"/>
      <c r="P2" s="3751"/>
      <c r="Q2" s="3751"/>
      <c r="R2" s="391"/>
      <c r="S2" s="391"/>
      <c r="T2" s="391"/>
      <c r="U2" s="391"/>
    </row>
    <row r="3" spans="1:21" ht="19.5" x14ac:dyDescent="0.35">
      <c r="B3" s="137" t="s">
        <v>623</v>
      </c>
      <c r="E3" s="152"/>
      <c r="F3" s="124" t="s">
        <v>624</v>
      </c>
      <c r="G3" s="123" t="s">
        <v>557</v>
      </c>
      <c r="H3" s="3754" t="s">
        <v>625</v>
      </c>
      <c r="I3" s="3755"/>
      <c r="J3" s="3772" t="s">
        <v>625</v>
      </c>
      <c r="K3" s="3773"/>
      <c r="L3" s="3778" t="s">
        <v>626</v>
      </c>
      <c r="M3" s="3779"/>
      <c r="N3" s="3778" t="s">
        <v>627</v>
      </c>
      <c r="O3" s="3779"/>
      <c r="P3" s="3778" t="s">
        <v>628</v>
      </c>
      <c r="Q3" s="3779"/>
      <c r="R3" s="3754" t="s">
        <v>772</v>
      </c>
      <c r="S3" s="3755"/>
      <c r="T3" s="3754" t="s">
        <v>628</v>
      </c>
      <c r="U3" s="3755"/>
    </row>
    <row r="4" spans="1:21" x14ac:dyDescent="0.35">
      <c r="A4" s="3" t="s">
        <v>631</v>
      </c>
      <c r="B4" s="4" t="str">
        <f>'AREA CALC''s'!B4</f>
        <v>Alton Hilltop Gardens</v>
      </c>
      <c r="C4" s="5"/>
      <c r="D4" s="5"/>
      <c r="E4" s="5"/>
      <c r="F4" s="5"/>
      <c r="G4" s="6" t="s">
        <v>632</v>
      </c>
      <c r="H4" s="3752" t="s">
        <v>985</v>
      </c>
      <c r="I4" s="3753"/>
      <c r="J4" s="3752" t="s">
        <v>950</v>
      </c>
      <c r="K4" s="3753"/>
      <c r="L4" s="3752" t="s">
        <v>986</v>
      </c>
      <c r="M4" s="3753"/>
      <c r="N4" s="3752" t="s">
        <v>987</v>
      </c>
      <c r="O4" s="3753"/>
      <c r="P4" s="3752" t="s">
        <v>988</v>
      </c>
      <c r="Q4" s="3753"/>
      <c r="R4" s="3752" t="s">
        <v>989</v>
      </c>
      <c r="S4" s="3753"/>
      <c r="T4" s="3752" t="s">
        <v>990</v>
      </c>
      <c r="U4" s="3753"/>
    </row>
    <row r="5" spans="1:21" x14ac:dyDescent="0.35">
      <c r="A5" s="688" t="s">
        <v>634</v>
      </c>
      <c r="B5" s="641" t="s">
        <v>991</v>
      </c>
      <c r="C5" s="642"/>
      <c r="D5" s="642"/>
      <c r="E5" s="642"/>
      <c r="F5" s="642"/>
      <c r="G5" s="643" t="s">
        <v>636</v>
      </c>
      <c r="H5" s="3758" t="s">
        <v>992</v>
      </c>
      <c r="I5" s="3759"/>
      <c r="J5" s="3758" t="s">
        <v>993</v>
      </c>
      <c r="K5" s="3759"/>
      <c r="L5" s="3758" t="s">
        <v>994</v>
      </c>
      <c r="M5" s="3759"/>
      <c r="N5" s="3758" t="s">
        <v>992</v>
      </c>
      <c r="O5" s="3759"/>
      <c r="P5" s="3758"/>
      <c r="Q5" s="3759"/>
      <c r="R5" s="3758" t="s">
        <v>995</v>
      </c>
      <c r="S5" s="3759"/>
      <c r="T5" s="3758" t="s">
        <v>996</v>
      </c>
      <c r="U5" s="3759"/>
    </row>
    <row r="6" spans="1:21" x14ac:dyDescent="0.35">
      <c r="A6" s="688" t="s">
        <v>638</v>
      </c>
      <c r="B6" s="644" t="s">
        <v>463</v>
      </c>
      <c r="C6" s="642"/>
      <c r="D6" s="642"/>
      <c r="E6" s="642"/>
      <c r="F6" s="642"/>
      <c r="G6" s="643" t="s">
        <v>639</v>
      </c>
      <c r="H6" s="3756" t="s">
        <v>997</v>
      </c>
      <c r="I6" s="3757"/>
      <c r="J6" s="3756" t="s">
        <v>998</v>
      </c>
      <c r="K6" s="3757"/>
      <c r="L6" s="3756" t="s">
        <v>999</v>
      </c>
      <c r="M6" s="3757"/>
      <c r="N6" s="3756" t="s">
        <v>997</v>
      </c>
      <c r="O6" s="3757"/>
      <c r="P6" s="3756" t="s">
        <v>1000</v>
      </c>
      <c r="Q6" s="3757"/>
      <c r="R6" s="3756">
        <v>3217257751</v>
      </c>
      <c r="S6" s="3757"/>
      <c r="T6" s="3756" t="s">
        <v>1001</v>
      </c>
      <c r="U6" s="3757"/>
    </row>
    <row r="7" spans="1:21" x14ac:dyDescent="0.35">
      <c r="A7" s="688" t="s">
        <v>641</v>
      </c>
      <c r="B7" s="645"/>
      <c r="C7" s="642"/>
      <c r="D7" s="642"/>
      <c r="E7" s="642"/>
      <c r="F7" s="642"/>
      <c r="G7" s="643" t="s">
        <v>642</v>
      </c>
      <c r="H7" s="3762" t="s">
        <v>1002</v>
      </c>
      <c r="I7" s="3763"/>
      <c r="J7" s="3762" t="s">
        <v>965</v>
      </c>
      <c r="K7" s="3763"/>
      <c r="L7" s="3762" t="s">
        <v>1003</v>
      </c>
      <c r="M7" s="3763"/>
      <c r="N7" s="3762" t="s">
        <v>1002</v>
      </c>
      <c r="O7" s="3763"/>
      <c r="P7" s="3762" t="s">
        <v>1004</v>
      </c>
      <c r="Q7" s="3763"/>
      <c r="R7" s="3762" t="s">
        <v>1005</v>
      </c>
      <c r="S7" s="3763"/>
      <c r="T7" s="3762" t="s">
        <v>1006</v>
      </c>
      <c r="U7" s="3763"/>
    </row>
    <row r="8" spans="1:21" x14ac:dyDescent="0.35">
      <c r="A8" s="938" t="s">
        <v>644</v>
      </c>
      <c r="B8" s="939"/>
      <c r="C8" s="940"/>
      <c r="D8" s="940"/>
      <c r="E8" s="940"/>
      <c r="F8" s="940"/>
      <c r="G8" s="1024" t="s">
        <v>644</v>
      </c>
      <c r="H8" s="3760">
        <f>I75</f>
        <v>67260</v>
      </c>
      <c r="I8" s="3761"/>
      <c r="J8" s="3760">
        <f>K75</f>
        <v>124582</v>
      </c>
      <c r="K8" s="3761"/>
      <c r="L8" s="3760">
        <f>M75</f>
        <v>134478.23000000001</v>
      </c>
      <c r="M8" s="3761"/>
      <c r="N8" s="3760">
        <f>O75</f>
        <v>145510</v>
      </c>
      <c r="O8" s="3761"/>
      <c r="P8" s="3760">
        <f>Q75</f>
        <v>103406.07999999999</v>
      </c>
      <c r="Q8" s="3761"/>
      <c r="R8" s="3760">
        <f>S75</f>
        <v>147763.09</v>
      </c>
      <c r="S8" s="3761"/>
      <c r="T8" s="3760">
        <f>U75</f>
        <v>179621.39</v>
      </c>
      <c r="U8" s="3761"/>
    </row>
    <row r="9" spans="1:2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c r="S9" s="11"/>
      <c r="T9" s="11"/>
      <c r="U9" s="11"/>
    </row>
    <row r="10" spans="1:21" hidden="1" x14ac:dyDescent="0.35">
      <c r="A10" s="689"/>
      <c r="B10" s="941" t="s">
        <v>653</v>
      </c>
      <c r="C10" s="642"/>
      <c r="D10" s="642"/>
      <c r="E10" s="642"/>
      <c r="F10" s="642"/>
      <c r="G10" s="646"/>
      <c r="H10" s="942"/>
      <c r="I10" s="942"/>
      <c r="J10" s="942"/>
      <c r="K10" s="942"/>
      <c r="L10" s="942"/>
      <c r="M10" s="1212"/>
      <c r="N10" s="942"/>
      <c r="O10" s="942"/>
      <c r="P10" s="942"/>
      <c r="Q10" s="942"/>
      <c r="R10" s="942"/>
      <c r="S10" s="942"/>
      <c r="T10" s="942"/>
      <c r="U10" s="942"/>
    </row>
    <row r="11" spans="1:21" hidden="1" x14ac:dyDescent="0.35">
      <c r="A11" s="689"/>
      <c r="B11" s="641" t="e">
        <f>#REF!</f>
        <v>#REF!</v>
      </c>
      <c r="C11" s="647" t="s">
        <v>654</v>
      </c>
      <c r="D11" s="642"/>
      <c r="E11" s="642"/>
      <c r="F11" s="642"/>
      <c r="G11" s="646"/>
      <c r="H11" s="942"/>
      <c r="I11" s="942"/>
      <c r="J11" s="942"/>
      <c r="K11" s="942"/>
      <c r="L11" s="942"/>
      <c r="M11" s="1212"/>
      <c r="N11" s="942"/>
      <c r="O11" s="942"/>
      <c r="P11" s="942"/>
      <c r="Q11" s="942"/>
      <c r="R11" s="942"/>
      <c r="S11" s="942"/>
      <c r="T11" s="942"/>
      <c r="U11" s="942"/>
    </row>
    <row r="12" spans="1:21" hidden="1" x14ac:dyDescent="0.35">
      <c r="A12" s="689"/>
      <c r="B12" s="641" t="e">
        <f>#REF!</f>
        <v>#REF!</v>
      </c>
      <c r="C12" s="647" t="s">
        <v>654</v>
      </c>
      <c r="D12" s="642"/>
      <c r="E12" s="642"/>
      <c r="F12" s="642"/>
      <c r="G12" s="646"/>
      <c r="H12" s="942"/>
      <c r="I12" s="942"/>
      <c r="J12" s="942"/>
      <c r="K12" s="942"/>
      <c r="L12" s="942"/>
      <c r="M12" s="1212"/>
      <c r="N12" s="942"/>
      <c r="O12" s="942"/>
      <c r="P12" s="942"/>
      <c r="Q12" s="942"/>
      <c r="R12" s="942"/>
      <c r="S12" s="942"/>
      <c r="T12" s="942"/>
      <c r="U12" s="942"/>
    </row>
    <row r="13" spans="1:21" hidden="1" x14ac:dyDescent="0.35">
      <c r="A13" s="689"/>
      <c r="B13" s="641" t="e">
        <f>#REF!</f>
        <v>#REF!</v>
      </c>
      <c r="C13" s="647" t="s">
        <v>654</v>
      </c>
      <c r="D13" s="642"/>
      <c r="E13" s="642"/>
      <c r="F13" s="642"/>
      <c r="G13" s="646"/>
      <c r="H13" s="942"/>
      <c r="I13" s="942"/>
      <c r="J13" s="942"/>
      <c r="K13" s="942"/>
      <c r="L13" s="942"/>
      <c r="M13" s="1212"/>
      <c r="N13" s="942"/>
      <c r="O13" s="942"/>
      <c r="P13" s="942"/>
      <c r="Q13" s="942"/>
      <c r="R13" s="942"/>
      <c r="S13" s="942"/>
      <c r="T13" s="942"/>
      <c r="U13" s="942"/>
    </row>
    <row r="14" spans="1:21" hidden="1" x14ac:dyDescent="0.35">
      <c r="A14" s="689"/>
      <c r="B14" s="641" t="e">
        <f>#REF!</f>
        <v>#REF!</v>
      </c>
      <c r="C14" s="647" t="s">
        <v>654</v>
      </c>
      <c r="D14" s="642"/>
      <c r="E14" s="642"/>
      <c r="F14" s="642"/>
      <c r="G14" s="646"/>
      <c r="H14" s="942"/>
      <c r="I14" s="942"/>
      <c r="J14" s="942"/>
      <c r="K14" s="942"/>
      <c r="L14" s="942"/>
      <c r="M14" s="1212"/>
      <c r="N14" s="942"/>
      <c r="O14" s="942"/>
      <c r="P14" s="942"/>
      <c r="Q14" s="942"/>
      <c r="R14" s="942"/>
      <c r="S14" s="942"/>
      <c r="T14" s="942"/>
      <c r="U14" s="942"/>
    </row>
    <row r="15" spans="1:21" hidden="1" x14ac:dyDescent="0.35">
      <c r="A15" s="689"/>
      <c r="B15" s="641" t="e">
        <f>#REF!</f>
        <v>#REF!</v>
      </c>
      <c r="C15" s="647" t="s">
        <v>654</v>
      </c>
      <c r="D15" s="642"/>
      <c r="E15" s="642"/>
      <c r="F15" s="642"/>
      <c r="G15" s="646"/>
      <c r="H15" s="942"/>
      <c r="I15" s="942"/>
      <c r="J15" s="942"/>
      <c r="K15" s="942"/>
      <c r="L15" s="942"/>
      <c r="M15" s="1212"/>
      <c r="N15" s="942"/>
      <c r="O15" s="942"/>
      <c r="P15" s="942"/>
      <c r="Q15" s="942"/>
      <c r="R15" s="942"/>
      <c r="S15" s="942"/>
      <c r="T15" s="942"/>
      <c r="U15" s="942"/>
    </row>
    <row r="16" spans="1:21" hidden="1" x14ac:dyDescent="0.35">
      <c r="A16" s="689"/>
      <c r="B16" s="641" t="e">
        <f>#REF!</f>
        <v>#REF!</v>
      </c>
      <c r="C16" s="647" t="s">
        <v>654</v>
      </c>
      <c r="D16" s="642"/>
      <c r="E16" s="642"/>
      <c r="F16" s="642"/>
      <c r="G16" s="646"/>
      <c r="H16" s="942"/>
      <c r="I16" s="942"/>
      <c r="J16" s="942"/>
      <c r="K16" s="942"/>
      <c r="L16" s="942"/>
      <c r="M16" s="1212"/>
      <c r="N16" s="942"/>
      <c r="O16" s="942"/>
      <c r="P16" s="942"/>
      <c r="Q16" s="942"/>
      <c r="R16" s="942"/>
      <c r="S16" s="942"/>
      <c r="T16" s="942"/>
      <c r="U16" s="942"/>
    </row>
    <row r="17" spans="1:21" hidden="1" x14ac:dyDescent="0.35">
      <c r="A17" s="689"/>
      <c r="B17" s="641" t="e">
        <f>#REF!</f>
        <v>#REF!</v>
      </c>
      <c r="C17" s="647" t="s">
        <v>654</v>
      </c>
      <c r="D17" s="642"/>
      <c r="E17" s="642"/>
      <c r="F17" s="642"/>
      <c r="G17" s="646"/>
      <c r="H17" s="942"/>
      <c r="I17" s="942"/>
      <c r="J17" s="942"/>
      <c r="K17" s="942"/>
      <c r="L17" s="942"/>
      <c r="M17" s="1212"/>
      <c r="N17" s="942"/>
      <c r="O17" s="942"/>
      <c r="P17" s="942"/>
      <c r="Q17" s="942"/>
      <c r="R17" s="942"/>
      <c r="S17" s="942"/>
      <c r="T17" s="942"/>
      <c r="U17" s="942"/>
    </row>
    <row r="18" spans="1:21" hidden="1" x14ac:dyDescent="0.35">
      <c r="A18" s="689"/>
      <c r="B18" s="641" t="e">
        <f>#REF!</f>
        <v>#REF!</v>
      </c>
      <c r="C18" s="647" t="s">
        <v>654</v>
      </c>
      <c r="D18" s="642"/>
      <c r="E18" s="642"/>
      <c r="F18" s="642"/>
      <c r="G18" s="646"/>
      <c r="H18" s="942"/>
      <c r="I18" s="942"/>
      <c r="J18" s="942"/>
      <c r="K18" s="942"/>
      <c r="L18" s="942"/>
      <c r="M18" s="1212"/>
      <c r="N18" s="942"/>
      <c r="O18" s="942"/>
      <c r="P18" s="942"/>
      <c r="Q18" s="942"/>
      <c r="R18" s="942"/>
      <c r="S18" s="942"/>
      <c r="T18" s="942"/>
      <c r="U18" s="942"/>
    </row>
    <row r="19" spans="1:21" hidden="1" x14ac:dyDescent="0.35">
      <c r="A19" s="689"/>
      <c r="B19" s="641" t="e">
        <f>#REF!</f>
        <v>#REF!</v>
      </c>
      <c r="C19" s="647"/>
      <c r="D19" s="642"/>
      <c r="E19" s="642"/>
      <c r="F19" s="642"/>
      <c r="G19" s="1039"/>
      <c r="H19" s="1213"/>
      <c r="I19" s="942"/>
      <c r="J19" s="942"/>
      <c r="K19" s="942"/>
      <c r="L19" s="942"/>
      <c r="M19" s="942"/>
      <c r="N19" s="1213"/>
      <c r="O19" s="942"/>
      <c r="P19" s="942"/>
      <c r="Q19" s="942"/>
      <c r="R19" s="942"/>
      <c r="S19" s="942"/>
      <c r="T19" s="942"/>
      <c r="U19" s="942"/>
    </row>
    <row r="20" spans="1:21" x14ac:dyDescent="0.35">
      <c r="A20" s="968"/>
      <c r="B20" s="641"/>
      <c r="C20" s="647"/>
      <c r="D20" s="642"/>
      <c r="E20" s="642"/>
      <c r="F20" s="642"/>
      <c r="G20" s="646"/>
      <c r="H20" s="943"/>
      <c r="I20" s="1214"/>
      <c r="J20" s="943"/>
      <c r="K20" s="1214"/>
      <c r="L20" s="943"/>
      <c r="M20" s="1214"/>
      <c r="N20" s="943"/>
      <c r="O20" s="1214"/>
      <c r="P20" s="943"/>
      <c r="Q20" s="1214"/>
      <c r="R20" s="1214"/>
      <c r="S20" s="1214"/>
      <c r="T20" s="1214"/>
      <c r="U20" s="1214"/>
    </row>
    <row r="21" spans="1:21" x14ac:dyDescent="0.35">
      <c r="A21" s="998"/>
      <c r="B21" s="648" t="s">
        <v>991</v>
      </c>
      <c r="C21" s="647"/>
      <c r="D21" s="642"/>
      <c r="E21" s="642"/>
      <c r="F21" s="642"/>
      <c r="G21" s="1039"/>
      <c r="H21" s="943"/>
      <c r="I21" s="632"/>
      <c r="J21" s="943"/>
      <c r="K21" s="632"/>
      <c r="L21" s="943"/>
      <c r="M21" s="632"/>
      <c r="N21" s="943"/>
      <c r="O21" s="632"/>
      <c r="P21" s="943"/>
      <c r="Q21" s="632"/>
      <c r="R21" s="632"/>
      <c r="S21" s="632"/>
      <c r="T21" s="632"/>
      <c r="U21" s="632"/>
    </row>
    <row r="22" spans="1:21" x14ac:dyDescent="0.35">
      <c r="A22" s="998"/>
      <c r="B22" s="648" t="s">
        <v>657</v>
      </c>
      <c r="C22" s="647"/>
      <c r="D22" s="642"/>
      <c r="E22" s="642"/>
      <c r="F22" s="642"/>
      <c r="G22" s="646"/>
      <c r="H22" s="943"/>
      <c r="I22" s="632"/>
      <c r="J22" s="943"/>
      <c r="K22" s="632"/>
      <c r="L22" s="943"/>
      <c r="M22" s="1197"/>
      <c r="N22" s="943"/>
      <c r="O22" s="632"/>
      <c r="P22" s="943"/>
      <c r="Q22" s="632"/>
      <c r="R22" s="632"/>
      <c r="S22" s="632"/>
      <c r="T22" s="632"/>
      <c r="U22" s="632"/>
    </row>
    <row r="23" spans="1:21" x14ac:dyDescent="0.35">
      <c r="A23" s="998"/>
      <c r="B23" s="709" t="s">
        <v>658</v>
      </c>
      <c r="C23" s="1215"/>
      <c r="D23" s="940"/>
      <c r="E23" s="940"/>
      <c r="F23" s="940"/>
      <c r="G23" s="1039"/>
      <c r="H23" s="943" t="s">
        <v>669</v>
      </c>
      <c r="I23" s="630"/>
      <c r="J23" s="943" t="s">
        <v>669</v>
      </c>
      <c r="K23" s="630"/>
      <c r="L23" s="943" t="s">
        <v>669</v>
      </c>
      <c r="M23" s="630"/>
      <c r="N23" s="943" t="s">
        <v>669</v>
      </c>
      <c r="O23" s="630"/>
      <c r="P23" s="943" t="s">
        <v>669</v>
      </c>
      <c r="Q23" s="632"/>
      <c r="R23" s="943" t="s">
        <v>669</v>
      </c>
      <c r="S23" s="630"/>
      <c r="T23" s="943" t="s">
        <v>669</v>
      </c>
      <c r="U23" s="630"/>
    </row>
    <row r="24" spans="1:21" x14ac:dyDescent="0.35">
      <c r="A24" s="998"/>
      <c r="B24" s="709" t="s">
        <v>659</v>
      </c>
      <c r="C24" s="1215"/>
      <c r="D24" s="940"/>
      <c r="E24" s="940"/>
      <c r="F24" s="940"/>
      <c r="G24" s="1039"/>
      <c r="H24" s="943" t="s">
        <v>669</v>
      </c>
      <c r="I24" s="630"/>
      <c r="J24" s="943" t="s">
        <v>669</v>
      </c>
      <c r="K24" s="630"/>
      <c r="L24" s="943" t="s">
        <v>669</v>
      </c>
      <c r="M24" s="630"/>
      <c r="N24" s="943" t="s">
        <v>669</v>
      </c>
      <c r="O24" s="630"/>
      <c r="P24" s="943" t="s">
        <v>669</v>
      </c>
      <c r="Q24" s="632"/>
      <c r="R24" s="943" t="s">
        <v>669</v>
      </c>
      <c r="S24" s="630"/>
      <c r="T24" s="943" t="s">
        <v>669</v>
      </c>
      <c r="U24" s="630"/>
    </row>
    <row r="25" spans="1:21" x14ac:dyDescent="0.35">
      <c r="A25" s="998"/>
      <c r="B25" s="709" t="s">
        <v>660</v>
      </c>
      <c r="C25" s="1215"/>
      <c r="D25" s="940"/>
      <c r="E25" s="940"/>
      <c r="F25" s="940"/>
      <c r="G25" s="1039"/>
      <c r="H25" s="943" t="s">
        <v>671</v>
      </c>
      <c r="I25" s="630" t="s">
        <v>1007</v>
      </c>
      <c r="J25" s="943" t="s">
        <v>671</v>
      </c>
      <c r="K25" s="630"/>
      <c r="L25" s="943" t="s">
        <v>671</v>
      </c>
      <c r="M25" s="630"/>
      <c r="N25" s="943" t="s">
        <v>671</v>
      </c>
      <c r="O25" s="630" t="s">
        <v>1007</v>
      </c>
      <c r="P25" s="943" t="s">
        <v>671</v>
      </c>
      <c r="Q25" s="632"/>
      <c r="R25" s="943" t="s">
        <v>671</v>
      </c>
      <c r="S25" s="630"/>
      <c r="T25" s="943" t="s">
        <v>671</v>
      </c>
      <c r="U25" s="630" t="s">
        <v>1007</v>
      </c>
    </row>
    <row r="26" spans="1:21" x14ac:dyDescent="0.35">
      <c r="A26" s="998"/>
      <c r="B26" s="709" t="s">
        <v>661</v>
      </c>
      <c r="C26" s="1215"/>
      <c r="D26" s="940"/>
      <c r="E26" s="940"/>
      <c r="F26" s="940"/>
      <c r="G26" s="1039"/>
      <c r="H26" s="943" t="s">
        <v>669</v>
      </c>
      <c r="I26" s="630"/>
      <c r="J26" s="943" t="s">
        <v>669</v>
      </c>
      <c r="K26" s="630"/>
      <c r="L26" s="943" t="s">
        <v>669</v>
      </c>
      <c r="M26" s="630"/>
      <c r="N26" s="943" t="s">
        <v>669</v>
      </c>
      <c r="O26" s="630"/>
      <c r="P26" s="943" t="s">
        <v>669</v>
      </c>
      <c r="Q26" s="632"/>
      <c r="R26" s="943" t="s">
        <v>669</v>
      </c>
      <c r="S26" s="630"/>
      <c r="T26" s="943" t="s">
        <v>669</v>
      </c>
      <c r="U26" s="630"/>
    </row>
    <row r="27" spans="1:21" x14ac:dyDescent="0.35">
      <c r="A27" s="998"/>
      <c r="B27" s="709" t="s">
        <v>662</v>
      </c>
      <c r="C27" s="1215"/>
      <c r="D27" s="940"/>
      <c r="E27" s="940"/>
      <c r="F27" s="940"/>
      <c r="G27" s="1039"/>
      <c r="H27" s="943" t="s">
        <v>669</v>
      </c>
      <c r="I27" s="630"/>
      <c r="J27" s="943" t="s">
        <v>669</v>
      </c>
      <c r="K27" s="630"/>
      <c r="L27" s="943" t="s">
        <v>669</v>
      </c>
      <c r="M27" s="630"/>
      <c r="N27" s="943" t="s">
        <v>669</v>
      </c>
      <c r="O27" s="630"/>
      <c r="P27" s="943" t="s">
        <v>669</v>
      </c>
      <c r="Q27" s="632"/>
      <c r="R27" s="943" t="s">
        <v>669</v>
      </c>
      <c r="S27" s="630"/>
      <c r="T27" s="943" t="s">
        <v>669</v>
      </c>
      <c r="U27" s="630"/>
    </row>
    <row r="28" spans="1:21" x14ac:dyDescent="0.35">
      <c r="A28" s="998"/>
      <c r="B28" s="709" t="s">
        <v>663</v>
      </c>
      <c r="C28" s="1215"/>
      <c r="D28" s="940"/>
      <c r="E28" s="940"/>
      <c r="F28" s="940"/>
      <c r="G28" s="1039"/>
      <c r="H28" s="943" t="s">
        <v>669</v>
      </c>
      <c r="I28" s="630"/>
      <c r="J28" s="943" t="s">
        <v>669</v>
      </c>
      <c r="K28" s="630"/>
      <c r="L28" s="943" t="s">
        <v>669</v>
      </c>
      <c r="M28" s="630"/>
      <c r="N28" s="943" t="s">
        <v>669</v>
      </c>
      <c r="O28" s="630"/>
      <c r="P28" s="943" t="s">
        <v>669</v>
      </c>
      <c r="Q28" s="632"/>
      <c r="R28" s="943" t="s">
        <v>669</v>
      </c>
      <c r="S28" s="630"/>
      <c r="T28" s="943" t="s">
        <v>669</v>
      </c>
      <c r="U28" s="630"/>
    </row>
    <row r="29" spans="1:21" x14ac:dyDescent="0.35">
      <c r="A29" s="998"/>
      <c r="B29" s="629" t="s">
        <v>789</v>
      </c>
      <c r="C29" s="1215"/>
      <c r="D29" s="940"/>
      <c r="E29" s="940"/>
      <c r="F29" s="940"/>
      <c r="G29" s="1039"/>
      <c r="H29" s="943" t="s">
        <v>671</v>
      </c>
      <c r="I29" s="984" t="s">
        <v>1008</v>
      </c>
      <c r="J29" s="943" t="s">
        <v>671</v>
      </c>
      <c r="K29" s="630"/>
      <c r="L29" s="943" t="s">
        <v>671</v>
      </c>
      <c r="M29" s="630"/>
      <c r="N29" s="943" t="s">
        <v>671</v>
      </c>
      <c r="O29" s="984" t="s">
        <v>1008</v>
      </c>
      <c r="P29" s="943" t="s">
        <v>671</v>
      </c>
      <c r="Q29" s="632"/>
      <c r="R29" s="943" t="s">
        <v>671</v>
      </c>
      <c r="S29" s="630"/>
      <c r="T29" s="943" t="s">
        <v>671</v>
      </c>
      <c r="U29" s="630"/>
    </row>
    <row r="30" spans="1:21" x14ac:dyDescent="0.35">
      <c r="A30" s="998"/>
      <c r="B30" s="629" t="s">
        <v>790</v>
      </c>
      <c r="C30" s="1215"/>
      <c r="D30" s="940"/>
      <c r="E30" s="940"/>
      <c r="F30" s="940"/>
      <c r="G30" s="1039"/>
      <c r="H30" s="943" t="s">
        <v>671</v>
      </c>
      <c r="I30" s="630"/>
      <c r="J30" s="943" t="s">
        <v>671</v>
      </c>
      <c r="K30" s="630"/>
      <c r="L30" s="943" t="s">
        <v>671</v>
      </c>
      <c r="M30" s="630"/>
      <c r="N30" s="943" t="s">
        <v>671</v>
      </c>
      <c r="O30" s="630"/>
      <c r="P30" s="943" t="s">
        <v>671</v>
      </c>
      <c r="Q30" s="632"/>
      <c r="R30" s="943" t="s">
        <v>671</v>
      </c>
      <c r="S30" s="630"/>
      <c r="T30" s="943" t="s">
        <v>671</v>
      </c>
      <c r="U30" s="630"/>
    </row>
    <row r="31" spans="1:21" x14ac:dyDescent="0.35">
      <c r="A31" s="998"/>
      <c r="B31" s="629" t="s">
        <v>791</v>
      </c>
      <c r="C31" s="1215"/>
      <c r="D31" s="940"/>
      <c r="E31" s="940"/>
      <c r="F31" s="940"/>
      <c r="G31" s="1039"/>
      <c r="H31" s="943" t="s">
        <v>671</v>
      </c>
      <c r="I31" s="630"/>
      <c r="J31" s="943" t="s">
        <v>671</v>
      </c>
      <c r="K31" s="630"/>
      <c r="L31" s="943" t="s">
        <v>671</v>
      </c>
      <c r="M31" s="630"/>
      <c r="N31" s="943" t="s">
        <v>671</v>
      </c>
      <c r="O31" s="630"/>
      <c r="P31" s="943" t="s">
        <v>671</v>
      </c>
      <c r="Q31" s="632"/>
      <c r="R31" s="943" t="s">
        <v>671</v>
      </c>
      <c r="S31" s="630"/>
      <c r="T31" s="943" t="s">
        <v>671</v>
      </c>
      <c r="U31" s="630"/>
    </row>
    <row r="32" spans="1:21" x14ac:dyDescent="0.35">
      <c r="A32" s="998"/>
      <c r="B32" s="1216" t="s">
        <v>664</v>
      </c>
      <c r="C32" s="1215"/>
      <c r="D32" s="940"/>
      <c r="E32" s="940"/>
      <c r="F32" s="940"/>
      <c r="G32" s="1039"/>
      <c r="H32" s="943"/>
      <c r="I32" s="630"/>
      <c r="J32" s="943"/>
      <c r="K32" s="630"/>
      <c r="L32" s="943"/>
      <c r="M32" s="630"/>
      <c r="N32" s="943"/>
      <c r="O32" s="630"/>
      <c r="P32" s="943"/>
      <c r="Q32" s="632"/>
      <c r="R32" s="630"/>
      <c r="S32" s="630"/>
      <c r="T32" s="630"/>
      <c r="U32" s="630"/>
    </row>
    <row r="33" spans="1:21" x14ac:dyDescent="0.35">
      <c r="A33" s="998"/>
      <c r="B33" s="1217" t="s">
        <v>665</v>
      </c>
      <c r="C33" s="1218"/>
      <c r="D33" s="1219"/>
      <c r="E33" s="1219"/>
      <c r="F33" s="1219"/>
      <c r="G33" s="1220"/>
      <c r="H33" s="636"/>
      <c r="I33" s="631"/>
      <c r="J33" s="1204"/>
      <c r="K33" s="631"/>
      <c r="L33" s="636"/>
      <c r="M33" s="631"/>
      <c r="N33" s="636"/>
      <c r="O33" s="631"/>
      <c r="P33" s="1204"/>
      <c r="Q33" s="1204"/>
      <c r="R33" s="631"/>
      <c r="S33" s="631"/>
      <c r="T33" s="631"/>
      <c r="U33" s="1221"/>
    </row>
    <row r="34" spans="1:21" x14ac:dyDescent="0.35">
      <c r="A34" s="998"/>
      <c r="B34" s="709"/>
      <c r="C34" s="1215"/>
      <c r="D34" s="940"/>
      <c r="E34" s="940"/>
      <c r="F34" s="940"/>
      <c r="G34" s="1039"/>
      <c r="H34" s="943"/>
      <c r="I34" s="630"/>
      <c r="J34" s="943"/>
      <c r="K34" s="630"/>
      <c r="L34" s="943"/>
      <c r="M34" s="630"/>
      <c r="N34" s="943"/>
      <c r="O34" s="630"/>
      <c r="P34" s="943"/>
      <c r="Q34" s="632"/>
      <c r="R34" s="630"/>
      <c r="S34" s="630"/>
      <c r="T34" s="630"/>
      <c r="U34" s="630"/>
    </row>
    <row r="35" spans="1:21" x14ac:dyDescent="0.35">
      <c r="A35" s="998"/>
      <c r="B35" s="709" t="s">
        <v>1009</v>
      </c>
      <c r="C35" s="1215"/>
      <c r="D35" s="940"/>
      <c r="E35" s="940"/>
      <c r="F35" s="940"/>
      <c r="G35" s="1039"/>
      <c r="H35" s="943" t="s">
        <v>669</v>
      </c>
      <c r="I35" s="630"/>
      <c r="J35" s="943" t="s">
        <v>669</v>
      </c>
      <c r="K35" s="630"/>
      <c r="L35" s="943" t="s">
        <v>669</v>
      </c>
      <c r="M35" s="630"/>
      <c r="N35" s="943" t="s">
        <v>669</v>
      </c>
      <c r="O35" s="630"/>
      <c r="P35" s="943" t="s">
        <v>669</v>
      </c>
      <c r="Q35" s="632"/>
      <c r="R35" s="943" t="s">
        <v>669</v>
      </c>
      <c r="S35" s="630"/>
      <c r="T35" s="943" t="s">
        <v>669</v>
      </c>
      <c r="U35" s="630"/>
    </row>
    <row r="36" spans="1:21" ht="29" x14ac:dyDescent="0.35">
      <c r="A36" s="998"/>
      <c r="B36" s="709" t="s">
        <v>1010</v>
      </c>
      <c r="C36" s="1215"/>
      <c r="D36" s="940"/>
      <c r="E36" s="940"/>
      <c r="F36" s="940"/>
      <c r="G36" s="1039"/>
      <c r="H36" s="943" t="s">
        <v>669</v>
      </c>
      <c r="I36" s="630"/>
      <c r="J36" s="943" t="s">
        <v>669</v>
      </c>
      <c r="K36" s="630"/>
      <c r="L36" s="943" t="s">
        <v>669</v>
      </c>
      <c r="M36" s="630"/>
      <c r="N36" s="943" t="s">
        <v>669</v>
      </c>
      <c r="O36" s="630"/>
      <c r="P36" s="943" t="s">
        <v>669</v>
      </c>
      <c r="Q36" s="632"/>
      <c r="R36" s="943" t="s">
        <v>669</v>
      </c>
      <c r="S36" s="630"/>
      <c r="T36" s="943" t="s">
        <v>669</v>
      </c>
      <c r="U36" s="630"/>
    </row>
    <row r="37" spans="1:21" x14ac:dyDescent="0.35">
      <c r="A37" s="998"/>
      <c r="B37" s="709" t="s">
        <v>1011</v>
      </c>
      <c r="C37" s="1215"/>
      <c r="D37" s="940"/>
      <c r="E37" s="940"/>
      <c r="F37" s="940"/>
      <c r="G37" s="1039"/>
      <c r="H37" s="943" t="s">
        <v>669</v>
      </c>
      <c r="I37" s="630"/>
      <c r="J37" s="943" t="s">
        <v>669</v>
      </c>
      <c r="K37" s="630"/>
      <c r="L37" s="943" t="s">
        <v>669</v>
      </c>
      <c r="M37" s="630"/>
      <c r="N37" s="943" t="s">
        <v>669</v>
      </c>
      <c r="O37" s="630"/>
      <c r="P37" s="943" t="s">
        <v>669</v>
      </c>
      <c r="Q37" s="632"/>
      <c r="R37" s="943" t="s">
        <v>669</v>
      </c>
      <c r="S37" s="630"/>
      <c r="T37" s="943" t="s">
        <v>669</v>
      </c>
      <c r="U37" s="630"/>
    </row>
    <row r="38" spans="1:21" x14ac:dyDescent="0.35">
      <c r="A38" s="998"/>
      <c r="B38" s="709" t="s">
        <v>1012</v>
      </c>
      <c r="C38" s="1215"/>
      <c r="D38" s="940"/>
      <c r="E38" s="940"/>
      <c r="F38" s="940"/>
      <c r="G38" s="1039"/>
      <c r="H38" s="943" t="s">
        <v>669</v>
      </c>
      <c r="I38" s="630"/>
      <c r="J38" s="943" t="s">
        <v>669</v>
      </c>
      <c r="K38" s="630"/>
      <c r="L38" s="943" t="s">
        <v>669</v>
      </c>
      <c r="M38" s="630"/>
      <c r="N38" s="943" t="s">
        <v>669</v>
      </c>
      <c r="O38" s="630"/>
      <c r="P38" s="943" t="s">
        <v>669</v>
      </c>
      <c r="Q38" s="632"/>
      <c r="R38" s="943" t="s">
        <v>669</v>
      </c>
      <c r="S38" s="630"/>
      <c r="T38" s="943" t="s">
        <v>669</v>
      </c>
      <c r="U38" s="630"/>
    </row>
    <row r="39" spans="1:21" x14ac:dyDescent="0.35">
      <c r="A39" s="998"/>
      <c r="B39" s="709" t="s">
        <v>1013</v>
      </c>
      <c r="C39" s="1215"/>
      <c r="D39" s="940"/>
      <c r="E39" s="940"/>
      <c r="F39" s="940"/>
      <c r="G39" s="1039"/>
      <c r="H39" s="943" t="s">
        <v>669</v>
      </c>
      <c r="I39" s="630"/>
      <c r="J39" s="943" t="s">
        <v>669</v>
      </c>
      <c r="K39" s="630"/>
      <c r="L39" s="943" t="s">
        <v>669</v>
      </c>
      <c r="M39" s="630"/>
      <c r="N39" s="943" t="s">
        <v>669</v>
      </c>
      <c r="O39" s="630"/>
      <c r="P39" s="943" t="s">
        <v>669</v>
      </c>
      <c r="Q39" s="632"/>
      <c r="R39" s="943" t="s">
        <v>669</v>
      </c>
      <c r="S39" s="630"/>
      <c r="T39" s="943" t="s">
        <v>669</v>
      </c>
      <c r="U39" s="630"/>
    </row>
    <row r="40" spans="1:21" x14ac:dyDescent="0.35">
      <c r="A40" s="998"/>
      <c r="B40" s="709" t="s">
        <v>1014</v>
      </c>
      <c r="C40" s="1215"/>
      <c r="D40" s="940"/>
      <c r="E40" s="940"/>
      <c r="F40" s="940"/>
      <c r="G40" s="1039"/>
      <c r="H40" s="943" t="s">
        <v>669</v>
      </c>
      <c r="I40" s="630"/>
      <c r="J40" s="943" t="s">
        <v>669</v>
      </c>
      <c r="K40" s="1222">
        <v>17750</v>
      </c>
      <c r="L40" s="943" t="s">
        <v>669</v>
      </c>
      <c r="M40" s="630"/>
      <c r="N40" s="943" t="s">
        <v>669</v>
      </c>
      <c r="O40" s="630"/>
      <c r="P40" s="943" t="s">
        <v>669</v>
      </c>
      <c r="Q40" s="632"/>
      <c r="R40" s="943" t="s">
        <v>669</v>
      </c>
      <c r="S40" s="630"/>
      <c r="T40" s="943" t="s">
        <v>669</v>
      </c>
      <c r="U40" s="630"/>
    </row>
    <row r="41" spans="1:21" x14ac:dyDescent="0.35">
      <c r="A41" s="998"/>
      <c r="B41" s="709" t="s">
        <v>1015</v>
      </c>
      <c r="C41" s="1215"/>
      <c r="D41" s="940"/>
      <c r="E41" s="940"/>
      <c r="F41" s="940"/>
      <c r="G41" s="1039"/>
      <c r="H41" s="943" t="s">
        <v>669</v>
      </c>
      <c r="I41" s="630"/>
      <c r="J41" s="943" t="s">
        <v>669</v>
      </c>
      <c r="K41" s="630"/>
      <c r="L41" s="943" t="s">
        <v>669</v>
      </c>
      <c r="M41" s="630"/>
      <c r="N41" s="943" t="s">
        <v>669</v>
      </c>
      <c r="O41" s="630"/>
      <c r="P41" s="943" t="s">
        <v>669</v>
      </c>
      <c r="Q41" s="632"/>
      <c r="R41" s="943" t="s">
        <v>669</v>
      </c>
      <c r="S41" s="630"/>
      <c r="T41" s="943" t="s">
        <v>669</v>
      </c>
      <c r="U41" s="630"/>
    </row>
    <row r="42" spans="1:21" x14ac:dyDescent="0.35">
      <c r="A42" s="998"/>
      <c r="B42" s="709" t="s">
        <v>1016</v>
      </c>
      <c r="C42" s="1215"/>
      <c r="D42" s="940"/>
      <c r="E42" s="940"/>
      <c r="F42" s="940"/>
      <c r="G42" s="1039"/>
      <c r="H42" s="943" t="s">
        <v>669</v>
      </c>
      <c r="I42" s="630"/>
      <c r="J42" s="943" t="s">
        <v>669</v>
      </c>
      <c r="K42" s="630"/>
      <c r="L42" s="943" t="s">
        <v>669</v>
      </c>
      <c r="M42" s="630"/>
      <c r="N42" s="943" t="s">
        <v>669</v>
      </c>
      <c r="O42" s="630"/>
      <c r="P42" s="943" t="s">
        <v>669</v>
      </c>
      <c r="Q42" s="632"/>
      <c r="R42" s="943" t="s">
        <v>669</v>
      </c>
      <c r="S42" s="630"/>
      <c r="T42" s="943" t="s">
        <v>669</v>
      </c>
      <c r="U42" s="630"/>
    </row>
    <row r="43" spans="1:21" x14ac:dyDescent="0.35">
      <c r="A43" s="998"/>
      <c r="B43" s="709" t="s">
        <v>939</v>
      </c>
      <c r="C43" s="1215"/>
      <c r="D43" s="940"/>
      <c r="E43" s="940"/>
      <c r="F43" s="940"/>
      <c r="G43" s="1039"/>
      <c r="H43" s="943" t="s">
        <v>669</v>
      </c>
      <c r="I43" s="630"/>
      <c r="J43" s="943" t="s">
        <v>669</v>
      </c>
      <c r="K43" s="630"/>
      <c r="L43" s="943" t="s">
        <v>669</v>
      </c>
      <c r="M43" s="630"/>
      <c r="N43" s="943" t="s">
        <v>669</v>
      </c>
      <c r="O43" s="630"/>
      <c r="P43" s="943" t="s">
        <v>669</v>
      </c>
      <c r="Q43" s="632"/>
      <c r="R43" s="943" t="s">
        <v>669</v>
      </c>
      <c r="S43" s="630"/>
      <c r="T43" s="943" t="s">
        <v>669</v>
      </c>
      <c r="U43" s="630"/>
    </row>
    <row r="44" spans="1:21" x14ac:dyDescent="0.35">
      <c r="A44" s="998"/>
      <c r="B44" s="709"/>
      <c r="C44" s="1215"/>
      <c r="D44" s="940"/>
      <c r="E44" s="940"/>
      <c r="F44" s="940"/>
      <c r="G44" s="1039"/>
      <c r="H44" s="943"/>
      <c r="I44" s="630"/>
      <c r="J44" s="943"/>
      <c r="K44" s="630"/>
      <c r="L44" s="943"/>
      <c r="M44" s="630"/>
      <c r="N44" s="943"/>
      <c r="O44" s="630"/>
      <c r="P44" s="943"/>
      <c r="Q44" s="632"/>
      <c r="R44" s="630"/>
      <c r="S44" s="630"/>
      <c r="T44" s="630"/>
      <c r="U44" s="630"/>
    </row>
    <row r="45" spans="1:21" ht="29" x14ac:dyDescent="0.35">
      <c r="A45" s="998"/>
      <c r="B45" s="709" t="s">
        <v>1017</v>
      </c>
      <c r="C45" s="1215"/>
      <c r="D45" s="940"/>
      <c r="E45" s="940"/>
      <c r="F45" s="940"/>
      <c r="G45" s="1039"/>
      <c r="H45" s="943" t="s">
        <v>669</v>
      </c>
      <c r="I45" s="1222">
        <f>50600-7000</f>
        <v>43600</v>
      </c>
      <c r="J45" s="943" t="s">
        <v>669</v>
      </c>
      <c r="K45" s="1222">
        <v>43958</v>
      </c>
      <c r="L45" s="943" t="s">
        <v>669</v>
      </c>
      <c r="M45" s="1222">
        <f>11281.82+1529.64+11146.87+1510.08+11281.82+1529.64+4453.35+602.47+4453.35+602.47</f>
        <v>48391.51</v>
      </c>
      <c r="N45" s="943" t="s">
        <v>669</v>
      </c>
      <c r="O45" s="1222">
        <v>64500</v>
      </c>
      <c r="P45" s="943" t="s">
        <v>669</v>
      </c>
      <c r="Q45" s="632"/>
      <c r="R45" s="943" t="s">
        <v>669</v>
      </c>
      <c r="S45" s="1222"/>
      <c r="T45" s="943" t="s">
        <v>669</v>
      </c>
      <c r="U45" s="1222">
        <f>(15150+18180)*3+(6300+7560)*2+14400+17280</f>
        <v>159390</v>
      </c>
    </row>
    <row r="46" spans="1:21" x14ac:dyDescent="0.35">
      <c r="A46" s="998"/>
      <c r="B46" s="1223" t="s">
        <v>1018</v>
      </c>
      <c r="C46" s="1215" t="s">
        <v>1019</v>
      </c>
      <c r="D46" s="940">
        <v>375</v>
      </c>
      <c r="E46" s="940" t="s">
        <v>28</v>
      </c>
      <c r="F46" s="1224">
        <v>35</v>
      </c>
      <c r="G46" s="1225">
        <f>F46*D46</f>
        <v>13125</v>
      </c>
      <c r="H46" s="943" t="s">
        <v>669</v>
      </c>
      <c r="I46" s="630"/>
      <c r="J46" s="943" t="s">
        <v>669</v>
      </c>
      <c r="K46" s="630"/>
      <c r="L46" s="943" t="s">
        <v>669</v>
      </c>
      <c r="M46" s="630"/>
      <c r="N46" s="943" t="s">
        <v>669</v>
      </c>
      <c r="O46" s="630"/>
      <c r="P46" s="943" t="s">
        <v>669</v>
      </c>
      <c r="Q46" s="1222">
        <f>14573.35</f>
        <v>14573.35</v>
      </c>
      <c r="R46" s="943" t="s">
        <v>669</v>
      </c>
      <c r="S46" s="1222">
        <v>13206</v>
      </c>
      <c r="T46" s="943" t="s">
        <v>669</v>
      </c>
      <c r="U46" s="1222"/>
    </row>
    <row r="47" spans="1:21" x14ac:dyDescent="0.35">
      <c r="A47" s="998"/>
      <c r="B47" s="1223" t="s">
        <v>1020</v>
      </c>
      <c r="C47" s="1215" t="s">
        <v>1021</v>
      </c>
      <c r="D47" s="940">
        <v>380</v>
      </c>
      <c r="E47" s="940" t="s">
        <v>28</v>
      </c>
      <c r="F47" s="1224">
        <v>35</v>
      </c>
      <c r="G47" s="1225">
        <f t="shared" ref="G47:G61" si="0">F47*D47</f>
        <v>13300</v>
      </c>
      <c r="H47" s="943" t="s">
        <v>669</v>
      </c>
      <c r="I47" s="630"/>
      <c r="J47" s="943" t="s">
        <v>669</v>
      </c>
      <c r="K47" s="630"/>
      <c r="L47" s="943" t="s">
        <v>669</v>
      </c>
      <c r="M47" s="630"/>
      <c r="N47" s="943" t="s">
        <v>669</v>
      </c>
      <c r="O47" s="630"/>
      <c r="P47" s="943" t="s">
        <v>669</v>
      </c>
      <c r="Q47" s="1222">
        <v>14221.97</v>
      </c>
      <c r="R47" s="943" t="s">
        <v>669</v>
      </c>
      <c r="S47" s="1222">
        <v>13206</v>
      </c>
      <c r="T47" s="943" t="s">
        <v>669</v>
      </c>
      <c r="U47" s="1222"/>
    </row>
    <row r="48" spans="1:21" x14ac:dyDescent="0.35">
      <c r="A48" s="998"/>
      <c r="B48" s="1223" t="s">
        <v>1022</v>
      </c>
      <c r="C48" s="1215" t="s">
        <v>1023</v>
      </c>
      <c r="D48" s="940">
        <v>380</v>
      </c>
      <c r="E48" s="940" t="s">
        <v>28</v>
      </c>
      <c r="F48" s="1224">
        <v>35</v>
      </c>
      <c r="G48" s="1225">
        <f t="shared" si="0"/>
        <v>13300</v>
      </c>
      <c r="H48" s="943" t="s">
        <v>669</v>
      </c>
      <c r="I48" s="630"/>
      <c r="J48" s="943" t="s">
        <v>669</v>
      </c>
      <c r="K48" s="630"/>
      <c r="L48" s="943" t="s">
        <v>669</v>
      </c>
      <c r="M48" s="630"/>
      <c r="N48" s="943" t="s">
        <v>669</v>
      </c>
      <c r="O48" s="630"/>
      <c r="P48" s="943" t="s">
        <v>669</v>
      </c>
      <c r="Q48" s="1222">
        <v>15521.41</v>
      </c>
      <c r="R48" s="943" t="s">
        <v>669</v>
      </c>
      <c r="S48" s="1222">
        <v>13206</v>
      </c>
      <c r="T48" s="943" t="s">
        <v>669</v>
      </c>
      <c r="U48" s="1222"/>
    </row>
    <row r="49" spans="1:21" x14ac:dyDescent="0.35">
      <c r="A49" s="998"/>
      <c r="B49" s="1223" t="s">
        <v>1024</v>
      </c>
      <c r="C49" s="1215" t="s">
        <v>1025</v>
      </c>
      <c r="D49" s="940">
        <v>109</v>
      </c>
      <c r="E49" s="940" t="s">
        <v>28</v>
      </c>
      <c r="F49" s="1224">
        <v>35</v>
      </c>
      <c r="G49" s="1225">
        <f t="shared" si="0"/>
        <v>3815</v>
      </c>
      <c r="H49" s="943" t="s">
        <v>669</v>
      </c>
      <c r="I49" s="630"/>
      <c r="J49" s="943" t="s">
        <v>669</v>
      </c>
      <c r="K49" s="630"/>
      <c r="L49" s="943" t="s">
        <v>669</v>
      </c>
      <c r="M49" s="630"/>
      <c r="N49" s="943" t="s">
        <v>669</v>
      </c>
      <c r="O49" s="630"/>
      <c r="P49" s="943" t="s">
        <v>669</v>
      </c>
      <c r="Q49" s="1222">
        <v>7101.96</v>
      </c>
      <c r="R49" s="943" t="s">
        <v>669</v>
      </c>
      <c r="S49" s="1222">
        <v>9324</v>
      </c>
      <c r="T49" s="943" t="s">
        <v>669</v>
      </c>
      <c r="U49" s="1222"/>
    </row>
    <row r="50" spans="1:21" x14ac:dyDescent="0.35">
      <c r="A50" s="998"/>
      <c r="B50" s="1223" t="s">
        <v>1026</v>
      </c>
      <c r="C50" s="1215" t="s">
        <v>1027</v>
      </c>
      <c r="D50" s="940">
        <v>0</v>
      </c>
      <c r="E50" s="940" t="s">
        <v>28</v>
      </c>
      <c r="F50" s="1224">
        <v>35</v>
      </c>
      <c r="G50" s="1225">
        <f t="shared" si="0"/>
        <v>0</v>
      </c>
      <c r="H50" s="943" t="s">
        <v>669</v>
      </c>
      <c r="I50" s="630"/>
      <c r="J50" s="943" t="s">
        <v>669</v>
      </c>
      <c r="K50" s="630"/>
      <c r="L50" s="943" t="s">
        <v>669</v>
      </c>
      <c r="M50" s="630"/>
      <c r="N50" s="943" t="s">
        <v>669</v>
      </c>
      <c r="O50" s="630"/>
      <c r="P50" s="943" t="s">
        <v>669</v>
      </c>
      <c r="Q50" s="1222"/>
      <c r="R50" s="943" t="s">
        <v>669</v>
      </c>
      <c r="S50" s="1222"/>
      <c r="T50" s="943" t="s">
        <v>669</v>
      </c>
      <c r="U50" s="1222"/>
    </row>
    <row r="51" spans="1:21" x14ac:dyDescent="0.35">
      <c r="A51" s="998"/>
      <c r="B51" s="1223" t="s">
        <v>1028</v>
      </c>
      <c r="C51" s="1215" t="s">
        <v>1029</v>
      </c>
      <c r="D51" s="940">
        <v>109</v>
      </c>
      <c r="E51" s="940" t="s">
        <v>28</v>
      </c>
      <c r="F51" s="1224">
        <v>35</v>
      </c>
      <c r="G51" s="1225">
        <f t="shared" si="0"/>
        <v>3815</v>
      </c>
      <c r="H51" s="943" t="s">
        <v>669</v>
      </c>
      <c r="I51" s="630"/>
      <c r="J51" s="943" t="s">
        <v>669</v>
      </c>
      <c r="K51" s="630"/>
      <c r="L51" s="943" t="s">
        <v>669</v>
      </c>
      <c r="M51" s="630"/>
      <c r="N51" s="943" t="s">
        <v>669</v>
      </c>
      <c r="O51" s="630"/>
      <c r="P51" s="943" t="s">
        <v>669</v>
      </c>
      <c r="Q51" s="1222">
        <v>7136.15</v>
      </c>
      <c r="R51" s="943" t="s">
        <v>669</v>
      </c>
      <c r="S51" s="1222">
        <v>9324</v>
      </c>
      <c r="T51" s="943" t="s">
        <v>669</v>
      </c>
      <c r="U51" s="1222"/>
    </row>
    <row r="52" spans="1:21" x14ac:dyDescent="0.35">
      <c r="A52" s="998"/>
      <c r="B52" s="1223" t="s">
        <v>80</v>
      </c>
      <c r="C52" s="1215" t="s">
        <v>1030</v>
      </c>
      <c r="D52" s="940">
        <v>390</v>
      </c>
      <c r="E52" s="940" t="s">
        <v>28</v>
      </c>
      <c r="F52" s="1224">
        <v>35</v>
      </c>
      <c r="G52" s="1225">
        <f t="shared" si="0"/>
        <v>13650</v>
      </c>
      <c r="H52" s="943" t="s">
        <v>669</v>
      </c>
      <c r="I52" s="1222">
        <v>14500</v>
      </c>
      <c r="J52" s="943" t="s">
        <v>669</v>
      </c>
      <c r="K52" s="1222">
        <v>11377</v>
      </c>
      <c r="L52" s="943" t="s">
        <v>669</v>
      </c>
      <c r="M52" s="1222">
        <f>11011.92+1490.52</f>
        <v>12502.44</v>
      </c>
      <c r="N52" s="943" t="s">
        <v>669</v>
      </c>
      <c r="O52" s="1222">
        <v>18850</v>
      </c>
      <c r="P52" s="943" t="s">
        <v>669</v>
      </c>
      <c r="Q52" s="1222">
        <v>15346.22</v>
      </c>
      <c r="R52" s="943" t="s">
        <v>669</v>
      </c>
      <c r="S52" s="1222">
        <v>11393</v>
      </c>
      <c r="T52" s="943" t="s">
        <v>669</v>
      </c>
      <c r="U52" s="1222"/>
    </row>
    <row r="53" spans="1:21" x14ac:dyDescent="0.35">
      <c r="A53" s="998"/>
      <c r="B53" s="1223" t="s">
        <v>1031</v>
      </c>
      <c r="C53" s="1215"/>
      <c r="D53" s="940"/>
      <c r="E53" s="940"/>
      <c r="F53" s="1224"/>
      <c r="G53" s="1225"/>
      <c r="H53" s="943" t="s">
        <v>671</v>
      </c>
      <c r="I53" s="1222"/>
      <c r="J53" s="943" t="s">
        <v>669</v>
      </c>
      <c r="K53" s="1222"/>
      <c r="L53" s="943" t="s">
        <v>669</v>
      </c>
      <c r="M53" s="630"/>
      <c r="N53" s="943" t="s">
        <v>669</v>
      </c>
      <c r="O53" s="1222"/>
      <c r="P53" s="943" t="s">
        <v>669</v>
      </c>
      <c r="Q53" s="1222"/>
      <c r="R53" s="943" t="s">
        <v>671</v>
      </c>
      <c r="S53" s="1222"/>
      <c r="T53" s="943" t="s">
        <v>669</v>
      </c>
      <c r="U53" s="1222"/>
    </row>
    <row r="54" spans="1:21" x14ac:dyDescent="0.35">
      <c r="A54" s="998"/>
      <c r="B54" s="1223"/>
      <c r="C54" s="1215"/>
      <c r="D54" s="940"/>
      <c r="E54" s="940"/>
      <c r="F54" s="940"/>
      <c r="G54" s="1039"/>
      <c r="H54" s="943"/>
      <c r="I54" s="630"/>
      <c r="J54" s="943"/>
      <c r="K54" s="630"/>
      <c r="L54" s="943"/>
      <c r="M54" s="630"/>
      <c r="N54" s="943"/>
      <c r="O54" s="630"/>
      <c r="P54" s="943"/>
      <c r="Q54" s="632"/>
      <c r="R54" s="630"/>
      <c r="S54" s="1222"/>
      <c r="T54" s="630"/>
      <c r="U54" s="1222"/>
    </row>
    <row r="55" spans="1:21" x14ac:dyDescent="0.35">
      <c r="A55" s="1226" t="s">
        <v>1032</v>
      </c>
      <c r="B55" s="1227" t="s">
        <v>1033</v>
      </c>
      <c r="C55" s="1215"/>
      <c r="D55" s="940"/>
      <c r="E55" s="940"/>
      <c r="F55" s="940"/>
      <c r="G55" s="1039"/>
      <c r="H55" s="943" t="s">
        <v>671</v>
      </c>
      <c r="I55" s="630"/>
      <c r="J55" s="943" t="s">
        <v>671</v>
      </c>
      <c r="K55" s="630"/>
      <c r="L55" s="943" t="s">
        <v>671</v>
      </c>
      <c r="M55" s="630"/>
      <c r="N55" s="943" t="s">
        <v>671</v>
      </c>
      <c r="O55" s="630"/>
      <c r="P55" s="943" t="s">
        <v>671</v>
      </c>
      <c r="Q55" s="632"/>
      <c r="R55" s="943" t="s">
        <v>671</v>
      </c>
      <c r="S55" s="1222"/>
      <c r="T55" s="943" t="s">
        <v>671</v>
      </c>
      <c r="U55" s="1222"/>
    </row>
    <row r="56" spans="1:21" x14ac:dyDescent="0.35">
      <c r="A56" s="1226" t="s">
        <v>1032</v>
      </c>
      <c r="B56" s="709" t="s">
        <v>1034</v>
      </c>
      <c r="C56" s="1215"/>
      <c r="D56" s="940"/>
      <c r="E56" s="940"/>
      <c r="F56" s="940"/>
      <c r="G56" s="1039"/>
      <c r="H56" s="943" t="s">
        <v>671</v>
      </c>
      <c r="I56" s="630"/>
      <c r="J56" s="943" t="s">
        <v>669</v>
      </c>
      <c r="K56" s="1222">
        <v>7250</v>
      </c>
      <c r="L56" s="943" t="s">
        <v>669</v>
      </c>
      <c r="M56" s="1222">
        <v>5962</v>
      </c>
      <c r="N56" s="943" t="s">
        <v>669</v>
      </c>
      <c r="O56" s="1222">
        <v>4100</v>
      </c>
      <c r="P56" s="943" t="s">
        <v>669</v>
      </c>
      <c r="Q56" s="1222">
        <v>6771.39</v>
      </c>
      <c r="R56" s="1101" t="s">
        <v>654</v>
      </c>
      <c r="S56" s="1228">
        <f>$Q$56</f>
        <v>6771.39</v>
      </c>
      <c r="T56" s="1101" t="s">
        <v>654</v>
      </c>
      <c r="U56" s="1228">
        <f>$Q$56</f>
        <v>6771.39</v>
      </c>
    </row>
    <row r="57" spans="1:21" x14ac:dyDescent="0.35">
      <c r="A57" s="1226" t="s">
        <v>1035</v>
      </c>
      <c r="B57" s="709" t="s">
        <v>1036</v>
      </c>
      <c r="C57" s="1215"/>
      <c r="D57" s="940"/>
      <c r="E57" s="940"/>
      <c r="F57" s="940"/>
      <c r="G57" s="1039"/>
      <c r="H57" s="943" t="s">
        <v>671</v>
      </c>
      <c r="I57" s="630"/>
      <c r="J57" s="943" t="s">
        <v>669</v>
      </c>
      <c r="K57" s="1222">
        <f>2827+12662+11747</f>
        <v>27236</v>
      </c>
      <c r="L57" s="943" t="s">
        <v>669</v>
      </c>
      <c r="M57" s="1222">
        <v>50274</v>
      </c>
      <c r="N57" s="943" t="s">
        <v>669</v>
      </c>
      <c r="O57" s="1222">
        <v>35600</v>
      </c>
      <c r="P57" s="943" t="s">
        <v>669</v>
      </c>
      <c r="Q57" s="1222">
        <f>3088.46+3190.19+3238.62+2408.9+1218.33+2408.9</f>
        <v>15553.4</v>
      </c>
      <c r="R57" s="1101" t="s">
        <v>654</v>
      </c>
      <c r="S57" s="1228">
        <f>M57</f>
        <v>50274</v>
      </c>
      <c r="T57" s="943" t="s">
        <v>669</v>
      </c>
      <c r="U57" s="1222"/>
    </row>
    <row r="58" spans="1:21" x14ac:dyDescent="0.35">
      <c r="A58" s="1226"/>
      <c r="B58" s="709" t="s">
        <v>1037</v>
      </c>
      <c r="C58" s="1215"/>
      <c r="D58" s="940"/>
      <c r="E58" s="940"/>
      <c r="F58" s="940"/>
      <c r="G58" s="1039"/>
      <c r="H58" s="943" t="s">
        <v>671</v>
      </c>
      <c r="I58" s="630"/>
      <c r="J58" s="943" t="s">
        <v>669</v>
      </c>
      <c r="K58" s="1222">
        <f>2136</f>
        <v>2136</v>
      </c>
      <c r="L58" s="943" t="s">
        <v>669</v>
      </c>
      <c r="M58" s="1222">
        <f>2432.7+1350+1782+324+3510</f>
        <v>9398.7000000000007</v>
      </c>
      <c r="N58" s="943" t="s">
        <v>669</v>
      </c>
      <c r="O58" s="1222">
        <v>8800</v>
      </c>
      <c r="P58" s="943" t="s">
        <v>669</v>
      </c>
      <c r="Q58" s="1222">
        <v>3117.23</v>
      </c>
      <c r="R58" s="1101" t="s">
        <v>654</v>
      </c>
      <c r="S58" s="1228">
        <f>M58</f>
        <v>9398.7000000000007</v>
      </c>
      <c r="T58" s="943" t="s">
        <v>669</v>
      </c>
      <c r="U58" s="1222"/>
    </row>
    <row r="59" spans="1:21" x14ac:dyDescent="0.35">
      <c r="A59" s="1226"/>
      <c r="B59" s="709"/>
      <c r="C59" s="1215"/>
      <c r="D59" s="940"/>
      <c r="E59" s="940"/>
      <c r="F59" s="940"/>
      <c r="G59" s="1039"/>
      <c r="H59" s="943"/>
      <c r="I59" s="630"/>
      <c r="J59" s="943"/>
      <c r="K59" s="630"/>
      <c r="L59" s="943"/>
      <c r="M59" s="630"/>
      <c r="N59" s="943"/>
      <c r="O59" s="630"/>
      <c r="P59" s="943"/>
      <c r="Q59" s="632"/>
      <c r="R59" s="630"/>
      <c r="S59" s="1222"/>
      <c r="T59" s="630"/>
      <c r="U59" s="1222"/>
    </row>
    <row r="60" spans="1:21" ht="29" x14ac:dyDescent="0.35">
      <c r="A60" s="998"/>
      <c r="B60" s="1229" t="s">
        <v>1038</v>
      </c>
      <c r="C60" s="1215" t="s">
        <v>1039</v>
      </c>
      <c r="D60" s="940">
        <f>950*6</f>
        <v>5700</v>
      </c>
      <c r="E60" s="940" t="s">
        <v>28</v>
      </c>
      <c r="F60" s="1224">
        <v>35</v>
      </c>
      <c r="G60" s="1225">
        <f t="shared" si="0"/>
        <v>199500</v>
      </c>
      <c r="H60" s="943" t="s">
        <v>671</v>
      </c>
      <c r="I60" s="1222"/>
      <c r="J60" s="943" t="s">
        <v>671</v>
      </c>
      <c r="K60" s="630"/>
      <c r="L60" s="943" t="s">
        <v>671</v>
      </c>
      <c r="M60" s="630"/>
      <c r="N60" s="943" t="s">
        <v>671</v>
      </c>
      <c r="O60" s="1222"/>
      <c r="P60" s="943" t="s">
        <v>671</v>
      </c>
      <c r="Q60" s="632"/>
      <c r="R60" s="943" t="s">
        <v>671</v>
      </c>
      <c r="S60" s="630"/>
      <c r="T60" s="943" t="s">
        <v>671</v>
      </c>
      <c r="U60" s="1222"/>
    </row>
    <row r="61" spans="1:21" x14ac:dyDescent="0.35">
      <c r="A61" s="998"/>
      <c r="B61" s="1230" t="s">
        <v>798</v>
      </c>
      <c r="C61" s="1215"/>
      <c r="D61" s="940">
        <v>1</v>
      </c>
      <c r="E61" s="940" t="s">
        <v>666</v>
      </c>
      <c r="F61" s="1224">
        <v>2500</v>
      </c>
      <c r="G61" s="1225">
        <f t="shared" si="0"/>
        <v>2500</v>
      </c>
      <c r="H61" s="943" t="s">
        <v>669</v>
      </c>
      <c r="I61" s="1222">
        <v>2160</v>
      </c>
      <c r="J61" s="943" t="s">
        <v>669</v>
      </c>
      <c r="K61" s="1222">
        <v>2100</v>
      </c>
      <c r="L61" s="943" t="s">
        <v>669</v>
      </c>
      <c r="M61" s="1222">
        <f>1592.41+215.17</f>
        <v>1807.5800000000002</v>
      </c>
      <c r="N61" s="943" t="s">
        <v>669</v>
      </c>
      <c r="O61" s="1222">
        <v>2160</v>
      </c>
      <c r="P61" s="1101" t="s">
        <v>654</v>
      </c>
      <c r="Q61" s="1228">
        <f>S61</f>
        <v>2160</v>
      </c>
      <c r="R61" s="1101" t="s">
        <v>654</v>
      </c>
      <c r="S61" s="1228">
        <f>I61</f>
        <v>2160</v>
      </c>
      <c r="T61" s="943" t="s">
        <v>669</v>
      </c>
      <c r="U61" s="1222">
        <f>1800+2160</f>
        <v>3960</v>
      </c>
    </row>
    <row r="62" spans="1:21" x14ac:dyDescent="0.35">
      <c r="A62" s="998"/>
      <c r="B62" s="1223"/>
      <c r="C62" s="1215"/>
      <c r="D62" s="940"/>
      <c r="E62" s="940"/>
      <c r="F62" s="940"/>
      <c r="G62" s="1039"/>
      <c r="H62" s="943"/>
      <c r="I62" s="630"/>
      <c r="J62" s="943"/>
      <c r="K62" s="1222"/>
      <c r="L62" s="943"/>
      <c r="M62" s="630"/>
      <c r="N62" s="943"/>
      <c r="O62" s="630"/>
      <c r="P62" s="943"/>
      <c r="Q62" s="632"/>
      <c r="R62" s="630"/>
      <c r="S62" s="630"/>
      <c r="T62" s="630"/>
      <c r="U62" s="1222"/>
    </row>
    <row r="63" spans="1:21" x14ac:dyDescent="0.35">
      <c r="A63" s="998"/>
      <c r="B63" s="1227" t="s">
        <v>1040</v>
      </c>
      <c r="C63" s="1215"/>
      <c r="D63" s="940"/>
      <c r="E63" s="940"/>
      <c r="F63" s="940"/>
      <c r="G63" s="1039"/>
      <c r="H63" s="943" t="s">
        <v>669</v>
      </c>
      <c r="I63" s="1222">
        <v>7000</v>
      </c>
      <c r="J63" s="1101" t="s">
        <v>654</v>
      </c>
      <c r="K63" s="1228">
        <f>I63</f>
        <v>7000</v>
      </c>
      <c r="L63" s="943" t="s">
        <v>669</v>
      </c>
      <c r="M63" s="630"/>
      <c r="N63" s="943" t="s">
        <v>669</v>
      </c>
      <c r="O63" s="1222">
        <v>7000</v>
      </c>
      <c r="P63" s="943" t="s">
        <v>669</v>
      </c>
      <c r="Q63" s="632"/>
      <c r="R63" s="1101" t="s">
        <v>654</v>
      </c>
      <c r="S63" s="1228">
        <f>I63</f>
        <v>7000</v>
      </c>
      <c r="T63" s="1101" t="s">
        <v>654</v>
      </c>
      <c r="U63" s="1228">
        <f>I63</f>
        <v>7000</v>
      </c>
    </row>
    <row r="64" spans="1:21" x14ac:dyDescent="0.35">
      <c r="A64" s="998"/>
      <c r="B64" s="709" t="s">
        <v>1041</v>
      </c>
      <c r="C64" s="1215"/>
      <c r="D64" s="940"/>
      <c r="E64" s="940"/>
      <c r="F64" s="940"/>
      <c r="G64" s="1039"/>
      <c r="H64" s="943" t="s">
        <v>669</v>
      </c>
      <c r="I64" s="630"/>
      <c r="J64" s="943" t="s">
        <v>669</v>
      </c>
      <c r="K64" s="1222"/>
      <c r="L64" s="943" t="s">
        <v>669</v>
      </c>
      <c r="M64" s="630"/>
      <c r="N64" s="943" t="s">
        <v>669</v>
      </c>
      <c r="O64" s="630"/>
      <c r="P64" s="943" t="s">
        <v>669</v>
      </c>
      <c r="Q64" s="632"/>
      <c r="R64" s="943" t="s">
        <v>669</v>
      </c>
      <c r="S64" s="630"/>
      <c r="T64" s="943" t="s">
        <v>669</v>
      </c>
      <c r="U64" s="630"/>
    </row>
    <row r="65" spans="1:21" x14ac:dyDescent="0.35">
      <c r="A65" s="998"/>
      <c r="B65" s="709" t="s">
        <v>1042</v>
      </c>
      <c r="C65" s="1215"/>
      <c r="D65" s="940"/>
      <c r="E65" s="940"/>
      <c r="F65" s="940"/>
      <c r="G65" s="1039"/>
      <c r="H65" s="943" t="s">
        <v>669</v>
      </c>
      <c r="I65" s="630"/>
      <c r="J65" s="943" t="s">
        <v>669</v>
      </c>
      <c r="K65" s="1222"/>
      <c r="L65" s="943" t="s">
        <v>669</v>
      </c>
      <c r="M65" s="630"/>
      <c r="N65" s="943" t="s">
        <v>669</v>
      </c>
      <c r="O65" s="630"/>
      <c r="P65" s="943" t="s">
        <v>669</v>
      </c>
      <c r="Q65" s="632"/>
      <c r="R65" s="943" t="s">
        <v>669</v>
      </c>
      <c r="S65" s="630"/>
      <c r="T65" s="943" t="s">
        <v>669</v>
      </c>
      <c r="U65" s="630"/>
    </row>
    <row r="66" spans="1:21" x14ac:dyDescent="0.35">
      <c r="A66" s="998"/>
      <c r="B66" s="709" t="s">
        <v>257</v>
      </c>
      <c r="C66" s="1215"/>
      <c r="D66" s="940"/>
      <c r="E66" s="940"/>
      <c r="F66" s="940"/>
      <c r="G66" s="1039"/>
      <c r="H66" s="943" t="s">
        <v>669</v>
      </c>
      <c r="I66" s="630"/>
      <c r="J66" s="943" t="s">
        <v>669</v>
      </c>
      <c r="K66" s="1222"/>
      <c r="L66" s="943" t="s">
        <v>669</v>
      </c>
      <c r="M66" s="630"/>
      <c r="N66" s="943" t="s">
        <v>669</v>
      </c>
      <c r="O66" s="630"/>
      <c r="P66" s="943" t="s">
        <v>669</v>
      </c>
      <c r="Q66" s="632"/>
      <c r="R66" s="943" t="s">
        <v>669</v>
      </c>
      <c r="S66" s="630"/>
      <c r="T66" s="943" t="s">
        <v>669</v>
      </c>
      <c r="U66" s="630"/>
    </row>
    <row r="67" spans="1:21" x14ac:dyDescent="0.35">
      <c r="A67" s="998"/>
      <c r="B67" s="709" t="s">
        <v>1043</v>
      </c>
      <c r="C67" s="1215"/>
      <c r="D67" s="940"/>
      <c r="E67" s="940"/>
      <c r="F67" s="940"/>
      <c r="G67" s="1039"/>
      <c r="H67" s="943" t="s">
        <v>669</v>
      </c>
      <c r="I67" s="630"/>
      <c r="J67" s="943" t="s">
        <v>669</v>
      </c>
      <c r="K67" s="1222"/>
      <c r="L67" s="943" t="s">
        <v>669</v>
      </c>
      <c r="M67" s="630"/>
      <c r="N67" s="943" t="s">
        <v>669</v>
      </c>
      <c r="O67" s="630"/>
      <c r="P67" s="943" t="s">
        <v>669</v>
      </c>
      <c r="Q67" s="632"/>
      <c r="R67" s="943" t="s">
        <v>669</v>
      </c>
      <c r="S67" s="630"/>
      <c r="T67" s="943" t="s">
        <v>669</v>
      </c>
      <c r="U67" s="630"/>
    </row>
    <row r="68" spans="1:21" x14ac:dyDescent="0.35">
      <c r="A68" s="998"/>
      <c r="B68" s="709"/>
      <c r="C68" s="1215"/>
      <c r="D68" s="940"/>
      <c r="E68" s="940"/>
      <c r="F68" s="940"/>
      <c r="G68" s="1039"/>
      <c r="H68" s="943"/>
      <c r="I68" s="630"/>
      <c r="J68" s="943"/>
      <c r="K68" s="1222"/>
      <c r="L68" s="943"/>
      <c r="M68" s="630"/>
      <c r="N68" s="943"/>
      <c r="O68" s="630"/>
      <c r="P68" s="943"/>
      <c r="Q68" s="632"/>
      <c r="R68" s="1231"/>
      <c r="S68" s="630"/>
      <c r="T68" s="1231"/>
      <c r="U68" s="630"/>
    </row>
    <row r="69" spans="1:21" x14ac:dyDescent="0.35">
      <c r="A69" s="998"/>
      <c r="B69" s="709" t="s">
        <v>1044</v>
      </c>
      <c r="C69" s="1215" t="s">
        <v>1045</v>
      </c>
      <c r="D69" s="940">
        <v>6</v>
      </c>
      <c r="E69" s="940" t="s">
        <v>666</v>
      </c>
      <c r="F69" s="940"/>
      <c r="G69" s="1039"/>
      <c r="H69" s="943" t="s">
        <v>671</v>
      </c>
      <c r="I69" s="630"/>
      <c r="J69" s="943" t="s">
        <v>669</v>
      </c>
      <c r="K69" s="1222">
        <v>5775</v>
      </c>
      <c r="L69" s="1211" t="s">
        <v>669</v>
      </c>
      <c r="M69" s="1222">
        <v>6142</v>
      </c>
      <c r="N69" s="943" t="s">
        <v>669</v>
      </c>
      <c r="O69" s="1222">
        <v>4500</v>
      </c>
      <c r="P69" s="1211" t="s">
        <v>669</v>
      </c>
      <c r="Q69" s="1222">
        <v>1903</v>
      </c>
      <c r="R69" s="1101" t="s">
        <v>654</v>
      </c>
      <c r="S69" s="1228">
        <v>2500</v>
      </c>
      <c r="T69" s="1101" t="s">
        <v>654</v>
      </c>
      <c r="U69" s="1228">
        <v>2500</v>
      </c>
    </row>
    <row r="70" spans="1:21" x14ac:dyDescent="0.35">
      <c r="A70" s="998"/>
      <c r="B70" s="939"/>
      <c r="C70" s="1215"/>
      <c r="D70" s="940"/>
      <c r="E70" s="940"/>
      <c r="F70" s="940"/>
      <c r="G70" s="1039"/>
      <c r="H70" s="943"/>
      <c r="I70" s="630"/>
      <c r="J70" s="943"/>
      <c r="K70" s="630"/>
      <c r="L70" s="943"/>
      <c r="M70" s="1197"/>
      <c r="N70" s="943"/>
      <c r="O70" s="630"/>
      <c r="P70" s="943"/>
      <c r="Q70" s="632"/>
      <c r="R70" s="630"/>
      <c r="S70" s="630"/>
      <c r="T70" s="630"/>
      <c r="U70" s="630"/>
    </row>
    <row r="71" spans="1:21" x14ac:dyDescent="0.35">
      <c r="A71" s="14"/>
      <c r="B71" s="15"/>
      <c r="C71" s="16"/>
      <c r="D71" s="16"/>
      <c r="E71" s="17"/>
      <c r="F71" s="18" t="s">
        <v>715</v>
      </c>
      <c r="G71" s="19"/>
      <c r="H71" s="20"/>
      <c r="I71" s="50">
        <f>SUM(I16:I70)</f>
        <v>67260</v>
      </c>
      <c r="J71" s="20"/>
      <c r="K71" s="50">
        <f>SUM(K16:K70)</f>
        <v>124582</v>
      </c>
      <c r="L71" s="20"/>
      <c r="M71" s="50">
        <f>SUM(M16:M70)</f>
        <v>134478.23000000001</v>
      </c>
      <c r="N71" s="20"/>
      <c r="O71" s="50">
        <f>SUM(O16:O70)</f>
        <v>145510</v>
      </c>
      <c r="P71" s="41"/>
      <c r="Q71" s="50">
        <f>SUM(Q16:Q70)</f>
        <v>103406.07999999999</v>
      </c>
      <c r="R71" s="41"/>
      <c r="S71" s="50">
        <f>SUM(S16:S70)</f>
        <v>147763.09</v>
      </c>
      <c r="T71" s="41"/>
      <c r="U71" s="50">
        <f>SUM(U16:U70)</f>
        <v>179621.39</v>
      </c>
    </row>
    <row r="72" spans="1:21" x14ac:dyDescent="0.35">
      <c r="A72" s="684"/>
      <c r="B72" s="655"/>
      <c r="C72" s="656"/>
      <c r="D72" s="656"/>
      <c r="E72" s="657"/>
      <c r="F72" s="658" t="s">
        <v>716</v>
      </c>
      <c r="G72" s="659"/>
      <c r="H72" s="959">
        <v>0</v>
      </c>
      <c r="I72" s="1121"/>
      <c r="J72" s="959">
        <v>0</v>
      </c>
      <c r="K72" s="1121"/>
      <c r="L72" s="959">
        <v>0</v>
      </c>
      <c r="M72" s="1121"/>
      <c r="N72" s="959">
        <v>0</v>
      </c>
      <c r="O72" s="1121"/>
      <c r="P72" s="673">
        <v>0</v>
      </c>
      <c r="Q72" s="1121"/>
      <c r="R72" s="673">
        <v>0</v>
      </c>
      <c r="S72" s="1121"/>
      <c r="T72" s="673">
        <v>0</v>
      </c>
      <c r="U72" s="1121"/>
    </row>
    <row r="73" spans="1:21" x14ac:dyDescent="0.35">
      <c r="A73" s="684"/>
      <c r="B73" s="655"/>
      <c r="C73" s="656"/>
      <c r="D73" s="656"/>
      <c r="E73" s="657"/>
      <c r="F73" s="658" t="s">
        <v>717</v>
      </c>
      <c r="G73" s="659"/>
      <c r="H73" s="961"/>
      <c r="I73" s="1122">
        <f>H72*I71</f>
        <v>0</v>
      </c>
      <c r="J73" s="961"/>
      <c r="K73" s="1122">
        <f>J72*K71</f>
        <v>0</v>
      </c>
      <c r="L73" s="961"/>
      <c r="M73" s="1122">
        <f>L72*M71</f>
        <v>0</v>
      </c>
      <c r="N73" s="961"/>
      <c r="O73" s="1122">
        <f>N72*O71</f>
        <v>0</v>
      </c>
      <c r="P73" s="674"/>
      <c r="Q73" s="1122">
        <f>P72*Q71</f>
        <v>0</v>
      </c>
      <c r="R73" s="674"/>
      <c r="S73" s="1122">
        <f>R72*S71</f>
        <v>0</v>
      </c>
      <c r="T73" s="674"/>
      <c r="U73" s="1122">
        <f>T72*U71</f>
        <v>0</v>
      </c>
    </row>
    <row r="74" spans="1:21" x14ac:dyDescent="0.35">
      <c r="A74" s="684"/>
      <c r="B74" s="655"/>
      <c r="C74" s="656"/>
      <c r="D74" s="656"/>
      <c r="E74" s="657"/>
      <c r="F74" s="658"/>
      <c r="G74" s="659"/>
      <c r="H74" s="961"/>
      <c r="I74" s="963"/>
      <c r="J74" s="961"/>
      <c r="K74" s="963"/>
      <c r="L74" s="961"/>
      <c r="M74" s="963"/>
      <c r="N74" s="961"/>
      <c r="O74" s="963"/>
      <c r="P74" s="674"/>
      <c r="Q74" s="963"/>
      <c r="R74" s="674"/>
      <c r="S74" s="963"/>
      <c r="T74" s="674"/>
      <c r="U74" s="963"/>
    </row>
    <row r="75" spans="1:21" x14ac:dyDescent="0.35">
      <c r="A75" s="684"/>
      <c r="B75" s="655"/>
      <c r="C75" s="656"/>
      <c r="D75" s="656"/>
      <c r="E75" s="657"/>
      <c r="F75" s="658" t="s">
        <v>718</v>
      </c>
      <c r="G75" s="659"/>
      <c r="H75" s="964"/>
      <c r="I75" s="962">
        <f>SUM(I71:I73)</f>
        <v>67260</v>
      </c>
      <c r="J75" s="964"/>
      <c r="K75" s="962">
        <f>SUM(K71:K73)</f>
        <v>124582</v>
      </c>
      <c r="L75" s="964"/>
      <c r="M75" s="962">
        <f>SUM(M71:M73)</f>
        <v>134478.23000000001</v>
      </c>
      <c r="N75" s="964"/>
      <c r="O75" s="962">
        <f>SUM(O71:O73)</f>
        <v>145510</v>
      </c>
      <c r="P75" s="675"/>
      <c r="Q75" s="962">
        <f>SUM(Q71:Q73)</f>
        <v>103406.07999999999</v>
      </c>
      <c r="R75" s="675"/>
      <c r="S75" s="962">
        <f>SUM(S71:S73)</f>
        <v>147763.09</v>
      </c>
      <c r="T75" s="675"/>
      <c r="U75" s="962">
        <f>SUM(U71:U73)</f>
        <v>179621.39</v>
      </c>
    </row>
    <row r="76" spans="1:21" x14ac:dyDescent="0.35">
      <c r="A76" s="684"/>
      <c r="B76" s="655"/>
      <c r="C76" s="656"/>
      <c r="D76" s="656"/>
      <c r="E76" s="657"/>
      <c r="F76" s="660" t="s">
        <v>719</v>
      </c>
      <c r="G76" s="661"/>
      <c r="H76" s="965"/>
      <c r="I76" s="966" t="e">
        <f>I75/#REF!</f>
        <v>#REF!</v>
      </c>
      <c r="J76" s="965"/>
      <c r="K76" s="966" t="e">
        <f>K75/#REF!</f>
        <v>#REF!</v>
      </c>
      <c r="L76" s="965"/>
      <c r="M76" s="966" t="e">
        <f>M75/#REF!</f>
        <v>#REF!</v>
      </c>
      <c r="N76" s="965"/>
      <c r="O76" s="966" t="e">
        <f>O75/#REF!</f>
        <v>#REF!</v>
      </c>
      <c r="P76" s="676"/>
      <c r="Q76" s="966" t="e">
        <f>Q75/#REF!</f>
        <v>#REF!</v>
      </c>
      <c r="R76" s="676"/>
      <c r="S76" s="966" t="e">
        <f>S75/#REF!</f>
        <v>#REF!</v>
      </c>
      <c r="T76" s="676"/>
      <c r="U76" s="966" t="e">
        <f>U75/#REF!</f>
        <v>#REF!</v>
      </c>
    </row>
    <row r="77" spans="1:21" x14ac:dyDescent="0.35">
      <c r="A77" s="684"/>
      <c r="B77" s="655"/>
      <c r="C77" s="656"/>
      <c r="D77" s="656"/>
      <c r="E77" s="657"/>
      <c r="F77" s="660" t="s">
        <v>720</v>
      </c>
      <c r="G77" s="662"/>
      <c r="H77" s="965"/>
      <c r="I77" s="966" t="e">
        <f>I75/#REF!</f>
        <v>#REF!</v>
      </c>
      <c r="J77" s="965"/>
      <c r="K77" s="966" t="e">
        <f>K75/#REF!</f>
        <v>#REF!</v>
      </c>
      <c r="L77" s="965"/>
      <c r="M77" s="966" t="e">
        <f>M75/#REF!</f>
        <v>#REF!</v>
      </c>
      <c r="N77" s="965"/>
      <c r="O77" s="966" t="e">
        <f>O75/#REF!</f>
        <v>#REF!</v>
      </c>
      <c r="P77" s="676"/>
      <c r="Q77" s="966" t="e">
        <f>Q75/#REF!</f>
        <v>#REF!</v>
      </c>
      <c r="R77" s="676"/>
      <c r="S77" s="966" t="e">
        <f>S75/#REF!</f>
        <v>#REF!</v>
      </c>
      <c r="T77" s="676"/>
      <c r="U77" s="966" t="e">
        <f>U75/#REF!</f>
        <v>#REF!</v>
      </c>
    </row>
    <row r="78" spans="1:21" x14ac:dyDescent="0.35">
      <c r="A78" s="684"/>
      <c r="B78" s="655"/>
      <c r="C78" s="656"/>
      <c r="D78" s="656"/>
      <c r="E78" s="657"/>
      <c r="F78" s="658"/>
      <c r="G78" s="663"/>
      <c r="H78" s="1168"/>
      <c r="I78" s="1169"/>
      <c r="J78" s="1168"/>
      <c r="K78" s="1169"/>
      <c r="L78" s="1168"/>
      <c r="M78" s="1169"/>
      <c r="N78" s="1168"/>
      <c r="O78" s="1169"/>
      <c r="P78" s="1232"/>
      <c r="Q78" s="1169"/>
      <c r="R78" s="1232"/>
      <c r="S78" s="1169"/>
      <c r="T78" s="1232"/>
      <c r="U78" s="1169"/>
    </row>
    <row r="79" spans="1:21" x14ac:dyDescent="0.35">
      <c r="A79" s="3764" t="s">
        <v>721</v>
      </c>
      <c r="B79" s="3765"/>
      <c r="C79" s="12"/>
      <c r="D79" s="12"/>
      <c r="E79" s="12"/>
      <c r="F79" s="12"/>
      <c r="G79" s="13"/>
      <c r="H79" s="21"/>
      <c r="I79" s="21"/>
      <c r="J79" s="21"/>
      <c r="K79" s="21"/>
      <c r="L79" s="21"/>
      <c r="M79" s="21"/>
      <c r="N79" s="21"/>
      <c r="O79" s="21"/>
      <c r="P79" s="21"/>
      <c r="Q79" s="21"/>
      <c r="R79" s="21"/>
      <c r="S79" s="21"/>
      <c r="T79" s="21"/>
      <c r="U79" s="21"/>
    </row>
    <row r="80" spans="1:21" x14ac:dyDescent="0.35">
      <c r="A80" s="968"/>
      <c r="B80" s="641" t="s">
        <v>1046</v>
      </c>
      <c r="C80" s="707"/>
      <c r="D80" s="707"/>
      <c r="E80" s="707"/>
      <c r="F80" s="707"/>
      <c r="G80" s="1195"/>
      <c r="H80" s="972"/>
      <c r="I80" s="972"/>
      <c r="J80" s="972"/>
      <c r="K80" s="972"/>
      <c r="L80" s="972"/>
      <c r="M80" s="972"/>
      <c r="N80" s="972"/>
      <c r="O80" s="972"/>
      <c r="P80" s="972"/>
      <c r="Q80" s="972"/>
      <c r="R80" s="972"/>
      <c r="S80" s="972"/>
      <c r="T80" s="972"/>
      <c r="U80" s="972"/>
    </row>
    <row r="81" spans="1:21" x14ac:dyDescent="0.35">
      <c r="A81" s="968"/>
      <c r="B81" s="641"/>
      <c r="C81" s="707"/>
      <c r="D81" s="707"/>
      <c r="E81" s="707"/>
      <c r="F81" s="707"/>
      <c r="G81" s="1195"/>
      <c r="H81" s="972"/>
      <c r="I81" s="972"/>
      <c r="J81" s="972"/>
      <c r="K81" s="972"/>
      <c r="L81" s="972"/>
      <c r="M81" s="972"/>
      <c r="N81" s="972"/>
      <c r="O81" s="972"/>
      <c r="P81" s="972"/>
      <c r="Q81" s="972"/>
      <c r="R81" s="972"/>
      <c r="S81" s="972"/>
      <c r="T81" s="972"/>
      <c r="U81" s="972"/>
    </row>
    <row r="82" spans="1:21" ht="15" hidden="1" customHeight="1" x14ac:dyDescent="0.35">
      <c r="A82" s="968"/>
      <c r="B82" s="641"/>
      <c r="C82" s="707"/>
      <c r="D82" s="707"/>
      <c r="E82" s="707"/>
      <c r="F82" s="707"/>
      <c r="G82" s="1195"/>
      <c r="H82" s="972"/>
      <c r="I82" s="972"/>
      <c r="J82" s="972"/>
      <c r="K82" s="972"/>
      <c r="L82" s="972"/>
      <c r="M82" s="972"/>
      <c r="N82" s="972"/>
      <c r="O82" s="972"/>
      <c r="P82" s="972"/>
      <c r="Q82" s="972"/>
      <c r="R82" s="972"/>
      <c r="S82" s="972"/>
      <c r="T82" s="972"/>
      <c r="U82" s="972"/>
    </row>
    <row r="83" spans="1:21" s="2" customFormat="1" ht="16.5" hidden="1" customHeight="1" x14ac:dyDescent="0.35">
      <c r="A83" s="3764" t="s">
        <v>722</v>
      </c>
      <c r="B83" s="3765"/>
      <c r="C83" s="12"/>
      <c r="D83" s="12"/>
      <c r="E83" s="12"/>
      <c r="F83" s="12"/>
      <c r="G83" s="13"/>
      <c r="H83" s="21"/>
      <c r="I83" s="21"/>
      <c r="J83" s="21"/>
      <c r="K83" s="21"/>
      <c r="L83" s="21"/>
      <c r="M83" s="21"/>
      <c r="N83" s="21"/>
      <c r="O83" s="21"/>
      <c r="P83" s="21"/>
      <c r="Q83" s="21"/>
      <c r="R83" s="21"/>
      <c r="S83" s="21"/>
      <c r="T83" s="21"/>
      <c r="U83" s="21"/>
    </row>
    <row r="84" spans="1:21" s="2" customFormat="1" x14ac:dyDescent="0.35">
      <c r="A84" s="968"/>
      <c r="B84" s="641"/>
      <c r="C84" s="707"/>
      <c r="D84" s="707"/>
      <c r="E84" s="707"/>
      <c r="F84" s="707"/>
      <c r="G84" s="1195"/>
      <c r="H84" s="972"/>
      <c r="I84" s="972"/>
      <c r="J84" s="972"/>
      <c r="K84" s="972"/>
      <c r="L84" s="972"/>
      <c r="M84" s="972"/>
      <c r="N84" s="972"/>
      <c r="O84" s="972"/>
      <c r="P84" s="972"/>
      <c r="Q84" s="972"/>
      <c r="R84" s="972"/>
      <c r="S84" s="972"/>
      <c r="T84" s="972"/>
      <c r="U84" s="972"/>
    </row>
    <row r="85" spans="1:21" s="2" customFormat="1" x14ac:dyDescent="0.35">
      <c r="A85" s="968"/>
      <c r="B85" s="641"/>
      <c r="C85" s="707"/>
      <c r="D85" s="707"/>
      <c r="E85" s="707"/>
      <c r="F85" s="707"/>
      <c r="G85" s="1195"/>
      <c r="H85" s="972"/>
      <c r="I85" s="972"/>
      <c r="J85" s="972"/>
      <c r="K85" s="972"/>
      <c r="L85" s="972"/>
      <c r="M85" s="972"/>
      <c r="N85" s="972"/>
      <c r="O85" s="972"/>
      <c r="P85" s="972"/>
      <c r="Q85" s="972"/>
      <c r="R85" s="972"/>
      <c r="S85" s="972"/>
      <c r="T85" s="972"/>
      <c r="U85" s="972"/>
    </row>
    <row r="86" spans="1:21" x14ac:dyDescent="0.35">
      <c r="A86" s="968"/>
      <c r="B86" s="641"/>
      <c r="C86" s="707"/>
      <c r="D86" s="707"/>
      <c r="E86" s="707"/>
      <c r="F86" s="707"/>
      <c r="G86" s="1195"/>
      <c r="H86" s="972"/>
      <c r="I86" s="972"/>
      <c r="J86" s="972"/>
      <c r="K86" s="972"/>
      <c r="L86" s="972"/>
      <c r="M86" s="972"/>
      <c r="N86" s="972"/>
      <c r="O86" s="972"/>
      <c r="P86" s="972"/>
      <c r="Q86" s="972"/>
      <c r="R86" s="972"/>
      <c r="S86" s="972"/>
      <c r="T86" s="972"/>
      <c r="U86" s="972"/>
    </row>
    <row r="87" spans="1:21" s="2" customFormat="1" x14ac:dyDescent="0.35">
      <c r="A87" s="3764" t="s">
        <v>723</v>
      </c>
      <c r="B87" s="3765"/>
      <c r="C87" s="12"/>
      <c r="D87" s="12"/>
      <c r="E87" s="12"/>
      <c r="F87" s="12"/>
      <c r="G87" s="13"/>
      <c r="H87" s="21"/>
      <c r="I87" s="21"/>
      <c r="J87" s="21"/>
      <c r="K87" s="21"/>
      <c r="L87" s="21"/>
      <c r="M87" s="21"/>
      <c r="N87" s="21"/>
      <c r="O87" s="21"/>
      <c r="P87" s="21"/>
      <c r="Q87" s="21"/>
      <c r="R87" s="21"/>
      <c r="S87" s="21"/>
      <c r="T87" s="21"/>
      <c r="U87" s="21"/>
    </row>
    <row r="88" spans="1:21" s="2" customFormat="1" x14ac:dyDescent="0.35">
      <c r="A88" s="968"/>
      <c r="B88" s="641" t="s">
        <v>1047</v>
      </c>
      <c r="C88" s="707"/>
      <c r="D88" s="707"/>
      <c r="E88" s="707"/>
      <c r="F88" s="707"/>
      <c r="G88" s="1195"/>
      <c r="H88" s="943"/>
      <c r="I88" s="1222"/>
      <c r="J88" s="943" t="s">
        <v>669</v>
      </c>
      <c r="K88" s="972">
        <f>-K57-K58</f>
        <v>-29372</v>
      </c>
      <c r="L88" s="943" t="s">
        <v>669</v>
      </c>
      <c r="M88" s="972">
        <f>-M57-M58</f>
        <v>-59672.7</v>
      </c>
      <c r="N88" s="943" t="s">
        <v>669</v>
      </c>
      <c r="O88" s="972">
        <f>-O58-O57</f>
        <v>-44400</v>
      </c>
      <c r="P88" s="972"/>
      <c r="Q88" s="972"/>
      <c r="R88" s="943"/>
      <c r="S88" s="972"/>
      <c r="T88" s="972"/>
      <c r="U88" s="972"/>
    </row>
    <row r="89" spans="1:21" s="2" customFormat="1" ht="14.25" customHeight="1" x14ac:dyDescent="0.35">
      <c r="A89" s="968"/>
      <c r="B89" s="641" t="s">
        <v>1048</v>
      </c>
      <c r="C89" s="707"/>
      <c r="D89" s="707"/>
      <c r="E89" s="707"/>
      <c r="F89" s="707"/>
      <c r="G89" s="1195"/>
      <c r="H89" s="943" t="s">
        <v>669</v>
      </c>
      <c r="I89" s="1222">
        <v>151860</v>
      </c>
      <c r="J89" s="943" t="s">
        <v>669</v>
      </c>
      <c r="K89" s="972">
        <v>140244</v>
      </c>
      <c r="L89" s="943" t="s">
        <v>669</v>
      </c>
      <c r="M89" s="972">
        <f>243368.83/2</f>
        <v>121684.41499999999</v>
      </c>
      <c r="N89" s="943" t="s">
        <v>669</v>
      </c>
      <c r="O89" s="1222">
        <v>151860</v>
      </c>
      <c r="P89" s="943" t="s">
        <v>669</v>
      </c>
      <c r="Q89" s="972">
        <v>190910.43</v>
      </c>
      <c r="R89" s="972"/>
      <c r="S89" s="972"/>
      <c r="T89" s="972"/>
      <c r="U89" s="972"/>
    </row>
    <row r="90" spans="1:21" s="2" customFormat="1" ht="15.75" customHeight="1" x14ac:dyDescent="0.35">
      <c r="A90" s="689"/>
      <c r="B90" s="641" t="s">
        <v>1049</v>
      </c>
      <c r="C90" s="642"/>
      <c r="D90" s="642"/>
      <c r="E90" s="642"/>
      <c r="F90" s="642"/>
      <c r="G90" s="646"/>
      <c r="H90" s="973"/>
      <c r="I90" s="973"/>
      <c r="J90" s="943" t="s">
        <v>669</v>
      </c>
      <c r="K90" s="973">
        <v>6100</v>
      </c>
      <c r="L90" s="943" t="s">
        <v>669</v>
      </c>
      <c r="M90" s="973">
        <f>7395.26+1001.5</f>
        <v>8396.76</v>
      </c>
      <c r="N90" s="943" t="s">
        <v>669</v>
      </c>
      <c r="O90" s="973">
        <v>16400</v>
      </c>
      <c r="P90" s="973"/>
      <c r="Q90" s="973"/>
      <c r="R90" s="973"/>
      <c r="S90" s="973"/>
      <c r="T90" s="973"/>
      <c r="U90" s="973"/>
    </row>
    <row r="91" spans="1:21" s="2" customFormat="1" x14ac:dyDescent="0.35">
      <c r="A91" s="686"/>
      <c r="B91" s="665" t="s">
        <v>1050</v>
      </c>
      <c r="C91" s="642"/>
      <c r="D91" s="642"/>
      <c r="E91" s="642"/>
      <c r="F91" s="642"/>
      <c r="G91" s="646"/>
      <c r="H91" s="974"/>
      <c r="I91" s="974"/>
      <c r="J91" s="974"/>
      <c r="K91" s="974"/>
      <c r="L91" s="943" t="s">
        <v>669</v>
      </c>
      <c r="M91" s="974">
        <f>32967.4/2</f>
        <v>16483.7</v>
      </c>
      <c r="N91" s="974"/>
      <c r="O91" s="974"/>
      <c r="P91" s="974"/>
      <c r="Q91" s="974"/>
      <c r="R91" s="974"/>
      <c r="S91" s="974"/>
      <c r="T91" s="974"/>
      <c r="U91" s="974"/>
    </row>
    <row r="92" spans="1:21" s="2" customFormat="1" x14ac:dyDescent="0.35">
      <c r="A92" s="686"/>
      <c r="B92" s="665" t="s">
        <v>1051</v>
      </c>
      <c r="C92" s="642"/>
      <c r="D92" s="642"/>
      <c r="E92" s="642"/>
      <c r="F92" s="642"/>
      <c r="G92" s="646"/>
      <c r="H92" s="974"/>
      <c r="I92" s="974"/>
      <c r="J92" s="974"/>
      <c r="K92" s="974"/>
      <c r="L92" s="943" t="s">
        <v>669</v>
      </c>
      <c r="M92" s="974">
        <f>4642.28+629.85</f>
        <v>5272.13</v>
      </c>
      <c r="N92" s="974"/>
      <c r="O92" s="974"/>
      <c r="P92" s="943" t="s">
        <v>669</v>
      </c>
      <c r="Q92" s="974">
        <v>15394.25</v>
      </c>
      <c r="R92" s="974"/>
      <c r="S92" s="974"/>
      <c r="T92" s="974"/>
      <c r="U92" s="974"/>
    </row>
    <row r="93" spans="1:21" s="2" customFormat="1" x14ac:dyDescent="0.35">
      <c r="A93" s="3764" t="s">
        <v>724</v>
      </c>
      <c r="B93" s="3765"/>
      <c r="C93" s="12"/>
      <c r="D93" s="12"/>
      <c r="E93" s="12"/>
      <c r="F93" s="12"/>
      <c r="G93" s="13"/>
      <c r="H93" s="21"/>
      <c r="I93" s="21"/>
      <c r="J93" s="21"/>
      <c r="K93" s="21"/>
      <c r="L93" s="21"/>
      <c r="M93" s="21"/>
      <c r="N93" s="21"/>
      <c r="O93" s="21"/>
      <c r="P93" s="21"/>
      <c r="Q93" s="21"/>
      <c r="R93" s="21"/>
      <c r="S93" s="21"/>
      <c r="T93" s="21"/>
      <c r="U93" s="21"/>
    </row>
    <row r="94" spans="1:21" x14ac:dyDescent="0.35">
      <c r="A94" s="975"/>
      <c r="B94" s="708"/>
      <c r="C94" s="707"/>
      <c r="D94" s="707"/>
      <c r="E94" s="707"/>
      <c r="F94" s="707"/>
      <c r="G94" s="1195"/>
      <c r="H94" s="943"/>
      <c r="I94" s="972"/>
      <c r="J94" s="972"/>
      <c r="K94" s="972"/>
      <c r="L94" s="972"/>
      <c r="M94" s="972"/>
      <c r="N94" s="943"/>
      <c r="O94" s="972"/>
      <c r="P94" s="972"/>
      <c r="Q94" s="972"/>
      <c r="R94" s="972"/>
      <c r="S94" s="972"/>
      <c r="T94" s="972"/>
      <c r="U94" s="972"/>
    </row>
    <row r="95" spans="1:21" x14ac:dyDescent="0.35">
      <c r="A95" s="686"/>
      <c r="B95" s="665"/>
      <c r="C95" s="642"/>
      <c r="D95" s="642"/>
      <c r="E95" s="642"/>
      <c r="F95" s="642"/>
      <c r="G95" s="646"/>
      <c r="H95" s="977"/>
      <c r="I95" s="977"/>
      <c r="J95" s="977"/>
      <c r="K95" s="977"/>
      <c r="L95" s="977"/>
      <c r="M95" s="977"/>
      <c r="N95" s="977"/>
      <c r="O95" s="977"/>
      <c r="P95" s="977"/>
      <c r="Q95" s="977"/>
      <c r="R95" s="977"/>
      <c r="S95" s="977"/>
      <c r="T95" s="977"/>
      <c r="U95" s="977"/>
    </row>
    <row r="96" spans="1:21" x14ac:dyDescent="0.35">
      <c r="A96" s="686"/>
      <c r="B96" s="665"/>
      <c r="C96" s="642"/>
      <c r="D96" s="642"/>
      <c r="E96" s="642"/>
      <c r="F96" s="642"/>
      <c r="G96" s="646"/>
      <c r="H96" s="977"/>
      <c r="I96" s="977"/>
      <c r="J96" s="977"/>
      <c r="K96" s="977"/>
      <c r="L96" s="977"/>
      <c r="M96" s="977"/>
      <c r="N96" s="977"/>
      <c r="O96" s="977"/>
      <c r="P96" s="977"/>
      <c r="Q96" s="977"/>
      <c r="R96" s="977"/>
      <c r="S96" s="977"/>
      <c r="T96" s="977"/>
      <c r="U96" s="977"/>
    </row>
    <row r="97" spans="1:21" x14ac:dyDescent="0.35">
      <c r="A97" s="3764" t="s">
        <v>725</v>
      </c>
      <c r="B97" s="3765"/>
      <c r="C97" s="12"/>
      <c r="D97" s="12"/>
      <c r="E97" s="12"/>
      <c r="F97" s="12"/>
      <c r="G97" s="13"/>
      <c r="H97" s="21"/>
      <c r="I97" s="21"/>
      <c r="J97" s="21"/>
      <c r="K97" s="21"/>
      <c r="L97" s="21"/>
      <c r="M97" s="21"/>
      <c r="N97" s="21"/>
      <c r="O97" s="21"/>
      <c r="P97" s="21"/>
      <c r="Q97" s="21"/>
      <c r="R97" s="21"/>
      <c r="S97" s="21"/>
      <c r="T97" s="21"/>
      <c r="U97" s="21"/>
    </row>
    <row r="98" spans="1:21" x14ac:dyDescent="0.35">
      <c r="A98" s="689"/>
      <c r="B98" s="641" t="s">
        <v>726</v>
      </c>
      <c r="C98" s="642"/>
      <c r="D98" s="642"/>
      <c r="E98" s="642"/>
      <c r="F98" s="642"/>
      <c r="G98" s="646"/>
      <c r="H98" s="977"/>
      <c r="I98" s="977"/>
      <c r="J98" s="977"/>
      <c r="K98" s="977"/>
      <c r="L98" s="977"/>
      <c r="M98" s="977"/>
      <c r="N98" s="977"/>
      <c r="O98" s="977"/>
      <c r="P98" s="977"/>
      <c r="Q98" s="977"/>
      <c r="R98" s="977"/>
      <c r="S98" s="977"/>
      <c r="T98" s="977"/>
      <c r="U98" s="977"/>
    </row>
    <row r="99" spans="1:21" x14ac:dyDescent="0.35">
      <c r="A99" s="689"/>
      <c r="B99" s="641" t="s">
        <v>727</v>
      </c>
      <c r="C99" s="642"/>
      <c r="D99" s="642"/>
      <c r="E99" s="642"/>
      <c r="F99" s="642"/>
      <c r="G99" s="646"/>
      <c r="H99" s="977"/>
      <c r="I99" s="977"/>
      <c r="J99" s="977"/>
      <c r="K99" s="977"/>
      <c r="L99" s="977"/>
      <c r="M99" s="977"/>
      <c r="N99" s="977"/>
      <c r="O99" s="977"/>
      <c r="P99" s="977"/>
      <c r="Q99" s="977"/>
      <c r="R99" s="977"/>
      <c r="S99" s="977"/>
      <c r="T99" s="977"/>
      <c r="U99" s="977"/>
    </row>
    <row r="100" spans="1:21" x14ac:dyDescent="0.35">
      <c r="A100" s="689"/>
      <c r="B100" s="641" t="s">
        <v>728</v>
      </c>
      <c r="C100" s="642"/>
      <c r="D100" s="642"/>
      <c r="E100" s="642"/>
      <c r="F100" s="642"/>
      <c r="G100" s="646"/>
      <c r="H100" s="977"/>
      <c r="I100" s="977"/>
      <c r="J100" s="977"/>
      <c r="K100" s="977"/>
      <c r="L100" s="977"/>
      <c r="M100" s="977"/>
      <c r="N100" s="977"/>
      <c r="O100" s="977"/>
      <c r="P100" s="977"/>
      <c r="Q100" s="977"/>
      <c r="R100" s="977"/>
      <c r="S100" s="977"/>
      <c r="T100" s="977"/>
      <c r="U100" s="977"/>
    </row>
    <row r="101" spans="1:21" x14ac:dyDescent="0.35">
      <c r="A101" s="689"/>
      <c r="B101" s="641" t="s">
        <v>729</v>
      </c>
      <c r="C101" s="642"/>
      <c r="D101" s="642"/>
      <c r="E101" s="642"/>
      <c r="F101" s="642"/>
      <c r="G101" s="646"/>
      <c r="H101" s="977"/>
      <c r="I101" s="977"/>
      <c r="J101" s="977"/>
      <c r="K101" s="977"/>
      <c r="L101" s="977"/>
      <c r="M101" s="977"/>
      <c r="N101" s="977"/>
      <c r="O101" s="977"/>
      <c r="P101" s="977"/>
      <c r="Q101" s="977"/>
      <c r="R101" s="977"/>
      <c r="S101" s="977"/>
      <c r="T101" s="977"/>
      <c r="U101" s="977"/>
    </row>
    <row r="102" spans="1:21" x14ac:dyDescent="0.35">
      <c r="A102" s="978"/>
      <c r="B102" s="939"/>
      <c r="C102" s="940"/>
      <c r="D102" s="940"/>
      <c r="E102" s="940"/>
      <c r="F102" s="940"/>
      <c r="G102" s="1039"/>
      <c r="H102" s="981"/>
      <c r="I102" s="981"/>
      <c r="J102" s="981"/>
      <c r="K102" s="981"/>
      <c r="L102" s="981"/>
      <c r="M102" s="981"/>
      <c r="N102" s="981"/>
      <c r="O102" s="981"/>
      <c r="P102" s="981"/>
      <c r="Q102" s="981"/>
      <c r="R102" s="981"/>
      <c r="S102" s="981"/>
      <c r="T102" s="981"/>
      <c r="U102" s="981"/>
    </row>
    <row r="103" spans="1:21" x14ac:dyDescent="0.35">
      <c r="A103" s="7" t="s">
        <v>730</v>
      </c>
      <c r="B103" s="8"/>
      <c r="C103" s="12"/>
      <c r="D103" s="12"/>
      <c r="E103" s="12"/>
      <c r="F103" s="12"/>
      <c r="G103" s="13"/>
      <c r="H103" s="21"/>
      <c r="I103" s="21"/>
      <c r="J103" s="21"/>
      <c r="K103" s="21"/>
      <c r="L103" s="21"/>
      <c r="M103" s="21"/>
      <c r="N103" s="21"/>
      <c r="O103" s="21"/>
      <c r="P103" s="21"/>
      <c r="Q103" s="21"/>
      <c r="R103" s="21"/>
      <c r="S103" s="21"/>
      <c r="T103" s="21"/>
      <c r="U103" s="21"/>
    </row>
    <row r="104" spans="1:21" x14ac:dyDescent="0.35">
      <c r="A104" s="968"/>
      <c r="B104" s="709" t="s">
        <v>731</v>
      </c>
      <c r="C104" s="707"/>
      <c r="D104" s="707"/>
      <c r="E104" s="707"/>
      <c r="F104" s="707"/>
      <c r="G104" s="1195"/>
      <c r="H104" s="983"/>
      <c r="I104" s="983"/>
      <c r="J104" s="983"/>
      <c r="K104" s="983"/>
      <c r="L104" s="983"/>
      <c r="M104" s="983"/>
      <c r="N104" s="983"/>
      <c r="O104" s="983"/>
      <c r="P104" s="983"/>
      <c r="Q104" s="983"/>
      <c r="R104" s="983"/>
      <c r="S104" s="983"/>
      <c r="T104" s="983"/>
      <c r="U104" s="983"/>
    </row>
    <row r="105" spans="1:21" x14ac:dyDescent="0.35">
      <c r="A105" s="689"/>
      <c r="B105" s="641" t="s">
        <v>732</v>
      </c>
      <c r="C105" s="642"/>
      <c r="D105" s="642"/>
      <c r="E105" s="642"/>
      <c r="F105" s="642"/>
      <c r="G105" s="646"/>
      <c r="H105" s="984"/>
      <c r="I105" s="984"/>
      <c r="J105" s="984"/>
      <c r="K105" s="984"/>
      <c r="L105" s="984"/>
      <c r="M105" s="984"/>
      <c r="N105" s="984"/>
      <c r="O105" s="984"/>
      <c r="P105" s="984"/>
      <c r="Q105" s="984"/>
      <c r="R105" s="984"/>
      <c r="S105" s="984"/>
      <c r="T105" s="984"/>
      <c r="U105" s="984"/>
    </row>
    <row r="106" spans="1:21" x14ac:dyDescent="0.35">
      <c r="A106" s="985"/>
      <c r="B106" s="986" t="s">
        <v>733</v>
      </c>
      <c r="C106" s="987"/>
      <c r="D106" s="987"/>
      <c r="E106" s="987"/>
      <c r="F106" s="987"/>
      <c r="G106" s="1040"/>
      <c r="H106" s="990"/>
      <c r="I106" s="990"/>
      <c r="J106" s="990"/>
      <c r="K106" s="990"/>
      <c r="L106" s="990"/>
      <c r="M106" s="990"/>
      <c r="N106" s="990"/>
      <c r="O106" s="990"/>
      <c r="P106" s="990"/>
      <c r="Q106" s="990"/>
      <c r="R106" s="990"/>
      <c r="S106" s="990"/>
      <c r="T106" s="990"/>
      <c r="U106" s="990"/>
    </row>
    <row r="107" spans="1:21" x14ac:dyDescent="0.35">
      <c r="M107" s="2"/>
    </row>
    <row r="108" spans="1:21" x14ac:dyDescent="0.35">
      <c r="A108" s="78" t="s">
        <v>734</v>
      </c>
      <c r="B108" s="80"/>
      <c r="M108" s="2"/>
    </row>
    <row r="109" spans="1:21" x14ac:dyDescent="0.35">
      <c r="A109" s="79" t="s">
        <v>632</v>
      </c>
      <c r="B109" s="991" t="str">
        <f>J4</f>
        <v>Cast Stone International</v>
      </c>
      <c r="M109" s="2"/>
    </row>
    <row r="110" spans="1:21" x14ac:dyDescent="0.35">
      <c r="A110" s="687" t="s">
        <v>636</v>
      </c>
      <c r="B110" s="991" t="str">
        <f>J5</f>
        <v>Patrick Barrera</v>
      </c>
      <c r="M110" s="2"/>
    </row>
    <row r="111" spans="1:21" x14ac:dyDescent="0.35">
      <c r="A111" s="992" t="s">
        <v>639</v>
      </c>
      <c r="B111" s="993" t="str">
        <f>J6</f>
        <v>561-625-0333</v>
      </c>
      <c r="M111" s="2"/>
    </row>
    <row r="112" spans="1:21" x14ac:dyDescent="0.35">
      <c r="A112" s="992" t="s">
        <v>642</v>
      </c>
      <c r="B112" s="994" t="str">
        <f>J7</f>
        <v>bids@caststoneinternational.com</v>
      </c>
      <c r="C112" s="2" t="s">
        <v>80</v>
      </c>
      <c r="D112" s="2" t="s">
        <v>429</v>
      </c>
      <c r="E112" s="2" t="s">
        <v>746</v>
      </c>
      <c r="M112" s="2"/>
    </row>
    <row r="113" spans="1:13" x14ac:dyDescent="0.35">
      <c r="A113" s="995" t="s">
        <v>735</v>
      </c>
      <c r="B113" s="996">
        <f>J8-C113-D113-E113</f>
        <v>101719</v>
      </c>
      <c r="C113" s="326">
        <f>K52+K58</f>
        <v>13513</v>
      </c>
      <c r="E113" s="326">
        <f>K61+K56</f>
        <v>9350</v>
      </c>
      <c r="M113" s="2"/>
    </row>
    <row r="114" spans="1:13" x14ac:dyDescent="0.35">
      <c r="M114" s="2"/>
    </row>
    <row r="115" spans="1:13" x14ac:dyDescent="0.35">
      <c r="A115" s="81"/>
      <c r="B115" s="1" t="s">
        <v>736</v>
      </c>
      <c r="M115" s="2"/>
    </row>
    <row r="116" spans="1:13" x14ac:dyDescent="0.35">
      <c r="A116" s="82"/>
      <c r="B116" s="1" t="s">
        <v>737</v>
      </c>
      <c r="M116" s="2"/>
    </row>
  </sheetData>
  <mergeCells count="58">
    <mergeCell ref="L1:M1"/>
    <mergeCell ref="N1:O1"/>
    <mergeCell ref="J1:K1"/>
    <mergeCell ref="R1:S1"/>
    <mergeCell ref="T1:U1"/>
    <mergeCell ref="P1:Q1"/>
    <mergeCell ref="A79:B79"/>
    <mergeCell ref="A83:B83"/>
    <mergeCell ref="A87:B87"/>
    <mergeCell ref="A93:B93"/>
    <mergeCell ref="A97:B97"/>
    <mergeCell ref="H7:I7"/>
    <mergeCell ref="L7:M7"/>
    <mergeCell ref="J7:K7"/>
    <mergeCell ref="P7:Q7"/>
    <mergeCell ref="H8:I8"/>
    <mergeCell ref="L8:M8"/>
    <mergeCell ref="J8:K8"/>
    <mergeCell ref="T7:U7"/>
    <mergeCell ref="T8:U8"/>
    <mergeCell ref="R7:S7"/>
    <mergeCell ref="R8:S8"/>
    <mergeCell ref="N7:O7"/>
    <mergeCell ref="N8:O8"/>
    <mergeCell ref="P8:Q8"/>
    <mergeCell ref="H5:I5"/>
    <mergeCell ref="L5:M5"/>
    <mergeCell ref="J5:K5"/>
    <mergeCell ref="P5:Q5"/>
    <mergeCell ref="H6:I6"/>
    <mergeCell ref="L6:M6"/>
    <mergeCell ref="J6:K6"/>
    <mergeCell ref="N5:O5"/>
    <mergeCell ref="N6:O6"/>
    <mergeCell ref="T5:U5"/>
    <mergeCell ref="T6:U6"/>
    <mergeCell ref="R5:S5"/>
    <mergeCell ref="R6:S6"/>
    <mergeCell ref="P2:Q2"/>
    <mergeCell ref="T3:U3"/>
    <mergeCell ref="T4:U4"/>
    <mergeCell ref="R3:S3"/>
    <mergeCell ref="R4:S4"/>
    <mergeCell ref="P6:Q6"/>
    <mergeCell ref="H2:I2"/>
    <mergeCell ref="L2:M2"/>
    <mergeCell ref="J2:K2"/>
    <mergeCell ref="P4:Q4"/>
    <mergeCell ref="H3:I3"/>
    <mergeCell ref="L3:M3"/>
    <mergeCell ref="J3:K3"/>
    <mergeCell ref="P3:Q3"/>
    <mergeCell ref="H4:I4"/>
    <mergeCell ref="L4:M4"/>
    <mergeCell ref="J4:K4"/>
    <mergeCell ref="N2:O2"/>
    <mergeCell ref="N3:O3"/>
    <mergeCell ref="N4:O4"/>
  </mergeCells>
  <conditionalFormatting sqref="H20:H32">
    <cfRule type="cellIs" dxfId="2761" priority="257" operator="equal">
      <formula>"X"</formula>
    </cfRule>
    <cfRule type="cellIs" dxfId="2760" priority="258" operator="equal">
      <formula>"I"</formula>
    </cfRule>
  </conditionalFormatting>
  <conditionalFormatting sqref="H34:H70">
    <cfRule type="cellIs" dxfId="2759" priority="203" operator="equal">
      <formula>"X"</formula>
    </cfRule>
    <cfRule type="cellIs" dxfId="2758" priority="204" operator="equal">
      <formula>"I"</formula>
    </cfRule>
  </conditionalFormatting>
  <conditionalFormatting sqref="H88:H89">
    <cfRule type="cellIs" dxfId="2757" priority="201" operator="equal">
      <formula>"X"</formula>
    </cfRule>
    <cfRule type="cellIs" dxfId="2756" priority="202" operator="equal">
      <formula>"I"</formula>
    </cfRule>
  </conditionalFormatting>
  <conditionalFormatting sqref="H94">
    <cfRule type="cellIs" dxfId="2755" priority="199" operator="equal">
      <formula>"X"</formula>
    </cfRule>
    <cfRule type="cellIs" dxfId="2754" priority="200" operator="equal">
      <formula>"I"</formula>
    </cfRule>
  </conditionalFormatting>
  <conditionalFormatting sqref="N20:N32">
    <cfRule type="cellIs" dxfId="2753" priority="43" operator="equal">
      <formula>"X"</formula>
    </cfRule>
    <cfRule type="cellIs" dxfId="2752" priority="44" operator="equal">
      <formula>"I"</formula>
    </cfRule>
  </conditionalFormatting>
  <conditionalFormatting sqref="N34:N70">
    <cfRule type="cellIs" dxfId="2751" priority="7" operator="equal">
      <formula>"X"</formula>
    </cfRule>
    <cfRule type="cellIs" dxfId="2750" priority="8" operator="equal">
      <formula>"I"</formula>
    </cfRule>
  </conditionalFormatting>
  <conditionalFormatting sqref="N88:N90">
    <cfRule type="cellIs" dxfId="2749" priority="39" operator="equal">
      <formula>"X"</formula>
    </cfRule>
    <cfRule type="cellIs" dxfId="2748" priority="40" operator="equal">
      <formula>"I"</formula>
    </cfRule>
  </conditionalFormatting>
  <conditionalFormatting sqref="N94">
    <cfRule type="cellIs" dxfId="2747" priority="37" operator="equal">
      <formula>"X"</formula>
    </cfRule>
    <cfRule type="cellIs" dxfId="2746" priority="38" operator="equal">
      <formula>"I"</formula>
    </cfRule>
  </conditionalFormatting>
  <conditionalFormatting sqref="L20:L32">
    <cfRule type="cellIs" dxfId="2745" priority="249" operator="equal">
      <formula>"X"</formula>
    </cfRule>
    <cfRule type="cellIs" dxfId="2744" priority="250" operator="equal">
      <formula>"I"</formula>
    </cfRule>
  </conditionalFormatting>
  <conditionalFormatting sqref="L34:L70">
    <cfRule type="cellIs" dxfId="2743" priority="29" operator="equal">
      <formula>"X"</formula>
    </cfRule>
    <cfRule type="cellIs" dxfId="2742" priority="30" operator="equal">
      <formula>"I"</formula>
    </cfRule>
  </conditionalFormatting>
  <conditionalFormatting sqref="L88:L92">
    <cfRule type="cellIs" dxfId="2741" priority="13" operator="equal">
      <formula>"X"</formula>
    </cfRule>
    <cfRule type="cellIs" dxfId="2740" priority="14" operator="equal">
      <formula>"I"</formula>
    </cfRule>
  </conditionalFormatting>
  <conditionalFormatting sqref="P20:P32">
    <cfRule type="cellIs" dxfId="2739" priority="237" operator="equal">
      <formula>"X"</formula>
    </cfRule>
    <cfRule type="cellIs" dxfId="2738" priority="238" operator="equal">
      <formula>"I"</formula>
    </cfRule>
  </conditionalFormatting>
  <conditionalFormatting sqref="P34:P70">
    <cfRule type="cellIs" dxfId="2737" priority="1" operator="equal">
      <formula>"X"</formula>
    </cfRule>
    <cfRule type="cellIs" dxfId="2736" priority="2" operator="equal">
      <formula>"I"</formula>
    </cfRule>
  </conditionalFormatting>
  <conditionalFormatting sqref="P89">
    <cfRule type="cellIs" dxfId="2735" priority="3" operator="equal">
      <formula>"X"</formula>
    </cfRule>
    <cfRule type="cellIs" dxfId="2734" priority="4" operator="equal">
      <formula>"I"</formula>
    </cfRule>
  </conditionalFormatting>
  <conditionalFormatting sqref="P92">
    <cfRule type="cellIs" dxfId="2733" priority="5" operator="equal">
      <formula>"X"</formula>
    </cfRule>
    <cfRule type="cellIs" dxfId="2732" priority="6" operator="equal">
      <formula>"I"</formula>
    </cfRule>
  </conditionalFormatting>
  <conditionalFormatting sqref="J20:J32">
    <cfRule type="cellIs" dxfId="2731" priority="241" operator="equal">
      <formula>"X"</formula>
    </cfRule>
    <cfRule type="cellIs" dxfId="2730" priority="242" operator="equal">
      <formula>"I"</formula>
    </cfRule>
  </conditionalFormatting>
  <conditionalFormatting sqref="J34:J70">
    <cfRule type="cellIs" dxfId="2729" priority="9" operator="equal">
      <formula>"X"</formula>
    </cfRule>
    <cfRule type="cellIs" dxfId="2728" priority="10" operator="equal">
      <formula>"I"</formula>
    </cfRule>
  </conditionalFormatting>
  <conditionalFormatting sqref="J88:J90">
    <cfRule type="cellIs" dxfId="2727" priority="17" operator="equal">
      <formula>"X"</formula>
    </cfRule>
    <cfRule type="cellIs" dxfId="2726" priority="18" operator="equal">
      <formula>"I"</formula>
    </cfRule>
  </conditionalFormatting>
  <conditionalFormatting sqref="R23:R31">
    <cfRule type="cellIs" dxfId="2725" priority="159" operator="equal">
      <formula>"X"</formula>
    </cfRule>
    <cfRule type="cellIs" dxfId="2724" priority="160" operator="equal">
      <formula>"I"</formula>
    </cfRule>
  </conditionalFormatting>
  <conditionalFormatting sqref="R35:R43">
    <cfRule type="cellIs" dxfId="2723" priority="87" operator="equal">
      <formula>"X"</formula>
    </cfRule>
    <cfRule type="cellIs" dxfId="2722" priority="88" operator="equal">
      <formula>"I"</formula>
    </cfRule>
  </conditionalFormatting>
  <conditionalFormatting sqref="R45:R53">
    <cfRule type="cellIs" dxfId="2721" priority="47" operator="equal">
      <formula>"X"</formula>
    </cfRule>
    <cfRule type="cellIs" dxfId="2720" priority="48" operator="equal">
      <formula>"I"</formula>
    </cfRule>
  </conditionalFormatting>
  <conditionalFormatting sqref="R55:R58">
    <cfRule type="cellIs" dxfId="2719" priority="33" operator="equal">
      <formula>"X"</formula>
    </cfRule>
    <cfRule type="cellIs" dxfId="2718" priority="34" operator="equal">
      <formula>"I"</formula>
    </cfRule>
  </conditionalFormatting>
  <conditionalFormatting sqref="R60:R61">
    <cfRule type="cellIs" dxfId="2717" priority="73" operator="equal">
      <formula>"X"</formula>
    </cfRule>
    <cfRule type="cellIs" dxfId="2716" priority="74" operator="equal">
      <formula>"I"</formula>
    </cfRule>
  </conditionalFormatting>
  <conditionalFormatting sqref="R63:R69">
    <cfRule type="cellIs" dxfId="2715" priority="25" operator="equal">
      <formula>"X"</formula>
    </cfRule>
    <cfRule type="cellIs" dxfId="2714" priority="26" operator="equal">
      <formula>"I"</formula>
    </cfRule>
  </conditionalFormatting>
  <conditionalFormatting sqref="R88">
    <cfRule type="cellIs" dxfId="2713" priority="71" operator="equal">
      <formula>"X"</formula>
    </cfRule>
    <cfRule type="cellIs" dxfId="2712" priority="72" operator="equal">
      <formula>"I"</formula>
    </cfRule>
  </conditionalFormatting>
  <conditionalFormatting sqref="T23:T31">
    <cfRule type="cellIs" dxfId="2711" priority="175" operator="equal">
      <formula>"X"</formula>
    </cfRule>
    <cfRule type="cellIs" dxfId="2710" priority="176" operator="equal">
      <formula>"I"</formula>
    </cfRule>
  </conditionalFormatting>
  <conditionalFormatting sqref="T35:T43">
    <cfRule type="cellIs" dxfId="2709" priority="179" operator="equal">
      <formula>"X"</formula>
    </cfRule>
    <cfRule type="cellIs" dxfId="2708" priority="180" operator="equal">
      <formula>"I"</formula>
    </cfRule>
  </conditionalFormatting>
  <conditionalFormatting sqref="T45:T53">
    <cfRule type="cellIs" dxfId="2707" priority="197" operator="equal">
      <formula>"X"</formula>
    </cfRule>
    <cfRule type="cellIs" dxfId="2706" priority="198" operator="equal">
      <formula>"I"</formula>
    </cfRule>
  </conditionalFormatting>
  <conditionalFormatting sqref="T55:T58">
    <cfRule type="cellIs" dxfId="2705" priority="11" operator="equal">
      <formula>"X"</formula>
    </cfRule>
    <cfRule type="cellIs" dxfId="2704" priority="12" operator="equal">
      <formula>"I"</formula>
    </cfRule>
  </conditionalFormatting>
  <conditionalFormatting sqref="T60:T61">
    <cfRule type="cellIs" dxfId="2703" priority="173" operator="equal">
      <formula>"X"</formula>
    </cfRule>
    <cfRule type="cellIs" dxfId="2702" priority="174" operator="equal">
      <formula>"I"</formula>
    </cfRule>
  </conditionalFormatting>
  <conditionalFormatting sqref="T63:T69">
    <cfRule type="cellIs" dxfId="2701" priority="23" operator="equal">
      <formula>"X"</formula>
    </cfRule>
    <cfRule type="cellIs" dxfId="2700" priority="24" operator="equal">
      <formula>"I"</formula>
    </cfRule>
  </conditionalFormatting>
  <hyperlinks>
    <hyperlink ref="B3" location="'Cost Summary'!A1" display="BACK TO SUMMARY SHEET" xr:uid="{67A803A2-69A8-4045-BB3D-10C59AA57433}"/>
    <hyperlink ref="L7:M7" r:id="rId1" display="steven.flstone@gmail.com" xr:uid="{E127938E-4943-439A-AE6E-E524BF0C64AF}"/>
    <hyperlink ref="J7:K7" r:id="rId2" display="bids@caststoneinternational.com" xr:uid="{0CC84335-07ED-4550-99CC-6244C8B2AF13}"/>
    <hyperlink ref="H7:I7" r:id="rId3" display="&lt;mteston@titanstone.com&gt;" xr:uid="{5FEC70C9-B796-483D-8945-DE88B728A798}"/>
    <hyperlink ref="T7:U7" r:id="rId4" display="Paul@marbon.com" xr:uid="{33B84C0B-EF95-417C-A516-C6729D72101E}"/>
    <hyperlink ref="R7" r:id="rId5" xr:uid="{BE49EE53-767B-445A-96D9-776B6F17BE52}"/>
    <hyperlink ref="P7:Q7" r:id="rId6" display="wily@libertycastingstone.com " xr:uid="{E2F017A0-7A15-46FD-A293-7C9A0A083905}"/>
    <hyperlink ref="N7:O7" r:id="rId7" display="&lt;mteston@titanstone.com&gt;" xr:uid="{4EE7227A-C596-4A67-B4F0-F4BDC4130CA4}"/>
  </hyperlinks>
  <pageMargins left="0.7" right="0.7" top="0.75" bottom="0.75" header="0.3" footer="0.3"/>
  <pageSetup orientation="portrait" r:id="rId8"/>
  <legacyDrawing r:id="rId9"/>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AD71-5441-4CE0-9CB9-A840E86F56F5}">
  <sheetPr>
    <tabColor rgb="FF92D050"/>
  </sheetPr>
  <dimension ref="A1:S95"/>
  <sheetViews>
    <sheetView zoomScaleNormal="100" workbookViewId="0">
      <pane xSplit="2" ySplit="9" topLeftCell="C29" activePane="bottomRight" state="frozen"/>
      <selection pane="topRight" activeCell="C1" sqref="C1"/>
      <selection pane="bottomLeft" activeCell="A10" sqref="A10"/>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3.179687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89"/>
      <c r="I2" s="3789"/>
      <c r="J2" s="3751"/>
      <c r="K2" s="3751"/>
      <c r="L2" s="3789"/>
      <c r="M2" s="3789"/>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1052</v>
      </c>
      <c r="C5" s="642"/>
      <c r="D5" s="642"/>
      <c r="E5" s="642"/>
      <c r="F5" s="642"/>
      <c r="G5" s="643" t="s">
        <v>636</v>
      </c>
      <c r="H5" s="3787"/>
      <c r="I5" s="3788"/>
      <c r="J5" s="3787"/>
      <c r="K5" s="3788"/>
      <c r="L5" s="3787"/>
      <c r="M5" s="3788"/>
      <c r="N5" s="3787"/>
      <c r="O5" s="3788"/>
      <c r="P5" s="3787"/>
      <c r="Q5" s="3788"/>
      <c r="R5" s="3787"/>
      <c r="S5" s="3788"/>
    </row>
    <row r="6" spans="1:19" x14ac:dyDescent="0.35">
      <c r="A6" s="688" t="s">
        <v>638</v>
      </c>
      <c r="B6" s="644" t="s">
        <v>466</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86"/>
      <c r="I7" s="3757"/>
      <c r="J7" s="3790"/>
      <c r="K7" s="3791"/>
      <c r="L7" s="3790"/>
      <c r="M7" s="3792"/>
      <c r="N7" s="3786"/>
      <c r="O7" s="3757"/>
      <c r="P7" s="3786"/>
      <c r="Q7" s="3757"/>
      <c r="R7" s="3786"/>
      <c r="S7" s="3757"/>
    </row>
    <row r="8" spans="1:19" ht="15" thickBot="1" x14ac:dyDescent="0.4">
      <c r="A8" s="938" t="s">
        <v>644</v>
      </c>
      <c r="B8" s="939"/>
      <c r="C8" s="940"/>
      <c r="D8" s="940"/>
      <c r="E8" s="940"/>
      <c r="F8" s="940"/>
      <c r="G8" s="1024" t="s">
        <v>644</v>
      </c>
      <c r="H8" s="3760">
        <f>I56</f>
        <v>0</v>
      </c>
      <c r="I8" s="3761"/>
      <c r="J8" s="3760">
        <f>K56</f>
        <v>0</v>
      </c>
      <c r="K8" s="3761"/>
      <c r="L8" s="3760">
        <f>M56</f>
        <v>0</v>
      </c>
      <c r="M8" s="3761"/>
      <c r="N8" s="3760">
        <f>O56</f>
        <v>0</v>
      </c>
      <c r="O8" s="3761"/>
      <c r="P8" s="3760">
        <f>Q56</f>
        <v>0</v>
      </c>
      <c r="Q8" s="3761"/>
      <c r="R8" s="3760">
        <f>S56</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997"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thickTop="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thickTop="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998"/>
      <c r="B21" s="648" t="s">
        <v>1052</v>
      </c>
      <c r="C21" s="1233"/>
      <c r="D21" s="642"/>
      <c r="E21" s="642"/>
      <c r="F21" s="642"/>
      <c r="G21" s="646"/>
      <c r="H21" s="943"/>
      <c r="I21" s="1000"/>
      <c r="J21" s="943"/>
      <c r="K21" s="1000"/>
      <c r="L21" s="943"/>
      <c r="M21" s="1000"/>
      <c r="N21" s="943"/>
      <c r="O21" s="1213"/>
      <c r="P21" s="943"/>
      <c r="Q21" s="1000"/>
      <c r="R21" s="943"/>
      <c r="S21" s="1000"/>
    </row>
    <row r="22" spans="1:19" ht="15" thickBot="1" x14ac:dyDescent="0.4">
      <c r="A22" s="998"/>
      <c r="B22" s="604" t="s">
        <v>657</v>
      </c>
      <c r="C22" s="1233"/>
      <c r="D22" s="642"/>
      <c r="E22" s="642"/>
      <c r="F22" s="642"/>
      <c r="G22" s="646"/>
      <c r="H22" s="943"/>
      <c r="I22" s="1000"/>
      <c r="J22" s="943"/>
      <c r="K22" s="1000"/>
      <c r="L22" s="943"/>
      <c r="M22" s="1000"/>
      <c r="N22" s="943"/>
      <c r="O22" s="1000"/>
      <c r="P22" s="943"/>
      <c r="Q22" s="1000"/>
      <c r="R22" s="943"/>
      <c r="S22" s="1000"/>
    </row>
    <row r="23" spans="1:19" x14ac:dyDescent="0.35">
      <c r="A23" s="998"/>
      <c r="B23" s="607" t="s">
        <v>658</v>
      </c>
      <c r="C23" s="647"/>
      <c r="D23" s="642"/>
      <c r="E23" s="642"/>
      <c r="F23" s="642"/>
      <c r="G23" s="646"/>
      <c r="H23" s="943"/>
      <c r="I23" s="1000"/>
      <c r="J23" s="943"/>
      <c r="K23" s="1000"/>
      <c r="L23" s="943"/>
      <c r="M23" s="1000"/>
      <c r="N23" s="943"/>
      <c r="O23" s="1000"/>
      <c r="P23" s="943"/>
      <c r="Q23" s="999"/>
      <c r="R23" s="943"/>
      <c r="S23" s="999"/>
    </row>
    <row r="24" spans="1:19" x14ac:dyDescent="0.35">
      <c r="A24" s="683"/>
      <c r="B24" s="948" t="s">
        <v>659</v>
      </c>
      <c r="C24" s="642"/>
      <c r="D24" s="642"/>
      <c r="E24" s="642"/>
      <c r="F24" s="642"/>
      <c r="G24" s="646"/>
      <c r="H24" s="943"/>
      <c r="I24" s="999"/>
      <c r="J24" s="943"/>
      <c r="K24" s="999"/>
      <c r="L24" s="943"/>
      <c r="M24" s="999"/>
      <c r="N24" s="943"/>
      <c r="O24" s="1000"/>
      <c r="P24" s="943"/>
      <c r="Q24" s="999"/>
      <c r="R24" s="943"/>
      <c r="S24" s="999"/>
    </row>
    <row r="25" spans="1:19" x14ac:dyDescent="0.35">
      <c r="A25" s="998"/>
      <c r="B25" s="949" t="s">
        <v>660</v>
      </c>
      <c r="C25" s="642"/>
      <c r="D25" s="642"/>
      <c r="E25" s="642"/>
      <c r="F25" s="642"/>
      <c r="G25" s="646"/>
      <c r="H25" s="943"/>
      <c r="I25" s="999"/>
      <c r="J25" s="943"/>
      <c r="K25" s="999"/>
      <c r="L25" s="943"/>
      <c r="M25" s="999"/>
      <c r="N25" s="943"/>
      <c r="O25" s="1000"/>
      <c r="P25" s="943"/>
      <c r="Q25" s="999"/>
      <c r="R25" s="943"/>
      <c r="S25" s="999"/>
    </row>
    <row r="26" spans="1:19" x14ac:dyDescent="0.35">
      <c r="A26" s="683"/>
      <c r="B26" s="949" t="s">
        <v>661</v>
      </c>
      <c r="C26" s="642"/>
      <c r="D26" s="642"/>
      <c r="E26" s="642"/>
      <c r="F26" s="642"/>
      <c r="G26" s="646"/>
      <c r="H26" s="943"/>
      <c r="I26" s="999"/>
      <c r="J26" s="943"/>
      <c r="K26" s="999"/>
      <c r="L26" s="943"/>
      <c r="M26" s="999"/>
      <c r="N26" s="943"/>
      <c r="O26" s="1000"/>
      <c r="P26" s="943"/>
      <c r="Q26" s="999"/>
      <c r="R26" s="943"/>
      <c r="S26" s="999"/>
    </row>
    <row r="27" spans="1:19" x14ac:dyDescent="0.35">
      <c r="A27" s="998"/>
      <c r="B27" s="949" t="s">
        <v>662</v>
      </c>
      <c r="C27" s="642"/>
      <c r="D27" s="642"/>
      <c r="E27" s="642"/>
      <c r="F27" s="642"/>
      <c r="G27" s="646"/>
      <c r="H27" s="943"/>
      <c r="I27" s="999"/>
      <c r="J27" s="943"/>
      <c r="K27" s="999"/>
      <c r="L27" s="943"/>
      <c r="M27" s="999"/>
      <c r="N27" s="943"/>
      <c r="O27" s="1000"/>
      <c r="P27" s="943"/>
      <c r="Q27" s="999"/>
      <c r="R27" s="943"/>
      <c r="S27" s="999"/>
    </row>
    <row r="28" spans="1:19" x14ac:dyDescent="0.35">
      <c r="A28" s="998"/>
      <c r="B28" s="949" t="s">
        <v>663</v>
      </c>
      <c r="C28" s="642"/>
      <c r="D28" s="642"/>
      <c r="E28" s="642"/>
      <c r="F28" s="642"/>
      <c r="G28" s="646"/>
      <c r="H28" s="943"/>
      <c r="I28" s="999"/>
      <c r="J28" s="943"/>
      <c r="K28" s="999"/>
      <c r="L28" s="943"/>
      <c r="M28" s="999"/>
      <c r="N28" s="943"/>
      <c r="O28" s="1000"/>
      <c r="P28" s="943"/>
      <c r="Q28" s="999"/>
      <c r="R28" s="943"/>
      <c r="S28" s="999"/>
    </row>
    <row r="29" spans="1:19" x14ac:dyDescent="0.35">
      <c r="A29" s="998"/>
      <c r="B29" s="949" t="s">
        <v>742</v>
      </c>
      <c r="C29" s="642"/>
      <c r="D29" s="642"/>
      <c r="E29" s="642"/>
      <c r="F29" s="642"/>
      <c r="G29" s="646"/>
      <c r="H29" s="943"/>
      <c r="I29" s="999"/>
      <c r="J29" s="943"/>
      <c r="K29" s="999"/>
      <c r="L29" s="943"/>
      <c r="M29" s="999"/>
      <c r="N29" s="943"/>
      <c r="O29" s="1000"/>
      <c r="P29" s="943"/>
      <c r="Q29" s="999"/>
      <c r="R29" s="943"/>
      <c r="S29" s="999"/>
    </row>
    <row r="30" spans="1:19" x14ac:dyDescent="0.35">
      <c r="A30" s="998"/>
      <c r="B30" s="950" t="s">
        <v>664</v>
      </c>
      <c r="C30" s="642"/>
      <c r="D30" s="642"/>
      <c r="E30" s="642"/>
      <c r="F30" s="642"/>
      <c r="G30" s="646"/>
      <c r="H30" s="943"/>
      <c r="I30" s="999"/>
      <c r="J30" s="943"/>
      <c r="K30" s="999"/>
      <c r="L30" s="943"/>
      <c r="M30" s="999"/>
      <c r="N30" s="943"/>
      <c r="O30" s="1000"/>
      <c r="P30" s="943"/>
      <c r="Q30" s="999"/>
      <c r="R30" s="943"/>
      <c r="S30" s="999"/>
    </row>
    <row r="31" spans="1:19" x14ac:dyDescent="0.35">
      <c r="A31" s="998"/>
      <c r="B31" s="951" t="s">
        <v>665</v>
      </c>
      <c r="C31" s="650"/>
      <c r="D31" s="650"/>
      <c r="E31" s="650"/>
      <c r="F31" s="650"/>
      <c r="G31" s="952"/>
      <c r="H31" s="636"/>
      <c r="I31" s="1234"/>
      <c r="J31" s="636"/>
      <c r="K31" s="1234"/>
      <c r="L31" s="636"/>
      <c r="M31" s="1234"/>
      <c r="N31" s="636"/>
      <c r="O31" s="954"/>
      <c r="P31" s="636"/>
      <c r="Q31" s="1234"/>
      <c r="R31" s="636"/>
      <c r="S31" s="1234"/>
    </row>
    <row r="32" spans="1:19" x14ac:dyDescent="0.35">
      <c r="A32" s="998"/>
      <c r="B32" s="1235" t="s">
        <v>874</v>
      </c>
      <c r="C32" s="642"/>
      <c r="D32" s="642"/>
      <c r="E32" s="642"/>
      <c r="F32" s="642"/>
      <c r="G32" s="646"/>
      <c r="H32" s="943"/>
      <c r="I32" s="999"/>
      <c r="J32" s="943"/>
      <c r="K32" s="999"/>
      <c r="L32" s="943"/>
      <c r="M32" s="999"/>
      <c r="N32" s="943"/>
      <c r="O32" s="1000"/>
      <c r="P32" s="943"/>
      <c r="Q32" s="999"/>
      <c r="R32" s="943"/>
      <c r="S32" s="999"/>
    </row>
    <row r="33" spans="1:19" x14ac:dyDescent="0.35">
      <c r="A33" s="998"/>
      <c r="B33" s="1236" t="s">
        <v>191</v>
      </c>
      <c r="C33" s="642"/>
      <c r="D33" s="642"/>
      <c r="E33" s="642"/>
      <c r="F33" s="642"/>
      <c r="G33" s="646"/>
      <c r="H33" s="943"/>
      <c r="I33" s="999"/>
      <c r="J33" s="943"/>
      <c r="K33" s="999"/>
      <c r="L33" s="943"/>
      <c r="M33" s="999"/>
      <c r="N33" s="943"/>
      <c r="O33" s="1000"/>
      <c r="P33" s="943"/>
      <c r="Q33" s="999"/>
      <c r="R33" s="943"/>
      <c r="S33" s="999"/>
    </row>
    <row r="34" spans="1:19" x14ac:dyDescent="0.35">
      <c r="A34" s="998"/>
      <c r="B34" s="1235" t="s">
        <v>1053</v>
      </c>
      <c r="C34" s="642"/>
      <c r="D34" s="642"/>
      <c r="E34" s="642"/>
      <c r="F34" s="642"/>
      <c r="G34" s="646"/>
      <c r="H34" s="943"/>
      <c r="I34" s="999"/>
      <c r="J34" s="943"/>
      <c r="K34" s="999"/>
      <c r="L34" s="943"/>
      <c r="M34" s="999"/>
      <c r="N34" s="943"/>
      <c r="O34" s="1000"/>
      <c r="P34" s="943"/>
      <c r="Q34" s="999"/>
      <c r="R34" s="943"/>
      <c r="S34" s="999"/>
    </row>
    <row r="35" spans="1:19" x14ac:dyDescent="0.35">
      <c r="A35" s="998"/>
      <c r="B35" s="1237" t="s">
        <v>1054</v>
      </c>
      <c r="C35" s="642"/>
      <c r="D35" s="642"/>
      <c r="E35" s="642"/>
      <c r="F35" s="642"/>
      <c r="G35" s="646"/>
      <c r="H35" s="943"/>
      <c r="I35" s="999"/>
      <c r="J35" s="943"/>
      <c r="K35" s="999"/>
      <c r="L35" s="943"/>
      <c r="M35" s="999"/>
      <c r="N35" s="943"/>
      <c r="O35" s="1000"/>
      <c r="P35" s="943"/>
      <c r="Q35" s="999"/>
      <c r="R35" s="943"/>
      <c r="S35" s="999"/>
    </row>
    <row r="36" spans="1:19" x14ac:dyDescent="0.35">
      <c r="A36" s="998"/>
      <c r="B36" s="1238" t="s">
        <v>1055</v>
      </c>
      <c r="C36" s="642"/>
      <c r="D36" s="642"/>
      <c r="E36" s="642"/>
      <c r="F36" s="642"/>
      <c r="G36" s="646"/>
      <c r="H36" s="943"/>
      <c r="I36" s="999"/>
      <c r="J36" s="943"/>
      <c r="K36" s="999"/>
      <c r="L36" s="943"/>
      <c r="M36" s="999"/>
      <c r="N36" s="943"/>
      <c r="O36" s="1000"/>
      <c r="P36" s="943"/>
      <c r="Q36" s="999"/>
      <c r="R36" s="943"/>
      <c r="S36" s="999"/>
    </row>
    <row r="37" spans="1:19" x14ac:dyDescent="0.35">
      <c r="A37" s="998"/>
      <c r="B37" s="1238" t="s">
        <v>1056</v>
      </c>
      <c r="C37" s="642"/>
      <c r="D37" s="642"/>
      <c r="E37" s="642"/>
      <c r="F37" s="642"/>
      <c r="G37" s="646"/>
      <c r="H37" s="943"/>
      <c r="I37" s="999"/>
      <c r="J37" s="943"/>
      <c r="K37" s="999"/>
      <c r="L37" s="943"/>
      <c r="M37" s="999"/>
      <c r="N37" s="943"/>
      <c r="O37" s="1000"/>
      <c r="P37" s="943"/>
      <c r="Q37" s="999"/>
      <c r="R37" s="943"/>
      <c r="S37" s="999"/>
    </row>
    <row r="38" spans="1:19" x14ac:dyDescent="0.35">
      <c r="A38" s="998"/>
      <c r="B38" s="1237" t="s">
        <v>1057</v>
      </c>
      <c r="C38" s="642"/>
      <c r="D38" s="642"/>
      <c r="E38" s="642"/>
      <c r="F38" s="642"/>
      <c r="G38" s="646"/>
      <c r="H38" s="943"/>
      <c r="I38" s="999"/>
      <c r="J38" s="943"/>
      <c r="K38" s="999"/>
      <c r="L38" s="943"/>
      <c r="M38" s="999"/>
      <c r="N38" s="943"/>
      <c r="O38" s="1000"/>
      <c r="P38" s="943"/>
      <c r="Q38" s="999"/>
      <c r="R38" s="943"/>
      <c r="S38" s="999"/>
    </row>
    <row r="39" spans="1:19" x14ac:dyDescent="0.35">
      <c r="A39" s="998"/>
      <c r="B39" s="1238" t="s">
        <v>1058</v>
      </c>
      <c r="C39" s="642"/>
      <c r="D39" s="642"/>
      <c r="E39" s="642"/>
      <c r="F39" s="642"/>
      <c r="G39" s="646"/>
      <c r="H39" s="943"/>
      <c r="I39" s="999"/>
      <c r="J39" s="943"/>
      <c r="K39" s="999"/>
      <c r="L39" s="943"/>
      <c r="M39" s="999"/>
      <c r="N39" s="943"/>
      <c r="O39" s="1000"/>
      <c r="P39" s="943"/>
      <c r="Q39" s="999"/>
      <c r="R39" s="943"/>
      <c r="S39" s="999"/>
    </row>
    <row r="40" spans="1:19" x14ac:dyDescent="0.35">
      <c r="A40" s="998"/>
      <c r="B40" s="1238" t="s">
        <v>1059</v>
      </c>
      <c r="C40" s="642"/>
      <c r="D40" s="642"/>
      <c r="E40" s="642"/>
      <c r="F40" s="642"/>
      <c r="G40" s="646"/>
      <c r="H40" s="943"/>
      <c r="I40" s="999"/>
      <c r="J40" s="943"/>
      <c r="K40" s="999"/>
      <c r="L40" s="943"/>
      <c r="M40" s="999"/>
      <c r="N40" s="943"/>
      <c r="O40" s="1000"/>
      <c r="P40" s="943"/>
      <c r="Q40" s="999"/>
      <c r="R40" s="943"/>
      <c r="S40" s="999"/>
    </row>
    <row r="41" spans="1:19" x14ac:dyDescent="0.35">
      <c r="A41" s="998"/>
      <c r="B41" s="1238"/>
      <c r="C41" s="642"/>
      <c r="D41" s="642"/>
      <c r="E41" s="642"/>
      <c r="F41" s="642"/>
      <c r="G41" s="646"/>
      <c r="H41" s="943"/>
      <c r="I41" s="999"/>
      <c r="J41" s="943"/>
      <c r="K41" s="999"/>
      <c r="L41" s="943"/>
      <c r="M41" s="999"/>
      <c r="N41" s="943"/>
      <c r="O41" s="1000"/>
      <c r="P41" s="943"/>
      <c r="Q41" s="999"/>
      <c r="R41" s="943"/>
      <c r="S41" s="999"/>
    </row>
    <row r="42" spans="1:19" x14ac:dyDescent="0.35">
      <c r="A42" s="998"/>
      <c r="B42" s="1238"/>
      <c r="C42" s="642"/>
      <c r="D42" s="642"/>
      <c r="E42" s="642"/>
      <c r="F42" s="642"/>
      <c r="G42" s="646"/>
      <c r="H42" s="943"/>
      <c r="I42" s="999"/>
      <c r="J42" s="943"/>
      <c r="K42" s="999"/>
      <c r="L42" s="943"/>
      <c r="M42" s="999"/>
      <c r="N42" s="943"/>
      <c r="O42" s="1000"/>
      <c r="P42" s="943"/>
      <c r="Q42" s="999"/>
      <c r="R42" s="943"/>
      <c r="S42" s="999"/>
    </row>
    <row r="43" spans="1:19" x14ac:dyDescent="0.35">
      <c r="A43" s="998"/>
      <c r="B43" s="1238"/>
      <c r="C43" s="642"/>
      <c r="D43" s="642"/>
      <c r="E43" s="642"/>
      <c r="F43" s="642"/>
      <c r="G43" s="646"/>
      <c r="H43" s="943"/>
      <c r="I43" s="999"/>
      <c r="J43" s="943"/>
      <c r="K43" s="999"/>
      <c r="L43" s="943"/>
      <c r="M43" s="999"/>
      <c r="N43" s="943"/>
      <c r="O43" s="1000"/>
      <c r="P43" s="943"/>
      <c r="Q43" s="999"/>
      <c r="R43" s="943"/>
      <c r="S43" s="999"/>
    </row>
    <row r="44" spans="1:19" x14ac:dyDescent="0.35">
      <c r="A44" s="998"/>
      <c r="B44" s="1238"/>
      <c r="C44" s="642"/>
      <c r="D44" s="642"/>
      <c r="E44" s="642"/>
      <c r="F44" s="642"/>
      <c r="G44" s="646"/>
      <c r="H44" s="943" t="s">
        <v>671</v>
      </c>
      <c r="I44" s="999"/>
      <c r="J44" s="943"/>
      <c r="K44" s="999"/>
      <c r="L44" s="943"/>
      <c r="M44" s="999"/>
      <c r="N44" s="943"/>
      <c r="O44" s="1000"/>
      <c r="P44" s="943"/>
      <c r="Q44" s="999"/>
      <c r="R44" s="943"/>
      <c r="S44" s="999"/>
    </row>
    <row r="45" spans="1:19" x14ac:dyDescent="0.35">
      <c r="A45" s="998"/>
      <c r="B45" s="1238"/>
      <c r="C45" s="642"/>
      <c r="D45" s="642"/>
      <c r="E45" s="642"/>
      <c r="F45" s="642"/>
      <c r="G45" s="646"/>
      <c r="H45" s="943"/>
      <c r="I45" s="999"/>
      <c r="J45" s="943"/>
      <c r="K45" s="999"/>
      <c r="L45" s="943"/>
      <c r="M45" s="999"/>
      <c r="N45" s="943"/>
      <c r="O45" s="1000"/>
      <c r="P45" s="943"/>
      <c r="Q45" s="999"/>
      <c r="R45" s="943"/>
      <c r="S45" s="999"/>
    </row>
    <row r="46" spans="1:19" x14ac:dyDescent="0.35">
      <c r="A46" s="998"/>
      <c r="B46" s="1238"/>
      <c r="C46" s="642"/>
      <c r="D46" s="642"/>
      <c r="E46" s="642"/>
      <c r="F46" s="642"/>
      <c r="G46" s="646"/>
      <c r="H46" s="943"/>
      <c r="I46" s="999"/>
      <c r="J46" s="943"/>
      <c r="K46" s="999"/>
      <c r="L46" s="943"/>
      <c r="M46" s="999"/>
      <c r="N46" s="943"/>
      <c r="O46" s="1000"/>
      <c r="P46" s="943"/>
      <c r="Q46" s="999"/>
      <c r="R46" s="943"/>
      <c r="S46" s="999"/>
    </row>
    <row r="47" spans="1:19" x14ac:dyDescent="0.35">
      <c r="A47" s="998"/>
      <c r="B47" s="1238"/>
      <c r="C47" s="642"/>
      <c r="D47" s="642"/>
      <c r="E47" s="642"/>
      <c r="F47" s="642"/>
      <c r="G47" s="646"/>
      <c r="H47" s="943"/>
      <c r="I47" s="999"/>
      <c r="J47" s="943"/>
      <c r="K47" s="999"/>
      <c r="L47" s="943"/>
      <c r="M47" s="999"/>
      <c r="N47" s="943"/>
      <c r="O47" s="1000"/>
      <c r="P47" s="943"/>
      <c r="Q47" s="999"/>
      <c r="R47" s="943"/>
      <c r="S47" s="999"/>
    </row>
    <row r="48" spans="1:19" x14ac:dyDescent="0.35">
      <c r="A48" s="998"/>
      <c r="B48" s="1238"/>
      <c r="C48" s="642"/>
      <c r="D48" s="642"/>
      <c r="E48" s="642"/>
      <c r="F48" s="642"/>
      <c r="G48" s="646"/>
      <c r="H48" s="943"/>
      <c r="I48" s="999"/>
      <c r="J48" s="943"/>
      <c r="K48" s="999"/>
      <c r="L48" s="943"/>
      <c r="M48" s="999"/>
      <c r="N48" s="943"/>
      <c r="O48" s="1000"/>
      <c r="P48" s="943"/>
      <c r="Q48" s="999"/>
      <c r="R48" s="943"/>
      <c r="S48" s="999"/>
    </row>
    <row r="49" spans="1:19" x14ac:dyDescent="0.35">
      <c r="A49" s="998"/>
      <c r="B49" s="1238"/>
      <c r="C49" s="642"/>
      <c r="D49" s="642"/>
      <c r="E49" s="642"/>
      <c r="F49" s="642"/>
      <c r="G49" s="646"/>
      <c r="H49" s="943"/>
      <c r="I49" s="999"/>
      <c r="J49" s="943"/>
      <c r="K49" s="1000"/>
      <c r="L49" s="943"/>
      <c r="M49" s="999"/>
      <c r="N49" s="943"/>
      <c r="O49" s="1000"/>
      <c r="P49" s="943"/>
      <c r="Q49" s="999"/>
      <c r="R49" s="943"/>
      <c r="S49" s="999"/>
    </row>
    <row r="50" spans="1:19" x14ac:dyDescent="0.35">
      <c r="A50" s="683"/>
      <c r="B50" s="1238"/>
      <c r="C50" s="642"/>
      <c r="D50" s="642"/>
      <c r="E50" s="642"/>
      <c r="F50" s="642"/>
      <c r="G50" s="646"/>
      <c r="H50" s="943"/>
      <c r="I50" s="1239"/>
      <c r="J50" s="943"/>
      <c r="K50" s="999"/>
      <c r="L50" s="943"/>
      <c r="M50" s="999"/>
      <c r="N50" s="943"/>
      <c r="O50" s="999"/>
      <c r="P50" s="943"/>
      <c r="Q50" s="999"/>
      <c r="R50" s="943"/>
      <c r="S50" s="999"/>
    </row>
    <row r="51" spans="1:19" ht="15" thickBot="1" x14ac:dyDescent="0.4">
      <c r="A51" s="683"/>
      <c r="B51" s="1238"/>
      <c r="C51" s="940"/>
      <c r="D51" s="940"/>
      <c r="E51" s="940"/>
      <c r="F51" s="940"/>
      <c r="G51" s="1039"/>
      <c r="H51" s="943"/>
      <c r="I51" s="1239"/>
      <c r="J51" s="943"/>
      <c r="K51" s="999"/>
      <c r="L51" s="943"/>
      <c r="M51" s="999"/>
      <c r="N51" s="943"/>
      <c r="O51" s="1000"/>
      <c r="P51" s="943"/>
      <c r="Q51" s="1000"/>
      <c r="R51" s="943"/>
      <c r="S51" s="1000"/>
    </row>
    <row r="52" spans="1:19" ht="15" thickTop="1" x14ac:dyDescent="0.35">
      <c r="A52" s="14"/>
      <c r="B52" s="15"/>
      <c r="C52" s="16"/>
      <c r="D52" s="16"/>
      <c r="E52" s="17"/>
      <c r="F52" s="18" t="s">
        <v>715</v>
      </c>
      <c r="G52" s="19"/>
      <c r="H52" s="20"/>
      <c r="I52" s="50">
        <f>SUM(I23:I51)</f>
        <v>0</v>
      </c>
      <c r="J52" s="20"/>
      <c r="K52" s="50">
        <f>SUM(K23:K51)</f>
        <v>0</v>
      </c>
      <c r="L52" s="20"/>
      <c r="M52" s="50">
        <f>SUM(M23:M51)</f>
        <v>0</v>
      </c>
      <c r="N52" s="20"/>
      <c r="O52" s="50">
        <f>SUM(O23:O51)</f>
        <v>0</v>
      </c>
      <c r="P52" s="20"/>
      <c r="Q52" s="50">
        <f>SUM(Q23:Q51)</f>
        <v>0</v>
      </c>
      <c r="R52" s="20"/>
      <c r="S52" s="50">
        <f>SUM(S23:S51)</f>
        <v>0</v>
      </c>
    </row>
    <row r="53" spans="1:19" x14ac:dyDescent="0.35">
      <c r="A53" s="684"/>
      <c r="B53" s="655"/>
      <c r="C53" s="656"/>
      <c r="D53" s="656"/>
      <c r="E53" s="657"/>
      <c r="F53" s="658" t="s">
        <v>716</v>
      </c>
      <c r="G53" s="659"/>
      <c r="H53" s="959">
        <v>0</v>
      </c>
      <c r="I53" s="1121"/>
      <c r="J53" s="959">
        <v>0</v>
      </c>
      <c r="K53" s="1121"/>
      <c r="L53" s="959">
        <v>0</v>
      </c>
      <c r="M53" s="1121"/>
      <c r="N53" s="959">
        <v>0</v>
      </c>
      <c r="O53" s="1121"/>
      <c r="P53" s="959">
        <v>0</v>
      </c>
      <c r="Q53" s="1121"/>
      <c r="R53" s="959">
        <v>0</v>
      </c>
      <c r="S53" s="1121"/>
    </row>
    <row r="54" spans="1:19" x14ac:dyDescent="0.35">
      <c r="A54" s="684"/>
      <c r="B54" s="655"/>
      <c r="C54" s="656"/>
      <c r="D54" s="656"/>
      <c r="E54" s="657"/>
      <c r="F54" s="658" t="s">
        <v>717</v>
      </c>
      <c r="G54" s="659"/>
      <c r="H54" s="961"/>
      <c r="I54" s="1122">
        <f>H53*$I$52</f>
        <v>0</v>
      </c>
      <c r="J54" s="961"/>
      <c r="K54" s="1122">
        <f>J53*$I$52</f>
        <v>0</v>
      </c>
      <c r="L54" s="961"/>
      <c r="M54" s="1122">
        <f>L53*$I$52</f>
        <v>0</v>
      </c>
      <c r="N54" s="961"/>
      <c r="O54" s="1122">
        <f>N53*$I$52</f>
        <v>0</v>
      </c>
      <c r="P54" s="961"/>
      <c r="Q54" s="1122">
        <f>P53*$I$52</f>
        <v>0</v>
      </c>
      <c r="R54" s="961"/>
      <c r="S54" s="1122">
        <f>R53*$I$52</f>
        <v>0</v>
      </c>
    </row>
    <row r="55" spans="1:19" x14ac:dyDescent="0.35">
      <c r="A55" s="684"/>
      <c r="B55" s="655"/>
      <c r="C55" s="656"/>
      <c r="D55" s="656"/>
      <c r="E55" s="657"/>
      <c r="F55" s="658"/>
      <c r="G55" s="659"/>
      <c r="H55" s="961"/>
      <c r="I55" s="963"/>
      <c r="J55" s="961"/>
      <c r="K55" s="963"/>
      <c r="L55" s="961"/>
      <c r="M55" s="963"/>
      <c r="N55" s="961"/>
      <c r="O55" s="963"/>
      <c r="P55" s="961"/>
      <c r="Q55" s="963"/>
      <c r="R55" s="961"/>
      <c r="S55" s="963"/>
    </row>
    <row r="56" spans="1:19" x14ac:dyDescent="0.35">
      <c r="A56" s="684"/>
      <c r="B56" s="655"/>
      <c r="C56" s="656"/>
      <c r="D56" s="656"/>
      <c r="E56" s="657"/>
      <c r="F56" s="658" t="s">
        <v>718</v>
      </c>
      <c r="G56" s="659"/>
      <c r="H56" s="964"/>
      <c r="I56" s="962">
        <f>SUM(I52:I54)</f>
        <v>0</v>
      </c>
      <c r="J56" s="964"/>
      <c r="K56" s="962">
        <f>SUM(K52:K54)</f>
        <v>0</v>
      </c>
      <c r="L56" s="964"/>
      <c r="M56" s="962">
        <f>SUM(M52:M54)</f>
        <v>0</v>
      </c>
      <c r="N56" s="964"/>
      <c r="O56" s="962">
        <f>SUM(O52:O54)</f>
        <v>0</v>
      </c>
      <c r="P56" s="964"/>
      <c r="Q56" s="962">
        <f>SUM(Q52:Q54)</f>
        <v>0</v>
      </c>
      <c r="R56" s="964"/>
      <c r="S56" s="962">
        <f>SUM(S52:S54)</f>
        <v>0</v>
      </c>
    </row>
    <row r="57" spans="1:19" x14ac:dyDescent="0.35">
      <c r="A57" s="684"/>
      <c r="B57" s="655"/>
      <c r="C57" s="656"/>
      <c r="D57" s="656"/>
      <c r="E57" s="657"/>
      <c r="F57" s="660" t="s">
        <v>719</v>
      </c>
      <c r="G57" s="661"/>
      <c r="H57" s="965"/>
      <c r="I57" s="966" t="e">
        <f>I56/#REF!</f>
        <v>#REF!</v>
      </c>
      <c r="J57" s="965"/>
      <c r="K57" s="966" t="e">
        <f>K56/#REF!</f>
        <v>#REF!</v>
      </c>
      <c r="L57" s="965"/>
      <c r="M57" s="966" t="e">
        <f>M56/#REF!</f>
        <v>#REF!</v>
      </c>
      <c r="N57" s="965"/>
      <c r="O57" s="966" t="e">
        <f>O56/#REF!</f>
        <v>#REF!</v>
      </c>
      <c r="P57" s="965"/>
      <c r="Q57" s="966" t="e">
        <f>Q56/#REF!</f>
        <v>#REF!</v>
      </c>
      <c r="R57" s="965"/>
      <c r="S57" s="966" t="e">
        <f>S56/#REF!</f>
        <v>#REF!</v>
      </c>
    </row>
    <row r="58" spans="1:19" x14ac:dyDescent="0.35">
      <c r="A58" s="684"/>
      <c r="B58" s="655"/>
      <c r="C58" s="656"/>
      <c r="D58" s="656"/>
      <c r="E58" s="657"/>
      <c r="F58" s="660" t="s">
        <v>720</v>
      </c>
      <c r="G58" s="662"/>
      <c r="H58" s="965"/>
      <c r="I58" s="966" t="e">
        <f>I56/#REF!</f>
        <v>#REF!</v>
      </c>
      <c r="J58" s="965"/>
      <c r="K58" s="966" t="e">
        <f>K56/#REF!</f>
        <v>#REF!</v>
      </c>
      <c r="L58" s="965"/>
      <c r="M58" s="966" t="e">
        <f>M56/#REF!</f>
        <v>#REF!</v>
      </c>
      <c r="N58" s="965"/>
      <c r="O58" s="966" t="e">
        <f>O56/#REF!</f>
        <v>#REF!</v>
      </c>
      <c r="P58" s="965"/>
      <c r="Q58" s="966" t="e">
        <f>Q56/#REF!</f>
        <v>#REF!</v>
      </c>
      <c r="R58" s="965"/>
      <c r="S58" s="966" t="e">
        <f>S56/#REF!</f>
        <v>#REF!</v>
      </c>
    </row>
    <row r="59" spans="1:19" ht="15" thickBot="1" x14ac:dyDescent="0.4">
      <c r="A59" s="684"/>
      <c r="B59" s="655"/>
      <c r="C59" s="656"/>
      <c r="D59" s="656"/>
      <c r="E59" s="657"/>
      <c r="F59" s="658"/>
      <c r="G59" s="663"/>
      <c r="H59" s="1168"/>
      <c r="I59" s="1240"/>
      <c r="J59" s="1241"/>
      <c r="K59" s="1169"/>
      <c r="L59" s="1232"/>
      <c r="M59" s="1169"/>
      <c r="N59" s="1232"/>
      <c r="O59" s="1169"/>
      <c r="P59" s="1232"/>
      <c r="Q59" s="1169"/>
      <c r="R59" s="1232"/>
      <c r="S59" s="1169"/>
    </row>
    <row r="60" spans="1:19" ht="15.5" thickTop="1" thickBot="1" x14ac:dyDescent="0.4">
      <c r="A60" s="3764" t="s">
        <v>721</v>
      </c>
      <c r="B60" s="3765"/>
      <c r="C60" s="12"/>
      <c r="D60" s="12"/>
      <c r="E60" s="12"/>
      <c r="F60" s="12"/>
      <c r="G60" s="13"/>
      <c r="H60" s="21"/>
      <c r="I60" s="21"/>
      <c r="J60" s="21"/>
      <c r="K60" s="21"/>
      <c r="L60" s="21"/>
      <c r="M60" s="21"/>
      <c r="N60" s="21"/>
      <c r="O60" s="21"/>
      <c r="P60" s="21"/>
      <c r="Q60" s="21"/>
      <c r="R60" s="21"/>
      <c r="S60" s="21"/>
    </row>
    <row r="61" spans="1:19" ht="15" thickTop="1" x14ac:dyDescent="0.35">
      <c r="A61" s="968"/>
      <c r="B61" s="641"/>
      <c r="C61" s="969"/>
      <c r="D61" s="969"/>
      <c r="E61" s="969"/>
      <c r="F61" s="969"/>
      <c r="G61" s="1242"/>
      <c r="H61" s="972"/>
      <c r="I61" s="972"/>
      <c r="J61" s="972"/>
      <c r="K61" s="972"/>
      <c r="L61" s="972"/>
      <c r="M61" s="972"/>
      <c r="N61" s="972"/>
      <c r="O61" s="972"/>
      <c r="P61" s="972"/>
      <c r="Q61" s="972"/>
      <c r="R61" s="972"/>
      <c r="S61" s="972"/>
    </row>
    <row r="62" spans="1:19" x14ac:dyDescent="0.35">
      <c r="A62" s="968"/>
      <c r="B62" s="641"/>
      <c r="C62" s="969"/>
      <c r="D62" s="969"/>
      <c r="E62" s="969"/>
      <c r="F62" s="969"/>
      <c r="G62" s="1242"/>
      <c r="H62" s="972"/>
      <c r="I62" s="972"/>
      <c r="J62" s="972"/>
      <c r="K62" s="972"/>
      <c r="L62" s="972"/>
      <c r="M62" s="972"/>
      <c r="N62" s="972"/>
      <c r="O62" s="972"/>
      <c r="P62" s="972"/>
      <c r="Q62" s="972"/>
      <c r="R62" s="972"/>
      <c r="S62" s="972"/>
    </row>
    <row r="63" spans="1:19" ht="15" thickBot="1" x14ac:dyDescent="0.4">
      <c r="A63" s="968"/>
      <c r="B63" s="641"/>
      <c r="C63" s="969"/>
      <c r="D63" s="969"/>
      <c r="E63" s="969"/>
      <c r="F63" s="969"/>
      <c r="G63" s="1242"/>
      <c r="H63" s="972"/>
      <c r="I63" s="972"/>
      <c r="J63" s="972"/>
      <c r="K63" s="972"/>
      <c r="L63" s="972"/>
      <c r="M63" s="972"/>
      <c r="N63" s="972"/>
      <c r="O63" s="972"/>
      <c r="P63" s="972"/>
      <c r="Q63" s="972"/>
      <c r="R63" s="972"/>
      <c r="S63" s="972"/>
    </row>
    <row r="64" spans="1:19" s="2" customFormat="1" ht="15.5" thickTop="1" thickBot="1" x14ac:dyDescent="0.4">
      <c r="A64" s="3764" t="s">
        <v>722</v>
      </c>
      <c r="B64" s="3765"/>
      <c r="C64" s="12"/>
      <c r="D64" s="12"/>
      <c r="E64" s="12"/>
      <c r="F64" s="12"/>
      <c r="G64" s="13"/>
      <c r="H64" s="21"/>
      <c r="I64" s="21"/>
      <c r="J64" s="21"/>
      <c r="K64" s="21"/>
      <c r="L64" s="21"/>
      <c r="M64" s="21"/>
      <c r="N64" s="21"/>
      <c r="O64" s="21"/>
      <c r="P64" s="21"/>
      <c r="Q64" s="21"/>
      <c r="R64" s="21"/>
      <c r="S64" s="21"/>
    </row>
    <row r="65" spans="1:19" s="2" customFormat="1" ht="15" thickTop="1" x14ac:dyDescent="0.35">
      <c r="A65" s="968"/>
      <c r="B65" s="641"/>
      <c r="C65" s="969"/>
      <c r="D65" s="969"/>
      <c r="E65" s="969"/>
      <c r="F65" s="969"/>
      <c r="G65" s="1242"/>
      <c r="H65" s="972"/>
      <c r="I65" s="972"/>
      <c r="J65" s="972"/>
      <c r="K65" s="972"/>
      <c r="L65" s="972"/>
      <c r="M65" s="972"/>
      <c r="N65" s="972"/>
      <c r="O65" s="972"/>
      <c r="P65" s="972"/>
      <c r="Q65" s="972"/>
      <c r="R65" s="972"/>
      <c r="S65" s="972"/>
    </row>
    <row r="66" spans="1:19" s="2" customFormat="1" x14ac:dyDescent="0.35">
      <c r="A66" s="968"/>
      <c r="B66" s="641"/>
      <c r="C66" s="969"/>
      <c r="D66" s="969"/>
      <c r="E66" s="969"/>
      <c r="F66" s="969"/>
      <c r="G66" s="1242"/>
      <c r="H66" s="972"/>
      <c r="I66" s="972"/>
      <c r="J66" s="972"/>
      <c r="K66" s="972"/>
      <c r="L66" s="972"/>
      <c r="M66" s="972"/>
      <c r="N66" s="972"/>
      <c r="O66" s="972"/>
      <c r="P66" s="972"/>
      <c r="Q66" s="972"/>
      <c r="R66" s="972"/>
      <c r="S66" s="972"/>
    </row>
    <row r="67" spans="1:19" ht="15" thickBot="1" x14ac:dyDescent="0.4">
      <c r="A67" s="968"/>
      <c r="B67" s="641"/>
      <c r="C67" s="969"/>
      <c r="D67" s="969"/>
      <c r="E67" s="969"/>
      <c r="F67" s="969"/>
      <c r="G67" s="1242"/>
      <c r="H67" s="972"/>
      <c r="I67" s="972"/>
      <c r="J67" s="972"/>
      <c r="K67" s="972"/>
      <c r="L67" s="972"/>
      <c r="M67" s="972"/>
      <c r="N67" s="972"/>
      <c r="O67" s="972"/>
      <c r="P67" s="972"/>
      <c r="Q67" s="972"/>
      <c r="R67" s="972"/>
      <c r="S67" s="972"/>
    </row>
    <row r="68" spans="1:19" s="2" customFormat="1" ht="15.5" thickTop="1" thickBot="1" x14ac:dyDescent="0.4">
      <c r="A68" s="3764" t="s">
        <v>723</v>
      </c>
      <c r="B68" s="3765"/>
      <c r="C68" s="12"/>
      <c r="D68" s="12"/>
      <c r="E68" s="12"/>
      <c r="F68" s="12"/>
      <c r="G68" s="13"/>
      <c r="H68" s="21"/>
      <c r="I68" s="21"/>
      <c r="J68" s="21"/>
      <c r="K68" s="21"/>
      <c r="L68" s="21"/>
      <c r="M68" s="21"/>
      <c r="N68" s="21"/>
      <c r="O68" s="21"/>
      <c r="P68" s="21"/>
      <c r="Q68" s="21"/>
      <c r="R68" s="21"/>
      <c r="S68" s="21"/>
    </row>
    <row r="69" spans="1:19" s="2" customFormat="1" ht="15" thickTop="1" x14ac:dyDescent="0.35">
      <c r="A69" s="968"/>
      <c r="B69" s="641"/>
      <c r="C69" s="969"/>
      <c r="D69" s="969"/>
      <c r="E69" s="969"/>
      <c r="F69" s="969"/>
      <c r="G69" s="1242"/>
      <c r="H69" s="972"/>
      <c r="I69" s="972"/>
      <c r="J69" s="972"/>
      <c r="K69" s="972"/>
      <c r="L69" s="972"/>
      <c r="M69" s="972"/>
      <c r="N69" s="972"/>
      <c r="O69" s="972"/>
      <c r="P69" s="972"/>
      <c r="Q69" s="972"/>
      <c r="R69" s="972"/>
      <c r="S69" s="972"/>
    </row>
    <row r="70" spans="1:19" s="2" customFormat="1" x14ac:dyDescent="0.35">
      <c r="A70" s="689"/>
      <c r="B70" s="641"/>
      <c r="C70" s="642"/>
      <c r="D70" s="642"/>
      <c r="E70" s="642"/>
      <c r="F70" s="642"/>
      <c r="G70" s="646"/>
      <c r="H70" s="973"/>
      <c r="I70" s="973"/>
      <c r="J70" s="973"/>
      <c r="K70" s="973"/>
      <c r="L70" s="973"/>
      <c r="M70" s="973"/>
      <c r="N70" s="973"/>
      <c r="O70" s="973"/>
      <c r="P70" s="973"/>
      <c r="Q70" s="973"/>
      <c r="R70" s="973"/>
      <c r="S70" s="973"/>
    </row>
    <row r="71" spans="1:19" s="2" customFormat="1" ht="15" thickBot="1" x14ac:dyDescent="0.4">
      <c r="A71" s="686"/>
      <c r="B71" s="665"/>
      <c r="C71" s="642"/>
      <c r="D71" s="642"/>
      <c r="E71" s="642"/>
      <c r="F71" s="642"/>
      <c r="G71" s="646"/>
      <c r="H71" s="974"/>
      <c r="I71" s="974"/>
      <c r="J71" s="974"/>
      <c r="K71" s="974"/>
      <c r="L71" s="974"/>
      <c r="M71" s="974"/>
      <c r="N71" s="974"/>
      <c r="O71" s="974"/>
      <c r="P71" s="974"/>
      <c r="Q71" s="974"/>
      <c r="R71" s="974"/>
      <c r="S71" s="974"/>
    </row>
    <row r="72" spans="1:19" s="2" customFormat="1" ht="15.5" thickTop="1" thickBot="1" x14ac:dyDescent="0.4">
      <c r="A72" s="3764" t="s">
        <v>724</v>
      </c>
      <c r="B72" s="3765"/>
      <c r="C72" s="12"/>
      <c r="D72" s="12"/>
      <c r="E72" s="12"/>
      <c r="F72" s="12"/>
      <c r="G72" s="13"/>
      <c r="H72" s="21"/>
      <c r="I72" s="21"/>
      <c r="J72" s="21"/>
      <c r="K72" s="21"/>
      <c r="L72" s="21"/>
      <c r="M72" s="21"/>
      <c r="N72" s="21"/>
      <c r="O72" s="21"/>
      <c r="P72" s="21"/>
      <c r="Q72" s="21"/>
      <c r="R72" s="21"/>
      <c r="S72" s="21"/>
    </row>
    <row r="73" spans="1:19" ht="15" thickTop="1" x14ac:dyDescent="0.35">
      <c r="A73" s="975"/>
      <c r="B73" s="976"/>
      <c r="C73" s="969"/>
      <c r="D73" s="969"/>
      <c r="E73" s="969"/>
      <c r="F73" s="969"/>
      <c r="G73" s="1242"/>
      <c r="H73" s="972"/>
      <c r="I73" s="972"/>
      <c r="J73" s="972"/>
      <c r="K73" s="972"/>
      <c r="L73" s="972"/>
      <c r="M73" s="972"/>
      <c r="N73" s="972"/>
      <c r="O73" s="972"/>
      <c r="P73" s="972"/>
      <c r="Q73" s="972"/>
      <c r="R73" s="972"/>
      <c r="S73" s="972"/>
    </row>
    <row r="74" spans="1:19" x14ac:dyDescent="0.35">
      <c r="A74" s="686"/>
      <c r="B74" s="665"/>
      <c r="C74" s="642"/>
      <c r="D74" s="642"/>
      <c r="E74" s="642"/>
      <c r="F74" s="642"/>
      <c r="G74" s="646"/>
      <c r="H74" s="977"/>
      <c r="I74" s="977"/>
      <c r="J74" s="977"/>
      <c r="K74" s="977"/>
      <c r="L74" s="977"/>
      <c r="M74" s="977"/>
      <c r="N74" s="977"/>
      <c r="O74" s="977"/>
      <c r="P74" s="977"/>
      <c r="Q74" s="977"/>
      <c r="R74" s="977"/>
      <c r="S74" s="977"/>
    </row>
    <row r="75" spans="1:19" ht="15" thickBot="1" x14ac:dyDescent="0.4">
      <c r="A75" s="686"/>
      <c r="B75" s="665"/>
      <c r="C75" s="642"/>
      <c r="D75" s="642"/>
      <c r="E75" s="642"/>
      <c r="F75" s="642"/>
      <c r="G75" s="646"/>
      <c r="H75" s="977"/>
      <c r="I75" s="977"/>
      <c r="J75" s="977"/>
      <c r="K75" s="977"/>
      <c r="L75" s="977"/>
      <c r="M75" s="977"/>
      <c r="N75" s="977"/>
      <c r="O75" s="977"/>
      <c r="P75" s="977"/>
      <c r="Q75" s="977"/>
      <c r="R75" s="977"/>
      <c r="S75" s="977"/>
    </row>
    <row r="76" spans="1:19" ht="15.5" thickTop="1" thickBot="1" x14ac:dyDescent="0.4">
      <c r="A76" s="3764" t="s">
        <v>725</v>
      </c>
      <c r="B76" s="3765"/>
      <c r="C76" s="12"/>
      <c r="D76" s="12"/>
      <c r="E76" s="12"/>
      <c r="F76" s="12"/>
      <c r="G76" s="13"/>
      <c r="H76" s="21"/>
      <c r="I76" s="21"/>
      <c r="J76" s="21"/>
      <c r="K76" s="21"/>
      <c r="L76" s="21"/>
      <c r="M76" s="21"/>
      <c r="N76" s="21"/>
      <c r="O76" s="21"/>
      <c r="P76" s="21"/>
      <c r="Q76" s="21"/>
      <c r="R76" s="21"/>
      <c r="S76" s="21"/>
    </row>
    <row r="77" spans="1:19" ht="15" thickTop="1" x14ac:dyDescent="0.35">
      <c r="A77" s="689"/>
      <c r="B77" s="641" t="s">
        <v>726</v>
      </c>
      <c r="C77" s="642"/>
      <c r="D77" s="642"/>
      <c r="E77" s="642"/>
      <c r="F77" s="642"/>
      <c r="G77" s="646"/>
      <c r="H77" s="977"/>
      <c r="I77" s="977"/>
      <c r="J77" s="977"/>
      <c r="K77" s="977"/>
      <c r="L77" s="977"/>
      <c r="M77" s="977"/>
      <c r="N77" s="977"/>
      <c r="O77" s="977"/>
      <c r="P77" s="977"/>
      <c r="Q77" s="977"/>
      <c r="R77" s="977"/>
      <c r="S77" s="977"/>
    </row>
    <row r="78" spans="1:19" x14ac:dyDescent="0.35">
      <c r="A78" s="689"/>
      <c r="B78" s="641" t="s">
        <v>727</v>
      </c>
      <c r="C78" s="642"/>
      <c r="D78" s="642"/>
      <c r="E78" s="642"/>
      <c r="F78" s="642"/>
      <c r="G78" s="646"/>
      <c r="H78" s="977"/>
      <c r="I78" s="977"/>
      <c r="J78" s="977"/>
      <c r="K78" s="977"/>
      <c r="L78" s="977"/>
      <c r="M78" s="977"/>
      <c r="N78" s="977"/>
      <c r="O78" s="977"/>
      <c r="P78" s="977"/>
      <c r="Q78" s="977"/>
      <c r="R78" s="977"/>
      <c r="S78" s="977"/>
    </row>
    <row r="79" spans="1:19" x14ac:dyDescent="0.35">
      <c r="A79" s="689"/>
      <c r="B79" s="641" t="s">
        <v>728</v>
      </c>
      <c r="C79" s="642"/>
      <c r="D79" s="642"/>
      <c r="E79" s="642"/>
      <c r="F79" s="642"/>
      <c r="G79" s="646"/>
      <c r="H79" s="977"/>
      <c r="I79" s="977"/>
      <c r="J79" s="977"/>
      <c r="K79" s="977"/>
      <c r="L79" s="977"/>
      <c r="M79" s="977"/>
      <c r="N79" s="977"/>
      <c r="O79" s="977"/>
      <c r="P79" s="977"/>
      <c r="Q79" s="977"/>
      <c r="R79" s="977"/>
      <c r="S79" s="977"/>
    </row>
    <row r="80" spans="1:19" x14ac:dyDescent="0.35">
      <c r="A80" s="689"/>
      <c r="B80" s="641" t="s">
        <v>729</v>
      </c>
      <c r="C80" s="642"/>
      <c r="D80" s="642"/>
      <c r="E80" s="642"/>
      <c r="F80" s="642"/>
      <c r="G80" s="646"/>
      <c r="H80" s="977"/>
      <c r="I80" s="977"/>
      <c r="J80" s="977"/>
      <c r="K80" s="977"/>
      <c r="L80" s="977"/>
      <c r="M80" s="977"/>
      <c r="N80" s="977"/>
      <c r="O80" s="977"/>
      <c r="P80" s="977"/>
      <c r="Q80" s="977"/>
      <c r="R80" s="977"/>
      <c r="S80" s="977"/>
    </row>
    <row r="81" spans="1:19" ht="15" thickBot="1" x14ac:dyDescent="0.4">
      <c r="A81" s="978"/>
      <c r="B81" s="939"/>
      <c r="C81" s="940"/>
      <c r="D81" s="940"/>
      <c r="E81" s="940"/>
      <c r="F81" s="940"/>
      <c r="G81" s="1039"/>
      <c r="H81" s="981"/>
      <c r="I81" s="981"/>
      <c r="J81" s="981"/>
      <c r="K81" s="981"/>
      <c r="L81" s="981"/>
      <c r="M81" s="981"/>
      <c r="N81" s="981"/>
      <c r="O81" s="981"/>
      <c r="P81" s="981"/>
      <c r="Q81" s="981"/>
      <c r="R81" s="981"/>
      <c r="S81" s="981"/>
    </row>
    <row r="82" spans="1:19" ht="15.5" thickTop="1" thickBot="1" x14ac:dyDescent="0.4">
      <c r="A82" s="7" t="s">
        <v>730</v>
      </c>
      <c r="B82" s="8"/>
      <c r="C82" s="12"/>
      <c r="D82" s="12"/>
      <c r="E82" s="12"/>
      <c r="F82" s="12"/>
      <c r="G82" s="13"/>
      <c r="H82" s="21"/>
      <c r="I82" s="21"/>
      <c r="J82" s="21"/>
      <c r="K82" s="21"/>
      <c r="L82" s="21"/>
      <c r="M82" s="21"/>
      <c r="N82" s="21"/>
      <c r="O82" s="21"/>
      <c r="P82" s="21"/>
      <c r="Q82" s="21"/>
      <c r="R82" s="21"/>
      <c r="S82" s="21"/>
    </row>
    <row r="83" spans="1:19" ht="15" thickTop="1" x14ac:dyDescent="0.35">
      <c r="A83" s="968"/>
      <c r="B83" s="982" t="s">
        <v>731</v>
      </c>
      <c r="C83" s="969"/>
      <c r="D83" s="969"/>
      <c r="E83" s="969"/>
      <c r="F83" s="969"/>
      <c r="G83" s="1242"/>
      <c r="H83" s="983"/>
      <c r="I83" s="983"/>
      <c r="J83" s="983"/>
      <c r="K83" s="983"/>
      <c r="L83" s="983"/>
      <c r="M83" s="983"/>
      <c r="N83" s="983"/>
      <c r="O83" s="983"/>
      <c r="P83" s="983"/>
      <c r="Q83" s="983"/>
      <c r="R83" s="983"/>
      <c r="S83" s="983"/>
    </row>
    <row r="84" spans="1:19" x14ac:dyDescent="0.35">
      <c r="A84" s="689"/>
      <c r="B84" s="641" t="s">
        <v>732</v>
      </c>
      <c r="C84" s="642"/>
      <c r="D84" s="642"/>
      <c r="E84" s="642"/>
      <c r="F84" s="642"/>
      <c r="G84" s="646"/>
      <c r="H84" s="984"/>
      <c r="I84" s="984"/>
      <c r="J84" s="984"/>
      <c r="K84" s="984"/>
      <c r="L84" s="984"/>
      <c r="M84" s="984"/>
      <c r="N84" s="984"/>
      <c r="O84" s="984"/>
      <c r="P84" s="984"/>
      <c r="Q84" s="984"/>
      <c r="R84" s="984"/>
      <c r="S84" s="984"/>
    </row>
    <row r="85" spans="1:19" ht="15" thickBot="1" x14ac:dyDescent="0.4">
      <c r="A85" s="985"/>
      <c r="B85" s="986" t="s">
        <v>733</v>
      </c>
      <c r="C85" s="987"/>
      <c r="D85" s="987"/>
      <c r="E85" s="987"/>
      <c r="F85" s="987"/>
      <c r="G85" s="1040"/>
      <c r="H85" s="990"/>
      <c r="I85" s="990"/>
      <c r="J85" s="990"/>
      <c r="K85" s="990"/>
      <c r="L85" s="990"/>
      <c r="M85" s="990"/>
      <c r="N85" s="990"/>
      <c r="O85" s="990"/>
      <c r="P85" s="990"/>
      <c r="Q85" s="990"/>
      <c r="R85" s="990"/>
      <c r="S85" s="990"/>
    </row>
    <row r="86" spans="1:19" ht="15.5" thickTop="1" thickBot="1" x14ac:dyDescent="0.4"/>
    <row r="87" spans="1:19" ht="15.5" thickTop="1" thickBot="1" x14ac:dyDescent="0.4">
      <c r="A87" s="78" t="s">
        <v>734</v>
      </c>
      <c r="B87" s="80"/>
    </row>
    <row r="88" spans="1:19" ht="15" thickTop="1" x14ac:dyDescent="0.35">
      <c r="A88" s="79" t="s">
        <v>632</v>
      </c>
      <c r="B88" s="991"/>
    </row>
    <row r="89" spans="1:19" x14ac:dyDescent="0.35">
      <c r="A89" s="687" t="s">
        <v>636</v>
      </c>
      <c r="B89" s="991"/>
    </row>
    <row r="90" spans="1:19" x14ac:dyDescent="0.35">
      <c r="A90" s="992" t="s">
        <v>639</v>
      </c>
      <c r="B90" s="993"/>
    </row>
    <row r="91" spans="1:19" x14ac:dyDescent="0.35">
      <c r="A91" s="992" t="s">
        <v>642</v>
      </c>
      <c r="B91" s="994"/>
    </row>
    <row r="92" spans="1:19" ht="15" thickBot="1" x14ac:dyDescent="0.4">
      <c r="A92" s="995" t="s">
        <v>735</v>
      </c>
      <c r="B92" s="996"/>
    </row>
    <row r="93" spans="1:19" ht="15" thickTop="1" x14ac:dyDescent="0.35"/>
    <row r="94" spans="1:19" x14ac:dyDescent="0.35">
      <c r="A94" s="81"/>
      <c r="B94" s="1" t="s">
        <v>736</v>
      </c>
    </row>
    <row r="95" spans="1:19" x14ac:dyDescent="0.35">
      <c r="A95" s="82"/>
      <c r="B95" s="1" t="s">
        <v>737</v>
      </c>
    </row>
  </sheetData>
  <mergeCells count="47">
    <mergeCell ref="A60:B60"/>
    <mergeCell ref="A64:B64"/>
    <mergeCell ref="A68:B68"/>
    <mergeCell ref="A72:B72"/>
    <mergeCell ref="A76:B76"/>
    <mergeCell ref="R2:S2"/>
    <mergeCell ref="R3:S3"/>
    <mergeCell ref="R4:S4"/>
    <mergeCell ref="N4:O4"/>
    <mergeCell ref="R5:S5"/>
    <mergeCell ref="R6:S6"/>
    <mergeCell ref="L5:M5"/>
    <mergeCell ref="L6:M6"/>
    <mergeCell ref="L7:M7"/>
    <mergeCell ref="R7:S7"/>
    <mergeCell ref="N5:O5"/>
    <mergeCell ref="N6:O6"/>
    <mergeCell ref="R8:S8"/>
    <mergeCell ref="N7:O7"/>
    <mergeCell ref="H8:I8"/>
    <mergeCell ref="J8:K8"/>
    <mergeCell ref="L8:M8"/>
    <mergeCell ref="N8:O8"/>
    <mergeCell ref="H7:I7"/>
    <mergeCell ref="J7:K7"/>
    <mergeCell ref="H2:I2"/>
    <mergeCell ref="J2:K2"/>
    <mergeCell ref="L2:M2"/>
    <mergeCell ref="H3:I3"/>
    <mergeCell ref="J3:K3"/>
    <mergeCell ref="L3:M3"/>
    <mergeCell ref="H4:I4"/>
    <mergeCell ref="H5:I5"/>
    <mergeCell ref="H6:I6"/>
    <mergeCell ref="J4:K4"/>
    <mergeCell ref="J5:K5"/>
    <mergeCell ref="J6:K6"/>
    <mergeCell ref="L4:M4"/>
    <mergeCell ref="P7:Q7"/>
    <mergeCell ref="P8:Q8"/>
    <mergeCell ref="P2:Q2"/>
    <mergeCell ref="P3:Q3"/>
    <mergeCell ref="P4:Q4"/>
    <mergeCell ref="P5:Q5"/>
    <mergeCell ref="P6:Q6"/>
    <mergeCell ref="N3:O3"/>
    <mergeCell ref="N2:O2"/>
  </mergeCells>
  <conditionalFormatting sqref="H20:H30">
    <cfRule type="cellIs" dxfId="2699" priority="13" operator="equal">
      <formula>"X"</formula>
    </cfRule>
    <cfRule type="cellIs" dxfId="2698" priority="14" operator="equal">
      <formula>"I"</formula>
    </cfRule>
  </conditionalFormatting>
  <conditionalFormatting sqref="H32:H51">
    <cfRule type="cellIs" dxfId="2697" priority="1" operator="equal">
      <formula>"X"</formula>
    </cfRule>
    <cfRule type="cellIs" dxfId="2696" priority="2" operator="equal">
      <formula>"I"</formula>
    </cfRule>
  </conditionalFormatting>
  <conditionalFormatting sqref="J20:J30">
    <cfRule type="cellIs" dxfId="2695" priority="15" operator="equal">
      <formula>"X"</formula>
    </cfRule>
    <cfRule type="cellIs" dxfId="2694" priority="16" operator="equal">
      <formula>"I"</formula>
    </cfRule>
  </conditionalFormatting>
  <conditionalFormatting sqref="J32:J51">
    <cfRule type="cellIs" dxfId="2693" priority="3" operator="equal">
      <formula>"X"</formula>
    </cfRule>
    <cfRule type="cellIs" dxfId="2692" priority="4" operator="equal">
      <formula>"I"</formula>
    </cfRule>
  </conditionalFormatting>
  <conditionalFormatting sqref="L20:L30">
    <cfRule type="cellIs" dxfId="2691" priority="17" operator="equal">
      <formula>"X"</formula>
    </cfRule>
    <cfRule type="cellIs" dxfId="2690" priority="18" operator="equal">
      <formula>"I"</formula>
    </cfRule>
  </conditionalFormatting>
  <conditionalFormatting sqref="L32:L51">
    <cfRule type="cellIs" dxfId="2689" priority="5" operator="equal">
      <formula>"X"</formula>
    </cfRule>
    <cfRule type="cellIs" dxfId="2688" priority="6" operator="equal">
      <formula>"I"</formula>
    </cfRule>
  </conditionalFormatting>
  <conditionalFormatting sqref="N20:N30">
    <cfRule type="cellIs" dxfId="2687" priority="19" operator="equal">
      <formula>"X"</formula>
    </cfRule>
    <cfRule type="cellIs" dxfId="2686" priority="20" operator="equal">
      <formula>"I"</formula>
    </cfRule>
  </conditionalFormatting>
  <conditionalFormatting sqref="N32:N51">
    <cfRule type="cellIs" dxfId="2685" priority="7" operator="equal">
      <formula>"X"</formula>
    </cfRule>
    <cfRule type="cellIs" dxfId="2684" priority="8" operator="equal">
      <formula>"I"</formula>
    </cfRule>
  </conditionalFormatting>
  <conditionalFormatting sqref="P20:P30">
    <cfRule type="cellIs" dxfId="2683" priority="21" operator="equal">
      <formula>"X"</formula>
    </cfRule>
    <cfRule type="cellIs" dxfId="2682" priority="22" operator="equal">
      <formula>"I"</formula>
    </cfRule>
  </conditionalFormatting>
  <conditionalFormatting sqref="P32:P51">
    <cfRule type="cellIs" dxfId="2681" priority="9" operator="equal">
      <formula>"X"</formula>
    </cfRule>
    <cfRule type="cellIs" dxfId="2680" priority="10" operator="equal">
      <formula>"I"</formula>
    </cfRule>
  </conditionalFormatting>
  <conditionalFormatting sqref="R20:R30">
    <cfRule type="cellIs" dxfId="2679" priority="23" operator="equal">
      <formula>"X"</formula>
    </cfRule>
    <cfRule type="cellIs" dxfId="2678" priority="24" operator="equal">
      <formula>"I"</formula>
    </cfRule>
  </conditionalFormatting>
  <conditionalFormatting sqref="R32:R51">
    <cfRule type="cellIs" dxfId="2677" priority="11" operator="equal">
      <formula>"X"</formula>
    </cfRule>
    <cfRule type="cellIs" dxfId="2676" priority="12" operator="equal">
      <formula>"I"</formula>
    </cfRule>
  </conditionalFormatting>
  <hyperlinks>
    <hyperlink ref="B3" location="'Cost Summary'!A1" display="BACK TO SUMMARY SHEET" xr:uid="{91374235-4D89-40FB-8FC6-9BC026930E26}"/>
  </hyperlinks>
  <printOptions horizontalCentered="1"/>
  <pageMargins left="0.7" right="0.7" top="0.75" bottom="0.75" header="0.3" footer="0.3"/>
  <pageSetup scale="57"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17F0-DF7E-47F2-9240-421D23A75636}">
  <sheetPr>
    <tabColor rgb="FF92D050"/>
  </sheetPr>
  <dimension ref="A1:S91"/>
  <sheetViews>
    <sheetView zoomScale="96" zoomScaleNormal="96"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89"/>
      <c r="I2" s="3789"/>
      <c r="J2" s="3751"/>
      <c r="K2" s="3751"/>
      <c r="L2" s="3789"/>
      <c r="M2" s="3789"/>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1060</v>
      </c>
      <c r="C5" s="642"/>
      <c r="D5" s="642"/>
      <c r="E5" s="642"/>
      <c r="F5" s="642"/>
      <c r="G5" s="643" t="s">
        <v>636</v>
      </c>
      <c r="H5" s="3787"/>
      <c r="I5" s="3788"/>
      <c r="J5" s="3787"/>
      <c r="K5" s="3788"/>
      <c r="L5" s="3787"/>
      <c r="M5" s="3788"/>
      <c r="N5" s="3787"/>
      <c r="O5" s="3788"/>
      <c r="P5" s="3787"/>
      <c r="Q5" s="3788"/>
      <c r="R5" s="3787"/>
      <c r="S5" s="3788"/>
    </row>
    <row r="6" spans="1:19" x14ac:dyDescent="0.35">
      <c r="A6" s="688" t="s">
        <v>638</v>
      </c>
      <c r="B6" s="644" t="s">
        <v>1061</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86"/>
      <c r="I7" s="3757"/>
      <c r="J7" s="3790"/>
      <c r="K7" s="3791"/>
      <c r="L7" s="3790"/>
      <c r="M7" s="3792"/>
      <c r="N7" s="3790"/>
      <c r="O7" s="3792"/>
      <c r="P7" s="3790"/>
      <c r="Q7" s="3791"/>
      <c r="R7" s="3786"/>
      <c r="S7" s="3757"/>
    </row>
    <row r="8" spans="1:19" ht="15" thickBot="1" x14ac:dyDescent="0.4">
      <c r="A8" s="938" t="s">
        <v>644</v>
      </c>
      <c r="B8" s="939"/>
      <c r="C8" s="940"/>
      <c r="D8" s="940"/>
      <c r="E8" s="940"/>
      <c r="F8" s="940"/>
      <c r="G8" s="1024" t="s">
        <v>644</v>
      </c>
      <c r="H8" s="3760">
        <f>I52</f>
        <v>0</v>
      </c>
      <c r="I8" s="3761"/>
      <c r="J8" s="3760">
        <f>K52</f>
        <v>0</v>
      </c>
      <c r="K8" s="3761"/>
      <c r="L8" s="3760">
        <f>M52</f>
        <v>0</v>
      </c>
      <c r="M8" s="3761"/>
      <c r="N8" s="3760">
        <f>O52</f>
        <v>0</v>
      </c>
      <c r="O8" s="3761"/>
      <c r="P8" s="3760">
        <f>Q52</f>
        <v>0</v>
      </c>
      <c r="Q8" s="3761"/>
      <c r="R8" s="3760">
        <f>S52</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997"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thickTop="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thickTop="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968"/>
      <c r="B21" s="648" t="s">
        <v>1060</v>
      </c>
      <c r="C21" s="647"/>
      <c r="D21" s="642"/>
      <c r="E21" s="642"/>
      <c r="F21" s="642"/>
      <c r="G21" s="646"/>
      <c r="H21" s="943"/>
      <c r="I21" s="1243"/>
      <c r="J21" s="943"/>
      <c r="K21" s="1243"/>
      <c r="L21" s="943"/>
      <c r="M21" s="1243"/>
      <c r="N21" s="943"/>
      <c r="O21" s="1243"/>
      <c r="P21" s="943"/>
      <c r="Q21" s="1243"/>
      <c r="R21" s="943"/>
      <c r="S21" s="1243"/>
    </row>
    <row r="22" spans="1:19" ht="15" thickBot="1" x14ac:dyDescent="0.4">
      <c r="A22" s="998"/>
      <c r="B22" s="604" t="s">
        <v>657</v>
      </c>
      <c r="C22" s="647"/>
      <c r="D22" s="642"/>
      <c r="E22" s="642"/>
      <c r="F22" s="642"/>
      <c r="G22" s="646"/>
      <c r="H22" s="943"/>
      <c r="I22" s="1000"/>
      <c r="J22" s="943"/>
      <c r="K22" s="1000"/>
      <c r="L22" s="943"/>
      <c r="M22" s="1000"/>
      <c r="N22" s="943"/>
      <c r="O22" s="1000"/>
      <c r="P22" s="943"/>
      <c r="Q22" s="1000"/>
      <c r="R22" s="943"/>
      <c r="S22" s="1000"/>
    </row>
    <row r="23" spans="1:19" x14ac:dyDescent="0.35">
      <c r="A23" s="998"/>
      <c r="B23" s="607" t="s">
        <v>658</v>
      </c>
      <c r="C23" s="647"/>
      <c r="D23" s="642"/>
      <c r="E23" s="642"/>
      <c r="F23" s="642"/>
      <c r="G23" s="646"/>
      <c r="H23" s="943"/>
      <c r="I23" s="1000"/>
      <c r="J23" s="943"/>
      <c r="K23" s="1000"/>
      <c r="L23" s="943"/>
      <c r="M23" s="1000"/>
      <c r="N23" s="943"/>
      <c r="O23" s="1000"/>
      <c r="P23" s="943"/>
      <c r="Q23" s="999"/>
      <c r="R23" s="943"/>
      <c r="S23" s="999"/>
    </row>
    <row r="24" spans="1:19" x14ac:dyDescent="0.35">
      <c r="A24" s="683"/>
      <c r="B24" s="948" t="s">
        <v>659</v>
      </c>
      <c r="C24" s="642"/>
      <c r="D24" s="642"/>
      <c r="E24" s="642"/>
      <c r="F24" s="642"/>
      <c r="G24" s="646"/>
      <c r="H24" s="943"/>
      <c r="I24" s="999"/>
      <c r="J24" s="943"/>
      <c r="K24" s="999"/>
      <c r="L24" s="943"/>
      <c r="M24" s="999"/>
      <c r="N24" s="943"/>
      <c r="O24" s="1000"/>
      <c r="P24" s="943"/>
      <c r="Q24" s="1000"/>
      <c r="R24" s="943"/>
      <c r="S24" s="1000"/>
    </row>
    <row r="25" spans="1:19" x14ac:dyDescent="0.35">
      <c r="A25" s="998"/>
      <c r="B25" s="949" t="s">
        <v>660</v>
      </c>
      <c r="C25" s="642"/>
      <c r="D25" s="642"/>
      <c r="E25" s="642"/>
      <c r="F25" s="642"/>
      <c r="G25" s="646"/>
      <c r="H25" s="943"/>
      <c r="I25" s="999"/>
      <c r="J25" s="943"/>
      <c r="K25" s="999"/>
      <c r="L25" s="943"/>
      <c r="M25" s="999"/>
      <c r="N25" s="943"/>
      <c r="O25" s="1000"/>
      <c r="P25" s="943"/>
      <c r="Q25" s="1000"/>
      <c r="R25" s="943"/>
      <c r="S25" s="1000"/>
    </row>
    <row r="26" spans="1:19" x14ac:dyDescent="0.35">
      <c r="A26" s="683"/>
      <c r="B26" s="949" t="s">
        <v>661</v>
      </c>
      <c r="C26" s="642"/>
      <c r="D26" s="642"/>
      <c r="E26" s="642"/>
      <c r="F26" s="642"/>
      <c r="G26" s="646"/>
      <c r="H26" s="943"/>
      <c r="I26" s="999"/>
      <c r="J26" s="943"/>
      <c r="K26" s="999"/>
      <c r="L26" s="943"/>
      <c r="M26" s="999"/>
      <c r="N26" s="943"/>
      <c r="O26" s="1000"/>
      <c r="P26" s="943"/>
      <c r="Q26" s="1000"/>
      <c r="R26" s="943"/>
      <c r="S26" s="1000"/>
    </row>
    <row r="27" spans="1:19" x14ac:dyDescent="0.35">
      <c r="A27" s="998"/>
      <c r="B27" s="949" t="s">
        <v>662</v>
      </c>
      <c r="C27" s="642"/>
      <c r="D27" s="642"/>
      <c r="E27" s="642"/>
      <c r="F27" s="642"/>
      <c r="G27" s="646"/>
      <c r="H27" s="943"/>
      <c r="I27" s="999"/>
      <c r="J27" s="943"/>
      <c r="K27" s="999"/>
      <c r="L27" s="943"/>
      <c r="M27" s="999"/>
      <c r="N27" s="943"/>
      <c r="O27" s="1000"/>
      <c r="P27" s="943"/>
      <c r="Q27" s="1000"/>
      <c r="R27" s="943"/>
      <c r="S27" s="1000"/>
    </row>
    <row r="28" spans="1:19" x14ac:dyDescent="0.35">
      <c r="A28" s="998"/>
      <c r="B28" s="949" t="s">
        <v>663</v>
      </c>
      <c r="C28" s="642"/>
      <c r="D28" s="642"/>
      <c r="E28" s="642"/>
      <c r="F28" s="642"/>
      <c r="G28" s="646"/>
      <c r="H28" s="943"/>
      <c r="I28" s="999"/>
      <c r="J28" s="943"/>
      <c r="K28" s="999"/>
      <c r="L28" s="943"/>
      <c r="M28" s="999"/>
      <c r="N28" s="943"/>
      <c r="O28" s="1000"/>
      <c r="P28" s="943"/>
      <c r="Q28" s="1000"/>
      <c r="R28" s="943"/>
      <c r="S28" s="1000"/>
    </row>
    <row r="29" spans="1:19" x14ac:dyDescent="0.35">
      <c r="A29" s="998"/>
      <c r="B29" s="949" t="s">
        <v>742</v>
      </c>
      <c r="C29" s="642"/>
      <c r="D29" s="642"/>
      <c r="E29" s="642"/>
      <c r="F29" s="642"/>
      <c r="G29" s="646"/>
      <c r="H29" s="943"/>
      <c r="I29" s="999"/>
      <c r="J29" s="943"/>
      <c r="K29" s="999"/>
      <c r="L29" s="943"/>
      <c r="M29" s="999"/>
      <c r="N29" s="943"/>
      <c r="O29" s="1000"/>
      <c r="P29" s="943"/>
      <c r="Q29" s="1000"/>
      <c r="R29" s="943"/>
      <c r="S29" s="1000"/>
    </row>
    <row r="30" spans="1:19" x14ac:dyDescent="0.35">
      <c r="A30" s="998"/>
      <c r="B30" s="950" t="s">
        <v>664</v>
      </c>
      <c r="C30" s="642"/>
      <c r="D30" s="642"/>
      <c r="E30" s="642"/>
      <c r="F30" s="642"/>
      <c r="G30" s="646"/>
      <c r="H30" s="943"/>
      <c r="I30" s="999"/>
      <c r="J30" s="943"/>
      <c r="K30" s="999"/>
      <c r="L30" s="943"/>
      <c r="M30" s="999"/>
      <c r="N30" s="943"/>
      <c r="O30" s="1000"/>
      <c r="P30" s="943"/>
      <c r="Q30" s="1000"/>
      <c r="R30" s="943"/>
      <c r="S30" s="1000"/>
    </row>
    <row r="31" spans="1:19" x14ac:dyDescent="0.35">
      <c r="A31" s="998"/>
      <c r="B31" s="951" t="s">
        <v>665</v>
      </c>
      <c r="C31" s="650"/>
      <c r="D31" s="650"/>
      <c r="E31" s="650"/>
      <c r="F31" s="650"/>
      <c r="G31" s="952"/>
      <c r="H31" s="636"/>
      <c r="I31" s="1234"/>
      <c r="J31" s="636"/>
      <c r="K31" s="1234"/>
      <c r="L31" s="636"/>
      <c r="M31" s="1234"/>
      <c r="N31" s="636"/>
      <c r="O31" s="954"/>
      <c r="P31" s="636"/>
      <c r="Q31" s="954"/>
      <c r="R31" s="636"/>
      <c r="S31" s="954"/>
    </row>
    <row r="32" spans="1:19" x14ac:dyDescent="0.35">
      <c r="A32" s="998"/>
      <c r="B32" s="1235" t="s">
        <v>874</v>
      </c>
      <c r="C32" s="642"/>
      <c r="D32" s="642"/>
      <c r="E32" s="642"/>
      <c r="F32" s="642"/>
      <c r="G32" s="646"/>
      <c r="H32" s="943"/>
      <c r="I32" s="999"/>
      <c r="J32" s="943"/>
      <c r="K32" s="999"/>
      <c r="L32" s="943"/>
      <c r="M32" s="999"/>
      <c r="N32" s="943"/>
      <c r="O32" s="1000"/>
      <c r="P32" s="943"/>
      <c r="Q32" s="1000"/>
      <c r="R32" s="943"/>
      <c r="S32" s="1000"/>
    </row>
    <row r="33" spans="1:19" x14ac:dyDescent="0.35">
      <c r="A33" s="998"/>
      <c r="B33" s="1236" t="s">
        <v>191</v>
      </c>
      <c r="C33" s="642"/>
      <c r="D33" s="642"/>
      <c r="E33" s="642"/>
      <c r="F33" s="642"/>
      <c r="G33" s="646"/>
      <c r="H33" s="943"/>
      <c r="I33" s="999"/>
      <c r="J33" s="943"/>
      <c r="K33" s="999"/>
      <c r="L33" s="943"/>
      <c r="M33" s="999"/>
      <c r="N33" s="943"/>
      <c r="O33" s="1000"/>
      <c r="P33" s="943"/>
      <c r="Q33" s="1000"/>
      <c r="R33" s="943"/>
      <c r="S33" s="1000"/>
    </row>
    <row r="34" spans="1:19" x14ac:dyDescent="0.35">
      <c r="A34" s="998"/>
      <c r="B34" s="1235" t="s">
        <v>1053</v>
      </c>
      <c r="C34" s="642"/>
      <c r="D34" s="642"/>
      <c r="E34" s="642"/>
      <c r="F34" s="642"/>
      <c r="G34" s="646"/>
      <c r="H34" s="943"/>
      <c r="I34" s="999"/>
      <c r="J34" s="943"/>
      <c r="K34" s="999"/>
      <c r="L34" s="943"/>
      <c r="M34" s="999"/>
      <c r="N34" s="943"/>
      <c r="O34" s="1000"/>
      <c r="P34" s="943"/>
      <c r="Q34" s="1000"/>
      <c r="R34" s="943"/>
      <c r="S34" s="1000"/>
    </row>
    <row r="35" spans="1:19" x14ac:dyDescent="0.35">
      <c r="A35" s="998"/>
      <c r="B35" s="1237" t="s">
        <v>1054</v>
      </c>
      <c r="C35" s="642"/>
      <c r="D35" s="642"/>
      <c r="E35" s="642"/>
      <c r="F35" s="642"/>
      <c r="G35" s="646"/>
      <c r="H35" s="943" t="s">
        <v>669</v>
      </c>
      <c r="I35" s="999"/>
      <c r="J35" s="943"/>
      <c r="K35" s="999"/>
      <c r="L35" s="943"/>
      <c r="M35" s="999"/>
      <c r="N35" s="943"/>
      <c r="O35" s="1000"/>
      <c r="P35" s="943"/>
      <c r="Q35" s="1000"/>
      <c r="R35" s="943"/>
      <c r="S35" s="1000"/>
    </row>
    <row r="36" spans="1:19" x14ac:dyDescent="0.35">
      <c r="A36" s="998"/>
      <c r="B36" s="1238" t="s">
        <v>1055</v>
      </c>
      <c r="C36" s="642"/>
      <c r="D36" s="642"/>
      <c r="E36" s="642"/>
      <c r="F36" s="642"/>
      <c r="G36" s="646"/>
      <c r="H36" s="943"/>
      <c r="I36" s="999"/>
      <c r="J36" s="943"/>
      <c r="K36" s="999"/>
      <c r="L36" s="943"/>
      <c r="M36" s="999"/>
      <c r="N36" s="943"/>
      <c r="O36" s="1000"/>
      <c r="P36" s="943"/>
      <c r="Q36" s="1000"/>
      <c r="R36" s="943"/>
      <c r="S36" s="1000"/>
    </row>
    <row r="37" spans="1:19" x14ac:dyDescent="0.35">
      <c r="A37" s="998"/>
      <c r="B37" s="1238" t="s">
        <v>1056</v>
      </c>
      <c r="C37" s="642"/>
      <c r="D37" s="642"/>
      <c r="E37" s="642"/>
      <c r="F37" s="642"/>
      <c r="G37" s="646"/>
      <c r="H37" s="943"/>
      <c r="I37" s="999"/>
      <c r="J37" s="943"/>
      <c r="K37" s="999"/>
      <c r="L37" s="943"/>
      <c r="M37" s="999"/>
      <c r="N37" s="943"/>
      <c r="O37" s="999"/>
      <c r="P37" s="943"/>
      <c r="Q37" s="999"/>
      <c r="R37" s="943"/>
      <c r="S37" s="1000"/>
    </row>
    <row r="38" spans="1:19" x14ac:dyDescent="0.35">
      <c r="A38" s="998"/>
      <c r="B38" s="1237" t="s">
        <v>1057</v>
      </c>
      <c r="C38" s="642"/>
      <c r="D38" s="642"/>
      <c r="E38" s="642"/>
      <c r="F38" s="642"/>
      <c r="G38" s="646"/>
      <c r="H38" s="943"/>
      <c r="I38" s="999"/>
      <c r="J38" s="943"/>
      <c r="K38" s="999"/>
      <c r="L38" s="943"/>
      <c r="M38" s="999"/>
      <c r="N38" s="943"/>
      <c r="O38" s="999"/>
      <c r="P38" s="943"/>
      <c r="Q38" s="999"/>
      <c r="R38" s="943"/>
      <c r="S38" s="1000"/>
    </row>
    <row r="39" spans="1:19" x14ac:dyDescent="0.35">
      <c r="A39" s="998"/>
      <c r="B39" s="1238" t="s">
        <v>1058</v>
      </c>
      <c r="C39" s="642"/>
      <c r="D39" s="642"/>
      <c r="E39" s="642"/>
      <c r="F39" s="642"/>
      <c r="G39" s="646"/>
      <c r="H39" s="943"/>
      <c r="I39" s="999"/>
      <c r="J39" s="943"/>
      <c r="K39" s="999"/>
      <c r="L39" s="943"/>
      <c r="M39" s="999"/>
      <c r="N39" s="943"/>
      <c r="O39" s="999"/>
      <c r="P39" s="943"/>
      <c r="Q39" s="999"/>
      <c r="R39" s="943"/>
      <c r="S39" s="1000"/>
    </row>
    <row r="40" spans="1:19" x14ac:dyDescent="0.35">
      <c r="A40" s="998"/>
      <c r="B40" s="1238" t="s">
        <v>1059</v>
      </c>
      <c r="C40" s="642"/>
      <c r="D40" s="642"/>
      <c r="E40" s="642"/>
      <c r="F40" s="642"/>
      <c r="G40" s="646"/>
      <c r="H40" s="943"/>
      <c r="I40" s="999"/>
      <c r="J40" s="943"/>
      <c r="K40" s="999"/>
      <c r="L40" s="943"/>
      <c r="M40" s="999"/>
      <c r="N40" s="943"/>
      <c r="O40" s="999"/>
      <c r="P40" s="943"/>
      <c r="Q40" s="999"/>
      <c r="R40" s="943"/>
      <c r="S40" s="1000"/>
    </row>
    <row r="41" spans="1:19" x14ac:dyDescent="0.35">
      <c r="A41" s="998"/>
      <c r="B41" s="1238"/>
      <c r="C41" s="642"/>
      <c r="D41" s="642"/>
      <c r="E41" s="642"/>
      <c r="F41" s="642"/>
      <c r="G41" s="646"/>
      <c r="H41" s="943"/>
      <c r="I41" s="999"/>
      <c r="J41" s="943"/>
      <c r="K41" s="999"/>
      <c r="L41" s="943"/>
      <c r="M41" s="999"/>
      <c r="N41" s="943"/>
      <c r="O41" s="999"/>
      <c r="P41" s="943"/>
      <c r="Q41" s="999"/>
      <c r="R41" s="943"/>
      <c r="S41" s="1000"/>
    </row>
    <row r="42" spans="1:19" x14ac:dyDescent="0.35">
      <c r="A42" s="998"/>
      <c r="B42" s="1238"/>
      <c r="C42" s="642"/>
      <c r="D42" s="642"/>
      <c r="E42" s="642"/>
      <c r="F42" s="642"/>
      <c r="G42" s="646"/>
      <c r="H42" s="943"/>
      <c r="I42" s="999"/>
      <c r="J42" s="943"/>
      <c r="K42" s="999"/>
      <c r="L42" s="943"/>
      <c r="M42" s="999"/>
      <c r="N42" s="943"/>
      <c r="O42" s="999"/>
      <c r="P42" s="943"/>
      <c r="Q42" s="999"/>
      <c r="R42" s="943"/>
      <c r="S42" s="1000"/>
    </row>
    <row r="43" spans="1:19" x14ac:dyDescent="0.35">
      <c r="A43" s="998"/>
      <c r="B43" s="1238"/>
      <c r="C43" s="642"/>
      <c r="D43" s="642"/>
      <c r="E43" s="642"/>
      <c r="F43" s="642"/>
      <c r="G43" s="646"/>
      <c r="H43" s="943"/>
      <c r="I43" s="999"/>
      <c r="J43" s="943"/>
      <c r="K43" s="999"/>
      <c r="L43" s="943"/>
      <c r="M43" s="999"/>
      <c r="N43" s="943"/>
      <c r="O43" s="999"/>
      <c r="P43" s="943"/>
      <c r="Q43" s="999"/>
      <c r="R43" s="943"/>
      <c r="S43" s="1000"/>
    </row>
    <row r="44" spans="1:19" x14ac:dyDescent="0.35">
      <c r="A44" s="998"/>
      <c r="B44" s="1238"/>
      <c r="C44" s="642"/>
      <c r="D44" s="642"/>
      <c r="E44" s="642"/>
      <c r="F44" s="642"/>
      <c r="G44" s="646"/>
      <c r="H44" s="943"/>
      <c r="I44" s="999"/>
      <c r="J44" s="943"/>
      <c r="K44" s="999"/>
      <c r="L44" s="943"/>
      <c r="M44" s="999"/>
      <c r="N44" s="943"/>
      <c r="O44" s="999"/>
      <c r="P44" s="943"/>
      <c r="Q44" s="999"/>
      <c r="R44" s="943"/>
      <c r="S44" s="1000"/>
    </row>
    <row r="45" spans="1:19" x14ac:dyDescent="0.35">
      <c r="A45" s="998"/>
      <c r="B45" s="1238"/>
      <c r="C45" s="642"/>
      <c r="D45" s="642"/>
      <c r="E45" s="642"/>
      <c r="F45" s="642"/>
      <c r="G45" s="646"/>
      <c r="H45" s="943"/>
      <c r="I45" s="999"/>
      <c r="J45" s="943"/>
      <c r="K45" s="1000"/>
      <c r="L45" s="943"/>
      <c r="M45" s="999"/>
      <c r="N45" s="943"/>
      <c r="O45" s="999"/>
      <c r="P45" s="943"/>
      <c r="Q45" s="999"/>
      <c r="R45" s="943"/>
      <c r="S45" s="1000"/>
    </row>
    <row r="46" spans="1:19" x14ac:dyDescent="0.35">
      <c r="A46" s="683"/>
      <c r="B46" s="1238"/>
      <c r="C46" s="642"/>
      <c r="D46" s="642"/>
      <c r="E46" s="642"/>
      <c r="F46" s="642"/>
      <c r="G46" s="646"/>
      <c r="H46" s="943"/>
      <c r="I46" s="1239"/>
      <c r="J46" s="943"/>
      <c r="K46" s="999"/>
      <c r="L46" s="943"/>
      <c r="M46" s="999"/>
      <c r="N46" s="943"/>
      <c r="O46" s="999"/>
      <c r="P46" s="943"/>
      <c r="Q46" s="1000"/>
      <c r="R46" s="943"/>
      <c r="S46" s="1000"/>
    </row>
    <row r="47" spans="1:19" ht="15" thickBot="1" x14ac:dyDescent="0.4">
      <c r="A47" s="683"/>
      <c r="B47" s="1238"/>
      <c r="C47" s="940"/>
      <c r="D47" s="940"/>
      <c r="E47" s="940"/>
      <c r="F47" s="940"/>
      <c r="G47" s="1039"/>
      <c r="H47" s="943"/>
      <c r="I47" s="1239"/>
      <c r="J47" s="943"/>
      <c r="K47" s="999"/>
      <c r="L47" s="943"/>
      <c r="M47" s="999"/>
      <c r="N47" s="943"/>
      <c r="O47" s="999"/>
      <c r="P47" s="943"/>
      <c r="Q47" s="1000"/>
      <c r="R47" s="943"/>
      <c r="S47" s="1000"/>
    </row>
    <row r="48" spans="1:19" ht="15" thickTop="1" x14ac:dyDescent="0.35">
      <c r="A48" s="14"/>
      <c r="B48" s="15"/>
      <c r="C48" s="16"/>
      <c r="D48" s="16"/>
      <c r="E48" s="17"/>
      <c r="F48" s="18" t="s">
        <v>715</v>
      </c>
      <c r="G48" s="19"/>
      <c r="H48" s="20"/>
      <c r="I48" s="50">
        <f>SUM(I23:I47)</f>
        <v>0</v>
      </c>
      <c r="J48" s="20"/>
      <c r="K48" s="50">
        <f>SUM(K23:K47)</f>
        <v>0</v>
      </c>
      <c r="L48" s="20"/>
      <c r="M48" s="50">
        <f>SUM(M23:M47)</f>
        <v>0</v>
      </c>
      <c r="N48" s="20"/>
      <c r="O48" s="50">
        <f>SUM(O23:O47)</f>
        <v>0</v>
      </c>
      <c r="P48" s="20"/>
      <c r="Q48" s="50">
        <f>SUM(Q23:Q47)</f>
        <v>0</v>
      </c>
      <c r="R48" s="20"/>
      <c r="S48" s="50">
        <f>SUM(S23:S47)</f>
        <v>0</v>
      </c>
    </row>
    <row r="49" spans="1:19" x14ac:dyDescent="0.35">
      <c r="A49" s="684"/>
      <c r="B49" s="655"/>
      <c r="C49" s="656"/>
      <c r="D49" s="656"/>
      <c r="E49" s="657"/>
      <c r="F49" s="658" t="s">
        <v>716</v>
      </c>
      <c r="G49" s="659"/>
      <c r="H49" s="959">
        <v>0</v>
      </c>
      <c r="I49" s="1121"/>
      <c r="J49" s="959">
        <v>0</v>
      </c>
      <c r="K49" s="1121"/>
      <c r="L49" s="959">
        <v>0</v>
      </c>
      <c r="M49" s="1121"/>
      <c r="N49" s="959">
        <v>0</v>
      </c>
      <c r="O49" s="1121"/>
      <c r="P49" s="959">
        <v>0</v>
      </c>
      <c r="Q49" s="1121"/>
      <c r="R49" s="959">
        <v>0</v>
      </c>
      <c r="S49" s="1121"/>
    </row>
    <row r="50" spans="1:19" x14ac:dyDescent="0.35">
      <c r="A50" s="684"/>
      <c r="B50" s="655"/>
      <c r="C50" s="656"/>
      <c r="D50" s="656"/>
      <c r="E50" s="657"/>
      <c r="F50" s="658" t="s">
        <v>717</v>
      </c>
      <c r="G50" s="659"/>
      <c r="H50" s="961"/>
      <c r="I50" s="1122">
        <f>H49*$I$48</f>
        <v>0</v>
      </c>
      <c r="J50" s="961"/>
      <c r="K50" s="1122">
        <f>J49*$K$48</f>
        <v>0</v>
      </c>
      <c r="L50" s="961"/>
      <c r="M50" s="1122">
        <f>L49*$K$48</f>
        <v>0</v>
      </c>
      <c r="N50" s="961"/>
      <c r="O50" s="1122">
        <f>N49*$K$48</f>
        <v>0</v>
      </c>
      <c r="P50" s="961"/>
      <c r="Q50" s="1122">
        <f>P49*$K$48</f>
        <v>0</v>
      </c>
      <c r="R50" s="961"/>
      <c r="S50" s="1122">
        <f>R49*$K$48</f>
        <v>0</v>
      </c>
    </row>
    <row r="51" spans="1:19" x14ac:dyDescent="0.35">
      <c r="A51" s="684"/>
      <c r="B51" s="655"/>
      <c r="C51" s="656"/>
      <c r="D51" s="656"/>
      <c r="E51" s="657"/>
      <c r="F51" s="658"/>
      <c r="G51" s="659"/>
      <c r="H51" s="961"/>
      <c r="I51" s="963"/>
      <c r="J51" s="961"/>
      <c r="K51" s="963"/>
      <c r="L51" s="961"/>
      <c r="M51" s="963"/>
      <c r="N51" s="961"/>
      <c r="O51" s="963"/>
      <c r="P51" s="961"/>
      <c r="Q51" s="963"/>
      <c r="R51" s="961"/>
      <c r="S51" s="963"/>
    </row>
    <row r="52" spans="1:19" x14ac:dyDescent="0.35">
      <c r="A52" s="684"/>
      <c r="B52" s="655"/>
      <c r="C52" s="656"/>
      <c r="D52" s="656"/>
      <c r="E52" s="657"/>
      <c r="F52" s="658" t="s">
        <v>718</v>
      </c>
      <c r="G52" s="659"/>
      <c r="H52" s="964"/>
      <c r="I52" s="962">
        <f>SUM(I48:I50)</f>
        <v>0</v>
      </c>
      <c r="J52" s="964"/>
      <c r="K52" s="962">
        <f>SUM(K48:K50)</f>
        <v>0</v>
      </c>
      <c r="L52" s="964"/>
      <c r="M52" s="962">
        <f>SUM(M48:M50)</f>
        <v>0</v>
      </c>
      <c r="N52" s="964"/>
      <c r="O52" s="962">
        <f>SUM(O48:O50)</f>
        <v>0</v>
      </c>
      <c r="P52" s="964"/>
      <c r="Q52" s="962">
        <f>SUM(Q48:Q50)</f>
        <v>0</v>
      </c>
      <c r="R52" s="964"/>
      <c r="S52" s="962">
        <f>SUM(S48:S50)</f>
        <v>0</v>
      </c>
    </row>
    <row r="53" spans="1:19" x14ac:dyDescent="0.35">
      <c r="A53" s="684"/>
      <c r="B53" s="655"/>
      <c r="C53" s="656"/>
      <c r="D53" s="656"/>
      <c r="E53" s="657"/>
      <c r="F53" s="660" t="s">
        <v>719</v>
      </c>
      <c r="G53" s="661"/>
      <c r="H53" s="965"/>
      <c r="I53" s="966" t="e">
        <f>I52/#REF!</f>
        <v>#REF!</v>
      </c>
      <c r="J53" s="965"/>
      <c r="K53" s="966" t="e">
        <f>K52/#REF!</f>
        <v>#REF!</v>
      </c>
      <c r="L53" s="965"/>
      <c r="M53" s="966" t="e">
        <f>M52/#REF!</f>
        <v>#REF!</v>
      </c>
      <c r="N53" s="965"/>
      <c r="O53" s="966" t="e">
        <f>O52/#REF!</f>
        <v>#REF!</v>
      </c>
      <c r="P53" s="965"/>
      <c r="Q53" s="966" t="e">
        <f>Q52/#REF!</f>
        <v>#REF!</v>
      </c>
      <c r="R53" s="965"/>
      <c r="S53" s="966" t="e">
        <f>S52/#REF!</f>
        <v>#REF!</v>
      </c>
    </row>
    <row r="54" spans="1:19" x14ac:dyDescent="0.35">
      <c r="A54" s="684"/>
      <c r="B54" s="655"/>
      <c r="C54" s="656"/>
      <c r="D54" s="656"/>
      <c r="E54" s="657"/>
      <c r="F54" s="660" t="s">
        <v>720</v>
      </c>
      <c r="G54" s="662"/>
      <c r="H54" s="965"/>
      <c r="I54" s="966" t="e">
        <f>I52/#REF!</f>
        <v>#REF!</v>
      </c>
      <c r="J54" s="965"/>
      <c r="K54" s="966" t="e">
        <f>K52/#REF!</f>
        <v>#REF!</v>
      </c>
      <c r="L54" s="965"/>
      <c r="M54" s="966" t="e">
        <f>M52/#REF!</f>
        <v>#REF!</v>
      </c>
      <c r="N54" s="965"/>
      <c r="O54" s="966" t="e">
        <f>O52/#REF!</f>
        <v>#REF!</v>
      </c>
      <c r="P54" s="965"/>
      <c r="Q54" s="966" t="e">
        <f>Q52/#REF!</f>
        <v>#REF!</v>
      </c>
      <c r="R54" s="965"/>
      <c r="S54" s="966" t="e">
        <f>S52/#REF!</f>
        <v>#REF!</v>
      </c>
    </row>
    <row r="55" spans="1:19" ht="15" thickBot="1" x14ac:dyDescent="0.4">
      <c r="A55" s="684"/>
      <c r="B55" s="655"/>
      <c r="C55" s="656"/>
      <c r="D55" s="656"/>
      <c r="E55" s="657"/>
      <c r="F55" s="658"/>
      <c r="G55" s="663"/>
      <c r="H55" s="1168"/>
      <c r="I55" s="1169"/>
      <c r="J55" s="967"/>
      <c r="K55" s="967"/>
      <c r="L55" s="967"/>
      <c r="M55" s="967"/>
      <c r="N55" s="967"/>
      <c r="O55" s="967"/>
      <c r="P55" s="967"/>
      <c r="Q55" s="967"/>
      <c r="R55" s="967"/>
      <c r="S55" s="967"/>
    </row>
    <row r="56" spans="1:19" ht="15.5" thickTop="1" thickBot="1" x14ac:dyDescent="0.4">
      <c r="A56" s="3764" t="s">
        <v>721</v>
      </c>
      <c r="B56" s="3765"/>
      <c r="C56" s="12"/>
      <c r="D56" s="12"/>
      <c r="E56" s="12"/>
      <c r="F56" s="12"/>
      <c r="G56" s="13"/>
      <c r="H56" s="21"/>
      <c r="I56" s="21"/>
      <c r="J56" s="21"/>
      <c r="K56" s="21"/>
      <c r="L56" s="21"/>
      <c r="M56" s="21"/>
      <c r="N56" s="21"/>
      <c r="O56" s="21"/>
      <c r="P56" s="21"/>
      <c r="Q56" s="21"/>
      <c r="R56" s="21"/>
      <c r="S56" s="21"/>
    </row>
    <row r="57" spans="1:19" ht="15" thickTop="1" x14ac:dyDescent="0.35">
      <c r="A57" s="968"/>
      <c r="B57" s="641"/>
      <c r="C57" s="969"/>
      <c r="D57" s="969"/>
      <c r="E57" s="969"/>
      <c r="F57" s="969"/>
      <c r="G57" s="1242"/>
      <c r="H57" s="972"/>
      <c r="I57" s="972"/>
      <c r="J57" s="972"/>
      <c r="K57" s="972"/>
      <c r="L57" s="972"/>
      <c r="M57" s="972"/>
      <c r="N57" s="972"/>
      <c r="O57" s="972"/>
      <c r="P57" s="972"/>
      <c r="Q57" s="972"/>
      <c r="R57" s="972"/>
      <c r="S57" s="972"/>
    </row>
    <row r="58" spans="1:19" x14ac:dyDescent="0.35">
      <c r="A58" s="968"/>
      <c r="B58" s="641"/>
      <c r="C58" s="969"/>
      <c r="D58" s="969"/>
      <c r="E58" s="969"/>
      <c r="F58" s="969"/>
      <c r="G58" s="1242"/>
      <c r="H58" s="972"/>
      <c r="I58" s="972"/>
      <c r="J58" s="972"/>
      <c r="K58" s="972"/>
      <c r="L58" s="972"/>
      <c r="M58" s="972"/>
      <c r="N58" s="972"/>
      <c r="O58" s="972"/>
      <c r="P58" s="972"/>
      <c r="Q58" s="972"/>
      <c r="R58" s="972"/>
      <c r="S58" s="972"/>
    </row>
    <row r="59" spans="1:19" ht="15" thickBot="1" x14ac:dyDescent="0.4">
      <c r="A59" s="968"/>
      <c r="B59" s="641"/>
      <c r="C59" s="969"/>
      <c r="D59" s="969"/>
      <c r="E59" s="969"/>
      <c r="F59" s="969"/>
      <c r="G59" s="1242"/>
      <c r="H59" s="972"/>
      <c r="I59" s="972"/>
      <c r="J59" s="972"/>
      <c r="K59" s="972"/>
      <c r="L59" s="972"/>
      <c r="M59" s="972"/>
      <c r="N59" s="972"/>
      <c r="O59" s="972"/>
      <c r="P59" s="972"/>
      <c r="Q59" s="972"/>
      <c r="R59" s="972"/>
      <c r="S59" s="972"/>
    </row>
    <row r="60" spans="1:19" s="2" customFormat="1" ht="15.5" thickTop="1" thickBot="1" x14ac:dyDescent="0.4">
      <c r="A60" s="3764" t="s">
        <v>722</v>
      </c>
      <c r="B60" s="3765"/>
      <c r="C60" s="12"/>
      <c r="D60" s="12"/>
      <c r="E60" s="12"/>
      <c r="F60" s="12"/>
      <c r="G60" s="13"/>
      <c r="H60" s="21"/>
      <c r="I60" s="21"/>
      <c r="J60" s="21"/>
      <c r="K60" s="21"/>
      <c r="L60" s="21"/>
      <c r="M60" s="21"/>
      <c r="N60" s="21"/>
      <c r="O60" s="21"/>
      <c r="P60" s="21"/>
      <c r="Q60" s="21"/>
      <c r="R60" s="21"/>
      <c r="S60" s="21"/>
    </row>
    <row r="61" spans="1:19" s="2" customFormat="1" ht="15" thickTop="1" x14ac:dyDescent="0.35">
      <c r="A61" s="968"/>
      <c r="B61" s="641"/>
      <c r="C61" s="969"/>
      <c r="D61" s="969"/>
      <c r="E61" s="969"/>
      <c r="F61" s="969"/>
      <c r="G61" s="1242"/>
      <c r="H61" s="972"/>
      <c r="I61" s="972"/>
      <c r="J61" s="972"/>
      <c r="K61" s="972"/>
      <c r="L61" s="972"/>
      <c r="M61" s="972"/>
      <c r="N61" s="972"/>
      <c r="O61" s="972"/>
      <c r="P61" s="972"/>
      <c r="Q61" s="972"/>
      <c r="R61" s="972"/>
      <c r="S61" s="972"/>
    </row>
    <row r="62" spans="1:19" s="2" customFormat="1" x14ac:dyDescent="0.35">
      <c r="A62" s="968"/>
      <c r="B62" s="641"/>
      <c r="C62" s="969"/>
      <c r="D62" s="969"/>
      <c r="E62" s="969"/>
      <c r="F62" s="969"/>
      <c r="G62" s="1242"/>
      <c r="H62" s="972"/>
      <c r="I62" s="972"/>
      <c r="J62" s="972"/>
      <c r="K62" s="972"/>
      <c r="L62" s="972"/>
      <c r="M62" s="972"/>
      <c r="N62" s="972"/>
      <c r="O62" s="972"/>
      <c r="P62" s="972"/>
      <c r="Q62" s="972"/>
      <c r="R62" s="972"/>
      <c r="S62" s="972"/>
    </row>
    <row r="63" spans="1:19" ht="15" thickBot="1" x14ac:dyDescent="0.4">
      <c r="A63" s="968"/>
      <c r="B63" s="641"/>
      <c r="C63" s="969"/>
      <c r="D63" s="969"/>
      <c r="E63" s="969"/>
      <c r="F63" s="969"/>
      <c r="G63" s="1242"/>
      <c r="H63" s="972"/>
      <c r="I63" s="972"/>
      <c r="J63" s="972"/>
      <c r="K63" s="972"/>
      <c r="L63" s="972"/>
      <c r="M63" s="972"/>
      <c r="N63" s="972"/>
      <c r="O63" s="972"/>
      <c r="P63" s="972"/>
      <c r="Q63" s="972"/>
      <c r="R63" s="972"/>
      <c r="S63" s="972"/>
    </row>
    <row r="64" spans="1:19" s="2" customFormat="1" ht="15.5" thickTop="1" thickBot="1" x14ac:dyDescent="0.4">
      <c r="A64" s="3764" t="s">
        <v>723</v>
      </c>
      <c r="B64" s="3765"/>
      <c r="C64" s="12"/>
      <c r="D64" s="12"/>
      <c r="E64" s="12"/>
      <c r="F64" s="12"/>
      <c r="G64" s="13"/>
      <c r="H64" s="21"/>
      <c r="I64" s="21"/>
      <c r="J64" s="21"/>
      <c r="K64" s="21"/>
      <c r="L64" s="21"/>
      <c r="M64" s="21"/>
      <c r="N64" s="21"/>
      <c r="O64" s="21"/>
      <c r="P64" s="21"/>
      <c r="Q64" s="21"/>
      <c r="R64" s="21"/>
      <c r="S64" s="21"/>
    </row>
    <row r="65" spans="1:19" s="2" customFormat="1" ht="15" thickTop="1" x14ac:dyDescent="0.35">
      <c r="A65" s="968"/>
      <c r="B65" s="641"/>
      <c r="C65" s="969"/>
      <c r="D65" s="969"/>
      <c r="E65" s="969"/>
      <c r="F65" s="969"/>
      <c r="G65" s="1242"/>
      <c r="H65" s="972"/>
      <c r="I65" s="972"/>
      <c r="J65" s="972"/>
      <c r="K65" s="972"/>
      <c r="L65" s="972"/>
      <c r="M65" s="972"/>
      <c r="N65" s="972"/>
      <c r="O65" s="972"/>
      <c r="P65" s="972"/>
      <c r="Q65" s="972"/>
      <c r="R65" s="972"/>
      <c r="S65" s="972"/>
    </row>
    <row r="66" spans="1:19" s="2" customFormat="1" x14ac:dyDescent="0.35">
      <c r="A66" s="689"/>
      <c r="B66" s="641"/>
      <c r="C66" s="642"/>
      <c r="D66" s="642"/>
      <c r="E66" s="642"/>
      <c r="F66" s="642"/>
      <c r="G66" s="646"/>
      <c r="H66" s="973"/>
      <c r="I66" s="973"/>
      <c r="J66" s="973"/>
      <c r="K66" s="973"/>
      <c r="L66" s="973"/>
      <c r="M66" s="973"/>
      <c r="N66" s="973"/>
      <c r="O66" s="973"/>
      <c r="P66" s="973"/>
      <c r="Q66" s="973"/>
      <c r="R66" s="973"/>
      <c r="S66" s="973"/>
    </row>
    <row r="67" spans="1:19" s="2" customFormat="1" ht="15" thickBot="1" x14ac:dyDescent="0.4">
      <c r="A67" s="686"/>
      <c r="B67" s="665"/>
      <c r="C67" s="642"/>
      <c r="D67" s="642"/>
      <c r="E67" s="642"/>
      <c r="F67" s="642"/>
      <c r="G67" s="646"/>
      <c r="H67" s="974"/>
      <c r="I67" s="974"/>
      <c r="J67" s="974"/>
      <c r="K67" s="974"/>
      <c r="L67" s="974"/>
      <c r="M67" s="974"/>
      <c r="N67" s="974"/>
      <c r="O67" s="974"/>
      <c r="P67" s="974"/>
      <c r="Q67" s="974"/>
      <c r="R67" s="974"/>
      <c r="S67" s="974"/>
    </row>
    <row r="68" spans="1:19" s="2" customFormat="1" ht="15.5" thickTop="1" thickBot="1" x14ac:dyDescent="0.4">
      <c r="A68" s="3764" t="s">
        <v>724</v>
      </c>
      <c r="B68" s="3765"/>
      <c r="C68" s="12"/>
      <c r="D68" s="12"/>
      <c r="E68" s="12"/>
      <c r="F68" s="12"/>
      <c r="G68" s="13"/>
      <c r="H68" s="21"/>
      <c r="I68" s="21"/>
      <c r="J68" s="21"/>
      <c r="K68" s="21"/>
      <c r="L68" s="21"/>
      <c r="M68" s="21"/>
      <c r="N68" s="21"/>
      <c r="O68" s="21"/>
      <c r="P68" s="21"/>
      <c r="Q68" s="21"/>
      <c r="R68" s="21"/>
      <c r="S68" s="21"/>
    </row>
    <row r="69" spans="1:19" ht="15" thickTop="1" x14ac:dyDescent="0.35">
      <c r="A69" s="975"/>
      <c r="B69" s="976"/>
      <c r="C69" s="969"/>
      <c r="D69" s="969"/>
      <c r="E69" s="969"/>
      <c r="F69" s="969"/>
      <c r="G69" s="1242"/>
      <c r="H69" s="972"/>
      <c r="I69" s="972"/>
      <c r="J69" s="972"/>
      <c r="K69" s="972"/>
      <c r="L69" s="972"/>
      <c r="M69" s="972"/>
      <c r="N69" s="972"/>
      <c r="O69" s="972"/>
      <c r="P69" s="972"/>
      <c r="Q69" s="972"/>
      <c r="R69" s="972"/>
      <c r="S69" s="972"/>
    </row>
    <row r="70" spans="1:19" x14ac:dyDescent="0.35">
      <c r="A70" s="686"/>
      <c r="B70" s="665"/>
      <c r="C70" s="642"/>
      <c r="D70" s="642"/>
      <c r="E70" s="642"/>
      <c r="F70" s="642"/>
      <c r="G70" s="646"/>
      <c r="H70" s="977"/>
      <c r="I70" s="977"/>
      <c r="J70" s="977"/>
      <c r="K70" s="977"/>
      <c r="L70" s="977"/>
      <c r="M70" s="977"/>
      <c r="N70" s="977"/>
      <c r="O70" s="977"/>
      <c r="P70" s="977"/>
      <c r="Q70" s="977"/>
      <c r="R70" s="977"/>
      <c r="S70" s="977"/>
    </row>
    <row r="71" spans="1:19" ht="15" thickBot="1" x14ac:dyDescent="0.4">
      <c r="A71" s="686"/>
      <c r="B71" s="665"/>
      <c r="C71" s="642"/>
      <c r="D71" s="642"/>
      <c r="E71" s="642"/>
      <c r="F71" s="642"/>
      <c r="G71" s="646"/>
      <c r="H71" s="977"/>
      <c r="I71" s="977"/>
      <c r="J71" s="977"/>
      <c r="K71" s="977"/>
      <c r="L71" s="977"/>
      <c r="M71" s="977"/>
      <c r="N71" s="977"/>
      <c r="O71" s="977"/>
      <c r="P71" s="977"/>
      <c r="Q71" s="977"/>
      <c r="R71" s="977"/>
      <c r="S71" s="977"/>
    </row>
    <row r="72" spans="1:19" ht="15.5" thickTop="1" thickBot="1" x14ac:dyDescent="0.4">
      <c r="A72" s="3764" t="s">
        <v>725</v>
      </c>
      <c r="B72" s="3765"/>
      <c r="C72" s="12"/>
      <c r="D72" s="12"/>
      <c r="E72" s="12"/>
      <c r="F72" s="12"/>
      <c r="G72" s="13"/>
      <c r="H72" s="21"/>
      <c r="I72" s="21"/>
      <c r="J72" s="21"/>
      <c r="K72" s="21"/>
      <c r="L72" s="21"/>
      <c r="M72" s="21"/>
      <c r="N72" s="21"/>
      <c r="O72" s="21"/>
      <c r="P72" s="21"/>
      <c r="Q72" s="21"/>
      <c r="R72" s="21"/>
      <c r="S72" s="21"/>
    </row>
    <row r="73" spans="1:19" ht="15" thickTop="1" x14ac:dyDescent="0.35">
      <c r="A73" s="689"/>
      <c r="B73" s="641" t="s">
        <v>726</v>
      </c>
      <c r="C73" s="642"/>
      <c r="D73" s="642"/>
      <c r="E73" s="642"/>
      <c r="F73" s="642"/>
      <c r="G73" s="646"/>
      <c r="H73" s="977"/>
      <c r="I73" s="977"/>
      <c r="J73" s="977"/>
      <c r="K73" s="977"/>
      <c r="L73" s="977"/>
      <c r="M73" s="977"/>
      <c r="N73" s="977"/>
      <c r="O73" s="977"/>
      <c r="P73" s="977"/>
      <c r="Q73" s="977"/>
      <c r="R73" s="977"/>
      <c r="S73" s="977"/>
    </row>
    <row r="74" spans="1:19" x14ac:dyDescent="0.35">
      <c r="A74" s="689"/>
      <c r="B74" s="641" t="s">
        <v>727</v>
      </c>
      <c r="C74" s="642"/>
      <c r="D74" s="642"/>
      <c r="E74" s="642"/>
      <c r="F74" s="642"/>
      <c r="G74" s="646"/>
      <c r="H74" s="977"/>
      <c r="I74" s="977"/>
      <c r="J74" s="977"/>
      <c r="K74" s="977"/>
      <c r="L74" s="977"/>
      <c r="M74" s="977"/>
      <c r="N74" s="977"/>
      <c r="O74" s="977"/>
      <c r="P74" s="977"/>
      <c r="Q74" s="977"/>
      <c r="R74" s="977"/>
      <c r="S74" s="977"/>
    </row>
    <row r="75" spans="1:19" x14ac:dyDescent="0.35">
      <c r="A75" s="689"/>
      <c r="B75" s="641" t="s">
        <v>728</v>
      </c>
      <c r="C75" s="642"/>
      <c r="D75" s="642"/>
      <c r="E75" s="642"/>
      <c r="F75" s="642"/>
      <c r="G75" s="646"/>
      <c r="H75" s="977"/>
      <c r="I75" s="977"/>
      <c r="J75" s="977"/>
      <c r="K75" s="977"/>
      <c r="L75" s="977"/>
      <c r="M75" s="977"/>
      <c r="N75" s="977"/>
      <c r="O75" s="977"/>
      <c r="P75" s="977"/>
      <c r="Q75" s="977"/>
      <c r="R75" s="977"/>
      <c r="S75" s="977"/>
    </row>
    <row r="76" spans="1:19" x14ac:dyDescent="0.35">
      <c r="A76" s="689"/>
      <c r="B76" s="641" t="s">
        <v>729</v>
      </c>
      <c r="C76" s="642"/>
      <c r="D76" s="642"/>
      <c r="E76" s="642"/>
      <c r="F76" s="642"/>
      <c r="G76" s="646"/>
      <c r="H76" s="977"/>
      <c r="I76" s="977"/>
      <c r="J76" s="977"/>
      <c r="K76" s="977"/>
      <c r="L76" s="977"/>
      <c r="M76" s="977"/>
      <c r="N76" s="977"/>
      <c r="O76" s="977"/>
      <c r="P76" s="977"/>
      <c r="Q76" s="977"/>
      <c r="R76" s="977"/>
      <c r="S76" s="977"/>
    </row>
    <row r="77" spans="1:19" ht="15" thickBot="1" x14ac:dyDescent="0.4">
      <c r="A77" s="978"/>
      <c r="B77" s="939"/>
      <c r="C77" s="940"/>
      <c r="D77" s="940"/>
      <c r="E77" s="940"/>
      <c r="F77" s="940"/>
      <c r="G77" s="1039"/>
      <c r="H77" s="981"/>
      <c r="I77" s="981"/>
      <c r="J77" s="981"/>
      <c r="K77" s="981"/>
      <c r="L77" s="981"/>
      <c r="M77" s="981"/>
      <c r="N77" s="981"/>
      <c r="O77" s="981"/>
      <c r="P77" s="981"/>
      <c r="Q77" s="981"/>
      <c r="R77" s="981"/>
      <c r="S77" s="981"/>
    </row>
    <row r="78" spans="1:19" ht="15.5" thickTop="1" thickBot="1" x14ac:dyDescent="0.4">
      <c r="A78" s="7" t="s">
        <v>730</v>
      </c>
      <c r="B78" s="8"/>
      <c r="C78" s="12"/>
      <c r="D78" s="12"/>
      <c r="E78" s="12"/>
      <c r="F78" s="12"/>
      <c r="G78" s="13"/>
      <c r="H78" s="21"/>
      <c r="I78" s="21"/>
      <c r="J78" s="21"/>
      <c r="K78" s="21"/>
      <c r="L78" s="21"/>
      <c r="M78" s="21"/>
      <c r="N78" s="21"/>
      <c r="O78" s="21"/>
      <c r="P78" s="21"/>
      <c r="Q78" s="21"/>
      <c r="R78" s="21"/>
      <c r="S78" s="21"/>
    </row>
    <row r="79" spans="1:19" ht="15" thickTop="1" x14ac:dyDescent="0.35">
      <c r="A79" s="968"/>
      <c r="B79" s="982" t="s">
        <v>731</v>
      </c>
      <c r="C79" s="969"/>
      <c r="D79" s="969"/>
      <c r="E79" s="969"/>
      <c r="F79" s="969"/>
      <c r="G79" s="1242"/>
      <c r="H79" s="983"/>
      <c r="I79" s="983"/>
      <c r="J79" s="983"/>
      <c r="K79" s="983"/>
      <c r="L79" s="983"/>
      <c r="M79" s="983"/>
      <c r="N79" s="983"/>
      <c r="O79" s="983"/>
      <c r="P79" s="983"/>
      <c r="Q79" s="983"/>
      <c r="R79" s="983"/>
      <c r="S79" s="983"/>
    </row>
    <row r="80" spans="1:19" x14ac:dyDescent="0.35">
      <c r="A80" s="689"/>
      <c r="B80" s="641" t="s">
        <v>732</v>
      </c>
      <c r="C80" s="642"/>
      <c r="D80" s="642"/>
      <c r="E80" s="642"/>
      <c r="F80" s="642"/>
      <c r="G80" s="646"/>
      <c r="H80" s="984"/>
      <c r="I80" s="984"/>
      <c r="J80" s="984"/>
      <c r="K80" s="984"/>
      <c r="L80" s="984"/>
      <c r="M80" s="984"/>
      <c r="N80" s="984"/>
      <c r="O80" s="984"/>
      <c r="P80" s="984"/>
      <c r="Q80" s="984"/>
      <c r="R80" s="984"/>
      <c r="S80" s="984"/>
    </row>
    <row r="81" spans="1:19" ht="15" thickBot="1" x14ac:dyDescent="0.4">
      <c r="A81" s="985"/>
      <c r="B81" s="986" t="s">
        <v>733</v>
      </c>
      <c r="C81" s="987"/>
      <c r="D81" s="987"/>
      <c r="E81" s="987"/>
      <c r="F81" s="987"/>
      <c r="G81" s="1040"/>
      <c r="H81" s="990"/>
      <c r="I81" s="990"/>
      <c r="J81" s="990"/>
      <c r="K81" s="990"/>
      <c r="L81" s="990"/>
      <c r="M81" s="990"/>
      <c r="N81" s="990"/>
      <c r="O81" s="990"/>
      <c r="P81" s="990"/>
      <c r="Q81" s="990"/>
      <c r="R81" s="990"/>
      <c r="S81" s="990"/>
    </row>
    <row r="82" spans="1:19" ht="15.5" thickTop="1" thickBot="1" x14ac:dyDescent="0.4"/>
    <row r="83" spans="1:19" ht="15.5" thickTop="1" thickBot="1" x14ac:dyDescent="0.4">
      <c r="A83" s="78" t="s">
        <v>734</v>
      </c>
      <c r="B83" s="80"/>
    </row>
    <row r="84" spans="1:19" ht="15" thickTop="1" x14ac:dyDescent="0.35">
      <c r="A84" s="79" t="s">
        <v>632</v>
      </c>
      <c r="B84" s="991"/>
    </row>
    <row r="85" spans="1:19" x14ac:dyDescent="0.35">
      <c r="A85" s="687" t="s">
        <v>636</v>
      </c>
      <c r="B85" s="991"/>
    </row>
    <row r="86" spans="1:19" x14ac:dyDescent="0.35">
      <c r="A86" s="992" t="s">
        <v>639</v>
      </c>
      <c r="B86" s="993"/>
    </row>
    <row r="87" spans="1:19" x14ac:dyDescent="0.35">
      <c r="A87" s="992" t="s">
        <v>642</v>
      </c>
      <c r="B87" s="994"/>
    </row>
    <row r="88" spans="1:19" ht="15" thickBot="1" x14ac:dyDescent="0.4">
      <c r="A88" s="995" t="s">
        <v>735</v>
      </c>
      <c r="B88" s="996"/>
    </row>
    <row r="89" spans="1:19" ht="15" thickTop="1" x14ac:dyDescent="0.35"/>
    <row r="90" spans="1:19" x14ac:dyDescent="0.35">
      <c r="A90" s="81"/>
      <c r="B90" s="1" t="s">
        <v>736</v>
      </c>
    </row>
    <row r="91" spans="1:19" x14ac:dyDescent="0.35">
      <c r="A91" s="82"/>
      <c r="B91" s="1" t="s">
        <v>737</v>
      </c>
    </row>
  </sheetData>
  <mergeCells count="47">
    <mergeCell ref="A56:B56"/>
    <mergeCell ref="A60:B60"/>
    <mergeCell ref="A64:B64"/>
    <mergeCell ref="A68:B68"/>
    <mergeCell ref="A72:B72"/>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2675" priority="13" operator="equal">
      <formula>"X"</formula>
    </cfRule>
    <cfRule type="cellIs" dxfId="2674" priority="14" operator="equal">
      <formula>"I"</formula>
    </cfRule>
  </conditionalFormatting>
  <conditionalFormatting sqref="H32:H47">
    <cfRule type="cellIs" dxfId="2673" priority="1" operator="equal">
      <formula>"X"</formula>
    </cfRule>
    <cfRule type="cellIs" dxfId="2672" priority="2" operator="equal">
      <formula>"I"</formula>
    </cfRule>
  </conditionalFormatting>
  <conditionalFormatting sqref="J20:J30">
    <cfRule type="cellIs" dxfId="2671" priority="15" operator="equal">
      <formula>"X"</formula>
    </cfRule>
    <cfRule type="cellIs" dxfId="2670" priority="16" operator="equal">
      <formula>"I"</formula>
    </cfRule>
  </conditionalFormatting>
  <conditionalFormatting sqref="J32:J47">
    <cfRule type="cellIs" dxfId="2669" priority="3" operator="equal">
      <formula>"X"</formula>
    </cfRule>
    <cfRule type="cellIs" dxfId="2668" priority="4" operator="equal">
      <formula>"I"</formula>
    </cfRule>
  </conditionalFormatting>
  <conditionalFormatting sqref="L20:L30">
    <cfRule type="cellIs" dxfId="2667" priority="17" operator="equal">
      <formula>"X"</formula>
    </cfRule>
    <cfRule type="cellIs" dxfId="2666" priority="18" operator="equal">
      <formula>"I"</formula>
    </cfRule>
  </conditionalFormatting>
  <conditionalFormatting sqref="L32:L47">
    <cfRule type="cellIs" dxfId="2665" priority="5" operator="equal">
      <formula>"X"</formula>
    </cfRule>
    <cfRule type="cellIs" dxfId="2664" priority="6" operator="equal">
      <formula>"I"</formula>
    </cfRule>
  </conditionalFormatting>
  <conditionalFormatting sqref="N20:N30">
    <cfRule type="cellIs" dxfId="2663" priority="19" operator="equal">
      <formula>"X"</formula>
    </cfRule>
    <cfRule type="cellIs" dxfId="2662" priority="20" operator="equal">
      <formula>"I"</formula>
    </cfRule>
  </conditionalFormatting>
  <conditionalFormatting sqref="N32:N47">
    <cfRule type="cellIs" dxfId="2661" priority="7" operator="equal">
      <formula>"X"</formula>
    </cfRule>
    <cfRule type="cellIs" dxfId="2660" priority="8" operator="equal">
      <formula>"I"</formula>
    </cfRule>
  </conditionalFormatting>
  <conditionalFormatting sqref="P20:P30">
    <cfRule type="cellIs" dxfId="2659" priority="21" operator="equal">
      <formula>"X"</formula>
    </cfRule>
    <cfRule type="cellIs" dxfId="2658" priority="22" operator="equal">
      <formula>"I"</formula>
    </cfRule>
  </conditionalFormatting>
  <conditionalFormatting sqref="P32:P47">
    <cfRule type="cellIs" dxfId="2657" priority="9" operator="equal">
      <formula>"X"</formula>
    </cfRule>
    <cfRule type="cellIs" dxfId="2656" priority="10" operator="equal">
      <formula>"I"</formula>
    </cfRule>
  </conditionalFormatting>
  <conditionalFormatting sqref="R20:R30">
    <cfRule type="cellIs" dxfId="2655" priority="23" operator="equal">
      <formula>"X"</formula>
    </cfRule>
    <cfRule type="cellIs" dxfId="2654" priority="24" operator="equal">
      <formula>"I"</formula>
    </cfRule>
  </conditionalFormatting>
  <conditionalFormatting sqref="R32:R47">
    <cfRule type="cellIs" dxfId="2653" priority="11" operator="equal">
      <formula>"X"</formula>
    </cfRule>
    <cfRule type="cellIs" dxfId="2652" priority="12" operator="equal">
      <formula>"I"</formula>
    </cfRule>
  </conditionalFormatting>
  <hyperlinks>
    <hyperlink ref="B3" location="'Cost Summary'!A1" display="BACK TO SUMMARY SHEET" xr:uid="{089FE55D-73F6-4710-B758-C74997EBEE09}"/>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84E-E9F9-4035-BD88-B068C0780A74}">
  <sheetPr>
    <tabColor rgb="FFFFC000"/>
  </sheetPr>
  <dimension ref="A1:W116"/>
  <sheetViews>
    <sheetView zoomScale="95" zoomScaleNormal="95" workbookViewId="0">
      <pane xSplit="2" ySplit="12" topLeftCell="F62" activePane="bottomRight" state="frozen"/>
      <selection pane="topRight" activeCell="C1" sqref="C1"/>
      <selection pane="bottomLeft" activeCell="A11" sqref="A11"/>
      <selection pane="bottomRight" activeCell="K38" sqref="K38"/>
    </sheetView>
  </sheetViews>
  <sheetFormatPr defaultRowHeight="14.5" x14ac:dyDescent="0.35"/>
  <cols>
    <col min="1" max="1" width="11" customWidth="1"/>
    <col min="2" max="2" width="70.7265625" style="1" customWidth="1"/>
    <col min="3" max="3" width="15.81640625" style="2" customWidth="1"/>
    <col min="4" max="4" width="12.81640625" style="2" customWidth="1"/>
    <col min="5" max="5" width="7.54296875" style="2" customWidth="1"/>
    <col min="6" max="6" width="11.7265625" style="2" customWidth="1"/>
    <col min="7" max="7" width="23.1796875" style="2" customWidth="1"/>
    <col min="8" max="8" width="6.26953125" style="2" customWidth="1"/>
    <col min="9" max="9" width="14.81640625" style="2" customWidth="1"/>
    <col min="10" max="10" width="6.26953125" style="2" customWidth="1"/>
    <col min="11" max="11" width="17" style="2" customWidth="1"/>
    <col min="12" max="12" width="7.453125" style="2" bestFit="1" customWidth="1"/>
    <col min="13" max="13" width="14.81640625" style="2" customWidth="1"/>
    <col min="14" max="14" width="6.54296875" style="2" customWidth="1"/>
    <col min="15" max="15" width="14.81640625" style="2" customWidth="1"/>
    <col min="16" max="16" width="6.453125" style="2" customWidth="1"/>
    <col min="17" max="17" width="17" style="2" customWidth="1"/>
    <col min="18" max="18" width="6.453125" style="2" customWidth="1"/>
    <col min="19" max="19" width="17" style="2" customWidth="1"/>
    <col min="20" max="20" width="6.1796875" style="2" hidden="1" customWidth="1"/>
    <col min="21" max="21" width="14.81640625" style="2" hidden="1" customWidth="1"/>
    <col min="22" max="22" width="7.453125" style="2" hidden="1" customWidth="1"/>
    <col min="23" max="23" width="14.81640625" style="2" hidden="1" customWidth="1"/>
  </cols>
  <sheetData>
    <row r="1" spans="1:23" x14ac:dyDescent="0.35">
      <c r="E1" s="152"/>
      <c r="F1" s="125"/>
      <c r="G1" s="123" t="s">
        <v>621</v>
      </c>
      <c r="J1" s="3795" t="s">
        <v>770</v>
      </c>
      <c r="K1" s="3795"/>
      <c r="L1" s="3785"/>
      <c r="M1" s="3785"/>
      <c r="T1" s="3785"/>
      <c r="U1" s="3785"/>
    </row>
    <row r="2" spans="1:23" ht="35.25" customHeight="1" x14ac:dyDescent="0.35">
      <c r="E2" s="152"/>
      <c r="F2" s="122" t="s">
        <v>622</v>
      </c>
      <c r="G2" s="123" t="s">
        <v>451</v>
      </c>
      <c r="H2" s="3799"/>
      <c r="I2" s="3799"/>
      <c r="J2" s="3799" t="s">
        <v>1062</v>
      </c>
      <c r="K2" s="3799"/>
      <c r="L2" s="3751"/>
      <c r="M2" s="3751"/>
      <c r="N2" s="3789"/>
      <c r="O2" s="3789"/>
      <c r="P2" s="3799"/>
      <c r="Q2" s="3799"/>
      <c r="R2" s="3799" t="s">
        <v>1063</v>
      </c>
      <c r="S2" s="3799"/>
      <c r="T2" s="3751" t="s">
        <v>1064</v>
      </c>
      <c r="U2" s="3751"/>
      <c r="V2" s="3751" t="s">
        <v>1065</v>
      </c>
      <c r="W2" s="3751"/>
    </row>
    <row r="3" spans="1:23" ht="19.5" x14ac:dyDescent="0.35">
      <c r="B3" s="137" t="s">
        <v>623</v>
      </c>
      <c r="E3" s="152"/>
      <c r="F3" s="124" t="s">
        <v>624</v>
      </c>
      <c r="G3" s="123" t="s">
        <v>557</v>
      </c>
      <c r="H3" s="3797" t="s">
        <v>625</v>
      </c>
      <c r="I3" s="3798"/>
      <c r="J3" s="3778" t="s">
        <v>625</v>
      </c>
      <c r="K3" s="3779"/>
      <c r="L3" s="3754" t="s">
        <v>626</v>
      </c>
      <c r="M3" s="3755"/>
      <c r="N3" s="3754" t="s">
        <v>627</v>
      </c>
      <c r="O3" s="3755"/>
      <c r="P3" s="3754" t="s">
        <v>628</v>
      </c>
      <c r="Q3" s="3755"/>
      <c r="R3" s="3754" t="s">
        <v>628</v>
      </c>
      <c r="S3" s="3755"/>
      <c r="T3" s="3754" t="s">
        <v>772</v>
      </c>
      <c r="U3" s="3755"/>
      <c r="V3" s="3754" t="s">
        <v>773</v>
      </c>
      <c r="W3" s="3755"/>
    </row>
    <row r="4" spans="1:23" x14ac:dyDescent="0.35">
      <c r="A4" s="3" t="s">
        <v>631</v>
      </c>
      <c r="B4" s="4" t="str">
        <f>'AREA CALC''s'!B4</f>
        <v>Alton Hilltop Gardens</v>
      </c>
      <c r="C4" s="5"/>
      <c r="D4" s="5"/>
      <c r="E4" s="5"/>
      <c r="F4" s="5"/>
      <c r="G4" s="6" t="s">
        <v>632</v>
      </c>
      <c r="H4" s="3752" t="s">
        <v>1066</v>
      </c>
      <c r="I4" s="3753"/>
      <c r="J4" s="3752" t="s">
        <v>1066</v>
      </c>
      <c r="K4" s="3753"/>
      <c r="L4" s="3752" t="s">
        <v>1067</v>
      </c>
      <c r="M4" s="3753"/>
      <c r="N4" s="3752" t="s">
        <v>1068</v>
      </c>
      <c r="O4" s="3753"/>
      <c r="P4" s="3752" t="s">
        <v>1069</v>
      </c>
      <c r="Q4" s="3753"/>
      <c r="R4" s="3752" t="s">
        <v>1070</v>
      </c>
      <c r="S4" s="3753"/>
      <c r="T4" s="3752" t="s">
        <v>1071</v>
      </c>
      <c r="U4" s="3753"/>
      <c r="V4" s="3796" t="s">
        <v>1072</v>
      </c>
      <c r="W4" s="3753"/>
    </row>
    <row r="5" spans="1:23" x14ac:dyDescent="0.35">
      <c r="A5" s="688" t="s">
        <v>634</v>
      </c>
      <c r="B5" s="641" t="s">
        <v>469</v>
      </c>
      <c r="C5" s="642"/>
      <c r="D5" s="642"/>
      <c r="E5" s="642"/>
      <c r="F5" s="642"/>
      <c r="G5" s="643" t="s">
        <v>636</v>
      </c>
      <c r="H5" s="3787" t="s">
        <v>1073</v>
      </c>
      <c r="I5" s="3788"/>
      <c r="J5" s="3787" t="s">
        <v>1073</v>
      </c>
      <c r="K5" s="3788"/>
      <c r="L5" s="3787" t="s">
        <v>1074</v>
      </c>
      <c r="M5" s="3788"/>
      <c r="N5" s="3787" t="s">
        <v>1075</v>
      </c>
      <c r="O5" s="3788"/>
      <c r="P5" s="3758" t="s">
        <v>1076</v>
      </c>
      <c r="Q5" s="3759"/>
      <c r="R5" s="3787" t="s">
        <v>1077</v>
      </c>
      <c r="S5" s="3788"/>
      <c r="T5" s="3787" t="s">
        <v>1078</v>
      </c>
      <c r="U5" s="3788"/>
      <c r="V5" s="3787"/>
      <c r="W5" s="3788"/>
    </row>
    <row r="6" spans="1:23" x14ac:dyDescent="0.35">
      <c r="A6" s="688" t="s">
        <v>638</v>
      </c>
      <c r="B6" s="644" t="s">
        <v>468</v>
      </c>
      <c r="C6" s="642"/>
      <c r="D6" s="642"/>
      <c r="E6" s="642"/>
      <c r="F6" s="642"/>
      <c r="G6" s="643" t="s">
        <v>639</v>
      </c>
      <c r="H6" s="3756" t="s">
        <v>1079</v>
      </c>
      <c r="I6" s="3757"/>
      <c r="J6" s="3756" t="s">
        <v>1079</v>
      </c>
      <c r="K6" s="3757"/>
      <c r="L6" s="3756" t="s">
        <v>1080</v>
      </c>
      <c r="M6" s="3757"/>
      <c r="N6" s="3787" t="s">
        <v>1081</v>
      </c>
      <c r="O6" s="3788"/>
      <c r="P6" s="3756" t="s">
        <v>1082</v>
      </c>
      <c r="Q6" s="3757"/>
      <c r="R6" s="3756" t="s">
        <v>1083</v>
      </c>
      <c r="S6" s="3757"/>
      <c r="T6" s="3756" t="s">
        <v>1084</v>
      </c>
      <c r="U6" s="3757"/>
      <c r="V6" s="3756"/>
      <c r="W6" s="3757"/>
    </row>
    <row r="7" spans="1:23" x14ac:dyDescent="0.35">
      <c r="A7" s="688" t="s">
        <v>641</v>
      </c>
      <c r="B7" s="645"/>
      <c r="C7" s="642"/>
      <c r="D7" s="642"/>
      <c r="E7" s="642"/>
      <c r="F7" s="642"/>
      <c r="G7" s="643" t="s">
        <v>642</v>
      </c>
      <c r="H7" s="3790" t="s">
        <v>1085</v>
      </c>
      <c r="I7" s="3792"/>
      <c r="J7" s="3790" t="s">
        <v>1085</v>
      </c>
      <c r="K7" s="3792"/>
      <c r="L7" s="3790" t="s">
        <v>1086</v>
      </c>
      <c r="M7" s="3792"/>
      <c r="N7" s="3790" t="s">
        <v>1087</v>
      </c>
      <c r="O7" s="3792"/>
      <c r="P7" s="3762" t="s">
        <v>1088</v>
      </c>
      <c r="Q7" s="3763"/>
      <c r="R7" s="3790" t="s">
        <v>1089</v>
      </c>
      <c r="S7" s="3792"/>
      <c r="T7" s="3790" t="s">
        <v>1090</v>
      </c>
      <c r="U7" s="3792"/>
      <c r="V7" s="3786"/>
      <c r="W7" s="3757"/>
    </row>
    <row r="8" spans="1:23" x14ac:dyDescent="0.35">
      <c r="A8" s="688" t="s">
        <v>644</v>
      </c>
      <c r="B8" s="645"/>
      <c r="C8" s="642"/>
      <c r="D8" s="642"/>
      <c r="E8" s="642"/>
      <c r="F8" s="642"/>
      <c r="G8" s="1024" t="s">
        <v>1091</v>
      </c>
      <c r="H8" s="3760">
        <f>I73</f>
        <v>879361.55</v>
      </c>
      <c r="I8" s="3761"/>
      <c r="J8" s="3760">
        <f>K73</f>
        <v>813304.82499999995</v>
      </c>
      <c r="K8" s="3761"/>
      <c r="L8" s="3760">
        <f>M73</f>
        <v>998903</v>
      </c>
      <c r="M8" s="3761"/>
      <c r="N8" s="3760">
        <f>O73</f>
        <v>1101307</v>
      </c>
      <c r="O8" s="3761"/>
      <c r="P8" s="3760">
        <f>Q73</f>
        <v>151286.46249999999</v>
      </c>
      <c r="Q8" s="3761"/>
      <c r="R8" s="3760">
        <f>S73</f>
        <v>1070750</v>
      </c>
      <c r="S8" s="3761"/>
      <c r="T8" s="3760">
        <f>U73</f>
        <v>730889.16</v>
      </c>
      <c r="U8" s="3761"/>
      <c r="V8" s="3760">
        <f>W73</f>
        <v>1937959.2</v>
      </c>
      <c r="W8" s="3761"/>
    </row>
    <row r="9" spans="1:23" ht="15" customHeight="1" x14ac:dyDescent="0.35">
      <c r="A9" s="688"/>
      <c r="B9" s="645"/>
      <c r="C9" s="642"/>
      <c r="D9" s="642"/>
      <c r="E9" s="642"/>
      <c r="F9" s="642"/>
      <c r="G9" s="1024" t="s">
        <v>1092</v>
      </c>
      <c r="H9" s="3793">
        <f>'05F Brackets &amp; Rafter Tails'!L8</f>
        <v>412837.5</v>
      </c>
      <c r="I9" s="3794"/>
      <c r="J9" s="3793">
        <f>'05F Brackets &amp; Rafter Tails'!N8</f>
        <v>438146.25</v>
      </c>
      <c r="K9" s="3794"/>
      <c r="L9" s="3760" t="s">
        <v>1093</v>
      </c>
      <c r="M9" s="3761"/>
      <c r="N9" s="3760">
        <f>'05F Brackets &amp; Rafter Tails'!V8</f>
        <v>493453</v>
      </c>
      <c r="O9" s="3761"/>
      <c r="P9" s="3760" t="s">
        <v>1094</v>
      </c>
      <c r="Q9" s="3761"/>
      <c r="R9" s="3760" t="s">
        <v>1095</v>
      </c>
      <c r="S9" s="3761"/>
      <c r="T9" s="3760"/>
      <c r="U9" s="3761"/>
      <c r="V9" s="3760"/>
      <c r="W9" s="3761"/>
    </row>
    <row r="10" spans="1:23" ht="15" customHeight="1" x14ac:dyDescent="0.35">
      <c r="A10" s="688"/>
      <c r="B10" s="645"/>
      <c r="C10" s="642"/>
      <c r="D10" s="642"/>
      <c r="E10" s="642"/>
      <c r="F10" s="642"/>
      <c r="G10" s="1024" t="s">
        <v>1096</v>
      </c>
      <c r="H10" s="3793">
        <f>'13C Awnings,Canopies,Shutters'!J8</f>
        <v>1038214.35</v>
      </c>
      <c r="I10" s="3794"/>
      <c r="J10" s="3793">
        <f>'13C Awnings,Canopies,Shutters'!L8</f>
        <v>913200.57499999995</v>
      </c>
      <c r="K10" s="3794"/>
      <c r="L10" s="3760" t="s">
        <v>1093</v>
      </c>
      <c r="M10" s="3761"/>
      <c r="N10" s="3760">
        <f>'13C Awnings,Canopies,Shutters'!T8</f>
        <v>1153400.31</v>
      </c>
      <c r="O10" s="3761"/>
      <c r="P10" s="3760">
        <f>'13C Awnings,Canopies,Shutters'!R8</f>
        <v>2125000</v>
      </c>
      <c r="Q10" s="3761"/>
      <c r="R10" s="3760">
        <f>'13C Awnings,Canopies,Shutters'!X8</f>
        <v>1955430</v>
      </c>
      <c r="S10" s="3761"/>
      <c r="T10" s="3760"/>
      <c r="U10" s="3761"/>
      <c r="V10" s="3760"/>
      <c r="W10" s="3761"/>
    </row>
    <row r="11" spans="1:23" ht="14.5" customHeight="1" x14ac:dyDescent="0.35">
      <c r="A11" s="688"/>
      <c r="B11" s="645"/>
      <c r="C11" s="642"/>
      <c r="D11" s="642"/>
      <c r="E11" s="642"/>
      <c r="F11" s="642"/>
      <c r="G11" s="1024" t="s">
        <v>5</v>
      </c>
      <c r="H11" s="3760">
        <f>SUM(H8:I10)</f>
        <v>2330413.4</v>
      </c>
      <c r="I11" s="3761"/>
      <c r="J11" s="3760">
        <f>SUM(J8:K10)</f>
        <v>2164651.65</v>
      </c>
      <c r="K11" s="3761"/>
      <c r="L11" s="3760">
        <f>SUM(L8:M10)</f>
        <v>998903</v>
      </c>
      <c r="M11" s="3761"/>
      <c r="N11" s="3760">
        <f>SUM(N8:O10)</f>
        <v>2748160.31</v>
      </c>
      <c r="O11" s="3761"/>
      <c r="P11" s="3760">
        <f>SUM(P8:Q10)</f>
        <v>2276286.4624999999</v>
      </c>
      <c r="Q11" s="3761"/>
      <c r="R11" s="3760">
        <f>SUM(R8:S10)</f>
        <v>3026180</v>
      </c>
      <c r="S11" s="3761"/>
      <c r="T11" s="3760"/>
      <c r="U11" s="3761"/>
      <c r="V11" s="3760"/>
      <c r="W11" s="3761"/>
    </row>
    <row r="12" spans="1:23" ht="29" x14ac:dyDescent="0.35">
      <c r="A12" s="7" t="s">
        <v>645</v>
      </c>
      <c r="B12" s="8"/>
      <c r="C12" s="9" t="s">
        <v>646</v>
      </c>
      <c r="D12" s="9" t="s">
        <v>647</v>
      </c>
      <c r="E12" s="9" t="s">
        <v>648</v>
      </c>
      <c r="F12" s="9" t="s">
        <v>649</v>
      </c>
      <c r="G12" s="10" t="s">
        <v>650</v>
      </c>
      <c r="H12" s="11" t="s">
        <v>651</v>
      </c>
      <c r="I12" s="11" t="s">
        <v>652</v>
      </c>
      <c r="J12" s="11" t="s">
        <v>651</v>
      </c>
      <c r="K12" s="11" t="s">
        <v>652</v>
      </c>
      <c r="L12" s="11" t="s">
        <v>651</v>
      </c>
      <c r="M12" s="11" t="s">
        <v>652</v>
      </c>
      <c r="N12" s="11" t="s">
        <v>651</v>
      </c>
      <c r="O12" s="11" t="s">
        <v>652</v>
      </c>
      <c r="P12" s="11"/>
      <c r="Q12" s="11"/>
      <c r="R12" s="11"/>
      <c r="S12" s="11"/>
      <c r="T12" s="11" t="s">
        <v>651</v>
      </c>
      <c r="U12" s="11" t="s">
        <v>652</v>
      </c>
      <c r="V12" s="11" t="s">
        <v>651</v>
      </c>
      <c r="W12" s="11" t="s">
        <v>652</v>
      </c>
    </row>
    <row r="13" spans="1:23" hidden="1" x14ac:dyDescent="0.35">
      <c r="A13" s="689"/>
      <c r="B13" s="997" t="s">
        <v>653</v>
      </c>
      <c r="C13" s="642"/>
      <c r="D13" s="642"/>
      <c r="E13" s="642"/>
      <c r="F13" s="642"/>
      <c r="G13" s="646"/>
      <c r="H13" s="942"/>
      <c r="I13" s="942"/>
      <c r="J13" s="942"/>
      <c r="K13" s="942"/>
      <c r="L13" s="942"/>
      <c r="M13" s="942"/>
      <c r="N13" s="942"/>
      <c r="O13" s="942"/>
      <c r="P13" s="942"/>
      <c r="Q13" s="942"/>
      <c r="R13" s="942"/>
      <c r="S13" s="942"/>
      <c r="T13" s="942"/>
      <c r="U13" s="942"/>
      <c r="V13" s="942"/>
      <c r="W13" s="942"/>
    </row>
    <row r="14" spans="1:23"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c r="V14" s="942"/>
      <c r="W14" s="942"/>
    </row>
    <row r="15" spans="1:23"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c r="V15" s="942"/>
      <c r="W15" s="942"/>
    </row>
    <row r="16" spans="1:23"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c r="T16" s="942"/>
      <c r="U16" s="942"/>
      <c r="V16" s="942"/>
      <c r="W16" s="942"/>
    </row>
    <row r="17" spans="1:23"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c r="T17" s="942"/>
      <c r="U17" s="942"/>
      <c r="V17" s="942"/>
      <c r="W17" s="942"/>
    </row>
    <row r="18" spans="1:23"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c r="V18" s="942"/>
      <c r="W18" s="942"/>
    </row>
    <row r="19" spans="1:23"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c r="T19" s="942"/>
      <c r="U19" s="942"/>
      <c r="V19" s="942"/>
      <c r="W19" s="942"/>
    </row>
    <row r="20" spans="1:23" hidden="1" x14ac:dyDescent="0.35">
      <c r="A20" s="689"/>
      <c r="B20" s="641" t="e">
        <f>#REF!</f>
        <v>#REF!</v>
      </c>
      <c r="C20" s="647" t="s">
        <v>654</v>
      </c>
      <c r="D20" s="642"/>
      <c r="E20" s="642"/>
      <c r="F20" s="642"/>
      <c r="G20" s="646"/>
      <c r="H20" s="942"/>
      <c r="I20" s="942"/>
      <c r="J20" s="942"/>
      <c r="K20" s="942"/>
      <c r="L20" s="942"/>
      <c r="M20" s="942"/>
      <c r="N20" s="942"/>
      <c r="O20" s="942"/>
      <c r="P20" s="942"/>
      <c r="Q20" s="942"/>
      <c r="R20" s="942"/>
      <c r="S20" s="942"/>
      <c r="T20" s="942"/>
      <c r="U20" s="942"/>
      <c r="V20" s="942"/>
      <c r="W20" s="942"/>
    </row>
    <row r="21" spans="1:23" hidden="1" x14ac:dyDescent="0.35">
      <c r="A21" s="689"/>
      <c r="B21" s="641" t="e">
        <f>#REF!</f>
        <v>#REF!</v>
      </c>
      <c r="C21" s="647" t="s">
        <v>654</v>
      </c>
      <c r="D21" s="642"/>
      <c r="E21" s="642"/>
      <c r="F21" s="642"/>
      <c r="G21" s="646"/>
      <c r="H21" s="942"/>
      <c r="I21" s="942"/>
      <c r="J21" s="942"/>
      <c r="K21" s="942"/>
      <c r="L21" s="942"/>
      <c r="M21" s="942"/>
      <c r="N21" s="942"/>
      <c r="O21" s="942"/>
      <c r="P21" s="942"/>
      <c r="Q21" s="942"/>
      <c r="R21" s="942"/>
      <c r="S21" s="942"/>
      <c r="T21" s="942"/>
      <c r="U21" s="942"/>
      <c r="V21" s="942"/>
      <c r="W21" s="942"/>
    </row>
    <row r="22" spans="1:23" hidden="1" x14ac:dyDescent="0.35">
      <c r="A22" s="689"/>
      <c r="B22" s="641" t="e">
        <f>#REF!</f>
        <v>#REF!</v>
      </c>
      <c r="C22" s="647" t="s">
        <v>654</v>
      </c>
      <c r="D22" s="642"/>
      <c r="E22" s="642"/>
      <c r="F22" s="642"/>
      <c r="G22" s="646"/>
      <c r="H22" s="942"/>
      <c r="I22" s="942"/>
      <c r="J22" s="942"/>
      <c r="K22" s="942"/>
      <c r="L22" s="942"/>
      <c r="M22" s="942"/>
      <c r="N22" s="942"/>
      <c r="O22" s="942"/>
      <c r="P22" s="942"/>
      <c r="Q22" s="942"/>
      <c r="R22" s="942"/>
      <c r="S22" s="942"/>
      <c r="T22" s="942"/>
      <c r="U22" s="942"/>
      <c r="V22" s="942"/>
      <c r="W22" s="942"/>
    </row>
    <row r="23" spans="1:23" x14ac:dyDescent="0.35">
      <c r="A23" s="689"/>
      <c r="B23" s="641"/>
      <c r="C23" s="647"/>
      <c r="D23" s="642"/>
      <c r="E23" s="642"/>
      <c r="F23" s="642"/>
      <c r="G23" s="646"/>
      <c r="H23" s="943"/>
      <c r="I23" s="942"/>
      <c r="J23" s="943"/>
      <c r="K23" s="942"/>
      <c r="L23" s="943"/>
      <c r="M23" s="942"/>
      <c r="N23" s="943"/>
      <c r="O23" s="942"/>
      <c r="P23" s="942"/>
      <c r="Q23" s="942"/>
      <c r="R23" s="942"/>
      <c r="S23" s="942"/>
      <c r="T23" s="943"/>
      <c r="U23" s="942"/>
      <c r="V23" s="943"/>
      <c r="W23" s="942"/>
    </row>
    <row r="24" spans="1:23" x14ac:dyDescent="0.35">
      <c r="A24" s="689"/>
      <c r="B24" s="648" t="s">
        <v>469</v>
      </c>
      <c r="C24" s="647"/>
      <c r="D24" s="642"/>
      <c r="E24" s="642"/>
      <c r="F24" s="642"/>
      <c r="G24" s="646"/>
      <c r="H24" s="943"/>
      <c r="I24" s="942"/>
      <c r="J24" s="943"/>
      <c r="K24" s="942"/>
      <c r="L24" s="943"/>
      <c r="M24" s="942"/>
      <c r="N24" s="943"/>
      <c r="O24" s="942"/>
      <c r="P24" s="942"/>
      <c r="Q24" s="942"/>
      <c r="R24" s="942"/>
      <c r="S24" s="942"/>
      <c r="T24" s="943"/>
      <c r="U24" s="942"/>
      <c r="V24" s="943"/>
      <c r="W24" s="942"/>
    </row>
    <row r="25" spans="1:23" x14ac:dyDescent="0.35">
      <c r="A25" s="998"/>
      <c r="B25" s="604" t="s">
        <v>657</v>
      </c>
      <c r="C25" s="647"/>
      <c r="D25" s="642"/>
      <c r="E25" s="642"/>
      <c r="F25" s="642"/>
      <c r="G25" s="646"/>
      <c r="H25" s="943"/>
      <c r="I25" s="1000"/>
      <c r="J25" s="943"/>
      <c r="K25" s="1000"/>
      <c r="L25" s="943"/>
      <c r="M25" s="1000"/>
      <c r="N25" s="943"/>
      <c r="O25" s="1000"/>
      <c r="P25" s="1000"/>
      <c r="Q25" s="1000"/>
      <c r="R25" s="1000"/>
      <c r="S25" s="1000"/>
      <c r="T25" s="943"/>
      <c r="U25" s="1000"/>
      <c r="V25" s="943"/>
      <c r="W25" s="1000"/>
    </row>
    <row r="26" spans="1:23" x14ac:dyDescent="0.35">
      <c r="A26" s="998"/>
      <c r="B26" s="607" t="s">
        <v>658</v>
      </c>
      <c r="C26" s="647"/>
      <c r="D26" s="642"/>
      <c r="E26" s="642"/>
      <c r="F26" s="642"/>
      <c r="G26" s="646"/>
      <c r="H26" s="943" t="s">
        <v>669</v>
      </c>
      <c r="I26" s="1000"/>
      <c r="J26" s="943" t="s">
        <v>669</v>
      </c>
      <c r="K26" s="1000"/>
      <c r="L26" s="943" t="s">
        <v>669</v>
      </c>
      <c r="M26" s="999"/>
      <c r="N26" s="943" t="s">
        <v>669</v>
      </c>
      <c r="O26" s="1000"/>
      <c r="P26" s="943" t="s">
        <v>669</v>
      </c>
      <c r="Q26" s="1000"/>
      <c r="R26" s="943" t="s">
        <v>669</v>
      </c>
      <c r="S26" s="1000"/>
      <c r="T26" s="943" t="s">
        <v>669</v>
      </c>
      <c r="U26" s="1000"/>
      <c r="V26" s="943" t="s">
        <v>669</v>
      </c>
      <c r="W26" s="999"/>
    </row>
    <row r="27" spans="1:23" x14ac:dyDescent="0.35">
      <c r="A27" s="683"/>
      <c r="B27" s="948" t="s">
        <v>659</v>
      </c>
      <c r="C27" s="642"/>
      <c r="D27" s="642"/>
      <c r="E27" s="642"/>
      <c r="F27" s="642"/>
      <c r="G27" s="646"/>
      <c r="H27" s="943" t="s">
        <v>669</v>
      </c>
      <c r="I27" s="999"/>
      <c r="J27" s="943" t="s">
        <v>669</v>
      </c>
      <c r="K27" s="999"/>
      <c r="L27" s="943" t="s">
        <v>669</v>
      </c>
      <c r="M27" s="1000"/>
      <c r="N27" s="943" t="s">
        <v>669</v>
      </c>
      <c r="O27" s="999"/>
      <c r="P27" s="943" t="s">
        <v>669</v>
      </c>
      <c r="Q27" s="999"/>
      <c r="R27" s="943" t="s">
        <v>669</v>
      </c>
      <c r="S27" s="999"/>
      <c r="T27" s="943" t="s">
        <v>669</v>
      </c>
      <c r="U27" s="1000"/>
      <c r="V27" s="943" t="s">
        <v>669</v>
      </c>
      <c r="W27" s="1000"/>
    </row>
    <row r="28" spans="1:23" x14ac:dyDescent="0.35">
      <c r="A28" s="998"/>
      <c r="B28" s="949" t="s">
        <v>660</v>
      </c>
      <c r="C28" s="642"/>
      <c r="D28" s="642"/>
      <c r="E28" s="642"/>
      <c r="F28" s="642"/>
      <c r="G28" s="646"/>
      <c r="H28" s="943" t="s">
        <v>671</v>
      </c>
      <c r="I28" s="999"/>
      <c r="J28" s="943" t="s">
        <v>671</v>
      </c>
      <c r="K28" s="999"/>
      <c r="L28" s="943" t="s">
        <v>671</v>
      </c>
      <c r="M28" s="1000" t="s">
        <v>1097</v>
      </c>
      <c r="N28" s="943" t="s">
        <v>671</v>
      </c>
      <c r="O28" s="999"/>
      <c r="P28" s="943" t="s">
        <v>671</v>
      </c>
      <c r="Q28" s="999"/>
      <c r="R28" s="943" t="s">
        <v>671</v>
      </c>
      <c r="S28" s="999"/>
      <c r="T28" s="943" t="s">
        <v>671</v>
      </c>
      <c r="U28" s="999"/>
      <c r="V28" s="943" t="s">
        <v>671</v>
      </c>
      <c r="W28" s="1000"/>
    </row>
    <row r="29" spans="1:23" x14ac:dyDescent="0.35">
      <c r="A29" s="683"/>
      <c r="B29" s="949" t="s">
        <v>661</v>
      </c>
      <c r="C29" s="642"/>
      <c r="D29" s="642"/>
      <c r="E29" s="642"/>
      <c r="F29" s="642"/>
      <c r="G29" s="646"/>
      <c r="H29" s="943" t="s">
        <v>669</v>
      </c>
      <c r="I29" s="999"/>
      <c r="J29" s="943" t="s">
        <v>669</v>
      </c>
      <c r="K29" s="999"/>
      <c r="L29" s="943" t="s">
        <v>669</v>
      </c>
      <c r="M29" s="1000"/>
      <c r="N29" s="943" t="s">
        <v>669</v>
      </c>
      <c r="O29" s="999"/>
      <c r="P29" s="943" t="s">
        <v>669</v>
      </c>
      <c r="Q29" s="999"/>
      <c r="R29" s="943" t="s">
        <v>669</v>
      </c>
      <c r="S29" s="999"/>
      <c r="T29" s="943" t="s">
        <v>669</v>
      </c>
      <c r="U29" s="999"/>
      <c r="V29" s="943" t="s">
        <v>669</v>
      </c>
      <c r="W29" s="1000"/>
    </row>
    <row r="30" spans="1:23" x14ac:dyDescent="0.35">
      <c r="A30" s="998"/>
      <c r="B30" s="949" t="s">
        <v>662</v>
      </c>
      <c r="C30" s="642"/>
      <c r="D30" s="642"/>
      <c r="E30" s="642"/>
      <c r="F30" s="642"/>
      <c r="G30" s="646"/>
      <c r="H30" s="943" t="s">
        <v>669</v>
      </c>
      <c r="I30" s="999"/>
      <c r="J30" s="943" t="s">
        <v>669</v>
      </c>
      <c r="K30" s="999"/>
      <c r="L30" s="943" t="s">
        <v>669</v>
      </c>
      <c r="M30" s="1000"/>
      <c r="N30" s="943" t="s">
        <v>669</v>
      </c>
      <c r="O30" s="999"/>
      <c r="P30" s="943" t="s">
        <v>669</v>
      </c>
      <c r="Q30" s="999"/>
      <c r="R30" s="943" t="s">
        <v>669</v>
      </c>
      <c r="S30" s="999"/>
      <c r="T30" s="943" t="s">
        <v>669</v>
      </c>
      <c r="U30" s="999"/>
      <c r="V30" s="943" t="s">
        <v>669</v>
      </c>
      <c r="W30" s="1000"/>
    </row>
    <row r="31" spans="1:23" x14ac:dyDescent="0.35">
      <c r="A31" s="998"/>
      <c r="B31" s="949" t="s">
        <v>663</v>
      </c>
      <c r="C31" s="642"/>
      <c r="D31" s="642"/>
      <c r="E31" s="642"/>
      <c r="F31" s="642"/>
      <c r="G31" s="646"/>
      <c r="H31" s="943" t="s">
        <v>669</v>
      </c>
      <c r="I31" s="999"/>
      <c r="J31" s="943" t="s">
        <v>669</v>
      </c>
      <c r="K31" s="999"/>
      <c r="L31" s="943" t="s">
        <v>669</v>
      </c>
      <c r="M31" s="1000"/>
      <c r="N31" s="943" t="s">
        <v>669</v>
      </c>
      <c r="O31" s="999"/>
      <c r="P31" s="943" t="s">
        <v>669</v>
      </c>
      <c r="Q31" s="999"/>
      <c r="R31" s="943" t="s">
        <v>669</v>
      </c>
      <c r="S31" s="999"/>
      <c r="T31" s="943" t="s">
        <v>669</v>
      </c>
      <c r="U31" s="999"/>
      <c r="V31" s="943" t="s">
        <v>669</v>
      </c>
      <c r="W31" s="1000"/>
    </row>
    <row r="32" spans="1:23" x14ac:dyDescent="0.35">
      <c r="A32" s="998"/>
      <c r="B32" s="1244" t="s">
        <v>789</v>
      </c>
      <c r="C32" s="642"/>
      <c r="D32" s="642"/>
      <c r="E32" s="642"/>
      <c r="F32" s="642"/>
      <c r="G32" s="646"/>
      <c r="H32" s="943" t="s">
        <v>671</v>
      </c>
      <c r="I32" s="999" t="s">
        <v>1008</v>
      </c>
      <c r="J32" s="943" t="s">
        <v>671</v>
      </c>
      <c r="K32" s="999" t="s">
        <v>1008</v>
      </c>
      <c r="L32" s="943" t="s">
        <v>671</v>
      </c>
      <c r="M32" s="999" t="s">
        <v>1008</v>
      </c>
      <c r="N32" s="943" t="s">
        <v>671</v>
      </c>
      <c r="O32" s="999" t="s">
        <v>1098</v>
      </c>
      <c r="P32" s="943" t="s">
        <v>671</v>
      </c>
      <c r="Q32" s="999" t="s">
        <v>1008</v>
      </c>
      <c r="R32" s="943" t="s">
        <v>671</v>
      </c>
      <c r="S32" s="999" t="s">
        <v>1008</v>
      </c>
      <c r="T32" s="943" t="s">
        <v>669</v>
      </c>
      <c r="U32" s="999" t="s">
        <v>1099</v>
      </c>
      <c r="V32" s="943" t="s">
        <v>671</v>
      </c>
      <c r="W32" s="1000"/>
    </row>
    <row r="33" spans="1:23" x14ac:dyDescent="0.35">
      <c r="A33" s="998"/>
      <c r="B33" s="1244" t="s">
        <v>790</v>
      </c>
      <c r="C33" s="642"/>
      <c r="D33" s="642"/>
      <c r="E33" s="642"/>
      <c r="F33" s="642"/>
      <c r="G33" s="646"/>
      <c r="H33" s="943" t="s">
        <v>671</v>
      </c>
      <c r="I33" s="999" t="s">
        <v>1100</v>
      </c>
      <c r="J33" s="943" t="s">
        <v>671</v>
      </c>
      <c r="K33" s="999" t="s">
        <v>1100</v>
      </c>
      <c r="L33" s="943" t="s">
        <v>671</v>
      </c>
      <c r="M33" s="999" t="s">
        <v>968</v>
      </c>
      <c r="N33" s="943" t="s">
        <v>671</v>
      </c>
      <c r="O33" s="999"/>
      <c r="P33" s="943" t="s">
        <v>671</v>
      </c>
      <c r="Q33" s="999" t="s">
        <v>1101</v>
      </c>
      <c r="R33" s="943" t="s">
        <v>671</v>
      </c>
      <c r="S33" s="999" t="s">
        <v>1101</v>
      </c>
      <c r="T33" s="943" t="s">
        <v>669</v>
      </c>
      <c r="U33" s="999" t="s">
        <v>1100</v>
      </c>
      <c r="V33" s="943" t="s">
        <v>671</v>
      </c>
      <c r="W33" s="1000"/>
    </row>
    <row r="34" spans="1:23" x14ac:dyDescent="0.35">
      <c r="A34" s="998"/>
      <c r="B34" s="1244" t="s">
        <v>791</v>
      </c>
      <c r="C34" s="642"/>
      <c r="D34" s="642"/>
      <c r="E34" s="642"/>
      <c r="F34" s="642"/>
      <c r="G34" s="646"/>
      <c r="H34" s="943" t="s">
        <v>671</v>
      </c>
      <c r="I34" s="999"/>
      <c r="J34" s="943" t="s">
        <v>671</v>
      </c>
      <c r="K34" s="999"/>
      <c r="L34" s="943" t="s">
        <v>671</v>
      </c>
      <c r="M34" s="1000"/>
      <c r="N34" s="943" t="s">
        <v>671</v>
      </c>
      <c r="O34" s="999"/>
      <c r="P34" s="943" t="s">
        <v>671</v>
      </c>
      <c r="Q34" s="999"/>
      <c r="R34" s="943" t="s">
        <v>671</v>
      </c>
      <c r="S34" s="999"/>
      <c r="T34" s="943" t="s">
        <v>669</v>
      </c>
      <c r="U34" s="999" t="s">
        <v>1102</v>
      </c>
      <c r="V34" s="943" t="s">
        <v>671</v>
      </c>
      <c r="W34" s="1000"/>
    </row>
    <row r="35" spans="1:23" x14ac:dyDescent="0.35">
      <c r="A35" s="998"/>
      <c r="B35" s="950" t="s">
        <v>664</v>
      </c>
      <c r="C35" s="642"/>
      <c r="D35" s="642"/>
      <c r="E35" s="642"/>
      <c r="F35" s="642"/>
      <c r="G35" s="646"/>
      <c r="H35" s="943"/>
      <c r="I35" s="999"/>
      <c r="J35" s="943"/>
      <c r="K35" s="999"/>
      <c r="L35" s="943"/>
      <c r="M35" s="1000"/>
      <c r="N35" s="943"/>
      <c r="O35" s="999"/>
      <c r="P35" s="999"/>
      <c r="Q35" s="999"/>
      <c r="R35" s="999"/>
      <c r="S35" s="999"/>
      <c r="T35" s="943"/>
      <c r="U35" s="1000"/>
      <c r="V35" s="943"/>
      <c r="W35" s="1000"/>
    </row>
    <row r="36" spans="1:23" x14ac:dyDescent="0.35">
      <c r="A36" s="998"/>
      <c r="B36" s="951" t="s">
        <v>665</v>
      </c>
      <c r="C36" s="650"/>
      <c r="D36" s="650"/>
      <c r="E36" s="650"/>
      <c r="F36" s="650"/>
      <c r="G36" s="651"/>
      <c r="H36" s="636"/>
      <c r="I36" s="1234"/>
      <c r="J36" s="636"/>
      <c r="K36" s="1245">
        <v>800245</v>
      </c>
      <c r="L36" s="636"/>
      <c r="M36" s="1245">
        <f>874903-12050</f>
        <v>862853</v>
      </c>
      <c r="N36" s="636"/>
      <c r="O36" s="1234"/>
      <c r="P36" s="1234"/>
      <c r="Q36" s="1234"/>
      <c r="R36" s="1234"/>
      <c r="S36" s="1234"/>
      <c r="T36" s="636"/>
      <c r="U36" s="1245">
        <f>415608+181850</f>
        <v>597458</v>
      </c>
      <c r="V36" s="636"/>
      <c r="W36" s="954"/>
    </row>
    <row r="37" spans="1:23" x14ac:dyDescent="0.35">
      <c r="A37" s="998"/>
      <c r="B37" s="1235"/>
      <c r="C37" s="642"/>
      <c r="D37" s="642"/>
      <c r="E37" s="642"/>
      <c r="F37" s="642"/>
      <c r="G37" s="652"/>
      <c r="H37" s="943"/>
      <c r="I37" s="1246"/>
      <c r="J37" s="943"/>
      <c r="K37" s="1246"/>
      <c r="L37" s="943"/>
      <c r="M37" s="1000"/>
      <c r="N37" s="943"/>
      <c r="O37" s="999"/>
      <c r="P37" s="999"/>
      <c r="Q37" s="999"/>
      <c r="R37" s="999"/>
      <c r="S37" s="999"/>
      <c r="T37" s="943"/>
      <c r="U37" s="1000"/>
      <c r="V37" s="943"/>
      <c r="W37" s="1000"/>
    </row>
    <row r="38" spans="1:23" x14ac:dyDescent="0.35">
      <c r="A38" s="998"/>
      <c r="B38" s="1235" t="s">
        <v>1103</v>
      </c>
      <c r="C38" s="682"/>
      <c r="D38" s="682"/>
      <c r="E38" s="642"/>
      <c r="F38" s="642"/>
      <c r="G38" s="652"/>
      <c r="H38" s="943" t="s">
        <v>669</v>
      </c>
      <c r="I38" s="1246"/>
      <c r="J38" s="943" t="s">
        <v>669</v>
      </c>
      <c r="K38" s="1246"/>
      <c r="L38" s="943" t="s">
        <v>669</v>
      </c>
      <c r="M38" s="1000"/>
      <c r="N38" s="943" t="s">
        <v>669</v>
      </c>
      <c r="O38" s="999"/>
      <c r="P38" s="943" t="s">
        <v>669</v>
      </c>
      <c r="Q38" s="999"/>
      <c r="R38" s="943" t="s">
        <v>669</v>
      </c>
      <c r="S38" s="999"/>
      <c r="T38" s="943" t="s">
        <v>669</v>
      </c>
      <c r="U38" s="1000"/>
      <c r="V38" s="943" t="s">
        <v>669</v>
      </c>
      <c r="W38" s="1000"/>
    </row>
    <row r="39" spans="1:23" x14ac:dyDescent="0.35">
      <c r="A39" s="998"/>
      <c r="B39" s="1235" t="s">
        <v>1104</v>
      </c>
      <c r="C39" s="682"/>
      <c r="D39" s="682"/>
      <c r="E39" s="642"/>
      <c r="F39" s="642"/>
      <c r="G39" s="652"/>
      <c r="H39" s="943" t="s">
        <v>669</v>
      </c>
      <c r="I39" s="1246"/>
      <c r="J39" s="943" t="s">
        <v>669</v>
      </c>
      <c r="K39" s="1246"/>
      <c r="L39" s="943" t="s">
        <v>669</v>
      </c>
      <c r="M39" s="1000"/>
      <c r="N39" s="943" t="s">
        <v>669</v>
      </c>
      <c r="O39" s="999"/>
      <c r="P39" s="943" t="s">
        <v>669</v>
      </c>
      <c r="Q39" s="999"/>
      <c r="R39" s="943" t="s">
        <v>669</v>
      </c>
      <c r="S39" s="999"/>
      <c r="T39" s="943" t="s">
        <v>669</v>
      </c>
      <c r="U39" s="1000"/>
      <c r="V39" s="943" t="s">
        <v>669</v>
      </c>
      <c r="W39" s="1000"/>
    </row>
    <row r="40" spans="1:23" x14ac:dyDescent="0.35">
      <c r="A40" s="998"/>
      <c r="B40" s="1235"/>
      <c r="C40" s="682"/>
      <c r="D40" s="682"/>
      <c r="E40" s="642"/>
      <c r="F40" s="642"/>
      <c r="G40" s="652"/>
      <c r="H40" s="943"/>
      <c r="I40" s="1246"/>
      <c r="J40" s="943"/>
      <c r="K40" s="1246"/>
      <c r="L40" s="943"/>
      <c r="M40" s="1000"/>
      <c r="N40" s="943"/>
      <c r="O40" s="999"/>
      <c r="P40" s="999"/>
      <c r="Q40" s="999"/>
      <c r="R40" s="999"/>
      <c r="S40" s="999"/>
      <c r="T40" s="943"/>
      <c r="U40" s="1000"/>
      <c r="V40" s="943"/>
      <c r="W40" s="1000"/>
    </row>
    <row r="41" spans="1:23" x14ac:dyDescent="0.35">
      <c r="A41" s="998"/>
      <c r="B41" s="1235" t="s">
        <v>793</v>
      </c>
      <c r="C41" s="682"/>
      <c r="D41" s="682"/>
      <c r="E41" s="642"/>
      <c r="F41" s="642"/>
      <c r="G41" s="652"/>
      <c r="H41" s="943" t="s">
        <v>669</v>
      </c>
      <c r="I41" s="1246">
        <f>101280+50220+3795+452880+16500</f>
        <v>624675</v>
      </c>
      <c r="J41" s="943" t="s">
        <v>669</v>
      </c>
      <c r="K41" s="1246"/>
      <c r="L41" s="943" t="s">
        <v>669</v>
      </c>
      <c r="M41" s="1247"/>
      <c r="N41" s="943" t="s">
        <v>669</v>
      </c>
      <c r="O41" s="1246">
        <f>544028+213645</f>
        <v>757673</v>
      </c>
      <c r="P41" s="943" t="s">
        <v>669</v>
      </c>
      <c r="Q41" s="1246"/>
      <c r="R41" s="943" t="s">
        <v>669</v>
      </c>
      <c r="S41" s="1246">
        <f>155440+165335+150980+117805+118050+120400</f>
        <v>828010</v>
      </c>
      <c r="T41" s="943" t="s">
        <v>669</v>
      </c>
      <c r="U41" s="1000"/>
      <c r="V41" s="943" t="s">
        <v>669</v>
      </c>
      <c r="W41" s="1246">
        <f>211660+7200+51600+56700+244400+7200+49200+58350+222110+7200+58350+148300+56700+51600+122650+56700+51600+148300+56700+51600</f>
        <v>1718120</v>
      </c>
    </row>
    <row r="42" spans="1:23" x14ac:dyDescent="0.35">
      <c r="A42" s="998"/>
      <c r="B42" s="1235" t="s">
        <v>1105</v>
      </c>
      <c r="C42" s="682"/>
      <c r="D42" s="682"/>
      <c r="E42" s="642"/>
      <c r="F42" s="642"/>
      <c r="G42" s="652"/>
      <c r="H42" s="943" t="s">
        <v>669</v>
      </c>
      <c r="I42" s="999"/>
      <c r="J42" s="943" t="s">
        <v>669</v>
      </c>
      <c r="K42" s="999"/>
      <c r="L42" s="943" t="s">
        <v>669</v>
      </c>
      <c r="M42" s="1000"/>
      <c r="N42" s="943" t="s">
        <v>669</v>
      </c>
      <c r="O42" s="999"/>
      <c r="P42" s="943" t="s">
        <v>669</v>
      </c>
      <c r="Q42" s="999"/>
      <c r="R42" s="943" t="s">
        <v>669</v>
      </c>
      <c r="S42" s="999"/>
      <c r="T42" s="943" t="s">
        <v>669</v>
      </c>
      <c r="U42" s="1000"/>
      <c r="V42" s="943" t="s">
        <v>669</v>
      </c>
      <c r="W42" s="1246"/>
    </row>
    <row r="43" spans="1:23" x14ac:dyDescent="0.35">
      <c r="A43" s="998"/>
      <c r="B43" s="1238" t="s">
        <v>1106</v>
      </c>
      <c r="C43" s="682"/>
      <c r="D43" s="682"/>
      <c r="E43" s="642"/>
      <c r="F43" s="642"/>
      <c r="G43" s="652"/>
      <c r="H43" s="943" t="s">
        <v>669</v>
      </c>
      <c r="I43" s="999"/>
      <c r="J43" s="943" t="s">
        <v>669</v>
      </c>
      <c r="K43" s="999"/>
      <c r="L43" s="943" t="s">
        <v>669</v>
      </c>
      <c r="M43" s="1000"/>
      <c r="N43" s="943" t="s">
        <v>669</v>
      </c>
      <c r="O43" s="999"/>
      <c r="P43" s="943" t="s">
        <v>669</v>
      </c>
      <c r="Q43" s="999"/>
      <c r="R43" s="943" t="s">
        <v>669</v>
      </c>
      <c r="S43" s="999"/>
      <c r="T43" s="943" t="s">
        <v>669</v>
      </c>
      <c r="U43" s="1000"/>
      <c r="V43" s="943" t="s">
        <v>669</v>
      </c>
      <c r="W43" s="1246"/>
    </row>
    <row r="44" spans="1:23" x14ac:dyDescent="0.35">
      <c r="A44" s="998"/>
      <c r="B44" s="1238" t="s">
        <v>1107</v>
      </c>
      <c r="C44" s="682"/>
      <c r="D44" s="682"/>
      <c r="E44" s="642"/>
      <c r="F44" s="642"/>
      <c r="G44" s="652"/>
      <c r="H44" s="943" t="s">
        <v>669</v>
      </c>
      <c r="I44" s="999"/>
      <c r="J44" s="943" t="s">
        <v>669</v>
      </c>
      <c r="K44" s="999"/>
      <c r="L44" s="943" t="s">
        <v>669</v>
      </c>
      <c r="M44" s="1000"/>
      <c r="N44" s="943" t="s">
        <v>669</v>
      </c>
      <c r="O44" s="999"/>
      <c r="P44" s="943" t="s">
        <v>669</v>
      </c>
      <c r="Q44" s="999"/>
      <c r="R44" s="943" t="s">
        <v>669</v>
      </c>
      <c r="S44" s="999"/>
      <c r="T44" s="943" t="s">
        <v>669</v>
      </c>
      <c r="U44" s="1000"/>
      <c r="V44" s="943" t="s">
        <v>669</v>
      </c>
      <c r="W44" s="1000"/>
    </row>
    <row r="45" spans="1:23" x14ac:dyDescent="0.35">
      <c r="A45" s="998"/>
      <c r="B45" s="1238" t="s">
        <v>1108</v>
      </c>
      <c r="C45" s="682"/>
      <c r="D45" s="682"/>
      <c r="E45" s="642"/>
      <c r="F45" s="642"/>
      <c r="G45" s="652"/>
      <c r="H45" s="943" t="s">
        <v>669</v>
      </c>
      <c r="I45" s="999"/>
      <c r="J45" s="943" t="s">
        <v>669</v>
      </c>
      <c r="K45" s="999"/>
      <c r="L45" s="943" t="s">
        <v>669</v>
      </c>
      <c r="M45" s="1000"/>
      <c r="N45" s="943" t="s">
        <v>669</v>
      </c>
      <c r="O45" s="999"/>
      <c r="P45" s="943" t="s">
        <v>669</v>
      </c>
      <c r="Q45" s="999"/>
      <c r="R45" s="943" t="s">
        <v>669</v>
      </c>
      <c r="S45" s="999"/>
      <c r="T45" s="943" t="s">
        <v>669</v>
      </c>
      <c r="U45" s="1000"/>
      <c r="V45" s="943" t="s">
        <v>669</v>
      </c>
      <c r="W45" s="1000"/>
    </row>
    <row r="46" spans="1:23" x14ac:dyDescent="0.35">
      <c r="A46" s="998"/>
      <c r="B46" s="1238" t="s">
        <v>1109</v>
      </c>
      <c r="C46" s="682"/>
      <c r="D46" s="682"/>
      <c r="E46" s="642"/>
      <c r="F46" s="642"/>
      <c r="G46" s="652"/>
      <c r="H46" s="943" t="s">
        <v>669</v>
      </c>
      <c r="I46" s="999"/>
      <c r="J46" s="943" t="s">
        <v>669</v>
      </c>
      <c r="K46" s="999"/>
      <c r="L46" s="943" t="s">
        <v>669</v>
      </c>
      <c r="M46" s="1000"/>
      <c r="N46" s="943" t="s">
        <v>669</v>
      </c>
      <c r="O46" s="999"/>
      <c r="P46" s="943" t="s">
        <v>669</v>
      </c>
      <c r="Q46" s="999"/>
      <c r="R46" s="943" t="s">
        <v>669</v>
      </c>
      <c r="S46" s="999"/>
      <c r="T46" s="943" t="s">
        <v>669</v>
      </c>
      <c r="U46" s="1000"/>
      <c r="V46" s="943" t="s">
        <v>669</v>
      </c>
      <c r="W46" s="1246"/>
    </row>
    <row r="47" spans="1:23" x14ac:dyDescent="0.35">
      <c r="A47" s="998"/>
      <c r="B47" s="1238" t="s">
        <v>1110</v>
      </c>
      <c r="C47" s="682"/>
      <c r="D47" s="682"/>
      <c r="E47" s="642"/>
      <c r="F47" s="642"/>
      <c r="G47" s="652"/>
      <c r="H47" s="943" t="s">
        <v>669</v>
      </c>
      <c r="I47" s="999"/>
      <c r="J47" s="943" t="s">
        <v>669</v>
      </c>
      <c r="K47" s="999"/>
      <c r="L47" s="943" t="s">
        <v>669</v>
      </c>
      <c r="M47" s="1000"/>
      <c r="N47" s="943" t="s">
        <v>669</v>
      </c>
      <c r="O47" s="999"/>
      <c r="P47" s="943" t="s">
        <v>669</v>
      </c>
      <c r="Q47" s="999"/>
      <c r="R47" s="943" t="s">
        <v>669</v>
      </c>
      <c r="S47" s="999"/>
      <c r="T47" s="943" t="s">
        <v>669</v>
      </c>
      <c r="U47" s="1000"/>
      <c r="V47" s="943" t="s">
        <v>669</v>
      </c>
      <c r="W47" s="1246"/>
    </row>
    <row r="48" spans="1:23" x14ac:dyDescent="0.35">
      <c r="A48" s="998"/>
      <c r="B48" s="1238" t="s">
        <v>1111</v>
      </c>
      <c r="C48" s="682"/>
      <c r="D48" s="642"/>
      <c r="E48" s="642"/>
      <c r="F48" s="642"/>
      <c r="G48" s="652"/>
      <c r="H48" s="943" t="s">
        <v>669</v>
      </c>
      <c r="I48" s="1246">
        <f>76050</f>
        <v>76050</v>
      </c>
      <c r="J48" s="943" t="s">
        <v>669</v>
      </c>
      <c r="K48" s="1246"/>
      <c r="L48" s="1101" t="s">
        <v>654</v>
      </c>
      <c r="M48" s="1248">
        <f>I48</f>
        <v>76050</v>
      </c>
      <c r="N48" s="943" t="s">
        <v>669</v>
      </c>
      <c r="O48" s="1246">
        <f>133782</f>
        <v>133782</v>
      </c>
      <c r="P48" s="1101" t="s">
        <v>654</v>
      </c>
      <c r="Q48" s="1249">
        <f>M48</f>
        <v>76050</v>
      </c>
      <c r="R48" s="943" t="s">
        <v>669</v>
      </c>
      <c r="S48" s="1246">
        <f>41150+41150+41150+13920+13920+13920</f>
        <v>165210</v>
      </c>
      <c r="T48" s="1101" t="s">
        <v>654</v>
      </c>
      <c r="U48" s="1248">
        <f>Q48</f>
        <v>76050</v>
      </c>
      <c r="V48" s="1101" t="s">
        <v>654</v>
      </c>
      <c r="W48" s="1248">
        <f>I48</f>
        <v>76050</v>
      </c>
    </row>
    <row r="49" spans="1:23" x14ac:dyDescent="0.35">
      <c r="A49" s="998"/>
      <c r="B49" s="1238" t="s">
        <v>1112</v>
      </c>
      <c r="C49" s="682"/>
      <c r="D49" s="642"/>
      <c r="E49" s="642"/>
      <c r="F49" s="642"/>
      <c r="G49" s="652"/>
      <c r="H49" s="943" t="s">
        <v>669</v>
      </c>
      <c r="I49" s="1246">
        <v>43050</v>
      </c>
      <c r="J49" s="943" t="s">
        <v>669</v>
      </c>
      <c r="K49" s="1246"/>
      <c r="L49" s="1101" t="s">
        <v>654</v>
      </c>
      <c r="M49" s="1248">
        <f>I49</f>
        <v>43050</v>
      </c>
      <c r="N49" s="943" t="s">
        <v>669</v>
      </c>
      <c r="O49" s="999"/>
      <c r="P49" s="1101" t="str">
        <f>L49</f>
        <v>P</v>
      </c>
      <c r="Q49" s="1249">
        <f>M49</f>
        <v>43050</v>
      </c>
      <c r="R49" s="943" t="s">
        <v>669</v>
      </c>
      <c r="S49" s="999"/>
      <c r="T49" s="1101" t="s">
        <v>654</v>
      </c>
      <c r="U49" s="1248">
        <f>Q49</f>
        <v>43050</v>
      </c>
      <c r="V49" s="1101" t="s">
        <v>654</v>
      </c>
      <c r="W49" s="1248">
        <f>I49</f>
        <v>43050</v>
      </c>
    </row>
    <row r="50" spans="1:23" x14ac:dyDescent="0.35">
      <c r="A50" s="998"/>
      <c r="B50" s="1238" t="s">
        <v>1113</v>
      </c>
      <c r="C50" s="682"/>
      <c r="D50" s="642"/>
      <c r="E50" s="642"/>
      <c r="F50" s="642"/>
      <c r="G50" s="652"/>
      <c r="H50" s="943" t="s">
        <v>669</v>
      </c>
      <c r="I50" s="999"/>
      <c r="J50" s="943" t="s">
        <v>669</v>
      </c>
      <c r="K50" s="999"/>
      <c r="L50" s="1101" t="s">
        <v>654</v>
      </c>
      <c r="M50" s="1000"/>
      <c r="N50" s="943" t="s">
        <v>669</v>
      </c>
      <c r="O50" s="999"/>
      <c r="P50" s="943" t="s">
        <v>669</v>
      </c>
      <c r="Q50" s="999"/>
      <c r="R50" s="943" t="s">
        <v>669</v>
      </c>
      <c r="S50" s="999"/>
      <c r="T50" s="1101" t="s">
        <v>654</v>
      </c>
      <c r="U50" s="1250"/>
      <c r="V50" s="1101" t="s">
        <v>654</v>
      </c>
      <c r="W50" s="1000"/>
    </row>
    <row r="51" spans="1:23" x14ac:dyDescent="0.35">
      <c r="A51" s="998"/>
      <c r="B51" s="1235"/>
      <c r="C51" s="682"/>
      <c r="D51" s="682"/>
      <c r="E51" s="642"/>
      <c r="F51" s="642"/>
      <c r="G51" s="652"/>
      <c r="H51" s="943"/>
      <c r="I51" s="999"/>
      <c r="J51" s="943"/>
      <c r="K51" s="999"/>
      <c r="L51" s="943"/>
      <c r="M51" s="1000"/>
      <c r="N51" s="943"/>
      <c r="O51" s="999"/>
      <c r="P51" s="999"/>
      <c r="Q51" s="999"/>
      <c r="R51" s="999"/>
      <c r="S51" s="999"/>
      <c r="T51" s="943"/>
      <c r="U51" s="1000"/>
      <c r="V51" s="943"/>
      <c r="W51" s="1000"/>
    </row>
    <row r="52" spans="1:23" x14ac:dyDescent="0.35">
      <c r="A52" s="998"/>
      <c r="B52" s="1235" t="s">
        <v>80</v>
      </c>
      <c r="C52" s="682"/>
      <c r="D52" s="682"/>
      <c r="E52" s="642"/>
      <c r="F52" s="642"/>
      <c r="G52" s="652"/>
      <c r="H52" s="943" t="s">
        <v>669</v>
      </c>
      <c r="I52" s="1246">
        <f>12750+1200+1260+2850+7110</f>
        <v>25170</v>
      </c>
      <c r="J52" s="943" t="s">
        <v>669</v>
      </c>
      <c r="K52" s="1246"/>
      <c r="L52" s="943" t="s">
        <v>669</v>
      </c>
      <c r="M52" s="1247"/>
      <c r="N52" s="943" t="s">
        <v>669</v>
      </c>
      <c r="O52" s="1246">
        <f>13698+28290-18810-1295</f>
        <v>21883</v>
      </c>
      <c r="P52" s="943" t="s">
        <v>669</v>
      </c>
      <c r="Q52" s="1246"/>
      <c r="R52" s="943" t="s">
        <v>669</v>
      </c>
      <c r="S52" s="1246">
        <f>41335</f>
        <v>41335</v>
      </c>
      <c r="T52" s="943" t="s">
        <v>671</v>
      </c>
      <c r="U52" s="1000"/>
      <c r="V52" s="943" t="s">
        <v>669</v>
      </c>
      <c r="W52" s="1246">
        <f>990+3200+14900+5800+20900</f>
        <v>45790</v>
      </c>
    </row>
    <row r="53" spans="1:23" x14ac:dyDescent="0.35">
      <c r="A53" s="998"/>
      <c r="B53" s="1238" t="s">
        <v>1114</v>
      </c>
      <c r="C53" s="682" t="s">
        <v>1115</v>
      </c>
      <c r="D53" s="682">
        <v>26</v>
      </c>
      <c r="E53" s="642" t="s">
        <v>752</v>
      </c>
      <c r="F53" s="642"/>
      <c r="G53" s="652"/>
      <c r="H53" s="943" t="s">
        <v>669</v>
      </c>
      <c r="I53" s="999"/>
      <c r="J53" s="943" t="s">
        <v>669</v>
      </c>
      <c r="K53" s="999"/>
      <c r="L53" s="943" t="s">
        <v>669</v>
      </c>
      <c r="M53" s="1000"/>
      <c r="N53" s="943" t="s">
        <v>669</v>
      </c>
      <c r="O53" s="999"/>
      <c r="P53" s="943" t="s">
        <v>669</v>
      </c>
      <c r="Q53" s="999"/>
      <c r="R53" s="943" t="s">
        <v>669</v>
      </c>
      <c r="S53" s="999"/>
      <c r="T53" s="943" t="s">
        <v>671</v>
      </c>
      <c r="U53" s="1000"/>
      <c r="V53" s="943" t="s">
        <v>669</v>
      </c>
      <c r="W53" s="1000"/>
    </row>
    <row r="54" spans="1:23" x14ac:dyDescent="0.35">
      <c r="A54" s="998"/>
      <c r="B54" s="1238" t="s">
        <v>1107</v>
      </c>
      <c r="C54" s="682" t="s">
        <v>1116</v>
      </c>
      <c r="D54" s="682">
        <f>26+28*2</f>
        <v>82</v>
      </c>
      <c r="E54" s="642" t="s">
        <v>752</v>
      </c>
      <c r="F54" s="642"/>
      <c r="G54" s="652"/>
      <c r="H54" s="943" t="s">
        <v>669</v>
      </c>
      <c r="I54" s="999"/>
      <c r="J54" s="943" t="s">
        <v>669</v>
      </c>
      <c r="K54" s="999"/>
      <c r="L54" s="943" t="s">
        <v>669</v>
      </c>
      <c r="M54" s="1000"/>
      <c r="N54" s="943" t="s">
        <v>669</v>
      </c>
      <c r="O54" s="999"/>
      <c r="P54" s="943" t="s">
        <v>669</v>
      </c>
      <c r="Q54" s="999"/>
      <c r="R54" s="943" t="s">
        <v>669</v>
      </c>
      <c r="S54" s="999"/>
      <c r="T54" s="943" t="s">
        <v>671</v>
      </c>
      <c r="U54" s="1000"/>
      <c r="V54" s="943" t="s">
        <v>669</v>
      </c>
      <c r="W54" s="1000"/>
    </row>
    <row r="55" spans="1:23" x14ac:dyDescent="0.35">
      <c r="A55" s="998"/>
      <c r="B55" s="1238" t="s">
        <v>1117</v>
      </c>
      <c r="C55" s="682" t="s">
        <v>1116</v>
      </c>
      <c r="D55" s="682">
        <v>15</v>
      </c>
      <c r="E55" s="642" t="s">
        <v>752</v>
      </c>
      <c r="F55" s="642"/>
      <c r="G55" s="652"/>
      <c r="H55" s="943" t="s">
        <v>669</v>
      </c>
      <c r="I55" s="999"/>
      <c r="J55" s="943" t="s">
        <v>669</v>
      </c>
      <c r="K55" s="999"/>
      <c r="L55" s="943" t="s">
        <v>669</v>
      </c>
      <c r="M55" s="1000"/>
      <c r="N55" s="943" t="s">
        <v>669</v>
      </c>
      <c r="O55" s="999"/>
      <c r="P55" s="943" t="s">
        <v>669</v>
      </c>
      <c r="Q55" s="999"/>
      <c r="R55" s="943" t="s">
        <v>669</v>
      </c>
      <c r="S55" s="999"/>
      <c r="T55" s="943" t="s">
        <v>671</v>
      </c>
      <c r="U55" s="1000"/>
      <c r="V55" s="943" t="s">
        <v>669</v>
      </c>
      <c r="W55" s="1000"/>
    </row>
    <row r="56" spans="1:23" ht="28.5" customHeight="1" x14ac:dyDescent="0.35">
      <c r="A56" s="998"/>
      <c r="B56" s="1238" t="s">
        <v>1118</v>
      </c>
      <c r="C56" s="693" t="s">
        <v>1119</v>
      </c>
      <c r="D56" s="682">
        <v>31</v>
      </c>
      <c r="E56" s="642" t="s">
        <v>752</v>
      </c>
      <c r="F56" s="642"/>
      <c r="G56" s="652"/>
      <c r="H56" s="943" t="s">
        <v>671</v>
      </c>
      <c r="I56" s="999"/>
      <c r="J56" s="943" t="s">
        <v>671</v>
      </c>
      <c r="K56" s="999"/>
      <c r="L56" s="943" t="s">
        <v>671</v>
      </c>
      <c r="M56" s="1000"/>
      <c r="N56" s="943" t="s">
        <v>671</v>
      </c>
      <c r="O56" s="999"/>
      <c r="P56" s="943" t="s">
        <v>671</v>
      </c>
      <c r="Q56" s="999"/>
      <c r="R56" s="943" t="s">
        <v>671</v>
      </c>
      <c r="S56" s="999"/>
      <c r="T56" s="943" t="s">
        <v>671</v>
      </c>
      <c r="U56" s="1000"/>
      <c r="V56" s="943" t="s">
        <v>671</v>
      </c>
      <c r="W56" s="1000"/>
    </row>
    <row r="57" spans="1:23" x14ac:dyDescent="0.35">
      <c r="A57" s="998"/>
      <c r="B57" s="1238" t="s">
        <v>1120</v>
      </c>
      <c r="C57" s="682" t="s">
        <v>1030</v>
      </c>
      <c r="D57" s="682">
        <v>104</v>
      </c>
      <c r="E57" s="642" t="s">
        <v>752</v>
      </c>
      <c r="F57" s="642"/>
      <c r="G57" s="652"/>
      <c r="H57" s="943" t="s">
        <v>669</v>
      </c>
      <c r="I57" s="999"/>
      <c r="J57" s="943" t="s">
        <v>669</v>
      </c>
      <c r="K57" s="999"/>
      <c r="L57" s="943" t="s">
        <v>669</v>
      </c>
      <c r="M57" s="1000"/>
      <c r="N57" s="943" t="s">
        <v>669</v>
      </c>
      <c r="O57" s="999"/>
      <c r="P57" s="943" t="s">
        <v>669</v>
      </c>
      <c r="Q57" s="999"/>
      <c r="R57" s="943" t="s">
        <v>669</v>
      </c>
      <c r="S57" s="999"/>
      <c r="T57" s="943" t="s">
        <v>669</v>
      </c>
      <c r="U57" s="1000"/>
      <c r="V57" s="943" t="s">
        <v>669</v>
      </c>
      <c r="W57" s="1000"/>
    </row>
    <row r="58" spans="1:23" x14ac:dyDescent="0.35">
      <c r="A58" s="998"/>
      <c r="B58" s="1238" t="s">
        <v>1121</v>
      </c>
      <c r="C58" s="682"/>
      <c r="D58" s="682"/>
      <c r="E58" s="642"/>
      <c r="F58" s="642"/>
      <c r="G58" s="652"/>
      <c r="H58" s="943" t="s">
        <v>671</v>
      </c>
      <c r="I58" s="999"/>
      <c r="J58" s="943" t="s">
        <v>671</v>
      </c>
      <c r="K58" s="999"/>
      <c r="L58" s="943" t="s">
        <v>671</v>
      </c>
      <c r="M58" s="1000"/>
      <c r="N58" s="943" t="s">
        <v>671</v>
      </c>
      <c r="O58" s="999"/>
      <c r="P58" s="943" t="s">
        <v>671</v>
      </c>
      <c r="Q58" s="999"/>
      <c r="R58" s="943" t="s">
        <v>671</v>
      </c>
      <c r="S58" s="999"/>
      <c r="T58" s="943" t="s">
        <v>671</v>
      </c>
      <c r="U58" s="1000" t="s">
        <v>1093</v>
      </c>
      <c r="V58" s="943" t="s">
        <v>671</v>
      </c>
      <c r="W58" s="1000"/>
    </row>
    <row r="59" spans="1:23" x14ac:dyDescent="0.35">
      <c r="A59" s="998"/>
      <c r="B59" s="1238" t="s">
        <v>1112</v>
      </c>
      <c r="C59" s="682"/>
      <c r="D59" s="682">
        <v>1</v>
      </c>
      <c r="E59" s="642" t="s">
        <v>666</v>
      </c>
      <c r="F59" s="642"/>
      <c r="G59" s="652"/>
      <c r="H59" s="943" t="s">
        <v>669</v>
      </c>
      <c r="I59" s="1246">
        <f>9350</f>
        <v>9350</v>
      </c>
      <c r="J59" s="943" t="s">
        <v>669</v>
      </c>
      <c r="K59" s="1246"/>
      <c r="L59" s="1101" t="s">
        <v>654</v>
      </c>
      <c r="M59" s="1248">
        <f>I59</f>
        <v>9350</v>
      </c>
      <c r="N59" s="943" t="s">
        <v>669</v>
      </c>
      <c r="O59" s="1246">
        <f>12172</f>
        <v>12172</v>
      </c>
      <c r="P59" s="1101" t="s">
        <v>654</v>
      </c>
      <c r="Q59" s="1248">
        <f>M59</f>
        <v>9350</v>
      </c>
      <c r="R59" s="943" t="s">
        <v>669</v>
      </c>
      <c r="S59" s="1246">
        <v>13920</v>
      </c>
      <c r="T59" s="943" t="s">
        <v>671</v>
      </c>
      <c r="U59" s="1000"/>
      <c r="V59" s="1101" t="s">
        <v>654</v>
      </c>
      <c r="W59" s="1248">
        <f>I59</f>
        <v>9350</v>
      </c>
    </row>
    <row r="60" spans="1:23" x14ac:dyDescent="0.35">
      <c r="A60" s="998"/>
      <c r="B60" s="1238" t="s">
        <v>1122</v>
      </c>
      <c r="C60" s="682"/>
      <c r="D60" s="682">
        <v>1</v>
      </c>
      <c r="E60" s="642" t="s">
        <v>666</v>
      </c>
      <c r="F60" s="642"/>
      <c r="G60" s="652"/>
      <c r="H60" s="943" t="s">
        <v>669</v>
      </c>
      <c r="I60" s="999"/>
      <c r="J60" s="943" t="s">
        <v>669</v>
      </c>
      <c r="K60" s="999"/>
      <c r="L60" s="1101" t="s">
        <v>654</v>
      </c>
      <c r="M60" s="1000"/>
      <c r="N60" s="943" t="s">
        <v>669</v>
      </c>
      <c r="O60" s="999"/>
      <c r="P60" s="943" t="s">
        <v>669</v>
      </c>
      <c r="Q60" s="999"/>
      <c r="R60" s="943" t="s">
        <v>669</v>
      </c>
      <c r="S60" s="999"/>
      <c r="T60" s="943" t="s">
        <v>671</v>
      </c>
      <c r="U60" s="1000" t="s">
        <v>1093</v>
      </c>
      <c r="V60" s="1101" t="s">
        <v>654</v>
      </c>
      <c r="W60" s="1250"/>
    </row>
    <row r="61" spans="1:23" x14ac:dyDescent="0.35">
      <c r="A61" s="998"/>
      <c r="B61" s="1238"/>
      <c r="C61" s="682"/>
      <c r="D61" s="682"/>
      <c r="E61" s="642"/>
      <c r="F61" s="642"/>
      <c r="G61" s="652"/>
      <c r="H61" s="943"/>
      <c r="I61" s="999"/>
      <c r="J61" s="943"/>
      <c r="K61" s="999"/>
      <c r="L61" s="943"/>
      <c r="M61" s="1000"/>
      <c r="N61" s="943"/>
      <c r="O61" s="999"/>
      <c r="P61" s="1251"/>
      <c r="Q61" s="999"/>
      <c r="R61" s="1251"/>
      <c r="S61" s="999"/>
      <c r="T61" s="943"/>
      <c r="U61" s="1000"/>
      <c r="V61" s="943"/>
      <c r="W61" s="1000"/>
    </row>
    <row r="62" spans="1:23" x14ac:dyDescent="0.35">
      <c r="A62" s="998"/>
      <c r="B62" s="1238" t="s">
        <v>1123</v>
      </c>
      <c r="C62" s="682"/>
      <c r="D62" s="642">
        <v>30</v>
      </c>
      <c r="E62" s="642" t="s">
        <v>666</v>
      </c>
      <c r="F62" s="654"/>
      <c r="G62" s="652"/>
      <c r="H62" s="943" t="s">
        <v>669</v>
      </c>
      <c r="I62" s="1246">
        <v>7600</v>
      </c>
      <c r="J62" s="943" t="s">
        <v>669</v>
      </c>
      <c r="K62" s="1246"/>
      <c r="L62" s="1101" t="s">
        <v>654</v>
      </c>
      <c r="M62" s="1248">
        <f>I62</f>
        <v>7600</v>
      </c>
      <c r="N62" s="1101" t="s">
        <v>654</v>
      </c>
      <c r="O62" s="1249">
        <f>I62</f>
        <v>7600</v>
      </c>
      <c r="P62" s="1101" t="s">
        <v>654</v>
      </c>
      <c r="Q62" s="1249">
        <f>M62</f>
        <v>7600</v>
      </c>
      <c r="R62" s="943" t="s">
        <v>669</v>
      </c>
      <c r="S62" s="1246"/>
      <c r="T62" s="943" t="s">
        <v>671</v>
      </c>
      <c r="U62" s="1000" t="s">
        <v>1093</v>
      </c>
      <c r="V62" s="1101" t="s">
        <v>654</v>
      </c>
      <c r="W62" s="1248">
        <f>I62</f>
        <v>7600</v>
      </c>
    </row>
    <row r="63" spans="1:23" x14ac:dyDescent="0.35">
      <c r="A63" s="998"/>
      <c r="B63" s="1238"/>
      <c r="C63" s="682"/>
      <c r="D63" s="642"/>
      <c r="E63" s="642"/>
      <c r="F63" s="654"/>
      <c r="G63" s="652"/>
      <c r="H63" s="943"/>
      <c r="I63" s="999"/>
      <c r="J63" s="943"/>
      <c r="K63" s="999"/>
      <c r="L63" s="943"/>
      <c r="M63" s="1000"/>
      <c r="N63" s="943"/>
      <c r="O63" s="999"/>
      <c r="P63" s="943"/>
      <c r="Q63" s="1246"/>
      <c r="R63" s="943"/>
      <c r="S63" s="1246"/>
      <c r="T63" s="943"/>
      <c r="U63" s="1000"/>
      <c r="V63" s="943"/>
      <c r="W63" s="1000"/>
    </row>
    <row r="64" spans="1:23" x14ac:dyDescent="0.35">
      <c r="A64" s="998"/>
      <c r="B64" s="1238" t="s">
        <v>1124</v>
      </c>
      <c r="C64" s="682"/>
      <c r="D64" s="642"/>
      <c r="E64" s="642"/>
      <c r="F64" s="654"/>
      <c r="G64" s="652"/>
      <c r="H64" s="943" t="s">
        <v>669</v>
      </c>
      <c r="I64" s="1246">
        <v>4000</v>
      </c>
      <c r="J64" s="943" t="s">
        <v>669</v>
      </c>
      <c r="K64" s="1246"/>
      <c r="L64" s="943" t="s">
        <v>669</v>
      </c>
      <c r="M64" s="1000"/>
      <c r="N64" s="943" t="s">
        <v>669</v>
      </c>
      <c r="O64" s="999"/>
      <c r="P64" s="943" t="s">
        <v>669</v>
      </c>
      <c r="Q64" s="1246"/>
      <c r="R64" s="943" t="s">
        <v>669</v>
      </c>
      <c r="S64" s="1246"/>
      <c r="T64" s="943" t="s">
        <v>669</v>
      </c>
      <c r="U64" s="1000"/>
      <c r="V64" s="943" t="s">
        <v>669</v>
      </c>
      <c r="W64" s="1000"/>
    </row>
    <row r="65" spans="1:23" x14ac:dyDescent="0.35">
      <c r="A65" s="998"/>
      <c r="B65" s="1238" t="s">
        <v>158</v>
      </c>
      <c r="C65" s="682"/>
      <c r="D65" s="642"/>
      <c r="E65" s="642"/>
      <c r="F65" s="654"/>
      <c r="G65" s="652"/>
      <c r="H65" s="943" t="s">
        <v>669</v>
      </c>
      <c r="I65" s="1246">
        <v>80760</v>
      </c>
      <c r="J65" s="943" t="s">
        <v>669</v>
      </c>
      <c r="K65" s="1246"/>
      <c r="L65" s="943" t="s">
        <v>669</v>
      </c>
      <c r="M65" s="1000"/>
      <c r="N65" s="943" t="s">
        <v>669</v>
      </c>
      <c r="O65" s="1246">
        <v>168197</v>
      </c>
      <c r="P65" s="943" t="s">
        <v>669</v>
      </c>
      <c r="Q65" s="1246"/>
      <c r="R65" s="943" t="s">
        <v>669</v>
      </c>
      <c r="S65" s="1246">
        <v>22275</v>
      </c>
      <c r="T65" s="943" t="s">
        <v>669</v>
      </c>
      <c r="U65" s="1000"/>
      <c r="V65" s="943" t="s">
        <v>669</v>
      </c>
      <c r="W65" s="1000"/>
    </row>
    <row r="66" spans="1:23" x14ac:dyDescent="0.35">
      <c r="A66" s="998"/>
      <c r="B66" s="1238" t="s">
        <v>1125</v>
      </c>
      <c r="C66" s="682"/>
      <c r="D66" s="642"/>
      <c r="E66" s="642"/>
      <c r="F66" s="654"/>
      <c r="G66" s="652"/>
      <c r="H66" s="943" t="s">
        <v>669</v>
      </c>
      <c r="I66" s="1246"/>
      <c r="J66" s="943" t="s">
        <v>669</v>
      </c>
      <c r="K66" s="1246"/>
      <c r="L66" s="943" t="s">
        <v>669</v>
      </c>
      <c r="M66" s="1000"/>
      <c r="N66" s="943" t="s">
        <v>669</v>
      </c>
      <c r="O66" s="999"/>
      <c r="P66" s="943" t="s">
        <v>669</v>
      </c>
      <c r="Q66" s="1246"/>
      <c r="R66" s="943" t="s">
        <v>669</v>
      </c>
      <c r="S66" s="1246"/>
      <c r="T66" s="943" t="s">
        <v>669</v>
      </c>
      <c r="U66" s="1000"/>
      <c r="V66" s="943" t="s">
        <v>669</v>
      </c>
      <c r="W66" s="1000"/>
    </row>
    <row r="67" spans="1:23" x14ac:dyDescent="0.35">
      <c r="A67" s="998"/>
      <c r="B67" s="1238"/>
      <c r="C67" s="682"/>
      <c r="D67" s="642"/>
      <c r="E67" s="642"/>
      <c r="F67" s="654"/>
      <c r="G67" s="652"/>
      <c r="H67" s="943"/>
      <c r="I67" s="999"/>
      <c r="J67" s="943"/>
      <c r="K67" s="999"/>
      <c r="L67" s="943"/>
      <c r="M67" s="1000"/>
      <c r="N67" s="943"/>
      <c r="O67" s="999"/>
      <c r="P67" s="943"/>
      <c r="Q67" s="1246"/>
      <c r="R67" s="943"/>
      <c r="S67" s="1246"/>
      <c r="T67" s="943"/>
      <c r="U67" s="1000"/>
      <c r="V67" s="943"/>
      <c r="W67" s="1000"/>
    </row>
    <row r="68" spans="1:23" x14ac:dyDescent="0.35">
      <c r="A68" s="998"/>
      <c r="B68" s="1238" t="s">
        <v>1126</v>
      </c>
      <c r="C68" s="682"/>
      <c r="D68" s="642"/>
      <c r="E68" s="642"/>
      <c r="F68" s="654"/>
      <c r="G68" s="652"/>
      <c r="H68" s="943" t="s">
        <v>671</v>
      </c>
      <c r="I68" s="999"/>
      <c r="J68" s="943" t="s">
        <v>671</v>
      </c>
      <c r="K68" s="999"/>
      <c r="L68" s="943" t="s">
        <v>671</v>
      </c>
      <c r="M68" s="1000"/>
      <c r="N68" s="943" t="s">
        <v>671</v>
      </c>
      <c r="O68" s="999"/>
      <c r="P68" s="943" t="s">
        <v>671</v>
      </c>
      <c r="Q68" s="1246"/>
      <c r="R68" s="943" t="s">
        <v>671</v>
      </c>
      <c r="S68" s="1246"/>
      <c r="T68" s="943"/>
      <c r="U68" s="1000"/>
      <c r="V68" s="943" t="s">
        <v>671</v>
      </c>
      <c r="W68" s="1000"/>
    </row>
    <row r="69" spans="1:23" x14ac:dyDescent="0.35">
      <c r="A69" s="14"/>
      <c r="B69" s="15"/>
      <c r="C69" s="16"/>
      <c r="D69" s="16"/>
      <c r="E69" s="17"/>
      <c r="F69" s="18" t="s">
        <v>715</v>
      </c>
      <c r="G69" s="19"/>
      <c r="H69" s="20"/>
      <c r="I69" s="50">
        <f>SUM(I36:I68)</f>
        <v>870655</v>
      </c>
      <c r="J69" s="20"/>
      <c r="K69" s="50">
        <f>SUM(K36:K68)</f>
        <v>800245</v>
      </c>
      <c r="L69" s="20"/>
      <c r="M69" s="50">
        <f>SUM(M26:M68)</f>
        <v>998903</v>
      </c>
      <c r="N69" s="20"/>
      <c r="O69" s="50">
        <f>SUM(O25:O68)</f>
        <v>1101307</v>
      </c>
      <c r="P69" s="20"/>
      <c r="Q69" s="50">
        <f>SUM(Q36:Q68)</f>
        <v>136050</v>
      </c>
      <c r="R69" s="20"/>
      <c r="S69" s="50">
        <f>SUM(S36:S68)</f>
        <v>1070750</v>
      </c>
      <c r="T69" s="20"/>
      <c r="U69" s="50">
        <f>SUM(U25:U68)</f>
        <v>716558</v>
      </c>
      <c r="V69" s="20"/>
      <c r="W69" s="50">
        <f>SUM(W26:W68)</f>
        <v>1899960</v>
      </c>
    </row>
    <row r="70" spans="1:23" x14ac:dyDescent="0.35">
      <c r="A70" s="684"/>
      <c r="B70" s="655"/>
      <c r="C70" s="656"/>
      <c r="D70" s="656"/>
      <c r="E70" s="657"/>
      <c r="F70" s="658" t="s">
        <v>716</v>
      </c>
      <c r="G70" s="659"/>
      <c r="H70" s="1252">
        <v>0.01</v>
      </c>
      <c r="I70" s="1121"/>
      <c r="J70" s="1252">
        <v>1.4999999999999999E-2</v>
      </c>
      <c r="K70" s="1121"/>
      <c r="L70" s="959">
        <v>0</v>
      </c>
      <c r="M70" s="1121"/>
      <c r="N70" s="959">
        <v>0</v>
      </c>
      <c r="O70" s="1121"/>
      <c r="P70" s="1252">
        <v>1.7500000000000002E-2</v>
      </c>
      <c r="Q70" s="1121"/>
      <c r="R70" s="959">
        <v>0</v>
      </c>
      <c r="S70" s="1121"/>
      <c r="T70" s="959">
        <v>0.02</v>
      </c>
      <c r="U70" s="1121"/>
      <c r="V70" s="959">
        <v>0.02</v>
      </c>
      <c r="W70" s="1121"/>
    </row>
    <row r="71" spans="1:23" x14ac:dyDescent="0.35">
      <c r="A71" s="684"/>
      <c r="B71" s="655"/>
      <c r="C71" s="656"/>
      <c r="D71" s="656"/>
      <c r="E71" s="657"/>
      <c r="F71" s="658" t="s">
        <v>717</v>
      </c>
      <c r="G71" s="659"/>
      <c r="H71" s="961"/>
      <c r="I71" s="1122">
        <f>H70*$I$69</f>
        <v>8706.5499999999993</v>
      </c>
      <c r="J71" s="961"/>
      <c r="K71" s="1122">
        <f>J70*$I$69</f>
        <v>13059.824999999999</v>
      </c>
      <c r="L71" s="961"/>
      <c r="M71" s="1122">
        <f>L70*$M$69</f>
        <v>0</v>
      </c>
      <c r="N71" s="961"/>
      <c r="O71" s="1122">
        <f>N70*$O$69</f>
        <v>0</v>
      </c>
      <c r="P71" s="961"/>
      <c r="Q71" s="1122">
        <f>P70*$I$69</f>
        <v>15236.462500000001</v>
      </c>
      <c r="R71" s="961"/>
      <c r="S71" s="1122">
        <f>R70*$I$69</f>
        <v>0</v>
      </c>
      <c r="T71" s="961"/>
      <c r="U71" s="1122">
        <f>T70*$U$69</f>
        <v>14331.16</v>
      </c>
      <c r="V71" s="961"/>
      <c r="W71" s="1122">
        <f>V70*W69</f>
        <v>37999.200000000004</v>
      </c>
    </row>
    <row r="72" spans="1:23" x14ac:dyDescent="0.35">
      <c r="A72" s="684"/>
      <c r="B72" s="655"/>
      <c r="C72" s="656"/>
      <c r="D72" s="656"/>
      <c r="E72" s="657"/>
      <c r="F72" s="658"/>
      <c r="G72" s="659"/>
      <c r="H72" s="961"/>
      <c r="I72" s="963"/>
      <c r="J72" s="961"/>
      <c r="K72" s="963"/>
      <c r="L72" s="961"/>
      <c r="M72" s="963"/>
      <c r="N72" s="961"/>
      <c r="O72" s="963"/>
      <c r="P72" s="961"/>
      <c r="Q72" s="963"/>
      <c r="R72" s="961"/>
      <c r="S72" s="963"/>
      <c r="T72" s="961"/>
      <c r="U72" s="963"/>
      <c r="V72" s="961"/>
      <c r="W72" s="963"/>
    </row>
    <row r="73" spans="1:23" x14ac:dyDescent="0.35">
      <c r="A73" s="684"/>
      <c r="B73" s="655"/>
      <c r="C73" s="656"/>
      <c r="D73" s="656"/>
      <c r="E73" s="657"/>
      <c r="F73" s="658" t="s">
        <v>718</v>
      </c>
      <c r="G73" s="659"/>
      <c r="H73" s="964"/>
      <c r="I73" s="962">
        <f>SUM(I69:I71)</f>
        <v>879361.55</v>
      </c>
      <c r="J73" s="964"/>
      <c r="K73" s="962">
        <f>SUM(K69:K71)</f>
        <v>813304.82499999995</v>
      </c>
      <c r="L73" s="964"/>
      <c r="M73" s="962">
        <f>SUM(M69:M71)</f>
        <v>998903</v>
      </c>
      <c r="N73" s="964"/>
      <c r="O73" s="962">
        <f>SUM(O69:O71)</f>
        <v>1101307</v>
      </c>
      <c r="P73" s="964"/>
      <c r="Q73" s="962">
        <f>SUM(Q69:Q71)</f>
        <v>151286.46249999999</v>
      </c>
      <c r="R73" s="964"/>
      <c r="S73" s="962">
        <f>SUM(S69:S71)</f>
        <v>1070750</v>
      </c>
      <c r="T73" s="964"/>
      <c r="U73" s="962">
        <f>SUM(U69:U71)</f>
        <v>730889.16</v>
      </c>
      <c r="V73" s="964"/>
      <c r="W73" s="962">
        <f>SUM(W69:W71)</f>
        <v>1937959.2</v>
      </c>
    </row>
    <row r="74" spans="1:23" x14ac:dyDescent="0.35">
      <c r="A74" s="684"/>
      <c r="B74" s="655"/>
      <c r="C74" s="656"/>
      <c r="D74" s="656"/>
      <c r="E74" s="657"/>
      <c r="F74" s="660" t="s">
        <v>719</v>
      </c>
      <c r="G74" s="661"/>
      <c r="H74" s="965"/>
      <c r="I74" s="966" t="e">
        <f>I73/#REF!</f>
        <v>#REF!</v>
      </c>
      <c r="J74" s="965"/>
      <c r="K74" s="966" t="e">
        <f>K73/#REF!</f>
        <v>#REF!</v>
      </c>
      <c r="L74" s="965"/>
      <c r="M74" s="966" t="e">
        <f>M73/#REF!</f>
        <v>#REF!</v>
      </c>
      <c r="N74" s="965"/>
      <c r="O74" s="966" t="e">
        <f>O73/#REF!</f>
        <v>#REF!</v>
      </c>
      <c r="P74" s="965"/>
      <c r="Q74" s="966" t="e">
        <f>Q73/#REF!</f>
        <v>#REF!</v>
      </c>
      <c r="R74" s="965"/>
      <c r="S74" s="966" t="e">
        <f>S73/#REF!</f>
        <v>#REF!</v>
      </c>
      <c r="T74" s="965"/>
      <c r="U74" s="966" t="e">
        <f>U73/#REF!</f>
        <v>#REF!</v>
      </c>
      <c r="V74" s="965"/>
      <c r="W74" s="966" t="e">
        <f>W73/#REF!</f>
        <v>#REF!</v>
      </c>
    </row>
    <row r="75" spans="1:23" x14ac:dyDescent="0.35">
      <c r="A75" s="684"/>
      <c r="B75" s="655"/>
      <c r="C75" s="656"/>
      <c r="D75" s="656"/>
      <c r="E75" s="657"/>
      <c r="F75" s="660" t="s">
        <v>720</v>
      </c>
      <c r="G75" s="662"/>
      <c r="H75" s="965"/>
      <c r="I75" s="966" t="e">
        <f>I73/#REF!</f>
        <v>#REF!</v>
      </c>
      <c r="J75" s="965"/>
      <c r="K75" s="966" t="e">
        <f>K73/#REF!</f>
        <v>#REF!</v>
      </c>
      <c r="L75" s="965"/>
      <c r="M75" s="966" t="e">
        <f>M73/#REF!</f>
        <v>#REF!</v>
      </c>
      <c r="N75" s="965"/>
      <c r="O75" s="966" t="e">
        <f>O73/#REF!</f>
        <v>#REF!</v>
      </c>
      <c r="P75" s="965"/>
      <c r="Q75" s="966" t="e">
        <f>Q73/#REF!</f>
        <v>#REF!</v>
      </c>
      <c r="R75" s="965"/>
      <c r="S75" s="966" t="e">
        <f>S73/#REF!</f>
        <v>#REF!</v>
      </c>
      <c r="T75" s="965"/>
      <c r="U75" s="966" t="e">
        <f>U73/#REF!</f>
        <v>#REF!</v>
      </c>
      <c r="V75" s="965"/>
      <c r="W75" s="966" t="e">
        <f>W73/#REF!</f>
        <v>#REF!</v>
      </c>
    </row>
    <row r="76" spans="1:23" x14ac:dyDescent="0.35">
      <c r="A76" s="684"/>
      <c r="B76" s="655"/>
      <c r="C76" s="656"/>
      <c r="D76" s="656"/>
      <c r="E76" s="657"/>
      <c r="F76" s="658"/>
      <c r="G76" s="663"/>
      <c r="H76" s="967"/>
      <c r="I76" s="967"/>
      <c r="J76" s="967"/>
      <c r="K76" s="967"/>
      <c r="L76" s="967"/>
      <c r="M76" s="967"/>
      <c r="N76" s="967"/>
      <c r="O76" s="967"/>
      <c r="P76" s="967"/>
      <c r="Q76" s="967"/>
      <c r="R76" s="967"/>
      <c r="S76" s="967"/>
      <c r="T76" s="967"/>
      <c r="U76" s="967"/>
      <c r="V76" s="967"/>
      <c r="W76" s="967"/>
    </row>
    <row r="77" spans="1:23" x14ac:dyDescent="0.35">
      <c r="A77" s="3764" t="s">
        <v>721</v>
      </c>
      <c r="B77" s="3765"/>
      <c r="C77" s="12"/>
      <c r="D77" s="12"/>
      <c r="E77" s="12"/>
      <c r="F77" s="12"/>
      <c r="G77" s="13"/>
      <c r="H77" s="21"/>
      <c r="I77" s="21"/>
      <c r="J77" s="21"/>
      <c r="K77" s="21"/>
      <c r="L77" s="21"/>
      <c r="M77" s="21"/>
      <c r="N77" s="21"/>
      <c r="O77" s="21"/>
      <c r="P77" s="21"/>
      <c r="Q77" s="21"/>
      <c r="R77" s="21"/>
      <c r="S77" s="21"/>
      <c r="T77" s="21"/>
      <c r="U77" s="21"/>
      <c r="V77" s="21"/>
      <c r="W77" s="21"/>
    </row>
    <row r="78" spans="1:23" x14ac:dyDescent="0.35">
      <c r="A78" s="968"/>
      <c r="B78" s="641"/>
      <c r="C78" s="969"/>
      <c r="D78" s="969"/>
      <c r="E78" s="969"/>
      <c r="F78" s="969"/>
      <c r="G78" s="1242"/>
      <c r="H78" s="972"/>
      <c r="I78" s="972"/>
      <c r="J78" s="972"/>
      <c r="K78" s="972"/>
      <c r="L78" s="972"/>
      <c r="M78" s="972"/>
      <c r="N78" s="972"/>
      <c r="O78" s="972"/>
      <c r="P78" s="972"/>
      <c r="Q78" s="972"/>
      <c r="R78" s="972"/>
      <c r="S78" s="972"/>
      <c r="T78" s="972"/>
      <c r="U78" s="972"/>
      <c r="V78" s="972"/>
      <c r="W78" s="972"/>
    </row>
    <row r="79" spans="1:23" x14ac:dyDescent="0.35">
      <c r="A79" s="968"/>
      <c r="B79" s="641"/>
      <c r="C79" s="969"/>
      <c r="D79" s="969"/>
      <c r="E79" s="969"/>
      <c r="F79" s="969"/>
      <c r="G79" s="1242"/>
      <c r="H79" s="972"/>
      <c r="I79" s="972"/>
      <c r="J79" s="972"/>
      <c r="K79" s="972"/>
      <c r="L79" s="972"/>
      <c r="M79" s="972"/>
      <c r="N79" s="972"/>
      <c r="O79" s="972"/>
      <c r="P79" s="972"/>
      <c r="Q79" s="972"/>
      <c r="R79" s="972"/>
      <c r="S79" s="972"/>
      <c r="T79" s="972"/>
      <c r="U79" s="972"/>
      <c r="V79" s="972"/>
      <c r="W79" s="972"/>
    </row>
    <row r="80" spans="1:23" x14ac:dyDescent="0.35">
      <c r="A80" s="968"/>
      <c r="B80" s="641"/>
      <c r="C80" s="969"/>
      <c r="D80" s="969"/>
      <c r="E80" s="969"/>
      <c r="F80" s="969"/>
      <c r="G80" s="1242"/>
      <c r="H80" s="972"/>
      <c r="I80" s="972"/>
      <c r="J80" s="972"/>
      <c r="K80" s="972"/>
      <c r="L80" s="972"/>
      <c r="M80" s="972"/>
      <c r="N80" s="972"/>
      <c r="O80" s="972"/>
      <c r="P80" s="972"/>
      <c r="Q80" s="972"/>
      <c r="R80" s="972"/>
      <c r="S80" s="972"/>
      <c r="T80" s="972"/>
      <c r="U80" s="972"/>
      <c r="V80" s="972"/>
      <c r="W80" s="972"/>
    </row>
    <row r="81" spans="1:23" s="2" customFormat="1" x14ac:dyDescent="0.35">
      <c r="A81" s="3764" t="s">
        <v>722</v>
      </c>
      <c r="B81" s="3765"/>
      <c r="C81" s="12"/>
      <c r="D81" s="12"/>
      <c r="E81" s="12"/>
      <c r="F81" s="12"/>
      <c r="G81" s="13"/>
      <c r="H81" s="21"/>
      <c r="I81" s="21"/>
      <c r="J81" s="21"/>
      <c r="K81" s="21"/>
      <c r="L81" s="21"/>
      <c r="M81" s="21"/>
      <c r="N81" s="21"/>
      <c r="O81" s="21"/>
      <c r="P81" s="21"/>
      <c r="Q81" s="21"/>
      <c r="R81" s="21"/>
      <c r="S81" s="21"/>
      <c r="T81" s="21"/>
      <c r="U81" s="21"/>
      <c r="V81" s="21"/>
      <c r="W81" s="21"/>
    </row>
    <row r="82" spans="1:23" s="2" customFormat="1" x14ac:dyDescent="0.35">
      <c r="A82" s="968"/>
      <c r="B82" s="641"/>
      <c r="C82" s="969"/>
      <c r="D82" s="969"/>
      <c r="E82" s="969"/>
      <c r="F82" s="969"/>
      <c r="G82" s="1242"/>
      <c r="H82" s="972"/>
      <c r="I82" s="972"/>
      <c r="J82" s="972"/>
      <c r="K82" s="972"/>
      <c r="L82" s="972"/>
      <c r="M82" s="972"/>
      <c r="N82" s="972"/>
      <c r="O82" s="972"/>
      <c r="P82" s="972"/>
      <c r="Q82" s="972"/>
      <c r="R82" s="972"/>
      <c r="S82" s="972"/>
      <c r="T82" s="972"/>
      <c r="U82" s="972"/>
      <c r="V82" s="972"/>
      <c r="W82" s="972"/>
    </row>
    <row r="83" spans="1:23" s="2" customFormat="1" x14ac:dyDescent="0.35">
      <c r="A83" s="968"/>
      <c r="B83" s="641"/>
      <c r="C83" s="969"/>
      <c r="D83" s="969"/>
      <c r="E83" s="969"/>
      <c r="F83" s="969"/>
      <c r="G83" s="1242"/>
      <c r="H83" s="972"/>
      <c r="I83" s="972"/>
      <c r="J83" s="972"/>
      <c r="K83" s="972"/>
      <c r="L83" s="972"/>
      <c r="M83" s="972"/>
      <c r="N83" s="972"/>
      <c r="O83" s="972"/>
      <c r="P83" s="972"/>
      <c r="Q83" s="972"/>
      <c r="R83" s="972"/>
      <c r="S83" s="972"/>
      <c r="T83" s="972"/>
      <c r="U83" s="972"/>
      <c r="V83" s="972"/>
      <c r="W83" s="972"/>
    </row>
    <row r="84" spans="1:23" x14ac:dyDescent="0.35">
      <c r="A84" s="968"/>
      <c r="B84" s="641"/>
      <c r="C84" s="969"/>
      <c r="D84" s="969"/>
      <c r="E84" s="969"/>
      <c r="F84" s="969"/>
      <c r="G84" s="1242"/>
      <c r="H84" s="972"/>
      <c r="I84" s="972"/>
      <c r="J84" s="972"/>
      <c r="K84" s="972"/>
      <c r="L84" s="972"/>
      <c r="M84" s="972"/>
      <c r="N84" s="972"/>
      <c r="O84" s="972"/>
      <c r="P84" s="972"/>
      <c r="Q84" s="972"/>
      <c r="R84" s="972"/>
      <c r="S84" s="972"/>
      <c r="T84" s="972"/>
      <c r="U84" s="972"/>
      <c r="V84" s="972"/>
      <c r="W84" s="972"/>
    </row>
    <row r="85" spans="1:23" s="2" customFormat="1" x14ac:dyDescent="0.35">
      <c r="A85" s="3764" t="s">
        <v>723</v>
      </c>
      <c r="B85" s="3765"/>
      <c r="C85" s="12"/>
      <c r="D85" s="12"/>
      <c r="E85" s="12"/>
      <c r="F85" s="12"/>
      <c r="G85" s="13"/>
      <c r="H85" s="21"/>
      <c r="I85" s="21"/>
      <c r="J85" s="21"/>
      <c r="K85" s="21"/>
      <c r="L85" s="21"/>
      <c r="M85" s="21"/>
      <c r="N85" s="21"/>
      <c r="O85" s="21"/>
      <c r="P85" s="21"/>
      <c r="Q85" s="21"/>
      <c r="R85" s="21"/>
      <c r="S85" s="21"/>
      <c r="T85" s="21"/>
      <c r="U85" s="21"/>
      <c r="V85" s="21"/>
      <c r="W85" s="21"/>
    </row>
    <row r="86" spans="1:23" s="2" customFormat="1" x14ac:dyDescent="0.35">
      <c r="A86" s="968"/>
      <c r="B86" s="641" t="s">
        <v>1127</v>
      </c>
      <c r="C86" s="969"/>
      <c r="D86" s="969"/>
      <c r="E86" s="969"/>
      <c r="F86" s="969"/>
      <c r="G86" s="1242"/>
      <c r="H86" s="943"/>
      <c r="I86" s="972"/>
      <c r="J86" s="943"/>
      <c r="K86" s="972">
        <v>19250</v>
      </c>
      <c r="L86" s="972"/>
      <c r="M86" s="972"/>
      <c r="N86" s="972"/>
      <c r="O86" s="972"/>
      <c r="P86" s="972"/>
      <c r="Q86" s="972">
        <v>288900</v>
      </c>
      <c r="R86" s="972"/>
      <c r="S86" s="972">
        <v>288900</v>
      </c>
      <c r="T86" s="972"/>
      <c r="U86" s="972"/>
      <c r="V86" s="972"/>
      <c r="W86" s="972"/>
    </row>
    <row r="87" spans="1:23" s="2" customFormat="1" x14ac:dyDescent="0.35">
      <c r="A87" s="689"/>
      <c r="B87" s="641"/>
      <c r="C87" s="642"/>
      <c r="D87" s="642"/>
      <c r="E87" s="642"/>
      <c r="F87" s="642"/>
      <c r="G87" s="646"/>
      <c r="H87" s="973"/>
      <c r="I87" s="973"/>
      <c r="J87" s="973"/>
      <c r="K87" s="973"/>
      <c r="L87" s="973"/>
      <c r="M87" s="973"/>
      <c r="N87" s="973"/>
      <c r="O87" s="973"/>
      <c r="P87" s="973"/>
      <c r="Q87" s="973"/>
      <c r="R87" s="973"/>
      <c r="S87" s="973"/>
      <c r="T87" s="973"/>
      <c r="U87" s="973"/>
      <c r="V87" s="973"/>
      <c r="W87" s="973"/>
    </row>
    <row r="88" spans="1:23" s="2" customFormat="1" x14ac:dyDescent="0.35">
      <c r="A88" s="686"/>
      <c r="B88" s="665"/>
      <c r="C88" s="642"/>
      <c r="D88" s="642"/>
      <c r="E88" s="642"/>
      <c r="F88" s="642"/>
      <c r="G88" s="646"/>
      <c r="H88" s="974"/>
      <c r="I88" s="974"/>
      <c r="J88" s="974"/>
      <c r="K88" s="974"/>
      <c r="L88" s="974"/>
      <c r="M88" s="974"/>
      <c r="N88" s="974"/>
      <c r="O88" s="974"/>
      <c r="P88" s="974"/>
      <c r="Q88" s="974"/>
      <c r="R88" s="974"/>
      <c r="S88" s="974"/>
      <c r="T88" s="974"/>
      <c r="U88" s="974"/>
      <c r="V88" s="974"/>
      <c r="W88" s="974"/>
    </row>
    <row r="89" spans="1:23" s="2" customFormat="1" x14ac:dyDescent="0.35">
      <c r="A89" s="3764" t="s">
        <v>724</v>
      </c>
      <c r="B89" s="3765"/>
      <c r="C89" s="12"/>
      <c r="D89" s="12"/>
      <c r="E89" s="12"/>
      <c r="F89" s="12"/>
      <c r="G89" s="13"/>
      <c r="H89" s="21"/>
      <c r="I89" s="21"/>
      <c r="J89" s="21"/>
      <c r="K89" s="21"/>
      <c r="L89" s="21"/>
      <c r="M89" s="21"/>
      <c r="N89" s="21"/>
      <c r="O89" s="21"/>
      <c r="P89" s="21"/>
      <c r="Q89" s="21"/>
      <c r="R89" s="21"/>
      <c r="S89" s="21"/>
      <c r="T89" s="21"/>
      <c r="U89" s="21"/>
      <c r="V89" s="21"/>
      <c r="W89" s="21"/>
    </row>
    <row r="90" spans="1:23" x14ac:dyDescent="0.35">
      <c r="A90" s="975"/>
      <c r="B90" s="976" t="s">
        <v>1128</v>
      </c>
      <c r="C90" s="969"/>
      <c r="D90" s="969"/>
      <c r="E90" s="969"/>
      <c r="F90" s="969"/>
      <c r="G90" s="1242"/>
      <c r="H90" s="943"/>
      <c r="I90" s="972"/>
      <c r="J90" s="943"/>
      <c r="K90" s="972"/>
      <c r="L90" s="972"/>
      <c r="M90" s="972"/>
      <c r="N90" s="972"/>
      <c r="O90" s="972"/>
      <c r="P90" s="972"/>
      <c r="Q90" s="972"/>
      <c r="R90" s="972"/>
      <c r="S90" s="972"/>
      <c r="T90" s="972"/>
      <c r="U90" s="972"/>
      <c r="V90" s="972"/>
      <c r="W90" s="972"/>
    </row>
    <row r="91" spans="1:23" x14ac:dyDescent="0.35">
      <c r="A91" s="975"/>
      <c r="B91" s="976" t="s">
        <v>1129</v>
      </c>
      <c r="C91" s="969"/>
      <c r="D91" s="969"/>
      <c r="E91" s="969"/>
      <c r="F91" s="969"/>
      <c r="G91" s="1242"/>
      <c r="H91" s="943"/>
      <c r="I91" s="972"/>
      <c r="J91" s="943"/>
      <c r="K91" s="972"/>
      <c r="L91" s="972"/>
      <c r="M91" s="972"/>
      <c r="N91" s="972"/>
      <c r="O91" s="972"/>
      <c r="P91" s="972"/>
      <c r="Q91" s="972"/>
      <c r="R91" s="972"/>
      <c r="S91" s="972"/>
      <c r="T91" s="972"/>
      <c r="U91" s="972"/>
      <c r="V91" s="972"/>
      <c r="W91" s="972"/>
    </row>
    <row r="92" spans="1:23" x14ac:dyDescent="0.35">
      <c r="A92" s="975"/>
      <c r="B92" s="976" t="s">
        <v>1130</v>
      </c>
      <c r="C92" s="969"/>
      <c r="D92" s="969"/>
      <c r="E92" s="969"/>
      <c r="F92" s="969"/>
      <c r="G92" s="1242"/>
      <c r="H92" s="943"/>
      <c r="I92" s="972"/>
      <c r="J92" s="943"/>
      <c r="K92" s="972"/>
      <c r="L92" s="972"/>
      <c r="M92" s="972"/>
      <c r="N92" s="972"/>
      <c r="O92" s="972"/>
      <c r="P92" s="972"/>
      <c r="Q92" s="972"/>
      <c r="R92" s="972"/>
      <c r="S92" s="972"/>
      <c r="T92" s="972"/>
      <c r="U92" s="972"/>
      <c r="V92" s="972"/>
      <c r="W92" s="972"/>
    </row>
    <row r="93" spans="1:23" x14ac:dyDescent="0.35">
      <c r="A93" s="975"/>
      <c r="B93" s="976" t="s">
        <v>1131</v>
      </c>
      <c r="C93" s="969"/>
      <c r="D93" s="969"/>
      <c r="E93" s="969"/>
      <c r="F93" s="969"/>
      <c r="G93" s="1242"/>
      <c r="H93" s="943"/>
      <c r="I93" s="972"/>
      <c r="J93" s="943"/>
      <c r="K93" s="972"/>
      <c r="L93" s="972"/>
      <c r="M93" s="972"/>
      <c r="N93" s="972"/>
      <c r="O93" s="972"/>
      <c r="P93" s="972"/>
      <c r="Q93" s="972"/>
      <c r="R93" s="972"/>
      <c r="S93" s="972"/>
      <c r="T93" s="972"/>
      <c r="U93" s="972"/>
      <c r="V93" s="972"/>
      <c r="W93" s="972"/>
    </row>
    <row r="94" spans="1:23" x14ac:dyDescent="0.35">
      <c r="A94" s="975"/>
      <c r="B94" s="976" t="s">
        <v>1132</v>
      </c>
      <c r="C94" s="969"/>
      <c r="D94" s="969"/>
      <c r="E94" s="969"/>
      <c r="F94" s="969"/>
      <c r="G94" s="1242"/>
      <c r="H94" s="943"/>
      <c r="I94" s="972"/>
      <c r="J94" s="943"/>
      <c r="K94" s="972"/>
      <c r="L94" s="972"/>
      <c r="M94" s="972"/>
      <c r="N94" s="972"/>
      <c r="O94" s="972"/>
      <c r="P94" s="943" t="s">
        <v>669</v>
      </c>
      <c r="Q94" s="972">
        <f>-67570</f>
        <v>-67570</v>
      </c>
      <c r="R94" s="943" t="s">
        <v>669</v>
      </c>
      <c r="S94" s="972">
        <f>-67570</f>
        <v>-67570</v>
      </c>
      <c r="T94" s="972"/>
      <c r="U94" s="972"/>
      <c r="V94" s="972"/>
      <c r="W94" s="972"/>
    </row>
    <row r="95" spans="1:23" x14ac:dyDescent="0.35">
      <c r="A95" s="975"/>
      <c r="B95" s="976"/>
      <c r="C95" s="969"/>
      <c r="D95" s="969"/>
      <c r="E95" s="969"/>
      <c r="F95" s="969"/>
      <c r="G95" s="1242"/>
      <c r="H95" s="943"/>
      <c r="I95" s="972"/>
      <c r="J95" s="943"/>
      <c r="K95" s="972"/>
      <c r="L95" s="972"/>
      <c r="M95" s="972"/>
      <c r="N95" s="972"/>
      <c r="O95" s="972"/>
      <c r="P95" s="972"/>
      <c r="Q95" s="972"/>
      <c r="R95" s="972"/>
      <c r="S95" s="972"/>
      <c r="T95" s="972"/>
      <c r="U95" s="972"/>
      <c r="V95" s="972"/>
      <c r="W95" s="972"/>
    </row>
    <row r="96" spans="1:23" x14ac:dyDescent="0.35">
      <c r="A96" s="975"/>
      <c r="B96" s="976"/>
      <c r="C96" s="969"/>
      <c r="D96" s="969"/>
      <c r="E96" s="969"/>
      <c r="F96" s="969"/>
      <c r="G96" s="1242"/>
      <c r="H96" s="943"/>
      <c r="I96" s="972"/>
      <c r="J96" s="943"/>
      <c r="K96" s="972"/>
      <c r="L96" s="972"/>
      <c r="M96" s="972"/>
      <c r="N96" s="972"/>
      <c r="O96" s="972"/>
      <c r="P96" s="972"/>
      <c r="Q96" s="972"/>
      <c r="R96" s="972"/>
      <c r="S96" s="972"/>
      <c r="T96" s="972"/>
      <c r="U96" s="972"/>
      <c r="V96" s="972"/>
      <c r="W96" s="972"/>
    </row>
    <row r="97" spans="1:23" x14ac:dyDescent="0.35">
      <c r="A97" s="3764" t="s">
        <v>725</v>
      </c>
      <c r="B97" s="3765"/>
      <c r="C97" s="12"/>
      <c r="D97" s="12"/>
      <c r="E97" s="12"/>
      <c r="F97" s="12"/>
      <c r="G97" s="13"/>
      <c r="H97" s="21"/>
      <c r="I97" s="21"/>
      <c r="J97" s="21"/>
      <c r="K97" s="21"/>
      <c r="L97" s="21"/>
      <c r="M97" s="21"/>
      <c r="N97" s="21"/>
      <c r="O97" s="21"/>
      <c r="P97" s="21"/>
      <c r="Q97" s="21"/>
      <c r="R97" s="21"/>
      <c r="S97" s="21"/>
      <c r="T97" s="21"/>
      <c r="U97" s="21"/>
      <c r="V97" s="21"/>
      <c r="W97" s="21"/>
    </row>
    <row r="98" spans="1:23" x14ac:dyDescent="0.35">
      <c r="A98" s="689"/>
      <c r="B98" s="641" t="s">
        <v>726</v>
      </c>
      <c r="C98" s="642"/>
      <c r="D98" s="642"/>
      <c r="E98" s="642"/>
      <c r="F98" s="642"/>
      <c r="G98" s="646"/>
      <c r="H98" s="977"/>
      <c r="I98" s="977"/>
      <c r="J98" s="977"/>
      <c r="K98" s="977"/>
      <c r="L98" s="977"/>
      <c r="M98" s="977"/>
      <c r="N98" s="977"/>
      <c r="O98" s="977"/>
      <c r="P98" s="977"/>
      <c r="Q98" s="977"/>
      <c r="R98" s="977"/>
      <c r="S98" s="977"/>
      <c r="T98" s="977"/>
      <c r="U98" s="977"/>
      <c r="V98" s="977"/>
      <c r="W98" s="977"/>
    </row>
    <row r="99" spans="1:23" x14ac:dyDescent="0.35">
      <c r="A99" s="689"/>
      <c r="B99" s="641" t="s">
        <v>727</v>
      </c>
      <c r="C99" s="642"/>
      <c r="D99" s="642"/>
      <c r="E99" s="642"/>
      <c r="F99" s="642"/>
      <c r="G99" s="646"/>
      <c r="H99" s="977"/>
      <c r="I99" s="977"/>
      <c r="J99" s="977"/>
      <c r="K99" s="977"/>
      <c r="L99" s="977"/>
      <c r="M99" s="977"/>
      <c r="N99" s="977"/>
      <c r="O99" s="977"/>
      <c r="P99" s="977"/>
      <c r="Q99" s="977"/>
      <c r="R99" s="977"/>
      <c r="S99" s="977"/>
      <c r="T99" s="977"/>
      <c r="U99" s="977"/>
      <c r="V99" s="977"/>
      <c r="W99" s="977"/>
    </row>
    <row r="100" spans="1:23" x14ac:dyDescent="0.35">
      <c r="A100" s="689"/>
      <c r="B100" s="641" t="s">
        <v>728</v>
      </c>
      <c r="C100" s="642"/>
      <c r="D100" s="642"/>
      <c r="E100" s="642"/>
      <c r="F100" s="642"/>
      <c r="G100" s="646"/>
      <c r="H100" s="977"/>
      <c r="I100" s="977"/>
      <c r="J100" s="977"/>
      <c r="K100" s="977"/>
      <c r="L100" s="977"/>
      <c r="M100" s="977"/>
      <c r="N100" s="977"/>
      <c r="O100" s="977"/>
      <c r="P100" s="977"/>
      <c r="Q100" s="977"/>
      <c r="R100" s="977"/>
      <c r="S100" s="977"/>
      <c r="T100" s="977"/>
      <c r="U100" s="977"/>
      <c r="V100" s="977"/>
      <c r="W100" s="977"/>
    </row>
    <row r="101" spans="1:23" x14ac:dyDescent="0.35">
      <c r="A101" s="689"/>
      <c r="B101" s="641" t="s">
        <v>729</v>
      </c>
      <c r="C101" s="642"/>
      <c r="D101" s="642"/>
      <c r="E101" s="642"/>
      <c r="F101" s="642"/>
      <c r="G101" s="646"/>
      <c r="H101" s="977"/>
      <c r="I101" s="977"/>
      <c r="J101" s="977"/>
      <c r="K101" s="977"/>
      <c r="L101" s="977"/>
      <c r="M101" s="977"/>
      <c r="N101" s="977"/>
      <c r="O101" s="977"/>
      <c r="P101" s="977"/>
      <c r="Q101" s="977"/>
      <c r="R101" s="977"/>
      <c r="S101" s="977"/>
      <c r="T101" s="977"/>
      <c r="U101" s="977"/>
      <c r="V101" s="977"/>
      <c r="W101" s="977"/>
    </row>
    <row r="102" spans="1:23" x14ac:dyDescent="0.35">
      <c r="A102" s="978"/>
      <c r="B102" s="939"/>
      <c r="C102" s="940"/>
      <c r="D102" s="940"/>
      <c r="E102" s="940"/>
      <c r="F102" s="940"/>
      <c r="G102" s="1039"/>
      <c r="H102" s="981"/>
      <c r="I102" s="981"/>
      <c r="J102" s="981"/>
      <c r="K102" s="981"/>
      <c r="L102" s="981"/>
      <c r="M102" s="981"/>
      <c r="N102" s="981"/>
      <c r="O102" s="981"/>
      <c r="P102" s="981"/>
      <c r="Q102" s="981"/>
      <c r="R102" s="981"/>
      <c r="S102" s="981"/>
      <c r="T102" s="981"/>
      <c r="U102" s="981"/>
      <c r="V102" s="981"/>
      <c r="W102" s="981"/>
    </row>
    <row r="103" spans="1:23" x14ac:dyDescent="0.35">
      <c r="A103" s="7" t="s">
        <v>730</v>
      </c>
      <c r="B103" s="8"/>
      <c r="C103" s="12"/>
      <c r="D103" s="12"/>
      <c r="E103" s="12"/>
      <c r="F103" s="12"/>
      <c r="G103" s="13"/>
      <c r="H103" s="21"/>
      <c r="I103" s="21"/>
      <c r="J103" s="21"/>
      <c r="K103" s="21"/>
      <c r="L103" s="21"/>
      <c r="M103" s="21"/>
      <c r="N103" s="21"/>
      <c r="O103" s="21"/>
      <c r="P103" s="21"/>
      <c r="Q103" s="21"/>
      <c r="R103" s="21"/>
      <c r="S103" s="21"/>
      <c r="T103" s="21"/>
      <c r="U103" s="21"/>
      <c r="V103" s="21"/>
      <c r="W103" s="21"/>
    </row>
    <row r="104" spans="1:23" x14ac:dyDescent="0.35">
      <c r="A104" s="968"/>
      <c r="B104" s="982" t="s">
        <v>731</v>
      </c>
      <c r="C104" s="969"/>
      <c r="D104" s="969"/>
      <c r="E104" s="969"/>
      <c r="F104" s="969"/>
      <c r="G104" s="1242"/>
      <c r="H104" s="983"/>
      <c r="I104" s="983"/>
      <c r="J104" s="983"/>
      <c r="K104" s="983"/>
      <c r="L104" s="983"/>
      <c r="M104" s="983"/>
      <c r="N104" s="983"/>
      <c r="O104" s="983"/>
      <c r="P104" s="983"/>
      <c r="Q104" s="983"/>
      <c r="R104" s="983"/>
      <c r="S104" s="983"/>
      <c r="T104" s="983"/>
      <c r="U104" s="983"/>
      <c r="V104" s="983"/>
      <c r="W104" s="983"/>
    </row>
    <row r="105" spans="1:23" x14ac:dyDescent="0.35">
      <c r="A105" s="689"/>
      <c r="B105" s="641" t="s">
        <v>732</v>
      </c>
      <c r="C105" s="642"/>
      <c r="D105" s="642"/>
      <c r="E105" s="642"/>
      <c r="F105" s="642"/>
      <c r="G105" s="646"/>
      <c r="H105" s="984"/>
      <c r="I105" s="984"/>
      <c r="J105" s="984"/>
      <c r="K105" s="984"/>
      <c r="L105" s="984"/>
      <c r="M105" s="984"/>
      <c r="N105" s="984"/>
      <c r="O105" s="984"/>
      <c r="P105" s="984"/>
      <c r="Q105" s="984"/>
      <c r="R105" s="984"/>
      <c r="S105" s="984"/>
      <c r="T105" s="984"/>
      <c r="U105" s="984"/>
      <c r="V105" s="984"/>
      <c r="W105" s="984"/>
    </row>
    <row r="106" spans="1:23" x14ac:dyDescent="0.35">
      <c r="A106" s="985"/>
      <c r="B106" s="986" t="s">
        <v>733</v>
      </c>
      <c r="C106" s="987"/>
      <c r="D106" s="987"/>
      <c r="E106" s="987"/>
      <c r="F106" s="987"/>
      <c r="G106" s="1040"/>
      <c r="H106" s="990"/>
      <c r="I106" s="990"/>
      <c r="J106" s="990"/>
      <c r="K106" s="990"/>
      <c r="L106" s="990"/>
      <c r="M106" s="990"/>
      <c r="N106" s="990"/>
      <c r="O106" s="990"/>
      <c r="P106" s="990"/>
      <c r="Q106" s="990"/>
      <c r="R106" s="990"/>
      <c r="S106" s="990"/>
      <c r="T106" s="990"/>
      <c r="U106" s="990"/>
      <c r="V106" s="990"/>
      <c r="W106" s="990"/>
    </row>
    <row r="108" spans="1:23" x14ac:dyDescent="0.35">
      <c r="A108" s="78" t="s">
        <v>734</v>
      </c>
      <c r="B108" s="80"/>
    </row>
    <row r="109" spans="1:23" x14ac:dyDescent="0.35">
      <c r="A109" s="79" t="s">
        <v>632</v>
      </c>
      <c r="B109" s="991" t="str">
        <f>H4</f>
        <v>Pilar Welding</v>
      </c>
    </row>
    <row r="110" spans="1:23" x14ac:dyDescent="0.35">
      <c r="A110" s="687" t="s">
        <v>636</v>
      </c>
      <c r="B110" s="991" t="str">
        <f>H5</f>
        <v>Sarai Campos</v>
      </c>
    </row>
    <row r="111" spans="1:23" x14ac:dyDescent="0.35">
      <c r="A111" s="992" t="s">
        <v>639</v>
      </c>
      <c r="B111" s="993" t="str">
        <f>H6</f>
        <v>561-524-9246</v>
      </c>
    </row>
    <row r="112" spans="1:23" x14ac:dyDescent="0.35">
      <c r="A112" s="992" t="s">
        <v>642</v>
      </c>
      <c r="B112" s="994" t="str">
        <f>H7</f>
        <v xml:space="preserve"> &lt;sara@pilarwelding.com&gt;</v>
      </c>
      <c r="C112" s="2" t="s">
        <v>747</v>
      </c>
      <c r="D112" s="2" t="s">
        <v>80</v>
      </c>
      <c r="E112" s="2" t="s">
        <v>429</v>
      </c>
      <c r="F112" s="2" t="s">
        <v>746</v>
      </c>
    </row>
    <row r="113" spans="1:6" x14ac:dyDescent="0.35">
      <c r="A113" s="995" t="s">
        <v>735</v>
      </c>
      <c r="B113" s="996">
        <f>H8</f>
        <v>879361.55</v>
      </c>
      <c r="C113" s="325"/>
      <c r="F113" s="333"/>
    </row>
    <row r="115" spans="1:6" x14ac:dyDescent="0.35">
      <c r="A115" s="81"/>
      <c r="B115" s="1" t="s">
        <v>736</v>
      </c>
    </row>
    <row r="116" spans="1:6" x14ac:dyDescent="0.35">
      <c r="A116" s="82"/>
      <c r="B116" s="1" t="s">
        <v>737</v>
      </c>
    </row>
  </sheetData>
  <mergeCells count="88">
    <mergeCell ref="A77:B77"/>
    <mergeCell ref="A81:B81"/>
    <mergeCell ref="A85:B85"/>
    <mergeCell ref="A89:B89"/>
    <mergeCell ref="A97:B97"/>
    <mergeCell ref="H2:I2"/>
    <mergeCell ref="N2:O2"/>
    <mergeCell ref="T2:U2"/>
    <mergeCell ref="L2:M2"/>
    <mergeCell ref="R2:S2"/>
    <mergeCell ref="P2:Q2"/>
    <mergeCell ref="J2:K2"/>
    <mergeCell ref="H4:I4"/>
    <mergeCell ref="N4:O4"/>
    <mergeCell ref="T4:U4"/>
    <mergeCell ref="L4:M4"/>
    <mergeCell ref="R4:S4"/>
    <mergeCell ref="P4:Q4"/>
    <mergeCell ref="J4:K4"/>
    <mergeCell ref="H3:I3"/>
    <mergeCell ref="N3:O3"/>
    <mergeCell ref="T3:U3"/>
    <mergeCell ref="L3:M3"/>
    <mergeCell ref="R3:S3"/>
    <mergeCell ref="P3:Q3"/>
    <mergeCell ref="J3:K3"/>
    <mergeCell ref="H5:I5"/>
    <mergeCell ref="N6:O6"/>
    <mergeCell ref="J5:K5"/>
    <mergeCell ref="J6:K6"/>
    <mergeCell ref="J7:K7"/>
    <mergeCell ref="L5:M5"/>
    <mergeCell ref="H6:I6"/>
    <mergeCell ref="L6:M6"/>
    <mergeCell ref="N5:O5"/>
    <mergeCell ref="V2:W2"/>
    <mergeCell ref="T7:U7"/>
    <mergeCell ref="T8:U8"/>
    <mergeCell ref="R7:S7"/>
    <mergeCell ref="R8:S8"/>
    <mergeCell ref="T5:U5"/>
    <mergeCell ref="T6:U6"/>
    <mergeCell ref="R5:S5"/>
    <mergeCell ref="R6:S6"/>
    <mergeCell ref="H8:I8"/>
    <mergeCell ref="N8:O8"/>
    <mergeCell ref="L8:M8"/>
    <mergeCell ref="V11:W11"/>
    <mergeCell ref="T1:U1"/>
    <mergeCell ref="T11:U11"/>
    <mergeCell ref="V9:W9"/>
    <mergeCell ref="V10:W10"/>
    <mergeCell ref="T9:U9"/>
    <mergeCell ref="T10:U10"/>
    <mergeCell ref="V8:W8"/>
    <mergeCell ref="V7:W7"/>
    <mergeCell ref="V6:W6"/>
    <mergeCell ref="V5:W5"/>
    <mergeCell ref="V4:W4"/>
    <mergeCell ref="V3:W3"/>
    <mergeCell ref="R9:S9"/>
    <mergeCell ref="R10:S10"/>
    <mergeCell ref="R11:S11"/>
    <mergeCell ref="L1:M1"/>
    <mergeCell ref="H11:I11"/>
    <mergeCell ref="N11:O11"/>
    <mergeCell ref="L11:M11"/>
    <mergeCell ref="L9:M9"/>
    <mergeCell ref="H9:I9"/>
    <mergeCell ref="H10:I10"/>
    <mergeCell ref="N9:O9"/>
    <mergeCell ref="N10:O10"/>
    <mergeCell ref="L10:M10"/>
    <mergeCell ref="H7:I7"/>
    <mergeCell ref="N7:O7"/>
    <mergeCell ref="L7:M7"/>
    <mergeCell ref="J9:K9"/>
    <mergeCell ref="J10:K10"/>
    <mergeCell ref="J11:K11"/>
    <mergeCell ref="J1:K1"/>
    <mergeCell ref="P9:Q9"/>
    <mergeCell ref="P10:Q10"/>
    <mergeCell ref="P11:Q11"/>
    <mergeCell ref="P7:Q7"/>
    <mergeCell ref="P8:Q8"/>
    <mergeCell ref="J8:K8"/>
    <mergeCell ref="P5:Q5"/>
    <mergeCell ref="P6:Q6"/>
  </mergeCells>
  <conditionalFormatting sqref="H23:H35 H37:H68 L37:L68 N37:N68 T37:T68 V37:V68">
    <cfRule type="cellIs" dxfId="2651" priority="179" operator="equal">
      <formula>"X"</formula>
    </cfRule>
    <cfRule type="cellIs" dxfId="2650" priority="180" operator="equal">
      <formula>"I"</formula>
    </cfRule>
  </conditionalFormatting>
  <conditionalFormatting sqref="H86">
    <cfRule type="cellIs" dxfId="2649" priority="157" operator="equal">
      <formula>"X"</formula>
    </cfRule>
    <cfRule type="cellIs" dxfId="2648" priority="158" operator="equal">
      <formula>"I"</formula>
    </cfRule>
  </conditionalFormatting>
  <conditionalFormatting sqref="H90:H96">
    <cfRule type="cellIs" dxfId="2647" priority="163" operator="equal">
      <formula>"X"</formula>
    </cfRule>
    <cfRule type="cellIs" dxfId="2646" priority="164" operator="equal">
      <formula>"I"</formula>
    </cfRule>
  </conditionalFormatting>
  <conditionalFormatting sqref="J23:J35 J37:J68">
    <cfRule type="cellIs" dxfId="2645" priority="7" operator="equal">
      <formula>"X"</formula>
    </cfRule>
    <cfRule type="cellIs" dxfId="2644" priority="8" operator="equal">
      <formula>"I"</formula>
    </cfRule>
  </conditionalFormatting>
  <conditionalFormatting sqref="J86">
    <cfRule type="cellIs" dxfId="2643" priority="3" operator="equal">
      <formula>"X"</formula>
    </cfRule>
    <cfRule type="cellIs" dxfId="2642" priority="4" operator="equal">
      <formula>"I"</formula>
    </cfRule>
  </conditionalFormatting>
  <conditionalFormatting sqref="J90:J96">
    <cfRule type="cellIs" dxfId="2641" priority="5" operator="equal">
      <formula>"X"</formula>
    </cfRule>
    <cfRule type="cellIs" dxfId="2640" priority="6" operator="equal">
      <formula>"I"</formula>
    </cfRule>
  </conditionalFormatting>
  <conditionalFormatting sqref="L23:L35">
    <cfRule type="cellIs" dxfId="2639" priority="75" operator="equal">
      <formula>"X"</formula>
    </cfRule>
    <cfRule type="cellIs" dxfId="2638" priority="76" operator="equal">
      <formula>"I"</formula>
    </cfRule>
  </conditionalFormatting>
  <conditionalFormatting sqref="N23:N35">
    <cfRule type="cellIs" dxfId="2637" priority="63" operator="equal">
      <formula>"X"</formula>
    </cfRule>
    <cfRule type="cellIs" dxfId="2636" priority="64" operator="equal">
      <formula>"I"</formula>
    </cfRule>
  </conditionalFormatting>
  <conditionalFormatting sqref="P26:P34">
    <cfRule type="cellIs" dxfId="2635" priority="23" operator="equal">
      <formula>"X"</formula>
    </cfRule>
    <cfRule type="cellIs" dxfId="2634" priority="24" operator="equal">
      <formula>"I"</formula>
    </cfRule>
  </conditionalFormatting>
  <conditionalFormatting sqref="P38:P39">
    <cfRule type="cellIs" dxfId="2633" priority="17" operator="equal">
      <formula>"X"</formula>
    </cfRule>
    <cfRule type="cellIs" dxfId="2632" priority="18" operator="equal">
      <formula>"I"</formula>
    </cfRule>
  </conditionalFormatting>
  <conditionalFormatting sqref="P41:P50">
    <cfRule type="cellIs" dxfId="2631" priority="21" operator="equal">
      <formula>"X"</formula>
    </cfRule>
    <cfRule type="cellIs" dxfId="2630" priority="22" operator="equal">
      <formula>"I"</formula>
    </cfRule>
  </conditionalFormatting>
  <conditionalFormatting sqref="P52:P58 P60:P68">
    <cfRule type="cellIs" dxfId="2629" priority="15" operator="equal">
      <formula>"X"</formula>
    </cfRule>
    <cfRule type="cellIs" dxfId="2628" priority="16" operator="equal">
      <formula>"I"</formula>
    </cfRule>
  </conditionalFormatting>
  <conditionalFormatting sqref="P94">
    <cfRule type="cellIs" dxfId="2627" priority="19" operator="equal">
      <formula>"X"</formula>
    </cfRule>
    <cfRule type="cellIs" dxfId="2626" priority="20" operator="equal">
      <formula>"I"</formula>
    </cfRule>
  </conditionalFormatting>
  <conditionalFormatting sqref="R26:R34">
    <cfRule type="cellIs" dxfId="2625" priority="33" operator="equal">
      <formula>"X"</formula>
    </cfRule>
    <cfRule type="cellIs" dxfId="2624" priority="34" operator="equal">
      <formula>"I"</formula>
    </cfRule>
  </conditionalFormatting>
  <conditionalFormatting sqref="R38:R39">
    <cfRule type="cellIs" dxfId="2623" priority="27" operator="equal">
      <formula>"X"</formula>
    </cfRule>
    <cfRule type="cellIs" dxfId="2622" priority="28" operator="equal">
      <formula>"I"</formula>
    </cfRule>
  </conditionalFormatting>
  <conditionalFormatting sqref="R41:R50">
    <cfRule type="cellIs" dxfId="2621" priority="31" operator="equal">
      <formula>"X"</formula>
    </cfRule>
    <cfRule type="cellIs" dxfId="2620" priority="32" operator="equal">
      <formula>"I"</formula>
    </cfRule>
  </conditionalFormatting>
  <conditionalFormatting sqref="R52:R68">
    <cfRule type="cellIs" dxfId="2619" priority="35" operator="equal">
      <formula>"X"</formula>
    </cfRule>
    <cfRule type="cellIs" dxfId="2618" priority="36" operator="equal">
      <formula>"I"</formula>
    </cfRule>
  </conditionalFormatting>
  <conditionalFormatting sqref="R94">
    <cfRule type="cellIs" dxfId="2617" priority="29" operator="equal">
      <formula>"X"</formula>
    </cfRule>
    <cfRule type="cellIs" dxfId="2616" priority="30" operator="equal">
      <formula>"I"</formula>
    </cfRule>
  </conditionalFormatting>
  <conditionalFormatting sqref="T23:T35">
    <cfRule type="cellIs" dxfId="2615" priority="67" operator="equal">
      <formula>"X"</formula>
    </cfRule>
    <cfRule type="cellIs" dxfId="2614" priority="68" operator="equal">
      <formula>"I"</formula>
    </cfRule>
  </conditionalFormatting>
  <conditionalFormatting sqref="V23:V35">
    <cfRule type="cellIs" dxfId="2613" priority="47" operator="equal">
      <formula>"X"</formula>
    </cfRule>
    <cfRule type="cellIs" dxfId="2612" priority="48" operator="equal">
      <formula>"I"</formula>
    </cfRule>
  </conditionalFormatting>
  <conditionalFormatting sqref="P59">
    <cfRule type="cellIs" dxfId="2611" priority="1" operator="equal">
      <formula>"X"</formula>
    </cfRule>
    <cfRule type="cellIs" dxfId="2610" priority="2" operator="equal">
      <formula>"I"</formula>
    </cfRule>
  </conditionalFormatting>
  <hyperlinks>
    <hyperlink ref="B3" location="'Cost Summary'!A1" display="BACK TO SUMMARY SHEET" xr:uid="{6C5F867E-2E00-4B98-9722-41B6BE50AACC}"/>
    <hyperlink ref="T7:U7" r:id="rId1" display="chris@cacocf.com" xr:uid="{FC40A8A7-C564-4436-923A-4DEE071F03AE}"/>
    <hyperlink ref="L7:M7" r:id="rId2" display="chris.jones@grecorailings.com" xr:uid="{85AA97C5-8884-4A99-B8B8-F6ED10F6E0E9}"/>
    <hyperlink ref="N7:O7" r:id="rId3" display="lmontes@coastalmetal.biz" xr:uid="{F33ACB89-FAD1-4361-BE6D-129A87D77B10}"/>
    <hyperlink ref="R7:S7" r:id="rId4" display="drodriguez@biwiron.com" xr:uid="{6E19A6D7-BBB9-408B-953E-B33A045C74D9}"/>
    <hyperlink ref="P7:Q7" r:id="rId5" display="vfernandez@aawimpact.com&gt;" xr:uid="{5826A72E-36CE-44CC-9827-65B54FFB302D}"/>
  </hyperlinks>
  <pageMargins left="0.7" right="0.7" top="0.75" bottom="0.75" header="0.3" footer="0.3"/>
  <pageSetup orientation="portrait" r:id="rId6"/>
  <legacyDrawing r:id="rId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F000-8EDB-41E0-B4E0-D536F894FF4E}">
  <dimension ref="B1:F9"/>
  <sheetViews>
    <sheetView workbookViewId="0"/>
  </sheetViews>
  <sheetFormatPr defaultRowHeight="14.5" x14ac:dyDescent="0.35"/>
  <cols>
    <col min="2" max="2" width="24.81640625" customWidth="1"/>
    <col min="3" max="3" width="13.81640625" customWidth="1"/>
    <col min="4" max="4" width="13.54296875" customWidth="1"/>
  </cols>
  <sheetData>
    <row r="1" spans="2:6" ht="15.5" x14ac:dyDescent="0.35">
      <c r="C1" s="346" t="s">
        <v>1133</v>
      </c>
      <c r="D1" s="346" t="s">
        <v>1134</v>
      </c>
    </row>
    <row r="2" spans="2:6" ht="15.5" x14ac:dyDescent="0.35">
      <c r="B2" s="346" t="s">
        <v>1135</v>
      </c>
      <c r="C2">
        <f>94*3</f>
        <v>282</v>
      </c>
      <c r="D2">
        <f>48*3</f>
        <v>144</v>
      </c>
    </row>
    <row r="3" spans="2:6" ht="15.5" x14ac:dyDescent="0.35">
      <c r="B3" s="346" t="s">
        <v>1136</v>
      </c>
      <c r="C3">
        <f>167*2</f>
        <v>334</v>
      </c>
      <c r="D3">
        <f>48*2</f>
        <v>96</v>
      </c>
    </row>
    <row r="4" spans="2:6" ht="15.5" x14ac:dyDescent="0.35">
      <c r="B4" s="346" t="s">
        <v>1137</v>
      </c>
      <c r="C4">
        <v>145</v>
      </c>
      <c r="D4">
        <v>17</v>
      </c>
      <c r="F4" s="642"/>
    </row>
    <row r="5" spans="2:6" ht="15.5" x14ac:dyDescent="0.35">
      <c r="B5" s="346" t="s">
        <v>80</v>
      </c>
      <c r="C5">
        <v>6</v>
      </c>
      <c r="D5">
        <v>71</v>
      </c>
    </row>
    <row r="6" spans="2:6" ht="15.5" x14ac:dyDescent="0.35">
      <c r="B6" s="346" t="s">
        <v>794</v>
      </c>
      <c r="C6">
        <v>0</v>
      </c>
      <c r="D6">
        <v>90</v>
      </c>
    </row>
    <row r="7" spans="2:6" ht="15.5" x14ac:dyDescent="0.35">
      <c r="B7" s="346"/>
      <c r="D7">
        <f>81*2</f>
        <v>162</v>
      </c>
    </row>
    <row r="8" spans="2:6" ht="15.5" x14ac:dyDescent="0.35">
      <c r="B8" s="346" t="s">
        <v>1138</v>
      </c>
      <c r="C8">
        <v>0</v>
      </c>
      <c r="D8">
        <v>41</v>
      </c>
    </row>
    <row r="9" spans="2:6" x14ac:dyDescent="0.35">
      <c r="C9">
        <f>SUM(C2:C8)</f>
        <v>767</v>
      </c>
      <c r="D9">
        <f>SUM(D2:D8)</f>
        <v>621</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BC89-544F-41D5-AC5D-E1C2CE4CAA30}">
  <sheetPr>
    <tabColor rgb="FF92D050"/>
  </sheetPr>
  <dimension ref="A1:S94"/>
  <sheetViews>
    <sheetView zoomScale="95" zoomScaleNormal="95" workbookViewId="0">
      <pane xSplit="2" ySplit="9" topLeftCell="H38" activePane="bottomRight" state="frozen"/>
      <selection pane="topRight" activeCell="C1" sqref="C1"/>
      <selection pane="bottomLeft" activeCell="A11" sqref="A11"/>
      <selection pane="bottomRight" activeCell="H38" sqref="H38"/>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5429687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89"/>
      <c r="I2" s="3789"/>
      <c r="J2" s="3751"/>
      <c r="K2" s="3751"/>
      <c r="L2" s="3789"/>
      <c r="M2" s="3789"/>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1139</v>
      </c>
      <c r="C5" s="642"/>
      <c r="D5" s="642"/>
      <c r="E5" s="642"/>
      <c r="F5" s="642"/>
      <c r="G5" s="643" t="s">
        <v>636</v>
      </c>
      <c r="H5" s="3787"/>
      <c r="I5" s="3788"/>
      <c r="J5" s="3787"/>
      <c r="K5" s="3788"/>
      <c r="L5" s="3787"/>
      <c r="M5" s="3788"/>
      <c r="N5" s="3787"/>
      <c r="O5" s="3788"/>
      <c r="P5" s="3787"/>
      <c r="Q5" s="3788"/>
      <c r="R5" s="3787"/>
      <c r="S5" s="3788"/>
    </row>
    <row r="6" spans="1:19" x14ac:dyDescent="0.35">
      <c r="A6" s="688" t="s">
        <v>638</v>
      </c>
      <c r="B6" s="644" t="s">
        <v>1140</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86"/>
      <c r="I7" s="3757"/>
      <c r="J7" s="3790"/>
      <c r="K7" s="3791"/>
      <c r="L7" s="3790"/>
      <c r="M7" s="3792"/>
      <c r="N7" s="3790"/>
      <c r="O7" s="3792"/>
      <c r="P7" s="3790"/>
      <c r="Q7" s="3791"/>
      <c r="R7" s="3786"/>
      <c r="S7" s="3757"/>
    </row>
    <row r="8" spans="1:19" x14ac:dyDescent="0.35">
      <c r="A8" s="938" t="s">
        <v>644</v>
      </c>
      <c r="B8" s="939"/>
      <c r="C8" s="940"/>
      <c r="D8" s="940"/>
      <c r="E8" s="940"/>
      <c r="F8" s="940"/>
      <c r="G8" s="1024" t="s">
        <v>644</v>
      </c>
      <c r="H8" s="3760">
        <f>I55</f>
        <v>0</v>
      </c>
      <c r="I8" s="3761"/>
      <c r="J8" s="3760">
        <f>K55</f>
        <v>0</v>
      </c>
      <c r="K8" s="3761"/>
      <c r="L8" s="3760">
        <f>M55</f>
        <v>0</v>
      </c>
      <c r="M8" s="3761"/>
      <c r="N8" s="3760">
        <f>O55</f>
        <v>0</v>
      </c>
      <c r="O8" s="3761"/>
      <c r="P8" s="3760">
        <f>Q55</f>
        <v>0</v>
      </c>
      <c r="Q8" s="3761"/>
      <c r="R8" s="3760">
        <f>S55</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997"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689"/>
      <c r="B21" s="648" t="s">
        <v>1139</v>
      </c>
      <c r="C21" s="647"/>
      <c r="D21" s="642"/>
      <c r="E21" s="642"/>
      <c r="F21" s="642"/>
      <c r="G21" s="646"/>
      <c r="H21" s="943"/>
      <c r="I21" s="942"/>
      <c r="J21" s="943"/>
      <c r="K21" s="942"/>
      <c r="L21" s="943"/>
      <c r="M21" s="942"/>
      <c r="N21" s="943"/>
      <c r="O21" s="942"/>
      <c r="P21" s="943"/>
      <c r="Q21" s="942"/>
      <c r="R21" s="943"/>
      <c r="S21" s="942"/>
    </row>
    <row r="22" spans="1:19" x14ac:dyDescent="0.35">
      <c r="A22" s="998"/>
      <c r="B22" s="604" t="s">
        <v>657</v>
      </c>
      <c r="C22" s="647"/>
      <c r="D22" s="642"/>
      <c r="E22" s="642"/>
      <c r="F22" s="642"/>
      <c r="G22" s="646"/>
      <c r="H22" s="943"/>
      <c r="I22" s="1000"/>
      <c r="J22" s="943"/>
      <c r="K22" s="1000"/>
      <c r="L22" s="943"/>
      <c r="M22" s="1000"/>
      <c r="N22" s="943"/>
      <c r="O22" s="1000"/>
      <c r="P22" s="943"/>
      <c r="Q22" s="1000"/>
      <c r="R22" s="943"/>
      <c r="S22" s="1000"/>
    </row>
    <row r="23" spans="1:19" x14ac:dyDescent="0.35">
      <c r="A23" s="998"/>
      <c r="B23" s="607" t="s">
        <v>658</v>
      </c>
      <c r="C23" s="647"/>
      <c r="D23" s="642"/>
      <c r="E23" s="642"/>
      <c r="F23" s="642"/>
      <c r="G23" s="646"/>
      <c r="H23" s="943"/>
      <c r="I23" s="1000"/>
      <c r="J23" s="943"/>
      <c r="K23" s="1000"/>
      <c r="L23" s="943"/>
      <c r="M23" s="1000"/>
      <c r="N23" s="943"/>
      <c r="O23" s="1000"/>
      <c r="P23" s="943"/>
      <c r="Q23" s="999"/>
      <c r="R23" s="943"/>
      <c r="S23" s="999"/>
    </row>
    <row r="24" spans="1:19" x14ac:dyDescent="0.35">
      <c r="A24" s="683"/>
      <c r="B24" s="1253" t="s">
        <v>659</v>
      </c>
      <c r="C24" s="642"/>
      <c r="D24" s="642"/>
      <c r="E24" s="642"/>
      <c r="F24" s="642"/>
      <c r="G24" s="646"/>
      <c r="H24" s="943"/>
      <c r="I24" s="999"/>
      <c r="J24" s="943"/>
      <c r="K24" s="999"/>
      <c r="L24" s="943"/>
      <c r="M24" s="999"/>
      <c r="N24" s="943"/>
      <c r="O24" s="1000"/>
      <c r="P24" s="943"/>
      <c r="Q24" s="1000"/>
      <c r="R24" s="943"/>
      <c r="S24" s="1000"/>
    </row>
    <row r="25" spans="1:19" x14ac:dyDescent="0.35">
      <c r="A25" s="998"/>
      <c r="B25" s="1254" t="s">
        <v>660</v>
      </c>
      <c r="C25" s="642"/>
      <c r="D25" s="642"/>
      <c r="E25" s="642"/>
      <c r="F25" s="642"/>
      <c r="G25" s="646"/>
      <c r="H25" s="943"/>
      <c r="I25" s="999"/>
      <c r="J25" s="943"/>
      <c r="K25" s="999"/>
      <c r="L25" s="943"/>
      <c r="M25" s="999"/>
      <c r="N25" s="943"/>
      <c r="O25" s="1000"/>
      <c r="P25" s="943"/>
      <c r="Q25" s="1000"/>
      <c r="R25" s="943"/>
      <c r="S25" s="1000"/>
    </row>
    <row r="26" spans="1:19" x14ac:dyDescent="0.35">
      <c r="A26" s="683"/>
      <c r="B26" s="1254" t="s">
        <v>661</v>
      </c>
      <c r="C26" s="642"/>
      <c r="D26" s="642"/>
      <c r="E26" s="642"/>
      <c r="F26" s="642"/>
      <c r="G26" s="646"/>
      <c r="H26" s="943"/>
      <c r="I26" s="999"/>
      <c r="J26" s="943"/>
      <c r="K26" s="999"/>
      <c r="L26" s="943"/>
      <c r="M26" s="999"/>
      <c r="N26" s="943"/>
      <c r="O26" s="1000"/>
      <c r="P26" s="943"/>
      <c r="Q26" s="1000"/>
      <c r="R26" s="943"/>
      <c r="S26" s="1000"/>
    </row>
    <row r="27" spans="1:19" x14ac:dyDescent="0.35">
      <c r="A27" s="998"/>
      <c r="B27" s="1254" t="s">
        <v>662</v>
      </c>
      <c r="C27" s="642"/>
      <c r="D27" s="642"/>
      <c r="E27" s="642"/>
      <c r="F27" s="642"/>
      <c r="G27" s="646"/>
      <c r="H27" s="943"/>
      <c r="I27" s="999"/>
      <c r="J27" s="943"/>
      <c r="K27" s="999"/>
      <c r="L27" s="943"/>
      <c r="M27" s="999"/>
      <c r="N27" s="943"/>
      <c r="O27" s="1000"/>
      <c r="P27" s="943"/>
      <c r="Q27" s="1000"/>
      <c r="R27" s="943"/>
      <c r="S27" s="1000"/>
    </row>
    <row r="28" spans="1:19" x14ac:dyDescent="0.35">
      <c r="A28" s="998"/>
      <c r="B28" s="1254" t="s">
        <v>663</v>
      </c>
      <c r="C28" s="642"/>
      <c r="D28" s="642"/>
      <c r="E28" s="642"/>
      <c r="F28" s="642"/>
      <c r="G28" s="646"/>
      <c r="H28" s="943"/>
      <c r="I28" s="999"/>
      <c r="J28" s="943"/>
      <c r="K28" s="999"/>
      <c r="L28" s="943"/>
      <c r="M28" s="999"/>
      <c r="N28" s="943"/>
      <c r="O28" s="1000"/>
      <c r="P28" s="943"/>
      <c r="Q28" s="1000"/>
      <c r="R28" s="943"/>
      <c r="S28" s="1000"/>
    </row>
    <row r="29" spans="1:19" x14ac:dyDescent="0.35">
      <c r="A29" s="998"/>
      <c r="B29" s="1254" t="s">
        <v>742</v>
      </c>
      <c r="C29" s="642"/>
      <c r="D29" s="642"/>
      <c r="E29" s="642"/>
      <c r="F29" s="642"/>
      <c r="G29" s="646"/>
      <c r="H29" s="943"/>
      <c r="I29" s="999"/>
      <c r="J29" s="943"/>
      <c r="K29" s="999"/>
      <c r="L29" s="943"/>
      <c r="M29" s="999"/>
      <c r="N29" s="943"/>
      <c r="O29" s="1000"/>
      <c r="P29" s="943"/>
      <c r="Q29" s="1000"/>
      <c r="R29" s="943"/>
      <c r="S29" s="1000"/>
    </row>
    <row r="30" spans="1:19" x14ac:dyDescent="0.35">
      <c r="A30" s="998"/>
      <c r="B30" s="1255" t="s">
        <v>664</v>
      </c>
      <c r="C30" s="642"/>
      <c r="D30" s="642"/>
      <c r="E30" s="642"/>
      <c r="F30" s="642"/>
      <c r="G30" s="646"/>
      <c r="H30" s="943"/>
      <c r="I30" s="999"/>
      <c r="J30" s="943"/>
      <c r="K30" s="999"/>
      <c r="L30" s="943"/>
      <c r="M30" s="999"/>
      <c r="N30" s="943"/>
      <c r="O30" s="1000"/>
      <c r="P30" s="943"/>
      <c r="Q30" s="1000"/>
      <c r="R30" s="943"/>
      <c r="S30" s="1000"/>
    </row>
    <row r="31" spans="1:19" x14ac:dyDescent="0.35">
      <c r="A31" s="998"/>
      <c r="B31" s="1256" t="s">
        <v>665</v>
      </c>
      <c r="C31" s="650"/>
      <c r="D31" s="650"/>
      <c r="E31" s="650"/>
      <c r="F31" s="650"/>
      <c r="G31" s="651"/>
      <c r="H31" s="636"/>
      <c r="I31" s="1162"/>
      <c r="J31" s="636"/>
      <c r="K31" s="1162"/>
      <c r="L31" s="636"/>
      <c r="M31" s="1162"/>
      <c r="N31" s="636"/>
      <c r="O31" s="1163"/>
      <c r="P31" s="636"/>
      <c r="Q31" s="1163"/>
      <c r="R31" s="636"/>
      <c r="S31" s="1163"/>
    </row>
    <row r="32" spans="1:19" x14ac:dyDescent="0.35">
      <c r="A32" s="998"/>
      <c r="B32" s="1257"/>
      <c r="C32" s="642"/>
      <c r="D32" s="642"/>
      <c r="E32" s="642"/>
      <c r="F32" s="642"/>
      <c r="G32" s="652"/>
      <c r="H32" s="943"/>
      <c r="I32" s="999"/>
      <c r="J32" s="943"/>
      <c r="K32" s="999"/>
      <c r="L32" s="943"/>
      <c r="M32" s="999"/>
      <c r="N32" s="943"/>
      <c r="O32" s="1000"/>
      <c r="P32" s="943"/>
      <c r="Q32" s="1000"/>
      <c r="R32" s="943"/>
      <c r="S32" s="1000"/>
    </row>
    <row r="33" spans="1:19" x14ac:dyDescent="0.35">
      <c r="A33" s="998"/>
      <c r="B33" s="1258"/>
      <c r="C33" s="642"/>
      <c r="D33" s="642"/>
      <c r="E33" s="642"/>
      <c r="F33" s="654"/>
      <c r="G33" s="652"/>
      <c r="H33" s="943"/>
      <c r="I33" s="999"/>
      <c r="J33" s="943"/>
      <c r="K33" s="999"/>
      <c r="L33" s="943"/>
      <c r="M33" s="999"/>
      <c r="N33" s="943"/>
      <c r="O33" s="1000"/>
      <c r="P33" s="943"/>
      <c r="Q33" s="1000"/>
      <c r="R33" s="943"/>
      <c r="S33" s="1000"/>
    </row>
    <row r="34" spans="1:19" x14ac:dyDescent="0.35">
      <c r="A34" s="998"/>
      <c r="B34" s="1258"/>
      <c r="C34" s="642"/>
      <c r="D34" s="642"/>
      <c r="E34" s="642"/>
      <c r="F34" s="654"/>
      <c r="G34" s="652"/>
      <c r="H34" s="943"/>
      <c r="I34" s="999"/>
      <c r="J34" s="943"/>
      <c r="K34" s="999"/>
      <c r="L34" s="943"/>
      <c r="M34" s="999"/>
      <c r="N34" s="943"/>
      <c r="O34" s="1000"/>
      <c r="P34" s="943"/>
      <c r="Q34" s="1000"/>
      <c r="R34" s="943"/>
      <c r="S34" s="1000"/>
    </row>
    <row r="35" spans="1:19" x14ac:dyDescent="0.35">
      <c r="A35" s="998"/>
      <c r="B35" s="1258"/>
      <c r="C35" s="642"/>
      <c r="D35" s="642"/>
      <c r="E35" s="642"/>
      <c r="F35" s="654"/>
      <c r="G35" s="652"/>
      <c r="H35" s="943"/>
      <c r="I35" s="999"/>
      <c r="J35" s="943"/>
      <c r="K35" s="999"/>
      <c r="L35" s="943"/>
      <c r="M35" s="999"/>
      <c r="N35" s="943"/>
      <c r="O35" s="1000"/>
      <c r="P35" s="943"/>
      <c r="Q35" s="1000"/>
      <c r="R35" s="943"/>
      <c r="S35" s="1000"/>
    </row>
    <row r="36" spans="1:19" x14ac:dyDescent="0.35">
      <c r="A36" s="998"/>
      <c r="B36" s="1258"/>
      <c r="C36" s="642"/>
      <c r="D36" s="642"/>
      <c r="E36" s="642"/>
      <c r="F36" s="654"/>
      <c r="G36" s="652"/>
      <c r="H36" s="943"/>
      <c r="I36" s="999"/>
      <c r="J36" s="943"/>
      <c r="K36" s="999"/>
      <c r="L36" s="943"/>
      <c r="M36" s="999"/>
      <c r="N36" s="943"/>
      <c r="O36" s="1000"/>
      <c r="P36" s="943"/>
      <c r="Q36" s="1000"/>
      <c r="R36" s="943"/>
      <c r="S36" s="1000"/>
    </row>
    <row r="37" spans="1:19" x14ac:dyDescent="0.35">
      <c r="A37" s="998"/>
      <c r="B37" s="1259"/>
      <c r="C37" s="642"/>
      <c r="D37" s="642"/>
      <c r="E37" s="642"/>
      <c r="F37" s="654"/>
      <c r="G37" s="652"/>
      <c r="H37" s="943"/>
      <c r="I37" s="999"/>
      <c r="J37" s="943"/>
      <c r="K37" s="999"/>
      <c r="L37" s="943"/>
      <c r="M37" s="999"/>
      <c r="N37" s="943"/>
      <c r="O37" s="1000"/>
      <c r="P37" s="943"/>
      <c r="Q37" s="1000"/>
      <c r="R37" s="943"/>
      <c r="S37" s="1000"/>
    </row>
    <row r="38" spans="1:19" x14ac:dyDescent="0.35">
      <c r="A38" s="998"/>
      <c r="B38" s="1259"/>
      <c r="C38" s="642"/>
      <c r="D38" s="642"/>
      <c r="E38" s="642"/>
      <c r="F38" s="654"/>
      <c r="G38" s="652"/>
      <c r="H38" s="943"/>
      <c r="I38" s="999"/>
      <c r="J38" s="943"/>
      <c r="K38" s="999"/>
      <c r="L38" s="943"/>
      <c r="M38" s="999"/>
      <c r="N38" s="943"/>
      <c r="O38" s="1000"/>
      <c r="P38" s="943"/>
      <c r="Q38" s="1000"/>
      <c r="R38" s="943"/>
      <c r="S38" s="1000"/>
    </row>
    <row r="39" spans="1:19" x14ac:dyDescent="0.35">
      <c r="A39" s="998"/>
      <c r="B39" s="1259"/>
      <c r="C39" s="642"/>
      <c r="D39" s="642"/>
      <c r="E39" s="642"/>
      <c r="F39" s="654"/>
      <c r="G39" s="652"/>
      <c r="H39" s="943"/>
      <c r="I39" s="999"/>
      <c r="J39" s="943"/>
      <c r="K39" s="999"/>
      <c r="L39" s="943"/>
      <c r="M39" s="999"/>
      <c r="N39" s="943"/>
      <c r="O39" s="999"/>
      <c r="P39" s="943"/>
      <c r="Q39" s="999"/>
      <c r="R39" s="943"/>
      <c r="S39" s="1000"/>
    </row>
    <row r="40" spans="1:19" x14ac:dyDescent="0.35">
      <c r="A40" s="998"/>
      <c r="B40" s="1259"/>
      <c r="C40" s="642"/>
      <c r="D40" s="642"/>
      <c r="E40" s="642"/>
      <c r="F40" s="654"/>
      <c r="G40" s="652"/>
      <c r="H40" s="943"/>
      <c r="I40" s="999"/>
      <c r="J40" s="943"/>
      <c r="K40" s="999"/>
      <c r="L40" s="943"/>
      <c r="M40" s="999"/>
      <c r="N40" s="943"/>
      <c r="O40" s="999"/>
      <c r="P40" s="943"/>
      <c r="Q40" s="999"/>
      <c r="R40" s="943"/>
      <c r="S40" s="1000"/>
    </row>
    <row r="41" spans="1:19" x14ac:dyDescent="0.35">
      <c r="A41" s="998"/>
      <c r="B41" s="1259"/>
      <c r="C41" s="642"/>
      <c r="D41" s="642"/>
      <c r="E41" s="642"/>
      <c r="F41" s="654"/>
      <c r="G41" s="652"/>
      <c r="H41" s="943"/>
      <c r="I41" s="999"/>
      <c r="J41" s="943"/>
      <c r="K41" s="999"/>
      <c r="L41" s="943"/>
      <c r="M41" s="999"/>
      <c r="N41" s="943"/>
      <c r="O41" s="999"/>
      <c r="P41" s="943"/>
      <c r="Q41" s="999"/>
      <c r="R41" s="943"/>
      <c r="S41" s="1000"/>
    </row>
    <row r="42" spans="1:19" x14ac:dyDescent="0.35">
      <c r="A42" s="998"/>
      <c r="B42" s="1260"/>
      <c r="C42" s="642"/>
      <c r="D42" s="642"/>
      <c r="E42" s="642"/>
      <c r="F42" s="642"/>
      <c r="G42" s="652"/>
      <c r="H42" s="943"/>
      <c r="I42" s="999"/>
      <c r="J42" s="943"/>
      <c r="K42" s="999"/>
      <c r="L42" s="943"/>
      <c r="M42" s="999"/>
      <c r="N42" s="943"/>
      <c r="O42" s="999"/>
      <c r="P42" s="943"/>
      <c r="Q42" s="999"/>
      <c r="R42" s="943"/>
      <c r="S42" s="1000"/>
    </row>
    <row r="43" spans="1:19" x14ac:dyDescent="0.35">
      <c r="A43" s="998"/>
      <c r="B43" s="1260"/>
      <c r="C43" s="642"/>
      <c r="D43" s="642"/>
      <c r="E43" s="642"/>
      <c r="F43" s="642"/>
      <c r="G43" s="646"/>
      <c r="H43" s="943"/>
      <c r="I43" s="999"/>
      <c r="J43" s="943"/>
      <c r="K43" s="999"/>
      <c r="L43" s="943"/>
      <c r="M43" s="999"/>
      <c r="N43" s="943"/>
      <c r="O43" s="999"/>
      <c r="P43" s="943"/>
      <c r="Q43" s="999"/>
      <c r="R43" s="943"/>
      <c r="S43" s="1000"/>
    </row>
    <row r="44" spans="1:19" x14ac:dyDescent="0.35">
      <c r="A44" s="998"/>
      <c r="B44" s="1260"/>
      <c r="C44" s="642"/>
      <c r="D44" s="642"/>
      <c r="E44" s="642"/>
      <c r="F44" s="642"/>
      <c r="G44" s="646"/>
      <c r="H44" s="943"/>
      <c r="I44" s="999"/>
      <c r="J44" s="943"/>
      <c r="K44" s="999"/>
      <c r="L44" s="943"/>
      <c r="M44" s="999"/>
      <c r="N44" s="943"/>
      <c r="O44" s="999"/>
      <c r="P44" s="943"/>
      <c r="Q44" s="999"/>
      <c r="R44" s="943"/>
      <c r="S44" s="1000"/>
    </row>
    <row r="45" spans="1:19" x14ac:dyDescent="0.35">
      <c r="A45" s="998"/>
      <c r="B45" s="1260"/>
      <c r="C45" s="642"/>
      <c r="D45" s="642"/>
      <c r="E45" s="642"/>
      <c r="F45" s="642"/>
      <c r="G45" s="646"/>
      <c r="H45" s="943"/>
      <c r="I45" s="999"/>
      <c r="J45" s="943"/>
      <c r="K45" s="999"/>
      <c r="L45" s="943"/>
      <c r="M45" s="999"/>
      <c r="N45" s="943"/>
      <c r="O45" s="999"/>
      <c r="P45" s="943"/>
      <c r="Q45" s="999"/>
      <c r="R45" s="943"/>
      <c r="S45" s="1000"/>
    </row>
    <row r="46" spans="1:19" x14ac:dyDescent="0.35">
      <c r="A46" s="998"/>
      <c r="B46" s="1260"/>
      <c r="C46" s="642"/>
      <c r="D46" s="642"/>
      <c r="E46" s="642"/>
      <c r="F46" s="642"/>
      <c r="G46" s="646"/>
      <c r="H46" s="943"/>
      <c r="I46" s="999"/>
      <c r="J46" s="943"/>
      <c r="K46" s="999"/>
      <c r="L46" s="943"/>
      <c r="M46" s="999"/>
      <c r="N46" s="943"/>
      <c r="O46" s="999"/>
      <c r="P46" s="943"/>
      <c r="Q46" s="999"/>
      <c r="R46" s="943"/>
      <c r="S46" s="1000"/>
    </row>
    <row r="47" spans="1:19" x14ac:dyDescent="0.35">
      <c r="A47" s="998"/>
      <c r="B47" s="1260"/>
      <c r="C47" s="642"/>
      <c r="D47" s="642"/>
      <c r="E47" s="642"/>
      <c r="F47" s="642"/>
      <c r="G47" s="646"/>
      <c r="H47" s="943"/>
      <c r="I47" s="999"/>
      <c r="J47" s="943"/>
      <c r="K47" s="1000"/>
      <c r="L47" s="943"/>
      <c r="M47" s="999"/>
      <c r="N47" s="943"/>
      <c r="O47" s="999"/>
      <c r="P47" s="943"/>
      <c r="Q47" s="999"/>
      <c r="R47" s="943"/>
      <c r="S47" s="1000"/>
    </row>
    <row r="48" spans="1:19" x14ac:dyDescent="0.35">
      <c r="A48" s="683"/>
      <c r="B48" s="1260"/>
      <c r="C48" s="642"/>
      <c r="D48" s="642"/>
      <c r="E48" s="642"/>
      <c r="F48" s="642"/>
      <c r="G48" s="646"/>
      <c r="H48" s="943"/>
      <c r="I48" s="1182"/>
      <c r="J48" s="943"/>
      <c r="K48" s="999"/>
      <c r="L48" s="943"/>
      <c r="M48" s="999"/>
      <c r="N48" s="943"/>
      <c r="O48" s="999"/>
      <c r="P48" s="943"/>
      <c r="Q48" s="1000"/>
      <c r="R48" s="943"/>
      <c r="S48" s="1000"/>
    </row>
    <row r="49" spans="1:19" x14ac:dyDescent="0.35">
      <c r="A49" s="998"/>
      <c r="B49" s="670"/>
      <c r="C49" s="647"/>
      <c r="D49" s="642"/>
      <c r="E49" s="642"/>
      <c r="F49" s="642"/>
      <c r="G49" s="646"/>
      <c r="H49" s="943"/>
      <c r="I49" s="1000"/>
      <c r="J49" s="943"/>
      <c r="K49" s="1000"/>
      <c r="L49" s="943"/>
      <c r="M49" s="1000"/>
      <c r="N49" s="943"/>
      <c r="O49" s="1000"/>
      <c r="P49" s="943"/>
      <c r="Q49" s="1000"/>
      <c r="R49" s="943"/>
      <c r="S49" s="1000"/>
    </row>
    <row r="50" spans="1:19" x14ac:dyDescent="0.35">
      <c r="A50" s="683"/>
      <c r="B50" s="670"/>
      <c r="C50" s="647"/>
      <c r="D50" s="642"/>
      <c r="E50" s="642"/>
      <c r="F50" s="642"/>
      <c r="G50" s="646"/>
      <c r="H50" s="943"/>
      <c r="I50" s="1182"/>
      <c r="J50" s="943"/>
      <c r="K50" s="1000"/>
      <c r="L50" s="943"/>
      <c r="M50" s="1000"/>
      <c r="N50" s="943"/>
      <c r="O50" s="1000"/>
      <c r="P50" s="943"/>
      <c r="Q50" s="1000"/>
      <c r="R50" s="943"/>
      <c r="S50" s="1000"/>
    </row>
    <row r="51" spans="1:19" x14ac:dyDescent="0.35">
      <c r="A51" s="14"/>
      <c r="B51" s="15"/>
      <c r="C51" s="16"/>
      <c r="D51" s="16"/>
      <c r="E51" s="17"/>
      <c r="F51" s="18" t="s">
        <v>715</v>
      </c>
      <c r="G51" s="19"/>
      <c r="H51" s="20"/>
      <c r="I51" s="50">
        <f>SUM(I23:I50)</f>
        <v>0</v>
      </c>
      <c r="J51" s="20"/>
      <c r="K51" s="50">
        <f>SUM(K23:K50)</f>
        <v>0</v>
      </c>
      <c r="L51" s="20"/>
      <c r="M51" s="50">
        <f>SUM(M22:M50)</f>
        <v>0</v>
      </c>
      <c r="N51" s="20"/>
      <c r="O51" s="50">
        <f>SUM(O22:O50)</f>
        <v>0</v>
      </c>
      <c r="P51" s="20"/>
      <c r="Q51" s="50">
        <f>SUM(Q23:Q50)</f>
        <v>0</v>
      </c>
      <c r="R51" s="20"/>
      <c r="S51" s="50">
        <f>SUM(S23:S50)</f>
        <v>0</v>
      </c>
    </row>
    <row r="52" spans="1:19" x14ac:dyDescent="0.35">
      <c r="A52" s="684"/>
      <c r="B52" s="655"/>
      <c r="C52" s="656"/>
      <c r="D52" s="656"/>
      <c r="E52" s="657"/>
      <c r="F52" s="658" t="s">
        <v>716</v>
      </c>
      <c r="G52" s="659"/>
      <c r="H52" s="959">
        <v>0</v>
      </c>
      <c r="I52" s="1121"/>
      <c r="J52" s="959">
        <v>0</v>
      </c>
      <c r="K52" s="1121"/>
      <c r="L52" s="959">
        <v>0.02</v>
      </c>
      <c r="M52" s="1121"/>
      <c r="N52" s="959">
        <v>0.02</v>
      </c>
      <c r="O52" s="1121"/>
      <c r="P52" s="959">
        <v>0.02</v>
      </c>
      <c r="Q52" s="1121"/>
      <c r="R52" s="959">
        <v>0.02</v>
      </c>
      <c r="S52" s="1121"/>
    </row>
    <row r="53" spans="1:19" x14ac:dyDescent="0.35">
      <c r="A53" s="684"/>
      <c r="B53" s="655"/>
      <c r="C53" s="656"/>
      <c r="D53" s="656"/>
      <c r="E53" s="657"/>
      <c r="F53" s="658" t="s">
        <v>717</v>
      </c>
      <c r="G53" s="659"/>
      <c r="H53" s="961"/>
      <c r="I53" s="1122">
        <f>H52*$I$51</f>
        <v>0</v>
      </c>
      <c r="J53" s="961"/>
      <c r="K53" s="1122">
        <f>J52*$K$51</f>
        <v>0</v>
      </c>
      <c r="L53" s="961"/>
      <c r="M53" s="1122">
        <f>L52*$M$51</f>
        <v>0</v>
      </c>
      <c r="N53" s="961"/>
      <c r="O53" s="1122">
        <f>N52*$O$51</f>
        <v>0</v>
      </c>
      <c r="P53" s="961"/>
      <c r="Q53" s="1122">
        <f>P52*$Q$51</f>
        <v>0</v>
      </c>
      <c r="R53" s="961"/>
      <c r="S53" s="1122">
        <f>R52*S51</f>
        <v>0</v>
      </c>
    </row>
    <row r="54" spans="1:19" x14ac:dyDescent="0.35">
      <c r="A54" s="684"/>
      <c r="B54" s="655"/>
      <c r="C54" s="656"/>
      <c r="D54" s="656"/>
      <c r="E54" s="657"/>
      <c r="F54" s="658"/>
      <c r="G54" s="659"/>
      <c r="H54" s="1123"/>
      <c r="I54" s="963"/>
      <c r="J54" s="961"/>
      <c r="K54" s="963"/>
      <c r="L54" s="961"/>
      <c r="M54" s="963"/>
      <c r="N54" s="961"/>
      <c r="O54" s="963"/>
      <c r="P54" s="961"/>
      <c r="Q54" s="963"/>
      <c r="R54" s="961"/>
      <c r="S54" s="963"/>
    </row>
    <row r="55" spans="1:19" x14ac:dyDescent="0.35">
      <c r="A55" s="684"/>
      <c r="B55" s="655"/>
      <c r="C55" s="656"/>
      <c r="D55" s="656"/>
      <c r="E55" s="657"/>
      <c r="F55" s="658" t="s">
        <v>718</v>
      </c>
      <c r="G55" s="659"/>
      <c r="H55" s="964"/>
      <c r="I55" s="962">
        <f>SUM(I51:I54)</f>
        <v>0</v>
      </c>
      <c r="J55" s="964"/>
      <c r="K55" s="962">
        <f>SUM(K51:K53)</f>
        <v>0</v>
      </c>
      <c r="L55" s="964"/>
      <c r="M55" s="962">
        <f>SUM(M51:M53)</f>
        <v>0</v>
      </c>
      <c r="N55" s="964"/>
      <c r="O55" s="962">
        <f>SUM(O51:O53)</f>
        <v>0</v>
      </c>
      <c r="P55" s="964"/>
      <c r="Q55" s="962">
        <f>SUM(Q51:Q53)</f>
        <v>0</v>
      </c>
      <c r="R55" s="964"/>
      <c r="S55" s="962">
        <f>SUM(S51:S53)</f>
        <v>0</v>
      </c>
    </row>
    <row r="56" spans="1:19" x14ac:dyDescent="0.35">
      <c r="A56" s="684"/>
      <c r="B56" s="655"/>
      <c r="C56" s="656"/>
      <c r="D56" s="656"/>
      <c r="E56" s="657"/>
      <c r="F56" s="660" t="s">
        <v>719</v>
      </c>
      <c r="G56" s="661"/>
      <c r="H56" s="965"/>
      <c r="I56" s="966" t="e">
        <f>I55/#REF!</f>
        <v>#REF!</v>
      </c>
      <c r="J56" s="965"/>
      <c r="K56" s="966" t="e">
        <f>K55/#REF!</f>
        <v>#REF!</v>
      </c>
      <c r="L56" s="965"/>
      <c r="M56" s="966" t="e">
        <f>M55/#REF!</f>
        <v>#REF!</v>
      </c>
      <c r="N56" s="965"/>
      <c r="O56" s="966" t="e">
        <f>O55/#REF!</f>
        <v>#REF!</v>
      </c>
      <c r="P56" s="965"/>
      <c r="Q56" s="966" t="e">
        <f>Q55/#REF!</f>
        <v>#REF!</v>
      </c>
      <c r="R56" s="965"/>
      <c r="S56" s="966" t="e">
        <f>S55/#REF!</f>
        <v>#REF!</v>
      </c>
    </row>
    <row r="57" spans="1:19" x14ac:dyDescent="0.35">
      <c r="A57" s="684"/>
      <c r="B57" s="655"/>
      <c r="C57" s="656"/>
      <c r="D57" s="656"/>
      <c r="E57" s="657"/>
      <c r="F57" s="660" t="s">
        <v>720</v>
      </c>
      <c r="G57" s="662"/>
      <c r="H57" s="965"/>
      <c r="I57" s="966" t="e">
        <f>I55/#REF!</f>
        <v>#REF!</v>
      </c>
      <c r="J57" s="965"/>
      <c r="K57" s="966" t="e">
        <f>K55/#REF!</f>
        <v>#REF!</v>
      </c>
      <c r="L57" s="965"/>
      <c r="M57" s="966" t="e">
        <f>M55/#REF!</f>
        <v>#REF!</v>
      </c>
      <c r="N57" s="965"/>
      <c r="O57" s="966" t="e">
        <f>O55/#REF!</f>
        <v>#REF!</v>
      </c>
      <c r="P57" s="965"/>
      <c r="Q57" s="966" t="e">
        <f>Q55/#REF!</f>
        <v>#REF!</v>
      </c>
      <c r="R57" s="965"/>
      <c r="S57" s="966" t="e">
        <f>S55/#REF!</f>
        <v>#REF!</v>
      </c>
    </row>
    <row r="58" spans="1:19" x14ac:dyDescent="0.35">
      <c r="A58" s="684"/>
      <c r="B58" s="655"/>
      <c r="C58" s="656"/>
      <c r="D58" s="656"/>
      <c r="E58" s="657"/>
      <c r="F58" s="658"/>
      <c r="G58" s="663"/>
      <c r="H58" s="1168"/>
      <c r="I58" s="1169"/>
      <c r="J58" s="967"/>
      <c r="K58" s="967"/>
      <c r="L58" s="967"/>
      <c r="M58" s="967"/>
      <c r="N58" s="967"/>
      <c r="O58" s="967"/>
      <c r="P58" s="967"/>
      <c r="Q58" s="967"/>
      <c r="R58" s="967"/>
      <c r="S58" s="967"/>
    </row>
    <row r="59" spans="1:19" x14ac:dyDescent="0.35">
      <c r="A59" s="3764" t="s">
        <v>721</v>
      </c>
      <c r="B59" s="3765"/>
      <c r="C59" s="12"/>
      <c r="D59" s="12"/>
      <c r="E59" s="12"/>
      <c r="F59" s="12"/>
      <c r="G59" s="13"/>
      <c r="H59" s="21"/>
      <c r="I59" s="21"/>
      <c r="J59" s="21"/>
      <c r="K59" s="21"/>
      <c r="L59" s="21"/>
      <c r="M59" s="21"/>
      <c r="N59" s="21"/>
      <c r="O59" s="21"/>
      <c r="P59" s="21"/>
      <c r="Q59" s="21"/>
      <c r="R59" s="21"/>
      <c r="S59" s="21"/>
    </row>
    <row r="60" spans="1:19" x14ac:dyDescent="0.35">
      <c r="A60" s="1170"/>
      <c r="B60" s="641"/>
      <c r="C60" s="1171"/>
      <c r="D60" s="1171"/>
      <c r="E60" s="1171"/>
      <c r="F60" s="1171"/>
      <c r="G60" s="1172"/>
      <c r="H60" s="1173"/>
      <c r="I60" s="1173"/>
      <c r="J60" s="1173"/>
      <c r="K60" s="1173"/>
      <c r="L60" s="1173"/>
      <c r="M60" s="1173"/>
      <c r="N60" s="1173"/>
      <c r="O60" s="1173"/>
      <c r="P60" s="1173"/>
      <c r="Q60" s="1173"/>
      <c r="R60" s="1173"/>
      <c r="S60" s="1173"/>
    </row>
    <row r="61" spans="1:19" x14ac:dyDescent="0.35">
      <c r="A61" s="1170"/>
      <c r="B61" s="641"/>
      <c r="C61" s="1171"/>
      <c r="D61" s="1171"/>
      <c r="E61" s="1171"/>
      <c r="F61" s="1171"/>
      <c r="G61" s="1172"/>
      <c r="H61" s="1173"/>
      <c r="I61" s="1173"/>
      <c r="J61" s="1173"/>
      <c r="K61" s="1173"/>
      <c r="L61" s="1173"/>
      <c r="M61" s="1173"/>
      <c r="N61" s="1173"/>
      <c r="O61" s="1173"/>
      <c r="P61" s="1173"/>
      <c r="Q61" s="1173"/>
      <c r="R61" s="1173"/>
      <c r="S61" s="1173"/>
    </row>
    <row r="62" spans="1:19" x14ac:dyDescent="0.35">
      <c r="A62" s="1170"/>
      <c r="B62" s="641"/>
      <c r="C62" s="1171"/>
      <c r="D62" s="1171"/>
      <c r="E62" s="1171"/>
      <c r="F62" s="1171"/>
      <c r="G62" s="1172"/>
      <c r="H62" s="1173"/>
      <c r="I62" s="1173"/>
      <c r="J62" s="1173"/>
      <c r="K62" s="1173"/>
      <c r="L62" s="1173"/>
      <c r="M62" s="1173"/>
      <c r="N62" s="1173"/>
      <c r="O62" s="1173"/>
      <c r="P62" s="1173"/>
      <c r="Q62" s="1173"/>
      <c r="R62" s="1173"/>
      <c r="S62" s="1173"/>
    </row>
    <row r="63" spans="1:19" s="2" customFormat="1" x14ac:dyDescent="0.35">
      <c r="A63" s="3764" t="s">
        <v>722</v>
      </c>
      <c r="B63" s="3765"/>
      <c r="C63" s="12"/>
      <c r="D63" s="12"/>
      <c r="E63" s="12"/>
      <c r="F63" s="12"/>
      <c r="G63" s="13"/>
      <c r="H63" s="21"/>
      <c r="I63" s="21"/>
      <c r="J63" s="21"/>
      <c r="K63" s="21"/>
      <c r="L63" s="21"/>
      <c r="M63" s="21"/>
      <c r="N63" s="21"/>
      <c r="O63" s="21"/>
      <c r="P63" s="21"/>
      <c r="Q63" s="21"/>
      <c r="R63" s="21"/>
      <c r="S63" s="21"/>
    </row>
    <row r="64" spans="1:19" s="2" customFormat="1" x14ac:dyDescent="0.35">
      <c r="A64" s="1170"/>
      <c r="B64" s="641"/>
      <c r="C64" s="1171"/>
      <c r="D64" s="1171"/>
      <c r="E64" s="1171"/>
      <c r="F64" s="1171"/>
      <c r="G64" s="1172"/>
      <c r="H64" s="1173"/>
      <c r="I64" s="1173"/>
      <c r="J64" s="1173"/>
      <c r="K64" s="1173"/>
      <c r="L64" s="1173"/>
      <c r="M64" s="1173"/>
      <c r="N64" s="1173"/>
      <c r="O64" s="1173"/>
      <c r="P64" s="1173"/>
      <c r="Q64" s="1173"/>
      <c r="R64" s="1173"/>
      <c r="S64" s="1173"/>
    </row>
    <row r="65" spans="1:19" s="2" customFormat="1" x14ac:dyDescent="0.35">
      <c r="A65" s="1170"/>
      <c r="B65" s="641"/>
      <c r="C65" s="1171"/>
      <c r="D65" s="1171"/>
      <c r="E65" s="1171"/>
      <c r="F65" s="1171"/>
      <c r="G65" s="1172"/>
      <c r="H65" s="1173"/>
      <c r="I65" s="1173"/>
      <c r="J65" s="1173"/>
      <c r="K65" s="1173"/>
      <c r="L65" s="1173"/>
      <c r="M65" s="1173"/>
      <c r="N65" s="1173"/>
      <c r="O65" s="1173"/>
      <c r="P65" s="1173"/>
      <c r="Q65" s="1173"/>
      <c r="R65" s="1173"/>
      <c r="S65" s="1173"/>
    </row>
    <row r="66" spans="1:19" x14ac:dyDescent="0.35">
      <c r="A66" s="1170"/>
      <c r="B66" s="641"/>
      <c r="C66" s="1171"/>
      <c r="D66" s="1171"/>
      <c r="E66" s="1171"/>
      <c r="F66" s="1171"/>
      <c r="G66" s="1172"/>
      <c r="H66" s="1173"/>
      <c r="I66" s="1173"/>
      <c r="J66" s="1173"/>
      <c r="K66" s="1173"/>
      <c r="L66" s="1173"/>
      <c r="M66" s="1173"/>
      <c r="N66" s="1173"/>
      <c r="O66" s="1173"/>
      <c r="P66" s="1173"/>
      <c r="Q66" s="1173"/>
      <c r="R66" s="1173"/>
      <c r="S66" s="1173"/>
    </row>
    <row r="67" spans="1:19" s="2" customFormat="1" x14ac:dyDescent="0.35">
      <c r="A67" s="3764" t="s">
        <v>723</v>
      </c>
      <c r="B67" s="3765"/>
      <c r="C67" s="12"/>
      <c r="D67" s="12"/>
      <c r="E67" s="12"/>
      <c r="F67" s="12"/>
      <c r="G67" s="13"/>
      <c r="H67" s="21"/>
      <c r="I67" s="21"/>
      <c r="J67" s="21"/>
      <c r="K67" s="21"/>
      <c r="L67" s="21"/>
      <c r="M67" s="21"/>
      <c r="N67" s="21"/>
      <c r="O67" s="21"/>
      <c r="P67" s="21"/>
      <c r="Q67" s="21"/>
      <c r="R67" s="21"/>
      <c r="S67" s="21"/>
    </row>
    <row r="68" spans="1:19" s="2" customFormat="1" x14ac:dyDescent="0.35">
      <c r="A68" s="1170"/>
      <c r="B68" s="641"/>
      <c r="C68" s="1171"/>
      <c r="D68" s="1171"/>
      <c r="E68" s="1171"/>
      <c r="F68" s="1171"/>
      <c r="G68" s="1172"/>
      <c r="H68" s="1173"/>
      <c r="I68" s="1173"/>
      <c r="J68" s="1173"/>
      <c r="K68" s="1173"/>
      <c r="L68" s="1173"/>
      <c r="M68" s="1173"/>
      <c r="N68" s="1173"/>
      <c r="O68" s="1173"/>
      <c r="P68" s="1173"/>
      <c r="Q68" s="1173"/>
      <c r="R68" s="1173"/>
      <c r="S68" s="1173"/>
    </row>
    <row r="69" spans="1:19" s="2" customFormat="1" x14ac:dyDescent="0.35">
      <c r="A69" s="689"/>
      <c r="B69" s="641"/>
      <c r="C69" s="642"/>
      <c r="D69" s="642"/>
      <c r="E69" s="642"/>
      <c r="F69" s="642"/>
      <c r="G69" s="646"/>
      <c r="H69" s="973"/>
      <c r="I69" s="973"/>
      <c r="J69" s="973"/>
      <c r="K69" s="973"/>
      <c r="L69" s="973"/>
      <c r="M69" s="973"/>
      <c r="N69" s="973"/>
      <c r="O69" s="973"/>
      <c r="P69" s="973"/>
      <c r="Q69" s="973"/>
      <c r="R69" s="973"/>
      <c r="S69" s="973"/>
    </row>
    <row r="70" spans="1:19" s="2" customFormat="1" x14ac:dyDescent="0.35">
      <c r="A70" s="686"/>
      <c r="B70" s="665"/>
      <c r="C70" s="642"/>
      <c r="D70" s="642"/>
      <c r="E70" s="642"/>
      <c r="F70" s="642"/>
      <c r="G70" s="646"/>
      <c r="H70" s="974"/>
      <c r="I70" s="974"/>
      <c r="J70" s="974"/>
      <c r="K70" s="974"/>
      <c r="L70" s="974"/>
      <c r="M70" s="974"/>
      <c r="N70" s="974"/>
      <c r="O70" s="974"/>
      <c r="P70" s="974"/>
      <c r="Q70" s="974"/>
      <c r="R70" s="974"/>
      <c r="S70" s="974"/>
    </row>
    <row r="71" spans="1:19" s="2" customFormat="1" x14ac:dyDescent="0.35">
      <c r="A71" s="3764" t="s">
        <v>724</v>
      </c>
      <c r="B71" s="3765"/>
      <c r="C71" s="12"/>
      <c r="D71" s="12"/>
      <c r="E71" s="12"/>
      <c r="F71" s="12"/>
      <c r="G71" s="13"/>
      <c r="H71" s="21"/>
      <c r="I71" s="21"/>
      <c r="J71" s="21"/>
      <c r="K71" s="21"/>
      <c r="L71" s="21"/>
      <c r="M71" s="21"/>
      <c r="N71" s="21"/>
      <c r="O71" s="21"/>
      <c r="P71" s="21"/>
      <c r="Q71" s="21"/>
      <c r="R71" s="21"/>
      <c r="S71" s="21"/>
    </row>
    <row r="72" spans="1:19" x14ac:dyDescent="0.35">
      <c r="A72" s="1174"/>
      <c r="B72" s="1175"/>
      <c r="C72" s="1171"/>
      <c r="D72" s="1171"/>
      <c r="E72" s="1171"/>
      <c r="F72" s="1171"/>
      <c r="G72" s="1172"/>
      <c r="H72" s="1173"/>
      <c r="I72" s="1173"/>
      <c r="J72" s="1173"/>
      <c r="K72" s="1173"/>
      <c r="L72" s="1173"/>
      <c r="M72" s="1173"/>
      <c r="N72" s="1173"/>
      <c r="O72" s="1173"/>
      <c r="P72" s="1173"/>
      <c r="Q72" s="1173"/>
      <c r="R72" s="1173"/>
      <c r="S72" s="1173"/>
    </row>
    <row r="73" spans="1:19" x14ac:dyDescent="0.35">
      <c r="A73" s="686"/>
      <c r="B73" s="665"/>
      <c r="C73" s="642"/>
      <c r="D73" s="642"/>
      <c r="E73" s="642"/>
      <c r="F73" s="642"/>
      <c r="G73" s="646"/>
      <c r="H73" s="977"/>
      <c r="I73" s="977"/>
      <c r="J73" s="977"/>
      <c r="K73" s="977"/>
      <c r="L73" s="977"/>
      <c r="M73" s="977"/>
      <c r="N73" s="977"/>
      <c r="O73" s="977"/>
      <c r="P73" s="977"/>
      <c r="Q73" s="977"/>
      <c r="R73" s="977"/>
      <c r="S73" s="977"/>
    </row>
    <row r="74" spans="1:19" x14ac:dyDescent="0.35">
      <c r="A74" s="686"/>
      <c r="B74" s="665"/>
      <c r="C74" s="642"/>
      <c r="D74" s="642"/>
      <c r="E74" s="642"/>
      <c r="F74" s="642"/>
      <c r="G74" s="646"/>
      <c r="H74" s="977"/>
      <c r="I74" s="977"/>
      <c r="J74" s="977"/>
      <c r="K74" s="977"/>
      <c r="L74" s="977"/>
      <c r="M74" s="977"/>
      <c r="N74" s="977"/>
      <c r="O74" s="977"/>
      <c r="P74" s="977"/>
      <c r="Q74" s="977"/>
      <c r="R74" s="977"/>
      <c r="S74" s="977"/>
    </row>
    <row r="75" spans="1:19" x14ac:dyDescent="0.35">
      <c r="A75" s="3764" t="s">
        <v>725</v>
      </c>
      <c r="B75" s="3765"/>
      <c r="C75" s="12"/>
      <c r="D75" s="12"/>
      <c r="E75" s="12"/>
      <c r="F75" s="12"/>
      <c r="G75" s="13"/>
      <c r="H75" s="21"/>
      <c r="I75" s="21"/>
      <c r="J75" s="21"/>
      <c r="K75" s="21"/>
      <c r="L75" s="21"/>
      <c r="M75" s="21"/>
      <c r="N75" s="21"/>
      <c r="O75" s="21"/>
      <c r="P75" s="21"/>
      <c r="Q75" s="21"/>
      <c r="R75" s="21"/>
      <c r="S75" s="21"/>
    </row>
    <row r="76" spans="1:19" x14ac:dyDescent="0.35">
      <c r="A76" s="689"/>
      <c r="B76" s="641" t="s">
        <v>726</v>
      </c>
      <c r="C76" s="642"/>
      <c r="D76" s="642"/>
      <c r="E76" s="642"/>
      <c r="F76" s="642"/>
      <c r="G76" s="646"/>
      <c r="H76" s="977"/>
      <c r="I76" s="977"/>
      <c r="J76" s="977"/>
      <c r="K76" s="977"/>
      <c r="L76" s="977"/>
      <c r="M76" s="977"/>
      <c r="N76" s="977"/>
      <c r="O76" s="977"/>
      <c r="P76" s="977"/>
      <c r="Q76" s="977"/>
      <c r="R76" s="977"/>
      <c r="S76" s="977"/>
    </row>
    <row r="77" spans="1:19" x14ac:dyDescent="0.35">
      <c r="A77" s="689"/>
      <c r="B77" s="641" t="s">
        <v>727</v>
      </c>
      <c r="C77" s="642"/>
      <c r="D77" s="642"/>
      <c r="E77" s="642"/>
      <c r="F77" s="642"/>
      <c r="G77" s="646"/>
      <c r="H77" s="977"/>
      <c r="I77" s="977"/>
      <c r="J77" s="977"/>
      <c r="K77" s="977"/>
      <c r="L77" s="977"/>
      <c r="M77" s="977"/>
      <c r="N77" s="977"/>
      <c r="O77" s="977"/>
      <c r="P77" s="977"/>
      <c r="Q77" s="977"/>
      <c r="R77" s="977"/>
      <c r="S77" s="977"/>
    </row>
    <row r="78" spans="1:19" x14ac:dyDescent="0.35">
      <c r="A78" s="689"/>
      <c r="B78" s="641" t="s">
        <v>728</v>
      </c>
      <c r="C78" s="642"/>
      <c r="D78" s="642"/>
      <c r="E78" s="642"/>
      <c r="F78" s="642"/>
      <c r="G78" s="646"/>
      <c r="H78" s="977"/>
      <c r="I78" s="977"/>
      <c r="J78" s="977"/>
      <c r="K78" s="977"/>
      <c r="L78" s="977"/>
      <c r="M78" s="977"/>
      <c r="N78" s="977"/>
      <c r="O78" s="977"/>
      <c r="P78" s="977"/>
      <c r="Q78" s="977"/>
      <c r="R78" s="977"/>
      <c r="S78" s="977"/>
    </row>
    <row r="79" spans="1:19" x14ac:dyDescent="0.35">
      <c r="A79" s="689"/>
      <c r="B79" s="641" t="s">
        <v>729</v>
      </c>
      <c r="C79" s="642"/>
      <c r="D79" s="642"/>
      <c r="E79" s="642"/>
      <c r="F79" s="642"/>
      <c r="G79" s="646"/>
      <c r="H79" s="977"/>
      <c r="I79" s="977"/>
      <c r="J79" s="977"/>
      <c r="K79" s="977"/>
      <c r="L79" s="977"/>
      <c r="M79" s="977"/>
      <c r="N79" s="977"/>
      <c r="O79" s="977"/>
      <c r="P79" s="977"/>
      <c r="Q79" s="977"/>
      <c r="R79" s="977"/>
      <c r="S79" s="977"/>
    </row>
    <row r="80" spans="1:19" x14ac:dyDescent="0.35">
      <c r="A80" s="978"/>
      <c r="B80" s="939"/>
      <c r="C80" s="940"/>
      <c r="D80" s="940"/>
      <c r="E80" s="940"/>
      <c r="F80" s="940"/>
      <c r="G80" s="1039"/>
      <c r="H80" s="981"/>
      <c r="I80" s="981"/>
      <c r="J80" s="981"/>
      <c r="K80" s="981"/>
      <c r="L80" s="981"/>
      <c r="M80" s="981"/>
      <c r="N80" s="981"/>
      <c r="O80" s="981"/>
      <c r="P80" s="981"/>
      <c r="Q80" s="981"/>
      <c r="R80" s="981"/>
      <c r="S80" s="981"/>
    </row>
    <row r="81" spans="1:19" x14ac:dyDescent="0.35">
      <c r="A81" s="7" t="s">
        <v>730</v>
      </c>
      <c r="B81" s="8"/>
      <c r="C81" s="12"/>
      <c r="D81" s="12"/>
      <c r="E81" s="12"/>
      <c r="F81" s="12"/>
      <c r="G81" s="13"/>
      <c r="H81" s="21"/>
      <c r="I81" s="21"/>
      <c r="J81" s="21"/>
      <c r="K81" s="21"/>
      <c r="L81" s="21"/>
      <c r="M81" s="21"/>
      <c r="N81" s="21"/>
      <c r="O81" s="21"/>
      <c r="P81" s="21"/>
      <c r="Q81" s="21"/>
      <c r="R81" s="21"/>
      <c r="S81" s="21"/>
    </row>
    <row r="82" spans="1:19" x14ac:dyDescent="0.35">
      <c r="A82" s="1170"/>
      <c r="B82" s="1176" t="s">
        <v>731</v>
      </c>
      <c r="C82" s="1171"/>
      <c r="D82" s="1171"/>
      <c r="E82" s="1171"/>
      <c r="F82" s="1171"/>
      <c r="G82" s="1172"/>
      <c r="H82" s="1177"/>
      <c r="I82" s="1177"/>
      <c r="J82" s="1177"/>
      <c r="K82" s="1177"/>
      <c r="L82" s="1177"/>
      <c r="M82" s="1177"/>
      <c r="N82" s="1177"/>
      <c r="O82" s="1177"/>
      <c r="P82" s="1177"/>
      <c r="Q82" s="1177"/>
      <c r="R82" s="1177"/>
      <c r="S82" s="1177"/>
    </row>
    <row r="83" spans="1:19" x14ac:dyDescent="0.35">
      <c r="A83" s="689"/>
      <c r="B83" s="641" t="s">
        <v>732</v>
      </c>
      <c r="C83" s="642"/>
      <c r="D83" s="642"/>
      <c r="E83" s="642"/>
      <c r="F83" s="642"/>
      <c r="G83" s="646"/>
      <c r="H83" s="984"/>
      <c r="I83" s="984"/>
      <c r="J83" s="984"/>
      <c r="K83" s="984"/>
      <c r="L83" s="984"/>
      <c r="M83" s="984"/>
      <c r="N83" s="984"/>
      <c r="O83" s="984"/>
      <c r="P83" s="984"/>
      <c r="Q83" s="984"/>
      <c r="R83" s="984"/>
      <c r="S83" s="984"/>
    </row>
    <row r="84" spans="1:19" x14ac:dyDescent="0.35">
      <c r="A84" s="985"/>
      <c r="B84" s="986" t="s">
        <v>733</v>
      </c>
      <c r="C84" s="987"/>
      <c r="D84" s="987"/>
      <c r="E84" s="987"/>
      <c r="F84" s="987"/>
      <c r="G84" s="1040"/>
      <c r="H84" s="990"/>
      <c r="I84" s="990"/>
      <c r="J84" s="990"/>
      <c r="K84" s="990"/>
      <c r="L84" s="990"/>
      <c r="M84" s="990"/>
      <c r="N84" s="990"/>
      <c r="O84" s="990"/>
      <c r="P84" s="990"/>
      <c r="Q84" s="990"/>
      <c r="R84" s="990"/>
      <c r="S84" s="990"/>
    </row>
    <row r="86" spans="1:19" x14ac:dyDescent="0.35">
      <c r="A86" s="78" t="s">
        <v>734</v>
      </c>
      <c r="B86" s="80"/>
    </row>
    <row r="87" spans="1:19" x14ac:dyDescent="0.35">
      <c r="A87" s="79" t="s">
        <v>632</v>
      </c>
      <c r="B87" s="991"/>
    </row>
    <row r="88" spans="1:19" x14ac:dyDescent="0.35">
      <c r="A88" s="687" t="s">
        <v>636</v>
      </c>
      <c r="B88" s="991"/>
    </row>
    <row r="89" spans="1:19" x14ac:dyDescent="0.35">
      <c r="A89" s="992" t="s">
        <v>639</v>
      </c>
      <c r="B89" s="993"/>
    </row>
    <row r="90" spans="1:19" x14ac:dyDescent="0.35">
      <c r="A90" s="992" t="s">
        <v>642</v>
      </c>
      <c r="B90" s="994"/>
    </row>
    <row r="91" spans="1:19" x14ac:dyDescent="0.35">
      <c r="A91" s="995" t="s">
        <v>735</v>
      </c>
      <c r="B91" s="996"/>
    </row>
    <row r="93" spans="1:19" x14ac:dyDescent="0.35">
      <c r="A93" s="81"/>
      <c r="B93" s="1" t="s">
        <v>736</v>
      </c>
    </row>
    <row r="94" spans="1:19" x14ac:dyDescent="0.35">
      <c r="A94" s="82"/>
      <c r="B94" s="1" t="s">
        <v>737</v>
      </c>
    </row>
  </sheetData>
  <mergeCells count="47">
    <mergeCell ref="A59:B59"/>
    <mergeCell ref="A63:B63"/>
    <mergeCell ref="A67:B67"/>
    <mergeCell ref="A71:B71"/>
    <mergeCell ref="A75:B7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609" priority="13" operator="equal">
      <formula>"X"</formula>
    </cfRule>
    <cfRule type="cellIs" dxfId="2608" priority="14" operator="equal">
      <formula>"I"</formula>
    </cfRule>
  </conditionalFormatting>
  <conditionalFormatting sqref="H32:H50">
    <cfRule type="cellIs" dxfId="2607" priority="1" operator="equal">
      <formula>"X"</formula>
    </cfRule>
    <cfRule type="cellIs" dxfId="2606" priority="2" operator="equal">
      <formula>"I"</formula>
    </cfRule>
  </conditionalFormatting>
  <conditionalFormatting sqref="J20:J30">
    <cfRule type="cellIs" dxfId="2605" priority="15" operator="equal">
      <formula>"X"</formula>
    </cfRule>
    <cfRule type="cellIs" dxfId="2604" priority="16" operator="equal">
      <formula>"I"</formula>
    </cfRule>
  </conditionalFormatting>
  <conditionalFormatting sqref="J32:J50">
    <cfRule type="cellIs" dxfId="2603" priority="3" operator="equal">
      <formula>"X"</formula>
    </cfRule>
    <cfRule type="cellIs" dxfId="2602" priority="4" operator="equal">
      <formula>"I"</formula>
    </cfRule>
  </conditionalFormatting>
  <conditionalFormatting sqref="L20:L30">
    <cfRule type="cellIs" dxfId="2601" priority="17" operator="equal">
      <formula>"X"</formula>
    </cfRule>
    <cfRule type="cellIs" dxfId="2600" priority="18" operator="equal">
      <formula>"I"</formula>
    </cfRule>
  </conditionalFormatting>
  <conditionalFormatting sqref="L32:L50">
    <cfRule type="cellIs" dxfId="2599" priority="5" operator="equal">
      <formula>"X"</formula>
    </cfRule>
    <cfRule type="cellIs" dxfId="2598" priority="6" operator="equal">
      <formula>"I"</formula>
    </cfRule>
  </conditionalFormatting>
  <conditionalFormatting sqref="N20:N30">
    <cfRule type="cellIs" dxfId="2597" priority="19" operator="equal">
      <formula>"X"</formula>
    </cfRule>
    <cfRule type="cellIs" dxfId="2596" priority="20" operator="equal">
      <formula>"I"</formula>
    </cfRule>
  </conditionalFormatting>
  <conditionalFormatting sqref="N32:N50">
    <cfRule type="cellIs" dxfId="2595" priority="7" operator="equal">
      <formula>"X"</formula>
    </cfRule>
    <cfRule type="cellIs" dxfId="2594" priority="8" operator="equal">
      <formula>"I"</formula>
    </cfRule>
  </conditionalFormatting>
  <conditionalFormatting sqref="P20:P30">
    <cfRule type="cellIs" dxfId="2593" priority="21" operator="equal">
      <formula>"X"</formula>
    </cfRule>
    <cfRule type="cellIs" dxfId="2592" priority="22" operator="equal">
      <formula>"I"</formula>
    </cfRule>
  </conditionalFormatting>
  <conditionalFormatting sqref="P32:P50">
    <cfRule type="cellIs" dxfId="2591" priority="9" operator="equal">
      <formula>"X"</formula>
    </cfRule>
    <cfRule type="cellIs" dxfId="2590" priority="10" operator="equal">
      <formula>"I"</formula>
    </cfRule>
  </conditionalFormatting>
  <conditionalFormatting sqref="R20:R30">
    <cfRule type="cellIs" dxfId="2589" priority="23" operator="equal">
      <formula>"X"</formula>
    </cfRule>
    <cfRule type="cellIs" dxfId="2588" priority="24" operator="equal">
      <formula>"I"</formula>
    </cfRule>
  </conditionalFormatting>
  <conditionalFormatting sqref="R32:R50">
    <cfRule type="cellIs" dxfId="2587" priority="11" operator="equal">
      <formula>"X"</formula>
    </cfRule>
    <cfRule type="cellIs" dxfId="2586" priority="12" operator="equal">
      <formula>"I"</formula>
    </cfRule>
  </conditionalFormatting>
  <hyperlinks>
    <hyperlink ref="B3" location="'Cost Summary'!A1" display="BACK TO SUMMARY SHEET" xr:uid="{5C29D3FE-DC9F-42AA-8199-4F5F650B263E}"/>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C06B-799F-40CB-9E54-0BB4C6B4AB81}">
  <sheetPr>
    <tabColor rgb="FFFFC000"/>
  </sheetPr>
  <dimension ref="A1:S94"/>
  <sheetViews>
    <sheetView zoomScale="95" zoomScaleNormal="95" workbookViewId="0">
      <pane xSplit="2" ySplit="9" topLeftCell="C45" activePane="bottomRight" state="frozen"/>
      <selection pane="topRight" activeCell="C1" sqref="C1"/>
      <selection pane="bottomLeft" activeCell="A11" sqref="A11"/>
      <selection pane="bottomRight" activeCell="P53" sqref="P5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5429687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89" t="s">
        <v>241</v>
      </c>
      <c r="I2" s="3789"/>
      <c r="J2" s="3789" t="s">
        <v>1141</v>
      </c>
      <c r="K2" s="3789"/>
      <c r="L2" s="3789" t="s">
        <v>1141</v>
      </c>
      <c r="M2" s="3789"/>
      <c r="N2" s="3789" t="s">
        <v>1141</v>
      </c>
      <c r="O2" s="3789"/>
      <c r="P2" s="3751"/>
      <c r="Q2" s="3751"/>
      <c r="R2" s="3751"/>
      <c r="S2" s="3751"/>
    </row>
    <row r="3" spans="1:19" ht="19.5" x14ac:dyDescent="0.35">
      <c r="B3" s="137" t="s">
        <v>623</v>
      </c>
      <c r="E3" s="152"/>
      <c r="F3" s="124" t="s">
        <v>624</v>
      </c>
      <c r="G3" s="123" t="s">
        <v>557</v>
      </c>
      <c r="H3" s="3772" t="s">
        <v>625</v>
      </c>
      <c r="I3" s="3773"/>
      <c r="J3" s="3754" t="s">
        <v>626</v>
      </c>
      <c r="K3" s="3755"/>
      <c r="L3" s="3754" t="s">
        <v>627</v>
      </c>
      <c r="M3" s="3755"/>
      <c r="N3" s="3754" t="s">
        <v>628</v>
      </c>
      <c r="O3" s="3755"/>
      <c r="P3" s="3754" t="s">
        <v>772</v>
      </c>
      <c r="Q3" s="3755"/>
      <c r="R3" s="3754" t="s">
        <v>773</v>
      </c>
      <c r="S3" s="3755"/>
    </row>
    <row r="4" spans="1:19" x14ac:dyDescent="0.35">
      <c r="A4" s="3" t="s">
        <v>631</v>
      </c>
      <c r="B4" s="4" t="str">
        <f>'AREA CALC''s'!B4</f>
        <v>Alton Hilltop Gardens</v>
      </c>
      <c r="C4" s="5"/>
      <c r="D4" s="5"/>
      <c r="E4" s="5"/>
      <c r="F4" s="5"/>
      <c r="G4" s="6" t="s">
        <v>632</v>
      </c>
      <c r="H4" s="3752" t="s">
        <v>738</v>
      </c>
      <c r="I4" s="3753"/>
      <c r="J4" s="3752" t="s">
        <v>1066</v>
      </c>
      <c r="K4" s="3753"/>
      <c r="L4" s="3752" t="s">
        <v>1067</v>
      </c>
      <c r="M4" s="3753"/>
      <c r="N4" s="3752" t="s">
        <v>1068</v>
      </c>
      <c r="O4" s="3753"/>
      <c r="P4" s="3752" t="s">
        <v>1142</v>
      </c>
      <c r="Q4" s="3753"/>
      <c r="R4" s="3752"/>
      <c r="S4" s="3753"/>
    </row>
    <row r="5" spans="1:19" x14ac:dyDescent="0.35">
      <c r="A5" s="688" t="s">
        <v>634</v>
      </c>
      <c r="B5" s="641" t="s">
        <v>471</v>
      </c>
      <c r="C5" s="642"/>
      <c r="D5" s="642"/>
      <c r="E5" s="642"/>
      <c r="F5" s="642"/>
      <c r="G5" s="643" t="s">
        <v>636</v>
      </c>
      <c r="H5" s="3800"/>
      <c r="I5" s="3801"/>
      <c r="J5" s="3800" t="s">
        <v>1073</v>
      </c>
      <c r="K5" s="3801"/>
      <c r="L5" s="3800" t="s">
        <v>1074</v>
      </c>
      <c r="M5" s="3801"/>
      <c r="N5" s="3800" t="s">
        <v>1075</v>
      </c>
      <c r="O5" s="3801"/>
      <c r="P5" s="3800"/>
      <c r="Q5" s="3801"/>
      <c r="R5" s="3800"/>
      <c r="S5" s="3801"/>
    </row>
    <row r="6" spans="1:19" x14ac:dyDescent="0.35">
      <c r="A6" s="688" t="s">
        <v>638</v>
      </c>
      <c r="B6" s="644" t="s">
        <v>470</v>
      </c>
      <c r="C6" s="642"/>
      <c r="D6" s="642"/>
      <c r="E6" s="642"/>
      <c r="F6" s="642"/>
      <c r="G6" s="643" t="s">
        <v>639</v>
      </c>
      <c r="H6" s="3756"/>
      <c r="I6" s="3757"/>
      <c r="J6" s="3756" t="s">
        <v>1079</v>
      </c>
      <c r="K6" s="3757"/>
      <c r="L6" s="3756" t="s">
        <v>1080</v>
      </c>
      <c r="M6" s="3757"/>
      <c r="N6" s="3800" t="s">
        <v>1081</v>
      </c>
      <c r="O6" s="3801"/>
      <c r="P6" s="3756"/>
      <c r="Q6" s="3757"/>
      <c r="R6" s="3756"/>
      <c r="S6" s="3757"/>
    </row>
    <row r="7" spans="1:19" x14ac:dyDescent="0.35">
      <c r="A7" s="688" t="s">
        <v>641</v>
      </c>
      <c r="B7" s="645"/>
      <c r="C7" s="642"/>
      <c r="D7" s="642"/>
      <c r="E7" s="642"/>
      <c r="F7" s="642"/>
      <c r="G7" s="643" t="s">
        <v>642</v>
      </c>
      <c r="H7" s="3790"/>
      <c r="I7" s="3792"/>
      <c r="J7" s="3790" t="s">
        <v>1085</v>
      </c>
      <c r="K7" s="3792"/>
      <c r="L7" s="3790" t="s">
        <v>1086</v>
      </c>
      <c r="M7" s="3792"/>
      <c r="N7" s="3790" t="s">
        <v>1087</v>
      </c>
      <c r="O7" s="3792"/>
      <c r="P7" s="3790"/>
      <c r="Q7" s="3791"/>
      <c r="R7" s="3786"/>
      <c r="S7" s="3757"/>
    </row>
    <row r="8" spans="1:19" x14ac:dyDescent="0.35">
      <c r="A8" s="938" t="s">
        <v>644</v>
      </c>
      <c r="B8" s="939"/>
      <c r="C8" s="940"/>
      <c r="D8" s="940"/>
      <c r="E8" s="940"/>
      <c r="F8" s="940"/>
      <c r="G8" s="1024" t="s">
        <v>644</v>
      </c>
      <c r="H8" s="3760">
        <f>I55</f>
        <v>46000</v>
      </c>
      <c r="I8" s="3761"/>
      <c r="J8" s="3760">
        <f>K55</f>
        <v>21150</v>
      </c>
      <c r="K8" s="3761"/>
      <c r="L8" s="3760">
        <f>M55</f>
        <v>12050</v>
      </c>
      <c r="M8" s="3761"/>
      <c r="N8" s="3760">
        <f>O55</f>
        <v>20105</v>
      </c>
      <c r="O8" s="3761"/>
      <c r="P8" s="3760">
        <f>Q55</f>
        <v>18790</v>
      </c>
      <c r="Q8" s="3761"/>
      <c r="R8" s="3760">
        <f>S55</f>
        <v>0</v>
      </c>
      <c r="S8" s="3761"/>
    </row>
    <row r="9" spans="1:19" ht="30" customHeight="1"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customHeight="1" x14ac:dyDescent="0.35">
      <c r="A10" s="689"/>
      <c r="B10" s="1178" t="s">
        <v>653</v>
      </c>
      <c r="C10" s="642"/>
      <c r="D10" s="642"/>
      <c r="E10" s="642"/>
      <c r="F10" s="642"/>
      <c r="G10" s="646"/>
      <c r="H10" s="942"/>
      <c r="I10" s="942"/>
      <c r="J10" s="942"/>
      <c r="K10" s="942"/>
      <c r="L10" s="942"/>
      <c r="M10" s="942"/>
      <c r="N10" s="942"/>
      <c r="O10" s="942"/>
      <c r="P10" s="942"/>
      <c r="Q10" s="942"/>
      <c r="R10" s="942"/>
      <c r="S10" s="942"/>
    </row>
    <row r="11" spans="1:19" ht="15" hidden="1" customHeight="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customHeight="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customHeight="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customHeight="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customHeight="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customHeight="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customHeight="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customHeight="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customHeight="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689"/>
      <c r="B21" s="648" t="s">
        <v>471</v>
      </c>
      <c r="C21" s="647"/>
      <c r="D21" s="642"/>
      <c r="E21" s="642"/>
      <c r="F21" s="642"/>
      <c r="G21" s="646"/>
      <c r="H21" s="943"/>
      <c r="I21" s="942"/>
      <c r="J21" s="943"/>
      <c r="K21" s="942"/>
      <c r="L21" s="943"/>
      <c r="M21" s="942"/>
      <c r="N21" s="943"/>
      <c r="O21" s="942"/>
      <c r="P21" s="943"/>
      <c r="Q21" s="942"/>
      <c r="R21" s="943"/>
      <c r="S21" s="942"/>
    </row>
    <row r="22" spans="1:19" x14ac:dyDescent="0.35">
      <c r="A22" s="1179"/>
      <c r="B22" s="604" t="s">
        <v>657</v>
      </c>
      <c r="C22" s="647"/>
      <c r="D22" s="642"/>
      <c r="E22" s="642"/>
      <c r="F22" s="642"/>
      <c r="G22" s="646"/>
      <c r="H22" s="943"/>
      <c r="I22" s="1180"/>
      <c r="J22" s="943"/>
      <c r="K22" s="1180"/>
      <c r="L22" s="943"/>
      <c r="M22" s="1180"/>
      <c r="N22" s="943"/>
      <c r="O22" s="1180"/>
      <c r="P22" s="943"/>
      <c r="Q22" s="1180"/>
      <c r="R22" s="943"/>
      <c r="S22" s="1180"/>
    </row>
    <row r="23" spans="1:19" x14ac:dyDescent="0.35">
      <c r="A23" s="1179"/>
      <c r="B23" s="607" t="s">
        <v>658</v>
      </c>
      <c r="C23" s="647"/>
      <c r="D23" s="642"/>
      <c r="E23" s="642"/>
      <c r="F23" s="642"/>
      <c r="G23" s="646"/>
      <c r="H23" s="943"/>
      <c r="I23" s="1180"/>
      <c r="J23" s="943"/>
      <c r="K23" s="1180"/>
      <c r="L23" s="943"/>
      <c r="M23" s="1180"/>
      <c r="N23" s="943"/>
      <c r="O23" s="1180"/>
      <c r="P23" s="943"/>
      <c r="Q23" s="1158"/>
      <c r="R23" s="943"/>
      <c r="S23" s="1158"/>
    </row>
    <row r="24" spans="1:19" x14ac:dyDescent="0.35">
      <c r="A24" s="683"/>
      <c r="B24" s="1253" t="s">
        <v>659</v>
      </c>
      <c r="C24" s="642"/>
      <c r="D24" s="642"/>
      <c r="E24" s="642"/>
      <c r="F24" s="642"/>
      <c r="G24" s="646"/>
      <c r="H24" s="943"/>
      <c r="I24" s="1158"/>
      <c r="J24" s="943"/>
      <c r="K24" s="1158"/>
      <c r="L24" s="943"/>
      <c r="M24" s="1158"/>
      <c r="N24" s="943"/>
      <c r="O24" s="1180"/>
      <c r="P24" s="943"/>
      <c r="Q24" s="1180"/>
      <c r="R24" s="943"/>
      <c r="S24" s="1180"/>
    </row>
    <row r="25" spans="1:19" x14ac:dyDescent="0.35">
      <c r="A25" s="1179"/>
      <c r="B25" s="1254" t="s">
        <v>660</v>
      </c>
      <c r="C25" s="642"/>
      <c r="D25" s="642"/>
      <c r="E25" s="642"/>
      <c r="F25" s="642"/>
      <c r="G25" s="646"/>
      <c r="H25" s="943"/>
      <c r="I25" s="1158"/>
      <c r="J25" s="943"/>
      <c r="K25" s="1158"/>
      <c r="L25" s="943"/>
      <c r="M25" s="1158"/>
      <c r="N25" s="943"/>
      <c r="O25" s="1180"/>
      <c r="P25" s="943"/>
      <c r="Q25" s="1180"/>
      <c r="R25" s="943"/>
      <c r="S25" s="1180"/>
    </row>
    <row r="26" spans="1:19" x14ac:dyDescent="0.35">
      <c r="A26" s="683"/>
      <c r="B26" s="1254" t="s">
        <v>661</v>
      </c>
      <c r="C26" s="642"/>
      <c r="D26" s="642"/>
      <c r="E26" s="642"/>
      <c r="F26" s="642"/>
      <c r="G26" s="646"/>
      <c r="H26" s="943"/>
      <c r="I26" s="1158"/>
      <c r="J26" s="943"/>
      <c r="K26" s="1158"/>
      <c r="L26" s="943"/>
      <c r="M26" s="1158"/>
      <c r="N26" s="943"/>
      <c r="O26" s="1180"/>
      <c r="P26" s="943"/>
      <c r="Q26" s="1180"/>
      <c r="R26" s="943"/>
      <c r="S26" s="1180"/>
    </row>
    <row r="27" spans="1:19" x14ac:dyDescent="0.35">
      <c r="A27" s="1179"/>
      <c r="B27" s="1254" t="s">
        <v>662</v>
      </c>
      <c r="C27" s="642"/>
      <c r="D27" s="642"/>
      <c r="E27" s="642"/>
      <c r="F27" s="642"/>
      <c r="G27" s="646"/>
      <c r="H27" s="943"/>
      <c r="I27" s="1158"/>
      <c r="J27" s="943"/>
      <c r="K27" s="1158"/>
      <c r="L27" s="943"/>
      <c r="M27" s="1158"/>
      <c r="N27" s="943"/>
      <c r="O27" s="1180"/>
      <c r="P27" s="943"/>
      <c r="Q27" s="1180"/>
      <c r="R27" s="943"/>
      <c r="S27" s="1180"/>
    </row>
    <row r="28" spans="1:19" x14ac:dyDescent="0.35">
      <c r="A28" s="1179"/>
      <c r="B28" s="1254" t="s">
        <v>663</v>
      </c>
      <c r="C28" s="642"/>
      <c r="D28" s="642"/>
      <c r="E28" s="642"/>
      <c r="F28" s="642"/>
      <c r="G28" s="646"/>
      <c r="H28" s="943"/>
      <c r="I28" s="1158"/>
      <c r="J28" s="943"/>
      <c r="K28" s="1158"/>
      <c r="L28" s="943"/>
      <c r="M28" s="1158"/>
      <c r="N28" s="943"/>
      <c r="O28" s="1180"/>
      <c r="P28" s="943"/>
      <c r="Q28" s="1180"/>
      <c r="R28" s="943"/>
      <c r="S28" s="1180"/>
    </row>
    <row r="29" spans="1:19" x14ac:dyDescent="0.35">
      <c r="A29" s="1179"/>
      <c r="B29" s="1254" t="s">
        <v>742</v>
      </c>
      <c r="C29" s="642"/>
      <c r="D29" s="642"/>
      <c r="E29" s="642"/>
      <c r="F29" s="642"/>
      <c r="G29" s="646"/>
      <c r="H29" s="943"/>
      <c r="I29" s="1158"/>
      <c r="J29" s="943"/>
      <c r="K29" s="1158"/>
      <c r="L29" s="943"/>
      <c r="M29" s="1158"/>
      <c r="N29" s="943"/>
      <c r="O29" s="1180"/>
      <c r="P29" s="943"/>
      <c r="Q29" s="1180"/>
      <c r="R29" s="943"/>
      <c r="S29" s="1180"/>
    </row>
    <row r="30" spans="1:19" x14ac:dyDescent="0.35">
      <c r="A30" s="1179"/>
      <c r="B30" s="1255" t="s">
        <v>664</v>
      </c>
      <c r="C30" s="642"/>
      <c r="D30" s="642"/>
      <c r="E30" s="642"/>
      <c r="F30" s="642"/>
      <c r="G30" s="646"/>
      <c r="H30" s="943"/>
      <c r="I30" s="1158"/>
      <c r="J30" s="943"/>
      <c r="K30" s="1158"/>
      <c r="L30" s="943"/>
      <c r="M30" s="1158"/>
      <c r="N30" s="943"/>
      <c r="O30" s="1180"/>
      <c r="P30" s="943"/>
      <c r="Q30" s="1180"/>
      <c r="R30" s="943"/>
      <c r="S30" s="1180"/>
    </row>
    <row r="31" spans="1:19" x14ac:dyDescent="0.35">
      <c r="A31" s="1179"/>
      <c r="B31" s="1256" t="s">
        <v>665</v>
      </c>
      <c r="C31" s="650"/>
      <c r="D31" s="650"/>
      <c r="E31" s="650"/>
      <c r="F31" s="650"/>
      <c r="G31" s="651"/>
      <c r="H31" s="636"/>
      <c r="I31" s="1162"/>
      <c r="J31" s="636"/>
      <c r="K31" s="1162"/>
      <c r="L31" s="636"/>
      <c r="M31" s="1162"/>
      <c r="N31" s="636"/>
      <c r="O31" s="1163"/>
      <c r="P31" s="636"/>
      <c r="Q31" s="1163"/>
      <c r="R31" s="636"/>
      <c r="S31" s="1163"/>
    </row>
    <row r="32" spans="1:19" x14ac:dyDescent="0.35">
      <c r="A32" s="1179"/>
      <c r="B32" s="1257"/>
      <c r="C32" s="642"/>
      <c r="D32" s="642"/>
      <c r="E32" s="642"/>
      <c r="F32" s="642"/>
      <c r="G32" s="652"/>
      <c r="H32" s="943"/>
      <c r="I32" s="1158"/>
      <c r="J32" s="943"/>
      <c r="K32" s="1158"/>
      <c r="L32" s="943"/>
      <c r="M32" s="1158"/>
      <c r="N32" s="943"/>
      <c r="O32" s="1180"/>
      <c r="P32" s="943"/>
      <c r="Q32" s="1180"/>
      <c r="R32" s="943"/>
      <c r="S32" s="1180"/>
    </row>
    <row r="33" spans="1:19" x14ac:dyDescent="0.35">
      <c r="A33" s="1179"/>
      <c r="B33" s="1260" t="s">
        <v>1143</v>
      </c>
      <c r="C33" s="642" t="s">
        <v>1144</v>
      </c>
      <c r="D33" s="642">
        <v>30</v>
      </c>
      <c r="E33" s="642" t="s">
        <v>752</v>
      </c>
      <c r="F33" s="654">
        <v>1000</v>
      </c>
      <c r="G33" s="652">
        <f>D33*F33</f>
        <v>30000</v>
      </c>
      <c r="H33" s="943" t="s">
        <v>669</v>
      </c>
      <c r="I33" s="1261">
        <f>G33</f>
        <v>30000</v>
      </c>
      <c r="J33" s="943" t="s">
        <v>669</v>
      </c>
      <c r="K33" s="1261">
        <v>10800</v>
      </c>
      <c r="L33" s="943" t="s">
        <v>669</v>
      </c>
      <c r="M33" s="1261">
        <f>12050</f>
        <v>12050</v>
      </c>
      <c r="N33" s="943" t="s">
        <v>669</v>
      </c>
      <c r="O33" s="1261">
        <f>18810+1295</f>
        <v>20105</v>
      </c>
      <c r="P33" s="943" t="s">
        <v>669</v>
      </c>
      <c r="Q33" s="1180">
        <v>18790</v>
      </c>
      <c r="R33" s="943"/>
      <c r="S33" s="1180"/>
    </row>
    <row r="34" spans="1:19" x14ac:dyDescent="0.35">
      <c r="A34" s="1179"/>
      <c r="B34" s="1260" t="s">
        <v>1145</v>
      </c>
      <c r="C34" s="642"/>
      <c r="D34" s="642">
        <v>16</v>
      </c>
      <c r="E34" s="642" t="s">
        <v>752</v>
      </c>
      <c r="F34" s="654">
        <v>1000</v>
      </c>
      <c r="G34" s="652">
        <f>D34*F34</f>
        <v>16000</v>
      </c>
      <c r="H34" s="943" t="s">
        <v>669</v>
      </c>
      <c r="I34" s="1261">
        <f>G34</f>
        <v>16000</v>
      </c>
      <c r="J34" s="943" t="s">
        <v>669</v>
      </c>
      <c r="K34" s="1261">
        <v>10350</v>
      </c>
      <c r="L34" s="943" t="s">
        <v>669</v>
      </c>
      <c r="M34" s="1158"/>
      <c r="N34" s="943" t="s">
        <v>669</v>
      </c>
      <c r="O34" s="1180"/>
      <c r="P34" s="943" t="s">
        <v>669</v>
      </c>
      <c r="Q34" s="1180"/>
      <c r="R34" s="943"/>
      <c r="S34" s="1180"/>
    </row>
    <row r="35" spans="1:19" x14ac:dyDescent="0.35">
      <c r="A35" s="1179"/>
      <c r="B35" s="1258"/>
      <c r="C35" s="642"/>
      <c r="D35" s="642"/>
      <c r="E35" s="642"/>
      <c r="F35" s="654"/>
      <c r="G35" s="652"/>
      <c r="H35" s="943"/>
      <c r="I35" s="1158"/>
      <c r="J35" s="943"/>
      <c r="K35" s="1158"/>
      <c r="L35" s="943"/>
      <c r="M35" s="1158"/>
      <c r="N35" s="943"/>
      <c r="O35" s="1180"/>
      <c r="P35" s="943"/>
      <c r="Q35" s="1180"/>
      <c r="R35" s="943"/>
      <c r="S35" s="1180"/>
    </row>
    <row r="36" spans="1:19" x14ac:dyDescent="0.35">
      <c r="A36" s="1179"/>
      <c r="B36" s="1258"/>
      <c r="C36" s="642"/>
      <c r="D36" s="642"/>
      <c r="E36" s="642"/>
      <c r="F36" s="654"/>
      <c r="G36" s="652"/>
      <c r="H36" s="943"/>
      <c r="I36" s="1158"/>
      <c r="J36" s="943"/>
      <c r="K36" s="1158"/>
      <c r="L36" s="943"/>
      <c r="M36" s="1158"/>
      <c r="N36" s="943"/>
      <c r="O36" s="1180"/>
      <c r="P36" s="943"/>
      <c r="Q36" s="1180"/>
      <c r="R36" s="943"/>
      <c r="S36" s="1180"/>
    </row>
    <row r="37" spans="1:19" x14ac:dyDescent="0.35">
      <c r="A37" s="1179"/>
      <c r="B37" s="1259"/>
      <c r="C37" s="642"/>
      <c r="D37" s="642"/>
      <c r="E37" s="642"/>
      <c r="F37" s="654"/>
      <c r="G37" s="652"/>
      <c r="H37" s="943"/>
      <c r="I37" s="1158"/>
      <c r="J37" s="943"/>
      <c r="K37" s="1158"/>
      <c r="L37" s="943"/>
      <c r="M37" s="1158"/>
      <c r="N37" s="943"/>
      <c r="O37" s="1180"/>
      <c r="P37" s="943"/>
      <c r="Q37" s="1180"/>
      <c r="R37" s="943"/>
      <c r="S37" s="1180"/>
    </row>
    <row r="38" spans="1:19" x14ac:dyDescent="0.35">
      <c r="A38" s="1179"/>
      <c r="B38" s="1259"/>
      <c r="C38" s="642"/>
      <c r="D38" s="642"/>
      <c r="E38" s="642"/>
      <c r="F38" s="654"/>
      <c r="G38" s="652"/>
      <c r="H38" s="943"/>
      <c r="I38" s="1158"/>
      <c r="J38" s="943"/>
      <c r="K38" s="1158"/>
      <c r="L38" s="943"/>
      <c r="M38" s="1158"/>
      <c r="N38" s="943"/>
      <c r="O38" s="1180"/>
      <c r="P38" s="943"/>
      <c r="Q38" s="1180"/>
      <c r="R38" s="943"/>
      <c r="S38" s="1180"/>
    </row>
    <row r="39" spans="1:19" x14ac:dyDescent="0.35">
      <c r="A39" s="1179"/>
      <c r="B39" s="1259"/>
      <c r="C39" s="642"/>
      <c r="D39" s="642"/>
      <c r="E39" s="642"/>
      <c r="F39" s="654"/>
      <c r="G39" s="652"/>
      <c r="H39" s="943"/>
      <c r="I39" s="1158"/>
      <c r="J39" s="943"/>
      <c r="K39" s="1158"/>
      <c r="L39" s="943"/>
      <c r="M39" s="1158"/>
      <c r="N39" s="943"/>
      <c r="O39" s="1158"/>
      <c r="P39" s="943"/>
      <c r="Q39" s="1158"/>
      <c r="R39" s="943"/>
      <c r="S39" s="1180"/>
    </row>
    <row r="40" spans="1:19" x14ac:dyDescent="0.35">
      <c r="A40" s="1179"/>
      <c r="B40" s="1259"/>
      <c r="C40" s="642"/>
      <c r="D40" s="642"/>
      <c r="E40" s="642"/>
      <c r="F40" s="654"/>
      <c r="G40" s="652"/>
      <c r="H40" s="943"/>
      <c r="I40" s="1158"/>
      <c r="J40" s="943"/>
      <c r="K40" s="1158"/>
      <c r="L40" s="943"/>
      <c r="M40" s="1158"/>
      <c r="N40" s="943"/>
      <c r="O40" s="1158"/>
      <c r="P40" s="943"/>
      <c r="Q40" s="1158"/>
      <c r="R40" s="943"/>
      <c r="S40" s="1180"/>
    </row>
    <row r="41" spans="1:19" x14ac:dyDescent="0.35">
      <c r="A41" s="1179"/>
      <c r="B41" s="1259"/>
      <c r="C41" s="642"/>
      <c r="D41" s="642"/>
      <c r="E41" s="642"/>
      <c r="F41" s="654"/>
      <c r="G41" s="652"/>
      <c r="H41" s="943"/>
      <c r="I41" s="1158"/>
      <c r="J41" s="943"/>
      <c r="K41" s="1158"/>
      <c r="L41" s="943"/>
      <c r="M41" s="1158"/>
      <c r="N41" s="943"/>
      <c r="O41" s="1158"/>
      <c r="P41" s="943"/>
      <c r="Q41" s="1158"/>
      <c r="R41" s="943"/>
      <c r="S41" s="1180"/>
    </row>
    <row r="42" spans="1:19" x14ac:dyDescent="0.35">
      <c r="A42" s="1179"/>
      <c r="B42" s="1260"/>
      <c r="C42" s="642"/>
      <c r="D42" s="642"/>
      <c r="E42" s="642"/>
      <c r="F42" s="642"/>
      <c r="G42" s="652"/>
      <c r="H42" s="943"/>
      <c r="I42" s="1158"/>
      <c r="J42" s="943"/>
      <c r="K42" s="1158"/>
      <c r="L42" s="943"/>
      <c r="M42" s="1158"/>
      <c r="N42" s="943"/>
      <c r="O42" s="1158"/>
      <c r="P42" s="943"/>
      <c r="Q42" s="1158"/>
      <c r="R42" s="943"/>
      <c r="S42" s="1180"/>
    </row>
    <row r="43" spans="1:19" x14ac:dyDescent="0.35">
      <c r="A43" s="1179"/>
      <c r="B43" s="1260"/>
      <c r="C43" s="642"/>
      <c r="D43" s="642"/>
      <c r="E43" s="642"/>
      <c r="F43" s="642"/>
      <c r="G43" s="646"/>
      <c r="H43" s="943"/>
      <c r="I43" s="1158"/>
      <c r="J43" s="943"/>
      <c r="K43" s="1158"/>
      <c r="L43" s="943"/>
      <c r="M43" s="1158"/>
      <c r="N43" s="943"/>
      <c r="O43" s="1158"/>
      <c r="P43" s="943"/>
      <c r="Q43" s="1158"/>
      <c r="R43" s="943"/>
      <c r="S43" s="1180"/>
    </row>
    <row r="44" spans="1:19" x14ac:dyDescent="0.35">
      <c r="A44" s="1179"/>
      <c r="B44" s="1260"/>
      <c r="C44" s="642"/>
      <c r="D44" s="642"/>
      <c r="E44" s="642"/>
      <c r="F44" s="642"/>
      <c r="G44" s="646"/>
      <c r="H44" s="943"/>
      <c r="I44" s="1158"/>
      <c r="J44" s="943"/>
      <c r="K44" s="1158"/>
      <c r="L44" s="943"/>
      <c r="M44" s="1158"/>
      <c r="N44" s="943"/>
      <c r="O44" s="1158"/>
      <c r="P44" s="943"/>
      <c r="Q44" s="1158"/>
      <c r="R44" s="943"/>
      <c r="S44" s="1180"/>
    </row>
    <row r="45" spans="1:19" x14ac:dyDescent="0.35">
      <c r="A45" s="1179"/>
      <c r="B45" s="1260"/>
      <c r="C45" s="642"/>
      <c r="D45" s="642"/>
      <c r="E45" s="642"/>
      <c r="F45" s="642"/>
      <c r="G45" s="646"/>
      <c r="H45" s="943"/>
      <c r="I45" s="1158"/>
      <c r="J45" s="943"/>
      <c r="K45" s="1158"/>
      <c r="L45" s="943"/>
      <c r="M45" s="1158"/>
      <c r="N45" s="943"/>
      <c r="O45" s="1158"/>
      <c r="P45" s="943"/>
      <c r="Q45" s="1158"/>
      <c r="R45" s="943"/>
      <c r="S45" s="1180"/>
    </row>
    <row r="46" spans="1:19" x14ac:dyDescent="0.35">
      <c r="A46" s="1179"/>
      <c r="B46" s="1260"/>
      <c r="C46" s="642"/>
      <c r="D46" s="642"/>
      <c r="E46" s="642"/>
      <c r="F46" s="642"/>
      <c r="G46" s="646"/>
      <c r="H46" s="943"/>
      <c r="I46" s="1158"/>
      <c r="J46" s="943"/>
      <c r="K46" s="1158"/>
      <c r="L46" s="943"/>
      <c r="M46" s="1158"/>
      <c r="N46" s="943"/>
      <c r="O46" s="1158"/>
      <c r="P46" s="943"/>
      <c r="Q46" s="1158"/>
      <c r="R46" s="943"/>
      <c r="S46" s="1180"/>
    </row>
    <row r="47" spans="1:19" x14ac:dyDescent="0.35">
      <c r="A47" s="1179"/>
      <c r="B47" s="1260"/>
      <c r="C47" s="642"/>
      <c r="D47" s="642"/>
      <c r="E47" s="642"/>
      <c r="F47" s="642"/>
      <c r="G47" s="646"/>
      <c r="H47" s="943"/>
      <c r="I47" s="1158"/>
      <c r="J47" s="943"/>
      <c r="K47" s="1158"/>
      <c r="L47" s="943"/>
      <c r="M47" s="1158"/>
      <c r="N47" s="943"/>
      <c r="O47" s="1158"/>
      <c r="P47" s="943"/>
      <c r="Q47" s="1158"/>
      <c r="R47" s="943"/>
      <c r="S47" s="1180"/>
    </row>
    <row r="48" spans="1:19" x14ac:dyDescent="0.35">
      <c r="A48" s="683"/>
      <c r="B48" s="1260"/>
      <c r="C48" s="642"/>
      <c r="D48" s="642"/>
      <c r="E48" s="642"/>
      <c r="F48" s="642"/>
      <c r="G48" s="646"/>
      <c r="H48" s="943"/>
      <c r="I48" s="1182"/>
      <c r="J48" s="943"/>
      <c r="K48" s="1182"/>
      <c r="L48" s="943"/>
      <c r="M48" s="1158"/>
      <c r="N48" s="943"/>
      <c r="O48" s="1158"/>
      <c r="P48" s="943"/>
      <c r="Q48" s="1180"/>
      <c r="R48" s="943"/>
      <c r="S48" s="1180"/>
    </row>
    <row r="49" spans="1:19" x14ac:dyDescent="0.35">
      <c r="A49" s="1179"/>
      <c r="B49" s="670"/>
      <c r="C49" s="647"/>
      <c r="D49" s="642"/>
      <c r="E49" s="642"/>
      <c r="F49" s="642"/>
      <c r="G49" s="646"/>
      <c r="H49" s="943"/>
      <c r="I49" s="1180"/>
      <c r="J49" s="943"/>
      <c r="K49" s="1180"/>
      <c r="L49" s="943"/>
      <c r="M49" s="1180"/>
      <c r="N49" s="943"/>
      <c r="O49" s="1180"/>
      <c r="P49" s="943"/>
      <c r="Q49" s="1180"/>
      <c r="R49" s="943"/>
      <c r="S49" s="1180"/>
    </row>
    <row r="50" spans="1:19" x14ac:dyDescent="0.35">
      <c r="A50" s="683"/>
      <c r="B50" s="670"/>
      <c r="C50" s="647"/>
      <c r="D50" s="642"/>
      <c r="E50" s="642"/>
      <c r="F50" s="642"/>
      <c r="G50" s="646"/>
      <c r="H50" s="943"/>
      <c r="I50" s="1182"/>
      <c r="J50" s="943"/>
      <c r="K50" s="1182"/>
      <c r="L50" s="943"/>
      <c r="M50" s="1180"/>
      <c r="N50" s="943"/>
      <c r="O50" s="1180"/>
      <c r="P50" s="943"/>
      <c r="Q50" s="1180"/>
      <c r="R50" s="943"/>
      <c r="S50" s="1180"/>
    </row>
    <row r="51" spans="1:19" x14ac:dyDescent="0.35">
      <c r="A51" s="14"/>
      <c r="B51" s="15"/>
      <c r="C51" s="16"/>
      <c r="D51" s="16"/>
      <c r="E51" s="17"/>
      <c r="F51" s="18" t="s">
        <v>715</v>
      </c>
      <c r="G51" s="19"/>
      <c r="H51" s="20"/>
      <c r="I51" s="50">
        <f>SUM(I23:I50)</f>
        <v>46000</v>
      </c>
      <c r="J51" s="20"/>
      <c r="K51" s="50">
        <f>SUM(K23:K50)</f>
        <v>21150</v>
      </c>
      <c r="L51" s="20"/>
      <c r="M51" s="50">
        <f>SUM(M22:M50)</f>
        <v>12050</v>
      </c>
      <c r="N51" s="20"/>
      <c r="O51" s="50">
        <f>SUM(O22:O50)</f>
        <v>20105</v>
      </c>
      <c r="P51" s="20"/>
      <c r="Q51" s="50">
        <f>SUM(Q23:Q50)</f>
        <v>18790</v>
      </c>
      <c r="R51" s="20"/>
      <c r="S51" s="50">
        <f>SUM(S23:S50)</f>
        <v>0</v>
      </c>
    </row>
    <row r="52" spans="1:19" x14ac:dyDescent="0.35">
      <c r="A52" s="684"/>
      <c r="B52" s="655"/>
      <c r="C52" s="656"/>
      <c r="D52" s="656"/>
      <c r="E52" s="657"/>
      <c r="F52" s="658" t="s">
        <v>716</v>
      </c>
      <c r="G52" s="659"/>
      <c r="H52" s="959">
        <v>0</v>
      </c>
      <c r="I52" s="1121"/>
      <c r="J52" s="959">
        <v>0</v>
      </c>
      <c r="K52" s="1121"/>
      <c r="L52" s="959">
        <v>0</v>
      </c>
      <c r="M52" s="1121"/>
      <c r="N52" s="959">
        <v>0</v>
      </c>
      <c r="O52" s="1121"/>
      <c r="P52" s="959">
        <v>0</v>
      </c>
      <c r="Q52" s="1121"/>
      <c r="R52" s="959">
        <v>0.02</v>
      </c>
      <c r="S52" s="1121"/>
    </row>
    <row r="53" spans="1:19" x14ac:dyDescent="0.35">
      <c r="A53" s="684"/>
      <c r="B53" s="655"/>
      <c r="C53" s="656"/>
      <c r="D53" s="656"/>
      <c r="E53" s="657"/>
      <c r="F53" s="658" t="s">
        <v>717</v>
      </c>
      <c r="G53" s="659"/>
      <c r="H53" s="961"/>
      <c r="I53" s="1122">
        <f>H52*$I$51</f>
        <v>0</v>
      </c>
      <c r="J53" s="961"/>
      <c r="K53" s="1122">
        <f>J52*$I$51</f>
        <v>0</v>
      </c>
      <c r="L53" s="961"/>
      <c r="M53" s="1122">
        <f>L52*$M$51</f>
        <v>0</v>
      </c>
      <c r="N53" s="961"/>
      <c r="O53" s="1122">
        <f>N52*$O$51</f>
        <v>0</v>
      </c>
      <c r="P53" s="961"/>
      <c r="Q53" s="1122">
        <f>P52*$Q$51</f>
        <v>0</v>
      </c>
      <c r="R53" s="961"/>
      <c r="S53" s="1122">
        <f>R52*S51</f>
        <v>0</v>
      </c>
    </row>
    <row r="54" spans="1:19" x14ac:dyDescent="0.35">
      <c r="A54" s="684"/>
      <c r="B54" s="655"/>
      <c r="C54" s="656"/>
      <c r="D54" s="656"/>
      <c r="E54" s="657"/>
      <c r="F54" s="658"/>
      <c r="G54" s="659"/>
      <c r="H54" s="1123"/>
      <c r="I54" s="963"/>
      <c r="J54" s="1123"/>
      <c r="K54" s="963"/>
      <c r="L54" s="961"/>
      <c r="M54" s="963"/>
      <c r="N54" s="961"/>
      <c r="O54" s="963"/>
      <c r="P54" s="961"/>
      <c r="Q54" s="963"/>
      <c r="R54" s="961"/>
      <c r="S54" s="963"/>
    </row>
    <row r="55" spans="1:19" x14ac:dyDescent="0.35">
      <c r="A55" s="684"/>
      <c r="B55" s="655"/>
      <c r="C55" s="656"/>
      <c r="D55" s="656"/>
      <c r="E55" s="657"/>
      <c r="F55" s="658" t="s">
        <v>718</v>
      </c>
      <c r="G55" s="659"/>
      <c r="H55" s="964"/>
      <c r="I55" s="962">
        <f>SUM(I51:I54)</f>
        <v>46000</v>
      </c>
      <c r="J55" s="964"/>
      <c r="K55" s="962">
        <f>SUM(K51:K54)</f>
        <v>21150</v>
      </c>
      <c r="L55" s="964"/>
      <c r="M55" s="962">
        <f>SUM(M51:M53)</f>
        <v>12050</v>
      </c>
      <c r="N55" s="964"/>
      <c r="O55" s="962">
        <f>SUM(O51:O53)</f>
        <v>20105</v>
      </c>
      <c r="P55" s="964"/>
      <c r="Q55" s="962">
        <f>SUM(Q51:Q53)</f>
        <v>18790</v>
      </c>
      <c r="R55" s="964"/>
      <c r="S55" s="962">
        <f>SUM(S51:S53)</f>
        <v>0</v>
      </c>
    </row>
    <row r="56" spans="1:19" x14ac:dyDescent="0.35">
      <c r="A56" s="684"/>
      <c r="B56" s="655"/>
      <c r="C56" s="656"/>
      <c r="D56" s="656"/>
      <c r="E56" s="657"/>
      <c r="F56" s="660" t="s">
        <v>719</v>
      </c>
      <c r="G56" s="661"/>
      <c r="H56" s="965"/>
      <c r="I56" s="966" t="e">
        <f>I55/#REF!</f>
        <v>#REF!</v>
      </c>
      <c r="J56" s="965"/>
      <c r="K56" s="966" t="e">
        <f>K55/#REF!</f>
        <v>#REF!</v>
      </c>
      <c r="L56" s="965"/>
      <c r="M56" s="966" t="e">
        <f>M55/#REF!</f>
        <v>#REF!</v>
      </c>
      <c r="N56" s="965"/>
      <c r="O56" s="966" t="e">
        <f>O55/#REF!</f>
        <v>#REF!</v>
      </c>
      <c r="P56" s="965"/>
      <c r="Q56" s="966" t="e">
        <f>Q55/#REF!</f>
        <v>#REF!</v>
      </c>
      <c r="R56" s="965"/>
      <c r="S56" s="966" t="e">
        <f>S55/#REF!</f>
        <v>#REF!</v>
      </c>
    </row>
    <row r="57" spans="1:19" x14ac:dyDescent="0.35">
      <c r="A57" s="684"/>
      <c r="B57" s="655"/>
      <c r="C57" s="656"/>
      <c r="D57" s="656"/>
      <c r="E57" s="657"/>
      <c r="F57" s="660" t="s">
        <v>720</v>
      </c>
      <c r="G57" s="662"/>
      <c r="H57" s="965"/>
      <c r="I57" s="966" t="e">
        <f>I55/#REF!</f>
        <v>#REF!</v>
      </c>
      <c r="J57" s="965"/>
      <c r="K57" s="966" t="e">
        <f>K55/#REF!</f>
        <v>#REF!</v>
      </c>
      <c r="L57" s="965"/>
      <c r="M57" s="966" t="e">
        <f>M55/#REF!</f>
        <v>#REF!</v>
      </c>
      <c r="N57" s="965"/>
      <c r="O57" s="966" t="e">
        <f>O55/#REF!</f>
        <v>#REF!</v>
      </c>
      <c r="P57" s="965"/>
      <c r="Q57" s="966" t="e">
        <f>Q55/#REF!</f>
        <v>#REF!</v>
      </c>
      <c r="R57" s="965"/>
      <c r="S57" s="966" t="e">
        <f>S55/#REF!</f>
        <v>#REF!</v>
      </c>
    </row>
    <row r="58" spans="1:19" x14ac:dyDescent="0.35">
      <c r="A58" s="684"/>
      <c r="B58" s="655"/>
      <c r="C58" s="656"/>
      <c r="D58" s="656"/>
      <c r="E58" s="657"/>
      <c r="F58" s="658"/>
      <c r="G58" s="663"/>
      <c r="H58" s="1168"/>
      <c r="I58" s="1169"/>
      <c r="J58" s="1168"/>
      <c r="K58" s="1169"/>
      <c r="L58" s="967"/>
      <c r="M58" s="967"/>
      <c r="N58" s="967"/>
      <c r="O58" s="967"/>
      <c r="P58" s="967"/>
      <c r="Q58" s="967"/>
      <c r="R58" s="967"/>
      <c r="S58" s="967"/>
    </row>
    <row r="59" spans="1:19" x14ac:dyDescent="0.35">
      <c r="A59" s="3764" t="s">
        <v>721</v>
      </c>
      <c r="B59" s="3765"/>
      <c r="C59" s="12"/>
      <c r="D59" s="12"/>
      <c r="E59" s="12"/>
      <c r="F59" s="12"/>
      <c r="G59" s="13"/>
      <c r="H59" s="21"/>
      <c r="I59" s="21"/>
      <c r="J59" s="21"/>
      <c r="K59" s="21"/>
      <c r="L59" s="21"/>
      <c r="M59" s="21"/>
      <c r="N59" s="21"/>
      <c r="O59" s="21"/>
      <c r="P59" s="21"/>
      <c r="Q59" s="21"/>
      <c r="R59" s="21"/>
      <c r="S59" s="21"/>
    </row>
    <row r="60" spans="1:19" x14ac:dyDescent="0.35">
      <c r="A60" s="1170"/>
      <c r="B60" s="641"/>
      <c r="C60" s="1171"/>
      <c r="D60" s="1171"/>
      <c r="E60" s="1171"/>
      <c r="F60" s="1171"/>
      <c r="G60" s="1172"/>
      <c r="H60" s="1173"/>
      <c r="I60" s="1173"/>
      <c r="J60" s="1173"/>
      <c r="K60" s="1173"/>
      <c r="L60" s="1173"/>
      <c r="M60" s="1173"/>
      <c r="N60" s="1173"/>
      <c r="O60" s="1173"/>
      <c r="P60" s="1173"/>
      <c r="Q60" s="1173"/>
      <c r="R60" s="1173"/>
      <c r="S60" s="1173"/>
    </row>
    <row r="61" spans="1:19" x14ac:dyDescent="0.35">
      <c r="A61" s="1170"/>
      <c r="B61" s="641"/>
      <c r="C61" s="1171"/>
      <c r="D61" s="1171"/>
      <c r="E61" s="1171"/>
      <c r="F61" s="1171"/>
      <c r="G61" s="1172"/>
      <c r="H61" s="1173"/>
      <c r="I61" s="1173"/>
      <c r="J61" s="1173"/>
      <c r="K61" s="1173"/>
      <c r="L61" s="1173"/>
      <c r="M61" s="1173"/>
      <c r="N61" s="1173"/>
      <c r="O61" s="1173"/>
      <c r="P61" s="1173"/>
      <c r="Q61" s="1173"/>
      <c r="R61" s="1173"/>
      <c r="S61" s="1173"/>
    </row>
    <row r="62" spans="1:19" x14ac:dyDescent="0.35">
      <c r="A62" s="1170"/>
      <c r="B62" s="641"/>
      <c r="C62" s="1171"/>
      <c r="D62" s="1171"/>
      <c r="E62" s="1171"/>
      <c r="F62" s="1171"/>
      <c r="G62" s="1172"/>
      <c r="H62" s="1173"/>
      <c r="I62" s="1173"/>
      <c r="J62" s="1173"/>
      <c r="K62" s="1173"/>
      <c r="L62" s="1173"/>
      <c r="M62" s="1173"/>
      <c r="N62" s="1173"/>
      <c r="O62" s="1173"/>
      <c r="P62" s="1173"/>
      <c r="Q62" s="1173"/>
      <c r="R62" s="1173"/>
      <c r="S62" s="1173"/>
    </row>
    <row r="63" spans="1:19" s="2" customFormat="1" x14ac:dyDescent="0.35">
      <c r="A63" s="3764" t="s">
        <v>722</v>
      </c>
      <c r="B63" s="3765"/>
      <c r="C63" s="12"/>
      <c r="D63" s="12"/>
      <c r="E63" s="12"/>
      <c r="F63" s="12"/>
      <c r="G63" s="13"/>
      <c r="H63" s="21"/>
      <c r="I63" s="21"/>
      <c r="J63" s="21"/>
      <c r="K63" s="21"/>
      <c r="L63" s="21"/>
      <c r="M63" s="21"/>
      <c r="N63" s="21"/>
      <c r="O63" s="21"/>
      <c r="P63" s="21"/>
      <c r="Q63" s="21"/>
      <c r="R63" s="21"/>
      <c r="S63" s="21"/>
    </row>
    <row r="64" spans="1:19" s="2" customFormat="1" x14ac:dyDescent="0.35">
      <c r="A64" s="1170"/>
      <c r="B64" s="641"/>
      <c r="C64" s="1171"/>
      <c r="D64" s="1171"/>
      <c r="E64" s="1171"/>
      <c r="F64" s="1171"/>
      <c r="G64" s="1172"/>
      <c r="H64" s="1173"/>
      <c r="I64" s="1173"/>
      <c r="J64" s="1173"/>
      <c r="K64" s="1173"/>
      <c r="L64" s="1173"/>
      <c r="M64" s="1173"/>
      <c r="N64" s="1173"/>
      <c r="O64" s="1173"/>
      <c r="P64" s="1173"/>
      <c r="Q64" s="1173"/>
      <c r="R64" s="1173"/>
      <c r="S64" s="1173"/>
    </row>
    <row r="65" spans="1:19" s="2" customFormat="1" x14ac:dyDescent="0.35">
      <c r="A65" s="1170"/>
      <c r="B65" s="641"/>
      <c r="C65" s="1171"/>
      <c r="D65" s="1171"/>
      <c r="E65" s="1171"/>
      <c r="F65" s="1171"/>
      <c r="G65" s="1172"/>
      <c r="H65" s="1173"/>
      <c r="I65" s="1173"/>
      <c r="J65" s="1173"/>
      <c r="K65" s="1173"/>
      <c r="L65" s="1173"/>
      <c r="M65" s="1173"/>
      <c r="N65" s="1173"/>
      <c r="O65" s="1173"/>
      <c r="P65" s="1173"/>
      <c r="Q65" s="1173"/>
      <c r="R65" s="1173"/>
      <c r="S65" s="1173"/>
    </row>
    <row r="66" spans="1:19" x14ac:dyDescent="0.35">
      <c r="A66" s="1170"/>
      <c r="B66" s="641"/>
      <c r="C66" s="1171"/>
      <c r="D66" s="1171"/>
      <c r="E66" s="1171"/>
      <c r="F66" s="1171"/>
      <c r="G66" s="1172"/>
      <c r="H66" s="1173"/>
      <c r="I66" s="1173"/>
      <c r="J66" s="1173"/>
      <c r="K66" s="1173"/>
      <c r="L66" s="1173"/>
      <c r="M66" s="1173"/>
      <c r="N66" s="1173"/>
      <c r="O66" s="1173"/>
      <c r="P66" s="1173"/>
      <c r="Q66" s="1173"/>
      <c r="R66" s="1173"/>
      <c r="S66" s="1173"/>
    </row>
    <row r="67" spans="1:19" s="2" customFormat="1" x14ac:dyDescent="0.35">
      <c r="A67" s="3764" t="s">
        <v>723</v>
      </c>
      <c r="B67" s="3765"/>
      <c r="C67" s="12"/>
      <c r="D67" s="12"/>
      <c r="E67" s="12"/>
      <c r="F67" s="12"/>
      <c r="G67" s="13"/>
      <c r="H67" s="21"/>
      <c r="I67" s="21"/>
      <c r="J67" s="21"/>
      <c r="K67" s="21"/>
      <c r="L67" s="21"/>
      <c r="M67" s="21"/>
      <c r="N67" s="21"/>
      <c r="O67" s="21"/>
      <c r="P67" s="21"/>
      <c r="Q67" s="21"/>
      <c r="R67" s="21"/>
      <c r="S67" s="21"/>
    </row>
    <row r="68" spans="1:19" s="2" customFormat="1" x14ac:dyDescent="0.35">
      <c r="A68" s="1170"/>
      <c r="B68" s="641"/>
      <c r="C68" s="1171"/>
      <c r="D68" s="1171"/>
      <c r="E68" s="1171"/>
      <c r="F68" s="1171"/>
      <c r="G68" s="1172"/>
      <c r="H68" s="1173"/>
      <c r="I68" s="1173"/>
      <c r="J68" s="1173"/>
      <c r="K68" s="1173"/>
      <c r="L68" s="1173"/>
      <c r="M68" s="1173"/>
      <c r="N68" s="1173"/>
      <c r="O68" s="1173"/>
      <c r="P68" s="1173"/>
      <c r="Q68" s="1173"/>
      <c r="R68" s="1173"/>
      <c r="S68" s="1173"/>
    </row>
    <row r="69" spans="1:19" s="2" customFormat="1" x14ac:dyDescent="0.35">
      <c r="A69" s="689"/>
      <c r="B69" s="641"/>
      <c r="C69" s="642"/>
      <c r="D69" s="642"/>
      <c r="E69" s="642"/>
      <c r="F69" s="642"/>
      <c r="G69" s="646"/>
      <c r="H69" s="973"/>
      <c r="I69" s="973"/>
      <c r="J69" s="973"/>
      <c r="K69" s="973"/>
      <c r="L69" s="973"/>
      <c r="M69" s="973"/>
      <c r="N69" s="973"/>
      <c r="O69" s="973"/>
      <c r="P69" s="973"/>
      <c r="Q69" s="973"/>
      <c r="R69" s="973"/>
      <c r="S69" s="973"/>
    </row>
    <row r="70" spans="1:19" s="2" customFormat="1" x14ac:dyDescent="0.35">
      <c r="A70" s="686"/>
      <c r="B70" s="665"/>
      <c r="C70" s="642"/>
      <c r="D70" s="642"/>
      <c r="E70" s="642"/>
      <c r="F70" s="642"/>
      <c r="G70" s="646"/>
      <c r="H70" s="974"/>
      <c r="I70" s="974"/>
      <c r="J70" s="974"/>
      <c r="K70" s="974"/>
      <c r="L70" s="974"/>
      <c r="M70" s="974"/>
      <c r="N70" s="974"/>
      <c r="O70" s="974"/>
      <c r="P70" s="974"/>
      <c r="Q70" s="974"/>
      <c r="R70" s="974"/>
      <c r="S70" s="974"/>
    </row>
    <row r="71" spans="1:19" s="2" customFormat="1" x14ac:dyDescent="0.35">
      <c r="A71" s="3764" t="s">
        <v>724</v>
      </c>
      <c r="B71" s="3765"/>
      <c r="C71" s="12"/>
      <c r="D71" s="12"/>
      <c r="E71" s="12"/>
      <c r="F71" s="12"/>
      <c r="G71" s="13"/>
      <c r="H71" s="21"/>
      <c r="I71" s="21"/>
      <c r="J71" s="21"/>
      <c r="K71" s="21"/>
      <c r="L71" s="21"/>
      <c r="M71" s="21"/>
      <c r="N71" s="21"/>
      <c r="O71" s="21"/>
      <c r="P71" s="21"/>
      <c r="Q71" s="21"/>
      <c r="R71" s="21"/>
      <c r="S71" s="21"/>
    </row>
    <row r="72" spans="1:19" x14ac:dyDescent="0.35">
      <c r="A72" s="1174"/>
      <c r="B72" s="1175"/>
      <c r="C72" s="1171"/>
      <c r="D72" s="1171"/>
      <c r="E72" s="1171"/>
      <c r="F72" s="1171"/>
      <c r="G72" s="1172"/>
      <c r="H72" s="1173"/>
      <c r="I72" s="1173"/>
      <c r="J72" s="1173"/>
      <c r="K72" s="1173"/>
      <c r="L72" s="1173"/>
      <c r="M72" s="1173"/>
      <c r="N72" s="1173"/>
      <c r="O72" s="1173"/>
      <c r="P72" s="1173"/>
      <c r="Q72" s="1173"/>
      <c r="R72" s="1173"/>
      <c r="S72" s="1173"/>
    </row>
    <row r="73" spans="1:19" x14ac:dyDescent="0.35">
      <c r="A73" s="686"/>
      <c r="B73" s="665"/>
      <c r="C73" s="642"/>
      <c r="D73" s="642"/>
      <c r="E73" s="642"/>
      <c r="F73" s="642"/>
      <c r="G73" s="646"/>
      <c r="H73" s="977"/>
      <c r="I73" s="977"/>
      <c r="J73" s="977"/>
      <c r="K73" s="977"/>
      <c r="L73" s="977"/>
      <c r="M73" s="977"/>
      <c r="N73" s="977"/>
      <c r="O73" s="977"/>
      <c r="P73" s="977"/>
      <c r="Q73" s="977"/>
      <c r="R73" s="977"/>
      <c r="S73" s="977"/>
    </row>
    <row r="74" spans="1:19" x14ac:dyDescent="0.35">
      <c r="A74" s="686"/>
      <c r="B74" s="665"/>
      <c r="C74" s="642"/>
      <c r="D74" s="642"/>
      <c r="E74" s="642"/>
      <c r="F74" s="642"/>
      <c r="G74" s="646"/>
      <c r="H74" s="977"/>
      <c r="I74" s="977"/>
      <c r="J74" s="977"/>
      <c r="K74" s="977"/>
      <c r="L74" s="977"/>
      <c r="M74" s="977"/>
      <c r="N74" s="977"/>
      <c r="O74" s="977"/>
      <c r="P74" s="977"/>
      <c r="Q74" s="977"/>
      <c r="R74" s="977"/>
      <c r="S74" s="977"/>
    </row>
    <row r="75" spans="1:19" x14ac:dyDescent="0.35">
      <c r="A75" s="3764" t="s">
        <v>725</v>
      </c>
      <c r="B75" s="3765"/>
      <c r="C75" s="12"/>
      <c r="D75" s="12"/>
      <c r="E75" s="12"/>
      <c r="F75" s="12"/>
      <c r="G75" s="13"/>
      <c r="H75" s="21"/>
      <c r="I75" s="21"/>
      <c r="J75" s="21"/>
      <c r="K75" s="21"/>
      <c r="L75" s="21"/>
      <c r="M75" s="21"/>
      <c r="N75" s="21"/>
      <c r="O75" s="21"/>
      <c r="P75" s="21"/>
      <c r="Q75" s="21"/>
      <c r="R75" s="21"/>
      <c r="S75" s="21"/>
    </row>
    <row r="76" spans="1:19" x14ac:dyDescent="0.35">
      <c r="A76" s="689"/>
      <c r="B76" s="641" t="s">
        <v>726</v>
      </c>
      <c r="C76" s="642"/>
      <c r="D76" s="642"/>
      <c r="E76" s="642"/>
      <c r="F76" s="642"/>
      <c r="G76" s="646"/>
      <c r="H76" s="977"/>
      <c r="I76" s="977"/>
      <c r="J76" s="977"/>
      <c r="K76" s="977"/>
      <c r="L76" s="977"/>
      <c r="M76" s="977"/>
      <c r="N76" s="977"/>
      <c r="O76" s="977"/>
      <c r="P76" s="977"/>
      <c r="Q76" s="977"/>
      <c r="R76" s="977"/>
      <c r="S76" s="977"/>
    </row>
    <row r="77" spans="1:19" x14ac:dyDescent="0.35">
      <c r="A77" s="689"/>
      <c r="B77" s="641" t="s">
        <v>727</v>
      </c>
      <c r="C77" s="642"/>
      <c r="D77" s="642"/>
      <c r="E77" s="642"/>
      <c r="F77" s="642"/>
      <c r="G77" s="646"/>
      <c r="H77" s="977"/>
      <c r="I77" s="977"/>
      <c r="J77" s="977"/>
      <c r="K77" s="977"/>
      <c r="L77" s="977"/>
      <c r="M77" s="977"/>
      <c r="N77" s="977"/>
      <c r="O77" s="977"/>
      <c r="P77" s="977"/>
      <c r="Q77" s="977"/>
      <c r="R77" s="977"/>
      <c r="S77" s="977"/>
    </row>
    <row r="78" spans="1:19" x14ac:dyDescent="0.35">
      <c r="A78" s="689"/>
      <c r="B78" s="641" t="s">
        <v>728</v>
      </c>
      <c r="C78" s="642"/>
      <c r="D78" s="642"/>
      <c r="E78" s="642"/>
      <c r="F78" s="642"/>
      <c r="G78" s="646"/>
      <c r="H78" s="977"/>
      <c r="I78" s="977"/>
      <c r="J78" s="977"/>
      <c r="K78" s="977"/>
      <c r="L78" s="977"/>
      <c r="M78" s="977"/>
      <c r="N78" s="977"/>
      <c r="O78" s="977"/>
      <c r="P78" s="977"/>
      <c r="Q78" s="977"/>
      <c r="R78" s="977"/>
      <c r="S78" s="977"/>
    </row>
    <row r="79" spans="1:19" x14ac:dyDescent="0.35">
      <c r="A79" s="689"/>
      <c r="B79" s="641" t="s">
        <v>729</v>
      </c>
      <c r="C79" s="642"/>
      <c r="D79" s="642"/>
      <c r="E79" s="642"/>
      <c r="F79" s="642"/>
      <c r="G79" s="646"/>
      <c r="H79" s="977"/>
      <c r="I79" s="977"/>
      <c r="J79" s="977"/>
      <c r="K79" s="977"/>
      <c r="L79" s="977"/>
      <c r="M79" s="977"/>
      <c r="N79" s="977"/>
      <c r="O79" s="977"/>
      <c r="P79" s="977"/>
      <c r="Q79" s="977"/>
      <c r="R79" s="977"/>
      <c r="S79" s="977"/>
    </row>
    <row r="80" spans="1:19" x14ac:dyDescent="0.35">
      <c r="A80" s="978"/>
      <c r="B80" s="939"/>
      <c r="C80" s="940"/>
      <c r="D80" s="940"/>
      <c r="E80" s="940"/>
      <c r="F80" s="940"/>
      <c r="G80" s="1039"/>
      <c r="H80" s="981"/>
      <c r="I80" s="981"/>
      <c r="J80" s="981"/>
      <c r="K80" s="981"/>
      <c r="L80" s="981"/>
      <c r="M80" s="981"/>
      <c r="N80" s="981"/>
      <c r="O80" s="981"/>
      <c r="P80" s="981"/>
      <c r="Q80" s="981"/>
      <c r="R80" s="981"/>
      <c r="S80" s="981"/>
    </row>
    <row r="81" spans="1:19" x14ac:dyDescent="0.35">
      <c r="A81" s="7" t="s">
        <v>730</v>
      </c>
      <c r="B81" s="8"/>
      <c r="C81" s="12"/>
      <c r="D81" s="12"/>
      <c r="E81" s="12"/>
      <c r="F81" s="12"/>
      <c r="G81" s="13"/>
      <c r="H81" s="21"/>
      <c r="I81" s="21"/>
      <c r="J81" s="21"/>
      <c r="K81" s="21"/>
      <c r="L81" s="21"/>
      <c r="M81" s="21"/>
      <c r="N81" s="21"/>
      <c r="O81" s="21"/>
      <c r="P81" s="21"/>
      <c r="Q81" s="21"/>
      <c r="R81" s="21"/>
      <c r="S81" s="21"/>
    </row>
    <row r="82" spans="1:19" x14ac:dyDescent="0.35">
      <c r="A82" s="1170"/>
      <c r="B82" s="1176" t="s">
        <v>731</v>
      </c>
      <c r="C82" s="1171"/>
      <c r="D82" s="1171"/>
      <c r="E82" s="1171"/>
      <c r="F82" s="1171"/>
      <c r="G82" s="1172"/>
      <c r="H82" s="1177"/>
      <c r="I82" s="1177"/>
      <c r="J82" s="1177"/>
      <c r="K82" s="1177"/>
      <c r="L82" s="1177"/>
      <c r="M82" s="1177"/>
      <c r="N82" s="1177"/>
      <c r="O82" s="1177"/>
      <c r="P82" s="1177"/>
      <c r="Q82" s="1177"/>
      <c r="R82" s="1177"/>
      <c r="S82" s="1177"/>
    </row>
    <row r="83" spans="1:19" x14ac:dyDescent="0.35">
      <c r="A83" s="689"/>
      <c r="B83" s="641" t="s">
        <v>732</v>
      </c>
      <c r="C83" s="642"/>
      <c r="D83" s="642"/>
      <c r="E83" s="642"/>
      <c r="F83" s="642"/>
      <c r="G83" s="646"/>
      <c r="H83" s="984"/>
      <c r="I83" s="984"/>
      <c r="J83" s="984"/>
      <c r="K83" s="984"/>
      <c r="L83" s="984"/>
      <c r="M83" s="984"/>
      <c r="N83" s="984"/>
      <c r="O83" s="984"/>
      <c r="P83" s="984"/>
      <c r="Q83" s="984"/>
      <c r="R83" s="984"/>
      <c r="S83" s="984"/>
    </row>
    <row r="84" spans="1:19" x14ac:dyDescent="0.35">
      <c r="A84" s="985"/>
      <c r="B84" s="986" t="s">
        <v>733</v>
      </c>
      <c r="C84" s="987"/>
      <c r="D84" s="987"/>
      <c r="E84" s="987"/>
      <c r="F84" s="987"/>
      <c r="G84" s="1040"/>
      <c r="H84" s="990"/>
      <c r="I84" s="990"/>
      <c r="J84" s="990"/>
      <c r="K84" s="990"/>
      <c r="L84" s="990"/>
      <c r="M84" s="990"/>
      <c r="N84" s="990"/>
      <c r="O84" s="990"/>
      <c r="P84" s="990"/>
      <c r="Q84" s="990"/>
      <c r="R84" s="990"/>
      <c r="S84" s="990"/>
    </row>
    <row r="86" spans="1:19" x14ac:dyDescent="0.35">
      <c r="A86" s="78" t="s">
        <v>734</v>
      </c>
      <c r="B86" s="80"/>
    </row>
    <row r="87" spans="1:19" x14ac:dyDescent="0.35">
      <c r="A87" s="79" t="s">
        <v>632</v>
      </c>
      <c r="B87" s="991" t="str">
        <f>H4</f>
        <v>HB</v>
      </c>
    </row>
    <row r="88" spans="1:19" x14ac:dyDescent="0.35">
      <c r="A88" s="687" t="s">
        <v>636</v>
      </c>
      <c r="B88" s="991">
        <f>H5</f>
        <v>0</v>
      </c>
    </row>
    <row r="89" spans="1:19" x14ac:dyDescent="0.35">
      <c r="A89" s="992" t="s">
        <v>639</v>
      </c>
      <c r="B89" s="993">
        <f>H6</f>
        <v>0</v>
      </c>
    </row>
    <row r="90" spans="1:19" x14ac:dyDescent="0.35">
      <c r="A90" s="992" t="s">
        <v>642</v>
      </c>
      <c r="B90" s="994">
        <f>H7</f>
        <v>0</v>
      </c>
    </row>
    <row r="91" spans="1:19" x14ac:dyDescent="0.35">
      <c r="A91" s="995" t="s">
        <v>735</v>
      </c>
      <c r="B91" s="996">
        <f>H8</f>
        <v>46000</v>
      </c>
    </row>
    <row r="93" spans="1:19" x14ac:dyDescent="0.35">
      <c r="A93" s="81"/>
      <c r="B93" s="1" t="s">
        <v>736</v>
      </c>
    </row>
    <row r="94" spans="1:19" x14ac:dyDescent="0.35">
      <c r="A94" s="82"/>
      <c r="B94" s="1" t="s">
        <v>737</v>
      </c>
    </row>
  </sheetData>
  <mergeCells count="47">
    <mergeCell ref="A59:B59"/>
    <mergeCell ref="A63:B63"/>
    <mergeCell ref="A67:B67"/>
    <mergeCell ref="A71:B71"/>
    <mergeCell ref="A75:B7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585" priority="23" operator="equal">
      <formula>"X"</formula>
    </cfRule>
    <cfRule type="cellIs" dxfId="2584" priority="24" operator="equal">
      <formula>"I"</formula>
    </cfRule>
  </conditionalFormatting>
  <conditionalFormatting sqref="H32:H50">
    <cfRule type="cellIs" dxfId="2583" priority="11" operator="equal">
      <formula>"X"</formula>
    </cfRule>
    <cfRule type="cellIs" dxfId="2582" priority="12" operator="equal">
      <formula>"I"</formula>
    </cfRule>
  </conditionalFormatting>
  <conditionalFormatting sqref="J20:J30">
    <cfRule type="cellIs" dxfId="2581" priority="9" operator="equal">
      <formula>"X"</formula>
    </cfRule>
    <cfRule type="cellIs" dxfId="2580" priority="10" operator="equal">
      <formula>"I"</formula>
    </cfRule>
  </conditionalFormatting>
  <conditionalFormatting sqref="J32:J50">
    <cfRule type="cellIs" dxfId="2579" priority="7" operator="equal">
      <formula>"X"</formula>
    </cfRule>
    <cfRule type="cellIs" dxfId="2578" priority="8" operator="equal">
      <formula>"I"</formula>
    </cfRule>
  </conditionalFormatting>
  <conditionalFormatting sqref="L20:L30">
    <cfRule type="cellIs" dxfId="2577" priority="27" operator="equal">
      <formula>"X"</formula>
    </cfRule>
    <cfRule type="cellIs" dxfId="2576" priority="28" operator="equal">
      <formula>"I"</formula>
    </cfRule>
  </conditionalFormatting>
  <conditionalFormatting sqref="L32:L50">
    <cfRule type="cellIs" dxfId="2575" priority="5" operator="equal">
      <formula>"X"</formula>
    </cfRule>
    <cfRule type="cellIs" dxfId="2574" priority="6" operator="equal">
      <formula>"I"</formula>
    </cfRule>
  </conditionalFormatting>
  <conditionalFormatting sqref="N20:N30">
    <cfRule type="cellIs" dxfId="2573" priority="29" operator="equal">
      <formula>"X"</formula>
    </cfRule>
    <cfRule type="cellIs" dxfId="2572" priority="30" operator="equal">
      <formula>"I"</formula>
    </cfRule>
  </conditionalFormatting>
  <conditionalFormatting sqref="N32:N50">
    <cfRule type="cellIs" dxfId="2571" priority="3" operator="equal">
      <formula>"X"</formula>
    </cfRule>
    <cfRule type="cellIs" dxfId="2570" priority="4" operator="equal">
      <formula>"I"</formula>
    </cfRule>
  </conditionalFormatting>
  <conditionalFormatting sqref="P20:P30">
    <cfRule type="cellIs" dxfId="2569" priority="31" operator="equal">
      <formula>"X"</formula>
    </cfRule>
    <cfRule type="cellIs" dxfId="2568" priority="32" operator="equal">
      <formula>"I"</formula>
    </cfRule>
  </conditionalFormatting>
  <conditionalFormatting sqref="P32:P50">
    <cfRule type="cellIs" dxfId="2567" priority="1" operator="equal">
      <formula>"X"</formula>
    </cfRule>
    <cfRule type="cellIs" dxfId="2566" priority="2" operator="equal">
      <formula>"I"</formula>
    </cfRule>
  </conditionalFormatting>
  <conditionalFormatting sqref="R20:R30">
    <cfRule type="cellIs" dxfId="2565" priority="33" operator="equal">
      <formula>"X"</formula>
    </cfRule>
    <cfRule type="cellIs" dxfId="2564" priority="34" operator="equal">
      <formula>"I"</formula>
    </cfRule>
  </conditionalFormatting>
  <conditionalFormatting sqref="R32:R50">
    <cfRule type="cellIs" dxfId="2563" priority="21" operator="equal">
      <formula>"X"</formula>
    </cfRule>
    <cfRule type="cellIs" dxfId="2562" priority="22" operator="equal">
      <formula>"I"</formula>
    </cfRule>
  </conditionalFormatting>
  <hyperlinks>
    <hyperlink ref="B3" location="'Cost Summary'!A1" display="BACK TO SUMMARY SHEET" xr:uid="{A6506E05-1622-4266-AC0A-2371EC1C9A53}"/>
    <hyperlink ref="L7:M7" r:id="rId1" display="chris.jones@grecorailings.com" xr:uid="{499B487D-C841-4A92-A69D-9CFE246EC67F}"/>
    <hyperlink ref="N7:O7" r:id="rId2" display="lmontes@coastalmetal.biz" xr:uid="{01CF10E1-AABD-4775-BAAA-F1B972F251AF}"/>
  </hyperlinks>
  <pageMargins left="0.7" right="0.7" top="0.75" bottom="0.75" header="0.3" footer="0.3"/>
  <pageSetup orientation="portrait"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6F7E-181C-4908-866B-522CDC50D036}">
  <sheetPr>
    <tabColor rgb="FFFFC000"/>
  </sheetPr>
  <dimension ref="A1:X100"/>
  <sheetViews>
    <sheetView zoomScale="85" zoomScaleNormal="85" workbookViewId="0">
      <pane xSplit="2" ySplit="9" topLeftCell="M20" activePane="bottomRight" state="frozen"/>
      <selection pane="topRight" activeCell="C1" sqref="C1"/>
      <selection pane="bottomLeft" activeCell="A11" sqref="A11"/>
      <selection pane="bottomRight" activeCell="M9" sqref="M9"/>
    </sheetView>
  </sheetViews>
  <sheetFormatPr defaultRowHeight="14.5" x14ac:dyDescent="0.35"/>
  <cols>
    <col min="1" max="1" width="11" customWidth="1"/>
    <col min="2" max="2" width="70.7265625" style="1" customWidth="1"/>
    <col min="3" max="3" width="10.81640625" style="2" bestFit="1" customWidth="1"/>
    <col min="4" max="4" width="12.26953125" style="2" customWidth="1"/>
    <col min="5" max="5" width="7.54296875" style="2" customWidth="1"/>
    <col min="6" max="6" width="10.54296875" style="2" customWidth="1"/>
    <col min="7" max="7" width="12.26953125" style="2" customWidth="1"/>
    <col min="8" max="8" width="7.453125" style="2" bestFit="1" customWidth="1"/>
    <col min="9" max="9" width="16.81640625" style="2" customWidth="1"/>
    <col min="10" max="10" width="8.54296875" style="2" customWidth="1"/>
    <col min="11" max="11" width="18.7265625" style="2" customWidth="1"/>
  </cols>
  <sheetData>
    <row r="1" spans="1:13" x14ac:dyDescent="0.35">
      <c r="E1" s="152"/>
      <c r="F1" s="125"/>
      <c r="G1" s="123" t="s">
        <v>621</v>
      </c>
    </row>
    <row r="2" spans="1:13" x14ac:dyDescent="0.35">
      <c r="E2" s="152"/>
      <c r="F2" s="122" t="s">
        <v>622</v>
      </c>
      <c r="G2" s="123" t="s">
        <v>451</v>
      </c>
      <c r="H2" s="3789"/>
      <c r="I2" s="3789"/>
      <c r="J2" s="3751"/>
      <c r="K2" s="3751"/>
    </row>
    <row r="3" spans="1:13" ht="19.5" x14ac:dyDescent="0.35">
      <c r="B3" s="137" t="s">
        <v>623</v>
      </c>
      <c r="E3" s="152"/>
      <c r="F3" s="124" t="s">
        <v>624</v>
      </c>
      <c r="G3" s="123" t="s">
        <v>557</v>
      </c>
      <c r="H3" s="3754" t="s">
        <v>1146</v>
      </c>
      <c r="I3" s="3755"/>
      <c r="J3" s="3754" t="s">
        <v>1147</v>
      </c>
      <c r="K3" s="3755"/>
    </row>
    <row r="4" spans="1:13" x14ac:dyDescent="0.35">
      <c r="A4" s="3" t="s">
        <v>631</v>
      </c>
      <c r="B4" s="4" t="str">
        <f>'AREA CALC''s'!B4</f>
        <v>Alton Hilltop Gardens</v>
      </c>
      <c r="C4" s="5"/>
      <c r="D4" s="5"/>
      <c r="E4" s="5"/>
      <c r="F4" s="5"/>
      <c r="G4" s="6" t="s">
        <v>632</v>
      </c>
      <c r="H4" s="3752" t="s">
        <v>1148</v>
      </c>
      <c r="I4" s="3753"/>
      <c r="J4" s="3752"/>
      <c r="K4" s="3753"/>
    </row>
    <row r="5" spans="1:13" x14ac:dyDescent="0.35">
      <c r="A5" s="688" t="s">
        <v>634</v>
      </c>
      <c r="B5" s="641" t="s">
        <v>478</v>
      </c>
      <c r="C5" s="642"/>
      <c r="D5" s="642"/>
      <c r="E5" s="642"/>
      <c r="F5" s="642"/>
      <c r="G5" s="643" t="s">
        <v>636</v>
      </c>
      <c r="H5" s="3800"/>
      <c r="I5" s="3801"/>
      <c r="J5" s="3800"/>
      <c r="K5" s="3801"/>
    </row>
    <row r="6" spans="1:13" x14ac:dyDescent="0.35">
      <c r="A6" s="688" t="s">
        <v>638</v>
      </c>
      <c r="B6" s="644" t="s">
        <v>477</v>
      </c>
      <c r="C6" s="642"/>
      <c r="D6" s="642"/>
      <c r="E6" s="642"/>
      <c r="F6" s="642"/>
      <c r="G6" s="643" t="s">
        <v>639</v>
      </c>
      <c r="H6" s="3756"/>
      <c r="I6" s="3757"/>
      <c r="J6" s="3756"/>
      <c r="K6" s="3757"/>
    </row>
    <row r="7" spans="1:13" x14ac:dyDescent="0.35">
      <c r="A7" s="688" t="s">
        <v>641</v>
      </c>
      <c r="B7" s="645"/>
      <c r="C7" s="642"/>
      <c r="D7" s="642"/>
      <c r="E7" s="642"/>
      <c r="F7" s="642"/>
      <c r="G7" s="643" t="s">
        <v>642</v>
      </c>
      <c r="H7" s="3790"/>
      <c r="I7" s="3792"/>
      <c r="J7" s="3790"/>
      <c r="K7" s="3792"/>
    </row>
    <row r="8" spans="1:13" x14ac:dyDescent="0.35">
      <c r="A8" s="938" t="s">
        <v>644</v>
      </c>
      <c r="B8" s="939"/>
      <c r="C8" s="940"/>
      <c r="D8" s="940"/>
      <c r="E8" s="940"/>
      <c r="F8" s="940"/>
      <c r="G8" s="1024" t="s">
        <v>644</v>
      </c>
      <c r="H8" s="3760">
        <f>I61</f>
        <v>197000</v>
      </c>
      <c r="I8" s="3761"/>
      <c r="J8" s="3760">
        <f>K61</f>
        <v>74050</v>
      </c>
      <c r="K8" s="3761"/>
      <c r="L8">
        <v>110000</v>
      </c>
      <c r="M8" t="s">
        <v>1149</v>
      </c>
    </row>
    <row r="9" spans="1:13" ht="29" x14ac:dyDescent="0.35">
      <c r="A9" s="7" t="s">
        <v>645</v>
      </c>
      <c r="B9" s="8"/>
      <c r="C9" s="9" t="s">
        <v>646</v>
      </c>
      <c r="D9" s="9" t="s">
        <v>647</v>
      </c>
      <c r="E9" s="9" t="s">
        <v>648</v>
      </c>
      <c r="F9" s="9" t="s">
        <v>649</v>
      </c>
      <c r="G9" s="10" t="s">
        <v>650</v>
      </c>
      <c r="H9" s="11" t="s">
        <v>651</v>
      </c>
      <c r="I9" s="11" t="s">
        <v>652</v>
      </c>
      <c r="J9" s="11" t="s">
        <v>651</v>
      </c>
      <c r="K9" s="11" t="s">
        <v>652</v>
      </c>
    </row>
    <row r="10" spans="1:13" hidden="1" x14ac:dyDescent="0.35">
      <c r="A10" s="689"/>
      <c r="B10" s="1178" t="s">
        <v>653</v>
      </c>
      <c r="C10" s="642"/>
      <c r="D10" s="642"/>
      <c r="E10" s="642"/>
      <c r="F10" s="642"/>
      <c r="G10" s="646"/>
      <c r="H10" s="942"/>
      <c r="I10" s="942"/>
      <c r="J10" s="942"/>
      <c r="K10" s="942"/>
    </row>
    <row r="11" spans="1:13" hidden="1" x14ac:dyDescent="0.35">
      <c r="A11" s="689"/>
      <c r="B11" s="641" t="e">
        <f>#REF!</f>
        <v>#REF!</v>
      </c>
      <c r="C11" s="647" t="s">
        <v>654</v>
      </c>
      <c r="D11" s="642"/>
      <c r="E11" s="642"/>
      <c r="F11" s="642"/>
      <c r="G11" s="646"/>
      <c r="H11" s="942"/>
      <c r="I11" s="942"/>
      <c r="J11" s="942"/>
      <c r="K11" s="942"/>
    </row>
    <row r="12" spans="1:13" hidden="1" x14ac:dyDescent="0.35">
      <c r="A12" s="689"/>
      <c r="B12" s="641" t="e">
        <f>#REF!</f>
        <v>#REF!</v>
      </c>
      <c r="C12" s="647" t="s">
        <v>654</v>
      </c>
      <c r="D12" s="642"/>
      <c r="E12" s="642"/>
      <c r="F12" s="642"/>
      <c r="G12" s="646"/>
      <c r="H12" s="942"/>
      <c r="I12" s="942"/>
      <c r="J12" s="942"/>
      <c r="K12" s="942"/>
    </row>
    <row r="13" spans="1:13" hidden="1" x14ac:dyDescent="0.35">
      <c r="A13" s="689"/>
      <c r="B13" s="641" t="e">
        <f>#REF!</f>
        <v>#REF!</v>
      </c>
      <c r="C13" s="647" t="s">
        <v>654</v>
      </c>
      <c r="D13" s="642"/>
      <c r="E13" s="642"/>
      <c r="F13" s="642"/>
      <c r="G13" s="646"/>
      <c r="H13" s="942"/>
      <c r="I13" s="942"/>
      <c r="J13" s="942"/>
      <c r="K13" s="942"/>
    </row>
    <row r="14" spans="1:13" hidden="1" x14ac:dyDescent="0.35">
      <c r="A14" s="689"/>
      <c r="B14" s="641" t="e">
        <f>#REF!</f>
        <v>#REF!</v>
      </c>
      <c r="C14" s="647" t="s">
        <v>654</v>
      </c>
      <c r="D14" s="642"/>
      <c r="E14" s="642"/>
      <c r="F14" s="642"/>
      <c r="G14" s="646"/>
      <c r="H14" s="942"/>
      <c r="I14" s="942"/>
      <c r="J14" s="942"/>
      <c r="K14" s="942"/>
    </row>
    <row r="15" spans="1:13" hidden="1" x14ac:dyDescent="0.35">
      <c r="A15" s="689"/>
      <c r="B15" s="641" t="e">
        <f>#REF!</f>
        <v>#REF!</v>
      </c>
      <c r="C15" s="647" t="s">
        <v>654</v>
      </c>
      <c r="D15" s="642"/>
      <c r="E15" s="642"/>
      <c r="F15" s="642"/>
      <c r="G15" s="646"/>
      <c r="H15" s="942"/>
      <c r="I15" s="942"/>
      <c r="J15" s="942"/>
      <c r="K15" s="942"/>
    </row>
    <row r="16" spans="1:13" hidden="1" x14ac:dyDescent="0.35">
      <c r="A16" s="689"/>
      <c r="B16" s="641" t="e">
        <f>#REF!</f>
        <v>#REF!</v>
      </c>
      <c r="C16" s="647" t="s">
        <v>654</v>
      </c>
      <c r="D16" s="642"/>
      <c r="E16" s="642"/>
      <c r="F16" s="642"/>
      <c r="G16" s="646"/>
      <c r="H16" s="942"/>
      <c r="I16" s="942"/>
      <c r="J16" s="942"/>
      <c r="K16" s="942"/>
    </row>
    <row r="17" spans="1:11" hidden="1" x14ac:dyDescent="0.35">
      <c r="A17" s="689"/>
      <c r="B17" s="641" t="e">
        <f>#REF!</f>
        <v>#REF!</v>
      </c>
      <c r="C17" s="647" t="s">
        <v>654</v>
      </c>
      <c r="D17" s="642"/>
      <c r="E17" s="642"/>
      <c r="F17" s="642"/>
      <c r="G17" s="646"/>
      <c r="H17" s="942"/>
      <c r="I17" s="942"/>
      <c r="J17" s="942"/>
      <c r="K17" s="942"/>
    </row>
    <row r="18" spans="1:11" hidden="1" x14ac:dyDescent="0.35">
      <c r="A18" s="689"/>
      <c r="B18" s="641" t="e">
        <f>#REF!</f>
        <v>#REF!</v>
      </c>
      <c r="C18" s="647" t="s">
        <v>654</v>
      </c>
      <c r="D18" s="642"/>
      <c r="E18" s="642"/>
      <c r="F18" s="642"/>
      <c r="G18" s="646"/>
      <c r="H18" s="942"/>
      <c r="I18" s="942"/>
      <c r="J18" s="942"/>
      <c r="K18" s="942"/>
    </row>
    <row r="19" spans="1:11" hidden="1" x14ac:dyDescent="0.35">
      <c r="A19" s="689"/>
      <c r="B19" s="641" t="e">
        <f>#REF!</f>
        <v>#REF!</v>
      </c>
      <c r="C19" s="647" t="s">
        <v>654</v>
      </c>
      <c r="D19" s="642"/>
      <c r="E19" s="642"/>
      <c r="F19" s="642"/>
      <c r="G19" s="646"/>
      <c r="H19" s="942"/>
      <c r="I19" s="942"/>
      <c r="J19" s="942"/>
      <c r="K19" s="942"/>
    </row>
    <row r="20" spans="1:11" x14ac:dyDescent="0.35">
      <c r="A20" s="689"/>
      <c r="B20" s="641"/>
      <c r="C20" s="647"/>
      <c r="D20" s="642"/>
      <c r="E20" s="642"/>
      <c r="F20" s="642"/>
      <c r="G20" s="646"/>
      <c r="H20" s="943"/>
      <c r="I20" s="942"/>
      <c r="J20" s="943"/>
      <c r="K20" s="942"/>
    </row>
    <row r="21" spans="1:11" x14ac:dyDescent="0.35">
      <c r="A21" s="689"/>
      <c r="B21" s="648" t="s">
        <v>478</v>
      </c>
      <c r="C21" s="647"/>
      <c r="D21" s="642"/>
      <c r="E21" s="642"/>
      <c r="F21" s="642"/>
      <c r="G21" s="646"/>
      <c r="H21" s="943"/>
      <c r="I21" s="942"/>
      <c r="J21" s="943"/>
      <c r="K21" s="942"/>
    </row>
    <row r="22" spans="1:11" x14ac:dyDescent="0.35">
      <c r="A22" s="1179"/>
      <c r="B22" s="604" t="s">
        <v>657</v>
      </c>
      <c r="C22" s="647"/>
      <c r="D22" s="642"/>
      <c r="E22" s="642"/>
      <c r="F22" s="642"/>
      <c r="G22" s="646"/>
      <c r="H22" s="943"/>
      <c r="I22" s="1180"/>
      <c r="J22" s="943"/>
      <c r="K22" s="1180"/>
    </row>
    <row r="23" spans="1:11" x14ac:dyDescent="0.35">
      <c r="A23" s="1179"/>
      <c r="B23" s="607" t="s">
        <v>658</v>
      </c>
      <c r="C23" s="647"/>
      <c r="D23" s="642"/>
      <c r="E23" s="642"/>
      <c r="F23" s="642"/>
      <c r="G23" s="646"/>
      <c r="H23" s="943"/>
      <c r="I23" s="1180"/>
      <c r="J23" s="943"/>
      <c r="K23" s="1180"/>
    </row>
    <row r="24" spans="1:11" x14ac:dyDescent="0.35">
      <c r="A24" s="683"/>
      <c r="B24" s="1253" t="s">
        <v>659</v>
      </c>
      <c r="C24" s="642"/>
      <c r="D24" s="642"/>
      <c r="E24" s="642"/>
      <c r="F24" s="642"/>
      <c r="G24" s="646"/>
      <c r="H24" s="943"/>
      <c r="I24" s="1158"/>
      <c r="J24" s="943"/>
      <c r="K24" s="1180"/>
    </row>
    <row r="25" spans="1:11" x14ac:dyDescent="0.35">
      <c r="A25" s="1179"/>
      <c r="B25" s="1254" t="s">
        <v>660</v>
      </c>
      <c r="C25" s="642"/>
      <c r="D25" s="642"/>
      <c r="E25" s="642"/>
      <c r="F25" s="642"/>
      <c r="G25" s="646"/>
      <c r="H25" s="943"/>
      <c r="I25" s="1158"/>
      <c r="J25" s="943"/>
      <c r="K25" s="1180"/>
    </row>
    <row r="26" spans="1:11" x14ac:dyDescent="0.35">
      <c r="A26" s="683"/>
      <c r="B26" s="1254" t="s">
        <v>661</v>
      </c>
      <c r="C26" s="642"/>
      <c r="D26" s="642"/>
      <c r="E26" s="642"/>
      <c r="F26" s="642"/>
      <c r="G26" s="646"/>
      <c r="H26" s="943"/>
      <c r="I26" s="1158"/>
      <c r="J26" s="943"/>
      <c r="K26" s="1180"/>
    </row>
    <row r="27" spans="1:11" x14ac:dyDescent="0.35">
      <c r="A27" s="1179"/>
      <c r="B27" s="1254" t="s">
        <v>662</v>
      </c>
      <c r="C27" s="642"/>
      <c r="D27" s="642"/>
      <c r="E27" s="642"/>
      <c r="F27" s="642"/>
      <c r="G27" s="646"/>
      <c r="H27" s="943"/>
      <c r="I27" s="1158"/>
      <c r="J27" s="943"/>
      <c r="K27" s="1180"/>
    </row>
    <row r="28" spans="1:11" x14ac:dyDescent="0.35">
      <c r="A28" s="1179"/>
      <c r="B28" s="1254" t="s">
        <v>663</v>
      </c>
      <c r="C28" s="642"/>
      <c r="D28" s="642"/>
      <c r="E28" s="642"/>
      <c r="F28" s="642"/>
      <c r="G28" s="646"/>
      <c r="H28" s="943"/>
      <c r="I28" s="1158"/>
      <c r="J28" s="943"/>
      <c r="K28" s="1180"/>
    </row>
    <row r="29" spans="1:11" x14ac:dyDescent="0.35">
      <c r="A29" s="1179"/>
      <c r="B29" s="1254" t="s">
        <v>742</v>
      </c>
      <c r="C29" s="642"/>
      <c r="D29" s="642"/>
      <c r="E29" s="642"/>
      <c r="F29" s="642"/>
      <c r="G29" s="646"/>
      <c r="H29" s="943"/>
      <c r="I29" s="1158"/>
      <c r="J29" s="943"/>
      <c r="K29" s="1180"/>
    </row>
    <row r="30" spans="1:11" x14ac:dyDescent="0.35">
      <c r="A30" s="1179"/>
      <c r="B30" s="1255" t="s">
        <v>664</v>
      </c>
      <c r="C30" s="642"/>
      <c r="D30" s="642"/>
      <c r="E30" s="642"/>
      <c r="F30" s="642"/>
      <c r="G30" s="646"/>
      <c r="H30" s="943"/>
      <c r="I30" s="1158"/>
      <c r="J30" s="943"/>
      <c r="K30" s="1180"/>
    </row>
    <row r="31" spans="1:11" x14ac:dyDescent="0.35">
      <c r="A31" s="1179"/>
      <c r="B31" s="1262" t="s">
        <v>665</v>
      </c>
      <c r="C31" s="650"/>
      <c r="D31" s="650"/>
      <c r="E31" s="650"/>
      <c r="F31" s="650"/>
      <c r="G31" s="651"/>
      <c r="H31" s="636"/>
      <c r="I31" s="1162"/>
      <c r="J31" s="636"/>
      <c r="K31" s="1163"/>
    </row>
    <row r="32" spans="1:11" x14ac:dyDescent="0.35">
      <c r="A32" s="1179"/>
      <c r="B32" s="1257" t="s">
        <v>874</v>
      </c>
      <c r="C32" s="642"/>
      <c r="D32" s="642"/>
      <c r="E32" s="642"/>
      <c r="F32" s="642"/>
      <c r="G32" s="646"/>
      <c r="H32" s="943"/>
      <c r="I32" s="1158"/>
      <c r="J32" s="943"/>
      <c r="K32" s="1180"/>
    </row>
    <row r="33" spans="1:11" x14ac:dyDescent="0.35">
      <c r="A33" s="1179"/>
      <c r="B33" s="1263"/>
      <c r="C33" s="642"/>
      <c r="D33" s="642"/>
      <c r="E33" s="642"/>
      <c r="F33" s="642"/>
      <c r="G33" s="646"/>
      <c r="H33" s="943"/>
      <c r="I33" s="1158"/>
      <c r="J33" s="943"/>
      <c r="K33" s="1180"/>
    </row>
    <row r="34" spans="1:11" ht="30" customHeight="1" x14ac:dyDescent="0.35">
      <c r="A34" s="1179"/>
      <c r="B34" s="1257" t="s">
        <v>80</v>
      </c>
      <c r="C34" s="682"/>
      <c r="D34" s="682"/>
      <c r="E34" s="642"/>
      <c r="F34" s="1012"/>
      <c r="G34" s="690"/>
      <c r="H34" s="943" t="s">
        <v>669</v>
      </c>
      <c r="I34" s="1158"/>
      <c r="J34" s="943" t="s">
        <v>669</v>
      </c>
      <c r="K34" s="1180"/>
    </row>
    <row r="35" spans="1:11" x14ac:dyDescent="0.35">
      <c r="A35" s="1179"/>
      <c r="B35" s="1260" t="s">
        <v>1150</v>
      </c>
      <c r="C35" s="682"/>
      <c r="D35" s="682">
        <v>111</v>
      </c>
      <c r="E35" s="642" t="s">
        <v>666</v>
      </c>
      <c r="F35" s="1012">
        <v>400</v>
      </c>
      <c r="G35" s="690">
        <f>F35*D35</f>
        <v>44400</v>
      </c>
      <c r="H35" s="943" t="s">
        <v>669</v>
      </c>
      <c r="I35" s="1261">
        <f>G35</f>
        <v>44400</v>
      </c>
      <c r="J35" s="943" t="s">
        <v>669</v>
      </c>
      <c r="K35" s="1261">
        <f>D35*70*2</f>
        <v>15540</v>
      </c>
    </row>
    <row r="36" spans="1:11" x14ac:dyDescent="0.35">
      <c r="A36" s="1179"/>
      <c r="B36" s="1260" t="s">
        <v>1151</v>
      </c>
      <c r="C36" s="682"/>
      <c r="D36" s="682">
        <v>5</v>
      </c>
      <c r="E36" s="642" t="s">
        <v>666</v>
      </c>
      <c r="F36" s="1012">
        <v>1000</v>
      </c>
      <c r="G36" s="690">
        <f>F36*D36</f>
        <v>5000</v>
      </c>
      <c r="H36" s="943" t="s">
        <v>669</v>
      </c>
      <c r="I36" s="1261">
        <f>G36</f>
        <v>5000</v>
      </c>
      <c r="J36" s="943" t="s">
        <v>669</v>
      </c>
      <c r="K36" s="1261">
        <f>D36*460*2</f>
        <v>4600</v>
      </c>
    </row>
    <row r="37" spans="1:11" x14ac:dyDescent="0.35">
      <c r="A37" s="1179"/>
      <c r="B37" s="1260" t="s">
        <v>1152</v>
      </c>
      <c r="C37" s="682"/>
      <c r="D37" s="682"/>
      <c r="E37" s="642"/>
      <c r="F37" s="1012"/>
      <c r="G37" s="690"/>
      <c r="H37" s="943" t="s">
        <v>669</v>
      </c>
      <c r="I37" s="1261"/>
      <c r="J37" s="943" t="s">
        <v>669</v>
      </c>
      <c r="K37" s="1261"/>
    </row>
    <row r="38" spans="1:11" x14ac:dyDescent="0.35">
      <c r="A38" s="1179"/>
      <c r="B38" s="1257" t="s">
        <v>796</v>
      </c>
      <c r="C38" s="682"/>
      <c r="D38" s="682"/>
      <c r="E38" s="642"/>
      <c r="F38" s="1012"/>
      <c r="G38" s="690"/>
      <c r="H38" s="943" t="s">
        <v>669</v>
      </c>
      <c r="I38" s="1261"/>
      <c r="J38" s="943" t="s">
        <v>669</v>
      </c>
      <c r="K38" s="1261"/>
    </row>
    <row r="39" spans="1:11" x14ac:dyDescent="0.35">
      <c r="A39" s="1179"/>
      <c r="B39" s="1260" t="s">
        <v>1153</v>
      </c>
      <c r="C39" s="682"/>
      <c r="D39" s="682">
        <v>58</v>
      </c>
      <c r="E39" s="642" t="s">
        <v>666</v>
      </c>
      <c r="F39" s="1012">
        <v>400</v>
      </c>
      <c r="G39" s="690">
        <f>F39*D39</f>
        <v>23200</v>
      </c>
      <c r="H39" s="943" t="s">
        <v>669</v>
      </c>
      <c r="I39" s="1261">
        <f t="shared" ref="I39:I52" si="0">G39</f>
        <v>23200</v>
      </c>
      <c r="J39" s="943" t="s">
        <v>669</v>
      </c>
      <c r="K39" s="1261">
        <f>D39*70*2</f>
        <v>8120</v>
      </c>
    </row>
    <row r="40" spans="1:11" ht="17.25" customHeight="1" x14ac:dyDescent="0.35">
      <c r="A40" s="1179"/>
      <c r="B40" s="1260" t="s">
        <v>1154</v>
      </c>
      <c r="C40" s="682"/>
      <c r="D40" s="682">
        <v>8</v>
      </c>
      <c r="E40" s="642" t="s">
        <v>666</v>
      </c>
      <c r="F40" s="1012">
        <v>1000</v>
      </c>
      <c r="G40" s="690">
        <f>F40*D40</f>
        <v>8000</v>
      </c>
      <c r="H40" s="943" t="s">
        <v>669</v>
      </c>
      <c r="I40" s="1261">
        <f>G40</f>
        <v>8000</v>
      </c>
      <c r="J40" s="943" t="s">
        <v>669</v>
      </c>
      <c r="K40" s="1261">
        <f>D40*460*2</f>
        <v>7360</v>
      </c>
    </row>
    <row r="41" spans="1:11" ht="17.25" customHeight="1" x14ac:dyDescent="0.35">
      <c r="A41" s="1179"/>
      <c r="B41" s="1260" t="s">
        <v>1152</v>
      </c>
      <c r="C41" s="682"/>
      <c r="D41" s="682"/>
      <c r="E41" s="642"/>
      <c r="F41" s="1224"/>
      <c r="G41" s="1225"/>
      <c r="H41" s="943" t="s">
        <v>669</v>
      </c>
      <c r="I41" s="1261"/>
      <c r="J41" s="943" t="s">
        <v>669</v>
      </c>
      <c r="K41" s="1261"/>
    </row>
    <row r="42" spans="1:11" x14ac:dyDescent="0.35">
      <c r="A42" s="683"/>
      <c r="B42" s="1257" t="s">
        <v>1155</v>
      </c>
      <c r="C42" s="682"/>
      <c r="D42" s="682"/>
      <c r="E42" s="642"/>
      <c r="F42" s="940"/>
      <c r="G42" s="1039"/>
      <c r="H42" s="943" t="s">
        <v>669</v>
      </c>
      <c r="I42" s="1261"/>
      <c r="J42" s="943" t="s">
        <v>669</v>
      </c>
      <c r="K42" s="1261"/>
    </row>
    <row r="43" spans="1:11" x14ac:dyDescent="0.35">
      <c r="A43" s="683"/>
      <c r="B43" s="1260" t="s">
        <v>1156</v>
      </c>
      <c r="C43" s="682"/>
      <c r="D43" s="682">
        <v>86</v>
      </c>
      <c r="E43" s="642" t="s">
        <v>666</v>
      </c>
      <c r="F43" s="1012">
        <v>400</v>
      </c>
      <c r="G43" s="690">
        <f>F43*D43</f>
        <v>34400</v>
      </c>
      <c r="H43" s="943" t="s">
        <v>669</v>
      </c>
      <c r="I43" s="1261">
        <f t="shared" si="0"/>
        <v>34400</v>
      </c>
      <c r="J43" s="943" t="s">
        <v>669</v>
      </c>
      <c r="K43" s="1261">
        <f>D43*70*2</f>
        <v>12040</v>
      </c>
    </row>
    <row r="44" spans="1:11" x14ac:dyDescent="0.35">
      <c r="A44" s="683"/>
      <c r="B44" s="1260" t="s">
        <v>1152</v>
      </c>
      <c r="C44" s="682"/>
      <c r="D44" s="682"/>
      <c r="E44" s="642"/>
      <c r="F44" s="940"/>
      <c r="G44" s="1039"/>
      <c r="H44" s="943" t="s">
        <v>669</v>
      </c>
      <c r="I44" s="1261"/>
      <c r="J44" s="943" t="s">
        <v>669</v>
      </c>
      <c r="K44" s="1261"/>
    </row>
    <row r="45" spans="1:11" x14ac:dyDescent="0.35">
      <c r="A45" s="683"/>
      <c r="B45" s="1257" t="s">
        <v>1157</v>
      </c>
      <c r="C45" s="682"/>
      <c r="D45" s="682"/>
      <c r="E45" s="642"/>
      <c r="F45" s="940"/>
      <c r="G45" s="1039"/>
      <c r="H45" s="943" t="s">
        <v>669</v>
      </c>
      <c r="I45" s="1261"/>
      <c r="J45" s="943" t="s">
        <v>669</v>
      </c>
      <c r="K45" s="1261"/>
    </row>
    <row r="46" spans="1:11" x14ac:dyDescent="0.35">
      <c r="A46" s="683"/>
      <c r="B46" s="1260" t="s">
        <v>1156</v>
      </c>
      <c r="C46" s="682"/>
      <c r="D46" s="682">
        <v>86</v>
      </c>
      <c r="E46" s="642" t="s">
        <v>666</v>
      </c>
      <c r="F46" s="1012">
        <v>400</v>
      </c>
      <c r="G46" s="690">
        <f>F46*D46</f>
        <v>34400</v>
      </c>
      <c r="H46" s="943" t="s">
        <v>669</v>
      </c>
      <c r="I46" s="1261">
        <f t="shared" si="0"/>
        <v>34400</v>
      </c>
      <c r="J46" s="943" t="s">
        <v>669</v>
      </c>
      <c r="K46" s="1261">
        <f>D46*70*2</f>
        <v>12040</v>
      </c>
    </row>
    <row r="47" spans="1:11" x14ac:dyDescent="0.35">
      <c r="A47" s="683"/>
      <c r="B47" s="1260" t="s">
        <v>1152</v>
      </c>
      <c r="C47" s="682"/>
      <c r="D47" s="682"/>
      <c r="E47" s="642"/>
      <c r="F47" s="940"/>
      <c r="G47" s="1039"/>
      <c r="H47" s="943" t="s">
        <v>669</v>
      </c>
      <c r="I47" s="1261"/>
      <c r="J47" s="943" t="s">
        <v>669</v>
      </c>
      <c r="K47" s="1261"/>
    </row>
    <row r="48" spans="1:11" x14ac:dyDescent="0.35">
      <c r="A48" s="683"/>
      <c r="B48" s="1257" t="s">
        <v>1158</v>
      </c>
      <c r="C48" s="682"/>
      <c r="D48" s="682"/>
      <c r="E48" s="642"/>
      <c r="F48" s="940"/>
      <c r="G48" s="1039"/>
      <c r="H48" s="943" t="s">
        <v>669</v>
      </c>
      <c r="I48" s="1261"/>
      <c r="J48" s="943" t="s">
        <v>669</v>
      </c>
      <c r="K48" s="1261"/>
    </row>
    <row r="49" spans="1:11" x14ac:dyDescent="0.35">
      <c r="A49" s="683"/>
      <c r="B49" s="1260" t="s">
        <v>1156</v>
      </c>
      <c r="C49" s="682"/>
      <c r="D49" s="682">
        <v>86</v>
      </c>
      <c r="E49" s="642" t="s">
        <v>666</v>
      </c>
      <c r="F49" s="1012">
        <v>400</v>
      </c>
      <c r="G49" s="690">
        <f>F49*D49</f>
        <v>34400</v>
      </c>
      <c r="H49" s="943" t="s">
        <v>669</v>
      </c>
      <c r="I49" s="1261">
        <f t="shared" si="0"/>
        <v>34400</v>
      </c>
      <c r="J49" s="943" t="s">
        <v>669</v>
      </c>
      <c r="K49" s="1261">
        <f>D49*70*2</f>
        <v>12040</v>
      </c>
    </row>
    <row r="50" spans="1:11" x14ac:dyDescent="0.35">
      <c r="A50" s="683"/>
      <c r="B50" s="1260" t="s">
        <v>1152</v>
      </c>
      <c r="C50" s="682"/>
      <c r="D50" s="682"/>
      <c r="E50" s="642"/>
      <c r="F50" s="940"/>
      <c r="G50" s="1039"/>
      <c r="H50" s="943" t="s">
        <v>669</v>
      </c>
      <c r="I50" s="1261"/>
      <c r="J50" s="943" t="s">
        <v>669</v>
      </c>
      <c r="K50" s="1261"/>
    </row>
    <row r="51" spans="1:11" x14ac:dyDescent="0.35">
      <c r="A51" s="683"/>
      <c r="B51" s="1257" t="s">
        <v>795</v>
      </c>
      <c r="C51" s="682"/>
      <c r="D51" s="682"/>
      <c r="E51" s="642"/>
      <c r="F51" s="940"/>
      <c r="G51" s="1039"/>
      <c r="H51" s="943" t="s">
        <v>669</v>
      </c>
      <c r="I51" s="1261"/>
      <c r="J51" s="943" t="s">
        <v>669</v>
      </c>
      <c r="K51" s="1261"/>
    </row>
    <row r="52" spans="1:11" x14ac:dyDescent="0.35">
      <c r="A52" s="683"/>
      <c r="B52" s="1260" t="s">
        <v>1156</v>
      </c>
      <c r="C52" s="682"/>
      <c r="D52" s="682">
        <v>33</v>
      </c>
      <c r="E52" s="642" t="s">
        <v>666</v>
      </c>
      <c r="F52" s="1012">
        <v>400</v>
      </c>
      <c r="G52" s="690">
        <f>F52*D52</f>
        <v>13200</v>
      </c>
      <c r="H52" s="943" t="s">
        <v>669</v>
      </c>
      <c r="I52" s="1261">
        <f t="shared" si="0"/>
        <v>13200</v>
      </c>
      <c r="J52" s="943" t="s">
        <v>669</v>
      </c>
      <c r="K52" s="1261">
        <f>D52*70</f>
        <v>2310</v>
      </c>
    </row>
    <row r="53" spans="1:11" x14ac:dyDescent="0.35">
      <c r="A53" s="683"/>
      <c r="B53" s="1260" t="s">
        <v>1152</v>
      </c>
      <c r="C53" s="940"/>
      <c r="D53" s="940"/>
      <c r="E53" s="940"/>
      <c r="F53" s="940"/>
      <c r="G53" s="1039"/>
      <c r="H53" s="943" t="s">
        <v>669</v>
      </c>
      <c r="I53" s="1158"/>
      <c r="J53" s="943" t="s">
        <v>669</v>
      </c>
      <c r="K53" s="1264"/>
    </row>
    <row r="54" spans="1:11" x14ac:dyDescent="0.35">
      <c r="A54" s="683"/>
      <c r="B54" s="1193"/>
      <c r="C54" s="940"/>
      <c r="D54" s="940"/>
      <c r="E54" s="940"/>
      <c r="F54" s="940"/>
      <c r="G54" s="1039"/>
      <c r="H54" s="943"/>
      <c r="I54" s="1158"/>
      <c r="J54" s="943"/>
      <c r="K54" s="1264"/>
    </row>
    <row r="55" spans="1:11" x14ac:dyDescent="0.35">
      <c r="A55" s="683"/>
      <c r="B55" s="1193"/>
      <c r="C55" s="940"/>
      <c r="D55" s="940"/>
      <c r="E55" s="940"/>
      <c r="F55" s="940"/>
      <c r="G55" s="1039"/>
      <c r="H55" s="943"/>
      <c r="I55" s="1158"/>
      <c r="J55" s="943"/>
      <c r="K55" s="1264"/>
    </row>
    <row r="56" spans="1:11" x14ac:dyDescent="0.35">
      <c r="A56" s="683"/>
      <c r="B56" s="1193"/>
      <c r="C56" s="940"/>
      <c r="D56" s="940"/>
      <c r="E56" s="940"/>
      <c r="F56" s="940"/>
      <c r="G56" s="1039"/>
      <c r="H56" s="943"/>
      <c r="I56" s="1158"/>
      <c r="J56" s="943"/>
      <c r="K56" s="1158"/>
    </row>
    <row r="57" spans="1:11" x14ac:dyDescent="0.35">
      <c r="A57" s="14"/>
      <c r="B57" s="15"/>
      <c r="C57" s="16"/>
      <c r="D57" s="16"/>
      <c r="E57" s="17"/>
      <c r="F57" s="18" t="s">
        <v>715</v>
      </c>
      <c r="G57" s="328">
        <f>SUM(G31:G56)</f>
        <v>197000</v>
      </c>
      <c r="H57" s="20"/>
      <c r="I57" s="50">
        <f>SUM(I23:I56)</f>
        <v>197000</v>
      </c>
      <c r="J57" s="20"/>
      <c r="K57" s="50">
        <f>SUM(K31:K56)</f>
        <v>74050</v>
      </c>
    </row>
    <row r="58" spans="1:11" x14ac:dyDescent="0.35">
      <c r="A58" s="684"/>
      <c r="B58" s="655"/>
      <c r="C58" s="656"/>
      <c r="D58" s="656"/>
      <c r="E58" s="657"/>
      <c r="F58" s="658" t="s">
        <v>716</v>
      </c>
      <c r="G58" s="659"/>
      <c r="H58" s="959">
        <v>0</v>
      </c>
      <c r="I58" s="1121"/>
      <c r="J58" s="959">
        <v>0</v>
      </c>
      <c r="K58" s="1121"/>
    </row>
    <row r="59" spans="1:11" x14ac:dyDescent="0.35">
      <c r="A59" s="684"/>
      <c r="B59" s="655"/>
      <c r="C59" s="656"/>
      <c r="D59" s="656"/>
      <c r="E59" s="657"/>
      <c r="F59" s="658" t="s">
        <v>717</v>
      </c>
      <c r="G59" s="659"/>
      <c r="H59" s="961"/>
      <c r="I59" s="1122">
        <f>H58*I57</f>
        <v>0</v>
      </c>
      <c r="J59" s="961"/>
      <c r="K59" s="1122">
        <f>J58*K57</f>
        <v>0</v>
      </c>
    </row>
    <row r="60" spans="1:11" x14ac:dyDescent="0.35">
      <c r="A60" s="684"/>
      <c r="B60" s="655"/>
      <c r="C60" s="656"/>
      <c r="D60" s="656"/>
      <c r="E60" s="657"/>
      <c r="F60" s="658"/>
      <c r="G60" s="659"/>
      <c r="H60" s="1123"/>
      <c r="I60" s="1122"/>
      <c r="J60" s="1123"/>
      <c r="K60" s="1122"/>
    </row>
    <row r="61" spans="1:11" x14ac:dyDescent="0.35">
      <c r="A61" s="684"/>
      <c r="B61" s="655"/>
      <c r="C61" s="656"/>
      <c r="D61" s="656"/>
      <c r="E61" s="657"/>
      <c r="F61" s="658" t="s">
        <v>718</v>
      </c>
      <c r="G61" s="659"/>
      <c r="H61" s="964"/>
      <c r="I61" s="1122">
        <f>SUM(I57:I60)</f>
        <v>197000</v>
      </c>
      <c r="J61" s="964"/>
      <c r="K61" s="1122">
        <f>SUM(K57:K60)</f>
        <v>74050</v>
      </c>
    </row>
    <row r="62" spans="1:11" x14ac:dyDescent="0.35">
      <c r="A62" s="684"/>
      <c r="B62" s="655"/>
      <c r="C62" s="656"/>
      <c r="D62" s="656"/>
      <c r="E62" s="657"/>
      <c r="F62" s="660" t="s">
        <v>719</v>
      </c>
      <c r="G62" s="661"/>
      <c r="H62" s="965"/>
      <c r="I62" s="966" t="e">
        <f>I61/#REF!</f>
        <v>#REF!</v>
      </c>
      <c r="J62" s="965"/>
      <c r="K62" s="966" t="e">
        <f>K61/#REF!</f>
        <v>#REF!</v>
      </c>
    </row>
    <row r="63" spans="1:11" x14ac:dyDescent="0.35">
      <c r="A63" s="684"/>
      <c r="B63" s="655"/>
      <c r="C63" s="656"/>
      <c r="D63" s="656"/>
      <c r="E63" s="657"/>
      <c r="F63" s="660" t="s">
        <v>720</v>
      </c>
      <c r="G63" s="662"/>
      <c r="H63" s="965"/>
      <c r="I63" s="966" t="e">
        <f>I61/#REF!</f>
        <v>#REF!</v>
      </c>
      <c r="J63" s="965"/>
      <c r="K63" s="966" t="e">
        <f>K61/#REF!</f>
        <v>#REF!</v>
      </c>
    </row>
    <row r="64" spans="1:11" x14ac:dyDescent="0.35">
      <c r="A64" s="684"/>
      <c r="B64" s="655"/>
      <c r="C64" s="656"/>
      <c r="D64" s="656"/>
      <c r="E64" s="657"/>
      <c r="F64" s="658"/>
      <c r="G64" s="663"/>
      <c r="H64" s="1168"/>
      <c r="I64" s="1169"/>
      <c r="J64" s="1168"/>
      <c r="K64" s="1169"/>
    </row>
    <row r="65" spans="1:24" x14ac:dyDescent="0.35">
      <c r="A65" s="3764" t="s">
        <v>721</v>
      </c>
      <c r="B65" s="3765"/>
      <c r="C65" s="12"/>
      <c r="D65" s="12"/>
      <c r="E65" s="12"/>
      <c r="F65" s="12"/>
      <c r="G65" s="13"/>
      <c r="H65" s="21"/>
      <c r="I65" s="21"/>
      <c r="J65" s="21"/>
      <c r="K65" s="21"/>
    </row>
    <row r="66" spans="1:24" x14ac:dyDescent="0.35">
      <c r="A66" s="1170"/>
      <c r="B66" s="641"/>
      <c r="C66" s="1171"/>
      <c r="D66" s="1171"/>
      <c r="E66" s="1171"/>
      <c r="F66" s="1171"/>
      <c r="G66" s="1172"/>
      <c r="H66" s="1173"/>
      <c r="I66" s="1173"/>
      <c r="J66" s="1173"/>
      <c r="K66" s="1173"/>
    </row>
    <row r="67" spans="1:24" x14ac:dyDescent="0.35">
      <c r="A67" s="1170"/>
      <c r="B67" s="641"/>
      <c r="C67" s="1171"/>
      <c r="D67" s="1171"/>
      <c r="E67" s="1171"/>
      <c r="F67" s="1171"/>
      <c r="G67" s="1172"/>
      <c r="H67" s="1173"/>
      <c r="I67" s="1173"/>
      <c r="J67" s="1173"/>
      <c r="K67" s="1173"/>
    </row>
    <row r="68" spans="1:24" x14ac:dyDescent="0.35">
      <c r="A68" s="1170"/>
      <c r="B68" s="641"/>
      <c r="C68" s="1171"/>
      <c r="D68" s="1171"/>
      <c r="E68" s="1171"/>
      <c r="F68" s="1171"/>
      <c r="G68" s="1172"/>
      <c r="H68" s="1173"/>
      <c r="I68" s="1173"/>
      <c r="J68" s="1173"/>
      <c r="K68" s="1173"/>
    </row>
    <row r="69" spans="1:24" s="2" customFormat="1" x14ac:dyDescent="0.35">
      <c r="A69" s="3764" t="s">
        <v>722</v>
      </c>
      <c r="B69" s="3765"/>
      <c r="C69" s="12"/>
      <c r="D69" s="12"/>
      <c r="E69" s="12"/>
      <c r="F69" s="12"/>
      <c r="G69" s="13"/>
      <c r="H69" s="21"/>
      <c r="I69" s="21"/>
      <c r="J69" s="21"/>
      <c r="K69" s="21"/>
      <c r="L69"/>
      <c r="M69"/>
      <c r="N69"/>
      <c r="O69"/>
      <c r="P69"/>
      <c r="Q69"/>
      <c r="R69"/>
      <c r="S69"/>
      <c r="T69"/>
      <c r="U69"/>
      <c r="V69"/>
      <c r="W69"/>
      <c r="X69"/>
    </row>
    <row r="70" spans="1:24" s="2" customFormat="1" x14ac:dyDescent="0.35">
      <c r="A70" s="1170"/>
      <c r="B70" s="641"/>
      <c r="C70" s="1171"/>
      <c r="D70" s="1171"/>
      <c r="E70" s="1171"/>
      <c r="F70" s="1171"/>
      <c r="G70" s="1172"/>
      <c r="H70" s="1173"/>
      <c r="I70" s="1173"/>
      <c r="J70" s="1173"/>
      <c r="K70" s="1173"/>
      <c r="L70"/>
      <c r="M70"/>
      <c r="N70"/>
      <c r="O70"/>
      <c r="P70"/>
      <c r="Q70"/>
      <c r="R70"/>
      <c r="S70"/>
      <c r="T70"/>
      <c r="U70"/>
      <c r="V70"/>
      <c r="W70"/>
      <c r="X70"/>
    </row>
    <row r="71" spans="1:24" s="2" customFormat="1" x14ac:dyDescent="0.35">
      <c r="A71" s="1170"/>
      <c r="B71" s="641"/>
      <c r="C71" s="1171"/>
      <c r="D71" s="1171"/>
      <c r="E71" s="1171"/>
      <c r="F71" s="1171"/>
      <c r="G71" s="1172"/>
      <c r="H71" s="1173"/>
      <c r="I71" s="1173"/>
      <c r="J71" s="1173"/>
      <c r="K71" s="1173"/>
      <c r="L71"/>
      <c r="M71"/>
      <c r="N71"/>
      <c r="O71"/>
      <c r="P71"/>
      <c r="Q71"/>
      <c r="R71"/>
      <c r="S71"/>
      <c r="T71"/>
      <c r="U71"/>
      <c r="V71"/>
      <c r="W71"/>
      <c r="X71"/>
    </row>
    <row r="72" spans="1:24" x14ac:dyDescent="0.35">
      <c r="A72" s="1170"/>
      <c r="B72" s="641"/>
      <c r="C72" s="1171"/>
      <c r="D72" s="1171"/>
      <c r="E72" s="1171"/>
      <c r="F72" s="1171"/>
      <c r="G72" s="1172"/>
      <c r="H72" s="1173"/>
      <c r="I72" s="1173"/>
      <c r="J72" s="1173"/>
      <c r="K72" s="1173"/>
    </row>
    <row r="73" spans="1:24" s="2" customFormat="1" x14ac:dyDescent="0.35">
      <c r="A73" s="3764" t="s">
        <v>723</v>
      </c>
      <c r="B73" s="3765"/>
      <c r="C73" s="12"/>
      <c r="D73" s="12"/>
      <c r="E73" s="12"/>
      <c r="F73" s="12"/>
      <c r="G73" s="13"/>
      <c r="H73" s="21"/>
      <c r="I73" s="21"/>
      <c r="J73" s="21"/>
      <c r="K73" s="21"/>
      <c r="L73"/>
      <c r="M73"/>
      <c r="N73"/>
      <c r="O73"/>
      <c r="P73"/>
      <c r="Q73"/>
      <c r="R73"/>
      <c r="S73"/>
      <c r="T73"/>
      <c r="U73"/>
      <c r="V73"/>
      <c r="W73"/>
      <c r="X73"/>
    </row>
    <row r="74" spans="1:24" s="2" customFormat="1" x14ac:dyDescent="0.35">
      <c r="A74" s="1170"/>
      <c r="B74" s="641" t="s">
        <v>1159</v>
      </c>
      <c r="C74" s="1171"/>
      <c r="D74" s="1171"/>
      <c r="E74" s="1171"/>
      <c r="F74" s="1171"/>
      <c r="G74" s="1172"/>
      <c r="H74" s="1173"/>
      <c r="I74" s="1173"/>
      <c r="J74" s="1173"/>
      <c r="K74" s="1173"/>
      <c r="L74"/>
      <c r="M74"/>
      <c r="N74"/>
      <c r="O74"/>
      <c r="P74"/>
      <c r="Q74"/>
      <c r="R74"/>
      <c r="S74"/>
      <c r="T74"/>
      <c r="U74"/>
      <c r="V74"/>
      <c r="W74"/>
      <c r="X74"/>
    </row>
    <row r="75" spans="1:24" s="2" customFormat="1" x14ac:dyDescent="0.35">
      <c r="A75" s="689"/>
      <c r="B75" s="641" t="s">
        <v>1160</v>
      </c>
      <c r="C75" s="642"/>
      <c r="D75" s="642"/>
      <c r="E75" s="642"/>
      <c r="F75" s="642"/>
      <c r="G75" s="646"/>
      <c r="H75" s="973"/>
      <c r="I75" s="973"/>
      <c r="J75" s="973"/>
      <c r="K75" s="973"/>
      <c r="L75"/>
      <c r="M75"/>
      <c r="N75"/>
      <c r="O75"/>
      <c r="P75"/>
      <c r="Q75"/>
      <c r="R75"/>
      <c r="S75"/>
      <c r="T75"/>
      <c r="U75"/>
      <c r="V75"/>
      <c r="W75"/>
      <c r="X75"/>
    </row>
    <row r="76" spans="1:24" s="2" customFormat="1" x14ac:dyDescent="0.35">
      <c r="A76" s="686"/>
      <c r="B76" s="665" t="s">
        <v>1161</v>
      </c>
      <c r="C76" s="642"/>
      <c r="D76" s="642"/>
      <c r="E76" s="642"/>
      <c r="F76" s="642"/>
      <c r="G76" s="646"/>
      <c r="H76" s="974"/>
      <c r="I76" s="974"/>
      <c r="J76" s="974"/>
      <c r="K76" s="974"/>
    </row>
    <row r="77" spans="1:24" s="2" customFormat="1" x14ac:dyDescent="0.35">
      <c r="A77" s="3764" t="s">
        <v>724</v>
      </c>
      <c r="B77" s="3765"/>
      <c r="C77" s="12"/>
      <c r="D77" s="12"/>
      <c r="E77" s="12"/>
      <c r="F77" s="12"/>
      <c r="G77" s="13"/>
      <c r="H77" s="21"/>
      <c r="I77" s="21"/>
      <c r="J77" s="21"/>
      <c r="K77" s="21"/>
      <c r="L77"/>
      <c r="M77"/>
      <c r="N77"/>
      <c r="O77"/>
      <c r="P77"/>
      <c r="Q77"/>
      <c r="R77"/>
      <c r="S77"/>
      <c r="T77"/>
      <c r="U77"/>
      <c r="V77"/>
      <c r="W77"/>
      <c r="X77"/>
    </row>
    <row r="78" spans="1:24" x14ac:dyDescent="0.35">
      <c r="A78" s="1174"/>
      <c r="B78" s="1175"/>
      <c r="C78" s="1171"/>
      <c r="D78" s="1171"/>
      <c r="E78" s="1171"/>
      <c r="F78" s="1171"/>
      <c r="G78" s="1172"/>
      <c r="H78" s="1173"/>
      <c r="I78" s="1173"/>
      <c r="J78" s="1173"/>
      <c r="K78" s="1173"/>
      <c r="L78" s="2"/>
      <c r="M78" s="2"/>
      <c r="N78" s="2"/>
      <c r="O78" s="2"/>
      <c r="P78" s="2"/>
      <c r="Q78" s="2"/>
      <c r="R78" s="2"/>
      <c r="S78" s="2"/>
      <c r="T78" s="2"/>
      <c r="U78" s="2"/>
      <c r="V78" s="2"/>
      <c r="W78" s="2"/>
      <c r="X78" s="2"/>
    </row>
    <row r="79" spans="1:24" x14ac:dyDescent="0.35">
      <c r="A79" s="686"/>
      <c r="B79" s="665"/>
      <c r="C79" s="642"/>
      <c r="D79" s="642"/>
      <c r="E79" s="642"/>
      <c r="F79" s="642"/>
      <c r="G79" s="646"/>
      <c r="H79" s="977"/>
      <c r="I79" s="977"/>
      <c r="J79" s="977"/>
      <c r="K79" s="977"/>
      <c r="L79" s="2"/>
      <c r="M79" s="2"/>
      <c r="N79" s="2"/>
      <c r="O79" s="2"/>
      <c r="P79" s="2"/>
      <c r="Q79" s="2"/>
      <c r="R79" s="2"/>
      <c r="S79" s="2"/>
      <c r="T79" s="2"/>
      <c r="U79" s="2"/>
      <c r="V79" s="2"/>
      <c r="W79" s="2"/>
      <c r="X79" s="2"/>
    </row>
    <row r="80" spans="1:24" x14ac:dyDescent="0.35">
      <c r="A80" s="686"/>
      <c r="B80" s="665"/>
      <c r="C80" s="642"/>
      <c r="D80" s="642"/>
      <c r="E80" s="642"/>
      <c r="F80" s="642"/>
      <c r="G80" s="646"/>
      <c r="H80" s="977"/>
      <c r="I80" s="977"/>
      <c r="J80" s="977"/>
      <c r="K80" s="977"/>
      <c r="L80" s="2"/>
      <c r="M80" s="2"/>
      <c r="N80" s="2"/>
      <c r="O80" s="2"/>
      <c r="P80" s="2"/>
      <c r="Q80" s="2"/>
      <c r="R80" s="2"/>
      <c r="S80" s="2"/>
      <c r="T80" s="2"/>
      <c r="U80" s="2"/>
      <c r="V80" s="2"/>
      <c r="W80" s="2"/>
      <c r="X80" s="2"/>
    </row>
    <row r="81" spans="1:11" x14ac:dyDescent="0.35">
      <c r="A81" s="3764" t="s">
        <v>725</v>
      </c>
      <c r="B81" s="3765"/>
      <c r="C81" s="12"/>
      <c r="D81" s="12"/>
      <c r="E81" s="12"/>
      <c r="F81" s="12"/>
      <c r="G81" s="13"/>
      <c r="H81" s="21"/>
      <c r="I81" s="21"/>
      <c r="J81" s="21"/>
      <c r="K81" s="21"/>
    </row>
    <row r="82" spans="1:11" x14ac:dyDescent="0.35">
      <c r="A82" s="689"/>
      <c r="B82" s="641" t="s">
        <v>726</v>
      </c>
      <c r="C82" s="642"/>
      <c r="D82" s="642"/>
      <c r="E82" s="642"/>
      <c r="F82" s="642"/>
      <c r="G82" s="646"/>
      <c r="H82" s="977"/>
      <c r="I82" s="977"/>
      <c r="J82" s="977"/>
      <c r="K82" s="977"/>
    </row>
    <row r="83" spans="1:11" x14ac:dyDescent="0.35">
      <c r="A83" s="689"/>
      <c r="B83" s="641" t="s">
        <v>727</v>
      </c>
      <c r="C83" s="642"/>
      <c r="D83" s="642"/>
      <c r="E83" s="642"/>
      <c r="F83" s="642"/>
      <c r="G83" s="646"/>
      <c r="H83" s="977"/>
      <c r="I83" s="977"/>
      <c r="J83" s="977"/>
      <c r="K83" s="977"/>
    </row>
    <row r="84" spans="1:11" x14ac:dyDescent="0.35">
      <c r="A84" s="689"/>
      <c r="B84" s="641" t="s">
        <v>728</v>
      </c>
      <c r="C84" s="642"/>
      <c r="D84" s="642"/>
      <c r="E84" s="642"/>
      <c r="F84" s="642"/>
      <c r="G84" s="646"/>
      <c r="H84" s="977"/>
      <c r="I84" s="977"/>
      <c r="J84" s="977"/>
      <c r="K84" s="977"/>
    </row>
    <row r="85" spans="1:11" x14ac:dyDescent="0.35">
      <c r="A85" s="689"/>
      <c r="B85" s="641" t="s">
        <v>729</v>
      </c>
      <c r="C85" s="642"/>
      <c r="D85" s="642"/>
      <c r="E85" s="642"/>
      <c r="F85" s="642"/>
      <c r="G85" s="646"/>
      <c r="H85" s="977"/>
      <c r="I85" s="977"/>
      <c r="J85" s="977"/>
      <c r="K85" s="977"/>
    </row>
    <row r="86" spans="1:11" x14ac:dyDescent="0.35">
      <c r="A86" s="978"/>
      <c r="B86" s="939"/>
      <c r="C86" s="940"/>
      <c r="D86" s="940"/>
      <c r="E86" s="940"/>
      <c r="F86" s="940"/>
      <c r="G86" s="1039"/>
      <c r="H86" s="981"/>
      <c r="I86" s="981"/>
      <c r="J86" s="981"/>
      <c r="K86" s="981"/>
    </row>
    <row r="87" spans="1:11" x14ac:dyDescent="0.35">
      <c r="A87" s="7" t="s">
        <v>730</v>
      </c>
      <c r="B87" s="8"/>
      <c r="C87" s="12"/>
      <c r="D87" s="12"/>
      <c r="E87" s="12"/>
      <c r="F87" s="12"/>
      <c r="G87" s="13"/>
      <c r="H87" s="21"/>
      <c r="I87" s="21"/>
      <c r="J87" s="21"/>
      <c r="K87" s="21"/>
    </row>
    <row r="88" spans="1:11" x14ac:dyDescent="0.35">
      <c r="A88" s="1170"/>
      <c r="B88" s="1176" t="s">
        <v>731</v>
      </c>
      <c r="C88" s="1171"/>
      <c r="D88" s="1171"/>
      <c r="E88" s="1171"/>
      <c r="F88" s="1171"/>
      <c r="G88" s="1172"/>
      <c r="H88" s="1177"/>
      <c r="I88" s="1177"/>
      <c r="J88" s="1177"/>
      <c r="K88" s="1177"/>
    </row>
    <row r="89" spans="1:11" x14ac:dyDescent="0.35">
      <c r="A89" s="689"/>
      <c r="B89" s="641" t="s">
        <v>732</v>
      </c>
      <c r="C89" s="642"/>
      <c r="D89" s="642"/>
      <c r="E89" s="642"/>
      <c r="F89" s="642"/>
      <c r="G89" s="646"/>
      <c r="H89" s="984"/>
      <c r="I89" s="984"/>
      <c r="J89" s="984"/>
      <c r="K89" s="984"/>
    </row>
    <row r="90" spans="1:11" x14ac:dyDescent="0.35">
      <c r="A90" s="985"/>
      <c r="B90" s="986" t="s">
        <v>733</v>
      </c>
      <c r="C90" s="987"/>
      <c r="D90" s="987"/>
      <c r="E90" s="987"/>
      <c r="F90" s="987"/>
      <c r="G90" s="1040"/>
      <c r="H90" s="990"/>
      <c r="I90" s="990"/>
      <c r="J90" s="990"/>
      <c r="K90" s="990"/>
    </row>
    <row r="92" spans="1:11" x14ac:dyDescent="0.35">
      <c r="A92" s="78" t="s">
        <v>734</v>
      </c>
      <c r="B92" s="80"/>
    </row>
    <row r="93" spans="1:11" x14ac:dyDescent="0.35">
      <c r="A93" s="79" t="s">
        <v>632</v>
      </c>
      <c r="B93" s="991"/>
    </row>
    <row r="94" spans="1:11" x14ac:dyDescent="0.35">
      <c r="A94" s="687" t="s">
        <v>636</v>
      </c>
      <c r="B94" s="991"/>
    </row>
    <row r="95" spans="1:11" x14ac:dyDescent="0.35">
      <c r="A95" s="992" t="s">
        <v>639</v>
      </c>
      <c r="B95" s="993"/>
    </row>
    <row r="96" spans="1:11" x14ac:dyDescent="0.35">
      <c r="A96" s="992" t="s">
        <v>642</v>
      </c>
      <c r="B96" s="994"/>
    </row>
    <row r="97" spans="1:2" x14ac:dyDescent="0.35">
      <c r="A97" s="995" t="s">
        <v>735</v>
      </c>
      <c r="B97" s="996" t="e">
        <f>#REF!</f>
        <v>#REF!</v>
      </c>
    </row>
    <row r="99" spans="1:2" x14ac:dyDescent="0.35">
      <c r="A99" s="81"/>
      <c r="B99" s="1" t="s">
        <v>736</v>
      </c>
    </row>
    <row r="100" spans="1:2" x14ac:dyDescent="0.35">
      <c r="A100" s="82"/>
      <c r="B100" s="1" t="s">
        <v>737</v>
      </c>
    </row>
  </sheetData>
  <mergeCells count="19">
    <mergeCell ref="H2:I2"/>
    <mergeCell ref="J2:K2"/>
    <mergeCell ref="H3:I3"/>
    <mergeCell ref="J3:K3"/>
    <mergeCell ref="H4:I4"/>
    <mergeCell ref="J4:K4"/>
    <mergeCell ref="H5:I5"/>
    <mergeCell ref="J5:K5"/>
    <mergeCell ref="H6:I6"/>
    <mergeCell ref="J6:K6"/>
    <mergeCell ref="H7:I7"/>
    <mergeCell ref="J7:K7"/>
    <mergeCell ref="A81:B81"/>
    <mergeCell ref="H8:I8"/>
    <mergeCell ref="J8:K8"/>
    <mergeCell ref="A65:B65"/>
    <mergeCell ref="A69:B69"/>
    <mergeCell ref="A73:B73"/>
    <mergeCell ref="A77:B77"/>
  </mergeCells>
  <conditionalFormatting sqref="H20:H30">
    <cfRule type="cellIs" dxfId="2561" priority="3" operator="equal">
      <formula>"X"</formula>
    </cfRule>
    <cfRule type="cellIs" dxfId="2560" priority="4" operator="equal">
      <formula>"I"</formula>
    </cfRule>
  </conditionalFormatting>
  <conditionalFormatting sqref="H32:H56 J32:J56">
    <cfRule type="cellIs" dxfId="2559" priority="1" operator="equal">
      <formula>"X"</formula>
    </cfRule>
    <cfRule type="cellIs" dxfId="2558" priority="2" operator="equal">
      <formula>"I"</formula>
    </cfRule>
  </conditionalFormatting>
  <conditionalFormatting sqref="J20:J30">
    <cfRule type="cellIs" dxfId="2557" priority="5" operator="equal">
      <formula>"X"</formula>
    </cfRule>
    <cfRule type="cellIs" dxfId="2556" priority="6" operator="equal">
      <formula>"I"</formula>
    </cfRule>
  </conditionalFormatting>
  <hyperlinks>
    <hyperlink ref="B3" location="'Cost Summary'!A1" display="BACK TO SUMMARY SHEET" xr:uid="{A1CA9906-CDB0-4A59-8A58-E14BFB7DBA5B}"/>
  </hyperlinks>
  <pageMargins left="0.7" right="0.7" top="0.75" bottom="0.75" header="0.3" footer="0.3"/>
  <pageSetup orientation="portrait"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38B8-FC44-4B03-AED1-483FE7800F86}">
  <sheetPr>
    <tabColor rgb="FFFFC000"/>
  </sheetPr>
  <dimension ref="A1:X89"/>
  <sheetViews>
    <sheetView zoomScale="85" zoomScaleNormal="85" workbookViewId="0">
      <pane xSplit="2" ySplit="9" topLeftCell="C30" activePane="bottomRight" state="frozen"/>
      <selection pane="topRight" activeCell="C1" sqref="C1"/>
      <selection pane="bottomLeft" activeCell="A11" sqref="A11"/>
      <selection pane="bottomRight" activeCell="M36" sqref="M36"/>
    </sheetView>
  </sheetViews>
  <sheetFormatPr defaultRowHeight="14.5" x14ac:dyDescent="0.35"/>
  <cols>
    <col min="1" max="1" width="11" customWidth="1"/>
    <col min="2" max="2" width="70.7265625" style="1" customWidth="1"/>
    <col min="3" max="3" width="10.81640625" style="2" bestFit="1" customWidth="1"/>
    <col min="4" max="4" width="12.26953125" style="2" customWidth="1"/>
    <col min="5" max="5" width="7.54296875" style="2" customWidth="1"/>
    <col min="6" max="6" width="10.54296875" style="2" customWidth="1"/>
    <col min="7" max="7" width="12.26953125" style="2" customWidth="1"/>
    <col min="8" max="8" width="7.453125" style="2" bestFit="1" customWidth="1"/>
    <col min="9" max="9" width="16.81640625" style="2" customWidth="1"/>
    <col min="10" max="10" width="9.7265625" style="2" customWidth="1"/>
    <col min="11" max="11" width="18.7265625" style="2" customWidth="1"/>
    <col min="13" max="13" width="23.54296875" customWidth="1"/>
  </cols>
  <sheetData>
    <row r="1" spans="1:13" x14ac:dyDescent="0.35">
      <c r="E1" s="152"/>
      <c r="F1" s="125"/>
      <c r="G1" s="123" t="s">
        <v>621</v>
      </c>
      <c r="L1" s="2"/>
      <c r="M1" s="2"/>
    </row>
    <row r="2" spans="1:13" x14ac:dyDescent="0.35">
      <c r="E2" s="152"/>
      <c r="F2" s="122" t="s">
        <v>622</v>
      </c>
      <c r="G2" s="123" t="s">
        <v>451</v>
      </c>
      <c r="H2" s="3789"/>
      <c r="I2" s="3789"/>
      <c r="J2" s="3751"/>
      <c r="K2" s="3751"/>
      <c r="L2" s="3751"/>
      <c r="M2" s="3751"/>
    </row>
    <row r="3" spans="1:13" ht="19.5" x14ac:dyDescent="0.35">
      <c r="B3" s="137" t="s">
        <v>623</v>
      </c>
      <c r="E3" s="152"/>
      <c r="F3" s="124" t="s">
        <v>624</v>
      </c>
      <c r="G3" s="123" t="s">
        <v>557</v>
      </c>
      <c r="H3" s="3754" t="s">
        <v>1146</v>
      </c>
      <c r="I3" s="3755"/>
      <c r="J3" s="3754" t="s">
        <v>1147</v>
      </c>
      <c r="K3" s="3755"/>
      <c r="L3" s="3754" t="s">
        <v>1162</v>
      </c>
      <c r="M3" s="3755"/>
    </row>
    <row r="4" spans="1:13" x14ac:dyDescent="0.35">
      <c r="A4" s="3" t="s">
        <v>631</v>
      </c>
      <c r="B4" s="4" t="str">
        <f>'AREA CALC''s'!B4</f>
        <v>Alton Hilltop Gardens</v>
      </c>
      <c r="C4" s="5"/>
      <c r="D4" s="5"/>
      <c r="E4" s="5"/>
      <c r="F4" s="5"/>
      <c r="G4" s="6" t="s">
        <v>632</v>
      </c>
      <c r="H4" s="3752"/>
      <c r="I4" s="3753"/>
      <c r="J4" s="3752"/>
      <c r="K4" s="3753"/>
      <c r="L4" s="3752"/>
      <c r="M4" s="3753"/>
    </row>
    <row r="5" spans="1:13" x14ac:dyDescent="0.35">
      <c r="A5" s="688" t="s">
        <v>634</v>
      </c>
      <c r="B5" s="641" t="s">
        <v>478</v>
      </c>
      <c r="C5" s="642"/>
      <c r="D5" s="642"/>
      <c r="E5" s="642"/>
      <c r="F5" s="642"/>
      <c r="G5" s="643" t="s">
        <v>636</v>
      </c>
      <c r="H5" s="3800"/>
      <c r="I5" s="3801"/>
      <c r="J5" s="3800"/>
      <c r="K5" s="3801"/>
      <c r="L5" s="3800"/>
      <c r="M5" s="3801"/>
    </row>
    <row r="6" spans="1:13" x14ac:dyDescent="0.35">
      <c r="A6" s="688" t="s">
        <v>638</v>
      </c>
      <c r="B6" s="644" t="s">
        <v>477</v>
      </c>
      <c r="C6" s="642"/>
      <c r="D6" s="642"/>
      <c r="E6" s="642"/>
      <c r="F6" s="642"/>
      <c r="G6" s="643" t="s">
        <v>639</v>
      </c>
      <c r="H6" s="3756"/>
      <c r="I6" s="3757"/>
      <c r="J6" s="3756"/>
      <c r="K6" s="3757"/>
      <c r="L6" s="3756"/>
      <c r="M6" s="3757"/>
    </row>
    <row r="7" spans="1:13" x14ac:dyDescent="0.35">
      <c r="A7" s="688" t="s">
        <v>641</v>
      </c>
      <c r="B7" s="645"/>
      <c r="C7" s="642"/>
      <c r="D7" s="642"/>
      <c r="E7" s="642"/>
      <c r="F7" s="642"/>
      <c r="G7" s="643" t="s">
        <v>642</v>
      </c>
      <c r="H7" s="3790"/>
      <c r="I7" s="3792"/>
      <c r="J7" s="3790"/>
      <c r="K7" s="3792"/>
      <c r="L7" s="3790"/>
      <c r="M7" s="3792"/>
    </row>
    <row r="8" spans="1:13" x14ac:dyDescent="0.35">
      <c r="A8" s="938" t="s">
        <v>644</v>
      </c>
      <c r="B8" s="939"/>
      <c r="C8" s="940"/>
      <c r="D8" s="940"/>
      <c r="E8" s="940"/>
      <c r="F8" s="940"/>
      <c r="G8" s="1024" t="s">
        <v>644</v>
      </c>
      <c r="H8" s="3760">
        <f>I50</f>
        <v>949500</v>
      </c>
      <c r="I8" s="3761"/>
      <c r="J8" s="3760">
        <f>K50</f>
        <v>549500</v>
      </c>
      <c r="K8" s="3761"/>
      <c r="L8" s="3760"/>
      <c r="M8" s="3761"/>
    </row>
    <row r="9" spans="1:13"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row>
    <row r="10" spans="1:13" hidden="1" x14ac:dyDescent="0.35">
      <c r="A10" s="689"/>
      <c r="B10" s="1178" t="s">
        <v>653</v>
      </c>
      <c r="C10" s="642"/>
      <c r="D10" s="642"/>
      <c r="E10" s="642"/>
      <c r="F10" s="642"/>
      <c r="G10" s="646"/>
      <c r="H10" s="942"/>
      <c r="I10" s="942"/>
      <c r="J10" s="942"/>
      <c r="K10" s="942"/>
      <c r="L10" s="942"/>
      <c r="M10" s="942"/>
    </row>
    <row r="11" spans="1:13" hidden="1" x14ac:dyDescent="0.35">
      <c r="A11" s="689"/>
      <c r="B11" s="641" t="e">
        <f>#REF!</f>
        <v>#REF!</v>
      </c>
      <c r="C11" s="647" t="s">
        <v>654</v>
      </c>
      <c r="D11" s="642"/>
      <c r="E11" s="642"/>
      <c r="F11" s="642"/>
      <c r="G11" s="646"/>
      <c r="H11" s="942"/>
      <c r="I11" s="942"/>
      <c r="J11" s="942"/>
      <c r="K11" s="942"/>
      <c r="L11" s="942"/>
      <c r="M11" s="942"/>
    </row>
    <row r="12" spans="1:13" hidden="1" x14ac:dyDescent="0.35">
      <c r="A12" s="689"/>
      <c r="B12" s="641" t="e">
        <f>#REF!</f>
        <v>#REF!</v>
      </c>
      <c r="C12" s="647" t="s">
        <v>654</v>
      </c>
      <c r="D12" s="642"/>
      <c r="E12" s="642"/>
      <c r="F12" s="642"/>
      <c r="G12" s="646"/>
      <c r="H12" s="942"/>
      <c r="I12" s="942"/>
      <c r="J12" s="942"/>
      <c r="K12" s="942"/>
      <c r="L12" s="942"/>
      <c r="M12" s="942"/>
    </row>
    <row r="13" spans="1:13" hidden="1" x14ac:dyDescent="0.35">
      <c r="A13" s="689"/>
      <c r="B13" s="641" t="e">
        <f>#REF!</f>
        <v>#REF!</v>
      </c>
      <c r="C13" s="647" t="s">
        <v>654</v>
      </c>
      <c r="D13" s="642"/>
      <c r="E13" s="642"/>
      <c r="F13" s="642"/>
      <c r="G13" s="646"/>
      <c r="H13" s="942"/>
      <c r="I13" s="942"/>
      <c r="J13" s="942"/>
      <c r="K13" s="942"/>
      <c r="L13" s="942"/>
      <c r="M13" s="942"/>
    </row>
    <row r="14" spans="1:13" hidden="1" x14ac:dyDescent="0.35">
      <c r="A14" s="689"/>
      <c r="B14" s="641" t="e">
        <f>#REF!</f>
        <v>#REF!</v>
      </c>
      <c r="C14" s="647" t="s">
        <v>654</v>
      </c>
      <c r="D14" s="642"/>
      <c r="E14" s="642"/>
      <c r="F14" s="642"/>
      <c r="G14" s="646"/>
      <c r="H14" s="942"/>
      <c r="I14" s="942"/>
      <c r="J14" s="942"/>
      <c r="K14" s="942"/>
      <c r="L14" s="942"/>
      <c r="M14" s="942"/>
    </row>
    <row r="15" spans="1:13" hidden="1" x14ac:dyDescent="0.35">
      <c r="A15" s="689"/>
      <c r="B15" s="641" t="e">
        <f>#REF!</f>
        <v>#REF!</v>
      </c>
      <c r="C15" s="647" t="s">
        <v>654</v>
      </c>
      <c r="D15" s="642"/>
      <c r="E15" s="642"/>
      <c r="F15" s="642"/>
      <c r="G15" s="646"/>
      <c r="H15" s="942"/>
      <c r="I15" s="942"/>
      <c r="J15" s="942"/>
      <c r="K15" s="942"/>
      <c r="L15" s="942"/>
      <c r="M15" s="942"/>
    </row>
    <row r="16" spans="1:13" hidden="1" x14ac:dyDescent="0.35">
      <c r="A16" s="689"/>
      <c r="B16" s="641" t="e">
        <f>#REF!</f>
        <v>#REF!</v>
      </c>
      <c r="C16" s="647" t="s">
        <v>654</v>
      </c>
      <c r="D16" s="642"/>
      <c r="E16" s="642"/>
      <c r="F16" s="642"/>
      <c r="G16" s="646"/>
      <c r="H16" s="942"/>
      <c r="I16" s="942"/>
      <c r="J16" s="942"/>
      <c r="K16" s="942"/>
      <c r="L16" s="942"/>
      <c r="M16" s="942"/>
    </row>
    <row r="17" spans="1:13" hidden="1" x14ac:dyDescent="0.35">
      <c r="A17" s="689"/>
      <c r="B17" s="641" t="e">
        <f>#REF!</f>
        <v>#REF!</v>
      </c>
      <c r="C17" s="647" t="s">
        <v>654</v>
      </c>
      <c r="D17" s="642"/>
      <c r="E17" s="642"/>
      <c r="F17" s="642"/>
      <c r="G17" s="646"/>
      <c r="H17" s="942"/>
      <c r="I17" s="942"/>
      <c r="J17" s="942"/>
      <c r="K17" s="942"/>
      <c r="L17" s="942"/>
      <c r="M17" s="942"/>
    </row>
    <row r="18" spans="1:13" hidden="1" x14ac:dyDescent="0.35">
      <c r="A18" s="689"/>
      <c r="B18" s="641" t="e">
        <f>#REF!</f>
        <v>#REF!</v>
      </c>
      <c r="C18" s="647" t="s">
        <v>654</v>
      </c>
      <c r="D18" s="642"/>
      <c r="E18" s="642"/>
      <c r="F18" s="642"/>
      <c r="G18" s="646"/>
      <c r="H18" s="942"/>
      <c r="I18" s="942"/>
      <c r="J18" s="942"/>
      <c r="K18" s="942"/>
      <c r="L18" s="942"/>
      <c r="M18" s="942"/>
    </row>
    <row r="19" spans="1:13" hidden="1" x14ac:dyDescent="0.35">
      <c r="A19" s="689"/>
      <c r="B19" s="641" t="e">
        <f>#REF!</f>
        <v>#REF!</v>
      </c>
      <c r="C19" s="647" t="s">
        <v>654</v>
      </c>
      <c r="D19" s="642"/>
      <c r="E19" s="642"/>
      <c r="F19" s="642"/>
      <c r="G19" s="646"/>
      <c r="H19" s="942"/>
      <c r="I19" s="942"/>
      <c r="J19" s="942"/>
      <c r="K19" s="942"/>
      <c r="L19" s="942"/>
      <c r="M19" s="942"/>
    </row>
    <row r="20" spans="1:13" x14ac:dyDescent="0.35">
      <c r="A20" s="689"/>
      <c r="B20" s="641"/>
      <c r="C20" s="647"/>
      <c r="D20" s="642"/>
      <c r="E20" s="642"/>
      <c r="F20" s="642"/>
      <c r="G20" s="646"/>
      <c r="H20" s="943"/>
      <c r="I20" s="942"/>
      <c r="J20" s="943"/>
      <c r="K20" s="942"/>
      <c r="L20" s="943"/>
      <c r="M20" s="942"/>
    </row>
    <row r="21" spans="1:13" x14ac:dyDescent="0.35">
      <c r="A21" s="689"/>
      <c r="B21" s="648" t="s">
        <v>478</v>
      </c>
      <c r="C21" s="647"/>
      <c r="D21" s="642"/>
      <c r="E21" s="642"/>
      <c r="F21" s="642"/>
      <c r="G21" s="646"/>
      <c r="H21" s="943"/>
      <c r="I21" s="942"/>
      <c r="J21" s="943"/>
      <c r="K21" s="942"/>
      <c r="L21" s="943"/>
      <c r="M21" s="942"/>
    </row>
    <row r="22" spans="1:13" x14ac:dyDescent="0.35">
      <c r="A22" s="1179"/>
      <c r="B22" s="604" t="s">
        <v>657</v>
      </c>
      <c r="C22" s="647"/>
      <c r="D22" s="642"/>
      <c r="E22" s="642"/>
      <c r="F22" s="642"/>
      <c r="G22" s="646"/>
      <c r="H22" s="943"/>
      <c r="I22" s="1180"/>
      <c r="J22" s="943"/>
      <c r="K22" s="1180"/>
      <c r="L22" s="943"/>
      <c r="M22" s="1180"/>
    </row>
    <row r="23" spans="1:13" x14ac:dyDescent="0.35">
      <c r="A23" s="1179"/>
      <c r="B23" s="607" t="s">
        <v>658</v>
      </c>
      <c r="C23" s="647"/>
      <c r="D23" s="642"/>
      <c r="E23" s="642"/>
      <c r="F23" s="642"/>
      <c r="G23" s="646"/>
      <c r="H23" s="943"/>
      <c r="I23" s="1180"/>
      <c r="J23" s="943"/>
      <c r="K23" s="1180"/>
      <c r="L23" s="943"/>
      <c r="M23" s="1180"/>
    </row>
    <row r="24" spans="1:13" x14ac:dyDescent="0.35">
      <c r="A24" s="683"/>
      <c r="B24" s="1253" t="s">
        <v>659</v>
      </c>
      <c r="C24" s="642"/>
      <c r="D24" s="642"/>
      <c r="E24" s="642"/>
      <c r="F24" s="642"/>
      <c r="G24" s="646"/>
      <c r="H24" s="943"/>
      <c r="I24" s="1158"/>
      <c r="J24" s="943"/>
      <c r="K24" s="1180"/>
      <c r="L24" s="943"/>
      <c r="M24" s="1180"/>
    </row>
    <row r="25" spans="1:13" x14ac:dyDescent="0.35">
      <c r="A25" s="1179"/>
      <c r="B25" s="1254" t="s">
        <v>660</v>
      </c>
      <c r="C25" s="642"/>
      <c r="D25" s="642"/>
      <c r="E25" s="642"/>
      <c r="F25" s="642"/>
      <c r="G25" s="646"/>
      <c r="H25" s="943"/>
      <c r="I25" s="1158"/>
      <c r="J25" s="943"/>
      <c r="K25" s="1180"/>
      <c r="L25" s="943"/>
      <c r="M25" s="1180"/>
    </row>
    <row r="26" spans="1:13" x14ac:dyDescent="0.35">
      <c r="A26" s="683"/>
      <c r="B26" s="1254" t="s">
        <v>661</v>
      </c>
      <c r="C26" s="642"/>
      <c r="D26" s="642"/>
      <c r="E26" s="642"/>
      <c r="F26" s="642"/>
      <c r="G26" s="646"/>
      <c r="H26" s="943"/>
      <c r="I26" s="1158"/>
      <c r="J26" s="943"/>
      <c r="K26" s="1180"/>
      <c r="L26" s="943"/>
      <c r="M26" s="1180"/>
    </row>
    <row r="27" spans="1:13" x14ac:dyDescent="0.35">
      <c r="A27" s="1179"/>
      <c r="B27" s="1254" t="s">
        <v>662</v>
      </c>
      <c r="C27" s="642"/>
      <c r="D27" s="642"/>
      <c r="E27" s="642"/>
      <c r="F27" s="642"/>
      <c r="G27" s="646"/>
      <c r="H27" s="943"/>
      <c r="I27" s="1158"/>
      <c r="J27" s="943"/>
      <c r="K27" s="1180"/>
      <c r="L27" s="943"/>
      <c r="M27" s="1180"/>
    </row>
    <row r="28" spans="1:13" x14ac:dyDescent="0.35">
      <c r="A28" s="1179"/>
      <c r="B28" s="1254" t="s">
        <v>663</v>
      </c>
      <c r="C28" s="642"/>
      <c r="D28" s="642"/>
      <c r="E28" s="642"/>
      <c r="F28" s="642"/>
      <c r="G28" s="646"/>
      <c r="H28" s="943"/>
      <c r="I28" s="1158"/>
      <c r="J28" s="943"/>
      <c r="K28" s="1180"/>
      <c r="L28" s="943"/>
      <c r="M28" s="1180"/>
    </row>
    <row r="29" spans="1:13" x14ac:dyDescent="0.35">
      <c r="A29" s="1179"/>
      <c r="B29" s="1254" t="s">
        <v>742</v>
      </c>
      <c r="C29" s="642"/>
      <c r="D29" s="642"/>
      <c r="E29" s="642"/>
      <c r="F29" s="642"/>
      <c r="G29" s="646"/>
      <c r="H29" s="943"/>
      <c r="I29" s="1158"/>
      <c r="J29" s="943"/>
      <c r="K29" s="1180"/>
      <c r="L29" s="943"/>
      <c r="M29" s="1180"/>
    </row>
    <row r="30" spans="1:13" x14ac:dyDescent="0.35">
      <c r="A30" s="1179"/>
      <c r="B30" s="1255" t="s">
        <v>664</v>
      </c>
      <c r="C30" s="642"/>
      <c r="D30" s="642"/>
      <c r="E30" s="642"/>
      <c r="F30" s="642"/>
      <c r="G30" s="646"/>
      <c r="H30" s="943"/>
      <c r="I30" s="1158"/>
      <c r="J30" s="943"/>
      <c r="K30" s="1180"/>
      <c r="L30" s="943"/>
      <c r="M30" s="1180"/>
    </row>
    <row r="31" spans="1:13" x14ac:dyDescent="0.35">
      <c r="A31" s="1179"/>
      <c r="B31" s="1262" t="s">
        <v>665</v>
      </c>
      <c r="C31" s="650"/>
      <c r="D31" s="650"/>
      <c r="E31" s="650"/>
      <c r="F31" s="650"/>
      <c r="G31" s="651"/>
      <c r="H31" s="636"/>
      <c r="I31" s="1162"/>
      <c r="J31" s="636"/>
      <c r="K31" s="1163"/>
      <c r="L31" s="636"/>
      <c r="M31" s="1163"/>
    </row>
    <row r="32" spans="1:13" x14ac:dyDescent="0.35">
      <c r="A32" s="1179"/>
      <c r="B32" s="1257" t="s">
        <v>874</v>
      </c>
      <c r="C32" s="642"/>
      <c r="D32" s="642"/>
      <c r="E32" s="642"/>
      <c r="F32" s="642"/>
      <c r="G32" s="646"/>
      <c r="H32" s="943"/>
      <c r="I32" s="1158"/>
      <c r="J32" s="943"/>
      <c r="K32" s="1180"/>
      <c r="L32" s="943"/>
      <c r="M32" s="1180"/>
    </row>
    <row r="33" spans="1:13" x14ac:dyDescent="0.35">
      <c r="A33" s="1179"/>
      <c r="B33" s="1263"/>
      <c r="C33" s="642"/>
      <c r="D33" s="642"/>
      <c r="E33" s="642"/>
      <c r="F33" s="642"/>
      <c r="G33" s="646"/>
      <c r="H33" s="943"/>
      <c r="I33" s="1158"/>
      <c r="J33" s="943"/>
      <c r="K33" s="1180"/>
      <c r="L33" s="943"/>
      <c r="M33" s="1180"/>
    </row>
    <row r="34" spans="1:13" ht="30" customHeight="1" x14ac:dyDescent="0.35">
      <c r="A34" s="1179"/>
      <c r="B34" s="1193" t="s">
        <v>1134</v>
      </c>
      <c r="C34" s="642"/>
      <c r="D34" s="642">
        <v>814</v>
      </c>
      <c r="E34" s="642" t="s">
        <v>666</v>
      </c>
      <c r="F34" s="1012"/>
      <c r="G34" s="690"/>
      <c r="H34" s="943" t="s">
        <v>669</v>
      </c>
      <c r="I34" s="1158"/>
      <c r="J34" s="943" t="s">
        <v>669</v>
      </c>
      <c r="K34" s="1180"/>
      <c r="L34" s="943" t="s">
        <v>669</v>
      </c>
      <c r="M34" s="1180"/>
    </row>
    <row r="35" spans="1:13" x14ac:dyDescent="0.35">
      <c r="A35" s="1179"/>
      <c r="B35" s="1193" t="s">
        <v>1133</v>
      </c>
      <c r="C35" s="642"/>
      <c r="D35" s="642">
        <v>327</v>
      </c>
      <c r="E35" s="642" t="s">
        <v>666</v>
      </c>
      <c r="F35" s="1012"/>
      <c r="G35" s="690"/>
      <c r="H35" s="943" t="s">
        <v>669</v>
      </c>
      <c r="I35" s="1158"/>
      <c r="J35" s="943" t="s">
        <v>669</v>
      </c>
      <c r="K35" s="1180"/>
      <c r="L35" s="943" t="s">
        <v>669</v>
      </c>
      <c r="M35" s="1180"/>
    </row>
    <row r="36" spans="1:13" x14ac:dyDescent="0.35">
      <c r="A36" s="1179"/>
      <c r="B36" s="1193" t="s">
        <v>1163</v>
      </c>
      <c r="C36" s="642"/>
      <c r="D36" s="642">
        <v>6942</v>
      </c>
      <c r="E36" s="642" t="s">
        <v>28</v>
      </c>
      <c r="F36" s="1012"/>
      <c r="G36" s="690"/>
      <c r="H36" s="943" t="s">
        <v>669</v>
      </c>
      <c r="I36" s="1261">
        <f>1099500-150000</f>
        <v>949500</v>
      </c>
      <c r="J36" s="943" t="s">
        <v>669</v>
      </c>
      <c r="K36" s="1261">
        <f>I36-400000</f>
        <v>549500</v>
      </c>
      <c r="L36" s="943" t="s">
        <v>669</v>
      </c>
      <c r="M36" s="1261"/>
    </row>
    <row r="37" spans="1:13" x14ac:dyDescent="0.35">
      <c r="A37" s="1179"/>
      <c r="B37" s="1265"/>
      <c r="C37" s="642"/>
      <c r="D37" s="642"/>
      <c r="E37" s="642"/>
      <c r="F37" s="1012"/>
      <c r="G37" s="690"/>
      <c r="H37" s="943" t="s">
        <v>669</v>
      </c>
      <c r="I37" s="1158"/>
      <c r="J37" s="943" t="s">
        <v>669</v>
      </c>
      <c r="K37" s="1158"/>
      <c r="L37" s="943" t="s">
        <v>669</v>
      </c>
      <c r="M37" s="1158"/>
    </row>
    <row r="38" spans="1:13" x14ac:dyDescent="0.35">
      <c r="A38" s="1179"/>
      <c r="B38" s="1193" t="s">
        <v>1164</v>
      </c>
      <c r="C38" s="642"/>
      <c r="D38" s="642"/>
      <c r="E38" s="642"/>
      <c r="F38" s="1012"/>
      <c r="G38" s="690"/>
      <c r="H38" s="943" t="s">
        <v>669</v>
      </c>
      <c r="I38" s="1158"/>
      <c r="J38" s="943" t="s">
        <v>669</v>
      </c>
      <c r="K38" s="1158"/>
      <c r="L38" s="943" t="s">
        <v>669</v>
      </c>
      <c r="M38" s="1158"/>
    </row>
    <row r="39" spans="1:13" x14ac:dyDescent="0.35">
      <c r="A39" s="1179"/>
      <c r="B39" s="1265"/>
      <c r="C39" s="642"/>
      <c r="D39" s="642"/>
      <c r="E39" s="642"/>
      <c r="F39" s="1012"/>
      <c r="G39" s="690"/>
      <c r="H39" s="943" t="s">
        <v>669</v>
      </c>
      <c r="I39" s="1158"/>
      <c r="J39" s="943" t="s">
        <v>669</v>
      </c>
      <c r="K39" s="1158"/>
      <c r="L39" s="943" t="s">
        <v>669</v>
      </c>
      <c r="M39" s="1158"/>
    </row>
    <row r="40" spans="1:13" ht="17.25" customHeight="1" x14ac:dyDescent="0.35">
      <c r="A40" s="1179"/>
      <c r="B40" s="1265"/>
      <c r="C40" s="642"/>
      <c r="D40" s="642"/>
      <c r="E40" s="642"/>
      <c r="F40" s="1012"/>
      <c r="G40" s="690"/>
      <c r="H40" s="943"/>
      <c r="I40" s="1158"/>
      <c r="J40" s="943"/>
      <c r="K40" s="1158"/>
      <c r="L40" s="943"/>
      <c r="M40" s="1158"/>
    </row>
    <row r="41" spans="1:13" ht="17.25" customHeight="1" x14ac:dyDescent="0.35">
      <c r="A41" s="1179"/>
      <c r="B41" s="1265"/>
      <c r="C41" s="940"/>
      <c r="D41" s="940"/>
      <c r="E41" s="940"/>
      <c r="F41" s="1224"/>
      <c r="G41" s="1225"/>
      <c r="H41" s="943"/>
      <c r="I41" s="1158"/>
      <c r="J41" s="943"/>
      <c r="K41" s="1158"/>
      <c r="L41" s="943"/>
      <c r="M41" s="1158"/>
    </row>
    <row r="42" spans="1:13" x14ac:dyDescent="0.35">
      <c r="A42" s="683"/>
      <c r="B42" s="1193"/>
      <c r="C42" s="940"/>
      <c r="D42" s="940"/>
      <c r="E42" s="940"/>
      <c r="F42" s="940"/>
      <c r="G42" s="1039"/>
      <c r="H42" s="943"/>
      <c r="I42" s="1264"/>
      <c r="J42" s="943"/>
      <c r="K42" s="1264"/>
      <c r="L42" s="943"/>
      <c r="M42" s="1264"/>
    </row>
    <row r="43" spans="1:13" x14ac:dyDescent="0.35">
      <c r="A43" s="683"/>
      <c r="B43" s="1193"/>
      <c r="C43" s="940"/>
      <c r="D43" s="940"/>
      <c r="E43" s="940"/>
      <c r="F43" s="940"/>
      <c r="G43" s="1039"/>
      <c r="H43" s="943"/>
      <c r="I43" s="1264"/>
      <c r="J43" s="943"/>
      <c r="K43" s="1264"/>
      <c r="L43" s="943"/>
      <c r="M43" s="1264"/>
    </row>
    <row r="44" spans="1:13" x14ac:dyDescent="0.35">
      <c r="A44" s="683"/>
      <c r="B44" s="1193"/>
      <c r="C44" s="940"/>
      <c r="D44" s="940"/>
      <c r="E44" s="940"/>
      <c r="F44" s="940"/>
      <c r="G44" s="1039"/>
      <c r="H44" s="943"/>
      <c r="I44" s="1264"/>
      <c r="J44" s="943"/>
      <c r="K44" s="1264"/>
      <c r="L44" s="943"/>
      <c r="M44" s="1264"/>
    </row>
    <row r="45" spans="1:13" x14ac:dyDescent="0.35">
      <c r="A45" s="683"/>
      <c r="B45" s="1193"/>
      <c r="C45" s="940"/>
      <c r="D45" s="940"/>
      <c r="E45" s="940"/>
      <c r="F45" s="940"/>
      <c r="G45" s="1039"/>
      <c r="H45" s="943"/>
      <c r="I45" s="1158"/>
      <c r="J45" s="943"/>
      <c r="K45" s="1158"/>
      <c r="L45" s="943"/>
      <c r="M45" s="1158"/>
    </row>
    <row r="46" spans="1:13" x14ac:dyDescent="0.35">
      <c r="A46" s="14"/>
      <c r="B46" s="15"/>
      <c r="C46" s="16"/>
      <c r="D46" s="16"/>
      <c r="E46" s="17"/>
      <c r="F46" s="18" t="s">
        <v>715</v>
      </c>
      <c r="G46" s="328">
        <f>SUM(G31:G41)</f>
        <v>0</v>
      </c>
      <c r="H46" s="20"/>
      <c r="I46" s="50">
        <f>SUM(I23:I45)</f>
        <v>949500</v>
      </c>
      <c r="J46" s="20"/>
      <c r="K46" s="50">
        <f>SUM(K23:K45)</f>
        <v>549500</v>
      </c>
      <c r="L46" s="20"/>
      <c r="M46" s="50">
        <f>SUM(M23:M45)</f>
        <v>0</v>
      </c>
    </row>
    <row r="47" spans="1:13" x14ac:dyDescent="0.35">
      <c r="A47" s="684"/>
      <c r="B47" s="655"/>
      <c r="C47" s="656"/>
      <c r="D47" s="656"/>
      <c r="E47" s="657"/>
      <c r="F47" s="658" t="s">
        <v>716</v>
      </c>
      <c r="G47" s="659"/>
      <c r="H47" s="959">
        <v>0</v>
      </c>
      <c r="I47" s="1121"/>
      <c r="J47" s="959">
        <v>0</v>
      </c>
      <c r="K47" s="1121"/>
      <c r="L47" s="959">
        <v>0</v>
      </c>
      <c r="M47" s="1121"/>
    </row>
    <row r="48" spans="1:13" x14ac:dyDescent="0.35">
      <c r="A48" s="684"/>
      <c r="B48" s="655"/>
      <c r="C48" s="656"/>
      <c r="D48" s="656"/>
      <c r="E48" s="657"/>
      <c r="F48" s="658" t="s">
        <v>717</v>
      </c>
      <c r="G48" s="659"/>
      <c r="H48" s="961"/>
      <c r="I48" s="1122">
        <f>H47*I46</f>
        <v>0</v>
      </c>
      <c r="J48" s="961"/>
      <c r="K48" s="1122">
        <f>J47*K46</f>
        <v>0</v>
      </c>
      <c r="L48" s="961"/>
      <c r="M48" s="1122">
        <f>L47*M46</f>
        <v>0</v>
      </c>
    </row>
    <row r="49" spans="1:24" x14ac:dyDescent="0.35">
      <c r="A49" s="684"/>
      <c r="B49" s="655"/>
      <c r="C49" s="656"/>
      <c r="D49" s="656"/>
      <c r="E49" s="657"/>
      <c r="F49" s="658"/>
      <c r="G49" s="659"/>
      <c r="H49" s="1123"/>
      <c r="I49" s="1122"/>
      <c r="J49" s="1123"/>
      <c r="K49" s="1122"/>
      <c r="L49" s="1123"/>
      <c r="M49" s="1122"/>
    </row>
    <row r="50" spans="1:24" x14ac:dyDescent="0.35">
      <c r="A50" s="684"/>
      <c r="B50" s="655"/>
      <c r="C50" s="656"/>
      <c r="D50" s="656"/>
      <c r="E50" s="657"/>
      <c r="F50" s="658" t="s">
        <v>718</v>
      </c>
      <c r="G50" s="659"/>
      <c r="H50" s="964"/>
      <c r="I50" s="1122">
        <f>SUM(I46:I49)</f>
        <v>949500</v>
      </c>
      <c r="J50" s="964"/>
      <c r="K50" s="1122">
        <f>SUM(K46:K49)</f>
        <v>549500</v>
      </c>
      <c r="L50" s="964"/>
      <c r="M50" s="1122">
        <f>SUM(M46:M49)</f>
        <v>0</v>
      </c>
    </row>
    <row r="51" spans="1:24" x14ac:dyDescent="0.35">
      <c r="A51" s="684"/>
      <c r="B51" s="655"/>
      <c r="C51" s="656"/>
      <c r="D51" s="656"/>
      <c r="E51" s="657"/>
      <c r="F51" s="660" t="s">
        <v>719</v>
      </c>
      <c r="G51" s="661"/>
      <c r="H51" s="965"/>
      <c r="I51" s="966" t="e">
        <f>I50/#REF!</f>
        <v>#REF!</v>
      </c>
      <c r="J51" s="965"/>
      <c r="K51" s="966" t="e">
        <f>K50/#REF!</f>
        <v>#REF!</v>
      </c>
      <c r="L51" s="965"/>
      <c r="M51" s="966" t="e">
        <f>M50/#REF!</f>
        <v>#REF!</v>
      </c>
    </row>
    <row r="52" spans="1:24" x14ac:dyDescent="0.35">
      <c r="A52" s="684"/>
      <c r="B52" s="655"/>
      <c r="C52" s="656"/>
      <c r="D52" s="656"/>
      <c r="E52" s="657"/>
      <c r="F52" s="660" t="s">
        <v>720</v>
      </c>
      <c r="G52" s="662"/>
      <c r="H52" s="965"/>
      <c r="I52" s="966" t="e">
        <f>I50/#REF!</f>
        <v>#REF!</v>
      </c>
      <c r="J52" s="965"/>
      <c r="K52" s="966" t="e">
        <f>K50/#REF!</f>
        <v>#REF!</v>
      </c>
      <c r="L52" s="965"/>
      <c r="M52" s="966" t="e">
        <f>M50/#REF!</f>
        <v>#REF!</v>
      </c>
    </row>
    <row r="53" spans="1:24" x14ac:dyDescent="0.35">
      <c r="A53" s="684"/>
      <c r="B53" s="655"/>
      <c r="C53" s="656"/>
      <c r="D53" s="656"/>
      <c r="E53" s="657"/>
      <c r="F53" s="658"/>
      <c r="G53" s="663"/>
      <c r="H53" s="1168"/>
      <c r="I53" s="1169"/>
      <c r="J53" s="1168"/>
      <c r="K53" s="1169"/>
      <c r="L53" s="1168"/>
      <c r="M53" s="1169"/>
    </row>
    <row r="54" spans="1:24" x14ac:dyDescent="0.35">
      <c r="A54" s="3764" t="s">
        <v>721</v>
      </c>
      <c r="B54" s="3765"/>
      <c r="C54" s="12"/>
      <c r="D54" s="12"/>
      <c r="E54" s="12"/>
      <c r="F54" s="12"/>
      <c r="G54" s="13"/>
      <c r="H54" s="21"/>
      <c r="I54" s="21"/>
      <c r="J54" s="21"/>
      <c r="K54" s="21"/>
      <c r="L54" s="21"/>
      <c r="M54" s="21"/>
    </row>
    <row r="55" spans="1:24" x14ac:dyDescent="0.35">
      <c r="A55" s="1170"/>
      <c r="B55" s="641"/>
      <c r="C55" s="1171"/>
      <c r="D55" s="1171"/>
      <c r="E55" s="1171"/>
      <c r="F55" s="1171"/>
      <c r="G55" s="1172"/>
      <c r="H55" s="1173"/>
      <c r="I55" s="1173"/>
      <c r="J55" s="1173"/>
      <c r="K55" s="1173"/>
      <c r="L55" s="1173"/>
      <c r="M55" s="1173"/>
    </row>
    <row r="56" spans="1:24" x14ac:dyDescent="0.35">
      <c r="A56" s="1170"/>
      <c r="B56" s="641"/>
      <c r="C56" s="1171"/>
      <c r="D56" s="1171"/>
      <c r="E56" s="1171"/>
      <c r="F56" s="1171"/>
      <c r="G56" s="1172"/>
      <c r="H56" s="1173"/>
      <c r="I56" s="1173"/>
      <c r="J56" s="1173"/>
      <c r="K56" s="1173"/>
      <c r="L56" s="1173"/>
      <c r="M56" s="1173"/>
    </row>
    <row r="57" spans="1:24" x14ac:dyDescent="0.35">
      <c r="A57" s="1170"/>
      <c r="B57" s="641"/>
      <c r="C57" s="1171"/>
      <c r="D57" s="1171"/>
      <c r="E57" s="1171"/>
      <c r="F57" s="1171"/>
      <c r="G57" s="1172"/>
      <c r="H57" s="1173"/>
      <c r="I57" s="1173"/>
      <c r="J57" s="1173"/>
      <c r="K57" s="1173"/>
      <c r="L57" s="1173"/>
      <c r="M57" s="1173"/>
    </row>
    <row r="58" spans="1:24" s="2" customFormat="1" x14ac:dyDescent="0.35">
      <c r="A58" s="3764" t="s">
        <v>722</v>
      </c>
      <c r="B58" s="3765"/>
      <c r="C58" s="12"/>
      <c r="D58" s="12"/>
      <c r="E58" s="12"/>
      <c r="F58" s="12"/>
      <c r="G58" s="13"/>
      <c r="H58" s="21"/>
      <c r="I58" s="21"/>
      <c r="J58" s="21"/>
      <c r="K58" s="21"/>
      <c r="L58" s="21"/>
      <c r="M58" s="21"/>
      <c r="N58"/>
      <c r="O58"/>
      <c r="P58"/>
      <c r="Q58"/>
      <c r="R58"/>
      <c r="S58"/>
      <c r="T58"/>
      <c r="U58"/>
      <c r="V58"/>
      <c r="W58"/>
      <c r="X58"/>
    </row>
    <row r="59" spans="1:24" s="2" customFormat="1" x14ac:dyDescent="0.35">
      <c r="A59" s="1170"/>
      <c r="B59" s="641"/>
      <c r="C59" s="1171"/>
      <c r="D59" s="1171"/>
      <c r="E59" s="1171"/>
      <c r="F59" s="1171"/>
      <c r="G59" s="1172"/>
      <c r="H59" s="1173"/>
      <c r="I59" s="1173"/>
      <c r="J59" s="1173"/>
      <c r="K59" s="1173"/>
      <c r="L59" s="1173"/>
      <c r="M59" s="1173"/>
      <c r="N59"/>
      <c r="O59"/>
      <c r="P59"/>
      <c r="Q59"/>
      <c r="R59"/>
      <c r="S59"/>
      <c r="T59"/>
      <c r="U59"/>
      <c r="V59"/>
      <c r="W59"/>
      <c r="X59"/>
    </row>
    <row r="60" spans="1:24" s="2" customFormat="1" x14ac:dyDescent="0.35">
      <c r="A60" s="1170"/>
      <c r="B60" s="641"/>
      <c r="C60" s="1171"/>
      <c r="D60" s="1171"/>
      <c r="E60" s="1171"/>
      <c r="F60" s="1171"/>
      <c r="G60" s="1172"/>
      <c r="H60" s="1173"/>
      <c r="I60" s="1173"/>
      <c r="J60" s="1173"/>
      <c r="K60" s="1173"/>
      <c r="L60" s="1173"/>
      <c r="M60" s="1173"/>
      <c r="N60"/>
      <c r="O60"/>
      <c r="P60"/>
      <c r="Q60"/>
      <c r="R60"/>
      <c r="S60"/>
      <c r="T60"/>
      <c r="U60"/>
      <c r="V60"/>
      <c r="W60"/>
      <c r="X60"/>
    </row>
    <row r="61" spans="1:24" x14ac:dyDescent="0.35">
      <c r="A61" s="1170"/>
      <c r="B61" s="641"/>
      <c r="C61" s="1171"/>
      <c r="D61" s="1171"/>
      <c r="E61" s="1171"/>
      <c r="F61" s="1171"/>
      <c r="G61" s="1172"/>
      <c r="H61" s="1173"/>
      <c r="I61" s="1173"/>
      <c r="J61" s="1173"/>
      <c r="K61" s="1173"/>
      <c r="L61" s="1173"/>
      <c r="M61" s="1173"/>
    </row>
    <row r="62" spans="1:24" s="2" customFormat="1" x14ac:dyDescent="0.35">
      <c r="A62" s="3764" t="s">
        <v>723</v>
      </c>
      <c r="B62" s="3765"/>
      <c r="C62" s="12"/>
      <c r="D62" s="12"/>
      <c r="E62" s="12"/>
      <c r="F62" s="12"/>
      <c r="G62" s="13"/>
      <c r="H62" s="21"/>
      <c r="I62" s="21"/>
      <c r="J62" s="21"/>
      <c r="K62" s="21"/>
      <c r="L62" s="21"/>
      <c r="M62" s="21"/>
      <c r="N62"/>
      <c r="O62"/>
      <c r="P62"/>
      <c r="Q62"/>
      <c r="R62"/>
      <c r="S62"/>
      <c r="T62"/>
      <c r="U62"/>
      <c r="V62"/>
      <c r="W62"/>
      <c r="X62"/>
    </row>
    <row r="63" spans="1:24" s="2" customFormat="1" x14ac:dyDescent="0.35">
      <c r="A63" s="1170"/>
      <c r="B63" s="641" t="s">
        <v>1159</v>
      </c>
      <c r="C63" s="1171"/>
      <c r="D63" s="1171"/>
      <c r="E63" s="1171"/>
      <c r="F63" s="1171"/>
      <c r="G63" s="1172"/>
      <c r="H63" s="1173"/>
      <c r="I63" s="1173"/>
      <c r="J63" s="1173"/>
      <c r="K63" s="1173"/>
      <c r="L63" s="1173"/>
      <c r="M63" s="1173"/>
      <c r="N63"/>
      <c r="O63"/>
      <c r="P63"/>
      <c r="Q63"/>
      <c r="R63"/>
      <c r="S63"/>
      <c r="T63"/>
      <c r="U63"/>
      <c r="V63"/>
      <c r="W63"/>
      <c r="X63"/>
    </row>
    <row r="64" spans="1:24" s="2" customFormat="1" x14ac:dyDescent="0.35">
      <c r="A64" s="689"/>
      <c r="B64" s="641" t="s">
        <v>1160</v>
      </c>
      <c r="C64" s="642"/>
      <c r="D64" s="642"/>
      <c r="E64" s="642"/>
      <c r="F64" s="642"/>
      <c r="G64" s="646"/>
      <c r="H64" s="973"/>
      <c r="I64" s="973"/>
      <c r="J64" s="973"/>
      <c r="K64" s="973"/>
      <c r="L64" s="973"/>
      <c r="M64" s="973"/>
      <c r="N64"/>
      <c r="O64"/>
      <c r="P64"/>
      <c r="Q64"/>
      <c r="R64"/>
      <c r="S64"/>
      <c r="T64"/>
      <c r="U64"/>
      <c r="V64"/>
      <c r="W64"/>
      <c r="X64"/>
    </row>
    <row r="65" spans="1:24" s="2" customFormat="1" x14ac:dyDescent="0.35">
      <c r="A65" s="686"/>
      <c r="B65" s="665" t="s">
        <v>1161</v>
      </c>
      <c r="C65" s="642"/>
      <c r="D65" s="642"/>
      <c r="E65" s="642"/>
      <c r="F65" s="642"/>
      <c r="G65" s="646"/>
      <c r="H65" s="974"/>
      <c r="I65" s="974"/>
      <c r="J65" s="974"/>
      <c r="K65" s="974"/>
      <c r="L65" s="974"/>
      <c r="M65" s="974"/>
    </row>
    <row r="66" spans="1:24" s="2" customFormat="1" x14ac:dyDescent="0.35">
      <c r="A66" s="3764" t="s">
        <v>724</v>
      </c>
      <c r="B66" s="3765"/>
      <c r="C66" s="12"/>
      <c r="D66" s="12"/>
      <c r="E66" s="12"/>
      <c r="F66" s="12"/>
      <c r="G66" s="13"/>
      <c r="H66" s="21"/>
      <c r="I66" s="21"/>
      <c r="J66" s="21"/>
      <c r="K66" s="21"/>
      <c r="L66" s="21"/>
      <c r="M66" s="21"/>
      <c r="N66"/>
      <c r="O66"/>
      <c r="P66"/>
      <c r="Q66"/>
      <c r="R66"/>
      <c r="S66"/>
      <c r="T66"/>
      <c r="U66"/>
      <c r="V66"/>
      <c r="W66"/>
      <c r="X66"/>
    </row>
    <row r="67" spans="1:24" x14ac:dyDescent="0.35">
      <c r="A67" s="1174"/>
      <c r="B67" s="1175"/>
      <c r="C67" s="1171"/>
      <c r="D67" s="1171"/>
      <c r="E67" s="1171"/>
      <c r="F67" s="1171"/>
      <c r="G67" s="1172"/>
      <c r="H67" s="1173"/>
      <c r="I67" s="1173"/>
      <c r="J67" s="1173"/>
      <c r="K67" s="1173"/>
      <c r="L67" s="1173"/>
      <c r="M67" s="1173"/>
      <c r="N67" s="2"/>
      <c r="O67" s="2"/>
      <c r="P67" s="2"/>
      <c r="Q67" s="2"/>
      <c r="R67" s="2"/>
      <c r="S67" s="2"/>
      <c r="T67" s="2"/>
      <c r="U67" s="2"/>
      <c r="V67" s="2"/>
      <c r="W67" s="2"/>
      <c r="X67" s="2"/>
    </row>
    <row r="68" spans="1:24" x14ac:dyDescent="0.35">
      <c r="A68" s="686"/>
      <c r="B68" s="665"/>
      <c r="C68" s="642"/>
      <c r="D68" s="642"/>
      <c r="E68" s="642"/>
      <c r="F68" s="642"/>
      <c r="G68" s="646"/>
      <c r="H68" s="977"/>
      <c r="I68" s="977"/>
      <c r="J68" s="977"/>
      <c r="K68" s="977"/>
      <c r="L68" s="977"/>
      <c r="M68" s="977"/>
      <c r="N68" s="2"/>
      <c r="O68" s="2"/>
      <c r="P68" s="2"/>
      <c r="Q68" s="2"/>
      <c r="R68" s="2"/>
      <c r="S68" s="2"/>
      <c r="T68" s="2"/>
      <c r="U68" s="2"/>
      <c r="V68" s="2"/>
      <c r="W68" s="2"/>
      <c r="X68" s="2"/>
    </row>
    <row r="69" spans="1:24" x14ac:dyDescent="0.35">
      <c r="A69" s="686"/>
      <c r="B69" s="665"/>
      <c r="C69" s="642"/>
      <c r="D69" s="642"/>
      <c r="E69" s="642"/>
      <c r="F69" s="642"/>
      <c r="G69" s="646"/>
      <c r="H69" s="977"/>
      <c r="I69" s="977"/>
      <c r="J69" s="977"/>
      <c r="K69" s="977"/>
      <c r="L69" s="977"/>
      <c r="M69" s="977"/>
      <c r="N69" s="2"/>
      <c r="O69" s="2"/>
      <c r="P69" s="2"/>
      <c r="Q69" s="2"/>
      <c r="R69" s="2"/>
      <c r="S69" s="2"/>
      <c r="T69" s="2"/>
      <c r="U69" s="2"/>
      <c r="V69" s="2"/>
      <c r="W69" s="2"/>
      <c r="X69" s="2"/>
    </row>
    <row r="70" spans="1:24" x14ac:dyDescent="0.35">
      <c r="A70" s="3764" t="s">
        <v>725</v>
      </c>
      <c r="B70" s="3765"/>
      <c r="C70" s="12"/>
      <c r="D70" s="12"/>
      <c r="E70" s="12"/>
      <c r="F70" s="12"/>
      <c r="G70" s="13"/>
      <c r="H70" s="21"/>
      <c r="I70" s="21"/>
      <c r="J70" s="21"/>
      <c r="K70" s="21"/>
      <c r="L70" s="21"/>
      <c r="M70" s="21"/>
    </row>
    <row r="71" spans="1:24" x14ac:dyDescent="0.35">
      <c r="A71" s="689"/>
      <c r="B71" s="641" t="s">
        <v>726</v>
      </c>
      <c r="C71" s="642"/>
      <c r="D71" s="642"/>
      <c r="E71" s="642"/>
      <c r="F71" s="642"/>
      <c r="G71" s="646"/>
      <c r="H71" s="977"/>
      <c r="I71" s="977"/>
      <c r="J71" s="977"/>
      <c r="K71" s="977"/>
      <c r="L71" s="977"/>
      <c r="M71" s="977"/>
    </row>
    <row r="72" spans="1:24" x14ac:dyDescent="0.35">
      <c r="A72" s="689"/>
      <c r="B72" s="641" t="s">
        <v>727</v>
      </c>
      <c r="C72" s="642"/>
      <c r="D72" s="642"/>
      <c r="E72" s="642"/>
      <c r="F72" s="642"/>
      <c r="G72" s="646"/>
      <c r="H72" s="977"/>
      <c r="I72" s="977"/>
      <c r="J72" s="977"/>
      <c r="K72" s="977"/>
      <c r="L72" s="977"/>
      <c r="M72" s="977"/>
    </row>
    <row r="73" spans="1:24" x14ac:dyDescent="0.35">
      <c r="A73" s="689"/>
      <c r="B73" s="641" t="s">
        <v>728</v>
      </c>
      <c r="C73" s="642"/>
      <c r="D73" s="642"/>
      <c r="E73" s="642"/>
      <c r="F73" s="642"/>
      <c r="G73" s="646"/>
      <c r="H73" s="977"/>
      <c r="I73" s="977"/>
      <c r="J73" s="977"/>
      <c r="K73" s="977"/>
      <c r="L73" s="977"/>
      <c r="M73" s="977"/>
    </row>
    <row r="74" spans="1:24" x14ac:dyDescent="0.35">
      <c r="A74" s="689"/>
      <c r="B74" s="641" t="s">
        <v>729</v>
      </c>
      <c r="C74" s="642"/>
      <c r="D74" s="642"/>
      <c r="E74" s="642"/>
      <c r="F74" s="642"/>
      <c r="G74" s="646"/>
      <c r="H74" s="977"/>
      <c r="I74" s="977"/>
      <c r="J74" s="977"/>
      <c r="K74" s="977"/>
      <c r="L74" s="977"/>
      <c r="M74" s="977"/>
    </row>
    <row r="75" spans="1:24" x14ac:dyDescent="0.35">
      <c r="A75" s="978"/>
      <c r="B75" s="939"/>
      <c r="C75" s="940"/>
      <c r="D75" s="940"/>
      <c r="E75" s="940"/>
      <c r="F75" s="940"/>
      <c r="G75" s="1039"/>
      <c r="H75" s="981"/>
      <c r="I75" s="981"/>
      <c r="J75" s="981"/>
      <c r="K75" s="981"/>
      <c r="L75" s="981"/>
      <c r="M75" s="981"/>
    </row>
    <row r="76" spans="1:24" x14ac:dyDescent="0.35">
      <c r="A76" s="7" t="s">
        <v>730</v>
      </c>
      <c r="B76" s="8"/>
      <c r="C76" s="12"/>
      <c r="D76" s="12"/>
      <c r="E76" s="12"/>
      <c r="F76" s="12"/>
      <c r="G76" s="13"/>
      <c r="H76" s="21"/>
      <c r="I76" s="21"/>
      <c r="J76" s="21"/>
      <c r="K76" s="21"/>
      <c r="L76" s="21"/>
      <c r="M76" s="21"/>
    </row>
    <row r="77" spans="1:24" x14ac:dyDescent="0.35">
      <c r="A77" s="1170"/>
      <c r="B77" s="1176" t="s">
        <v>731</v>
      </c>
      <c r="C77" s="1171"/>
      <c r="D77" s="1171"/>
      <c r="E77" s="1171"/>
      <c r="F77" s="1171"/>
      <c r="G77" s="1172"/>
      <c r="H77" s="1177"/>
      <c r="I77" s="1177"/>
      <c r="J77" s="1177"/>
      <c r="K77" s="1177"/>
      <c r="L77" s="1177"/>
      <c r="M77" s="1177"/>
    </row>
    <row r="78" spans="1:24" x14ac:dyDescent="0.35">
      <c r="A78" s="689"/>
      <c r="B78" s="641" t="s">
        <v>732</v>
      </c>
      <c r="C78" s="642"/>
      <c r="D78" s="642"/>
      <c r="E78" s="642"/>
      <c r="F78" s="642"/>
      <c r="G78" s="646"/>
      <c r="H78" s="984"/>
      <c r="I78" s="984"/>
      <c r="J78" s="984"/>
      <c r="K78" s="984"/>
      <c r="L78" s="984"/>
      <c r="M78" s="984"/>
    </row>
    <row r="79" spans="1:24" x14ac:dyDescent="0.35">
      <c r="A79" s="985"/>
      <c r="B79" s="986" t="s">
        <v>733</v>
      </c>
      <c r="C79" s="987"/>
      <c r="D79" s="987"/>
      <c r="E79" s="987"/>
      <c r="F79" s="987"/>
      <c r="G79" s="1040"/>
      <c r="H79" s="990"/>
      <c r="I79" s="990"/>
      <c r="J79" s="990"/>
      <c r="K79" s="990"/>
      <c r="L79" s="990"/>
      <c r="M79" s="990"/>
    </row>
    <row r="81" spans="1:2" x14ac:dyDescent="0.35">
      <c r="A81" s="78" t="s">
        <v>734</v>
      </c>
      <c r="B81" s="80"/>
    </row>
    <row r="82" spans="1:2" x14ac:dyDescent="0.35">
      <c r="A82" s="79" t="s">
        <v>632</v>
      </c>
      <c r="B82" s="991"/>
    </row>
    <row r="83" spans="1:2" x14ac:dyDescent="0.35">
      <c r="A83" s="687" t="s">
        <v>636</v>
      </c>
      <c r="B83" s="991"/>
    </row>
    <row r="84" spans="1:2" x14ac:dyDescent="0.35">
      <c r="A84" s="992" t="s">
        <v>639</v>
      </c>
      <c r="B84" s="993"/>
    </row>
    <row r="85" spans="1:2" x14ac:dyDescent="0.35">
      <c r="A85" s="992" t="s">
        <v>642</v>
      </c>
      <c r="B85" s="994"/>
    </row>
    <row r="86" spans="1:2" x14ac:dyDescent="0.35">
      <c r="A86" s="995" t="s">
        <v>735</v>
      </c>
      <c r="B86" s="996" t="e">
        <f>#REF!</f>
        <v>#REF!</v>
      </c>
    </row>
    <row r="88" spans="1:2" x14ac:dyDescent="0.35">
      <c r="A88" s="81"/>
      <c r="B88" s="1" t="s">
        <v>736</v>
      </c>
    </row>
    <row r="89" spans="1:2" x14ac:dyDescent="0.35">
      <c r="A89" s="82"/>
      <c r="B89" s="1" t="s">
        <v>737</v>
      </c>
    </row>
  </sheetData>
  <mergeCells count="26">
    <mergeCell ref="H2:I2"/>
    <mergeCell ref="J2:K2"/>
    <mergeCell ref="H4:I4"/>
    <mergeCell ref="J4:K4"/>
    <mergeCell ref="H3:I3"/>
    <mergeCell ref="J3:K3"/>
    <mergeCell ref="H6:I6"/>
    <mergeCell ref="J6:K6"/>
    <mergeCell ref="H5:I5"/>
    <mergeCell ref="J5:K5"/>
    <mergeCell ref="H8:I8"/>
    <mergeCell ref="J8:K8"/>
    <mergeCell ref="H7:I7"/>
    <mergeCell ref="J7:K7"/>
    <mergeCell ref="A54:B54"/>
    <mergeCell ref="A58:B58"/>
    <mergeCell ref="A62:B62"/>
    <mergeCell ref="A66:B66"/>
    <mergeCell ref="A70:B70"/>
    <mergeCell ref="L7:M7"/>
    <mergeCell ref="L8:M8"/>
    <mergeCell ref="L2:M2"/>
    <mergeCell ref="L3:M3"/>
    <mergeCell ref="L4:M4"/>
    <mergeCell ref="L5:M5"/>
    <mergeCell ref="L6:M6"/>
  </mergeCells>
  <conditionalFormatting sqref="H20:H30">
    <cfRule type="cellIs" dxfId="2555" priority="17" operator="equal">
      <formula>"X"</formula>
    </cfRule>
    <cfRule type="cellIs" dxfId="2554" priority="18" operator="equal">
      <formula>"I"</formula>
    </cfRule>
  </conditionalFormatting>
  <conditionalFormatting sqref="H32:H45 J32:J45">
    <cfRule type="cellIs" dxfId="2553" priority="13" operator="equal">
      <formula>"X"</formula>
    </cfRule>
    <cfRule type="cellIs" dxfId="2552" priority="14" operator="equal">
      <formula>"I"</formula>
    </cfRule>
  </conditionalFormatting>
  <conditionalFormatting sqref="J20:J30">
    <cfRule type="cellIs" dxfId="2551" priority="19" operator="equal">
      <formula>"X"</formula>
    </cfRule>
    <cfRule type="cellIs" dxfId="2550" priority="20" operator="equal">
      <formula>"I"</formula>
    </cfRule>
  </conditionalFormatting>
  <conditionalFormatting sqref="L20:L30">
    <cfRule type="cellIs" dxfId="2549" priority="3" operator="equal">
      <formula>"X"</formula>
    </cfRule>
    <cfRule type="cellIs" dxfId="2548" priority="4" operator="equal">
      <formula>"I"</formula>
    </cfRule>
  </conditionalFormatting>
  <conditionalFormatting sqref="L32:L45">
    <cfRule type="cellIs" dxfId="2547" priority="1" operator="equal">
      <formula>"X"</formula>
    </cfRule>
    <cfRule type="cellIs" dxfId="2546" priority="2" operator="equal">
      <formula>"I"</formula>
    </cfRule>
  </conditionalFormatting>
  <hyperlinks>
    <hyperlink ref="B3" location="'Cost Summary'!A1" display="BACK TO SUMMARY SHEET" xr:uid="{954A9655-2271-48C3-BE8D-90A2A9B53F44}"/>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6D94-4F0A-4554-B412-C3FE1F974C9E}">
  <sheetPr>
    <tabColor rgb="FFFFC000"/>
  </sheetPr>
  <dimension ref="A1:AH119"/>
  <sheetViews>
    <sheetView zoomScale="85" zoomScaleNormal="85" workbookViewId="0">
      <pane xSplit="2" ySplit="9" topLeftCell="K41" activePane="bottomRight" state="frozen"/>
      <selection pane="topRight" activeCell="C1" sqref="C1"/>
      <selection pane="bottomLeft" activeCell="A11" sqref="A11"/>
      <selection pane="bottomRight" activeCell="K41" sqref="K41"/>
    </sheetView>
  </sheetViews>
  <sheetFormatPr defaultRowHeight="14.5" x14ac:dyDescent="0.35"/>
  <cols>
    <col min="1" max="1" width="11" customWidth="1"/>
    <col min="2" max="2" width="70.7265625" style="1" customWidth="1"/>
    <col min="3" max="3" width="10.81640625" style="2" bestFit="1" customWidth="1"/>
    <col min="4" max="4" width="12.26953125" style="2" customWidth="1"/>
    <col min="5" max="5" width="7.54296875" style="2" customWidth="1"/>
    <col min="6" max="6" width="10.54296875" style="2" customWidth="1"/>
    <col min="7" max="7" width="12.26953125" style="2" customWidth="1"/>
    <col min="8" max="8" width="7.453125" style="2" bestFit="1" customWidth="1"/>
    <col min="9" max="9" width="12.269531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6.81640625" customWidth="1"/>
    <col min="21" max="21" width="13.81640625" customWidth="1"/>
  </cols>
  <sheetData>
    <row r="1" spans="1:21" x14ac:dyDescent="0.35">
      <c r="E1" s="152"/>
      <c r="F1" s="125"/>
      <c r="G1" s="123" t="s">
        <v>621</v>
      </c>
      <c r="T1" s="2"/>
      <c r="U1" s="2"/>
    </row>
    <row r="2" spans="1:21" x14ac:dyDescent="0.35">
      <c r="E2" s="152"/>
      <c r="F2" s="122" t="s">
        <v>622</v>
      </c>
      <c r="G2" s="123" t="s">
        <v>451</v>
      </c>
      <c r="H2" s="3789"/>
      <c r="I2" s="3789"/>
      <c r="J2" s="3751"/>
      <c r="K2" s="3751"/>
      <c r="L2" s="3789"/>
      <c r="M2" s="3789"/>
      <c r="N2" s="3751"/>
      <c r="O2" s="3751"/>
      <c r="P2" s="3751"/>
      <c r="Q2" s="3751"/>
      <c r="R2" s="3751"/>
      <c r="S2" s="3751"/>
      <c r="T2" s="3782" t="s">
        <v>1165</v>
      </c>
      <c r="U2" s="3782"/>
    </row>
    <row r="3" spans="1:21" ht="19.5" x14ac:dyDescent="0.35">
      <c r="B3" s="137" t="s">
        <v>623</v>
      </c>
      <c r="E3" s="152"/>
      <c r="F3" s="124" t="s">
        <v>624</v>
      </c>
      <c r="G3" s="123" t="s">
        <v>557</v>
      </c>
      <c r="H3" s="3754" t="s">
        <v>1166</v>
      </c>
      <c r="I3" s="3755"/>
      <c r="J3" s="3754" t="s">
        <v>1167</v>
      </c>
      <c r="K3" s="3755"/>
      <c r="L3" s="3754"/>
      <c r="M3" s="3755"/>
      <c r="N3" s="3754"/>
      <c r="O3" s="3755"/>
      <c r="P3" s="3754"/>
      <c r="Q3" s="3755"/>
      <c r="R3" s="3754"/>
      <c r="S3" s="3755"/>
      <c r="T3" s="3754" t="s">
        <v>1168</v>
      </c>
      <c r="U3" s="3755"/>
    </row>
    <row r="4" spans="1:21" x14ac:dyDescent="0.35">
      <c r="A4" s="3" t="s">
        <v>631</v>
      </c>
      <c r="B4" s="4" t="str">
        <f>'AREA CALC''s'!B4</f>
        <v>Alton Hilltop Gardens</v>
      </c>
      <c r="C4" s="5"/>
      <c r="D4" s="5"/>
      <c r="E4" s="5"/>
      <c r="F4" s="5"/>
      <c r="G4" s="6" t="s">
        <v>632</v>
      </c>
      <c r="H4" s="3752"/>
      <c r="I4" s="3753"/>
      <c r="J4" s="3752"/>
      <c r="K4" s="3753"/>
      <c r="L4" s="3752"/>
      <c r="M4" s="3753"/>
      <c r="N4" s="3752"/>
      <c r="O4" s="3753"/>
      <c r="P4" s="3752"/>
      <c r="Q4" s="3753"/>
      <c r="R4" s="3752"/>
      <c r="S4" s="3753"/>
      <c r="T4" s="3752"/>
      <c r="U4" s="3753"/>
    </row>
    <row r="5" spans="1:21" x14ac:dyDescent="0.35">
      <c r="A5" s="688" t="s">
        <v>634</v>
      </c>
      <c r="B5" s="641" t="s">
        <v>478</v>
      </c>
      <c r="C5" s="642"/>
      <c r="D5" s="642"/>
      <c r="E5" s="642"/>
      <c r="F5" s="642"/>
      <c r="G5" s="643" t="s">
        <v>636</v>
      </c>
      <c r="H5" s="3800"/>
      <c r="I5" s="3801"/>
      <c r="J5" s="3800"/>
      <c r="K5" s="3801"/>
      <c r="L5" s="3800"/>
      <c r="M5" s="3801"/>
      <c r="N5" s="3800"/>
      <c r="O5" s="3801"/>
      <c r="P5" s="3800"/>
      <c r="Q5" s="3801"/>
      <c r="R5" s="3800"/>
      <c r="S5" s="3801"/>
      <c r="T5" s="3800"/>
      <c r="U5" s="3801"/>
    </row>
    <row r="6" spans="1:21" x14ac:dyDescent="0.35">
      <c r="A6" s="688" t="s">
        <v>638</v>
      </c>
      <c r="B6" s="644" t="s">
        <v>477</v>
      </c>
      <c r="C6" s="642"/>
      <c r="D6" s="642"/>
      <c r="E6" s="642"/>
      <c r="F6" s="642"/>
      <c r="G6" s="643" t="s">
        <v>639</v>
      </c>
      <c r="H6" s="3756"/>
      <c r="I6" s="3757"/>
      <c r="J6" s="3756"/>
      <c r="K6" s="3757"/>
      <c r="L6" s="3756"/>
      <c r="M6" s="3757"/>
      <c r="N6" s="3756"/>
      <c r="O6" s="3757"/>
      <c r="P6" s="3756"/>
      <c r="Q6" s="3757"/>
      <c r="R6" s="3756"/>
      <c r="S6" s="3757"/>
      <c r="T6" s="3756"/>
      <c r="U6" s="3757"/>
    </row>
    <row r="7" spans="1:21" x14ac:dyDescent="0.35">
      <c r="A7" s="688" t="s">
        <v>641</v>
      </c>
      <c r="B7" s="645"/>
      <c r="C7" s="642"/>
      <c r="D7" s="642"/>
      <c r="E7" s="642"/>
      <c r="F7" s="642"/>
      <c r="G7" s="643" t="s">
        <v>642</v>
      </c>
      <c r="H7" s="3786"/>
      <c r="I7" s="3757"/>
      <c r="J7" s="3790"/>
      <c r="K7" s="3791"/>
      <c r="L7" s="3790"/>
      <c r="M7" s="3792"/>
      <c r="N7" s="3790"/>
      <c r="O7" s="3792"/>
      <c r="P7" s="3790"/>
      <c r="Q7" s="3791"/>
      <c r="R7" s="3786"/>
      <c r="S7" s="3757"/>
      <c r="T7" s="3786"/>
      <c r="U7" s="3757"/>
    </row>
    <row r="8" spans="1:21" x14ac:dyDescent="0.35">
      <c r="A8" s="938" t="s">
        <v>644</v>
      </c>
      <c r="B8" s="939"/>
      <c r="C8" s="940"/>
      <c r="D8" s="940"/>
      <c r="E8" s="940"/>
      <c r="F8" s="940"/>
      <c r="G8" s="1024" t="s">
        <v>644</v>
      </c>
      <c r="H8" s="3760">
        <f>I50</f>
        <v>347100</v>
      </c>
      <c r="I8" s="3761"/>
      <c r="J8" s="3760">
        <f>K50</f>
        <v>416520</v>
      </c>
      <c r="K8" s="3761"/>
      <c r="L8" s="3760"/>
      <c r="M8" s="3761"/>
      <c r="N8" s="3760"/>
      <c r="O8" s="3761"/>
      <c r="P8" s="3760"/>
      <c r="Q8" s="3761"/>
      <c r="R8" s="3760"/>
      <c r="S8" s="3761"/>
      <c r="T8" s="3760">
        <f>U50</f>
        <v>0</v>
      </c>
      <c r="U8" s="3761"/>
    </row>
    <row r="9" spans="1:21" ht="29" x14ac:dyDescent="0.35">
      <c r="A9" s="7" t="s">
        <v>645</v>
      </c>
      <c r="B9" s="8"/>
      <c r="C9" s="9" t="s">
        <v>646</v>
      </c>
      <c r="D9" s="9" t="s">
        <v>647</v>
      </c>
      <c r="E9" s="9" t="s">
        <v>648</v>
      </c>
      <c r="F9" s="9" t="s">
        <v>649</v>
      </c>
      <c r="G9" s="10" t="s">
        <v>650</v>
      </c>
      <c r="H9" s="11" t="s">
        <v>651</v>
      </c>
      <c r="I9" s="11" t="s">
        <v>652</v>
      </c>
      <c r="J9" s="11" t="s">
        <v>651</v>
      </c>
      <c r="K9" s="11" t="s">
        <v>652</v>
      </c>
      <c r="L9" s="11"/>
      <c r="M9" s="11"/>
      <c r="N9" s="11"/>
      <c r="O9" s="11"/>
      <c r="P9" s="11"/>
      <c r="Q9" s="11"/>
      <c r="R9" s="11"/>
      <c r="S9" s="11"/>
      <c r="T9" s="11" t="s">
        <v>651</v>
      </c>
      <c r="U9" s="11" t="s">
        <v>652</v>
      </c>
    </row>
    <row r="10" spans="1:21" hidden="1" x14ac:dyDescent="0.35">
      <c r="A10" s="689"/>
      <c r="B10" s="1178" t="s">
        <v>653</v>
      </c>
      <c r="C10" s="642"/>
      <c r="D10" s="642"/>
      <c r="E10" s="642"/>
      <c r="F10" s="642"/>
      <c r="G10" s="646"/>
      <c r="H10" s="942"/>
      <c r="I10" s="942"/>
      <c r="J10" s="942"/>
      <c r="K10" s="942"/>
      <c r="L10" s="942"/>
      <c r="M10" s="942"/>
      <c r="N10" s="942"/>
      <c r="O10" s="942"/>
      <c r="P10" s="942"/>
      <c r="Q10" s="942"/>
      <c r="R10" s="942"/>
      <c r="S10" s="942"/>
      <c r="T10" s="942"/>
      <c r="U10" s="942"/>
    </row>
    <row r="11" spans="1:21"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c r="T11" s="942"/>
      <c r="U11" s="942"/>
    </row>
    <row r="12" spans="1:21"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c r="T12" s="942"/>
      <c r="U12" s="942"/>
    </row>
    <row r="13" spans="1:21"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row>
    <row r="14" spans="1:21"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row>
    <row r="15" spans="1:21"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row>
    <row r="16" spans="1:21"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c r="T16" s="942"/>
      <c r="U16" s="942"/>
    </row>
    <row r="17" spans="1:21"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c r="T17" s="942"/>
      <c r="U17" s="942"/>
    </row>
    <row r="18" spans="1:21"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row>
    <row r="19" spans="1:21"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c r="T19" s="942"/>
      <c r="U19" s="942"/>
    </row>
    <row r="20" spans="1:21" x14ac:dyDescent="0.35">
      <c r="A20" s="689"/>
      <c r="B20" s="641"/>
      <c r="C20" s="647"/>
      <c r="D20" s="642"/>
      <c r="E20" s="642"/>
      <c r="F20" s="642"/>
      <c r="G20" s="646"/>
      <c r="H20" s="943"/>
      <c r="I20" s="942"/>
      <c r="J20" s="943"/>
      <c r="K20" s="942"/>
      <c r="L20" s="943"/>
      <c r="M20" s="942"/>
      <c r="N20" s="943"/>
      <c r="O20" s="942"/>
      <c r="P20" s="943"/>
      <c r="Q20" s="942"/>
      <c r="R20" s="943"/>
      <c r="S20" s="942"/>
      <c r="T20" s="943"/>
      <c r="U20" s="942"/>
    </row>
    <row r="21" spans="1:21" x14ac:dyDescent="0.35">
      <c r="A21" s="689"/>
      <c r="B21" s="648" t="s">
        <v>478</v>
      </c>
      <c r="C21" s="647"/>
      <c r="D21" s="642"/>
      <c r="E21" s="642"/>
      <c r="F21" s="642"/>
      <c r="G21" s="646"/>
      <c r="H21" s="943"/>
      <c r="I21" s="942"/>
      <c r="J21" s="943"/>
      <c r="K21" s="942"/>
      <c r="L21" s="943"/>
      <c r="M21" s="942"/>
      <c r="N21" s="943"/>
      <c r="O21" s="942"/>
      <c r="P21" s="943"/>
      <c r="Q21" s="942"/>
      <c r="R21" s="943"/>
      <c r="S21" s="942"/>
      <c r="T21" s="943"/>
      <c r="U21" s="942"/>
    </row>
    <row r="22" spans="1:21" x14ac:dyDescent="0.35">
      <c r="A22" s="1179"/>
      <c r="B22" s="604" t="s">
        <v>657</v>
      </c>
      <c r="C22" s="647"/>
      <c r="D22" s="642"/>
      <c r="E22" s="642"/>
      <c r="F22" s="642"/>
      <c r="G22" s="646"/>
      <c r="H22" s="943"/>
      <c r="I22" s="1180"/>
      <c r="J22" s="943"/>
      <c r="K22" s="1180"/>
      <c r="L22" s="943"/>
      <c r="M22" s="1180"/>
      <c r="N22" s="943"/>
      <c r="O22" s="1180"/>
      <c r="P22" s="943"/>
      <c r="Q22" s="1180"/>
      <c r="R22" s="943"/>
      <c r="S22" s="1180"/>
      <c r="T22" s="943"/>
      <c r="U22" s="1180"/>
    </row>
    <row r="23" spans="1:21" x14ac:dyDescent="0.35">
      <c r="A23" s="1179"/>
      <c r="B23" s="607" t="s">
        <v>658</v>
      </c>
      <c r="C23" s="647"/>
      <c r="D23" s="642"/>
      <c r="E23" s="642"/>
      <c r="F23" s="642"/>
      <c r="G23" s="646"/>
      <c r="H23" s="943"/>
      <c r="I23" s="1180"/>
      <c r="J23" s="943"/>
      <c r="K23" s="1180"/>
      <c r="L23" s="943"/>
      <c r="M23" s="1180"/>
      <c r="N23" s="943"/>
      <c r="O23" s="1180"/>
      <c r="P23" s="943"/>
      <c r="Q23" s="1158"/>
      <c r="R23" s="943"/>
      <c r="S23" s="1158"/>
      <c r="T23" s="943"/>
      <c r="U23" s="1158"/>
    </row>
    <row r="24" spans="1:21" x14ac:dyDescent="0.35">
      <c r="A24" s="683"/>
      <c r="B24" s="1253" t="s">
        <v>659</v>
      </c>
      <c r="C24" s="642"/>
      <c r="D24" s="642"/>
      <c r="E24" s="642"/>
      <c r="F24" s="642"/>
      <c r="G24" s="646"/>
      <c r="H24" s="943"/>
      <c r="I24" s="1158"/>
      <c r="J24" s="943"/>
      <c r="K24" s="1158"/>
      <c r="L24" s="943"/>
      <c r="M24" s="1158"/>
      <c r="N24" s="943"/>
      <c r="O24" s="1180"/>
      <c r="P24" s="943"/>
      <c r="Q24" s="1180"/>
      <c r="R24" s="943"/>
      <c r="S24" s="1180"/>
      <c r="T24" s="943"/>
      <c r="U24" s="1180"/>
    </row>
    <row r="25" spans="1:21" x14ac:dyDescent="0.35">
      <c r="A25" s="1179"/>
      <c r="B25" s="1254" t="s">
        <v>660</v>
      </c>
      <c r="C25" s="642"/>
      <c r="D25" s="642"/>
      <c r="E25" s="642"/>
      <c r="F25" s="642"/>
      <c r="G25" s="646"/>
      <c r="H25" s="943"/>
      <c r="I25" s="1158"/>
      <c r="J25" s="943"/>
      <c r="K25" s="1158"/>
      <c r="L25" s="943"/>
      <c r="M25" s="1158"/>
      <c r="N25" s="943"/>
      <c r="O25" s="1180"/>
      <c r="P25" s="943"/>
      <c r="Q25" s="1180"/>
      <c r="R25" s="943"/>
      <c r="S25" s="1180"/>
      <c r="T25" s="943"/>
      <c r="U25" s="1180"/>
    </row>
    <row r="26" spans="1:21" x14ac:dyDescent="0.35">
      <c r="A26" s="683"/>
      <c r="B26" s="1254" t="s">
        <v>661</v>
      </c>
      <c r="C26" s="642"/>
      <c r="D26" s="642"/>
      <c r="E26" s="642"/>
      <c r="F26" s="642"/>
      <c r="G26" s="646"/>
      <c r="H26" s="943"/>
      <c r="I26" s="1158"/>
      <c r="J26" s="943"/>
      <c r="K26" s="1158"/>
      <c r="L26" s="943"/>
      <c r="M26" s="1158"/>
      <c r="N26" s="943"/>
      <c r="O26" s="1180"/>
      <c r="P26" s="943"/>
      <c r="Q26" s="1180"/>
      <c r="R26" s="943"/>
      <c r="S26" s="1180"/>
      <c r="T26" s="943"/>
      <c r="U26" s="1180"/>
    </row>
    <row r="27" spans="1:21" x14ac:dyDescent="0.35">
      <c r="A27" s="1179"/>
      <c r="B27" s="1254" t="s">
        <v>662</v>
      </c>
      <c r="C27" s="642"/>
      <c r="D27" s="642"/>
      <c r="E27" s="642"/>
      <c r="F27" s="642"/>
      <c r="G27" s="646"/>
      <c r="H27" s="943"/>
      <c r="I27" s="1158"/>
      <c r="J27" s="943"/>
      <c r="K27" s="1158"/>
      <c r="L27" s="943"/>
      <c r="M27" s="1158"/>
      <c r="N27" s="943"/>
      <c r="O27" s="1180"/>
      <c r="P27" s="943"/>
      <c r="Q27" s="1180"/>
      <c r="R27" s="943"/>
      <c r="S27" s="1180"/>
      <c r="T27" s="943"/>
      <c r="U27" s="1180"/>
    </row>
    <row r="28" spans="1:21" x14ac:dyDescent="0.35">
      <c r="A28" s="1179"/>
      <c r="B28" s="1254" t="s">
        <v>663</v>
      </c>
      <c r="C28" s="642"/>
      <c r="D28" s="642"/>
      <c r="E28" s="642"/>
      <c r="F28" s="642"/>
      <c r="G28" s="646"/>
      <c r="H28" s="943"/>
      <c r="I28" s="1158"/>
      <c r="J28" s="943"/>
      <c r="K28" s="1158"/>
      <c r="L28" s="943"/>
      <c r="M28" s="1158"/>
      <c r="N28" s="943"/>
      <c r="O28" s="1180"/>
      <c r="P28" s="943"/>
      <c r="Q28" s="1180"/>
      <c r="R28" s="943"/>
      <c r="S28" s="1180"/>
      <c r="T28" s="943"/>
      <c r="U28" s="1180"/>
    </row>
    <row r="29" spans="1:21" x14ac:dyDescent="0.35">
      <c r="A29" s="1179"/>
      <c r="B29" s="1254" t="s">
        <v>742</v>
      </c>
      <c r="C29" s="642"/>
      <c r="D29" s="642"/>
      <c r="E29" s="642"/>
      <c r="F29" s="642"/>
      <c r="G29" s="646"/>
      <c r="H29" s="943"/>
      <c r="I29" s="1158"/>
      <c r="J29" s="943"/>
      <c r="K29" s="1158"/>
      <c r="L29" s="943"/>
      <c r="M29" s="1158"/>
      <c r="N29" s="943"/>
      <c r="O29" s="1180"/>
      <c r="P29" s="943"/>
      <c r="Q29" s="1180"/>
      <c r="R29" s="943"/>
      <c r="S29" s="1180"/>
      <c r="T29" s="943"/>
      <c r="U29" s="1180"/>
    </row>
    <row r="30" spans="1:21" x14ac:dyDescent="0.35">
      <c r="A30" s="1179"/>
      <c r="B30" s="1255" t="s">
        <v>664</v>
      </c>
      <c r="C30" s="642"/>
      <c r="D30" s="642"/>
      <c r="E30" s="642"/>
      <c r="F30" s="642"/>
      <c r="G30" s="646"/>
      <c r="H30" s="943"/>
      <c r="I30" s="1158"/>
      <c r="J30" s="943"/>
      <c r="K30" s="1158"/>
      <c r="L30" s="943"/>
      <c r="M30" s="1158"/>
      <c r="N30" s="943"/>
      <c r="O30" s="1180"/>
      <c r="P30" s="943"/>
      <c r="Q30" s="1180"/>
      <c r="R30" s="943"/>
      <c r="S30" s="1180"/>
      <c r="T30" s="943"/>
      <c r="U30" s="1180"/>
    </row>
    <row r="31" spans="1:21" x14ac:dyDescent="0.35">
      <c r="A31" s="1179"/>
      <c r="B31" s="1262" t="s">
        <v>665</v>
      </c>
      <c r="C31" s="650"/>
      <c r="D31" s="650"/>
      <c r="E31" s="650"/>
      <c r="F31" s="650"/>
      <c r="G31" s="651"/>
      <c r="H31" s="636"/>
      <c r="I31" s="1162"/>
      <c r="J31" s="636"/>
      <c r="K31" s="1162"/>
      <c r="L31" s="636"/>
      <c r="M31" s="1162"/>
      <c r="N31" s="636"/>
      <c r="O31" s="1163"/>
      <c r="P31" s="636"/>
      <c r="Q31" s="1163"/>
      <c r="R31" s="636"/>
      <c r="S31" s="1163"/>
      <c r="T31" s="636"/>
      <c r="U31" s="1163"/>
    </row>
    <row r="32" spans="1:21" x14ac:dyDescent="0.35">
      <c r="A32" s="1179"/>
      <c r="B32" s="1257" t="s">
        <v>874</v>
      </c>
      <c r="C32" s="642"/>
      <c r="D32" s="642"/>
      <c r="E32" s="642"/>
      <c r="F32" s="642"/>
      <c r="G32" s="646"/>
      <c r="H32" s="943"/>
      <c r="I32" s="1158"/>
      <c r="J32" s="943"/>
      <c r="K32" s="1158"/>
      <c r="L32" s="943"/>
      <c r="M32" s="1158"/>
      <c r="N32" s="943"/>
      <c r="O32" s="1180"/>
      <c r="P32" s="943"/>
      <c r="Q32" s="1180"/>
      <c r="R32" s="943"/>
      <c r="S32" s="1180"/>
      <c r="T32" s="943"/>
      <c r="U32" s="1180"/>
    </row>
    <row r="33" spans="1:21" x14ac:dyDescent="0.35">
      <c r="A33" s="1179"/>
      <c r="B33" s="1263"/>
      <c r="C33" s="642"/>
      <c r="D33" s="642"/>
      <c r="E33" s="642"/>
      <c r="F33" s="642"/>
      <c r="G33" s="646"/>
      <c r="H33" s="943"/>
      <c r="I33" s="1158"/>
      <c r="J33" s="943"/>
      <c r="K33" s="1158"/>
      <c r="L33" s="943"/>
      <c r="M33" s="1158"/>
      <c r="N33" s="943"/>
      <c r="O33" s="1180"/>
      <c r="P33" s="943"/>
      <c r="Q33" s="1180"/>
      <c r="R33" s="943"/>
      <c r="S33" s="1180"/>
      <c r="T33" s="943"/>
      <c r="U33" s="1180"/>
    </row>
    <row r="34" spans="1:21" ht="30" customHeight="1" x14ac:dyDescent="0.35">
      <c r="A34" s="1179"/>
      <c r="B34" s="1193" t="s">
        <v>1134</v>
      </c>
      <c r="C34" s="642"/>
      <c r="D34" s="642">
        <v>814</v>
      </c>
      <c r="E34" s="642" t="s">
        <v>666</v>
      </c>
      <c r="F34" s="1012"/>
      <c r="G34" s="690"/>
      <c r="H34" s="943" t="s">
        <v>669</v>
      </c>
      <c r="I34" s="1158"/>
      <c r="J34" s="943" t="s">
        <v>669</v>
      </c>
      <c r="K34" s="1158"/>
      <c r="L34" s="943"/>
      <c r="M34" s="1158"/>
      <c r="N34" s="943"/>
      <c r="O34" s="1180"/>
      <c r="P34" s="943"/>
      <c r="Q34" s="1180"/>
      <c r="R34" s="943"/>
      <c r="S34" s="1180"/>
      <c r="T34" s="943" t="s">
        <v>669</v>
      </c>
      <c r="U34" s="1180"/>
    </row>
    <row r="35" spans="1:21" x14ac:dyDescent="0.35">
      <c r="A35" s="1179"/>
      <c r="B35" s="1193" t="s">
        <v>1133</v>
      </c>
      <c r="C35" s="642"/>
      <c r="D35" s="642">
        <v>327</v>
      </c>
      <c r="E35" s="642" t="s">
        <v>666</v>
      </c>
      <c r="F35" s="1012"/>
      <c r="G35" s="690"/>
      <c r="H35" s="943" t="s">
        <v>669</v>
      </c>
      <c r="I35" s="1158"/>
      <c r="J35" s="943" t="s">
        <v>669</v>
      </c>
      <c r="K35" s="1158"/>
      <c r="L35" s="943"/>
      <c r="M35" s="1158"/>
      <c r="N35" s="943"/>
      <c r="O35" s="1180"/>
      <c r="P35" s="943"/>
      <c r="Q35" s="1180"/>
      <c r="R35" s="943"/>
      <c r="S35" s="1180"/>
      <c r="T35" s="943" t="s">
        <v>669</v>
      </c>
      <c r="U35" s="1180"/>
    </row>
    <row r="36" spans="1:21" x14ac:dyDescent="0.35">
      <c r="A36" s="1179"/>
      <c r="B36" s="1193" t="s">
        <v>1163</v>
      </c>
      <c r="C36" s="642"/>
      <c r="D36" s="642">
        <v>6942</v>
      </c>
      <c r="E36" s="642" t="s">
        <v>28</v>
      </c>
      <c r="F36" s="1012"/>
      <c r="G36" s="690"/>
      <c r="H36" s="943" t="s">
        <v>669</v>
      </c>
      <c r="I36" s="1261">
        <f>D36*50</f>
        <v>347100</v>
      </c>
      <c r="J36" s="943" t="s">
        <v>669</v>
      </c>
      <c r="K36" s="1261">
        <f>D36*60</f>
        <v>416520</v>
      </c>
      <c r="L36" s="943"/>
      <c r="M36" s="1158"/>
      <c r="N36" s="943"/>
      <c r="O36" s="1180"/>
      <c r="P36" s="943"/>
      <c r="Q36" s="1180"/>
      <c r="R36" s="943"/>
      <c r="S36" s="1180"/>
      <c r="T36" s="943" t="s">
        <v>669</v>
      </c>
      <c r="U36" s="1180"/>
    </row>
    <row r="37" spans="1:21" x14ac:dyDescent="0.35">
      <c r="A37" s="1179"/>
      <c r="B37" s="1265"/>
      <c r="C37" s="642"/>
      <c r="D37" s="642"/>
      <c r="E37" s="642"/>
      <c r="F37" s="1012"/>
      <c r="G37" s="690"/>
      <c r="H37" s="943" t="s">
        <v>669</v>
      </c>
      <c r="I37" s="1158"/>
      <c r="J37" s="943" t="s">
        <v>669</v>
      </c>
      <c r="K37" s="1158"/>
      <c r="L37" s="943"/>
      <c r="M37" s="1158"/>
      <c r="N37" s="943"/>
      <c r="O37" s="1158"/>
      <c r="P37" s="943"/>
      <c r="Q37" s="1158"/>
      <c r="R37" s="943"/>
      <c r="S37" s="1180"/>
      <c r="T37" s="943" t="s">
        <v>669</v>
      </c>
      <c r="U37" s="1180"/>
    </row>
    <row r="38" spans="1:21" x14ac:dyDescent="0.35">
      <c r="A38" s="1179"/>
      <c r="B38" s="1193"/>
      <c r="C38" s="642"/>
      <c r="D38" s="642"/>
      <c r="E38" s="642"/>
      <c r="F38" s="1012"/>
      <c r="G38" s="690"/>
      <c r="H38" s="943" t="s">
        <v>669</v>
      </c>
      <c r="I38" s="1158"/>
      <c r="J38" s="943" t="s">
        <v>669</v>
      </c>
      <c r="K38" s="1158"/>
      <c r="L38" s="943"/>
      <c r="M38" s="1158"/>
      <c r="N38" s="943"/>
      <c r="O38" s="1158"/>
      <c r="P38" s="943"/>
      <c r="Q38" s="1158"/>
      <c r="R38" s="943"/>
      <c r="S38" s="1180"/>
      <c r="T38" s="943" t="s">
        <v>669</v>
      </c>
      <c r="U38" s="1180"/>
    </row>
    <row r="39" spans="1:21" x14ac:dyDescent="0.35">
      <c r="A39" s="1179"/>
      <c r="B39" s="1265"/>
      <c r="C39" s="642"/>
      <c r="D39" s="642"/>
      <c r="E39" s="642"/>
      <c r="F39" s="1012"/>
      <c r="G39" s="690"/>
      <c r="H39" s="943" t="s">
        <v>669</v>
      </c>
      <c r="I39" s="1158"/>
      <c r="J39" s="943" t="s">
        <v>669</v>
      </c>
      <c r="K39" s="1158"/>
      <c r="L39" s="943"/>
      <c r="M39" s="1158"/>
      <c r="N39" s="943"/>
      <c r="O39" s="1158"/>
      <c r="P39" s="943"/>
      <c r="Q39" s="1158"/>
      <c r="R39" s="943"/>
      <c r="S39" s="1180"/>
      <c r="T39" s="943" t="s">
        <v>669</v>
      </c>
      <c r="U39" s="1180"/>
    </row>
    <row r="40" spans="1:21" ht="17.25" customHeight="1" x14ac:dyDescent="0.35">
      <c r="A40" s="1179"/>
      <c r="B40" s="1265"/>
      <c r="C40" s="642"/>
      <c r="D40" s="642"/>
      <c r="E40" s="642"/>
      <c r="F40" s="1012"/>
      <c r="G40" s="690"/>
      <c r="H40" s="943" t="s">
        <v>669</v>
      </c>
      <c r="I40" s="1158"/>
      <c r="J40" s="943" t="s">
        <v>669</v>
      </c>
      <c r="K40" s="1158"/>
      <c r="L40" s="943"/>
      <c r="M40" s="1158"/>
      <c r="N40" s="943"/>
      <c r="O40" s="1158"/>
      <c r="P40" s="943"/>
      <c r="Q40" s="1158"/>
      <c r="R40" s="943"/>
      <c r="S40" s="1180"/>
      <c r="T40" s="943" t="s">
        <v>669</v>
      </c>
      <c r="U40" s="1180"/>
    </row>
    <row r="41" spans="1:21" ht="17.25" customHeight="1" x14ac:dyDescent="0.35">
      <c r="A41" s="1179"/>
      <c r="B41" s="1265"/>
      <c r="C41" s="940"/>
      <c r="D41" s="940"/>
      <c r="E41" s="940"/>
      <c r="F41" s="1224"/>
      <c r="G41" s="1225"/>
      <c r="H41" s="943" t="s">
        <v>669</v>
      </c>
      <c r="I41" s="1158"/>
      <c r="J41" s="943" t="s">
        <v>669</v>
      </c>
      <c r="K41" s="1158"/>
      <c r="L41" s="943"/>
      <c r="M41" s="1158"/>
      <c r="N41" s="943"/>
      <c r="O41" s="1158"/>
      <c r="P41" s="943"/>
      <c r="Q41" s="1158"/>
      <c r="R41" s="943"/>
      <c r="S41" s="1180"/>
      <c r="T41" s="943" t="s">
        <v>669</v>
      </c>
      <c r="U41" s="1180"/>
    </row>
    <row r="42" spans="1:21" x14ac:dyDescent="0.35">
      <c r="A42" s="683"/>
      <c r="B42" s="1193"/>
      <c r="C42" s="940"/>
      <c r="D42" s="940"/>
      <c r="E42" s="940"/>
      <c r="F42" s="940"/>
      <c r="G42" s="1039"/>
      <c r="H42" s="943" t="s">
        <v>669</v>
      </c>
      <c r="I42" s="1264"/>
      <c r="J42" s="943"/>
      <c r="K42" s="1264"/>
      <c r="L42" s="943"/>
      <c r="M42" s="1264"/>
      <c r="N42" s="943"/>
      <c r="O42" s="1264"/>
      <c r="P42" s="943"/>
      <c r="Q42" s="1264"/>
      <c r="R42" s="943"/>
      <c r="S42" s="1266"/>
      <c r="T42" s="943"/>
      <c r="U42" s="1264"/>
    </row>
    <row r="43" spans="1:21" x14ac:dyDescent="0.35">
      <c r="A43" s="683"/>
      <c r="B43" s="1193"/>
      <c r="C43" s="940"/>
      <c r="D43" s="940"/>
      <c r="E43" s="940"/>
      <c r="F43" s="940"/>
      <c r="G43" s="1039"/>
      <c r="H43" s="943" t="s">
        <v>669</v>
      </c>
      <c r="I43" s="1264"/>
      <c r="J43" s="943"/>
      <c r="K43" s="1264"/>
      <c r="L43" s="943"/>
      <c r="M43" s="1264"/>
      <c r="N43" s="943"/>
      <c r="O43" s="1264"/>
      <c r="P43" s="943"/>
      <c r="Q43" s="1266"/>
      <c r="R43" s="943"/>
      <c r="S43" s="1266"/>
      <c r="T43" s="943"/>
      <c r="U43" s="1180"/>
    </row>
    <row r="44" spans="1:21" x14ac:dyDescent="0.35">
      <c r="A44" s="683"/>
      <c r="B44" s="1193"/>
      <c r="C44" s="940"/>
      <c r="D44" s="940"/>
      <c r="E44" s="940"/>
      <c r="F44" s="940"/>
      <c r="G44" s="1039"/>
      <c r="H44" s="943" t="s">
        <v>669</v>
      </c>
      <c r="I44" s="1264"/>
      <c r="J44" s="943" t="s">
        <v>669</v>
      </c>
      <c r="K44" s="1264"/>
      <c r="L44" s="943"/>
      <c r="M44" s="1264"/>
      <c r="N44" s="943"/>
      <c r="O44" s="1264"/>
      <c r="P44" s="943"/>
      <c r="Q44" s="1180"/>
      <c r="R44" s="943"/>
      <c r="S44" s="1180"/>
      <c r="T44" s="943" t="s">
        <v>669</v>
      </c>
      <c r="U44" s="1180"/>
    </row>
    <row r="45" spans="1:21" x14ac:dyDescent="0.35">
      <c r="A45" s="683"/>
      <c r="B45" s="1193"/>
      <c r="C45" s="940"/>
      <c r="D45" s="940"/>
      <c r="E45" s="940"/>
      <c r="F45" s="940"/>
      <c r="G45" s="1039"/>
      <c r="H45" s="943"/>
      <c r="I45" s="1182"/>
      <c r="J45" s="943"/>
      <c r="K45" s="1158"/>
      <c r="L45" s="943"/>
      <c r="M45" s="1158"/>
      <c r="N45" s="943"/>
      <c r="O45" s="1158"/>
      <c r="P45" s="943"/>
      <c r="Q45" s="1180"/>
      <c r="R45" s="943"/>
      <c r="S45" s="1180"/>
      <c r="T45" s="943"/>
      <c r="U45" s="1180"/>
    </row>
    <row r="46" spans="1:21" x14ac:dyDescent="0.35">
      <c r="A46" s="14"/>
      <c r="B46" s="15"/>
      <c r="C46" s="16"/>
      <c r="D46" s="16"/>
      <c r="E46" s="17"/>
      <c r="F46" s="18" t="s">
        <v>715</v>
      </c>
      <c r="G46" s="328">
        <f>SUM(G31:G41)</f>
        <v>0</v>
      </c>
      <c r="H46" s="20"/>
      <c r="I46" s="50">
        <f>SUM(I23:I45)</f>
        <v>347100</v>
      </c>
      <c r="J46" s="20"/>
      <c r="K46" s="50">
        <f>SUM(K23:K45)</f>
        <v>416520</v>
      </c>
      <c r="L46" s="20"/>
      <c r="M46" s="50">
        <f>SUM(M23:M45)</f>
        <v>0</v>
      </c>
      <c r="N46" s="20"/>
      <c r="O46" s="50">
        <f>SUM(O23:O45)</f>
        <v>0</v>
      </c>
      <c r="P46" s="20"/>
      <c r="Q46" s="50">
        <f>SUM(Q23:Q45)</f>
        <v>0</v>
      </c>
      <c r="R46" s="20"/>
      <c r="S46" s="50">
        <f>SUM(S23:S45)</f>
        <v>0</v>
      </c>
      <c r="T46" s="20"/>
      <c r="U46" s="50">
        <f>SUM(U23:U45)</f>
        <v>0</v>
      </c>
    </row>
    <row r="47" spans="1:21" x14ac:dyDescent="0.35">
      <c r="A47" s="684"/>
      <c r="B47" s="655"/>
      <c r="C47" s="656"/>
      <c r="D47" s="656"/>
      <c r="E47" s="657"/>
      <c r="F47" s="658" t="s">
        <v>716</v>
      </c>
      <c r="G47" s="659"/>
      <c r="H47" s="959">
        <v>0</v>
      </c>
      <c r="I47" s="1121"/>
      <c r="J47" s="959">
        <v>0</v>
      </c>
      <c r="K47" s="1121"/>
      <c r="L47" s="959">
        <v>0</v>
      </c>
      <c r="M47" s="1121"/>
      <c r="N47" s="959">
        <v>0</v>
      </c>
      <c r="O47" s="1121"/>
      <c r="P47" s="959">
        <v>0</v>
      </c>
      <c r="Q47" s="1121"/>
      <c r="R47" s="959">
        <v>0</v>
      </c>
      <c r="S47" s="1121"/>
      <c r="T47" s="959">
        <v>0</v>
      </c>
      <c r="U47" s="1121"/>
    </row>
    <row r="48" spans="1:21" x14ac:dyDescent="0.35">
      <c r="A48" s="684"/>
      <c r="B48" s="655"/>
      <c r="C48" s="656"/>
      <c r="D48" s="656"/>
      <c r="E48" s="657"/>
      <c r="F48" s="658" t="s">
        <v>717</v>
      </c>
      <c r="G48" s="659"/>
      <c r="H48" s="961"/>
      <c r="I48" s="1122">
        <f>H47*$I$46</f>
        <v>0</v>
      </c>
      <c r="J48" s="961"/>
      <c r="K48" s="1122">
        <f>J47*$I$46</f>
        <v>0</v>
      </c>
      <c r="L48" s="961"/>
      <c r="M48" s="1122">
        <f>L47*$I$46</f>
        <v>0</v>
      </c>
      <c r="N48" s="961"/>
      <c r="O48" s="1122">
        <f>N47*$I$46</f>
        <v>0</v>
      </c>
      <c r="P48" s="961"/>
      <c r="Q48" s="1122">
        <f>P47*$I$46</f>
        <v>0</v>
      </c>
      <c r="R48" s="961"/>
      <c r="S48" s="1122">
        <f>R47*$I$46</f>
        <v>0</v>
      </c>
      <c r="T48" s="961"/>
      <c r="U48" s="1122">
        <f>T47*$I$46</f>
        <v>0</v>
      </c>
    </row>
    <row r="49" spans="1:34" x14ac:dyDescent="0.35">
      <c r="A49" s="684"/>
      <c r="B49" s="655"/>
      <c r="C49" s="656"/>
      <c r="D49" s="656"/>
      <c r="E49" s="657"/>
      <c r="F49" s="658"/>
      <c r="G49" s="659"/>
      <c r="H49" s="1123"/>
      <c r="I49" s="1122"/>
      <c r="J49" s="1123"/>
      <c r="K49" s="1122"/>
      <c r="L49" s="1123"/>
      <c r="M49" s="1122"/>
      <c r="N49" s="1123"/>
      <c r="O49" s="1122"/>
      <c r="P49" s="1123"/>
      <c r="Q49" s="1122"/>
      <c r="R49" s="1123"/>
      <c r="S49" s="1122"/>
      <c r="T49" s="1123"/>
      <c r="U49" s="1122"/>
    </row>
    <row r="50" spans="1:34" x14ac:dyDescent="0.35">
      <c r="A50" s="684"/>
      <c r="B50" s="655"/>
      <c r="C50" s="656"/>
      <c r="D50" s="656"/>
      <c r="E50" s="657"/>
      <c r="F50" s="658" t="s">
        <v>718</v>
      </c>
      <c r="G50" s="659"/>
      <c r="H50" s="964"/>
      <c r="I50" s="1122">
        <f>SUM(I46:I49)</f>
        <v>347100</v>
      </c>
      <c r="J50" s="964"/>
      <c r="K50" s="1122">
        <f>SUM(K46:K49)</f>
        <v>416520</v>
      </c>
      <c r="L50" s="964"/>
      <c r="M50" s="1122">
        <f>SUM(M46:M49)</f>
        <v>0</v>
      </c>
      <c r="N50" s="964"/>
      <c r="O50" s="1122">
        <f>SUM(O46:O49)</f>
        <v>0</v>
      </c>
      <c r="P50" s="964"/>
      <c r="Q50" s="1122">
        <f>SUM(Q46:Q49)</f>
        <v>0</v>
      </c>
      <c r="R50" s="964"/>
      <c r="S50" s="1122">
        <f>SUM(S46:S49)</f>
        <v>0</v>
      </c>
      <c r="T50" s="964"/>
      <c r="U50" s="1122">
        <f>SUM(U46:U49)</f>
        <v>0</v>
      </c>
    </row>
    <row r="51" spans="1:34" x14ac:dyDescent="0.35">
      <c r="A51" s="684"/>
      <c r="B51" s="655"/>
      <c r="C51" s="656"/>
      <c r="D51" s="656"/>
      <c r="E51" s="657"/>
      <c r="F51" s="660" t="s">
        <v>719</v>
      </c>
      <c r="G51" s="661"/>
      <c r="H51" s="965"/>
      <c r="I51" s="966" t="e">
        <f>I50/#REF!</f>
        <v>#REF!</v>
      </c>
      <c r="J51" s="965"/>
      <c r="K51" s="966" t="e">
        <f>K50/#REF!</f>
        <v>#REF!</v>
      </c>
      <c r="L51" s="965"/>
      <c r="M51" s="966" t="e">
        <f>M50/#REF!</f>
        <v>#REF!</v>
      </c>
      <c r="N51" s="965"/>
      <c r="O51" s="966" t="e">
        <f>O50/#REF!</f>
        <v>#REF!</v>
      </c>
      <c r="P51" s="965"/>
      <c r="Q51" s="966" t="e">
        <f>Q50/#REF!</f>
        <v>#REF!</v>
      </c>
      <c r="R51" s="965"/>
      <c r="S51" s="966" t="e">
        <f>S50/#REF!</f>
        <v>#REF!</v>
      </c>
      <c r="T51" s="965"/>
      <c r="U51" s="966" t="e">
        <f>U50/#REF!</f>
        <v>#REF!</v>
      </c>
    </row>
    <row r="52" spans="1:34" x14ac:dyDescent="0.35">
      <c r="A52" s="684"/>
      <c r="B52" s="655"/>
      <c r="C52" s="656"/>
      <c r="D52" s="656"/>
      <c r="E52" s="657"/>
      <c r="F52" s="660" t="s">
        <v>720</v>
      </c>
      <c r="G52" s="662"/>
      <c r="H52" s="965"/>
      <c r="I52" s="966" t="e">
        <f>I50/#REF!</f>
        <v>#REF!</v>
      </c>
      <c r="J52" s="965"/>
      <c r="K52" s="966" t="e">
        <f>K50/#REF!</f>
        <v>#REF!</v>
      </c>
      <c r="L52" s="965"/>
      <c r="M52" s="966" t="e">
        <f>M50/#REF!</f>
        <v>#REF!</v>
      </c>
      <c r="N52" s="965"/>
      <c r="O52" s="966" t="e">
        <f>O50/#REF!</f>
        <v>#REF!</v>
      </c>
      <c r="P52" s="965"/>
      <c r="Q52" s="966" t="e">
        <f>Q50/#REF!</f>
        <v>#REF!</v>
      </c>
      <c r="R52" s="965"/>
      <c r="S52" s="966" t="e">
        <f>S50/#REF!</f>
        <v>#REF!</v>
      </c>
      <c r="T52" s="965"/>
      <c r="U52" s="966" t="e">
        <f>U50/#REF!</f>
        <v>#REF!</v>
      </c>
    </row>
    <row r="53" spans="1:34" x14ac:dyDescent="0.35">
      <c r="A53" s="684"/>
      <c r="B53" s="655"/>
      <c r="C53" s="656"/>
      <c r="D53" s="656"/>
      <c r="E53" s="657"/>
      <c r="F53" s="658"/>
      <c r="G53" s="663"/>
      <c r="H53" s="1168"/>
      <c r="I53" s="1169"/>
      <c r="J53" s="1168"/>
      <c r="K53" s="1169"/>
      <c r="L53" s="1168"/>
      <c r="M53" s="1169"/>
      <c r="N53" s="1168"/>
      <c r="O53" s="1169"/>
      <c r="P53" s="967"/>
      <c r="Q53" s="967"/>
      <c r="R53" s="967"/>
      <c r="S53" s="967"/>
      <c r="T53" s="967"/>
      <c r="U53" s="967"/>
    </row>
    <row r="54" spans="1:34" x14ac:dyDescent="0.35">
      <c r="A54" s="3764" t="s">
        <v>721</v>
      </c>
      <c r="B54" s="3765"/>
      <c r="C54" s="12"/>
      <c r="D54" s="12"/>
      <c r="E54" s="12"/>
      <c r="F54" s="12"/>
      <c r="G54" s="13"/>
      <c r="H54" s="21"/>
      <c r="I54" s="21"/>
      <c r="J54" s="21"/>
      <c r="K54" s="21"/>
      <c r="L54" s="21"/>
      <c r="M54" s="21"/>
      <c r="N54" s="21"/>
      <c r="O54" s="21"/>
      <c r="P54" s="21"/>
      <c r="Q54" s="21"/>
      <c r="R54" s="21"/>
      <c r="S54" s="21"/>
      <c r="T54" s="21"/>
      <c r="U54" s="21"/>
    </row>
    <row r="55" spans="1:34" x14ac:dyDescent="0.35">
      <c r="A55" s="1170"/>
      <c r="B55" s="641"/>
      <c r="C55" s="1171"/>
      <c r="D55" s="1171"/>
      <c r="E55" s="1171"/>
      <c r="F55" s="1171"/>
      <c r="G55" s="1172"/>
      <c r="H55" s="1173"/>
      <c r="I55" s="1173"/>
      <c r="J55" s="1173"/>
      <c r="K55" s="1173"/>
      <c r="L55" s="1173"/>
      <c r="M55" s="1173"/>
      <c r="N55" s="1173"/>
      <c r="O55" s="1173"/>
      <c r="P55" s="1173"/>
      <c r="Q55" s="1173"/>
      <c r="R55" s="1173"/>
      <c r="S55" s="1173"/>
      <c r="T55" s="1173"/>
      <c r="U55" s="1173"/>
    </row>
    <row r="56" spans="1:34" x14ac:dyDescent="0.35">
      <c r="A56" s="1170"/>
      <c r="B56" s="641"/>
      <c r="C56" s="1171"/>
      <c r="D56" s="1171"/>
      <c r="E56" s="1171"/>
      <c r="F56" s="1171"/>
      <c r="G56" s="1172"/>
      <c r="H56" s="1173"/>
      <c r="I56" s="1173"/>
      <c r="J56" s="1173"/>
      <c r="K56" s="1173"/>
      <c r="L56" s="1173"/>
      <c r="M56" s="1173"/>
      <c r="N56" s="1173"/>
      <c r="O56" s="1173"/>
      <c r="P56" s="1173"/>
      <c r="Q56" s="1173"/>
      <c r="R56" s="1173"/>
      <c r="S56" s="1173"/>
      <c r="T56" s="1173"/>
      <c r="U56" s="1173"/>
    </row>
    <row r="57" spans="1:34" x14ac:dyDescent="0.35">
      <c r="A57" s="1170"/>
      <c r="B57" s="641"/>
      <c r="C57" s="1171"/>
      <c r="D57" s="1171"/>
      <c r="E57" s="1171"/>
      <c r="F57" s="1171"/>
      <c r="G57" s="1172"/>
      <c r="H57" s="1173"/>
      <c r="I57" s="1173"/>
      <c r="J57" s="1173"/>
      <c r="K57" s="1173"/>
      <c r="L57" s="1173"/>
      <c r="M57" s="1173"/>
      <c r="N57" s="1173"/>
      <c r="O57" s="1173"/>
      <c r="P57" s="1173"/>
      <c r="Q57" s="1173"/>
      <c r="R57" s="1173"/>
      <c r="S57" s="1173"/>
      <c r="T57" s="1173"/>
      <c r="U57" s="1173"/>
    </row>
    <row r="58" spans="1:34" s="2" customFormat="1" x14ac:dyDescent="0.35">
      <c r="A58" s="3764" t="s">
        <v>722</v>
      </c>
      <c r="B58" s="3765"/>
      <c r="C58" s="12"/>
      <c r="D58" s="12"/>
      <c r="E58" s="12"/>
      <c r="F58" s="12"/>
      <c r="G58" s="13"/>
      <c r="H58" s="21"/>
      <c r="I58" s="21"/>
      <c r="J58" s="21"/>
      <c r="K58" s="21"/>
      <c r="L58" s="21"/>
      <c r="M58" s="21"/>
      <c r="N58" s="21"/>
      <c r="O58" s="21"/>
      <c r="P58" s="21"/>
      <c r="Q58" s="21"/>
      <c r="R58" s="21"/>
      <c r="S58" s="21"/>
      <c r="T58" s="21"/>
      <c r="U58" s="21"/>
      <c r="V58"/>
      <c r="W58"/>
      <c r="X58"/>
      <c r="Y58"/>
      <c r="Z58"/>
      <c r="AA58"/>
      <c r="AB58"/>
      <c r="AC58"/>
      <c r="AD58"/>
      <c r="AE58"/>
      <c r="AF58"/>
      <c r="AG58"/>
      <c r="AH58"/>
    </row>
    <row r="59" spans="1:34" s="2" customFormat="1" x14ac:dyDescent="0.35">
      <c r="A59" s="1170"/>
      <c r="B59" s="641"/>
      <c r="C59" s="1171"/>
      <c r="D59" s="1171"/>
      <c r="E59" s="1171"/>
      <c r="F59" s="1171"/>
      <c r="G59" s="1172"/>
      <c r="H59" s="1173"/>
      <c r="I59" s="1173"/>
      <c r="J59" s="1173"/>
      <c r="K59" s="1173"/>
      <c r="L59" s="1173"/>
      <c r="M59" s="1173"/>
      <c r="N59" s="1173"/>
      <c r="O59" s="1173"/>
      <c r="P59" s="1173"/>
      <c r="Q59" s="1173"/>
      <c r="R59" s="1173"/>
      <c r="S59" s="1173"/>
      <c r="T59" s="1173"/>
      <c r="U59" s="1173"/>
      <c r="V59"/>
      <c r="W59"/>
      <c r="X59"/>
      <c r="Y59"/>
      <c r="Z59"/>
      <c r="AA59"/>
      <c r="AB59"/>
      <c r="AC59"/>
      <c r="AD59"/>
      <c r="AE59"/>
      <c r="AF59"/>
      <c r="AG59"/>
      <c r="AH59"/>
    </row>
    <row r="60" spans="1:34" s="2" customFormat="1" x14ac:dyDescent="0.35">
      <c r="A60" s="1170"/>
      <c r="B60" s="641"/>
      <c r="C60" s="1171"/>
      <c r="D60" s="1171"/>
      <c r="E60" s="1171"/>
      <c r="F60" s="1171"/>
      <c r="G60" s="1172"/>
      <c r="H60" s="1173"/>
      <c r="I60" s="1173"/>
      <c r="J60" s="1173"/>
      <c r="K60" s="1173"/>
      <c r="L60" s="1173"/>
      <c r="M60" s="1173"/>
      <c r="N60" s="1173"/>
      <c r="O60" s="1173"/>
      <c r="P60" s="1173"/>
      <c r="Q60" s="1173"/>
      <c r="R60" s="1173"/>
      <c r="S60" s="1173"/>
      <c r="T60" s="1173"/>
      <c r="U60" s="1173"/>
      <c r="V60"/>
      <c r="W60"/>
      <c r="X60"/>
      <c r="Y60"/>
      <c r="Z60"/>
      <c r="AA60"/>
      <c r="AB60"/>
      <c r="AC60"/>
      <c r="AD60"/>
      <c r="AE60"/>
      <c r="AF60"/>
      <c r="AG60"/>
      <c r="AH60"/>
    </row>
    <row r="61" spans="1:34" x14ac:dyDescent="0.35">
      <c r="A61" s="1170"/>
      <c r="B61" s="641"/>
      <c r="C61" s="1171"/>
      <c r="D61" s="1171"/>
      <c r="E61" s="1171"/>
      <c r="F61" s="1171"/>
      <c r="G61" s="1172"/>
      <c r="H61" s="1173"/>
      <c r="I61" s="1173"/>
      <c r="J61" s="1173"/>
      <c r="K61" s="1173"/>
      <c r="L61" s="1173"/>
      <c r="M61" s="1173"/>
      <c r="N61" s="1173"/>
      <c r="O61" s="1173"/>
      <c r="P61" s="1173"/>
      <c r="Q61" s="1173"/>
      <c r="R61" s="1173"/>
      <c r="S61" s="1173"/>
      <c r="T61" s="1173"/>
      <c r="U61" s="1173"/>
    </row>
    <row r="62" spans="1:34" s="2" customFormat="1" x14ac:dyDescent="0.35">
      <c r="A62" s="3764" t="s">
        <v>723</v>
      </c>
      <c r="B62" s="3765"/>
      <c r="C62" s="12"/>
      <c r="D62" s="12"/>
      <c r="E62" s="12"/>
      <c r="F62" s="12"/>
      <c r="G62" s="13"/>
      <c r="H62" s="21"/>
      <c r="I62" s="21"/>
      <c r="J62" s="21"/>
      <c r="K62" s="21"/>
      <c r="L62" s="21"/>
      <c r="M62" s="21"/>
      <c r="N62" s="21"/>
      <c r="O62" s="21"/>
      <c r="P62" s="21"/>
      <c r="Q62" s="21"/>
      <c r="R62" s="21"/>
      <c r="S62" s="21"/>
      <c r="T62" s="21"/>
      <c r="U62" s="21"/>
      <c r="V62"/>
      <c r="W62"/>
      <c r="X62"/>
      <c r="Y62"/>
      <c r="Z62"/>
      <c r="AA62"/>
      <c r="AB62"/>
      <c r="AC62"/>
      <c r="AD62"/>
      <c r="AE62"/>
      <c r="AF62"/>
      <c r="AG62"/>
      <c r="AH62"/>
    </row>
    <row r="63" spans="1:34" s="2" customFormat="1" x14ac:dyDescent="0.35">
      <c r="A63" s="1170"/>
      <c r="B63" s="641" t="s">
        <v>1159</v>
      </c>
      <c r="C63" s="1171"/>
      <c r="D63" s="1171"/>
      <c r="E63" s="1171"/>
      <c r="F63" s="1171"/>
      <c r="G63" s="1172"/>
      <c r="H63" s="1173"/>
      <c r="I63" s="1173"/>
      <c r="J63" s="1173"/>
      <c r="K63" s="1173"/>
      <c r="L63" s="1173"/>
      <c r="M63" s="1173"/>
      <c r="N63" s="1173"/>
      <c r="O63" s="1173"/>
      <c r="P63" s="1173"/>
      <c r="Q63" s="1173"/>
      <c r="R63" s="1173"/>
      <c r="S63" s="1173"/>
      <c r="T63" s="1173"/>
      <c r="U63" s="1173"/>
      <c r="V63"/>
      <c r="W63"/>
      <c r="X63"/>
      <c r="Y63"/>
      <c r="Z63"/>
      <c r="AA63"/>
      <c r="AB63"/>
      <c r="AC63"/>
      <c r="AD63"/>
      <c r="AE63"/>
      <c r="AF63"/>
      <c r="AG63"/>
      <c r="AH63"/>
    </row>
    <row r="64" spans="1:34" s="2" customFormat="1" x14ac:dyDescent="0.35">
      <c r="A64" s="689"/>
      <c r="B64" s="641" t="s">
        <v>1160</v>
      </c>
      <c r="C64" s="642"/>
      <c r="D64" s="642"/>
      <c r="E64" s="642"/>
      <c r="F64" s="642"/>
      <c r="G64" s="646"/>
      <c r="H64" s="973"/>
      <c r="I64" s="973"/>
      <c r="J64" s="973"/>
      <c r="K64" s="973"/>
      <c r="L64" s="973"/>
      <c r="M64" s="973"/>
      <c r="N64" s="973"/>
      <c r="O64" s="973"/>
      <c r="P64" s="973"/>
      <c r="Q64" s="973"/>
      <c r="R64" s="973"/>
      <c r="S64" s="973"/>
      <c r="T64" s="973"/>
      <c r="U64" s="973"/>
      <c r="V64"/>
      <c r="W64"/>
      <c r="X64"/>
      <c r="Y64"/>
      <c r="Z64"/>
      <c r="AA64"/>
      <c r="AB64"/>
      <c r="AC64"/>
      <c r="AD64"/>
      <c r="AE64"/>
      <c r="AF64"/>
      <c r="AG64"/>
      <c r="AH64"/>
    </row>
    <row r="65" spans="1:34" s="2" customFormat="1" x14ac:dyDescent="0.35">
      <c r="A65" s="686"/>
      <c r="B65" s="665" t="s">
        <v>1161</v>
      </c>
      <c r="C65" s="642"/>
      <c r="D65" s="642"/>
      <c r="E65" s="642"/>
      <c r="F65" s="642"/>
      <c r="G65" s="646"/>
      <c r="H65" s="974"/>
      <c r="I65" s="974"/>
      <c r="J65" s="974"/>
      <c r="K65" s="974"/>
      <c r="L65" s="974"/>
      <c r="M65" s="974"/>
      <c r="N65" s="974"/>
      <c r="O65" s="974"/>
      <c r="P65" s="974"/>
      <c r="Q65" s="974"/>
      <c r="R65" s="974"/>
      <c r="S65" s="974"/>
      <c r="T65" s="974"/>
      <c r="U65" s="974"/>
    </row>
    <row r="66" spans="1:34" s="2" customFormat="1" x14ac:dyDescent="0.35">
      <c r="A66" s="3764" t="s">
        <v>724</v>
      </c>
      <c r="B66" s="3765"/>
      <c r="C66" s="12"/>
      <c r="D66" s="12"/>
      <c r="E66" s="12"/>
      <c r="F66" s="12"/>
      <c r="G66" s="13"/>
      <c r="H66" s="21"/>
      <c r="I66" s="21"/>
      <c r="J66" s="21"/>
      <c r="K66" s="21"/>
      <c r="L66" s="21"/>
      <c r="M66" s="21"/>
      <c r="N66" s="21"/>
      <c r="O66" s="21"/>
      <c r="P66" s="21"/>
      <c r="Q66" s="21"/>
      <c r="R66" s="21"/>
      <c r="S66" s="21"/>
      <c r="T66" s="21"/>
      <c r="U66" s="21"/>
      <c r="V66"/>
      <c r="W66"/>
      <c r="X66"/>
      <c r="Y66"/>
      <c r="Z66"/>
      <c r="AA66"/>
      <c r="AB66"/>
      <c r="AC66"/>
      <c r="AD66"/>
      <c r="AE66"/>
      <c r="AF66"/>
      <c r="AG66"/>
      <c r="AH66"/>
    </row>
    <row r="67" spans="1:34" x14ac:dyDescent="0.35">
      <c r="A67" s="1174"/>
      <c r="B67" s="1175"/>
      <c r="C67" s="1171"/>
      <c r="D67" s="1171"/>
      <c r="E67" s="1171"/>
      <c r="F67" s="1171"/>
      <c r="G67" s="1172"/>
      <c r="H67" s="1173"/>
      <c r="I67" s="1173"/>
      <c r="J67" s="1173"/>
      <c r="K67" s="1173"/>
      <c r="L67" s="1173"/>
      <c r="M67" s="1173"/>
      <c r="N67" s="1173"/>
      <c r="O67" s="1173"/>
      <c r="P67" s="1173"/>
      <c r="Q67" s="1173"/>
      <c r="R67" s="1173"/>
      <c r="S67" s="1173"/>
      <c r="T67" s="1173"/>
      <c r="U67" s="1173"/>
      <c r="V67" s="2"/>
      <c r="W67" s="2"/>
      <c r="X67" s="2"/>
      <c r="Y67" s="2"/>
      <c r="Z67" s="2"/>
      <c r="AA67" s="2"/>
      <c r="AB67" s="2"/>
      <c r="AC67" s="2"/>
      <c r="AD67" s="2"/>
      <c r="AE67" s="2"/>
      <c r="AF67" s="2"/>
      <c r="AG67" s="2"/>
      <c r="AH67" s="2"/>
    </row>
    <row r="68" spans="1:34" x14ac:dyDescent="0.35">
      <c r="A68" s="686"/>
      <c r="B68" s="665"/>
      <c r="C68" s="642"/>
      <c r="D68" s="642"/>
      <c r="E68" s="642"/>
      <c r="F68" s="642"/>
      <c r="G68" s="646"/>
      <c r="H68" s="977"/>
      <c r="I68" s="977"/>
      <c r="J68" s="977"/>
      <c r="K68" s="977"/>
      <c r="L68" s="977"/>
      <c r="M68" s="977"/>
      <c r="N68" s="977"/>
      <c r="O68" s="977"/>
      <c r="P68" s="977"/>
      <c r="Q68" s="977"/>
      <c r="R68" s="977"/>
      <c r="S68" s="977"/>
      <c r="T68" s="977"/>
      <c r="U68" s="977"/>
      <c r="V68" s="2"/>
      <c r="W68" s="2"/>
      <c r="X68" s="2"/>
      <c r="Y68" s="2"/>
      <c r="Z68" s="2"/>
      <c r="AA68" s="2"/>
      <c r="AB68" s="2"/>
      <c r="AC68" s="2"/>
      <c r="AD68" s="2"/>
      <c r="AE68" s="2"/>
      <c r="AF68" s="2"/>
      <c r="AG68" s="2"/>
      <c r="AH68" s="2"/>
    </row>
    <row r="69" spans="1:34" x14ac:dyDescent="0.35">
      <c r="A69" s="686"/>
      <c r="B69" s="665"/>
      <c r="C69" s="642"/>
      <c r="D69" s="642"/>
      <c r="E69" s="642"/>
      <c r="F69" s="642"/>
      <c r="G69" s="646"/>
      <c r="H69" s="977"/>
      <c r="I69" s="977"/>
      <c r="J69" s="977"/>
      <c r="K69" s="977"/>
      <c r="L69" s="977"/>
      <c r="M69" s="977"/>
      <c r="N69" s="977"/>
      <c r="O69" s="977"/>
      <c r="P69" s="977"/>
      <c r="Q69" s="977"/>
      <c r="R69" s="977"/>
      <c r="S69" s="977"/>
      <c r="T69" s="977"/>
      <c r="U69" s="977"/>
      <c r="V69" s="2"/>
      <c r="W69" s="2"/>
      <c r="X69" s="2"/>
      <c r="Y69" s="2"/>
      <c r="Z69" s="2"/>
      <c r="AA69" s="2"/>
      <c r="AB69" s="2"/>
      <c r="AC69" s="2"/>
      <c r="AD69" s="2"/>
      <c r="AE69" s="2"/>
      <c r="AF69" s="2"/>
      <c r="AG69" s="2"/>
      <c r="AH69" s="2"/>
    </row>
    <row r="70" spans="1:34" x14ac:dyDescent="0.35">
      <c r="A70" s="3764" t="s">
        <v>725</v>
      </c>
      <c r="B70" s="3765"/>
      <c r="C70" s="12"/>
      <c r="D70" s="12"/>
      <c r="E70" s="12"/>
      <c r="F70" s="12"/>
      <c r="G70" s="13"/>
      <c r="H70" s="21"/>
      <c r="I70" s="21"/>
      <c r="J70" s="21"/>
      <c r="K70" s="21"/>
      <c r="L70" s="21"/>
      <c r="M70" s="21"/>
      <c r="N70" s="21"/>
      <c r="O70" s="21"/>
      <c r="P70" s="21"/>
      <c r="Q70" s="21"/>
      <c r="R70" s="21"/>
      <c r="S70" s="21"/>
      <c r="T70" s="21"/>
      <c r="U70" s="21"/>
    </row>
    <row r="71" spans="1:34" x14ac:dyDescent="0.35">
      <c r="A71" s="689"/>
      <c r="B71" s="641" t="s">
        <v>726</v>
      </c>
      <c r="C71" s="642"/>
      <c r="D71" s="642"/>
      <c r="E71" s="642"/>
      <c r="F71" s="642"/>
      <c r="G71" s="646"/>
      <c r="H71" s="977"/>
      <c r="I71" s="977"/>
      <c r="J71" s="977"/>
      <c r="K71" s="977"/>
      <c r="L71" s="977"/>
      <c r="M71" s="977"/>
      <c r="N71" s="977"/>
      <c r="O71" s="977"/>
      <c r="P71" s="977"/>
      <c r="Q71" s="977"/>
      <c r="R71" s="977"/>
      <c r="S71" s="977"/>
      <c r="T71" s="977"/>
      <c r="U71" s="977"/>
    </row>
    <row r="72" spans="1:34" x14ac:dyDescent="0.35">
      <c r="A72" s="689"/>
      <c r="B72" s="641" t="s">
        <v>727</v>
      </c>
      <c r="C72" s="642"/>
      <c r="D72" s="642"/>
      <c r="E72" s="642"/>
      <c r="F72" s="642"/>
      <c r="G72" s="646"/>
      <c r="H72" s="977"/>
      <c r="I72" s="977"/>
      <c r="J72" s="977"/>
      <c r="K72" s="977"/>
      <c r="L72" s="977"/>
      <c r="M72" s="977"/>
      <c r="N72" s="977"/>
      <c r="O72" s="977"/>
      <c r="P72" s="977"/>
      <c r="Q72" s="977"/>
      <c r="R72" s="977"/>
      <c r="S72" s="977"/>
      <c r="T72" s="977"/>
      <c r="U72" s="977"/>
    </row>
    <row r="73" spans="1:34" x14ac:dyDescent="0.35">
      <c r="A73" s="689"/>
      <c r="B73" s="641" t="s">
        <v>728</v>
      </c>
      <c r="C73" s="642"/>
      <c r="D73" s="642"/>
      <c r="E73" s="642"/>
      <c r="F73" s="642"/>
      <c r="G73" s="646"/>
      <c r="H73" s="977"/>
      <c r="I73" s="977"/>
      <c r="J73" s="977"/>
      <c r="K73" s="977"/>
      <c r="L73" s="977"/>
      <c r="M73" s="977"/>
      <c r="N73" s="977"/>
      <c r="O73" s="977"/>
      <c r="P73" s="977"/>
      <c r="Q73" s="977"/>
      <c r="R73" s="977"/>
      <c r="S73" s="977"/>
      <c r="T73" s="977"/>
      <c r="U73" s="977"/>
    </row>
    <row r="74" spans="1:34" x14ac:dyDescent="0.35">
      <c r="A74" s="689"/>
      <c r="B74" s="641" t="s">
        <v>729</v>
      </c>
      <c r="C74" s="642"/>
      <c r="D74" s="642"/>
      <c r="E74" s="642"/>
      <c r="F74" s="642"/>
      <c r="G74" s="646"/>
      <c r="H74" s="977"/>
      <c r="I74" s="977"/>
      <c r="J74" s="977"/>
      <c r="K74" s="977"/>
      <c r="L74" s="977"/>
      <c r="M74" s="977"/>
      <c r="N74" s="977"/>
      <c r="O74" s="977"/>
      <c r="P74" s="977"/>
      <c r="Q74" s="977"/>
      <c r="R74" s="977"/>
      <c r="S74" s="977"/>
      <c r="T74" s="977"/>
      <c r="U74" s="977"/>
    </row>
    <row r="75" spans="1:34" x14ac:dyDescent="0.35">
      <c r="A75" s="978"/>
      <c r="B75" s="939"/>
      <c r="C75" s="940"/>
      <c r="D75" s="940"/>
      <c r="E75" s="940"/>
      <c r="F75" s="940"/>
      <c r="G75" s="1039"/>
      <c r="H75" s="981"/>
      <c r="I75" s="981"/>
      <c r="J75" s="981"/>
      <c r="K75" s="981"/>
      <c r="L75" s="981"/>
      <c r="M75" s="981"/>
      <c r="N75" s="981"/>
      <c r="O75" s="981"/>
      <c r="P75" s="981"/>
      <c r="Q75" s="981"/>
      <c r="R75" s="981"/>
      <c r="S75" s="981"/>
      <c r="T75" s="981"/>
      <c r="U75" s="981"/>
    </row>
    <row r="76" spans="1:34" x14ac:dyDescent="0.35">
      <c r="A76" s="7" t="s">
        <v>730</v>
      </c>
      <c r="B76" s="8"/>
      <c r="C76" s="12"/>
      <c r="D76" s="12"/>
      <c r="E76" s="12"/>
      <c r="F76" s="12"/>
      <c r="G76" s="13"/>
      <c r="H76" s="21"/>
      <c r="I76" s="21"/>
      <c r="J76" s="21"/>
      <c r="K76" s="21"/>
      <c r="L76" s="21"/>
      <c r="M76" s="21"/>
      <c r="N76" s="21"/>
      <c r="O76" s="21"/>
      <c r="P76" s="21"/>
      <c r="Q76" s="21"/>
      <c r="R76" s="21"/>
      <c r="S76" s="21"/>
      <c r="T76" s="21"/>
      <c r="U76" s="21"/>
    </row>
    <row r="77" spans="1:34" x14ac:dyDescent="0.35">
      <c r="A77" s="1170"/>
      <c r="B77" s="1176" t="s">
        <v>731</v>
      </c>
      <c r="C77" s="1171"/>
      <c r="D77" s="1171"/>
      <c r="E77" s="1171"/>
      <c r="F77" s="1171"/>
      <c r="G77" s="1172"/>
      <c r="H77" s="1177"/>
      <c r="I77" s="1177"/>
      <c r="J77" s="1177"/>
      <c r="K77" s="1177"/>
      <c r="L77" s="1177"/>
      <c r="M77" s="1177"/>
      <c r="N77" s="1177"/>
      <c r="O77" s="1177"/>
      <c r="P77" s="1177"/>
      <c r="Q77" s="1177"/>
      <c r="R77" s="1177"/>
      <c r="S77" s="1177"/>
      <c r="T77" s="1177"/>
      <c r="U77" s="1177"/>
    </row>
    <row r="78" spans="1:34" x14ac:dyDescent="0.35">
      <c r="A78" s="689"/>
      <c r="B78" s="641" t="s">
        <v>732</v>
      </c>
      <c r="C78" s="642"/>
      <c r="D78" s="642"/>
      <c r="E78" s="642"/>
      <c r="F78" s="642"/>
      <c r="G78" s="646"/>
      <c r="H78" s="984"/>
      <c r="I78" s="984"/>
      <c r="J78" s="984"/>
      <c r="K78" s="984"/>
      <c r="L78" s="984"/>
      <c r="M78" s="984"/>
      <c r="N78" s="984"/>
      <c r="O78" s="984"/>
      <c r="P78" s="984"/>
      <c r="Q78" s="984"/>
      <c r="R78" s="984"/>
      <c r="S78" s="984"/>
      <c r="T78" s="984"/>
      <c r="U78" s="984"/>
    </row>
    <row r="79" spans="1:34" x14ac:dyDescent="0.35">
      <c r="A79" s="985"/>
      <c r="B79" s="986" t="s">
        <v>733</v>
      </c>
      <c r="C79" s="987"/>
      <c r="D79" s="987"/>
      <c r="E79" s="987"/>
      <c r="F79" s="987"/>
      <c r="G79" s="1040"/>
      <c r="H79" s="990"/>
      <c r="I79" s="990"/>
      <c r="J79" s="990"/>
      <c r="K79" s="990"/>
      <c r="L79" s="990"/>
      <c r="M79" s="990"/>
      <c r="N79" s="990"/>
      <c r="O79" s="990"/>
      <c r="P79" s="990"/>
      <c r="Q79" s="990"/>
      <c r="R79" s="990"/>
      <c r="S79" s="990"/>
      <c r="T79" s="990"/>
      <c r="U79" s="990"/>
    </row>
    <row r="80" spans="1:34" x14ac:dyDescent="0.35">
      <c r="T80" s="2"/>
      <c r="U80" s="2"/>
    </row>
    <row r="81" spans="1:21" x14ac:dyDescent="0.35">
      <c r="A81" s="78" t="s">
        <v>734</v>
      </c>
      <c r="B81" s="80"/>
      <c r="T81" s="2"/>
      <c r="U81" s="2"/>
    </row>
    <row r="82" spans="1:21" x14ac:dyDescent="0.35">
      <c r="A82" s="79" t="s">
        <v>632</v>
      </c>
      <c r="B82" s="991"/>
      <c r="T82" s="2"/>
      <c r="U82" s="2"/>
    </row>
    <row r="83" spans="1:21" x14ac:dyDescent="0.35">
      <c r="A83" s="687" t="s">
        <v>636</v>
      </c>
      <c r="B83" s="991"/>
      <c r="T83" s="2"/>
      <c r="U83" s="2"/>
    </row>
    <row r="84" spans="1:21" x14ac:dyDescent="0.35">
      <c r="A84" s="992" t="s">
        <v>639</v>
      </c>
      <c r="B84" s="993"/>
      <c r="T84" s="2"/>
      <c r="U84" s="2"/>
    </row>
    <row r="85" spans="1:21" x14ac:dyDescent="0.35">
      <c r="A85" s="992" t="s">
        <v>642</v>
      </c>
      <c r="B85" s="994"/>
      <c r="T85" s="2"/>
      <c r="U85" s="2"/>
    </row>
    <row r="86" spans="1:21" x14ac:dyDescent="0.35">
      <c r="A86" s="995" t="s">
        <v>735</v>
      </c>
      <c r="B86" s="996">
        <f>H8</f>
        <v>347100</v>
      </c>
      <c r="T86" s="2"/>
      <c r="U86" s="2"/>
    </row>
    <row r="87" spans="1:21" x14ac:dyDescent="0.35">
      <c r="T87" s="2"/>
      <c r="U87" s="2"/>
    </row>
    <row r="88" spans="1:21" x14ac:dyDescent="0.35">
      <c r="A88" s="81"/>
      <c r="B88" s="1" t="s">
        <v>736</v>
      </c>
      <c r="T88" s="2"/>
      <c r="U88" s="2"/>
    </row>
    <row r="89" spans="1:21" x14ac:dyDescent="0.35">
      <c r="A89" s="82"/>
      <c r="B89" s="1" t="s">
        <v>737</v>
      </c>
      <c r="T89" s="2"/>
      <c r="U89" s="2"/>
    </row>
    <row r="90" spans="1:21" x14ac:dyDescent="0.35">
      <c r="T90" s="2"/>
      <c r="U90" s="2"/>
    </row>
    <row r="91" spans="1:21" x14ac:dyDescent="0.35">
      <c r="T91" s="2"/>
      <c r="U91" s="2"/>
    </row>
    <row r="92" spans="1:21" x14ac:dyDescent="0.35">
      <c r="T92" s="2"/>
      <c r="U92" s="2"/>
    </row>
    <row r="93" spans="1:21" x14ac:dyDescent="0.35">
      <c r="T93" s="2"/>
      <c r="U93" s="2"/>
    </row>
    <row r="94" spans="1:21" x14ac:dyDescent="0.35">
      <c r="T94" s="2"/>
      <c r="U94" s="2"/>
    </row>
    <row r="95" spans="1:21" x14ac:dyDescent="0.35">
      <c r="T95" s="2"/>
      <c r="U95" s="2"/>
    </row>
    <row r="96" spans="1:21" x14ac:dyDescent="0.35">
      <c r="T96" s="2"/>
      <c r="U96" s="2"/>
    </row>
    <row r="97" spans="20:21" x14ac:dyDescent="0.35">
      <c r="T97" s="2"/>
      <c r="U97" s="2"/>
    </row>
    <row r="98" spans="20:21" x14ac:dyDescent="0.35">
      <c r="T98" s="2"/>
      <c r="U98" s="2"/>
    </row>
    <row r="99" spans="20:21" x14ac:dyDescent="0.35">
      <c r="T99" s="2"/>
      <c r="U99" s="2"/>
    </row>
    <row r="100" spans="20:21" x14ac:dyDescent="0.35">
      <c r="T100" s="2"/>
      <c r="U100" s="2"/>
    </row>
    <row r="101" spans="20:21" x14ac:dyDescent="0.35">
      <c r="T101" s="2"/>
      <c r="U101" s="2"/>
    </row>
    <row r="102" spans="20:21" x14ac:dyDescent="0.35">
      <c r="T102" s="2"/>
      <c r="U102" s="2"/>
    </row>
    <row r="103" spans="20:21" x14ac:dyDescent="0.35">
      <c r="T103" s="2"/>
      <c r="U103" s="2"/>
    </row>
    <row r="104" spans="20:21" x14ac:dyDescent="0.35">
      <c r="T104" s="2"/>
      <c r="U104" s="2"/>
    </row>
    <row r="105" spans="20:21" x14ac:dyDescent="0.35">
      <c r="T105" s="2"/>
      <c r="U105" s="2"/>
    </row>
    <row r="106" spans="20:21" x14ac:dyDescent="0.35">
      <c r="T106" s="2"/>
      <c r="U106" s="2"/>
    </row>
    <row r="107" spans="20:21" x14ac:dyDescent="0.35">
      <c r="T107" s="2"/>
      <c r="U107" s="2"/>
    </row>
    <row r="108" spans="20:21" x14ac:dyDescent="0.35">
      <c r="T108" s="2"/>
      <c r="U108" s="2"/>
    </row>
    <row r="109" spans="20:21" x14ac:dyDescent="0.35">
      <c r="T109" s="2"/>
      <c r="U109" s="2"/>
    </row>
    <row r="110" spans="20:21" x14ac:dyDescent="0.35">
      <c r="T110" s="2"/>
      <c r="U110" s="2"/>
    </row>
    <row r="111" spans="20:21" x14ac:dyDescent="0.35">
      <c r="T111" s="2"/>
      <c r="U111" s="2"/>
    </row>
    <row r="112" spans="20:21" x14ac:dyDescent="0.35">
      <c r="T112" s="2"/>
      <c r="U112" s="2"/>
    </row>
    <row r="113" spans="20:21" x14ac:dyDescent="0.35">
      <c r="T113" s="2"/>
      <c r="U113" s="2"/>
    </row>
    <row r="114" spans="20:21" x14ac:dyDescent="0.35">
      <c r="T114" s="2"/>
      <c r="U114" s="2"/>
    </row>
    <row r="115" spans="20:21" x14ac:dyDescent="0.35">
      <c r="T115" s="2"/>
      <c r="U115" s="2"/>
    </row>
    <row r="116" spans="20:21" x14ac:dyDescent="0.35">
      <c r="T116" s="2"/>
      <c r="U116" s="2"/>
    </row>
    <row r="117" spans="20:21" x14ac:dyDescent="0.35">
      <c r="T117" s="2"/>
      <c r="U117" s="2"/>
    </row>
    <row r="118" spans="20:21" x14ac:dyDescent="0.35">
      <c r="T118" s="2"/>
      <c r="U118" s="2"/>
    </row>
    <row r="119" spans="20:21" x14ac:dyDescent="0.35">
      <c r="T119" s="2"/>
      <c r="U119" s="2"/>
    </row>
  </sheetData>
  <mergeCells count="54">
    <mergeCell ref="T2:U2"/>
    <mergeCell ref="H3:I3"/>
    <mergeCell ref="J3:K3"/>
    <mergeCell ref="L3:M3"/>
    <mergeCell ref="N3:O3"/>
    <mergeCell ref="P3:Q3"/>
    <mergeCell ref="R3:S3"/>
    <mergeCell ref="T3:U3"/>
    <mergeCell ref="H2:I2"/>
    <mergeCell ref="J2:K2"/>
    <mergeCell ref="L2:M2"/>
    <mergeCell ref="N2:O2"/>
    <mergeCell ref="P2:Q2"/>
    <mergeCell ref="R2:S2"/>
    <mergeCell ref="T4:U4"/>
    <mergeCell ref="H5:I5"/>
    <mergeCell ref="J5:K5"/>
    <mergeCell ref="L5:M5"/>
    <mergeCell ref="N5:O5"/>
    <mergeCell ref="P5:Q5"/>
    <mergeCell ref="R5:S5"/>
    <mergeCell ref="T5:U5"/>
    <mergeCell ref="H4:I4"/>
    <mergeCell ref="J4:K4"/>
    <mergeCell ref="L4:M4"/>
    <mergeCell ref="N4:O4"/>
    <mergeCell ref="P4:Q4"/>
    <mergeCell ref="R4:S4"/>
    <mergeCell ref="T6:U6"/>
    <mergeCell ref="H7:I7"/>
    <mergeCell ref="J7:K7"/>
    <mergeCell ref="L7:M7"/>
    <mergeCell ref="N7:O7"/>
    <mergeCell ref="P7:Q7"/>
    <mergeCell ref="R7:S7"/>
    <mergeCell ref="T7:U7"/>
    <mergeCell ref="H6:I6"/>
    <mergeCell ref="J6:K6"/>
    <mergeCell ref="L6:M6"/>
    <mergeCell ref="N6:O6"/>
    <mergeCell ref="P6:Q6"/>
    <mergeCell ref="R6:S6"/>
    <mergeCell ref="A70:B70"/>
    <mergeCell ref="H8:I8"/>
    <mergeCell ref="J8:K8"/>
    <mergeCell ref="L8:M8"/>
    <mergeCell ref="N8:O8"/>
    <mergeCell ref="T8:U8"/>
    <mergeCell ref="A54:B54"/>
    <mergeCell ref="A58:B58"/>
    <mergeCell ref="A62:B62"/>
    <mergeCell ref="A66:B66"/>
    <mergeCell ref="P8:Q8"/>
    <mergeCell ref="R8:S8"/>
  </mergeCells>
  <conditionalFormatting sqref="H20:H30 H32:H45 J32:J45 L32:L45 N32:N45 P32:P45 R32:R45">
    <cfRule type="cellIs" dxfId="2545" priority="9" operator="equal">
      <formula>"X"</formula>
    </cfRule>
    <cfRule type="cellIs" dxfId="2544" priority="10" operator="equal">
      <formula>"I"</formula>
    </cfRule>
  </conditionalFormatting>
  <conditionalFormatting sqref="J20:J30">
    <cfRule type="cellIs" dxfId="2543" priority="11" operator="equal">
      <formula>"X"</formula>
    </cfRule>
    <cfRule type="cellIs" dxfId="2542" priority="12" operator="equal">
      <formula>"I"</formula>
    </cfRule>
  </conditionalFormatting>
  <conditionalFormatting sqref="L20:L30">
    <cfRule type="cellIs" dxfId="2541" priority="13" operator="equal">
      <formula>"X"</formula>
    </cfRule>
    <cfRule type="cellIs" dxfId="2540" priority="14" operator="equal">
      <formula>"I"</formula>
    </cfRule>
  </conditionalFormatting>
  <conditionalFormatting sqref="N20:N30">
    <cfRule type="cellIs" dxfId="2539" priority="15" operator="equal">
      <formula>"X"</formula>
    </cfRule>
    <cfRule type="cellIs" dxfId="2538" priority="16" operator="equal">
      <formula>"I"</formula>
    </cfRule>
  </conditionalFormatting>
  <conditionalFormatting sqref="P20:P30">
    <cfRule type="cellIs" dxfId="2537" priority="17" operator="equal">
      <formula>"X"</formula>
    </cfRule>
    <cfRule type="cellIs" dxfId="2536" priority="18" operator="equal">
      <formula>"I"</formula>
    </cfRule>
  </conditionalFormatting>
  <conditionalFormatting sqref="R20:R30">
    <cfRule type="cellIs" dxfId="2535" priority="19" operator="equal">
      <formula>"X"</formula>
    </cfRule>
    <cfRule type="cellIs" dxfId="2534" priority="20" operator="equal">
      <formula>"I"</formula>
    </cfRule>
  </conditionalFormatting>
  <conditionalFormatting sqref="T20:T30">
    <cfRule type="cellIs" dxfId="2533" priority="7" operator="equal">
      <formula>"X"</formula>
    </cfRule>
    <cfRule type="cellIs" dxfId="2532" priority="8" operator="equal">
      <formula>"I"</formula>
    </cfRule>
  </conditionalFormatting>
  <conditionalFormatting sqref="T32:T45">
    <cfRule type="cellIs" dxfId="2531" priority="1" operator="equal">
      <formula>"X"</formula>
    </cfRule>
    <cfRule type="cellIs" dxfId="2530" priority="2" operator="equal">
      <formula>"I"</formula>
    </cfRule>
  </conditionalFormatting>
  <hyperlinks>
    <hyperlink ref="B3" location="'Cost Summary'!A1" display="BACK TO SUMMARY SHEET" xr:uid="{8915F972-D0EF-4B5F-A6BF-07227CB1C580}"/>
    <hyperlink ref="T2:U2" r:id="rId1" display="https://www.architecturaldepot.com/ELSQEM.html" xr:uid="{9CC7FB71-AFD2-44E6-BD29-C1B88EF4E652}"/>
  </hyperlinks>
  <pageMargins left="0.7" right="0.7" top="0.75" bottom="0.75" header="0.3" footer="0.3"/>
  <pageSetup orientation="portrait"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8298-B56F-40D7-87D2-1FDBC0CCAAB2}">
  <sheetPr>
    <tabColor rgb="FFFFC000"/>
  </sheetPr>
  <dimension ref="A1:BB151"/>
  <sheetViews>
    <sheetView zoomScale="95" zoomScaleNormal="95" workbookViewId="0">
      <pane xSplit="2" ySplit="11" topLeftCell="F92" activePane="bottomRight" state="frozen"/>
      <selection pane="topRight" activeCell="C1" sqref="C1"/>
      <selection pane="bottomLeft" activeCell="A11" sqref="A11"/>
      <selection pane="bottomRight" activeCell="S29" sqref="S29"/>
    </sheetView>
  </sheetViews>
  <sheetFormatPr defaultRowHeight="14.5" x14ac:dyDescent="0.35"/>
  <cols>
    <col min="1" max="1" width="11" customWidth="1"/>
    <col min="2" max="2" width="70.7265625" style="1" customWidth="1"/>
    <col min="3" max="4" width="12.81640625" style="2" customWidth="1"/>
    <col min="5" max="5" width="7.54296875" style="2" customWidth="1"/>
    <col min="6" max="6" width="14.7265625" style="2" customWidth="1"/>
    <col min="7" max="7" width="17.453125" style="2" customWidth="1"/>
    <col min="8" max="8" width="6.453125" style="2" hidden="1" customWidth="1"/>
    <col min="9" max="9" width="17" style="2" hidden="1" customWidth="1"/>
    <col min="10" max="10" width="6.453125" style="2" customWidth="1"/>
    <col min="11" max="11" width="17" style="2" customWidth="1"/>
    <col min="12" max="12" width="6.26953125" style="2" hidden="1" customWidth="1"/>
    <col min="13" max="13" width="14.81640625" style="2" hidden="1" customWidth="1"/>
    <col min="14" max="14" width="6.26953125" style="2" customWidth="1"/>
    <col min="15" max="15" width="14.81640625" style="2" customWidth="1"/>
    <col min="16" max="16" width="7.453125" style="2" hidden="1" customWidth="1"/>
    <col min="17" max="17" width="14.81640625" style="2" hidden="1" customWidth="1"/>
    <col min="18" max="18" width="7.453125" style="2" bestFit="1" customWidth="1"/>
    <col min="19" max="19" width="14.81640625" style="2" customWidth="1"/>
    <col min="20" max="20" width="7.54296875" style="2" customWidth="1"/>
    <col min="21" max="21" width="14.81640625" style="2" customWidth="1"/>
    <col min="22" max="22" width="7.54296875" style="2" bestFit="1" customWidth="1"/>
    <col min="23" max="23" width="12" style="2" customWidth="1"/>
    <col min="24" max="24" width="7" style="2" hidden="1" customWidth="1"/>
    <col min="25" max="25" width="14.81640625" style="2" hidden="1" customWidth="1"/>
    <col min="26" max="26" width="7.26953125" style="2" hidden="1" customWidth="1"/>
    <col min="27" max="27" width="14.81640625" style="2" hidden="1" customWidth="1"/>
    <col min="28" max="28" width="7.26953125" style="2" hidden="1" customWidth="1"/>
    <col min="29" max="29" width="14.81640625" style="2" hidden="1" customWidth="1"/>
    <col min="30" max="30" width="7.453125" style="2" bestFit="1" customWidth="1"/>
    <col min="31" max="31" width="14.81640625" style="2" customWidth="1"/>
    <col min="32" max="32" width="7.453125" style="2" bestFit="1" customWidth="1"/>
    <col min="33" max="33" width="14.81640625" style="2" customWidth="1"/>
    <col min="34" max="34" width="7.453125" style="2" bestFit="1" customWidth="1"/>
    <col min="35" max="35" width="14.81640625" style="2" customWidth="1"/>
    <col min="36" max="36" width="6.1796875" customWidth="1"/>
    <col min="37" max="37" width="15.1796875" customWidth="1"/>
    <col min="41" max="41" width="49.54296875" hidden="1" customWidth="1"/>
    <col min="42" max="42" width="13" hidden="1" customWidth="1"/>
    <col min="43" max="44" width="13.26953125" hidden="1" customWidth="1"/>
    <col min="45" max="45" width="7.26953125" hidden="1" customWidth="1"/>
    <col min="46" max="48" width="0" hidden="1" customWidth="1"/>
    <col min="49" max="49" width="7.26953125" hidden="1" customWidth="1"/>
    <col min="50" max="50" width="0" hidden="1" customWidth="1"/>
    <col min="51" max="51" width="7.81640625" hidden="1" customWidth="1"/>
    <col min="52" max="52" width="13" hidden="1" customWidth="1"/>
    <col min="53" max="53" width="0" hidden="1" customWidth="1"/>
    <col min="54" max="54" width="12.7265625" hidden="1" customWidth="1"/>
    <col min="55" max="55" width="0" hidden="1" customWidth="1"/>
  </cols>
  <sheetData>
    <row r="1" spans="1:54" ht="30" customHeight="1" x14ac:dyDescent="0.55000000000000004">
      <c r="E1" s="152"/>
      <c r="F1" s="125"/>
      <c r="G1" s="123" t="s">
        <v>621</v>
      </c>
      <c r="J1" s="3795" t="s">
        <v>1169</v>
      </c>
      <c r="K1" s="3795"/>
      <c r="N1" s="3795" t="s">
        <v>770</v>
      </c>
      <c r="O1" s="3795"/>
      <c r="P1" s="3807"/>
      <c r="Q1" s="3807"/>
      <c r="R1" s="3795" t="s">
        <v>770</v>
      </c>
      <c r="S1" s="3795"/>
      <c r="T1" s="384"/>
      <c r="U1" s="384"/>
      <c r="X1" s="3785" t="s">
        <v>1170</v>
      </c>
      <c r="Y1" s="3785"/>
      <c r="Z1" s="3785" t="s">
        <v>1170</v>
      </c>
      <c r="AA1" s="3785"/>
      <c r="AB1" s="3785" t="s">
        <v>1170</v>
      </c>
      <c r="AC1" s="3785"/>
      <c r="AJ1" s="2"/>
      <c r="AK1" s="2"/>
      <c r="AO1" s="541" t="s">
        <v>1171</v>
      </c>
      <c r="AP1" s="541"/>
      <c r="AQ1" s="541"/>
      <c r="AR1" s="541"/>
      <c r="AS1" s="541"/>
      <c r="AT1" s="541"/>
      <c r="AW1" s="541"/>
      <c r="AX1" s="541"/>
      <c r="AY1" s="541"/>
      <c r="AZ1" s="541"/>
    </row>
    <row r="2" spans="1:54" ht="35.25" customHeight="1" x14ac:dyDescent="0.35">
      <c r="E2" s="152"/>
      <c r="F2" s="122" t="s">
        <v>622</v>
      </c>
      <c r="G2" s="123" t="s">
        <v>451</v>
      </c>
      <c r="H2" s="3799" t="s">
        <v>1172</v>
      </c>
      <c r="I2" s="3799"/>
      <c r="J2" s="3799" t="s">
        <v>1173</v>
      </c>
      <c r="K2" s="3799"/>
      <c r="L2" s="3799"/>
      <c r="M2" s="3799"/>
      <c r="N2" s="3795" t="s">
        <v>1062</v>
      </c>
      <c r="O2" s="3795"/>
      <c r="P2" s="3808"/>
      <c r="Q2" s="3808"/>
      <c r="R2" s="3795" t="s">
        <v>1174</v>
      </c>
      <c r="S2" s="3795"/>
      <c r="T2" s="3799" t="s">
        <v>1175</v>
      </c>
      <c r="U2" s="3799"/>
      <c r="V2" s="3789"/>
      <c r="W2" s="3789"/>
      <c r="X2" s="3803" t="s">
        <v>1176</v>
      </c>
      <c r="Y2" s="3803"/>
      <c r="Z2" s="3803" t="s">
        <v>1176</v>
      </c>
      <c r="AA2" s="3803"/>
      <c r="AB2" s="3803" t="s">
        <v>1176</v>
      </c>
      <c r="AC2" s="3803"/>
      <c r="AD2" s="3804" t="s">
        <v>1177</v>
      </c>
      <c r="AE2" s="3804"/>
      <c r="AF2" s="3751" t="s">
        <v>1178</v>
      </c>
      <c r="AG2" s="3751"/>
      <c r="AH2" s="3751" t="s">
        <v>1178</v>
      </c>
      <c r="AI2" s="3751"/>
      <c r="AJ2" s="3751" t="s">
        <v>1178</v>
      </c>
      <c r="AK2" s="3751"/>
      <c r="AO2" s="1"/>
      <c r="AP2" s="1"/>
      <c r="AQ2" s="1"/>
      <c r="AR2" s="1"/>
      <c r="AS2" s="539" t="s">
        <v>1172</v>
      </c>
      <c r="AT2" s="539"/>
      <c r="AU2" s="3809" t="s">
        <v>1179</v>
      </c>
      <c r="AV2" s="3809"/>
      <c r="AW2" s="539" t="s">
        <v>1180</v>
      </c>
      <c r="AX2" s="539"/>
      <c r="AY2" s="540" t="s">
        <v>1180</v>
      </c>
      <c r="AZ2" s="540"/>
      <c r="BA2" s="3809" t="s">
        <v>1181</v>
      </c>
      <c r="BB2" s="3809"/>
    </row>
    <row r="3" spans="1:54" ht="19.5" x14ac:dyDescent="0.35">
      <c r="B3" s="137" t="s">
        <v>623</v>
      </c>
      <c r="E3" s="152"/>
      <c r="F3" s="124" t="s">
        <v>624</v>
      </c>
      <c r="G3" s="123" t="s">
        <v>557</v>
      </c>
      <c r="H3" s="3754" t="s">
        <v>625</v>
      </c>
      <c r="I3" s="3755"/>
      <c r="J3" s="3754" t="s">
        <v>625</v>
      </c>
      <c r="K3" s="3755"/>
      <c r="L3" s="3754" t="s">
        <v>626</v>
      </c>
      <c r="M3" s="3755"/>
      <c r="N3" s="3778" t="s">
        <v>626</v>
      </c>
      <c r="O3" s="3779"/>
      <c r="P3" s="3754" t="s">
        <v>627</v>
      </c>
      <c r="Q3" s="3755"/>
      <c r="R3" s="3778" t="s">
        <v>627</v>
      </c>
      <c r="S3" s="3779"/>
      <c r="T3" s="3754" t="s">
        <v>627</v>
      </c>
      <c r="U3" s="3755"/>
      <c r="V3" s="3797" t="s">
        <v>628</v>
      </c>
      <c r="W3" s="3798"/>
      <c r="X3" s="3754" t="s">
        <v>628</v>
      </c>
      <c r="Y3" s="3755"/>
      <c r="Z3" s="3805" t="s">
        <v>628</v>
      </c>
      <c r="AA3" s="3806"/>
      <c r="AB3" s="3754" t="s">
        <v>628</v>
      </c>
      <c r="AC3" s="3755"/>
      <c r="AD3" s="3754" t="s">
        <v>628</v>
      </c>
      <c r="AE3" s="3755"/>
      <c r="AF3" s="3754" t="s">
        <v>772</v>
      </c>
      <c r="AG3" s="3755"/>
      <c r="AH3" s="3754" t="s">
        <v>773</v>
      </c>
      <c r="AI3" s="3755"/>
      <c r="AJ3" s="3754" t="s">
        <v>1182</v>
      </c>
      <c r="AK3" s="3755"/>
      <c r="AO3" s="137" t="s">
        <v>623</v>
      </c>
      <c r="AP3" s="137"/>
      <c r="AQ3" s="137"/>
      <c r="AR3" s="137"/>
      <c r="AS3" s="3754"/>
      <c r="AT3" s="3755"/>
      <c r="AU3" s="3754"/>
      <c r="AV3" s="3755"/>
      <c r="AW3" s="3754"/>
      <c r="AX3" s="3755"/>
      <c r="AY3" s="3754"/>
      <c r="AZ3" s="3755"/>
      <c r="BA3" s="3754"/>
      <c r="BB3" s="3755"/>
    </row>
    <row r="4" spans="1:54" x14ac:dyDescent="0.35">
      <c r="A4" s="3" t="s">
        <v>631</v>
      </c>
      <c r="B4" s="4" t="str">
        <f>'AREA CALC''s'!B4</f>
        <v>Alton Hilltop Gardens</v>
      </c>
      <c r="C4" s="5"/>
      <c r="D4" s="5"/>
      <c r="E4" s="5"/>
      <c r="F4" s="5"/>
      <c r="G4" s="6" t="s">
        <v>632</v>
      </c>
      <c r="H4" s="3752" t="s">
        <v>1070</v>
      </c>
      <c r="I4" s="3753"/>
      <c r="J4" s="3752" t="s">
        <v>1183</v>
      </c>
      <c r="K4" s="3753"/>
      <c r="L4" s="3752" t="s">
        <v>1066</v>
      </c>
      <c r="M4" s="3753"/>
      <c r="N4" s="3752" t="s">
        <v>1066</v>
      </c>
      <c r="O4" s="3753"/>
      <c r="P4" s="3752" t="s">
        <v>1184</v>
      </c>
      <c r="Q4" s="3753"/>
      <c r="R4" s="3752" t="s">
        <v>1184</v>
      </c>
      <c r="S4" s="3753"/>
      <c r="T4" s="3752" t="s">
        <v>1069</v>
      </c>
      <c r="U4" s="3753"/>
      <c r="V4" s="3752" t="s">
        <v>1068</v>
      </c>
      <c r="W4" s="3753"/>
      <c r="X4" s="3752" t="s">
        <v>1185</v>
      </c>
      <c r="Y4" s="3753"/>
      <c r="Z4" s="3752" t="s">
        <v>1186</v>
      </c>
      <c r="AA4" s="3753"/>
      <c r="AB4" s="3752" t="s">
        <v>1187</v>
      </c>
      <c r="AC4" s="3753"/>
      <c r="AD4" s="3752" t="s">
        <v>1071</v>
      </c>
      <c r="AE4" s="3753"/>
      <c r="AF4" s="3752" t="s">
        <v>1188</v>
      </c>
      <c r="AG4" s="3753"/>
      <c r="AH4" s="3752" t="s">
        <v>1189</v>
      </c>
      <c r="AI4" s="3753"/>
      <c r="AJ4" s="3752" t="s">
        <v>1190</v>
      </c>
      <c r="AK4" s="3753"/>
      <c r="AO4" s="4"/>
      <c r="AP4" s="528"/>
      <c r="AQ4" s="528"/>
      <c r="AR4" s="528"/>
      <c r="AS4" s="3752" t="s">
        <v>1068</v>
      </c>
      <c r="AT4" s="3753"/>
      <c r="AU4" s="3752" t="s">
        <v>1186</v>
      </c>
      <c r="AV4" s="3753"/>
      <c r="AW4" s="3752" t="s">
        <v>1191</v>
      </c>
      <c r="AX4" s="3753"/>
      <c r="AY4" s="3752" t="s">
        <v>1192</v>
      </c>
      <c r="AZ4" s="3753"/>
      <c r="BA4" s="3752" t="s">
        <v>1190</v>
      </c>
      <c r="BB4" s="3753"/>
    </row>
    <row r="5" spans="1:54" ht="15" customHeight="1" x14ac:dyDescent="0.35">
      <c r="A5" s="688" t="s">
        <v>634</v>
      </c>
      <c r="B5" s="641" t="s">
        <v>469</v>
      </c>
      <c r="C5" s="642"/>
      <c r="D5" s="642"/>
      <c r="E5" s="642"/>
      <c r="F5" s="642"/>
      <c r="G5" s="643" t="s">
        <v>636</v>
      </c>
      <c r="H5" s="3800" t="s">
        <v>1077</v>
      </c>
      <c r="I5" s="3801"/>
      <c r="J5" s="3800" t="s">
        <v>1077</v>
      </c>
      <c r="K5" s="3801"/>
      <c r="L5" s="3800" t="s">
        <v>1073</v>
      </c>
      <c r="M5" s="3801"/>
      <c r="N5" s="3800" t="s">
        <v>1073</v>
      </c>
      <c r="O5" s="3801"/>
      <c r="P5" s="3800" t="s">
        <v>1193</v>
      </c>
      <c r="Q5" s="3801"/>
      <c r="R5" s="3800" t="s">
        <v>1193</v>
      </c>
      <c r="S5" s="3801"/>
      <c r="T5" s="3758" t="s">
        <v>1076</v>
      </c>
      <c r="U5" s="3759"/>
      <c r="V5" s="3800" t="s">
        <v>1075</v>
      </c>
      <c r="W5" s="3801"/>
      <c r="X5" s="3800" t="s">
        <v>1194</v>
      </c>
      <c r="Y5" s="3801"/>
      <c r="Z5" s="3800" t="s">
        <v>1195</v>
      </c>
      <c r="AA5" s="3801"/>
      <c r="AB5" s="3800" t="s">
        <v>1196</v>
      </c>
      <c r="AC5" s="3801"/>
      <c r="AD5" s="3800" t="s">
        <v>1078</v>
      </c>
      <c r="AE5" s="3801"/>
      <c r="AF5" s="3800" t="s">
        <v>1197</v>
      </c>
      <c r="AG5" s="3801"/>
      <c r="AH5" s="3800" t="s">
        <v>1198</v>
      </c>
      <c r="AI5" s="3801"/>
      <c r="AJ5" s="3800" t="s">
        <v>1199</v>
      </c>
      <c r="AK5" s="3801"/>
      <c r="AO5" s="641" t="s">
        <v>469</v>
      </c>
      <c r="AP5" s="1267"/>
      <c r="AQ5" s="1267"/>
      <c r="AR5" s="1267"/>
      <c r="AS5" s="3800" t="s">
        <v>1075</v>
      </c>
      <c r="AT5" s="3801"/>
      <c r="AU5" s="3800" t="s">
        <v>1195</v>
      </c>
      <c r="AV5" s="3801"/>
      <c r="AW5" s="3800" t="s">
        <v>1200</v>
      </c>
      <c r="AX5" s="3801"/>
      <c r="AY5" s="3800" t="s">
        <v>1201</v>
      </c>
      <c r="AZ5" s="3801"/>
      <c r="BA5" s="3800" t="s">
        <v>1199</v>
      </c>
      <c r="BB5" s="3801"/>
    </row>
    <row r="6" spans="1:54" x14ac:dyDescent="0.35">
      <c r="A6" s="688" t="s">
        <v>638</v>
      </c>
      <c r="B6" s="644" t="s">
        <v>468</v>
      </c>
      <c r="C6" s="642"/>
      <c r="D6" s="642"/>
      <c r="E6" s="642"/>
      <c r="F6" s="642"/>
      <c r="G6" s="643" t="s">
        <v>639</v>
      </c>
      <c r="H6" s="3756" t="s">
        <v>1202</v>
      </c>
      <c r="I6" s="3757"/>
      <c r="J6" s="3756" t="s">
        <v>1202</v>
      </c>
      <c r="K6" s="3757"/>
      <c r="L6" s="3756" t="s">
        <v>1079</v>
      </c>
      <c r="M6" s="3757"/>
      <c r="N6" s="3756" t="s">
        <v>1079</v>
      </c>
      <c r="O6" s="3757"/>
      <c r="P6" s="3756"/>
      <c r="Q6" s="3757"/>
      <c r="R6" s="3756"/>
      <c r="S6" s="3757"/>
      <c r="T6" s="3756" t="s">
        <v>1082</v>
      </c>
      <c r="U6" s="3757"/>
      <c r="V6" s="3800" t="s">
        <v>1081</v>
      </c>
      <c r="W6" s="3801"/>
      <c r="X6" s="3756"/>
      <c r="Y6" s="3757"/>
      <c r="Z6" s="3756"/>
      <c r="AA6" s="3757"/>
      <c r="AB6" s="3756"/>
      <c r="AC6" s="3757"/>
      <c r="AD6" s="3756" t="s">
        <v>1084</v>
      </c>
      <c r="AE6" s="3757"/>
      <c r="AF6" s="3756" t="s">
        <v>1203</v>
      </c>
      <c r="AG6" s="3757"/>
      <c r="AH6" s="3756"/>
      <c r="AI6" s="3757"/>
      <c r="AJ6" s="3756" t="s">
        <v>1204</v>
      </c>
      <c r="AK6" s="3757"/>
      <c r="AO6" s="644" t="s">
        <v>468</v>
      </c>
      <c r="AP6" s="1268"/>
      <c r="AQ6" s="1268"/>
      <c r="AR6" s="1268"/>
      <c r="AS6" s="3800" t="s">
        <v>1081</v>
      </c>
      <c r="AT6" s="3801"/>
      <c r="AU6" s="3756"/>
      <c r="AV6" s="3757"/>
      <c r="AW6" s="3756"/>
      <c r="AX6" s="3757"/>
      <c r="AY6" s="3756"/>
      <c r="AZ6" s="3757"/>
      <c r="BA6" s="3756"/>
      <c r="BB6" s="3757"/>
    </row>
    <row r="7" spans="1:54" x14ac:dyDescent="0.35">
      <c r="A7" s="688" t="s">
        <v>641</v>
      </c>
      <c r="B7" s="645"/>
      <c r="C7" s="642"/>
      <c r="D7" s="642"/>
      <c r="E7" s="642"/>
      <c r="F7" s="642"/>
      <c r="G7" s="643" t="s">
        <v>642</v>
      </c>
      <c r="H7" s="3790" t="s">
        <v>1089</v>
      </c>
      <c r="I7" s="3792"/>
      <c r="J7" s="3790" t="s">
        <v>1089</v>
      </c>
      <c r="K7" s="3792"/>
      <c r="L7" s="3790" t="s">
        <v>1085</v>
      </c>
      <c r="M7" s="3792"/>
      <c r="N7" s="3790" t="s">
        <v>1085</v>
      </c>
      <c r="O7" s="3792"/>
      <c r="P7" s="3790" t="s">
        <v>1205</v>
      </c>
      <c r="Q7" s="3792"/>
      <c r="R7" s="3790" t="s">
        <v>1205</v>
      </c>
      <c r="S7" s="3792"/>
      <c r="T7" s="3762" t="s">
        <v>1088</v>
      </c>
      <c r="U7" s="3763"/>
      <c r="V7" s="3790" t="s">
        <v>1087</v>
      </c>
      <c r="W7" s="3792"/>
      <c r="X7" s="3790"/>
      <c r="Y7" s="3792"/>
      <c r="Z7" s="3790"/>
      <c r="AA7" s="3792"/>
      <c r="AB7" s="3790"/>
      <c r="AC7" s="3792"/>
      <c r="AD7" s="3790" t="s">
        <v>1090</v>
      </c>
      <c r="AE7" s="3792"/>
      <c r="AF7" s="3790" t="s">
        <v>1206</v>
      </c>
      <c r="AG7" s="3791"/>
      <c r="AH7" s="3786" t="s">
        <v>1207</v>
      </c>
      <c r="AI7" s="3802"/>
      <c r="AJ7" s="3786" t="s">
        <v>1208</v>
      </c>
      <c r="AK7" s="3802"/>
      <c r="AO7" s="645"/>
      <c r="AP7" s="529"/>
      <c r="AQ7" s="529"/>
      <c r="AR7" s="529"/>
      <c r="AS7" s="3790" t="s">
        <v>1087</v>
      </c>
      <c r="AT7" s="3792"/>
      <c r="AU7" s="3790"/>
      <c r="AV7" s="3792"/>
      <c r="AW7" s="3790"/>
      <c r="AX7" s="3792"/>
      <c r="AY7" s="3790"/>
      <c r="AZ7" s="3792"/>
      <c r="BA7" s="3790"/>
      <c r="BB7" s="3792"/>
    </row>
    <row r="8" spans="1:54" x14ac:dyDescent="0.35">
      <c r="A8" s="938" t="s">
        <v>644</v>
      </c>
      <c r="B8" s="939"/>
      <c r="C8" s="940"/>
      <c r="D8" s="940"/>
      <c r="E8" s="940"/>
      <c r="F8" s="940"/>
      <c r="G8" s="1024" t="s">
        <v>644</v>
      </c>
      <c r="H8" s="3760">
        <f>I108</f>
        <v>236630</v>
      </c>
      <c r="I8" s="3761"/>
      <c r="J8" s="3760" t="s">
        <v>1095</v>
      </c>
      <c r="K8" s="3761"/>
      <c r="L8" s="3760">
        <f>M108</f>
        <v>412837.5</v>
      </c>
      <c r="M8" s="3761"/>
      <c r="N8" s="3760">
        <f>O108</f>
        <v>438146.25</v>
      </c>
      <c r="O8" s="3761"/>
      <c r="P8" s="3760">
        <f>Q108</f>
        <v>480360</v>
      </c>
      <c r="Q8" s="3761"/>
      <c r="R8" s="3760">
        <f>S108</f>
        <v>427150</v>
      </c>
      <c r="S8" s="3761"/>
      <c r="T8" s="3760">
        <f>U108</f>
        <v>0</v>
      </c>
      <c r="U8" s="3761"/>
      <c r="V8" s="3760">
        <f>W108</f>
        <v>493453</v>
      </c>
      <c r="W8" s="3761"/>
      <c r="X8" s="3760">
        <f>Y108</f>
        <v>71388</v>
      </c>
      <c r="Y8" s="3761"/>
      <c r="Z8" s="3760">
        <f>AA108</f>
        <v>66505</v>
      </c>
      <c r="AA8" s="3761"/>
      <c r="AB8" s="3760">
        <f>AC108</f>
        <v>148525</v>
      </c>
      <c r="AC8" s="3761"/>
      <c r="AD8" s="3760">
        <f>AE108</f>
        <v>0</v>
      </c>
      <c r="AE8" s="3761"/>
      <c r="AF8" s="3760">
        <f>AG108</f>
        <v>0</v>
      </c>
      <c r="AG8" s="3761"/>
      <c r="AH8" s="3760">
        <f>AI108</f>
        <v>0</v>
      </c>
      <c r="AI8" s="3761"/>
      <c r="AJ8" s="3760">
        <f>AK108</f>
        <v>0</v>
      </c>
      <c r="AK8" s="3761"/>
      <c r="AO8" s="939"/>
      <c r="AP8" s="530"/>
      <c r="AQ8" s="530"/>
      <c r="AR8" s="530"/>
      <c r="AS8" s="3760">
        <f>AT67</f>
        <v>145587</v>
      </c>
      <c r="AT8" s="3761"/>
      <c r="AU8" s="3760">
        <f>AV67</f>
        <v>24760</v>
      </c>
      <c r="AV8" s="3761"/>
      <c r="AW8" s="3760">
        <f>AX67</f>
        <v>77675</v>
      </c>
      <c r="AX8" s="3761"/>
      <c r="AY8" s="3760">
        <f>AZ67</f>
        <v>31686.7</v>
      </c>
      <c r="AZ8" s="3761"/>
      <c r="BA8" s="3760">
        <f>BB67</f>
        <v>163340</v>
      </c>
      <c r="BB8" s="3761"/>
    </row>
    <row r="9" spans="1:54" x14ac:dyDescent="0.35">
      <c r="A9" s="938"/>
      <c r="B9" s="939"/>
      <c r="C9" s="940"/>
      <c r="D9" s="940"/>
      <c r="E9" s="940"/>
      <c r="F9" s="940"/>
      <c r="G9" s="1024" t="s">
        <v>1209</v>
      </c>
      <c r="H9" s="3760"/>
      <c r="I9" s="3761"/>
      <c r="J9" s="3760">
        <f>'13C Awnings,Canopies,Shutters'!X8</f>
        <v>1955430</v>
      </c>
      <c r="K9" s="3761"/>
      <c r="L9" s="3760">
        <f>'13C Awnings,Canopies,Shutters'!J8</f>
        <v>1038214.35</v>
      </c>
      <c r="M9" s="3761"/>
      <c r="N9" s="3760">
        <f>'13C Awnings,Canopies,Shutters'!L8</f>
        <v>913200.57499999995</v>
      </c>
      <c r="O9" s="3761"/>
      <c r="P9" s="3760">
        <f>'13C Awnings,Canopies,Shutters'!T8</f>
        <v>1153400.31</v>
      </c>
      <c r="Q9" s="3761"/>
      <c r="R9" s="3760">
        <f>'13C Awnings,Canopies,Shutters'!P8</f>
        <v>982290</v>
      </c>
      <c r="S9" s="3761"/>
      <c r="T9" s="3760">
        <f>'13C Awnings,Canopies,Shutters'!R8</f>
        <v>2125000</v>
      </c>
      <c r="U9" s="3761"/>
      <c r="V9" s="3760">
        <f>'13C Awnings,Canopies,Shutters'!T8</f>
        <v>1153400.31</v>
      </c>
      <c r="W9" s="3761"/>
      <c r="X9" s="3760"/>
      <c r="Y9" s="3761"/>
      <c r="Z9" s="3760"/>
      <c r="AA9" s="3761"/>
      <c r="AB9" s="3760"/>
      <c r="AC9" s="3761"/>
      <c r="AD9" s="3760"/>
      <c r="AE9" s="3761"/>
      <c r="AF9" s="3760"/>
      <c r="AG9" s="3761"/>
      <c r="AH9" s="3760"/>
      <c r="AI9" s="3761"/>
      <c r="AJ9" s="3760"/>
      <c r="AK9" s="3761"/>
      <c r="AO9" s="939"/>
      <c r="AP9" s="530"/>
      <c r="AQ9" s="530"/>
      <c r="AR9" s="530"/>
      <c r="AS9" s="3760"/>
      <c r="AT9" s="3761"/>
      <c r="AU9" s="3760"/>
      <c r="AV9" s="3761"/>
      <c r="AW9" s="3760"/>
      <c r="AX9" s="3761"/>
      <c r="AY9" s="3760"/>
      <c r="AZ9" s="3761"/>
      <c r="BA9" s="3760"/>
      <c r="BB9" s="3761"/>
    </row>
    <row r="10" spans="1:54" x14ac:dyDescent="0.35">
      <c r="A10" s="938"/>
      <c r="B10" s="939"/>
      <c r="C10" s="940"/>
      <c r="D10" s="940"/>
      <c r="E10" s="940"/>
      <c r="F10" s="940"/>
      <c r="G10" s="1024" t="s">
        <v>5</v>
      </c>
      <c r="H10" s="3760"/>
      <c r="I10" s="3761"/>
      <c r="J10" s="3760">
        <f>SUM(J8:K9)</f>
        <v>1955430</v>
      </c>
      <c r="K10" s="3761"/>
      <c r="L10" s="3760">
        <f>SUM(L8:M9)</f>
        <v>1451051.85</v>
      </c>
      <c r="M10" s="3761"/>
      <c r="N10" s="3760">
        <f>SUM(N8:O9)</f>
        <v>1351346.825</v>
      </c>
      <c r="O10" s="3761"/>
      <c r="P10" s="3760">
        <f>SUM(P8:Q9)</f>
        <v>1633760.31</v>
      </c>
      <c r="Q10" s="3761"/>
      <c r="R10" s="3760">
        <f>SUM(R8:S9)</f>
        <v>1409440</v>
      </c>
      <c r="S10" s="3761"/>
      <c r="T10" s="3760">
        <f>SUM(T8:U9)</f>
        <v>2125000</v>
      </c>
      <c r="U10" s="3761"/>
      <c r="V10" s="3760">
        <f>SUM(V8:W9)</f>
        <v>1646853.31</v>
      </c>
      <c r="W10" s="3761"/>
      <c r="X10" s="3760"/>
      <c r="Y10" s="3761"/>
      <c r="Z10" s="3760"/>
      <c r="AA10" s="3761"/>
      <c r="AB10" s="3760"/>
      <c r="AC10" s="3761"/>
      <c r="AD10" s="3760"/>
      <c r="AE10" s="3761"/>
      <c r="AF10" s="3760"/>
      <c r="AG10" s="3761"/>
      <c r="AH10" s="3760"/>
      <c r="AI10" s="3761"/>
      <c r="AJ10" s="3760"/>
      <c r="AK10" s="3761"/>
      <c r="AO10" s="939"/>
      <c r="AP10" s="530"/>
      <c r="AQ10" s="530"/>
      <c r="AR10" s="530"/>
      <c r="AS10" s="3760"/>
      <c r="AT10" s="3761"/>
      <c r="AU10" s="3760"/>
      <c r="AV10" s="3761"/>
      <c r="AW10" s="3760"/>
      <c r="AX10" s="3761"/>
      <c r="AY10" s="3760"/>
      <c r="AZ10" s="3761"/>
      <c r="BA10" s="3760"/>
      <c r="BB10" s="3761"/>
    </row>
    <row r="11" spans="1:54" ht="29" x14ac:dyDescent="0.35">
      <c r="A11" s="7" t="s">
        <v>645</v>
      </c>
      <c r="B11" s="8"/>
      <c r="C11" s="9" t="s">
        <v>646</v>
      </c>
      <c r="D11" s="9" t="s">
        <v>647</v>
      </c>
      <c r="E11" s="9" t="s">
        <v>648</v>
      </c>
      <c r="F11" s="9" t="s">
        <v>649</v>
      </c>
      <c r="G11" s="10" t="s">
        <v>650</v>
      </c>
      <c r="H11" s="11"/>
      <c r="I11" s="11"/>
      <c r="J11" s="11"/>
      <c r="K11" s="11"/>
      <c r="L11" s="11" t="s">
        <v>651</v>
      </c>
      <c r="M11" s="11" t="s">
        <v>652</v>
      </c>
      <c r="N11" s="11" t="s">
        <v>651</v>
      </c>
      <c r="O11" s="11" t="s">
        <v>652</v>
      </c>
      <c r="P11" s="11" t="s">
        <v>651</v>
      </c>
      <c r="Q11" s="11" t="s">
        <v>652</v>
      </c>
      <c r="R11" s="11" t="s">
        <v>651</v>
      </c>
      <c r="S11" s="11" t="s">
        <v>652</v>
      </c>
      <c r="T11" s="11"/>
      <c r="U11" s="11"/>
      <c r="V11" s="11" t="s">
        <v>651</v>
      </c>
      <c r="W11" s="11" t="s">
        <v>652</v>
      </c>
      <c r="X11" s="11"/>
      <c r="Y11" s="11"/>
      <c r="Z11" s="11"/>
      <c r="AA11" s="11"/>
      <c r="AB11" s="11"/>
      <c r="AC11" s="11"/>
      <c r="AD11" s="11" t="s">
        <v>651</v>
      </c>
      <c r="AE11" s="11" t="s">
        <v>652</v>
      </c>
      <c r="AF11" s="11" t="s">
        <v>651</v>
      </c>
      <c r="AG11" s="11" t="s">
        <v>652</v>
      </c>
      <c r="AH11" s="11" t="s">
        <v>651</v>
      </c>
      <c r="AI11" s="11" t="s">
        <v>652</v>
      </c>
      <c r="AJ11" s="11" t="s">
        <v>651</v>
      </c>
      <c r="AK11" s="11" t="s">
        <v>652</v>
      </c>
      <c r="AO11" s="8"/>
      <c r="AP11" s="8"/>
      <c r="AQ11" s="8"/>
      <c r="AR11" s="8"/>
      <c r="AS11" s="11"/>
      <c r="AT11" s="11"/>
      <c r="AU11" s="11"/>
      <c r="AV11" s="11"/>
      <c r="AW11" s="11"/>
      <c r="AX11" s="11"/>
      <c r="AY11" s="11"/>
      <c r="AZ11" s="11"/>
      <c r="BA11" s="11"/>
      <c r="BB11" s="11"/>
    </row>
    <row r="12" spans="1:54" ht="15" hidden="1" customHeight="1" x14ac:dyDescent="0.35">
      <c r="A12" s="689"/>
      <c r="B12" s="1178" t="s">
        <v>653</v>
      </c>
      <c r="C12" s="642"/>
      <c r="D12" s="642"/>
      <c r="E12" s="642"/>
      <c r="F12" s="642"/>
      <c r="G12" s="646"/>
      <c r="H12" s="942"/>
      <c r="I12" s="942"/>
      <c r="J12" s="942"/>
      <c r="K12" s="942"/>
      <c r="L12" s="942"/>
      <c r="M12" s="942"/>
      <c r="N12" s="942"/>
      <c r="O12" s="942"/>
      <c r="P12" s="942"/>
      <c r="Q12" s="942"/>
      <c r="R12" s="942"/>
      <c r="S12" s="942"/>
      <c r="T12" s="942"/>
      <c r="U12" s="942"/>
      <c r="V12" s="942"/>
      <c r="W12" s="942"/>
      <c r="X12" s="942"/>
      <c r="Y12" s="942"/>
      <c r="Z12" s="942"/>
      <c r="AA12" s="942"/>
      <c r="AB12" s="942"/>
      <c r="AC12" s="942"/>
      <c r="AD12" s="942"/>
      <c r="AE12" s="942"/>
      <c r="AF12" s="942"/>
      <c r="AG12" s="942"/>
      <c r="AH12" s="942"/>
      <c r="AI12" s="942"/>
      <c r="AJ12" s="942"/>
      <c r="AK12" s="942"/>
      <c r="AO12" s="1178" t="s">
        <v>653</v>
      </c>
      <c r="AP12" s="1269"/>
      <c r="AQ12" s="1269"/>
      <c r="AR12" s="1269"/>
      <c r="AS12" s="942"/>
      <c r="AT12" s="942"/>
      <c r="AU12" s="942"/>
      <c r="AV12" s="942"/>
      <c r="AW12" s="942"/>
      <c r="AX12" s="942"/>
      <c r="AY12" s="942"/>
      <c r="AZ12" s="942"/>
      <c r="BA12" s="942"/>
      <c r="BB12" s="942"/>
    </row>
    <row r="13" spans="1:54" ht="15" hidden="1" customHeight="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c r="V13" s="942"/>
      <c r="W13" s="942"/>
      <c r="X13" s="942"/>
      <c r="Y13" s="942"/>
      <c r="Z13" s="942"/>
      <c r="AA13" s="942"/>
      <c r="AB13" s="942"/>
      <c r="AC13" s="942"/>
      <c r="AD13" s="942"/>
      <c r="AE13" s="942"/>
      <c r="AF13" s="942"/>
      <c r="AG13" s="942"/>
      <c r="AH13" s="942"/>
      <c r="AI13" s="942"/>
      <c r="AJ13" s="942"/>
      <c r="AK13" s="942"/>
      <c r="AO13" s="641" t="e">
        <f>#REF!</f>
        <v>#REF!</v>
      </c>
      <c r="AP13" s="1270"/>
      <c r="AQ13" s="1270"/>
      <c r="AR13" s="1270"/>
      <c r="AS13" s="942"/>
      <c r="AT13" s="942"/>
      <c r="AU13" s="942"/>
      <c r="AV13" s="942"/>
      <c r="AW13" s="942"/>
      <c r="AX13" s="942"/>
      <c r="AY13" s="942"/>
      <c r="AZ13" s="942"/>
      <c r="BA13" s="942"/>
      <c r="BB13" s="942"/>
    </row>
    <row r="14" spans="1:54" ht="15" hidden="1" customHeight="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c r="V14" s="942"/>
      <c r="W14" s="942"/>
      <c r="X14" s="942"/>
      <c r="Y14" s="942"/>
      <c r="Z14" s="942"/>
      <c r="AA14" s="942"/>
      <c r="AB14" s="942"/>
      <c r="AC14" s="942"/>
      <c r="AD14" s="942"/>
      <c r="AE14" s="942"/>
      <c r="AF14" s="942"/>
      <c r="AG14" s="942"/>
      <c r="AH14" s="942"/>
      <c r="AI14" s="942"/>
      <c r="AJ14" s="942"/>
      <c r="AK14" s="942"/>
      <c r="AO14" s="641" t="e">
        <f>#REF!</f>
        <v>#REF!</v>
      </c>
      <c r="AP14" s="1270"/>
      <c r="AQ14" s="1270"/>
      <c r="AR14" s="1270"/>
      <c r="AS14" s="942"/>
      <c r="AT14" s="942"/>
      <c r="AU14" s="942"/>
      <c r="AV14" s="942"/>
      <c r="AW14" s="942"/>
      <c r="AX14" s="942"/>
      <c r="AY14" s="942"/>
      <c r="AZ14" s="942"/>
      <c r="BA14" s="942"/>
      <c r="BB14" s="942"/>
    </row>
    <row r="15" spans="1:54" ht="15" hidden="1" customHeight="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c r="V15" s="942"/>
      <c r="W15" s="942"/>
      <c r="X15" s="942"/>
      <c r="Y15" s="942"/>
      <c r="Z15" s="942"/>
      <c r="AA15" s="942"/>
      <c r="AB15" s="942"/>
      <c r="AC15" s="942"/>
      <c r="AD15" s="942"/>
      <c r="AE15" s="942"/>
      <c r="AF15" s="942"/>
      <c r="AG15" s="942"/>
      <c r="AH15" s="942"/>
      <c r="AI15" s="942"/>
      <c r="AJ15" s="942"/>
      <c r="AK15" s="942"/>
      <c r="AO15" s="641" t="e">
        <f>#REF!</f>
        <v>#REF!</v>
      </c>
      <c r="AP15" s="1270"/>
      <c r="AQ15" s="1270"/>
      <c r="AR15" s="1270"/>
      <c r="AS15" s="942"/>
      <c r="AT15" s="942"/>
      <c r="AU15" s="942"/>
      <c r="AV15" s="942"/>
      <c r="AW15" s="942"/>
      <c r="AX15" s="942"/>
      <c r="AY15" s="942"/>
      <c r="AZ15" s="942"/>
      <c r="BA15" s="942"/>
      <c r="BB15" s="942"/>
    </row>
    <row r="16" spans="1:54" ht="15" hidden="1" customHeight="1" x14ac:dyDescent="0.35">
      <c r="A16" s="689"/>
      <c r="B16" s="641" t="e">
        <f>#REF!</f>
        <v>#REF!</v>
      </c>
      <c r="C16" s="647" t="s">
        <v>654</v>
      </c>
      <c r="D16" s="642"/>
      <c r="E16" s="642"/>
      <c r="F16" s="642"/>
      <c r="G16" s="646"/>
      <c r="H16" s="942"/>
      <c r="I16" s="942"/>
      <c r="J16" s="942"/>
      <c r="K16" s="942"/>
      <c r="L16" s="942"/>
      <c r="M16" s="942"/>
      <c r="N16" s="942"/>
      <c r="O16" s="942"/>
      <c r="P16" s="942"/>
      <c r="Q16" s="942"/>
      <c r="R16" s="942"/>
      <c r="S16" s="942"/>
      <c r="T16" s="942"/>
      <c r="U16" s="942"/>
      <c r="V16" s="942"/>
      <c r="W16" s="942"/>
      <c r="X16" s="942"/>
      <c r="Y16" s="942"/>
      <c r="Z16" s="942"/>
      <c r="AA16" s="942"/>
      <c r="AB16" s="942"/>
      <c r="AC16" s="942"/>
      <c r="AD16" s="942"/>
      <c r="AE16" s="942"/>
      <c r="AF16" s="942"/>
      <c r="AG16" s="942"/>
      <c r="AH16" s="942"/>
      <c r="AI16" s="942"/>
      <c r="AJ16" s="942"/>
      <c r="AK16" s="942"/>
      <c r="AO16" s="641" t="e">
        <f>#REF!</f>
        <v>#REF!</v>
      </c>
      <c r="AP16" s="1270"/>
      <c r="AQ16" s="1270"/>
      <c r="AR16" s="1270"/>
      <c r="AS16" s="942"/>
      <c r="AT16" s="942"/>
      <c r="AU16" s="942"/>
      <c r="AV16" s="942"/>
      <c r="AW16" s="942"/>
      <c r="AX16" s="942"/>
      <c r="AY16" s="942"/>
      <c r="AZ16" s="942"/>
      <c r="BA16" s="942"/>
      <c r="BB16" s="942"/>
    </row>
    <row r="17" spans="1:54" ht="15" hidden="1" customHeight="1" x14ac:dyDescent="0.35">
      <c r="A17" s="689"/>
      <c r="B17" s="641" t="e">
        <f>#REF!</f>
        <v>#REF!</v>
      </c>
      <c r="C17" s="647" t="s">
        <v>654</v>
      </c>
      <c r="D17" s="642"/>
      <c r="E17" s="642"/>
      <c r="F17" s="642"/>
      <c r="G17" s="646"/>
      <c r="H17" s="942"/>
      <c r="I17" s="942"/>
      <c r="J17" s="942"/>
      <c r="K17" s="942"/>
      <c r="L17" s="942"/>
      <c r="M17" s="942"/>
      <c r="N17" s="942"/>
      <c r="O17" s="942"/>
      <c r="P17" s="942"/>
      <c r="Q17" s="942"/>
      <c r="R17" s="942"/>
      <c r="S17" s="942"/>
      <c r="T17" s="942"/>
      <c r="U17" s="942"/>
      <c r="V17" s="942"/>
      <c r="W17" s="942"/>
      <c r="X17" s="942"/>
      <c r="Y17" s="942"/>
      <c r="Z17" s="942"/>
      <c r="AA17" s="942"/>
      <c r="AB17" s="942"/>
      <c r="AC17" s="942"/>
      <c r="AD17" s="942"/>
      <c r="AE17" s="942"/>
      <c r="AF17" s="942"/>
      <c r="AG17" s="942"/>
      <c r="AH17" s="942"/>
      <c r="AI17" s="942"/>
      <c r="AJ17" s="942"/>
      <c r="AK17" s="942"/>
      <c r="AO17" s="641" t="e">
        <f>#REF!</f>
        <v>#REF!</v>
      </c>
      <c r="AP17" s="1270"/>
      <c r="AQ17" s="1270"/>
      <c r="AR17" s="1270"/>
      <c r="AS17" s="942"/>
      <c r="AT17" s="942"/>
      <c r="AU17" s="942"/>
      <c r="AV17" s="942"/>
      <c r="AW17" s="942"/>
      <c r="AX17" s="942"/>
      <c r="AY17" s="942"/>
      <c r="AZ17" s="942"/>
      <c r="BA17" s="942"/>
      <c r="BB17" s="942"/>
    </row>
    <row r="18" spans="1:54" ht="15" hidden="1" customHeight="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c r="V18" s="942"/>
      <c r="W18" s="942"/>
      <c r="X18" s="942"/>
      <c r="Y18" s="942"/>
      <c r="Z18" s="942"/>
      <c r="AA18" s="942"/>
      <c r="AB18" s="942"/>
      <c r="AC18" s="942"/>
      <c r="AD18" s="942"/>
      <c r="AE18" s="942"/>
      <c r="AF18" s="942"/>
      <c r="AG18" s="942"/>
      <c r="AH18" s="942"/>
      <c r="AI18" s="942"/>
      <c r="AJ18" s="942"/>
      <c r="AK18" s="942"/>
      <c r="AO18" s="641" t="e">
        <f>#REF!</f>
        <v>#REF!</v>
      </c>
      <c r="AP18" s="1270"/>
      <c r="AQ18" s="1270"/>
      <c r="AR18" s="1270"/>
      <c r="AS18" s="942"/>
      <c r="AT18" s="942"/>
      <c r="AU18" s="942"/>
      <c r="AV18" s="942"/>
      <c r="AW18" s="942"/>
      <c r="AX18" s="942"/>
      <c r="AY18" s="942"/>
      <c r="AZ18" s="942"/>
      <c r="BA18" s="942"/>
      <c r="BB18" s="942"/>
    </row>
    <row r="19" spans="1:54" ht="15" hidden="1" customHeight="1" x14ac:dyDescent="0.35">
      <c r="A19" s="689"/>
      <c r="B19" s="641" t="e">
        <f>#REF!</f>
        <v>#REF!</v>
      </c>
      <c r="C19" s="647" t="s">
        <v>654</v>
      </c>
      <c r="D19" s="642"/>
      <c r="E19" s="642"/>
      <c r="F19" s="642"/>
      <c r="G19" s="646"/>
      <c r="H19" s="942"/>
      <c r="I19" s="942"/>
      <c r="J19" s="942"/>
      <c r="K19" s="942"/>
      <c r="L19" s="942"/>
      <c r="M19" s="942"/>
      <c r="N19" s="942"/>
      <c r="O19" s="942"/>
      <c r="P19" s="942"/>
      <c r="Q19" s="942"/>
      <c r="R19" s="942"/>
      <c r="S19" s="942"/>
      <c r="T19" s="942"/>
      <c r="U19" s="942"/>
      <c r="V19" s="942"/>
      <c r="W19" s="942"/>
      <c r="X19" s="942"/>
      <c r="Y19" s="942"/>
      <c r="Z19" s="942"/>
      <c r="AA19" s="942"/>
      <c r="AB19" s="942"/>
      <c r="AC19" s="942"/>
      <c r="AD19" s="942"/>
      <c r="AE19" s="942"/>
      <c r="AF19" s="942"/>
      <c r="AG19" s="942"/>
      <c r="AH19" s="942"/>
      <c r="AI19" s="942"/>
      <c r="AJ19" s="942"/>
      <c r="AK19" s="942"/>
      <c r="AO19" s="641" t="e">
        <f>#REF!</f>
        <v>#REF!</v>
      </c>
      <c r="AP19" s="1270"/>
      <c r="AQ19" s="1270"/>
      <c r="AR19" s="1270"/>
      <c r="AS19" s="942"/>
      <c r="AT19" s="942"/>
      <c r="AU19" s="942"/>
      <c r="AV19" s="942"/>
      <c r="AW19" s="942"/>
      <c r="AX19" s="942"/>
      <c r="AY19" s="942"/>
      <c r="AZ19" s="942"/>
      <c r="BA19" s="942"/>
      <c r="BB19" s="942"/>
    </row>
    <row r="20" spans="1:54" ht="15" hidden="1" customHeight="1" x14ac:dyDescent="0.35">
      <c r="A20" s="689"/>
      <c r="B20" s="641" t="e">
        <f>#REF!</f>
        <v>#REF!</v>
      </c>
      <c r="C20" s="647" t="s">
        <v>654</v>
      </c>
      <c r="D20" s="642"/>
      <c r="E20" s="642"/>
      <c r="F20" s="642"/>
      <c r="G20" s="646"/>
      <c r="H20" s="942"/>
      <c r="I20" s="942"/>
      <c r="J20" s="942"/>
      <c r="K20" s="942"/>
      <c r="L20" s="942"/>
      <c r="M20" s="942"/>
      <c r="N20" s="942"/>
      <c r="O20" s="942"/>
      <c r="P20" s="942"/>
      <c r="Q20" s="942"/>
      <c r="R20" s="942"/>
      <c r="S20" s="942"/>
      <c r="T20" s="942"/>
      <c r="U20" s="942"/>
      <c r="V20" s="942"/>
      <c r="W20" s="942"/>
      <c r="X20" s="942"/>
      <c r="Y20" s="942"/>
      <c r="Z20" s="942"/>
      <c r="AA20" s="942"/>
      <c r="AB20" s="942"/>
      <c r="AC20" s="942"/>
      <c r="AD20" s="942"/>
      <c r="AE20" s="942"/>
      <c r="AF20" s="942"/>
      <c r="AG20" s="942"/>
      <c r="AH20" s="942"/>
      <c r="AI20" s="942"/>
      <c r="AJ20" s="942"/>
      <c r="AK20" s="942"/>
      <c r="AO20" s="641" t="e">
        <f>#REF!</f>
        <v>#REF!</v>
      </c>
      <c r="AP20" s="1270"/>
      <c r="AQ20" s="1270"/>
      <c r="AR20" s="1270"/>
      <c r="AS20" s="942"/>
      <c r="AT20" s="942"/>
      <c r="AU20" s="942"/>
      <c r="AV20" s="942"/>
      <c r="AW20" s="942"/>
      <c r="AX20" s="942"/>
      <c r="AY20" s="942"/>
      <c r="AZ20" s="942"/>
      <c r="BA20" s="942"/>
      <c r="BB20" s="942"/>
    </row>
    <row r="21" spans="1:54" ht="15" hidden="1" customHeight="1" x14ac:dyDescent="0.35">
      <c r="A21" s="689"/>
      <c r="B21" s="641" t="e">
        <f>#REF!</f>
        <v>#REF!</v>
      </c>
      <c r="C21" s="647" t="s">
        <v>654</v>
      </c>
      <c r="D21" s="642"/>
      <c r="E21" s="642"/>
      <c r="F21" s="642"/>
      <c r="G21" s="646"/>
      <c r="H21" s="942"/>
      <c r="I21" s="942"/>
      <c r="J21" s="942"/>
      <c r="K21" s="942"/>
      <c r="L21" s="942"/>
      <c r="M21" s="942"/>
      <c r="N21" s="942"/>
      <c r="O21" s="942"/>
      <c r="P21" s="942"/>
      <c r="Q21" s="942"/>
      <c r="R21" s="942"/>
      <c r="S21" s="942"/>
      <c r="T21" s="942"/>
      <c r="U21" s="942"/>
      <c r="V21" s="942"/>
      <c r="W21" s="942"/>
      <c r="X21" s="942"/>
      <c r="Y21" s="942"/>
      <c r="Z21" s="942"/>
      <c r="AA21" s="942"/>
      <c r="AB21" s="942"/>
      <c r="AC21" s="942"/>
      <c r="AD21" s="942"/>
      <c r="AE21" s="942"/>
      <c r="AF21" s="942"/>
      <c r="AG21" s="942"/>
      <c r="AH21" s="942"/>
      <c r="AI21" s="942"/>
      <c r="AJ21" s="942"/>
      <c r="AK21" s="942"/>
      <c r="AO21" s="641" t="e">
        <f>#REF!</f>
        <v>#REF!</v>
      </c>
      <c r="AP21" s="1270"/>
      <c r="AQ21" s="1270"/>
      <c r="AR21" s="1270"/>
      <c r="AS21" s="942"/>
      <c r="AT21" s="942"/>
      <c r="AU21" s="942"/>
      <c r="AV21" s="942"/>
      <c r="AW21" s="942"/>
      <c r="AX21" s="942"/>
      <c r="AY21" s="942"/>
      <c r="AZ21" s="942"/>
      <c r="BA21" s="942"/>
      <c r="BB21" s="942"/>
    </row>
    <row r="22" spans="1:54" x14ac:dyDescent="0.35">
      <c r="A22" s="689"/>
      <c r="B22" s="641"/>
      <c r="C22" s="647"/>
      <c r="D22" s="642"/>
      <c r="E22" s="642"/>
      <c r="F22" s="642"/>
      <c r="G22" s="646"/>
      <c r="H22" s="942"/>
      <c r="I22" s="942"/>
      <c r="J22" s="942"/>
      <c r="K22" s="942"/>
      <c r="L22" s="943"/>
      <c r="M22" s="942"/>
      <c r="N22" s="943"/>
      <c r="O22" s="942"/>
      <c r="P22" s="943"/>
      <c r="Q22" s="942"/>
      <c r="R22" s="943"/>
      <c r="S22" s="942"/>
      <c r="T22" s="942"/>
      <c r="U22" s="942"/>
      <c r="V22" s="943"/>
      <c r="W22" s="942"/>
      <c r="X22" s="942"/>
      <c r="Y22" s="942"/>
      <c r="Z22" s="942"/>
      <c r="AA22" s="942"/>
      <c r="AB22" s="942"/>
      <c r="AC22" s="942"/>
      <c r="AD22" s="943"/>
      <c r="AE22" s="942"/>
      <c r="AF22" s="943"/>
      <c r="AG22" s="942"/>
      <c r="AH22" s="943"/>
      <c r="AI22" s="942"/>
      <c r="AJ22" s="943"/>
      <c r="AK22" s="942"/>
      <c r="AO22" s="641"/>
      <c r="AP22" s="641"/>
      <c r="AQ22" s="641"/>
      <c r="AR22" s="641"/>
      <c r="AS22" s="942"/>
      <c r="AT22" s="942"/>
      <c r="AU22" s="942"/>
      <c r="AV22" s="942"/>
      <c r="AW22" s="942"/>
      <c r="AX22" s="942"/>
      <c r="AY22" s="942"/>
      <c r="AZ22" s="942"/>
      <c r="BA22" s="942"/>
      <c r="BB22" s="942"/>
    </row>
    <row r="23" spans="1:54" x14ac:dyDescent="0.35">
      <c r="A23" s="689"/>
      <c r="B23" s="648" t="s">
        <v>469</v>
      </c>
      <c r="C23" s="647"/>
      <c r="D23" s="642"/>
      <c r="E23" s="642"/>
      <c r="F23" s="642"/>
      <c r="G23" s="646"/>
      <c r="H23" s="942"/>
      <c r="I23" s="942"/>
      <c r="J23" s="942"/>
      <c r="K23" s="942"/>
      <c r="L23" s="943"/>
      <c r="M23" s="942"/>
      <c r="N23" s="943"/>
      <c r="O23" s="942"/>
      <c r="P23" s="943"/>
      <c r="Q23" s="942"/>
      <c r="R23" s="943"/>
      <c r="S23" s="942"/>
      <c r="T23" s="942"/>
      <c r="U23" s="942"/>
      <c r="V23" s="943"/>
      <c r="W23" s="942"/>
      <c r="X23" s="942"/>
      <c r="Y23" s="942"/>
      <c r="Z23" s="942"/>
      <c r="AA23" s="942"/>
      <c r="AB23" s="942"/>
      <c r="AC23" s="942"/>
      <c r="AD23" s="943"/>
      <c r="AE23" s="942"/>
      <c r="AF23" s="943"/>
      <c r="AG23" s="942"/>
      <c r="AH23" s="943"/>
      <c r="AI23" s="942"/>
      <c r="AJ23" s="943"/>
      <c r="AK23" s="942"/>
      <c r="AO23" s="648" t="s">
        <v>469</v>
      </c>
      <c r="AP23" s="648"/>
      <c r="AQ23" s="648"/>
      <c r="AR23" s="648"/>
      <c r="AS23" s="942"/>
      <c r="AT23" s="942"/>
      <c r="AU23" s="942"/>
      <c r="AV23" s="942"/>
      <c r="AW23" s="942"/>
      <c r="AX23" s="942"/>
      <c r="AY23" s="942"/>
      <c r="AZ23" s="942"/>
      <c r="BA23" s="942"/>
      <c r="BB23" s="942"/>
    </row>
    <row r="24" spans="1:54" x14ac:dyDescent="0.35">
      <c r="A24" s="1179"/>
      <c r="B24" s="604" t="s">
        <v>657</v>
      </c>
      <c r="C24" s="647"/>
      <c r="D24" s="642"/>
      <c r="E24" s="642"/>
      <c r="F24" s="642"/>
      <c r="G24" s="646"/>
      <c r="H24" s="942"/>
      <c r="I24" s="1180"/>
      <c r="J24" s="1180"/>
      <c r="K24" s="1180"/>
      <c r="L24" s="943"/>
      <c r="M24" s="1180"/>
      <c r="N24" s="943"/>
      <c r="O24" s="1180"/>
      <c r="P24" s="943"/>
      <c r="Q24" s="1180"/>
      <c r="R24" s="943"/>
      <c r="S24" s="1180"/>
      <c r="T24" s="1180"/>
      <c r="U24" s="1180"/>
      <c r="V24" s="943"/>
      <c r="W24" s="1180"/>
      <c r="X24" s="1180"/>
      <c r="Y24" s="1180"/>
      <c r="Z24" s="1180"/>
      <c r="AA24" s="1180"/>
      <c r="AB24" s="1180"/>
      <c r="AC24" s="1180"/>
      <c r="AD24" s="943"/>
      <c r="AE24" s="1180"/>
      <c r="AF24" s="943"/>
      <c r="AG24" s="1180"/>
      <c r="AH24" s="943"/>
      <c r="AI24" s="1180"/>
      <c r="AJ24" s="943"/>
      <c r="AK24" s="1180"/>
      <c r="AO24" s="604" t="s">
        <v>657</v>
      </c>
      <c r="AP24" s="604"/>
      <c r="AQ24" s="604"/>
      <c r="AR24" s="604"/>
      <c r="AS24" s="1180"/>
      <c r="AT24" s="1180"/>
      <c r="AU24" s="1180"/>
      <c r="AV24" s="1180"/>
      <c r="AW24" s="1180"/>
      <c r="AX24" s="1180"/>
      <c r="AY24" s="1180"/>
      <c r="AZ24" s="1180"/>
      <c r="BA24" s="1180"/>
      <c r="BB24" s="1180"/>
    </row>
    <row r="25" spans="1:54" x14ac:dyDescent="0.35">
      <c r="A25" s="1179"/>
      <c r="B25" s="607" t="s">
        <v>658</v>
      </c>
      <c r="C25" s="647"/>
      <c r="D25" s="642"/>
      <c r="E25" s="642"/>
      <c r="F25" s="642"/>
      <c r="G25" s="646"/>
      <c r="H25" s="943" t="s">
        <v>669</v>
      </c>
      <c r="I25" s="1180"/>
      <c r="J25" s="943" t="s">
        <v>669</v>
      </c>
      <c r="K25" s="1180"/>
      <c r="L25" s="943" t="s">
        <v>669</v>
      </c>
      <c r="M25" s="1180"/>
      <c r="N25" s="943" t="s">
        <v>669</v>
      </c>
      <c r="O25" s="1180"/>
      <c r="P25" s="943" t="s">
        <v>669</v>
      </c>
      <c r="Q25" s="1180"/>
      <c r="R25" s="943" t="s">
        <v>669</v>
      </c>
      <c r="S25" s="1180"/>
      <c r="T25" s="943" t="s">
        <v>669</v>
      </c>
      <c r="U25" s="1180"/>
      <c r="V25" s="943" t="s">
        <v>669</v>
      </c>
      <c r="W25" s="1180"/>
      <c r="X25" s="943" t="s">
        <v>669</v>
      </c>
      <c r="Y25" s="1180"/>
      <c r="Z25" s="943" t="s">
        <v>669</v>
      </c>
      <c r="AA25" s="1180"/>
      <c r="AB25" s="943" t="s">
        <v>669</v>
      </c>
      <c r="AC25" s="1180"/>
      <c r="AD25" s="943" t="s">
        <v>669</v>
      </c>
      <c r="AE25" s="1180"/>
      <c r="AF25" s="943"/>
      <c r="AG25" s="1158"/>
      <c r="AH25" s="943"/>
      <c r="AI25" s="1158"/>
      <c r="AJ25" s="943"/>
      <c r="AK25" s="1158"/>
      <c r="AO25" s="607" t="s">
        <v>658</v>
      </c>
      <c r="AP25" s="641"/>
      <c r="AQ25" s="641"/>
      <c r="AR25" s="641"/>
      <c r="AS25" s="943" t="s">
        <v>669</v>
      </c>
      <c r="AT25" s="1180"/>
      <c r="AU25" s="943" t="s">
        <v>669</v>
      </c>
      <c r="AV25" s="1180"/>
      <c r="AW25" s="943" t="s">
        <v>669</v>
      </c>
      <c r="AX25" s="1180"/>
      <c r="AY25" s="943" t="s">
        <v>669</v>
      </c>
      <c r="AZ25" s="1180"/>
      <c r="BA25" s="943" t="s">
        <v>669</v>
      </c>
      <c r="BB25" s="1180"/>
    </row>
    <row r="26" spans="1:54" x14ac:dyDescent="0.35">
      <c r="A26" s="683"/>
      <c r="B26" s="1253" t="s">
        <v>659</v>
      </c>
      <c r="C26" s="642"/>
      <c r="D26" s="642"/>
      <c r="E26" s="642"/>
      <c r="F26" s="642"/>
      <c r="G26" s="646"/>
      <c r="H26" s="943" t="s">
        <v>669</v>
      </c>
      <c r="I26" s="1158"/>
      <c r="J26" s="943" t="s">
        <v>669</v>
      </c>
      <c r="K26" s="1158"/>
      <c r="L26" s="943" t="s">
        <v>669</v>
      </c>
      <c r="M26" s="1158"/>
      <c r="N26" s="943" t="s">
        <v>669</v>
      </c>
      <c r="O26" s="1158"/>
      <c r="P26" s="943" t="s">
        <v>669</v>
      </c>
      <c r="Q26" s="1158"/>
      <c r="R26" s="943" t="s">
        <v>669</v>
      </c>
      <c r="S26" s="1158"/>
      <c r="T26" s="943" t="s">
        <v>669</v>
      </c>
      <c r="U26" s="1158"/>
      <c r="V26" s="943" t="s">
        <v>669</v>
      </c>
      <c r="W26" s="1158"/>
      <c r="X26" s="943" t="s">
        <v>669</v>
      </c>
      <c r="Y26" s="1158"/>
      <c r="Z26" s="943" t="s">
        <v>669</v>
      </c>
      <c r="AA26" s="1158"/>
      <c r="AB26" s="943" t="s">
        <v>669</v>
      </c>
      <c r="AC26" s="1158"/>
      <c r="AD26" s="943" t="s">
        <v>669</v>
      </c>
      <c r="AE26" s="1180"/>
      <c r="AF26" s="943"/>
      <c r="AG26" s="1180"/>
      <c r="AH26" s="943"/>
      <c r="AI26" s="1180"/>
      <c r="AJ26" s="943"/>
      <c r="AK26" s="1180"/>
      <c r="AO26" s="1253" t="s">
        <v>659</v>
      </c>
      <c r="AP26" s="641"/>
      <c r="AQ26" s="641"/>
      <c r="AR26" s="641"/>
      <c r="AS26" s="943" t="s">
        <v>669</v>
      </c>
      <c r="AT26" s="1158"/>
      <c r="AU26" s="943" t="s">
        <v>669</v>
      </c>
      <c r="AV26" s="1158"/>
      <c r="AW26" s="943" t="s">
        <v>669</v>
      </c>
      <c r="AX26" s="1158"/>
      <c r="AY26" s="943" t="s">
        <v>669</v>
      </c>
      <c r="AZ26" s="1158"/>
      <c r="BA26" s="943" t="s">
        <v>669</v>
      </c>
      <c r="BB26" s="1158"/>
    </row>
    <row r="27" spans="1:54" x14ac:dyDescent="0.35">
      <c r="A27" s="1179"/>
      <c r="B27" s="1254" t="s">
        <v>660</v>
      </c>
      <c r="C27" s="642"/>
      <c r="D27" s="642"/>
      <c r="E27" s="642"/>
      <c r="F27" s="642"/>
      <c r="G27" s="646"/>
      <c r="H27" s="943" t="s">
        <v>671</v>
      </c>
      <c r="I27" s="1158"/>
      <c r="J27" s="943" t="s">
        <v>671</v>
      </c>
      <c r="K27" s="1158"/>
      <c r="L27" s="943" t="s">
        <v>671</v>
      </c>
      <c r="M27" s="1158"/>
      <c r="N27" s="943" t="s">
        <v>671</v>
      </c>
      <c r="O27" s="1158"/>
      <c r="P27" s="943" t="s">
        <v>671</v>
      </c>
      <c r="Q27" s="1158"/>
      <c r="R27" s="943" t="s">
        <v>671</v>
      </c>
      <c r="S27" s="1158"/>
      <c r="T27" s="943" t="s">
        <v>671</v>
      </c>
      <c r="U27" s="1158"/>
      <c r="V27" s="943" t="s">
        <v>671</v>
      </c>
      <c r="W27" s="1158"/>
      <c r="X27" s="943" t="s">
        <v>671</v>
      </c>
      <c r="Y27" s="1158"/>
      <c r="Z27" s="943" t="s">
        <v>671</v>
      </c>
      <c r="AA27" s="1158"/>
      <c r="AB27" s="943" t="s">
        <v>671</v>
      </c>
      <c r="AC27" s="1158"/>
      <c r="AD27" s="943" t="s">
        <v>671</v>
      </c>
      <c r="AE27" s="1180"/>
      <c r="AF27" s="943"/>
      <c r="AG27" s="1180"/>
      <c r="AH27" s="943"/>
      <c r="AI27" s="1180"/>
      <c r="AJ27" s="943"/>
      <c r="AK27" s="1180"/>
      <c r="AO27" s="1254" t="s">
        <v>660</v>
      </c>
      <c r="AP27" s="641"/>
      <c r="AQ27" s="641"/>
      <c r="AR27" s="641"/>
      <c r="AS27" s="943" t="s">
        <v>671</v>
      </c>
      <c r="AT27" s="1158"/>
      <c r="AU27" s="943" t="s">
        <v>671</v>
      </c>
      <c r="AV27" s="1158"/>
      <c r="AW27" s="943" t="s">
        <v>671</v>
      </c>
      <c r="AX27" s="1158"/>
      <c r="AY27" s="943" t="s">
        <v>671</v>
      </c>
      <c r="AZ27" s="1158"/>
      <c r="BA27" s="943" t="s">
        <v>671</v>
      </c>
      <c r="BB27" s="1158"/>
    </row>
    <row r="28" spans="1:54" x14ac:dyDescent="0.35">
      <c r="A28" s="683"/>
      <c r="B28" s="1254" t="s">
        <v>661</v>
      </c>
      <c r="C28" s="642"/>
      <c r="D28" s="642"/>
      <c r="E28" s="642"/>
      <c r="F28" s="642"/>
      <c r="G28" s="646"/>
      <c r="H28" s="943" t="s">
        <v>669</v>
      </c>
      <c r="I28" s="1158"/>
      <c r="J28" s="943" t="s">
        <v>669</v>
      </c>
      <c r="K28" s="1158"/>
      <c r="L28" s="943" t="s">
        <v>669</v>
      </c>
      <c r="M28" s="1158"/>
      <c r="N28" s="943" t="s">
        <v>669</v>
      </c>
      <c r="O28" s="1158"/>
      <c r="P28" s="943" t="s">
        <v>669</v>
      </c>
      <c r="Q28" s="1158"/>
      <c r="R28" s="943" t="s">
        <v>669</v>
      </c>
      <c r="S28" s="1158"/>
      <c r="T28" s="943" t="s">
        <v>669</v>
      </c>
      <c r="U28" s="1158"/>
      <c r="V28" s="943" t="s">
        <v>669</v>
      </c>
      <c r="W28" s="1158"/>
      <c r="X28" s="943" t="s">
        <v>669</v>
      </c>
      <c r="Y28" s="1158"/>
      <c r="Z28" s="943" t="s">
        <v>669</v>
      </c>
      <c r="AA28" s="1158"/>
      <c r="AB28" s="943" t="s">
        <v>669</v>
      </c>
      <c r="AC28" s="1158"/>
      <c r="AD28" s="943" t="s">
        <v>669</v>
      </c>
      <c r="AE28" s="1180"/>
      <c r="AF28" s="943"/>
      <c r="AG28" s="1180"/>
      <c r="AH28" s="943"/>
      <c r="AI28" s="1180"/>
      <c r="AJ28" s="943"/>
      <c r="AK28" s="1180"/>
      <c r="AO28" s="1254" t="s">
        <v>661</v>
      </c>
      <c r="AP28" s="641"/>
      <c r="AQ28" s="641"/>
      <c r="AR28" s="641"/>
      <c r="AS28" s="943" t="s">
        <v>669</v>
      </c>
      <c r="AT28" s="1158"/>
      <c r="AU28" s="943" t="s">
        <v>669</v>
      </c>
      <c r="AV28" s="1158"/>
      <c r="AW28" s="943" t="s">
        <v>669</v>
      </c>
      <c r="AX28" s="1158"/>
      <c r="AY28" s="943" t="s">
        <v>669</v>
      </c>
      <c r="AZ28" s="1158"/>
      <c r="BA28" s="943" t="s">
        <v>669</v>
      </c>
      <c r="BB28" s="1158"/>
    </row>
    <row r="29" spans="1:54" x14ac:dyDescent="0.35">
      <c r="A29" s="1179"/>
      <c r="B29" s="1254" t="s">
        <v>662</v>
      </c>
      <c r="C29" s="642"/>
      <c r="D29" s="642"/>
      <c r="E29" s="642"/>
      <c r="F29" s="642"/>
      <c r="G29" s="646"/>
      <c r="H29" s="943" t="s">
        <v>669</v>
      </c>
      <c r="I29" s="1158"/>
      <c r="J29" s="943" t="s">
        <v>669</v>
      </c>
      <c r="K29" s="1158"/>
      <c r="L29" s="943" t="s">
        <v>669</v>
      </c>
      <c r="M29" s="1158"/>
      <c r="N29" s="943" t="s">
        <v>669</v>
      </c>
      <c r="O29" s="1158"/>
      <c r="P29" s="943" t="s">
        <v>669</v>
      </c>
      <c r="Q29" s="1158"/>
      <c r="R29" s="943" t="s">
        <v>669</v>
      </c>
      <c r="S29" s="1158"/>
      <c r="T29" s="943" t="s">
        <v>669</v>
      </c>
      <c r="U29" s="1158"/>
      <c r="V29" s="943" t="s">
        <v>669</v>
      </c>
      <c r="W29" s="1158"/>
      <c r="X29" s="943" t="s">
        <v>669</v>
      </c>
      <c r="Y29" s="1158"/>
      <c r="Z29" s="943" t="s">
        <v>669</v>
      </c>
      <c r="AA29" s="1158"/>
      <c r="AB29" s="943" t="s">
        <v>669</v>
      </c>
      <c r="AC29" s="1158"/>
      <c r="AD29" s="943" t="s">
        <v>669</v>
      </c>
      <c r="AE29" s="1180"/>
      <c r="AF29" s="943"/>
      <c r="AG29" s="1180"/>
      <c r="AH29" s="943"/>
      <c r="AI29" s="1180"/>
      <c r="AJ29" s="943"/>
      <c r="AK29" s="1180"/>
      <c r="AO29" s="1254" t="s">
        <v>662</v>
      </c>
      <c r="AP29" s="641"/>
      <c r="AQ29" s="641"/>
      <c r="AR29" s="641"/>
      <c r="AS29" s="943" t="s">
        <v>669</v>
      </c>
      <c r="AT29" s="1158"/>
      <c r="AU29" s="943" t="s">
        <v>669</v>
      </c>
      <c r="AV29" s="1158"/>
      <c r="AW29" s="943" t="s">
        <v>669</v>
      </c>
      <c r="AX29" s="1158"/>
      <c r="AY29" s="943" t="s">
        <v>669</v>
      </c>
      <c r="AZ29" s="1158"/>
      <c r="BA29" s="943" t="s">
        <v>669</v>
      </c>
      <c r="BB29" s="1158"/>
    </row>
    <row r="30" spans="1:54" x14ac:dyDescent="0.35">
      <c r="A30" s="1179"/>
      <c r="B30" s="1254" t="s">
        <v>663</v>
      </c>
      <c r="C30" s="642"/>
      <c r="D30" s="642"/>
      <c r="E30" s="642"/>
      <c r="F30" s="642"/>
      <c r="G30" s="646"/>
      <c r="H30" s="943" t="s">
        <v>669</v>
      </c>
      <c r="I30" s="1158"/>
      <c r="J30" s="943" t="s">
        <v>669</v>
      </c>
      <c r="K30" s="1158"/>
      <c r="L30" s="943" t="s">
        <v>669</v>
      </c>
      <c r="M30" s="1158"/>
      <c r="N30" s="943" t="s">
        <v>669</v>
      </c>
      <c r="O30" s="1158"/>
      <c r="P30" s="943" t="s">
        <v>669</v>
      </c>
      <c r="Q30" s="1158"/>
      <c r="R30" s="943" t="s">
        <v>669</v>
      </c>
      <c r="S30" s="1158"/>
      <c r="T30" s="943" t="s">
        <v>669</v>
      </c>
      <c r="U30" s="1158"/>
      <c r="V30" s="943" t="s">
        <v>669</v>
      </c>
      <c r="W30" s="1158"/>
      <c r="X30" s="943" t="s">
        <v>669</v>
      </c>
      <c r="Y30" s="1158"/>
      <c r="Z30" s="943" t="s">
        <v>669</v>
      </c>
      <c r="AA30" s="1158"/>
      <c r="AB30" s="943" t="s">
        <v>669</v>
      </c>
      <c r="AC30" s="1158"/>
      <c r="AD30" s="943" t="s">
        <v>669</v>
      </c>
      <c r="AE30" s="1180"/>
      <c r="AF30" s="943"/>
      <c r="AG30" s="1180"/>
      <c r="AH30" s="943"/>
      <c r="AI30" s="1180"/>
      <c r="AJ30" s="943"/>
      <c r="AK30" s="1180"/>
      <c r="AO30" s="1254" t="s">
        <v>663</v>
      </c>
      <c r="AP30" s="641"/>
      <c r="AQ30" s="641"/>
      <c r="AR30" s="641"/>
      <c r="AS30" s="943" t="s">
        <v>669</v>
      </c>
      <c r="AT30" s="1158"/>
      <c r="AU30" s="943" t="s">
        <v>669</v>
      </c>
      <c r="AV30" s="1158"/>
      <c r="AW30" s="943" t="s">
        <v>669</v>
      </c>
      <c r="AX30" s="1158"/>
      <c r="AY30" s="943" t="s">
        <v>669</v>
      </c>
      <c r="AZ30" s="1158"/>
      <c r="BA30" s="943" t="s">
        <v>669</v>
      </c>
      <c r="BB30" s="1158"/>
    </row>
    <row r="31" spans="1:54" x14ac:dyDescent="0.35">
      <c r="A31" s="1179"/>
      <c r="B31" s="1159" t="s">
        <v>789</v>
      </c>
      <c r="C31" s="642"/>
      <c r="D31" s="642"/>
      <c r="E31" s="642"/>
      <c r="F31" s="642"/>
      <c r="G31" s="646"/>
      <c r="H31" s="943" t="s">
        <v>671</v>
      </c>
      <c r="I31" s="1158" t="s">
        <v>1008</v>
      </c>
      <c r="J31" s="943" t="s">
        <v>671</v>
      </c>
      <c r="K31" s="1158" t="s">
        <v>1008</v>
      </c>
      <c r="L31" s="943" t="s">
        <v>671</v>
      </c>
      <c r="M31" s="1158"/>
      <c r="N31" s="943" t="s">
        <v>671</v>
      </c>
      <c r="O31" s="1158"/>
      <c r="P31" s="943" t="s">
        <v>671</v>
      </c>
      <c r="Q31" s="1158"/>
      <c r="R31" s="943" t="s">
        <v>669</v>
      </c>
      <c r="S31" s="1158" t="s">
        <v>1210</v>
      </c>
      <c r="T31" s="943" t="s">
        <v>671</v>
      </c>
      <c r="U31" s="1158"/>
      <c r="V31" s="943" t="s">
        <v>671</v>
      </c>
      <c r="W31" s="1158"/>
      <c r="X31" s="943" t="s">
        <v>671</v>
      </c>
      <c r="Y31" s="1158"/>
      <c r="Z31" s="943" t="s">
        <v>671</v>
      </c>
      <c r="AA31" s="1158"/>
      <c r="AB31" s="943" t="s">
        <v>671</v>
      </c>
      <c r="AC31" s="1158"/>
      <c r="AD31" s="943" t="s">
        <v>671</v>
      </c>
      <c r="AE31" s="1180"/>
      <c r="AF31" s="943"/>
      <c r="AG31" s="1180"/>
      <c r="AH31" s="943"/>
      <c r="AI31" s="1180"/>
      <c r="AJ31" s="943"/>
      <c r="AK31" s="1180"/>
      <c r="AO31" s="1159" t="s">
        <v>789</v>
      </c>
      <c r="AP31" s="641"/>
      <c r="AQ31" s="641"/>
      <c r="AR31" s="641"/>
      <c r="AS31" s="943" t="s">
        <v>671</v>
      </c>
      <c r="AT31" s="1158"/>
      <c r="AU31" s="943" t="s">
        <v>671</v>
      </c>
      <c r="AV31" s="1158"/>
      <c r="AW31" s="943" t="s">
        <v>671</v>
      </c>
      <c r="AX31" s="1158"/>
      <c r="AY31" s="943" t="s">
        <v>671</v>
      </c>
      <c r="AZ31" s="1158"/>
      <c r="BA31" s="943" t="s">
        <v>671</v>
      </c>
      <c r="BB31" s="1158"/>
    </row>
    <row r="32" spans="1:54" x14ac:dyDescent="0.35">
      <c r="A32" s="1179"/>
      <c r="B32" s="1159" t="s">
        <v>790</v>
      </c>
      <c r="C32" s="642"/>
      <c r="D32" s="642"/>
      <c r="E32" s="642"/>
      <c r="F32" s="642"/>
      <c r="G32" s="646"/>
      <c r="H32" s="943" t="s">
        <v>671</v>
      </c>
      <c r="I32" s="1158" t="s">
        <v>1101</v>
      </c>
      <c r="J32" s="943" t="s">
        <v>671</v>
      </c>
      <c r="K32" s="1158" t="s">
        <v>1101</v>
      </c>
      <c r="L32" s="943" t="s">
        <v>671</v>
      </c>
      <c r="M32" s="1158"/>
      <c r="N32" s="943" t="s">
        <v>671</v>
      </c>
      <c r="O32" s="1158"/>
      <c r="P32" s="943" t="s">
        <v>671</v>
      </c>
      <c r="Q32" s="1158"/>
      <c r="R32" s="943" t="s">
        <v>669</v>
      </c>
      <c r="S32" s="1271" t="s">
        <v>968</v>
      </c>
      <c r="T32" s="943" t="s">
        <v>671</v>
      </c>
      <c r="U32" s="1158"/>
      <c r="V32" s="943" t="s">
        <v>671</v>
      </c>
      <c r="W32" s="1158"/>
      <c r="X32" s="943" t="s">
        <v>671</v>
      </c>
      <c r="Y32" s="1158"/>
      <c r="Z32" s="943" t="s">
        <v>671</v>
      </c>
      <c r="AA32" s="1158"/>
      <c r="AB32" s="943" t="s">
        <v>671</v>
      </c>
      <c r="AC32" s="1158"/>
      <c r="AD32" s="943" t="s">
        <v>671</v>
      </c>
      <c r="AE32" s="1180"/>
      <c r="AF32" s="943"/>
      <c r="AG32" s="1180"/>
      <c r="AH32" s="943"/>
      <c r="AI32" s="1180"/>
      <c r="AJ32" s="943"/>
      <c r="AK32" s="1180"/>
      <c r="AO32" s="1159" t="s">
        <v>790</v>
      </c>
      <c r="AP32" s="641"/>
      <c r="AQ32" s="641"/>
      <c r="AR32" s="641"/>
      <c r="AS32" s="943" t="s">
        <v>671</v>
      </c>
      <c r="AT32" s="1158"/>
      <c r="AU32" s="943" t="s">
        <v>671</v>
      </c>
      <c r="AV32" s="1158"/>
      <c r="AW32" s="943" t="s">
        <v>671</v>
      </c>
      <c r="AX32" s="1158"/>
      <c r="AY32" s="943" t="s">
        <v>671</v>
      </c>
      <c r="AZ32" s="1158"/>
      <c r="BA32" s="943" t="s">
        <v>671</v>
      </c>
      <c r="BB32" s="1158"/>
    </row>
    <row r="33" spans="1:54" x14ac:dyDescent="0.35">
      <c r="A33" s="1179"/>
      <c r="B33" s="1159" t="s">
        <v>791</v>
      </c>
      <c r="C33" s="642"/>
      <c r="D33" s="642"/>
      <c r="E33" s="642"/>
      <c r="F33" s="642"/>
      <c r="G33" s="646"/>
      <c r="H33" s="943" t="s">
        <v>671</v>
      </c>
      <c r="I33" s="1158"/>
      <c r="J33" s="943" t="s">
        <v>671</v>
      </c>
      <c r="K33" s="1158"/>
      <c r="L33" s="943" t="s">
        <v>671</v>
      </c>
      <c r="M33" s="1158"/>
      <c r="N33" s="943" t="s">
        <v>671</v>
      </c>
      <c r="O33" s="1158"/>
      <c r="P33" s="943" t="s">
        <v>671</v>
      </c>
      <c r="Q33" s="1158"/>
      <c r="R33" s="943" t="s">
        <v>669</v>
      </c>
      <c r="S33" s="1271" t="s">
        <v>1211</v>
      </c>
      <c r="T33" s="943" t="s">
        <v>671</v>
      </c>
      <c r="U33" s="1158"/>
      <c r="V33" s="943" t="s">
        <v>671</v>
      </c>
      <c r="W33" s="1158"/>
      <c r="X33" s="943" t="s">
        <v>671</v>
      </c>
      <c r="Y33" s="1158"/>
      <c r="Z33" s="943" t="s">
        <v>671</v>
      </c>
      <c r="AA33" s="1158"/>
      <c r="AB33" s="943" t="s">
        <v>671</v>
      </c>
      <c r="AC33" s="1158"/>
      <c r="AD33" s="943" t="s">
        <v>671</v>
      </c>
      <c r="AE33" s="1180"/>
      <c r="AF33" s="943"/>
      <c r="AG33" s="1180"/>
      <c r="AH33" s="943"/>
      <c r="AI33" s="1180"/>
      <c r="AJ33" s="943"/>
      <c r="AK33" s="1180"/>
      <c r="AO33" s="1159" t="s">
        <v>791</v>
      </c>
      <c r="AP33" s="641"/>
      <c r="AQ33" s="641"/>
      <c r="AR33" s="641"/>
      <c r="AS33" s="943" t="s">
        <v>671</v>
      </c>
      <c r="AT33" s="1158"/>
      <c r="AU33" s="943" t="s">
        <v>671</v>
      </c>
      <c r="AV33" s="1158"/>
      <c r="AW33" s="943" t="s">
        <v>671</v>
      </c>
      <c r="AX33" s="1158"/>
      <c r="AY33" s="943" t="s">
        <v>671</v>
      </c>
      <c r="AZ33" s="1158"/>
      <c r="BA33" s="943" t="s">
        <v>671</v>
      </c>
      <c r="BB33" s="1158"/>
    </row>
    <row r="34" spans="1:54" x14ac:dyDescent="0.35">
      <c r="A34" s="1179"/>
      <c r="B34" s="1255" t="s">
        <v>664</v>
      </c>
      <c r="C34" s="642"/>
      <c r="D34" s="642"/>
      <c r="E34" s="642"/>
      <c r="F34" s="642"/>
      <c r="G34" s="646"/>
      <c r="H34" s="943"/>
      <c r="I34" s="1158"/>
      <c r="J34" s="943"/>
      <c r="K34" s="1158"/>
      <c r="L34" s="943"/>
      <c r="M34" s="1158"/>
      <c r="N34" s="943"/>
      <c r="O34" s="1158"/>
      <c r="P34" s="943"/>
      <c r="Q34" s="1158"/>
      <c r="R34" s="943"/>
      <c r="S34" s="1158"/>
      <c r="T34" s="1158"/>
      <c r="U34" s="1158"/>
      <c r="V34" s="943"/>
      <c r="W34" s="1158"/>
      <c r="X34" s="1158"/>
      <c r="Y34" s="1158"/>
      <c r="Z34" s="1158"/>
      <c r="AA34" s="1158"/>
      <c r="AB34" s="1158"/>
      <c r="AC34" s="1158"/>
      <c r="AD34" s="943"/>
      <c r="AE34" s="1180"/>
      <c r="AF34" s="943"/>
      <c r="AG34" s="1180"/>
      <c r="AH34" s="943"/>
      <c r="AI34" s="1180"/>
      <c r="AJ34" s="943"/>
      <c r="AK34" s="1180"/>
      <c r="AO34" s="1255" t="s">
        <v>664</v>
      </c>
      <c r="AP34" s="1255"/>
      <c r="AQ34" s="1255"/>
      <c r="AR34" s="1255"/>
      <c r="AS34" s="1158"/>
      <c r="AT34" s="1158"/>
      <c r="AU34" s="1158"/>
      <c r="AV34" s="1158"/>
      <c r="AW34" s="1158"/>
      <c r="AX34" s="1158"/>
      <c r="AY34" s="1158"/>
      <c r="AZ34" s="1158"/>
      <c r="BA34" s="1158"/>
      <c r="BB34" s="1158"/>
    </row>
    <row r="35" spans="1:54" x14ac:dyDescent="0.35">
      <c r="A35" s="1179"/>
      <c r="B35" s="1256" t="s">
        <v>665</v>
      </c>
      <c r="C35" s="650"/>
      <c r="D35" s="650"/>
      <c r="E35" s="650"/>
      <c r="F35" s="650"/>
      <c r="G35" s="651"/>
      <c r="H35" s="636"/>
      <c r="I35" s="1272"/>
      <c r="J35" s="636"/>
      <c r="K35" s="1272"/>
      <c r="L35" s="636"/>
      <c r="M35" s="1162">
        <f>193545+11205+136320+14250+27030+26400</f>
        <v>408750</v>
      </c>
      <c r="N35" s="636"/>
      <c r="O35" s="1272">
        <v>432015</v>
      </c>
      <c r="P35" s="636"/>
      <c r="Q35" s="1162"/>
      <c r="R35" s="636"/>
      <c r="S35" s="1162"/>
      <c r="T35" s="1162"/>
      <c r="U35" s="1162"/>
      <c r="V35" s="636"/>
      <c r="W35" s="1162"/>
      <c r="X35" s="1162"/>
      <c r="Y35" s="1162"/>
      <c r="Z35" s="1162"/>
      <c r="AA35" s="1162"/>
      <c r="AB35" s="1162"/>
      <c r="AC35" s="1162"/>
      <c r="AD35" s="636"/>
      <c r="AE35" s="1163"/>
      <c r="AF35" s="636"/>
      <c r="AG35" s="1163"/>
      <c r="AH35" s="636"/>
      <c r="AI35" s="1163"/>
      <c r="AJ35" s="636"/>
      <c r="AK35" s="1163"/>
      <c r="AO35" s="1256" t="s">
        <v>665</v>
      </c>
      <c r="AP35" s="1256"/>
      <c r="AQ35" s="1256"/>
      <c r="AR35" s="1256"/>
      <c r="AS35" s="1162"/>
      <c r="AT35" s="1162"/>
      <c r="AU35" s="1162"/>
      <c r="AV35" s="1162"/>
      <c r="AW35" s="1162"/>
      <c r="AX35" s="1162"/>
      <c r="AY35" s="1162"/>
      <c r="AZ35" s="1162"/>
      <c r="BA35" s="1162"/>
      <c r="BB35" s="1162"/>
    </row>
    <row r="36" spans="1:54" x14ac:dyDescent="0.35">
      <c r="A36" s="1179"/>
      <c r="B36" s="1257"/>
      <c r="C36" s="642"/>
      <c r="D36" s="642"/>
      <c r="E36" s="642"/>
      <c r="F36" s="642"/>
      <c r="G36" s="652"/>
      <c r="H36" s="943"/>
      <c r="I36" s="1158"/>
      <c r="J36" s="943"/>
      <c r="K36" s="1158"/>
      <c r="L36" s="943"/>
      <c r="M36" s="1261"/>
      <c r="N36" s="943"/>
      <c r="O36" s="1261"/>
      <c r="P36" s="943"/>
      <c r="Q36" s="1158"/>
      <c r="R36" s="943"/>
      <c r="S36" s="1158"/>
      <c r="T36" s="1158"/>
      <c r="U36" s="1158"/>
      <c r="V36" s="943"/>
      <c r="W36" s="1158"/>
      <c r="X36" s="1158"/>
      <c r="Y36" s="1158"/>
      <c r="Z36" s="1158"/>
      <c r="AA36" s="1158"/>
      <c r="AB36" s="1158"/>
      <c r="AC36" s="1158"/>
      <c r="AD36" s="943"/>
      <c r="AE36" s="1180"/>
      <c r="AF36" s="943"/>
      <c r="AG36" s="1180"/>
      <c r="AH36" s="943"/>
      <c r="AI36" s="1180"/>
      <c r="AJ36" s="943"/>
      <c r="AK36" s="1180"/>
      <c r="AO36" s="1257"/>
      <c r="AP36" s="641"/>
      <c r="AQ36" s="641"/>
      <c r="AR36" s="641"/>
      <c r="AS36" s="1158"/>
      <c r="AT36" s="1158"/>
      <c r="AU36" s="1158"/>
      <c r="AV36" s="1158"/>
      <c r="AW36" s="1158"/>
      <c r="AX36" s="1158"/>
      <c r="AY36" s="1158"/>
      <c r="AZ36" s="1158"/>
      <c r="BA36" s="1158"/>
      <c r="BB36" s="1158"/>
    </row>
    <row r="37" spans="1:54" x14ac:dyDescent="0.35">
      <c r="A37" s="1179"/>
      <c r="B37" s="1257" t="s">
        <v>1103</v>
      </c>
      <c r="C37" s="682"/>
      <c r="D37" s="682"/>
      <c r="E37" s="642"/>
      <c r="F37" s="642"/>
      <c r="G37" s="652"/>
      <c r="H37" s="943" t="s">
        <v>669</v>
      </c>
      <c r="I37" s="1158"/>
      <c r="J37" s="943" t="s">
        <v>669</v>
      </c>
      <c r="K37" s="1158"/>
      <c r="L37" s="943" t="s">
        <v>669</v>
      </c>
      <c r="M37" s="1261"/>
      <c r="N37" s="943" t="s">
        <v>669</v>
      </c>
      <c r="O37" s="1261"/>
      <c r="P37" s="943" t="s">
        <v>669</v>
      </c>
      <c r="Q37" s="1158"/>
      <c r="R37" s="943" t="s">
        <v>669</v>
      </c>
      <c r="S37" s="1158"/>
      <c r="T37" s="943" t="s">
        <v>669</v>
      </c>
      <c r="U37" s="1158"/>
      <c r="V37" s="943" t="s">
        <v>669</v>
      </c>
      <c r="W37" s="1158"/>
      <c r="X37" s="943" t="s">
        <v>669</v>
      </c>
      <c r="Y37" s="1158"/>
      <c r="Z37" s="943" t="s">
        <v>669</v>
      </c>
      <c r="AA37" s="1158"/>
      <c r="AB37" s="943" t="s">
        <v>669</v>
      </c>
      <c r="AC37" s="1158"/>
      <c r="AD37" s="943"/>
      <c r="AE37" s="1180"/>
      <c r="AF37" s="943"/>
      <c r="AG37" s="1180"/>
      <c r="AH37" s="943"/>
      <c r="AI37" s="1180"/>
      <c r="AJ37" s="943"/>
      <c r="AK37" s="1180"/>
      <c r="AO37" s="1257" t="s">
        <v>1103</v>
      </c>
      <c r="AP37" s="641"/>
      <c r="AQ37" s="641"/>
      <c r="AR37" s="641"/>
      <c r="AS37" s="943" t="s">
        <v>669</v>
      </c>
      <c r="AT37" s="1158"/>
      <c r="AU37" s="943" t="s">
        <v>669</v>
      </c>
      <c r="AV37" s="1158"/>
      <c r="AW37" s="943" t="s">
        <v>669</v>
      </c>
      <c r="AX37" s="1158"/>
      <c r="AY37" s="943" t="s">
        <v>669</v>
      </c>
      <c r="AZ37" s="1158"/>
      <c r="BA37" s="943" t="s">
        <v>669</v>
      </c>
      <c r="BB37" s="1158"/>
    </row>
    <row r="38" spans="1:54" x14ac:dyDescent="0.35">
      <c r="A38" s="1179"/>
      <c r="B38" s="1257" t="s">
        <v>1104</v>
      </c>
      <c r="C38" s="682"/>
      <c r="D38" s="682"/>
      <c r="E38" s="642"/>
      <c r="F38" s="642"/>
      <c r="G38" s="652"/>
      <c r="H38" s="943" t="s">
        <v>671</v>
      </c>
      <c r="I38" s="1158"/>
      <c r="J38" s="943" t="s">
        <v>669</v>
      </c>
      <c r="K38" s="1158"/>
      <c r="L38" s="943" t="s">
        <v>671</v>
      </c>
      <c r="M38" s="1261"/>
      <c r="N38" s="943" t="s">
        <v>669</v>
      </c>
      <c r="O38" s="1261"/>
      <c r="P38" s="943" t="s">
        <v>671</v>
      </c>
      <c r="Q38" s="1158"/>
      <c r="R38" s="943" t="s">
        <v>669</v>
      </c>
      <c r="S38" s="1158"/>
      <c r="T38" s="943" t="s">
        <v>669</v>
      </c>
      <c r="U38" s="1158"/>
      <c r="V38" s="943" t="s">
        <v>671</v>
      </c>
      <c r="W38" s="1158"/>
      <c r="X38" s="943" t="s">
        <v>671</v>
      </c>
      <c r="Y38" s="1158"/>
      <c r="Z38" s="943" t="s">
        <v>671</v>
      </c>
      <c r="AA38" s="1158"/>
      <c r="AB38" s="943" t="s">
        <v>671</v>
      </c>
      <c r="AC38" s="1158"/>
      <c r="AD38" s="943"/>
      <c r="AE38" s="1180"/>
      <c r="AF38" s="943"/>
      <c r="AG38" s="1180"/>
      <c r="AH38" s="943"/>
      <c r="AI38" s="1180"/>
      <c r="AJ38" s="943"/>
      <c r="AK38" s="1180"/>
      <c r="AO38" s="1257" t="s">
        <v>1104</v>
      </c>
      <c r="AP38" s="641"/>
      <c r="AQ38" s="641"/>
      <c r="AR38" s="641"/>
      <c r="AS38" s="943" t="s">
        <v>671</v>
      </c>
      <c r="AT38" s="1158"/>
      <c r="AU38" s="943" t="s">
        <v>671</v>
      </c>
      <c r="AV38" s="1158"/>
      <c r="AW38" s="943" t="s">
        <v>671</v>
      </c>
      <c r="AX38" s="1158"/>
      <c r="AY38" s="943" t="s">
        <v>671</v>
      </c>
      <c r="AZ38" s="1158"/>
      <c r="BA38" s="943" t="s">
        <v>671</v>
      </c>
      <c r="BB38" s="1158"/>
    </row>
    <row r="39" spans="1:54" x14ac:dyDescent="0.35">
      <c r="A39" s="1179"/>
      <c r="B39" s="1257"/>
      <c r="C39" s="682"/>
      <c r="D39" s="682"/>
      <c r="E39" s="642"/>
      <c r="F39" s="642"/>
      <c r="G39" s="652"/>
      <c r="H39" s="943"/>
      <c r="I39" s="1158"/>
      <c r="J39" s="943"/>
      <c r="K39" s="1158"/>
      <c r="L39" s="943"/>
      <c r="M39" s="1261"/>
      <c r="N39" s="943"/>
      <c r="O39" s="1261"/>
      <c r="P39" s="943"/>
      <c r="Q39" s="1158"/>
      <c r="R39" s="943"/>
      <c r="S39" s="1158"/>
      <c r="T39" s="1158"/>
      <c r="U39" s="1158"/>
      <c r="V39" s="943"/>
      <c r="W39" s="1158"/>
      <c r="X39" s="1158"/>
      <c r="Y39" s="1158"/>
      <c r="Z39" s="1158"/>
      <c r="AA39" s="1158"/>
      <c r="AB39" s="1158"/>
      <c r="AC39" s="1158"/>
      <c r="AD39" s="943"/>
      <c r="AE39" s="1180"/>
      <c r="AF39" s="943"/>
      <c r="AG39" s="1180"/>
      <c r="AH39" s="943"/>
      <c r="AI39" s="1180"/>
      <c r="AJ39" s="943"/>
      <c r="AK39" s="1180"/>
      <c r="AO39" s="1257"/>
      <c r="AP39" s="641"/>
      <c r="AQ39" s="641"/>
      <c r="AR39" s="641"/>
      <c r="AS39" s="1158"/>
      <c r="AT39" s="1158"/>
      <c r="AU39" s="1158"/>
      <c r="AV39" s="1158"/>
      <c r="AW39" s="1158"/>
      <c r="AX39" s="1158"/>
      <c r="AY39" s="1158"/>
      <c r="AZ39" s="1158"/>
      <c r="BA39" s="1158"/>
      <c r="BB39" s="1158"/>
    </row>
    <row r="40" spans="1:54" x14ac:dyDescent="0.35">
      <c r="A40" s="1179"/>
      <c r="B40" s="1257" t="s">
        <v>793</v>
      </c>
      <c r="C40" s="682"/>
      <c r="D40" s="682"/>
      <c r="E40" s="642"/>
      <c r="F40" s="642"/>
      <c r="G40" s="652"/>
      <c r="H40" s="943" t="s">
        <v>669</v>
      </c>
      <c r="I40" s="1261"/>
      <c r="J40" s="943" t="s">
        <v>669</v>
      </c>
      <c r="K40" s="1261"/>
      <c r="L40" s="943" t="s">
        <v>669</v>
      </c>
      <c r="M40" s="1261"/>
      <c r="N40" s="943" t="s">
        <v>669</v>
      </c>
      <c r="O40" s="1261"/>
      <c r="P40" s="943" t="s">
        <v>669</v>
      </c>
      <c r="Q40" s="1261">
        <f>23700+5900+8700+26300+5900+13800+29490+26300+5900+13800+29490+21700+3900+16800+24200+10200+13500+24200+21700+3900+16800+24200</f>
        <v>370380</v>
      </c>
      <c r="R40" s="943" t="s">
        <v>669</v>
      </c>
      <c r="S40" s="1261">
        <f>21600+5300+7700</f>
        <v>34600</v>
      </c>
      <c r="T40" s="943" t="s">
        <v>669</v>
      </c>
      <c r="U40" s="1261"/>
      <c r="V40" s="943" t="s">
        <v>669</v>
      </c>
      <c r="W40" s="1158"/>
      <c r="X40" s="943" t="s">
        <v>669</v>
      </c>
      <c r="Y40" s="1158"/>
      <c r="Z40" s="943" t="s">
        <v>669</v>
      </c>
      <c r="AA40" s="1158"/>
      <c r="AB40" s="943" t="s">
        <v>669</v>
      </c>
      <c r="AC40" s="1158"/>
      <c r="AD40" s="943"/>
      <c r="AE40" s="1180"/>
      <c r="AF40" s="943"/>
      <c r="AG40" s="1180"/>
      <c r="AH40" s="943"/>
      <c r="AI40" s="1180"/>
      <c r="AJ40" s="943"/>
      <c r="AK40" s="1180"/>
      <c r="AO40" s="1257" t="s">
        <v>80</v>
      </c>
      <c r="AP40" s="641"/>
      <c r="AQ40" s="641"/>
      <c r="AR40" s="641"/>
      <c r="AS40" s="943" t="s">
        <v>669</v>
      </c>
      <c r="AT40" s="1261">
        <f>30438+18560</f>
        <v>48998</v>
      </c>
      <c r="AU40" s="943" t="s">
        <v>669</v>
      </c>
      <c r="AV40" s="1158"/>
      <c r="AW40" s="943" t="s">
        <v>669</v>
      </c>
      <c r="AX40" s="1261">
        <f>(6369+8548.16)*2</f>
        <v>29834.32</v>
      </c>
      <c r="AY40" s="943" t="s">
        <v>669</v>
      </c>
      <c r="AZ40" s="1158"/>
      <c r="BA40" s="943" t="s">
        <v>669</v>
      </c>
      <c r="BB40" s="1158"/>
    </row>
    <row r="41" spans="1:54" x14ac:dyDescent="0.35">
      <c r="A41" s="1179"/>
      <c r="B41" s="1257" t="s">
        <v>1212</v>
      </c>
      <c r="C41" s="682"/>
      <c r="D41" s="682"/>
      <c r="E41" s="642"/>
      <c r="F41" s="642"/>
      <c r="G41" s="652"/>
      <c r="H41" s="943" t="s">
        <v>669</v>
      </c>
      <c r="I41" s="1261">
        <f>13475+9075</f>
        <v>22550</v>
      </c>
      <c r="J41" s="943" t="s">
        <v>669</v>
      </c>
      <c r="K41" s="1261"/>
      <c r="L41" s="943" t="s">
        <v>669</v>
      </c>
      <c r="M41" s="1158"/>
      <c r="N41" s="943" t="s">
        <v>669</v>
      </c>
      <c r="O41" s="1158"/>
      <c r="P41" s="943" t="s">
        <v>669</v>
      </c>
      <c r="Q41" s="1158"/>
      <c r="R41" s="943" t="s">
        <v>669</v>
      </c>
      <c r="S41" s="1158"/>
      <c r="T41" s="943" t="s">
        <v>669</v>
      </c>
      <c r="U41" s="1158"/>
      <c r="V41" s="943" t="s">
        <v>669</v>
      </c>
      <c r="W41" s="1261">
        <f>15252+23763+675+3995</f>
        <v>43685</v>
      </c>
      <c r="X41" s="943" t="s">
        <v>669</v>
      </c>
      <c r="Y41" s="1158"/>
      <c r="Z41" s="943" t="s">
        <v>669</v>
      </c>
      <c r="AA41" s="1158"/>
      <c r="AB41" s="943" t="s">
        <v>669</v>
      </c>
      <c r="AC41" s="1158"/>
      <c r="AD41" s="943"/>
      <c r="AE41" s="1180"/>
      <c r="AF41" s="943"/>
      <c r="AG41" s="1180"/>
      <c r="AH41" s="943"/>
      <c r="AI41" s="1180"/>
      <c r="AJ41" s="943"/>
      <c r="AK41" s="1180"/>
      <c r="AO41" s="1260" t="s">
        <v>1213</v>
      </c>
      <c r="AP41" s="641">
        <v>114</v>
      </c>
      <c r="AQ41" s="641"/>
      <c r="AR41" s="641"/>
      <c r="AS41" s="943" t="s">
        <v>669</v>
      </c>
      <c r="AT41" s="1158"/>
      <c r="AU41" s="943" t="s">
        <v>669</v>
      </c>
      <c r="AV41" s="1158"/>
      <c r="AW41" s="943" t="s">
        <v>669</v>
      </c>
      <c r="AX41" s="1158"/>
      <c r="AY41" s="943" t="s">
        <v>669</v>
      </c>
      <c r="AZ41" s="1158"/>
      <c r="BA41" s="943" t="s">
        <v>669</v>
      </c>
      <c r="BB41" s="1158"/>
    </row>
    <row r="42" spans="1:54" x14ac:dyDescent="0.35">
      <c r="A42" s="1179"/>
      <c r="B42" s="1260" t="s">
        <v>1214</v>
      </c>
      <c r="C42" s="682"/>
      <c r="D42" s="682">
        <v>31</v>
      </c>
      <c r="E42" s="642" t="s">
        <v>666</v>
      </c>
      <c r="F42" s="1012">
        <v>400</v>
      </c>
      <c r="G42" s="652">
        <f t="shared" ref="G42:G81" si="0">F42*D42</f>
        <v>12400</v>
      </c>
      <c r="H42" s="943" t="s">
        <v>669</v>
      </c>
      <c r="I42" s="1261"/>
      <c r="J42" s="943" t="s">
        <v>669</v>
      </c>
      <c r="K42" s="1261"/>
      <c r="L42" s="943" t="s">
        <v>669</v>
      </c>
      <c r="M42" s="1158"/>
      <c r="N42" s="943" t="s">
        <v>669</v>
      </c>
      <c r="O42" s="1158"/>
      <c r="P42" s="943" t="s">
        <v>669</v>
      </c>
      <c r="Q42" s="1158"/>
      <c r="R42" s="943" t="s">
        <v>669</v>
      </c>
      <c r="S42" s="1158"/>
      <c r="T42" s="943" t="s">
        <v>669</v>
      </c>
      <c r="U42" s="1158"/>
      <c r="V42" s="943" t="s">
        <v>669</v>
      </c>
      <c r="W42" s="1158"/>
      <c r="X42" s="943" t="s">
        <v>669</v>
      </c>
      <c r="Y42" s="1158"/>
      <c r="Z42" s="943" t="s">
        <v>669</v>
      </c>
      <c r="AA42" s="1158"/>
      <c r="AB42" s="943" t="s">
        <v>669</v>
      </c>
      <c r="AC42" s="1158"/>
      <c r="AD42" s="943"/>
      <c r="AE42" s="1180"/>
      <c r="AF42" s="943"/>
      <c r="AG42" s="1180"/>
      <c r="AH42" s="943"/>
      <c r="AI42" s="1180"/>
      <c r="AJ42" s="943"/>
      <c r="AK42" s="1180"/>
      <c r="AO42" s="1260" t="s">
        <v>1215</v>
      </c>
      <c r="AP42" s="641">
        <v>16</v>
      </c>
      <c r="AQ42" s="641"/>
      <c r="AR42" s="641"/>
      <c r="AS42" s="943" t="s">
        <v>669</v>
      </c>
      <c r="AT42" s="1158"/>
      <c r="AU42" s="943" t="s">
        <v>669</v>
      </c>
      <c r="AV42" s="1158"/>
      <c r="AW42" s="943" t="s">
        <v>669</v>
      </c>
      <c r="AX42" s="1158"/>
      <c r="AY42" s="943" t="s">
        <v>669</v>
      </c>
      <c r="AZ42" s="1158"/>
      <c r="BA42" s="943" t="s">
        <v>669</v>
      </c>
      <c r="BB42" s="1158"/>
    </row>
    <row r="43" spans="1:54" x14ac:dyDescent="0.35">
      <c r="A43" s="1179"/>
      <c r="B43" s="1260" t="s">
        <v>1216</v>
      </c>
      <c r="C43" s="682"/>
      <c r="D43" s="682">
        <v>48</v>
      </c>
      <c r="E43" s="642" t="s">
        <v>666</v>
      </c>
      <c r="F43" s="1012">
        <v>200</v>
      </c>
      <c r="G43" s="652">
        <f t="shared" si="0"/>
        <v>9600</v>
      </c>
      <c r="H43" s="943" t="s">
        <v>669</v>
      </c>
      <c r="I43" s="1261"/>
      <c r="J43" s="943" t="s">
        <v>669</v>
      </c>
      <c r="K43" s="1261"/>
      <c r="L43" s="943" t="s">
        <v>669</v>
      </c>
      <c r="M43" s="1158"/>
      <c r="N43" s="943" t="s">
        <v>669</v>
      </c>
      <c r="O43" s="1158"/>
      <c r="P43" s="943" t="s">
        <v>669</v>
      </c>
      <c r="Q43" s="1158"/>
      <c r="R43" s="943" t="s">
        <v>669</v>
      </c>
      <c r="S43" s="1158"/>
      <c r="T43" s="943" t="s">
        <v>669</v>
      </c>
      <c r="U43" s="1158"/>
      <c r="V43" s="943" t="s">
        <v>669</v>
      </c>
      <c r="W43" s="1158"/>
      <c r="X43" s="943" t="s">
        <v>669</v>
      </c>
      <c r="Y43" s="1158"/>
      <c r="Z43" s="943" t="s">
        <v>669</v>
      </c>
      <c r="AA43" s="1158"/>
      <c r="AB43" s="943" t="s">
        <v>669</v>
      </c>
      <c r="AC43" s="1158"/>
      <c r="AD43" s="943"/>
      <c r="AE43" s="1180"/>
      <c r="AF43" s="943"/>
      <c r="AG43" s="1180"/>
      <c r="AH43" s="943"/>
      <c r="AI43" s="1180"/>
      <c r="AJ43" s="943"/>
      <c r="AK43" s="1180"/>
      <c r="AO43" s="1257" t="s">
        <v>796</v>
      </c>
      <c r="AP43" s="641"/>
      <c r="AQ43" s="641"/>
      <c r="AR43" s="641"/>
      <c r="AS43" s="943" t="s">
        <v>669</v>
      </c>
      <c r="AT43" s="1261">
        <f>8544+9280</f>
        <v>17824</v>
      </c>
      <c r="AU43" s="943" t="s">
        <v>669</v>
      </c>
      <c r="AV43" s="1158"/>
      <c r="AW43" s="943" t="s">
        <v>669</v>
      </c>
      <c r="AX43" s="1261">
        <f>(3126+4274.08+325+166.55)*2</f>
        <v>15783.26</v>
      </c>
      <c r="AY43" s="943" t="s">
        <v>669</v>
      </c>
      <c r="AZ43" s="1158"/>
      <c r="BA43" s="943" t="s">
        <v>669</v>
      </c>
      <c r="BB43" s="1158"/>
    </row>
    <row r="44" spans="1:54" x14ac:dyDescent="0.35">
      <c r="A44" s="1179"/>
      <c r="B44" s="1260" t="s">
        <v>1217</v>
      </c>
      <c r="C44" s="682"/>
      <c r="D44" s="682">
        <v>8</v>
      </c>
      <c r="E44" s="642" t="s">
        <v>666</v>
      </c>
      <c r="F44" s="1012">
        <v>150</v>
      </c>
      <c r="G44" s="652">
        <f t="shared" si="0"/>
        <v>1200</v>
      </c>
      <c r="H44" s="943" t="s">
        <v>669</v>
      </c>
      <c r="I44" s="1261"/>
      <c r="J44" s="943" t="s">
        <v>669</v>
      </c>
      <c r="K44" s="1261"/>
      <c r="L44" s="943" t="s">
        <v>669</v>
      </c>
      <c r="M44" s="1158"/>
      <c r="N44" s="943" t="s">
        <v>669</v>
      </c>
      <c r="O44" s="1158"/>
      <c r="P44" s="943" t="s">
        <v>669</v>
      </c>
      <c r="Q44" s="1158"/>
      <c r="R44" s="943" t="s">
        <v>669</v>
      </c>
      <c r="S44" s="1158"/>
      <c r="T44" s="943" t="s">
        <v>669</v>
      </c>
      <c r="U44" s="1158"/>
      <c r="V44" s="943" t="s">
        <v>669</v>
      </c>
      <c r="W44" s="1158"/>
      <c r="X44" s="943" t="s">
        <v>669</v>
      </c>
      <c r="Y44" s="1158"/>
      <c r="Z44" s="943" t="s">
        <v>669</v>
      </c>
      <c r="AA44" s="1158"/>
      <c r="AB44" s="943" t="s">
        <v>669</v>
      </c>
      <c r="AC44" s="1158"/>
      <c r="AD44" s="943"/>
      <c r="AE44" s="1180"/>
      <c r="AF44" s="943"/>
      <c r="AG44" s="1180"/>
      <c r="AH44" s="943"/>
      <c r="AI44" s="1180"/>
      <c r="AJ44" s="943"/>
      <c r="AK44" s="1180"/>
      <c r="AO44" s="1260" t="s">
        <v>1218</v>
      </c>
      <c r="AP44" s="641">
        <v>32</v>
      </c>
      <c r="AQ44" s="641"/>
      <c r="AR44" s="641"/>
      <c r="AS44" s="943" t="s">
        <v>669</v>
      </c>
      <c r="AT44" s="1158"/>
      <c r="AU44" s="943" t="s">
        <v>669</v>
      </c>
      <c r="AV44" s="1158"/>
      <c r="AW44" s="943" t="s">
        <v>669</v>
      </c>
      <c r="AX44" s="1158"/>
      <c r="AY44" s="943" t="s">
        <v>669</v>
      </c>
      <c r="AZ44" s="1158"/>
      <c r="BA44" s="943" t="s">
        <v>669</v>
      </c>
      <c r="BB44" s="1158"/>
    </row>
    <row r="45" spans="1:54" x14ac:dyDescent="0.35">
      <c r="A45" s="1179"/>
      <c r="B45" s="1260" t="s">
        <v>1219</v>
      </c>
      <c r="C45" s="682"/>
      <c r="D45" s="682">
        <v>5</v>
      </c>
      <c r="E45" s="642" t="s">
        <v>666</v>
      </c>
      <c r="F45" s="1012">
        <v>400</v>
      </c>
      <c r="G45" s="652">
        <f t="shared" si="0"/>
        <v>2000</v>
      </c>
      <c r="H45" s="943" t="s">
        <v>669</v>
      </c>
      <c r="I45" s="1158"/>
      <c r="J45" s="943" t="s">
        <v>669</v>
      </c>
      <c r="K45" s="1158"/>
      <c r="L45" s="943" t="s">
        <v>669</v>
      </c>
      <c r="M45" s="1158"/>
      <c r="N45" s="943" t="s">
        <v>669</v>
      </c>
      <c r="O45" s="1158"/>
      <c r="P45" s="943" t="s">
        <v>669</v>
      </c>
      <c r="Q45" s="1158"/>
      <c r="R45" s="943" t="s">
        <v>669</v>
      </c>
      <c r="S45" s="1158"/>
      <c r="T45" s="943" t="s">
        <v>669</v>
      </c>
      <c r="U45" s="1158"/>
      <c r="V45" s="943" t="s">
        <v>669</v>
      </c>
      <c r="W45" s="1158"/>
      <c r="X45" s="943" t="s">
        <v>669</v>
      </c>
      <c r="Y45" s="1158"/>
      <c r="Z45" s="943" t="s">
        <v>669</v>
      </c>
      <c r="AA45" s="1158"/>
      <c r="AB45" s="943" t="s">
        <v>669</v>
      </c>
      <c r="AC45" s="1158"/>
      <c r="AD45" s="943"/>
      <c r="AE45" s="1180"/>
      <c r="AF45" s="943"/>
      <c r="AG45" s="1180"/>
      <c r="AH45" s="943"/>
      <c r="AI45" s="1180"/>
      <c r="AJ45" s="943"/>
      <c r="AK45" s="1180"/>
      <c r="AO45" s="1260" t="s">
        <v>1154</v>
      </c>
      <c r="AP45" s="641">
        <v>8</v>
      </c>
      <c r="AQ45" s="641"/>
      <c r="AR45" s="641"/>
      <c r="AS45" s="943" t="s">
        <v>669</v>
      </c>
      <c r="AT45" s="1158"/>
      <c r="AU45" s="943" t="s">
        <v>669</v>
      </c>
      <c r="AV45" s="1158"/>
      <c r="AW45" s="943" t="s">
        <v>669</v>
      </c>
      <c r="AX45" s="1158"/>
      <c r="AY45" s="943" t="s">
        <v>669</v>
      </c>
      <c r="AZ45" s="1158"/>
      <c r="BA45" s="943" t="s">
        <v>669</v>
      </c>
      <c r="BB45" s="1158"/>
    </row>
    <row r="46" spans="1:54" x14ac:dyDescent="0.35">
      <c r="A46" s="1179"/>
      <c r="B46" s="1257" t="s">
        <v>1220</v>
      </c>
      <c r="C46" s="682"/>
      <c r="D46" s="682"/>
      <c r="E46" s="642"/>
      <c r="F46" s="642"/>
      <c r="G46" s="652"/>
      <c r="H46" s="943" t="s">
        <v>669</v>
      </c>
      <c r="I46" s="1261">
        <f>17325+13035</f>
        <v>30360</v>
      </c>
      <c r="J46" s="943" t="s">
        <v>669</v>
      </c>
      <c r="K46" s="1261"/>
      <c r="L46" s="943" t="s">
        <v>669</v>
      </c>
      <c r="M46" s="1158"/>
      <c r="N46" s="943" t="s">
        <v>669</v>
      </c>
      <c r="O46" s="1158"/>
      <c r="P46" s="943" t="s">
        <v>669</v>
      </c>
      <c r="Q46" s="1158"/>
      <c r="R46" s="943" t="s">
        <v>669</v>
      </c>
      <c r="S46" s="1261">
        <f>23950+5300+12300+26800</f>
        <v>68350</v>
      </c>
      <c r="T46" s="943" t="s">
        <v>669</v>
      </c>
      <c r="U46" s="1261"/>
      <c r="V46" s="943" t="s">
        <v>669</v>
      </c>
      <c r="W46" s="1261">
        <f>28536+26700+675+3995+6028</f>
        <v>65934</v>
      </c>
      <c r="X46" s="943" t="s">
        <v>669</v>
      </c>
      <c r="Y46" s="1158"/>
      <c r="Z46" s="943" t="s">
        <v>669</v>
      </c>
      <c r="AA46" s="1158"/>
      <c r="AB46" s="943" t="s">
        <v>669</v>
      </c>
      <c r="AC46" s="1158"/>
      <c r="AD46" s="943"/>
      <c r="AE46" s="1180"/>
      <c r="AF46" s="943"/>
      <c r="AG46" s="1180"/>
      <c r="AH46" s="943"/>
      <c r="AI46" s="1180"/>
      <c r="AJ46" s="943"/>
      <c r="AK46" s="1180"/>
      <c r="AO46" s="1257" t="s">
        <v>1155</v>
      </c>
      <c r="AP46" s="641"/>
      <c r="AQ46" s="641"/>
      <c r="AR46" s="641"/>
      <c r="AS46" s="943" t="s">
        <v>669</v>
      </c>
      <c r="AT46" s="1261">
        <f>67818</f>
        <v>67818</v>
      </c>
      <c r="AU46" s="943" t="s">
        <v>669</v>
      </c>
      <c r="AV46" s="1158"/>
      <c r="AW46" s="943" t="s">
        <v>669</v>
      </c>
      <c r="AX46" s="1261">
        <f>13927.52*2</f>
        <v>27855.040000000001</v>
      </c>
      <c r="AY46" s="943" t="s">
        <v>669</v>
      </c>
      <c r="AZ46" s="1158"/>
      <c r="BA46" s="943" t="s">
        <v>669</v>
      </c>
      <c r="BB46" s="1158"/>
    </row>
    <row r="47" spans="1:54" x14ac:dyDescent="0.35">
      <c r="A47" s="1179"/>
      <c r="B47" s="1260" t="s">
        <v>1221</v>
      </c>
      <c r="C47" s="682"/>
      <c r="D47" s="682">
        <v>48</v>
      </c>
      <c r="E47" s="642" t="s">
        <v>666</v>
      </c>
      <c r="F47" s="1012">
        <v>400</v>
      </c>
      <c r="G47" s="652">
        <f t="shared" si="0"/>
        <v>19200</v>
      </c>
      <c r="H47" s="943" t="s">
        <v>669</v>
      </c>
      <c r="I47" s="1158"/>
      <c r="J47" s="943" t="s">
        <v>669</v>
      </c>
      <c r="K47" s="1158"/>
      <c r="L47" s="943" t="s">
        <v>669</v>
      </c>
      <c r="M47" s="1158"/>
      <c r="N47" s="943" t="s">
        <v>669</v>
      </c>
      <c r="O47" s="1158"/>
      <c r="P47" s="943" t="s">
        <v>669</v>
      </c>
      <c r="Q47" s="1158"/>
      <c r="R47" s="943" t="s">
        <v>669</v>
      </c>
      <c r="S47" s="1158"/>
      <c r="T47" s="943" t="s">
        <v>669</v>
      </c>
      <c r="U47" s="1158"/>
      <c r="V47" s="943" t="s">
        <v>669</v>
      </c>
      <c r="W47" s="1158"/>
      <c r="X47" s="943" t="s">
        <v>669</v>
      </c>
      <c r="Y47" s="1158"/>
      <c r="Z47" s="943" t="s">
        <v>669</v>
      </c>
      <c r="AA47" s="1158"/>
      <c r="AB47" s="943" t="s">
        <v>669</v>
      </c>
      <c r="AC47" s="1158"/>
      <c r="AD47" s="943"/>
      <c r="AE47" s="1180"/>
      <c r="AF47" s="943"/>
      <c r="AG47" s="1180"/>
      <c r="AH47" s="943"/>
      <c r="AI47" s="1180"/>
      <c r="AJ47" s="943"/>
      <c r="AK47" s="1180"/>
      <c r="AO47" s="1260" t="s">
        <v>1156</v>
      </c>
      <c r="AP47" s="641">
        <v>86</v>
      </c>
      <c r="AQ47" s="641"/>
      <c r="AR47" s="641"/>
      <c r="AS47" s="943" t="s">
        <v>669</v>
      </c>
      <c r="AT47" s="1158"/>
      <c r="AU47" s="943" t="s">
        <v>669</v>
      </c>
      <c r="AV47" s="1158"/>
      <c r="AW47" s="943" t="s">
        <v>669</v>
      </c>
      <c r="AX47" s="1158"/>
      <c r="AY47" s="943" t="s">
        <v>669</v>
      </c>
      <c r="AZ47" s="1158"/>
      <c r="BA47" s="943" t="s">
        <v>669</v>
      </c>
      <c r="BB47" s="1158"/>
    </row>
    <row r="48" spans="1:54" x14ac:dyDescent="0.35">
      <c r="A48" s="1179"/>
      <c r="B48" s="1260" t="s">
        <v>1222</v>
      </c>
      <c r="C48" s="682"/>
      <c r="D48" s="682">
        <v>65</v>
      </c>
      <c r="E48" s="642" t="s">
        <v>666</v>
      </c>
      <c r="F48" s="1012">
        <v>200</v>
      </c>
      <c r="G48" s="652">
        <f t="shared" si="0"/>
        <v>13000</v>
      </c>
      <c r="H48" s="943" t="s">
        <v>669</v>
      </c>
      <c r="I48" s="1158"/>
      <c r="J48" s="943" t="s">
        <v>669</v>
      </c>
      <c r="K48" s="1158"/>
      <c r="L48" s="943" t="s">
        <v>669</v>
      </c>
      <c r="M48" s="1158"/>
      <c r="N48" s="943" t="s">
        <v>669</v>
      </c>
      <c r="O48" s="1158"/>
      <c r="P48" s="943" t="s">
        <v>669</v>
      </c>
      <c r="Q48" s="1158"/>
      <c r="R48" s="943" t="s">
        <v>669</v>
      </c>
      <c r="S48" s="1158"/>
      <c r="T48" s="943" t="s">
        <v>669</v>
      </c>
      <c r="U48" s="1158"/>
      <c r="V48" s="943" t="s">
        <v>669</v>
      </c>
      <c r="W48" s="1158"/>
      <c r="X48" s="943" t="s">
        <v>669</v>
      </c>
      <c r="Y48" s="1158"/>
      <c r="Z48" s="943" t="s">
        <v>669</v>
      </c>
      <c r="AA48" s="1158"/>
      <c r="AB48" s="943" t="s">
        <v>669</v>
      </c>
      <c r="AC48" s="1158"/>
      <c r="AD48" s="943"/>
      <c r="AE48" s="1180"/>
      <c r="AF48" s="943"/>
      <c r="AG48" s="1180"/>
      <c r="AH48" s="943"/>
      <c r="AI48" s="1180"/>
      <c r="AJ48" s="943"/>
      <c r="AK48" s="1180"/>
      <c r="AO48" s="1257" t="s">
        <v>1157</v>
      </c>
      <c r="AP48" s="641"/>
      <c r="AQ48" s="641"/>
      <c r="AR48" s="641"/>
      <c r="AS48" s="943" t="s">
        <v>669</v>
      </c>
      <c r="AT48" s="1158"/>
      <c r="AU48" s="943" t="s">
        <v>669</v>
      </c>
      <c r="AV48" s="1158"/>
      <c r="AW48" s="943" t="s">
        <v>669</v>
      </c>
      <c r="AX48" s="1158"/>
      <c r="AY48" s="943" t="s">
        <v>669</v>
      </c>
      <c r="AZ48" s="1158"/>
      <c r="BA48" s="943" t="s">
        <v>669</v>
      </c>
      <c r="BB48" s="1158"/>
    </row>
    <row r="49" spans="1:54" x14ac:dyDescent="0.35">
      <c r="A49" s="1179"/>
      <c r="B49" s="1260" t="s">
        <v>1223</v>
      </c>
      <c r="C49" s="682"/>
      <c r="D49" s="682">
        <v>5</v>
      </c>
      <c r="E49" s="642" t="s">
        <v>666</v>
      </c>
      <c r="F49" s="1012">
        <v>150</v>
      </c>
      <c r="G49" s="652">
        <f t="shared" si="0"/>
        <v>750</v>
      </c>
      <c r="H49" s="943" t="s">
        <v>669</v>
      </c>
      <c r="I49" s="1158"/>
      <c r="J49" s="943" t="s">
        <v>669</v>
      </c>
      <c r="K49" s="1158"/>
      <c r="L49" s="943" t="s">
        <v>669</v>
      </c>
      <c r="M49" s="1158"/>
      <c r="N49" s="943" t="s">
        <v>669</v>
      </c>
      <c r="O49" s="1158"/>
      <c r="P49" s="943" t="s">
        <v>669</v>
      </c>
      <c r="Q49" s="1158"/>
      <c r="R49" s="943" t="s">
        <v>669</v>
      </c>
      <c r="S49" s="1158"/>
      <c r="T49" s="943" t="s">
        <v>669</v>
      </c>
      <c r="U49" s="1158"/>
      <c r="V49" s="943" t="s">
        <v>669</v>
      </c>
      <c r="W49" s="1158"/>
      <c r="X49" s="943" t="s">
        <v>669</v>
      </c>
      <c r="Y49" s="1158"/>
      <c r="Z49" s="943" t="s">
        <v>669</v>
      </c>
      <c r="AA49" s="1158"/>
      <c r="AB49" s="943" t="s">
        <v>669</v>
      </c>
      <c r="AC49" s="1158"/>
      <c r="AD49" s="943"/>
      <c r="AE49" s="1180"/>
      <c r="AF49" s="943"/>
      <c r="AG49" s="1180"/>
      <c r="AH49" s="943"/>
      <c r="AI49" s="1180"/>
      <c r="AJ49" s="943"/>
      <c r="AK49" s="1180"/>
      <c r="AO49" s="1260" t="s">
        <v>1156</v>
      </c>
      <c r="AP49" s="641">
        <v>86</v>
      </c>
      <c r="AQ49" s="641"/>
      <c r="AR49" s="641"/>
      <c r="AS49" s="943" t="s">
        <v>669</v>
      </c>
      <c r="AT49" s="1158"/>
      <c r="AU49" s="943" t="s">
        <v>669</v>
      </c>
      <c r="AV49" s="1158"/>
      <c r="AW49" s="943" t="s">
        <v>669</v>
      </c>
      <c r="AX49" s="1158"/>
      <c r="AY49" s="943" t="s">
        <v>669</v>
      </c>
      <c r="AZ49" s="1158"/>
      <c r="BA49" s="943" t="s">
        <v>669</v>
      </c>
      <c r="BB49" s="1158"/>
    </row>
    <row r="50" spans="1:54" x14ac:dyDescent="0.35">
      <c r="A50" s="1179"/>
      <c r="B50" s="1260" t="s">
        <v>1224</v>
      </c>
      <c r="C50" s="682"/>
      <c r="D50" s="682">
        <v>5</v>
      </c>
      <c r="E50" s="642" t="s">
        <v>666</v>
      </c>
      <c r="F50" s="1012">
        <v>400</v>
      </c>
      <c r="G50" s="652">
        <f t="shared" si="0"/>
        <v>2000</v>
      </c>
      <c r="H50" s="943" t="s">
        <v>669</v>
      </c>
      <c r="I50" s="1158"/>
      <c r="J50" s="943" t="s">
        <v>669</v>
      </c>
      <c r="K50" s="1158"/>
      <c r="L50" s="943" t="s">
        <v>669</v>
      </c>
      <c r="M50" s="1158"/>
      <c r="N50" s="943" t="s">
        <v>669</v>
      </c>
      <c r="O50" s="1158"/>
      <c r="P50" s="943" t="s">
        <v>669</v>
      </c>
      <c r="Q50" s="1158"/>
      <c r="R50" s="943" t="s">
        <v>669</v>
      </c>
      <c r="S50" s="1158"/>
      <c r="T50" s="943" t="s">
        <v>669</v>
      </c>
      <c r="U50" s="1158"/>
      <c r="V50" s="943" t="s">
        <v>669</v>
      </c>
      <c r="W50" s="1158"/>
      <c r="X50" s="943" t="s">
        <v>669</v>
      </c>
      <c r="Y50" s="1158"/>
      <c r="Z50" s="943" t="s">
        <v>669</v>
      </c>
      <c r="AA50" s="1158"/>
      <c r="AB50" s="943" t="s">
        <v>669</v>
      </c>
      <c r="AC50" s="1158"/>
      <c r="AD50" s="943"/>
      <c r="AE50" s="1180"/>
      <c r="AF50" s="943"/>
      <c r="AG50" s="1180"/>
      <c r="AH50" s="943"/>
      <c r="AI50" s="1180"/>
      <c r="AJ50" s="943"/>
      <c r="AK50" s="1180"/>
      <c r="AO50" s="1257" t="s">
        <v>1158</v>
      </c>
      <c r="AP50" s="641"/>
      <c r="AQ50" s="641"/>
      <c r="AR50" s="641"/>
      <c r="AS50" s="943" t="s">
        <v>669</v>
      </c>
      <c r="AT50" s="1158"/>
      <c r="AU50" s="943" t="s">
        <v>669</v>
      </c>
      <c r="AV50" s="1158"/>
      <c r="AW50" s="943" t="s">
        <v>669</v>
      </c>
      <c r="AX50" s="1158"/>
      <c r="AY50" s="943" t="s">
        <v>669</v>
      </c>
      <c r="AZ50" s="1158"/>
      <c r="BA50" s="943" t="s">
        <v>669</v>
      </c>
      <c r="BB50" s="1158"/>
    </row>
    <row r="51" spans="1:54" x14ac:dyDescent="0.35">
      <c r="A51" s="1179"/>
      <c r="B51" s="1260" t="s">
        <v>1225</v>
      </c>
      <c r="C51" s="682"/>
      <c r="D51" s="682">
        <v>7</v>
      </c>
      <c r="E51" s="642" t="s">
        <v>666</v>
      </c>
      <c r="F51" s="1012">
        <v>400</v>
      </c>
      <c r="G51" s="652">
        <f t="shared" si="0"/>
        <v>2800</v>
      </c>
      <c r="H51" s="943" t="s">
        <v>669</v>
      </c>
      <c r="I51" s="1158"/>
      <c r="J51" s="943" t="s">
        <v>669</v>
      </c>
      <c r="K51" s="1158"/>
      <c r="L51" s="943" t="s">
        <v>669</v>
      </c>
      <c r="M51" s="1158"/>
      <c r="N51" s="943" t="s">
        <v>669</v>
      </c>
      <c r="O51" s="1158"/>
      <c r="P51" s="943" t="s">
        <v>669</v>
      </c>
      <c r="Q51" s="1158"/>
      <c r="R51" s="943" t="s">
        <v>669</v>
      </c>
      <c r="S51" s="1158"/>
      <c r="T51" s="943" t="s">
        <v>669</v>
      </c>
      <c r="U51" s="1158"/>
      <c r="V51" s="943" t="s">
        <v>669</v>
      </c>
      <c r="W51" s="1158"/>
      <c r="X51" s="943" t="s">
        <v>669</v>
      </c>
      <c r="Y51" s="1158"/>
      <c r="Z51" s="943" t="s">
        <v>669</v>
      </c>
      <c r="AA51" s="1158"/>
      <c r="AB51" s="943" t="s">
        <v>669</v>
      </c>
      <c r="AC51" s="1158"/>
      <c r="AD51" s="943"/>
      <c r="AE51" s="1180"/>
      <c r="AF51" s="943"/>
      <c r="AG51" s="1180"/>
      <c r="AH51" s="943"/>
      <c r="AI51" s="1180"/>
      <c r="AJ51" s="943"/>
      <c r="AK51" s="1180"/>
      <c r="AO51" s="1260" t="s">
        <v>1156</v>
      </c>
      <c r="AP51" s="641">
        <v>86</v>
      </c>
      <c r="AQ51" s="641"/>
      <c r="AR51" s="641"/>
      <c r="AS51" s="943" t="s">
        <v>669</v>
      </c>
      <c r="AT51" s="1158"/>
      <c r="AU51" s="943" t="s">
        <v>669</v>
      </c>
      <c r="AV51" s="1158"/>
      <c r="AW51" s="943" t="s">
        <v>669</v>
      </c>
      <c r="AX51" s="1158"/>
      <c r="AY51" s="943" t="s">
        <v>669</v>
      </c>
      <c r="AZ51" s="1158"/>
      <c r="BA51" s="943" t="s">
        <v>669</v>
      </c>
      <c r="BB51" s="1158"/>
    </row>
    <row r="52" spans="1:54" x14ac:dyDescent="0.35">
      <c r="A52" s="1179"/>
      <c r="B52" s="1257" t="s">
        <v>1226</v>
      </c>
      <c r="C52" s="682"/>
      <c r="D52" s="682"/>
      <c r="E52" s="642"/>
      <c r="F52" s="642"/>
      <c r="G52" s="652"/>
      <c r="H52" s="943" t="s">
        <v>669</v>
      </c>
      <c r="I52" s="1261">
        <f>13860+14520</f>
        <v>28380</v>
      </c>
      <c r="J52" s="943" t="s">
        <v>669</v>
      </c>
      <c r="K52" s="1261"/>
      <c r="L52" s="943" t="s">
        <v>669</v>
      </c>
      <c r="M52" s="1158"/>
      <c r="N52" s="943" t="s">
        <v>669</v>
      </c>
      <c r="O52" s="1158"/>
      <c r="P52" s="943" t="s">
        <v>669</v>
      </c>
      <c r="Q52" s="1158"/>
      <c r="R52" s="943" t="s">
        <v>669</v>
      </c>
      <c r="S52" s="1261">
        <f>23950+5300+12300+26800</f>
        <v>68350</v>
      </c>
      <c r="T52" s="943" t="s">
        <v>669</v>
      </c>
      <c r="U52" s="1261"/>
      <c r="V52" s="943" t="s">
        <v>669</v>
      </c>
      <c r="W52" s="1261">
        <f>29028+30438+675+3995+6028</f>
        <v>70164</v>
      </c>
      <c r="X52" s="943" t="s">
        <v>669</v>
      </c>
      <c r="Y52" s="1158"/>
      <c r="Z52" s="943" t="s">
        <v>669</v>
      </c>
      <c r="AA52" s="1158"/>
      <c r="AB52" s="943" t="s">
        <v>669</v>
      </c>
      <c r="AC52" s="1158"/>
      <c r="AD52" s="943"/>
      <c r="AE52" s="1180"/>
      <c r="AF52" s="943"/>
      <c r="AG52" s="1180"/>
      <c r="AH52" s="943"/>
      <c r="AI52" s="1180"/>
      <c r="AJ52" s="943"/>
      <c r="AK52" s="1180"/>
      <c r="AO52" s="1257" t="s">
        <v>795</v>
      </c>
      <c r="AP52" s="641"/>
      <c r="AQ52" s="641"/>
      <c r="AR52" s="641"/>
      <c r="AS52" s="943" t="s">
        <v>669</v>
      </c>
      <c r="AT52" s="1261">
        <f>10947</f>
        <v>10947</v>
      </c>
      <c r="AU52" s="943" t="s">
        <v>669</v>
      </c>
      <c r="AV52" s="1158"/>
      <c r="AW52" s="943" t="s">
        <v>669</v>
      </c>
      <c r="AX52" s="1261">
        <f>(2101.19)*2</f>
        <v>4202.38</v>
      </c>
      <c r="AY52" s="943" t="s">
        <v>669</v>
      </c>
      <c r="AZ52" s="1158"/>
      <c r="BA52" s="943" t="s">
        <v>669</v>
      </c>
      <c r="BB52" s="1158"/>
    </row>
    <row r="53" spans="1:54" x14ac:dyDescent="0.35">
      <c r="A53" s="1179"/>
      <c r="B53" s="1260" t="s">
        <v>1221</v>
      </c>
      <c r="C53" s="682"/>
      <c r="D53" s="682">
        <v>48</v>
      </c>
      <c r="E53" s="642" t="s">
        <v>666</v>
      </c>
      <c r="F53" s="1012">
        <v>400</v>
      </c>
      <c r="G53" s="652">
        <f t="shared" si="0"/>
        <v>19200</v>
      </c>
      <c r="H53" s="943" t="s">
        <v>669</v>
      </c>
      <c r="I53" s="1158"/>
      <c r="J53" s="943" t="s">
        <v>669</v>
      </c>
      <c r="K53" s="1158"/>
      <c r="L53" s="943" t="s">
        <v>669</v>
      </c>
      <c r="M53" s="1158"/>
      <c r="N53" s="943" t="s">
        <v>669</v>
      </c>
      <c r="O53" s="1158"/>
      <c r="P53" s="943" t="s">
        <v>669</v>
      </c>
      <c r="Q53" s="1158"/>
      <c r="R53" s="943" t="s">
        <v>669</v>
      </c>
      <c r="S53" s="1158"/>
      <c r="T53" s="943" t="s">
        <v>669</v>
      </c>
      <c r="U53" s="1158"/>
      <c r="V53" s="943" t="s">
        <v>669</v>
      </c>
      <c r="W53" s="1158"/>
      <c r="X53" s="943" t="s">
        <v>669</v>
      </c>
      <c r="Y53" s="1158"/>
      <c r="Z53" s="943" t="s">
        <v>669</v>
      </c>
      <c r="AA53" s="1158"/>
      <c r="AB53" s="943" t="s">
        <v>669</v>
      </c>
      <c r="AC53" s="1158"/>
      <c r="AD53" s="943"/>
      <c r="AE53" s="1180"/>
      <c r="AF53" s="943"/>
      <c r="AG53" s="1180"/>
      <c r="AH53" s="943"/>
      <c r="AI53" s="1180"/>
      <c r="AJ53" s="943"/>
      <c r="AK53" s="1180"/>
      <c r="AO53" s="1260" t="s">
        <v>1227</v>
      </c>
      <c r="AP53" s="641">
        <v>41</v>
      </c>
      <c r="AQ53" s="641"/>
      <c r="AR53" s="641"/>
      <c r="AS53" s="943" t="s">
        <v>669</v>
      </c>
      <c r="AT53" s="1158"/>
      <c r="AU53" s="943" t="s">
        <v>669</v>
      </c>
      <c r="AV53" s="1158"/>
      <c r="AW53" s="943" t="s">
        <v>669</v>
      </c>
      <c r="AX53" s="1158"/>
      <c r="AY53" s="943" t="s">
        <v>669</v>
      </c>
      <c r="AZ53" s="1158"/>
      <c r="BA53" s="943" t="s">
        <v>669</v>
      </c>
      <c r="BB53" s="1158"/>
    </row>
    <row r="54" spans="1:54" x14ac:dyDescent="0.35">
      <c r="A54" s="1179"/>
      <c r="B54" s="1260" t="s">
        <v>1222</v>
      </c>
      <c r="C54" s="682"/>
      <c r="D54" s="682">
        <v>65</v>
      </c>
      <c r="E54" s="642" t="s">
        <v>666</v>
      </c>
      <c r="F54" s="1012">
        <v>200</v>
      </c>
      <c r="G54" s="652">
        <f t="shared" si="0"/>
        <v>13000</v>
      </c>
      <c r="H54" s="943" t="s">
        <v>669</v>
      </c>
      <c r="I54" s="1158"/>
      <c r="J54" s="943" t="s">
        <v>669</v>
      </c>
      <c r="K54" s="1158"/>
      <c r="L54" s="943" t="s">
        <v>669</v>
      </c>
      <c r="M54" s="1158"/>
      <c r="N54" s="943" t="s">
        <v>669</v>
      </c>
      <c r="O54" s="1158"/>
      <c r="P54" s="943" t="s">
        <v>669</v>
      </c>
      <c r="Q54" s="1158"/>
      <c r="R54" s="943" t="s">
        <v>669</v>
      </c>
      <c r="S54" s="1158"/>
      <c r="T54" s="943" t="s">
        <v>669</v>
      </c>
      <c r="U54" s="1158"/>
      <c r="V54" s="943" t="s">
        <v>669</v>
      </c>
      <c r="W54" s="1158"/>
      <c r="X54" s="943" t="s">
        <v>669</v>
      </c>
      <c r="Y54" s="1158"/>
      <c r="Z54" s="943" t="s">
        <v>669</v>
      </c>
      <c r="AA54" s="1158"/>
      <c r="AB54" s="943" t="s">
        <v>669</v>
      </c>
      <c r="AC54" s="1158"/>
      <c r="AD54" s="943"/>
      <c r="AE54" s="1180"/>
      <c r="AF54" s="943"/>
      <c r="AG54" s="1180"/>
      <c r="AH54" s="943"/>
      <c r="AI54" s="1180"/>
      <c r="AJ54" s="943"/>
      <c r="AK54" s="1180"/>
      <c r="AO54" s="1257" t="s">
        <v>746</v>
      </c>
      <c r="AP54" s="641"/>
      <c r="AQ54" s="641"/>
      <c r="AR54" s="641"/>
      <c r="AS54" s="943" t="s">
        <v>671</v>
      </c>
      <c r="AT54" s="1158"/>
      <c r="AU54" s="943" t="s">
        <v>671</v>
      </c>
      <c r="AV54" s="1158"/>
      <c r="AW54" s="943" t="s">
        <v>671</v>
      </c>
      <c r="AX54" s="1158"/>
      <c r="AY54" s="943" t="s">
        <v>671</v>
      </c>
      <c r="AZ54" s="1158"/>
      <c r="BA54" s="943" t="s">
        <v>671</v>
      </c>
      <c r="BB54" s="1158"/>
    </row>
    <row r="55" spans="1:54" x14ac:dyDescent="0.35">
      <c r="A55" s="1179"/>
      <c r="B55" s="1260" t="s">
        <v>1223</v>
      </c>
      <c r="C55" s="682"/>
      <c r="D55" s="682">
        <v>5</v>
      </c>
      <c r="E55" s="642" t="s">
        <v>666</v>
      </c>
      <c r="F55" s="1012">
        <v>150</v>
      </c>
      <c r="G55" s="652">
        <f t="shared" si="0"/>
        <v>750</v>
      </c>
      <c r="H55" s="943" t="s">
        <v>669</v>
      </c>
      <c r="I55" s="1158"/>
      <c r="J55" s="943" t="s">
        <v>669</v>
      </c>
      <c r="K55" s="1158"/>
      <c r="L55" s="943" t="s">
        <v>669</v>
      </c>
      <c r="M55" s="1158"/>
      <c r="N55" s="943" t="s">
        <v>669</v>
      </c>
      <c r="O55" s="1158"/>
      <c r="P55" s="943" t="s">
        <v>669</v>
      </c>
      <c r="Q55" s="1158"/>
      <c r="R55" s="943" t="s">
        <v>669</v>
      </c>
      <c r="S55" s="1158"/>
      <c r="T55" s="943" t="s">
        <v>669</v>
      </c>
      <c r="U55" s="1158"/>
      <c r="V55" s="943" t="s">
        <v>669</v>
      </c>
      <c r="W55" s="1158"/>
      <c r="X55" s="943" t="s">
        <v>669</v>
      </c>
      <c r="Y55" s="1158"/>
      <c r="Z55" s="943" t="s">
        <v>669</v>
      </c>
      <c r="AA55" s="1158"/>
      <c r="AB55" s="943" t="s">
        <v>669</v>
      </c>
      <c r="AC55" s="1158"/>
      <c r="AD55" s="943"/>
      <c r="AE55" s="1180"/>
      <c r="AF55" s="943"/>
      <c r="AG55" s="1180"/>
      <c r="AH55" s="943"/>
      <c r="AI55" s="1180"/>
      <c r="AJ55" s="943"/>
      <c r="AK55" s="1180"/>
      <c r="AO55" s="1260" t="s">
        <v>1228</v>
      </c>
      <c r="AP55" s="641"/>
      <c r="AQ55" s="641"/>
      <c r="AR55" s="641"/>
      <c r="AS55" s="943" t="s">
        <v>671</v>
      </c>
      <c r="AT55" s="1158"/>
      <c r="AU55" s="943" t="s">
        <v>671</v>
      </c>
      <c r="AV55" s="1158"/>
      <c r="AW55" s="943" t="s">
        <v>671</v>
      </c>
      <c r="AX55" s="1158"/>
      <c r="AY55" s="943" t="s">
        <v>671</v>
      </c>
      <c r="AZ55" s="1158"/>
      <c r="BA55" s="943" t="s">
        <v>671</v>
      </c>
      <c r="BB55" s="1158"/>
    </row>
    <row r="56" spans="1:54" x14ac:dyDescent="0.35">
      <c r="A56" s="1179"/>
      <c r="B56" s="1260" t="s">
        <v>1229</v>
      </c>
      <c r="C56" s="682"/>
      <c r="D56" s="682">
        <v>5</v>
      </c>
      <c r="E56" s="642" t="s">
        <v>666</v>
      </c>
      <c r="F56" s="1012">
        <v>400</v>
      </c>
      <c r="G56" s="652">
        <f t="shared" si="0"/>
        <v>2000</v>
      </c>
      <c r="H56" s="943" t="s">
        <v>669</v>
      </c>
      <c r="I56" s="1158"/>
      <c r="J56" s="943" t="s">
        <v>669</v>
      </c>
      <c r="K56" s="1158"/>
      <c r="L56" s="943" t="s">
        <v>669</v>
      </c>
      <c r="M56" s="1158"/>
      <c r="N56" s="943" t="s">
        <v>669</v>
      </c>
      <c r="O56" s="1158"/>
      <c r="P56" s="943" t="s">
        <v>669</v>
      </c>
      <c r="Q56" s="1158"/>
      <c r="R56" s="943" t="s">
        <v>669</v>
      </c>
      <c r="S56" s="1158"/>
      <c r="T56" s="943" t="s">
        <v>669</v>
      </c>
      <c r="U56" s="1158"/>
      <c r="V56" s="943" t="s">
        <v>669</v>
      </c>
      <c r="W56" s="1158"/>
      <c r="X56" s="943" t="s">
        <v>669</v>
      </c>
      <c r="Y56" s="1158"/>
      <c r="Z56" s="943" t="s">
        <v>669</v>
      </c>
      <c r="AA56" s="1158"/>
      <c r="AB56" s="943" t="s">
        <v>669</v>
      </c>
      <c r="AC56" s="1158"/>
      <c r="AD56" s="943"/>
      <c r="AE56" s="1180"/>
      <c r="AF56" s="943"/>
      <c r="AG56" s="1180"/>
      <c r="AH56" s="943"/>
      <c r="AI56" s="1180"/>
      <c r="AJ56" s="943"/>
      <c r="AK56" s="1180"/>
      <c r="AO56" s="1257" t="s">
        <v>158</v>
      </c>
      <c r="AP56" s="641"/>
      <c r="AQ56" s="641"/>
      <c r="AR56" s="641"/>
      <c r="AS56" s="943"/>
      <c r="AT56" s="1158"/>
      <c r="AU56" s="1158"/>
      <c r="AV56" s="1158"/>
      <c r="AW56" s="943"/>
      <c r="AX56" s="1158"/>
      <c r="AY56" s="1158"/>
      <c r="AZ56" s="1158"/>
      <c r="BA56" s="1158"/>
      <c r="BB56" s="1158"/>
    </row>
    <row r="57" spans="1:54" x14ac:dyDescent="0.35">
      <c r="A57" s="1179"/>
      <c r="B57" s="1260" t="s">
        <v>1230</v>
      </c>
      <c r="C57" s="682"/>
      <c r="D57" s="682">
        <v>5</v>
      </c>
      <c r="E57" s="642" t="s">
        <v>666</v>
      </c>
      <c r="F57" s="1012">
        <v>400</v>
      </c>
      <c r="G57" s="652">
        <f t="shared" si="0"/>
        <v>2000</v>
      </c>
      <c r="H57" s="943" t="s">
        <v>669</v>
      </c>
      <c r="I57" s="1158"/>
      <c r="J57" s="943" t="s">
        <v>669</v>
      </c>
      <c r="K57" s="1158"/>
      <c r="L57" s="943" t="s">
        <v>669</v>
      </c>
      <c r="M57" s="1158"/>
      <c r="N57" s="943" t="s">
        <v>669</v>
      </c>
      <c r="O57" s="1158"/>
      <c r="P57" s="943" t="s">
        <v>669</v>
      </c>
      <c r="Q57" s="1158"/>
      <c r="R57" s="943" t="s">
        <v>669</v>
      </c>
      <c r="S57" s="1158"/>
      <c r="T57" s="943" t="s">
        <v>669</v>
      </c>
      <c r="U57" s="1158"/>
      <c r="V57" s="943" t="s">
        <v>669</v>
      </c>
      <c r="W57" s="1158"/>
      <c r="X57" s="943" t="s">
        <v>669</v>
      </c>
      <c r="Y57" s="1158"/>
      <c r="Z57" s="943" t="s">
        <v>669</v>
      </c>
      <c r="AA57" s="1158"/>
      <c r="AB57" s="943" t="s">
        <v>669</v>
      </c>
      <c r="AC57" s="1158"/>
      <c r="AD57" s="943"/>
      <c r="AE57" s="1180"/>
      <c r="AF57" s="943"/>
      <c r="AG57" s="1180"/>
      <c r="AH57" s="943"/>
      <c r="AI57" s="1180"/>
      <c r="AJ57" s="943"/>
      <c r="AK57" s="1180"/>
      <c r="AO57" s="1257"/>
      <c r="AP57" s="641"/>
      <c r="AQ57" s="641"/>
      <c r="AR57" s="641"/>
      <c r="AS57" s="943"/>
      <c r="AT57" s="1158"/>
      <c r="AU57" s="1158"/>
      <c r="AV57" s="1158"/>
      <c r="AW57" s="943"/>
      <c r="AX57" s="1158"/>
      <c r="AY57" s="1158"/>
      <c r="AZ57" s="1158"/>
      <c r="BA57" s="1158"/>
      <c r="BB57" s="1158"/>
    </row>
    <row r="58" spans="1:54" x14ac:dyDescent="0.35">
      <c r="A58" s="1179"/>
      <c r="B58" s="1257" t="s">
        <v>1231</v>
      </c>
      <c r="C58" s="682"/>
      <c r="D58" s="682"/>
      <c r="E58" s="642"/>
      <c r="F58" s="642"/>
      <c r="G58" s="652"/>
      <c r="H58" s="943" t="s">
        <v>669</v>
      </c>
      <c r="I58" s="1261">
        <f>1165+17160</f>
        <v>18325</v>
      </c>
      <c r="J58" s="943" t="s">
        <v>669</v>
      </c>
      <c r="K58" s="1261"/>
      <c r="L58" s="943" t="s">
        <v>669</v>
      </c>
      <c r="M58" s="1158"/>
      <c r="N58" s="943" t="s">
        <v>669</v>
      </c>
      <c r="O58" s="1158"/>
      <c r="P58" s="943" t="s">
        <v>669</v>
      </c>
      <c r="Q58" s="1158"/>
      <c r="R58" s="943" t="s">
        <v>669</v>
      </c>
      <c r="S58" s="1261">
        <f>19800+3300+15100+21900</f>
        <v>60100</v>
      </c>
      <c r="T58" s="943" t="s">
        <v>669</v>
      </c>
      <c r="U58" s="1261"/>
      <c r="V58" s="943" t="s">
        <v>669</v>
      </c>
      <c r="W58" s="1261">
        <f>24600+26166+2700+3196+6028</f>
        <v>62690</v>
      </c>
      <c r="X58" s="943" t="s">
        <v>669</v>
      </c>
      <c r="Y58" s="1158"/>
      <c r="Z58" s="943" t="s">
        <v>669</v>
      </c>
      <c r="AA58" s="1158"/>
      <c r="AB58" s="943" t="s">
        <v>669</v>
      </c>
      <c r="AC58" s="1158"/>
      <c r="AD58" s="943"/>
      <c r="AE58" s="1180"/>
      <c r="AF58" s="943"/>
      <c r="AG58" s="1180"/>
      <c r="AH58" s="943"/>
      <c r="AI58" s="1180"/>
      <c r="AJ58" s="943"/>
      <c r="AK58" s="1180"/>
      <c r="AO58" s="1257" t="s">
        <v>1232</v>
      </c>
      <c r="AP58" s="641"/>
      <c r="AQ58" s="641"/>
      <c r="AR58" s="641"/>
      <c r="AS58" s="943" t="s">
        <v>669</v>
      </c>
      <c r="AT58" s="1158"/>
      <c r="AU58" s="943" t="s">
        <v>669</v>
      </c>
      <c r="AV58" s="1158"/>
      <c r="AW58" s="943"/>
      <c r="AX58" s="1158"/>
      <c r="AY58" s="943" t="s">
        <v>669</v>
      </c>
      <c r="AZ58" s="1158"/>
      <c r="BA58" s="943" t="s">
        <v>669</v>
      </c>
      <c r="BB58" s="1158"/>
    </row>
    <row r="59" spans="1:54" x14ac:dyDescent="0.35">
      <c r="A59" s="1179"/>
      <c r="B59" s="1260" t="s">
        <v>1233</v>
      </c>
      <c r="C59" s="682"/>
      <c r="D59" s="682">
        <v>22</v>
      </c>
      <c r="E59" s="642" t="s">
        <v>666</v>
      </c>
      <c r="F59" s="1012">
        <v>400</v>
      </c>
      <c r="G59" s="652">
        <f t="shared" si="0"/>
        <v>8800</v>
      </c>
      <c r="H59" s="943" t="s">
        <v>669</v>
      </c>
      <c r="I59" s="1158"/>
      <c r="J59" s="943" t="s">
        <v>669</v>
      </c>
      <c r="K59" s="1158"/>
      <c r="L59" s="943" t="s">
        <v>669</v>
      </c>
      <c r="M59" s="1158"/>
      <c r="N59" s="943" t="s">
        <v>669</v>
      </c>
      <c r="O59" s="1158"/>
      <c r="P59" s="943" t="s">
        <v>669</v>
      </c>
      <c r="Q59" s="1158"/>
      <c r="R59" s="943" t="s">
        <v>669</v>
      </c>
      <c r="S59" s="1158"/>
      <c r="T59" s="943" t="s">
        <v>669</v>
      </c>
      <c r="U59" s="1158"/>
      <c r="V59" s="943" t="s">
        <v>669</v>
      </c>
      <c r="W59" s="1158"/>
      <c r="X59" s="943" t="s">
        <v>669</v>
      </c>
      <c r="Y59" s="1158"/>
      <c r="Z59" s="943" t="s">
        <v>669</v>
      </c>
      <c r="AA59" s="1158"/>
      <c r="AB59" s="943" t="s">
        <v>669</v>
      </c>
      <c r="AC59" s="1158"/>
      <c r="AD59" s="943"/>
      <c r="AE59" s="1180"/>
      <c r="AF59" s="943"/>
      <c r="AG59" s="1180"/>
      <c r="AH59" s="943"/>
      <c r="AI59" s="1180"/>
      <c r="AJ59" s="943"/>
      <c r="AK59" s="1180"/>
      <c r="AO59" s="1260" t="s">
        <v>1234</v>
      </c>
      <c r="AP59" s="641">
        <f>AP53+AP51+AP49+AP47+AP44+AP41</f>
        <v>445</v>
      </c>
      <c r="AQ59" s="641" t="s">
        <v>666</v>
      </c>
      <c r="AR59" s="641"/>
      <c r="AS59" s="943" t="s">
        <v>669</v>
      </c>
      <c r="AT59" s="1261"/>
      <c r="AU59" s="943" t="s">
        <v>669</v>
      </c>
      <c r="AV59" s="1158">
        <f>40*AP59</f>
        <v>17800</v>
      </c>
      <c r="AW59" s="943"/>
      <c r="AX59" s="1261"/>
      <c r="AY59" s="943" t="s">
        <v>669</v>
      </c>
      <c r="AZ59" s="1261">
        <f>53.5*AP59</f>
        <v>23807.5</v>
      </c>
      <c r="BA59" s="943" t="s">
        <v>669</v>
      </c>
      <c r="BB59" s="1261">
        <f>AP59*332</f>
        <v>147740</v>
      </c>
    </row>
    <row r="60" spans="1:54" x14ac:dyDescent="0.35">
      <c r="A60" s="1179"/>
      <c r="B60" s="1260" t="s">
        <v>1235</v>
      </c>
      <c r="C60" s="682"/>
      <c r="D60" s="682">
        <v>70</v>
      </c>
      <c r="E60" s="642" t="s">
        <v>666</v>
      </c>
      <c r="F60" s="1012">
        <v>200</v>
      </c>
      <c r="G60" s="652">
        <f t="shared" si="0"/>
        <v>14000</v>
      </c>
      <c r="H60" s="943" t="s">
        <v>669</v>
      </c>
      <c r="I60" s="1158"/>
      <c r="J60" s="943" t="s">
        <v>669</v>
      </c>
      <c r="K60" s="1158"/>
      <c r="L60" s="943" t="s">
        <v>669</v>
      </c>
      <c r="M60" s="1158"/>
      <c r="N60" s="943" t="s">
        <v>669</v>
      </c>
      <c r="O60" s="1158"/>
      <c r="P60" s="943" t="s">
        <v>669</v>
      </c>
      <c r="Q60" s="1158"/>
      <c r="R60" s="943" t="s">
        <v>669</v>
      </c>
      <c r="S60" s="1158"/>
      <c r="T60" s="943" t="s">
        <v>669</v>
      </c>
      <c r="U60" s="1158"/>
      <c r="V60" s="943" t="s">
        <v>669</v>
      </c>
      <c r="W60" s="1158"/>
      <c r="X60" s="943" t="s">
        <v>669</v>
      </c>
      <c r="Y60" s="1158"/>
      <c r="Z60" s="943" t="s">
        <v>669</v>
      </c>
      <c r="AA60" s="1158"/>
      <c r="AB60" s="943" t="s">
        <v>669</v>
      </c>
      <c r="AC60" s="1158"/>
      <c r="AD60" s="943"/>
      <c r="AE60" s="1180"/>
      <c r="AF60" s="943"/>
      <c r="AG60" s="1180"/>
      <c r="AH60" s="943"/>
      <c r="AI60" s="1180"/>
      <c r="AJ60" s="943"/>
      <c r="AK60" s="1180"/>
      <c r="AO60" s="1260" t="s">
        <v>1236</v>
      </c>
      <c r="AP60" s="641">
        <f>AP45+AP42</f>
        <v>24</v>
      </c>
      <c r="AQ60" s="641" t="s">
        <v>666</v>
      </c>
      <c r="AR60" s="641"/>
      <c r="AS60" s="943" t="s">
        <v>669</v>
      </c>
      <c r="AT60" s="1261"/>
      <c r="AU60" s="943" t="s">
        <v>669</v>
      </c>
      <c r="AV60" s="1158">
        <f>290*AP60</f>
        <v>6960</v>
      </c>
      <c r="AW60" s="943"/>
      <c r="AX60" s="1261"/>
      <c r="AY60" s="943" t="s">
        <v>669</v>
      </c>
      <c r="AZ60" s="1261">
        <f>AP60*328.3</f>
        <v>7879.2000000000007</v>
      </c>
      <c r="BA60" s="943" t="s">
        <v>669</v>
      </c>
      <c r="BB60" s="1261">
        <f>AP60*650</f>
        <v>15600</v>
      </c>
    </row>
    <row r="61" spans="1:54" x14ac:dyDescent="0.35">
      <c r="A61" s="1179"/>
      <c r="B61" s="1260" t="s">
        <v>1237</v>
      </c>
      <c r="C61" s="682"/>
      <c r="D61" s="682">
        <v>20</v>
      </c>
      <c r="E61" s="642" t="s">
        <v>666</v>
      </c>
      <c r="F61" s="1012">
        <v>150</v>
      </c>
      <c r="G61" s="652">
        <f t="shared" si="0"/>
        <v>3000</v>
      </c>
      <c r="H61" s="943" t="s">
        <v>669</v>
      </c>
      <c r="I61" s="1158"/>
      <c r="J61" s="943" t="s">
        <v>669</v>
      </c>
      <c r="K61" s="1158"/>
      <c r="L61" s="943" t="s">
        <v>669</v>
      </c>
      <c r="M61" s="1158"/>
      <c r="N61" s="943" t="s">
        <v>669</v>
      </c>
      <c r="O61" s="1158"/>
      <c r="P61" s="943" t="s">
        <v>669</v>
      </c>
      <c r="Q61" s="1158"/>
      <c r="R61" s="943" t="s">
        <v>669</v>
      </c>
      <c r="S61" s="1158"/>
      <c r="T61" s="943" t="s">
        <v>669</v>
      </c>
      <c r="U61" s="1158"/>
      <c r="V61" s="943" t="s">
        <v>669</v>
      </c>
      <c r="W61" s="1158"/>
      <c r="X61" s="943" t="s">
        <v>669</v>
      </c>
      <c r="Y61" s="1158"/>
      <c r="Z61" s="943" t="s">
        <v>669</v>
      </c>
      <c r="AA61" s="1158"/>
      <c r="AB61" s="943" t="s">
        <v>669</v>
      </c>
      <c r="AC61" s="1158"/>
      <c r="AD61" s="943"/>
      <c r="AE61" s="1180"/>
      <c r="AF61" s="943"/>
      <c r="AG61" s="1180"/>
      <c r="AH61" s="943"/>
      <c r="AI61" s="1180"/>
      <c r="AJ61" s="943"/>
      <c r="AK61" s="1180"/>
      <c r="AO61" s="1260"/>
      <c r="AP61" s="641"/>
      <c r="AQ61" s="641"/>
      <c r="AR61" s="641"/>
      <c r="AS61" s="943" t="s">
        <v>669</v>
      </c>
      <c r="AT61" s="1261"/>
      <c r="AU61" s="943" t="s">
        <v>669</v>
      </c>
      <c r="AV61" s="1158"/>
      <c r="AW61" s="943"/>
      <c r="AX61" s="1261"/>
      <c r="AY61" s="943" t="s">
        <v>669</v>
      </c>
      <c r="AZ61" s="1261"/>
      <c r="BA61" s="943" t="s">
        <v>669</v>
      </c>
      <c r="BB61" s="1261"/>
    </row>
    <row r="62" spans="1:54" x14ac:dyDescent="0.35">
      <c r="A62" s="1179"/>
      <c r="B62" s="1260" t="s">
        <v>1238</v>
      </c>
      <c r="C62" s="682"/>
      <c r="D62" s="682">
        <v>4</v>
      </c>
      <c r="E62" s="642" t="s">
        <v>666</v>
      </c>
      <c r="F62" s="1012">
        <v>400</v>
      </c>
      <c r="G62" s="652">
        <f t="shared" si="0"/>
        <v>1600</v>
      </c>
      <c r="H62" s="943" t="s">
        <v>669</v>
      </c>
      <c r="I62" s="1158"/>
      <c r="J62" s="943" t="s">
        <v>669</v>
      </c>
      <c r="K62" s="1158"/>
      <c r="L62" s="943" t="s">
        <v>669</v>
      </c>
      <c r="M62" s="1158"/>
      <c r="N62" s="943" t="s">
        <v>669</v>
      </c>
      <c r="O62" s="1158"/>
      <c r="P62" s="943" t="s">
        <v>669</v>
      </c>
      <c r="Q62" s="1158"/>
      <c r="R62" s="943" t="s">
        <v>669</v>
      </c>
      <c r="S62" s="1158"/>
      <c r="T62" s="943" t="s">
        <v>669</v>
      </c>
      <c r="U62" s="1158"/>
      <c r="V62" s="943" t="s">
        <v>669</v>
      </c>
      <c r="W62" s="1158"/>
      <c r="X62" s="943" t="s">
        <v>669</v>
      </c>
      <c r="Y62" s="1158"/>
      <c r="Z62" s="943" t="s">
        <v>669</v>
      </c>
      <c r="AA62" s="1158"/>
      <c r="AB62" s="943" t="s">
        <v>669</v>
      </c>
      <c r="AC62" s="1158"/>
      <c r="AD62" s="943"/>
      <c r="AE62" s="1180"/>
      <c r="AF62" s="943"/>
      <c r="AG62" s="1180"/>
      <c r="AH62" s="943"/>
      <c r="AI62" s="1180"/>
      <c r="AJ62" s="943"/>
      <c r="AK62" s="1180"/>
      <c r="AO62" s="1260" t="s">
        <v>1152</v>
      </c>
      <c r="AP62" s="641"/>
      <c r="AQ62" s="641"/>
      <c r="AR62" s="641"/>
      <c r="AS62" s="943" t="s">
        <v>669</v>
      </c>
      <c r="AT62" s="1261"/>
      <c r="AU62" s="943" t="s">
        <v>669</v>
      </c>
      <c r="AV62" s="1261"/>
      <c r="AW62" s="943"/>
      <c r="AX62" s="1261"/>
      <c r="AY62" s="943" t="s">
        <v>671</v>
      </c>
      <c r="AZ62" s="1261"/>
      <c r="BA62" s="943" t="s">
        <v>671</v>
      </c>
      <c r="BB62" s="1261"/>
    </row>
    <row r="63" spans="1:54" x14ac:dyDescent="0.35">
      <c r="A63" s="1179"/>
      <c r="B63" s="1260" t="s">
        <v>1239</v>
      </c>
      <c r="C63" s="682"/>
      <c r="D63" s="682">
        <v>10</v>
      </c>
      <c r="E63" s="642" t="s">
        <v>666</v>
      </c>
      <c r="F63" s="1012">
        <v>400</v>
      </c>
      <c r="G63" s="652">
        <f t="shared" si="0"/>
        <v>4000</v>
      </c>
      <c r="H63" s="943" t="s">
        <v>669</v>
      </c>
      <c r="I63" s="1158"/>
      <c r="J63" s="943" t="s">
        <v>669</v>
      </c>
      <c r="K63" s="1158"/>
      <c r="L63" s="943" t="s">
        <v>669</v>
      </c>
      <c r="M63" s="1158"/>
      <c r="N63" s="943" t="s">
        <v>669</v>
      </c>
      <c r="O63" s="1158"/>
      <c r="P63" s="943" t="s">
        <v>669</v>
      </c>
      <c r="Q63" s="1158"/>
      <c r="R63" s="943" t="s">
        <v>669</v>
      </c>
      <c r="S63" s="1158"/>
      <c r="T63" s="943" t="s">
        <v>669</v>
      </c>
      <c r="U63" s="1158"/>
      <c r="V63" s="943" t="s">
        <v>669</v>
      </c>
      <c r="W63" s="1158"/>
      <c r="X63" s="943" t="s">
        <v>669</v>
      </c>
      <c r="Y63" s="1158"/>
      <c r="Z63" s="943" t="s">
        <v>669</v>
      </c>
      <c r="AA63" s="1158"/>
      <c r="AB63" s="943" t="s">
        <v>669</v>
      </c>
      <c r="AC63" s="1158"/>
      <c r="AD63" s="943"/>
      <c r="AE63" s="1180"/>
      <c r="AF63" s="943"/>
      <c r="AG63" s="1180"/>
      <c r="AH63" s="943"/>
      <c r="AI63" s="1180"/>
      <c r="AJ63" s="943"/>
      <c r="AK63" s="1180"/>
      <c r="AO63" s="15"/>
      <c r="AP63" s="15"/>
      <c r="AQ63" s="15"/>
      <c r="AR63" s="15"/>
      <c r="AS63" s="20"/>
      <c r="AT63" s="50">
        <f>SUM(AT35:AT62)</f>
        <v>145587</v>
      </c>
      <c r="AU63" s="20"/>
      <c r="AV63" s="50">
        <f>SUM(AV35:AV62)</f>
        <v>24760</v>
      </c>
      <c r="AW63" s="20"/>
      <c r="AX63" s="50">
        <f>SUM(AX35:AX62)</f>
        <v>77675</v>
      </c>
      <c r="AY63" s="20"/>
      <c r="AZ63" s="50">
        <f>SUM(AZ35:AZ62)</f>
        <v>31686.7</v>
      </c>
      <c r="BA63" s="20"/>
      <c r="BB63" s="50">
        <f>SUM(BB35:BB62)</f>
        <v>163340</v>
      </c>
    </row>
    <row r="64" spans="1:54" x14ac:dyDescent="0.35">
      <c r="A64" s="1179"/>
      <c r="B64" s="1257" t="s">
        <v>1240</v>
      </c>
      <c r="C64" s="682"/>
      <c r="D64" s="682"/>
      <c r="E64" s="642"/>
      <c r="F64" s="642"/>
      <c r="G64" s="652"/>
      <c r="H64" s="943" t="s">
        <v>669</v>
      </c>
      <c r="I64" s="1261">
        <f>3850+10560</f>
        <v>14410</v>
      </c>
      <c r="J64" s="943" t="s">
        <v>669</v>
      </c>
      <c r="K64" s="1261"/>
      <c r="L64" s="943" t="s">
        <v>669</v>
      </c>
      <c r="M64" s="1158"/>
      <c r="N64" s="943" t="s">
        <v>669</v>
      </c>
      <c r="O64" s="1158"/>
      <c r="P64" s="943" t="s">
        <v>669</v>
      </c>
      <c r="Q64" s="1158"/>
      <c r="R64" s="943" t="s">
        <v>669</v>
      </c>
      <c r="S64" s="1261">
        <f>9000+12200+21900</f>
        <v>43100</v>
      </c>
      <c r="T64" s="943" t="s">
        <v>669</v>
      </c>
      <c r="U64" s="1261"/>
      <c r="V64" s="943" t="s">
        <v>669</v>
      </c>
      <c r="W64" s="1261">
        <f>16728+19491+3780+3836</f>
        <v>43835</v>
      </c>
      <c r="X64" s="943" t="s">
        <v>669</v>
      </c>
      <c r="Y64" s="1158"/>
      <c r="Z64" s="943" t="s">
        <v>669</v>
      </c>
      <c r="AA64" s="1158"/>
      <c r="AB64" s="943" t="s">
        <v>669</v>
      </c>
      <c r="AC64" s="1158"/>
      <c r="AD64" s="943"/>
      <c r="AE64" s="1180"/>
      <c r="AF64" s="943"/>
      <c r="AG64" s="1180"/>
      <c r="AH64" s="943"/>
      <c r="AI64" s="1180"/>
      <c r="AJ64" s="943"/>
      <c r="AK64" s="1180"/>
      <c r="AO64" s="655"/>
      <c r="AP64" s="655"/>
      <c r="AQ64" s="655"/>
      <c r="AR64" s="655"/>
      <c r="AS64" s="959">
        <v>0</v>
      </c>
      <c r="AT64" s="1121"/>
      <c r="AU64" s="959">
        <v>0</v>
      </c>
      <c r="AV64" s="1121"/>
      <c r="AW64" s="959">
        <v>0</v>
      </c>
      <c r="AX64" s="1121"/>
      <c r="AY64" s="959">
        <v>0</v>
      </c>
      <c r="AZ64" s="1121"/>
      <c r="BA64" s="959">
        <v>0</v>
      </c>
      <c r="BB64" s="1121"/>
    </row>
    <row r="65" spans="1:54" x14ac:dyDescent="0.35">
      <c r="A65" s="1179"/>
      <c r="B65" s="1260" t="s">
        <v>1241</v>
      </c>
      <c r="C65" s="682"/>
      <c r="D65" s="682">
        <v>25</v>
      </c>
      <c r="E65" s="642" t="s">
        <v>666</v>
      </c>
      <c r="F65" s="1012">
        <v>400</v>
      </c>
      <c r="G65" s="652">
        <f t="shared" si="0"/>
        <v>10000</v>
      </c>
      <c r="H65" s="943" t="s">
        <v>669</v>
      </c>
      <c r="I65" s="1158"/>
      <c r="J65" s="943" t="s">
        <v>669</v>
      </c>
      <c r="K65" s="1158"/>
      <c r="L65" s="943" t="s">
        <v>669</v>
      </c>
      <c r="M65" s="1158"/>
      <c r="N65" s="943" t="s">
        <v>669</v>
      </c>
      <c r="O65" s="1158"/>
      <c r="P65" s="943" t="s">
        <v>669</v>
      </c>
      <c r="Q65" s="1158"/>
      <c r="R65" s="943" t="s">
        <v>669</v>
      </c>
      <c r="S65" s="1158"/>
      <c r="T65" s="943" t="s">
        <v>669</v>
      </c>
      <c r="U65" s="1158"/>
      <c r="V65" s="943" t="s">
        <v>669</v>
      </c>
      <c r="W65" s="1158"/>
      <c r="X65" s="943" t="s">
        <v>669</v>
      </c>
      <c r="Y65" s="1158"/>
      <c r="Z65" s="943" t="s">
        <v>669</v>
      </c>
      <c r="AA65" s="1158"/>
      <c r="AB65" s="943" t="s">
        <v>669</v>
      </c>
      <c r="AC65" s="1158"/>
      <c r="AD65" s="943"/>
      <c r="AE65" s="1180"/>
      <c r="AF65" s="943"/>
      <c r="AG65" s="1180"/>
      <c r="AH65" s="943"/>
      <c r="AI65" s="1180"/>
      <c r="AJ65" s="943"/>
      <c r="AK65" s="1180"/>
      <c r="AO65" s="655"/>
      <c r="AP65" s="655"/>
      <c r="AQ65" s="655"/>
      <c r="AR65" s="655"/>
      <c r="AS65" s="961"/>
      <c r="AT65" s="1122">
        <f>AS64*$M$104</f>
        <v>0</v>
      </c>
      <c r="AU65" s="961"/>
      <c r="AV65" s="1122">
        <f>AU64*$M$104</f>
        <v>0</v>
      </c>
      <c r="AW65" s="961"/>
      <c r="AX65" s="1122">
        <f>AW64*$M$104</f>
        <v>0</v>
      </c>
      <c r="AY65" s="961"/>
      <c r="AZ65" s="1122">
        <f>AY64*$M$104</f>
        <v>0</v>
      </c>
      <c r="BA65" s="961"/>
      <c r="BB65" s="1122">
        <f>BA64*$M$104</f>
        <v>0</v>
      </c>
    </row>
    <row r="66" spans="1:54" x14ac:dyDescent="0.35">
      <c r="A66" s="1179"/>
      <c r="B66" s="1260" t="s">
        <v>1235</v>
      </c>
      <c r="C66" s="682"/>
      <c r="D66" s="682">
        <v>70</v>
      </c>
      <c r="E66" s="642" t="s">
        <v>666</v>
      </c>
      <c r="F66" s="1012">
        <v>200</v>
      </c>
      <c r="G66" s="652">
        <f t="shared" si="0"/>
        <v>14000</v>
      </c>
      <c r="H66" s="943" t="s">
        <v>669</v>
      </c>
      <c r="I66" s="1158"/>
      <c r="J66" s="943" t="s">
        <v>669</v>
      </c>
      <c r="K66" s="1158"/>
      <c r="L66" s="943" t="s">
        <v>669</v>
      </c>
      <c r="M66" s="1158"/>
      <c r="N66" s="943" t="s">
        <v>669</v>
      </c>
      <c r="O66" s="1158"/>
      <c r="P66" s="943" t="s">
        <v>669</v>
      </c>
      <c r="Q66" s="1158"/>
      <c r="R66" s="943" t="s">
        <v>669</v>
      </c>
      <c r="S66" s="1158"/>
      <c r="T66" s="943" t="s">
        <v>669</v>
      </c>
      <c r="U66" s="1158"/>
      <c r="V66" s="943" t="s">
        <v>669</v>
      </c>
      <c r="W66" s="1158"/>
      <c r="X66" s="943" t="s">
        <v>669</v>
      </c>
      <c r="Y66" s="1158"/>
      <c r="Z66" s="943" t="s">
        <v>669</v>
      </c>
      <c r="AA66" s="1158"/>
      <c r="AB66" s="943" t="s">
        <v>669</v>
      </c>
      <c r="AC66" s="1158"/>
      <c r="AD66" s="943"/>
      <c r="AE66" s="1180"/>
      <c r="AF66" s="943"/>
      <c r="AG66" s="1180"/>
      <c r="AH66" s="943"/>
      <c r="AI66" s="1180"/>
      <c r="AJ66" s="943"/>
      <c r="AK66" s="1180"/>
      <c r="AO66" s="655"/>
      <c r="AP66" s="655"/>
      <c r="AQ66" s="655"/>
      <c r="AR66" s="655"/>
      <c r="AS66" s="961"/>
      <c r="AT66" s="963"/>
      <c r="AU66" s="961"/>
      <c r="AV66" s="963"/>
      <c r="AW66" s="961"/>
      <c r="AX66" s="963"/>
      <c r="AY66" s="961"/>
      <c r="AZ66" s="963"/>
      <c r="BA66" s="961"/>
      <c r="BB66" s="963"/>
    </row>
    <row r="67" spans="1:54" x14ac:dyDescent="0.35">
      <c r="A67" s="1179"/>
      <c r="B67" s="1260" t="s">
        <v>1242</v>
      </c>
      <c r="C67" s="682"/>
      <c r="D67" s="682">
        <v>0</v>
      </c>
      <c r="E67" s="642" t="s">
        <v>666</v>
      </c>
      <c r="F67" s="1012">
        <v>150</v>
      </c>
      <c r="G67" s="652">
        <f t="shared" si="0"/>
        <v>0</v>
      </c>
      <c r="H67" s="943" t="s">
        <v>669</v>
      </c>
      <c r="I67" s="1158"/>
      <c r="J67" s="943" t="s">
        <v>669</v>
      </c>
      <c r="K67" s="1158"/>
      <c r="L67" s="943" t="s">
        <v>669</v>
      </c>
      <c r="M67" s="1158"/>
      <c r="N67" s="943" t="s">
        <v>669</v>
      </c>
      <c r="O67" s="1158"/>
      <c r="P67" s="943" t="s">
        <v>669</v>
      </c>
      <c r="Q67" s="1158"/>
      <c r="R67" s="943" t="s">
        <v>669</v>
      </c>
      <c r="S67" s="1158"/>
      <c r="T67" s="943" t="s">
        <v>669</v>
      </c>
      <c r="U67" s="1158"/>
      <c r="V67" s="943" t="s">
        <v>669</v>
      </c>
      <c r="W67" s="1158"/>
      <c r="X67" s="943" t="s">
        <v>669</v>
      </c>
      <c r="Y67" s="1158"/>
      <c r="Z67" s="943" t="s">
        <v>669</v>
      </c>
      <c r="AA67" s="1158"/>
      <c r="AB67" s="943" t="s">
        <v>669</v>
      </c>
      <c r="AC67" s="1158"/>
      <c r="AD67" s="943"/>
      <c r="AE67" s="1180"/>
      <c r="AF67" s="943"/>
      <c r="AG67" s="1180"/>
      <c r="AH67" s="943"/>
      <c r="AI67" s="1180"/>
      <c r="AJ67" s="943"/>
      <c r="AK67" s="1180"/>
      <c r="AO67" s="655"/>
      <c r="AP67" s="655"/>
      <c r="AQ67" s="655"/>
      <c r="AR67" s="655"/>
      <c r="AS67" s="964"/>
      <c r="AT67" s="962">
        <f>SUM(AT63:AT65)</f>
        <v>145587</v>
      </c>
      <c r="AU67" s="964"/>
      <c r="AV67" s="962">
        <f>SUM(AV63:AV65)</f>
        <v>24760</v>
      </c>
      <c r="AW67" s="964"/>
      <c r="AX67" s="962">
        <f>SUM(AX63:AX65)</f>
        <v>77675</v>
      </c>
      <c r="AY67" s="964"/>
      <c r="AZ67" s="962">
        <f>SUM(AZ63:AZ65)</f>
        <v>31686.7</v>
      </c>
      <c r="BA67" s="964"/>
      <c r="BB67" s="962">
        <f>SUM(BB63:BB65)</f>
        <v>163340</v>
      </c>
    </row>
    <row r="68" spans="1:54" x14ac:dyDescent="0.35">
      <c r="A68" s="1179"/>
      <c r="B68" s="1260" t="s">
        <v>1243</v>
      </c>
      <c r="C68" s="682"/>
      <c r="D68" s="682">
        <v>0</v>
      </c>
      <c r="E68" s="642" t="s">
        <v>666</v>
      </c>
      <c r="F68" s="1012">
        <v>400</v>
      </c>
      <c r="G68" s="652">
        <f t="shared" si="0"/>
        <v>0</v>
      </c>
      <c r="H68" s="943" t="s">
        <v>669</v>
      </c>
      <c r="I68" s="1158"/>
      <c r="J68" s="943" t="s">
        <v>669</v>
      </c>
      <c r="K68" s="1158"/>
      <c r="L68" s="943" t="s">
        <v>669</v>
      </c>
      <c r="M68" s="1158"/>
      <c r="N68" s="943" t="s">
        <v>669</v>
      </c>
      <c r="O68" s="1158"/>
      <c r="P68" s="943" t="s">
        <v>669</v>
      </c>
      <c r="Q68" s="1158"/>
      <c r="R68" s="943" t="s">
        <v>669</v>
      </c>
      <c r="S68" s="1158"/>
      <c r="T68" s="943" t="s">
        <v>669</v>
      </c>
      <c r="U68" s="1158"/>
      <c r="V68" s="943" t="s">
        <v>669</v>
      </c>
      <c r="W68" s="1158"/>
      <c r="X68" s="943" t="s">
        <v>669</v>
      </c>
      <c r="Y68" s="1158"/>
      <c r="Z68" s="943" t="s">
        <v>669</v>
      </c>
      <c r="AA68" s="1158"/>
      <c r="AB68" s="943" t="s">
        <v>669</v>
      </c>
      <c r="AC68" s="1158"/>
      <c r="AD68" s="943"/>
      <c r="AE68" s="1180"/>
      <c r="AF68" s="943"/>
      <c r="AG68" s="1180"/>
      <c r="AH68" s="943"/>
      <c r="AI68" s="1180"/>
      <c r="AJ68" s="943"/>
      <c r="AK68" s="1180"/>
      <c r="AO68" s="655"/>
      <c r="AP68" s="655"/>
      <c r="AQ68" s="655"/>
      <c r="AR68" s="655"/>
      <c r="AS68" s="965"/>
      <c r="AT68" s="966" t="e">
        <f>AT67/#REF!</f>
        <v>#REF!</v>
      </c>
      <c r="AU68" s="965"/>
      <c r="AV68" s="966" t="e">
        <f>AV67/#REF!</f>
        <v>#REF!</v>
      </c>
      <c r="AW68" s="965"/>
      <c r="AX68" s="966" t="e">
        <f>AX67/#REF!</f>
        <v>#REF!</v>
      </c>
      <c r="AY68" s="965"/>
      <c r="AZ68" s="966" t="e">
        <f>AZ67/#REF!</f>
        <v>#REF!</v>
      </c>
      <c r="BA68" s="965"/>
      <c r="BB68" s="966" t="e">
        <f>BB67/#REF!</f>
        <v>#REF!</v>
      </c>
    </row>
    <row r="69" spans="1:54" x14ac:dyDescent="0.35">
      <c r="A69" s="1179"/>
      <c r="B69" s="1260" t="s">
        <v>1244</v>
      </c>
      <c r="C69" s="682"/>
      <c r="D69" s="682">
        <v>7</v>
      </c>
      <c r="E69" s="642" t="s">
        <v>666</v>
      </c>
      <c r="F69" s="1012">
        <v>400</v>
      </c>
      <c r="G69" s="652">
        <f t="shared" si="0"/>
        <v>2800</v>
      </c>
      <c r="H69" s="943" t="s">
        <v>669</v>
      </c>
      <c r="I69" s="1158"/>
      <c r="J69" s="943" t="s">
        <v>669</v>
      </c>
      <c r="K69" s="1158"/>
      <c r="L69" s="943" t="s">
        <v>669</v>
      </c>
      <c r="M69" s="1158"/>
      <c r="N69" s="943" t="s">
        <v>669</v>
      </c>
      <c r="O69" s="1158"/>
      <c r="P69" s="943" t="s">
        <v>669</v>
      </c>
      <c r="Q69" s="1158"/>
      <c r="R69" s="943" t="s">
        <v>669</v>
      </c>
      <c r="S69" s="1158"/>
      <c r="T69" s="943" t="s">
        <v>669</v>
      </c>
      <c r="U69" s="1158"/>
      <c r="V69" s="943" t="s">
        <v>669</v>
      </c>
      <c r="W69" s="1158"/>
      <c r="X69" s="943" t="s">
        <v>669</v>
      </c>
      <c r="Y69" s="1158"/>
      <c r="Z69" s="943" t="s">
        <v>669</v>
      </c>
      <c r="AA69" s="1158"/>
      <c r="AB69" s="943" t="s">
        <v>669</v>
      </c>
      <c r="AC69" s="1158"/>
      <c r="AD69" s="943"/>
      <c r="AE69" s="1180"/>
      <c r="AF69" s="943"/>
      <c r="AG69" s="1180"/>
      <c r="AH69" s="943"/>
      <c r="AI69" s="1180"/>
      <c r="AJ69" s="943"/>
      <c r="AK69" s="1180"/>
      <c r="AO69" s="655"/>
      <c r="AP69" s="655"/>
      <c r="AQ69" s="655"/>
      <c r="AR69" s="655"/>
      <c r="AS69" s="965"/>
      <c r="AT69" s="966" t="e">
        <f>AT67/#REF!</f>
        <v>#REF!</v>
      </c>
      <c r="AU69" s="965"/>
      <c r="AV69" s="966" t="e">
        <f>AV67/#REF!</f>
        <v>#REF!</v>
      </c>
      <c r="AW69" s="965"/>
      <c r="AX69" s="966" t="e">
        <f>AX67/#REF!</f>
        <v>#REF!</v>
      </c>
      <c r="AY69" s="965"/>
      <c r="AZ69" s="966" t="e">
        <f>AZ67/#REF!</f>
        <v>#REF!</v>
      </c>
      <c r="BA69" s="965"/>
      <c r="BB69" s="966" t="e">
        <f>BB67/#REF!</f>
        <v>#REF!</v>
      </c>
    </row>
    <row r="70" spans="1:54" x14ac:dyDescent="0.35">
      <c r="A70" s="1179"/>
      <c r="B70" s="1257" t="s">
        <v>1245</v>
      </c>
      <c r="C70" s="682"/>
      <c r="D70" s="682"/>
      <c r="E70" s="642"/>
      <c r="F70" s="642"/>
      <c r="G70" s="652"/>
      <c r="H70" s="943" t="s">
        <v>669</v>
      </c>
      <c r="I70" s="1261">
        <f>11550+18975</f>
        <v>30525</v>
      </c>
      <c r="J70" s="943" t="s">
        <v>669</v>
      </c>
      <c r="K70" s="1261"/>
      <c r="L70" s="943" t="s">
        <v>669</v>
      </c>
      <c r="M70" s="1158"/>
      <c r="N70" s="943" t="s">
        <v>669</v>
      </c>
      <c r="O70" s="1158"/>
      <c r="P70" s="943" t="s">
        <v>669</v>
      </c>
      <c r="Q70" s="1158"/>
      <c r="R70" s="943" t="s">
        <v>669</v>
      </c>
      <c r="S70" s="1261">
        <f>19800+3300+15100+21900</f>
        <v>60100</v>
      </c>
      <c r="T70" s="943" t="s">
        <v>669</v>
      </c>
      <c r="U70" s="1261"/>
      <c r="V70" s="943" t="s">
        <v>669</v>
      </c>
      <c r="W70" s="1261">
        <f>25584+26166+2700+6028</f>
        <v>60478</v>
      </c>
      <c r="X70" s="943" t="s">
        <v>669</v>
      </c>
      <c r="Y70" s="1158"/>
      <c r="Z70" s="943" t="s">
        <v>669</v>
      </c>
      <c r="AA70" s="1158"/>
      <c r="AB70" s="943" t="s">
        <v>669</v>
      </c>
      <c r="AC70" s="1158"/>
      <c r="AD70" s="943"/>
      <c r="AE70" s="1180"/>
      <c r="AF70" s="943"/>
      <c r="AG70" s="1180"/>
      <c r="AH70" s="943"/>
      <c r="AI70" s="1180"/>
      <c r="AJ70" s="943"/>
      <c r="AK70" s="1180"/>
      <c r="AO70" s="655"/>
      <c r="AP70" s="655"/>
      <c r="AQ70" s="655"/>
      <c r="AR70" s="655"/>
      <c r="AS70" s="967"/>
      <c r="AT70" s="967"/>
      <c r="AU70" s="967"/>
      <c r="AV70" s="967"/>
      <c r="AW70" s="967"/>
      <c r="AX70" s="967"/>
      <c r="AY70" s="967"/>
      <c r="AZ70" s="967"/>
      <c r="BA70" s="967"/>
      <c r="BB70" s="967"/>
    </row>
    <row r="71" spans="1:54" x14ac:dyDescent="0.35">
      <c r="A71" s="1179"/>
      <c r="B71" s="1260" t="s">
        <v>1233</v>
      </c>
      <c r="C71" s="682"/>
      <c r="D71" s="682">
        <v>22</v>
      </c>
      <c r="E71" s="642" t="s">
        <v>666</v>
      </c>
      <c r="F71" s="1012">
        <v>400</v>
      </c>
      <c r="G71" s="652">
        <f t="shared" si="0"/>
        <v>8800</v>
      </c>
      <c r="H71" s="943" t="s">
        <v>669</v>
      </c>
      <c r="I71" s="1158"/>
      <c r="J71" s="943" t="s">
        <v>669</v>
      </c>
      <c r="K71" s="1158"/>
      <c r="L71" s="943" t="s">
        <v>669</v>
      </c>
      <c r="M71" s="1158"/>
      <c r="N71" s="943" t="s">
        <v>669</v>
      </c>
      <c r="O71" s="1158"/>
      <c r="P71" s="943" t="s">
        <v>669</v>
      </c>
      <c r="Q71" s="1158"/>
      <c r="R71" s="943" t="s">
        <v>669</v>
      </c>
      <c r="S71" s="1158"/>
      <c r="T71" s="943" t="s">
        <v>669</v>
      </c>
      <c r="U71" s="1158"/>
      <c r="V71" s="943" t="s">
        <v>669</v>
      </c>
      <c r="W71" s="1158"/>
      <c r="X71" s="943" t="s">
        <v>669</v>
      </c>
      <c r="Y71" s="1158"/>
      <c r="Z71" s="943" t="s">
        <v>669</v>
      </c>
      <c r="AA71" s="1158"/>
      <c r="AB71" s="943" t="s">
        <v>669</v>
      </c>
      <c r="AC71" s="1158"/>
      <c r="AD71" s="943"/>
      <c r="AE71" s="1180"/>
      <c r="AF71" s="943"/>
      <c r="AG71" s="1180"/>
      <c r="AH71" s="943"/>
      <c r="AI71" s="1180"/>
      <c r="AJ71" s="943"/>
      <c r="AK71" s="1180"/>
      <c r="AO71" s="1"/>
      <c r="AP71" s="1"/>
      <c r="AQ71" s="1"/>
      <c r="AR71" s="1"/>
      <c r="AS71" s="2"/>
      <c r="AT71" s="2"/>
      <c r="AW71" s="2"/>
      <c r="AX71" s="2"/>
      <c r="AY71" s="2"/>
      <c r="AZ71" s="2"/>
    </row>
    <row r="72" spans="1:54" x14ac:dyDescent="0.35">
      <c r="A72" s="1179"/>
      <c r="B72" s="1260" t="s">
        <v>1235</v>
      </c>
      <c r="C72" s="682"/>
      <c r="D72" s="682">
        <v>70</v>
      </c>
      <c r="E72" s="642" t="s">
        <v>666</v>
      </c>
      <c r="F72" s="1012">
        <v>200</v>
      </c>
      <c r="G72" s="652">
        <f t="shared" si="0"/>
        <v>14000</v>
      </c>
      <c r="H72" s="943" t="s">
        <v>669</v>
      </c>
      <c r="I72" s="1158"/>
      <c r="J72" s="943" t="s">
        <v>669</v>
      </c>
      <c r="K72" s="1158"/>
      <c r="L72" s="943" t="s">
        <v>669</v>
      </c>
      <c r="M72" s="1158"/>
      <c r="N72" s="943" t="s">
        <v>669</v>
      </c>
      <c r="O72" s="1158"/>
      <c r="P72" s="943" t="s">
        <v>669</v>
      </c>
      <c r="Q72" s="1158"/>
      <c r="R72" s="943" t="s">
        <v>669</v>
      </c>
      <c r="S72" s="1158"/>
      <c r="T72" s="943" t="s">
        <v>669</v>
      </c>
      <c r="U72" s="1158"/>
      <c r="V72" s="943" t="s">
        <v>669</v>
      </c>
      <c r="W72" s="1158"/>
      <c r="X72" s="943" t="s">
        <v>669</v>
      </c>
      <c r="Y72" s="1158"/>
      <c r="Z72" s="943" t="s">
        <v>669</v>
      </c>
      <c r="AA72" s="1158"/>
      <c r="AB72" s="943" t="s">
        <v>669</v>
      </c>
      <c r="AC72" s="1158"/>
      <c r="AD72" s="943"/>
      <c r="AE72" s="1180"/>
      <c r="AF72" s="943"/>
      <c r="AG72" s="1180"/>
      <c r="AH72" s="943"/>
      <c r="AI72" s="1180"/>
      <c r="AJ72" s="943"/>
      <c r="AK72" s="1180"/>
      <c r="AQ72" s="2"/>
      <c r="AR72" s="2"/>
      <c r="AS72" s="2"/>
      <c r="AT72" s="2"/>
      <c r="AW72" s="2"/>
      <c r="AX72" s="2"/>
      <c r="AY72" s="2"/>
      <c r="AZ72" s="2"/>
    </row>
    <row r="73" spans="1:54" x14ac:dyDescent="0.35">
      <c r="A73" s="1179"/>
      <c r="B73" s="1260" t="s">
        <v>1237</v>
      </c>
      <c r="C73" s="682"/>
      <c r="D73" s="682">
        <v>20</v>
      </c>
      <c r="E73" s="642" t="s">
        <v>666</v>
      </c>
      <c r="F73" s="1012">
        <v>150</v>
      </c>
      <c r="G73" s="652">
        <f t="shared" si="0"/>
        <v>3000</v>
      </c>
      <c r="H73" s="943" t="s">
        <v>669</v>
      </c>
      <c r="I73" s="1158"/>
      <c r="J73" s="943" t="s">
        <v>669</v>
      </c>
      <c r="K73" s="1158"/>
      <c r="L73" s="943" t="s">
        <v>669</v>
      </c>
      <c r="M73" s="1158"/>
      <c r="N73" s="943" t="s">
        <v>669</v>
      </c>
      <c r="O73" s="1158"/>
      <c r="P73" s="943" t="s">
        <v>669</v>
      </c>
      <c r="Q73" s="1158"/>
      <c r="R73" s="943" t="s">
        <v>669</v>
      </c>
      <c r="S73" s="1158"/>
      <c r="T73" s="943" t="s">
        <v>669</v>
      </c>
      <c r="U73" s="1158"/>
      <c r="V73" s="943" t="s">
        <v>669</v>
      </c>
      <c r="W73" s="1158"/>
      <c r="X73" s="943" t="s">
        <v>669</v>
      </c>
      <c r="Y73" s="1158"/>
      <c r="Z73" s="943" t="s">
        <v>669</v>
      </c>
      <c r="AA73" s="1158"/>
      <c r="AB73" s="943" t="s">
        <v>669</v>
      </c>
      <c r="AC73" s="1158"/>
      <c r="AD73" s="943"/>
      <c r="AE73" s="1180"/>
      <c r="AF73" s="943"/>
      <c r="AG73" s="1180"/>
      <c r="AH73" s="943"/>
      <c r="AI73" s="1180"/>
      <c r="AJ73" s="943"/>
      <c r="AK73" s="1180"/>
      <c r="AQ73" s="130"/>
      <c r="AR73" s="130"/>
      <c r="AS73" s="2"/>
      <c r="AT73" s="2"/>
      <c r="AW73" s="2"/>
      <c r="AX73" s="2"/>
      <c r="AY73" s="2"/>
      <c r="AZ73" s="2"/>
    </row>
    <row r="74" spans="1:54" x14ac:dyDescent="0.35">
      <c r="A74" s="1179"/>
      <c r="B74" s="1260" t="s">
        <v>1238</v>
      </c>
      <c r="C74" s="682"/>
      <c r="D74" s="682">
        <v>4</v>
      </c>
      <c r="E74" s="642" t="s">
        <v>666</v>
      </c>
      <c r="F74" s="1012">
        <v>400</v>
      </c>
      <c r="G74" s="652">
        <f t="shared" si="0"/>
        <v>1600</v>
      </c>
      <c r="H74" s="943" t="s">
        <v>669</v>
      </c>
      <c r="I74" s="1158"/>
      <c r="J74" s="943" t="s">
        <v>669</v>
      </c>
      <c r="K74" s="1158"/>
      <c r="L74" s="943" t="s">
        <v>669</v>
      </c>
      <c r="M74" s="1158"/>
      <c r="N74" s="943" t="s">
        <v>669</v>
      </c>
      <c r="O74" s="1158"/>
      <c r="P74" s="943" t="s">
        <v>669</v>
      </c>
      <c r="Q74" s="1158"/>
      <c r="R74" s="943" t="s">
        <v>669</v>
      </c>
      <c r="S74" s="1158"/>
      <c r="T74" s="943" t="s">
        <v>669</v>
      </c>
      <c r="U74" s="1158"/>
      <c r="V74" s="943" t="s">
        <v>669</v>
      </c>
      <c r="W74" s="1158"/>
      <c r="X74" s="943" t="s">
        <v>669</v>
      </c>
      <c r="Y74" s="1158"/>
      <c r="Z74" s="943" t="s">
        <v>669</v>
      </c>
      <c r="AA74" s="1158"/>
      <c r="AB74" s="943" t="s">
        <v>669</v>
      </c>
      <c r="AC74" s="1158"/>
      <c r="AD74" s="943"/>
      <c r="AE74" s="1180"/>
      <c r="AF74" s="943"/>
      <c r="AG74" s="1180"/>
      <c r="AH74" s="943"/>
      <c r="AI74" s="1180"/>
      <c r="AJ74" s="943"/>
      <c r="AK74" s="1180"/>
      <c r="AQ74" s="130"/>
      <c r="AR74" s="130"/>
      <c r="AS74" s="2"/>
      <c r="AT74" s="2"/>
      <c r="AW74" s="2"/>
      <c r="AX74" s="2"/>
      <c r="AY74" s="2"/>
      <c r="AZ74" s="2"/>
    </row>
    <row r="75" spans="1:54" x14ac:dyDescent="0.35">
      <c r="A75" s="1179"/>
      <c r="B75" s="1260" t="s">
        <v>1239</v>
      </c>
      <c r="C75" s="682"/>
      <c r="D75" s="682">
        <v>10</v>
      </c>
      <c r="E75" s="642" t="s">
        <v>666</v>
      </c>
      <c r="F75" s="1012">
        <v>400</v>
      </c>
      <c r="G75" s="652">
        <f t="shared" si="0"/>
        <v>4000</v>
      </c>
      <c r="H75" s="943" t="s">
        <v>669</v>
      </c>
      <c r="I75" s="1158"/>
      <c r="J75" s="943" t="s">
        <v>669</v>
      </c>
      <c r="K75" s="1158"/>
      <c r="L75" s="943" t="s">
        <v>669</v>
      </c>
      <c r="M75" s="1158"/>
      <c r="N75" s="943" t="s">
        <v>669</v>
      </c>
      <c r="O75" s="1158"/>
      <c r="P75" s="943" t="s">
        <v>669</v>
      </c>
      <c r="Q75" s="1158"/>
      <c r="R75" s="943" t="s">
        <v>669</v>
      </c>
      <c r="S75" s="1158"/>
      <c r="T75" s="943" t="s">
        <v>669</v>
      </c>
      <c r="U75" s="1158"/>
      <c r="V75" s="943" t="s">
        <v>669</v>
      </c>
      <c r="W75" s="1158"/>
      <c r="X75" s="943" t="s">
        <v>669</v>
      </c>
      <c r="Y75" s="1158"/>
      <c r="Z75" s="943" t="s">
        <v>669</v>
      </c>
      <c r="AA75" s="1158"/>
      <c r="AB75" s="943" t="s">
        <v>669</v>
      </c>
      <c r="AC75" s="1158"/>
      <c r="AD75" s="943"/>
      <c r="AE75" s="1180"/>
      <c r="AF75" s="943"/>
      <c r="AG75" s="1180"/>
      <c r="AH75" s="943"/>
      <c r="AI75" s="1180"/>
      <c r="AJ75" s="943"/>
      <c r="AK75" s="1180"/>
      <c r="AQ75" s="531"/>
      <c r="AR75" s="531"/>
      <c r="AS75" s="2"/>
      <c r="AT75" s="2"/>
      <c r="AW75" s="2"/>
      <c r="AX75" s="2"/>
      <c r="AY75" s="2"/>
      <c r="AZ75" s="2"/>
    </row>
    <row r="76" spans="1:54" x14ac:dyDescent="0.35">
      <c r="A76" s="1179"/>
      <c r="B76" s="1257" t="s">
        <v>80</v>
      </c>
      <c r="C76" s="682"/>
      <c r="D76" s="682"/>
      <c r="E76" s="642"/>
      <c r="F76" s="642"/>
      <c r="G76" s="652"/>
      <c r="H76" s="943" t="s">
        <v>669</v>
      </c>
      <c r="I76" s="1261">
        <f>8280+18975</f>
        <v>27255</v>
      </c>
      <c r="J76" s="943" t="s">
        <v>669</v>
      </c>
      <c r="K76" s="1261"/>
      <c r="L76" s="943" t="s">
        <v>669</v>
      </c>
      <c r="M76" s="1261"/>
      <c r="N76" s="943" t="s">
        <v>669</v>
      </c>
      <c r="O76" s="1261"/>
      <c r="P76" s="943" t="s">
        <v>669</v>
      </c>
      <c r="Q76" s="1261">
        <f>16800+27500</f>
        <v>44300</v>
      </c>
      <c r="R76" s="943" t="s">
        <v>669</v>
      </c>
      <c r="S76" s="1261">
        <f>15200+25000</f>
        <v>40200</v>
      </c>
      <c r="T76" s="943" t="s">
        <v>669</v>
      </c>
      <c r="U76" s="1261"/>
      <c r="V76" s="943" t="s">
        <v>669</v>
      </c>
      <c r="W76" s="1261">
        <f>30438+18560</f>
        <v>48998</v>
      </c>
      <c r="X76" s="943" t="s">
        <v>669</v>
      </c>
      <c r="Y76" s="1158"/>
      <c r="Z76" s="943" t="s">
        <v>669</v>
      </c>
      <c r="AA76" s="1158"/>
      <c r="AB76" s="943" t="s">
        <v>669</v>
      </c>
      <c r="AC76" s="1158"/>
      <c r="AD76" s="943"/>
      <c r="AE76" s="1180"/>
      <c r="AF76" s="943"/>
      <c r="AG76" s="1180"/>
      <c r="AH76" s="943"/>
      <c r="AI76" s="1180"/>
      <c r="AJ76" s="943"/>
      <c r="AK76" s="1180"/>
      <c r="AQ76" s="532"/>
      <c r="AR76" s="532"/>
      <c r="AS76" s="2"/>
      <c r="AT76" s="2"/>
      <c r="AW76" s="2"/>
      <c r="AX76" s="2"/>
      <c r="AY76" s="2"/>
      <c r="AZ76" s="2"/>
    </row>
    <row r="77" spans="1:54" x14ac:dyDescent="0.35">
      <c r="A77" s="1179"/>
      <c r="B77" s="1260" t="s">
        <v>1246</v>
      </c>
      <c r="C77" s="682"/>
      <c r="D77" s="682">
        <v>111</v>
      </c>
      <c r="E77" s="642" t="s">
        <v>666</v>
      </c>
      <c r="F77" s="1012">
        <v>200</v>
      </c>
      <c r="G77" s="652">
        <f t="shared" si="0"/>
        <v>22200</v>
      </c>
      <c r="H77" s="943" t="s">
        <v>669</v>
      </c>
      <c r="I77" s="1158"/>
      <c r="J77" s="943" t="s">
        <v>669</v>
      </c>
      <c r="K77" s="1158"/>
      <c r="L77" s="943" t="s">
        <v>669</v>
      </c>
      <c r="M77" s="1158"/>
      <c r="N77" s="943" t="s">
        <v>669</v>
      </c>
      <c r="O77" s="1158"/>
      <c r="P77" s="943" t="s">
        <v>669</v>
      </c>
      <c r="Q77" s="1158"/>
      <c r="R77" s="943" t="s">
        <v>669</v>
      </c>
      <c r="S77" s="1158"/>
      <c r="T77" s="943" t="s">
        <v>669</v>
      </c>
      <c r="U77" s="1158"/>
      <c r="V77" s="943" t="s">
        <v>669</v>
      </c>
      <c r="W77" s="1158"/>
      <c r="X77" s="943" t="s">
        <v>669</v>
      </c>
      <c r="Y77" s="1158"/>
      <c r="Z77" s="943" t="s">
        <v>669</v>
      </c>
      <c r="AA77" s="1158"/>
      <c r="AB77" s="943" t="s">
        <v>669</v>
      </c>
      <c r="AC77" s="1158"/>
      <c r="AD77" s="943"/>
      <c r="AE77" s="1180"/>
      <c r="AF77" s="943"/>
      <c r="AG77" s="1180"/>
      <c r="AH77" s="943"/>
      <c r="AI77" s="1180"/>
      <c r="AJ77" s="943"/>
      <c r="AK77" s="1180"/>
      <c r="AQ77" s="533"/>
      <c r="AR77" s="533"/>
      <c r="AS77" s="2"/>
      <c r="AT77" s="2"/>
      <c r="AW77" s="2"/>
      <c r="AX77" s="2"/>
      <c r="AY77" s="2"/>
      <c r="AZ77" s="2"/>
    </row>
    <row r="78" spans="1:54" x14ac:dyDescent="0.35">
      <c r="A78" s="1179"/>
      <c r="B78" s="1260" t="s">
        <v>1247</v>
      </c>
      <c r="C78" s="682"/>
      <c r="D78" s="682">
        <v>5</v>
      </c>
      <c r="E78" s="642" t="s">
        <v>666</v>
      </c>
      <c r="F78" s="642"/>
      <c r="G78" s="652">
        <f t="shared" si="0"/>
        <v>0</v>
      </c>
      <c r="H78" s="943" t="s">
        <v>669</v>
      </c>
      <c r="I78" s="1158"/>
      <c r="J78" s="943" t="s">
        <v>669</v>
      </c>
      <c r="K78" s="1158"/>
      <c r="L78" s="943" t="s">
        <v>669</v>
      </c>
      <c r="M78" s="1158"/>
      <c r="N78" s="943" t="s">
        <v>669</v>
      </c>
      <c r="O78" s="1158"/>
      <c r="P78" s="943" t="s">
        <v>669</v>
      </c>
      <c r="Q78" s="1158"/>
      <c r="R78" s="943" t="s">
        <v>669</v>
      </c>
      <c r="S78" s="1158"/>
      <c r="T78" s="943" t="s">
        <v>669</v>
      </c>
      <c r="U78" s="1158"/>
      <c r="V78" s="943" t="s">
        <v>669</v>
      </c>
      <c r="W78" s="1158"/>
      <c r="X78" s="943" t="s">
        <v>669</v>
      </c>
      <c r="Y78" s="1158"/>
      <c r="Z78" s="943" t="s">
        <v>669</v>
      </c>
      <c r="AA78" s="1158"/>
      <c r="AB78" s="943" t="s">
        <v>669</v>
      </c>
      <c r="AC78" s="1158"/>
      <c r="AD78" s="943"/>
      <c r="AE78" s="1180"/>
      <c r="AF78" s="943"/>
      <c r="AG78" s="1180"/>
      <c r="AH78" s="943"/>
      <c r="AI78" s="1180"/>
      <c r="AJ78" s="943"/>
      <c r="AK78" s="1180"/>
      <c r="AQ78" s="1"/>
      <c r="AR78" s="1"/>
      <c r="AS78" s="2"/>
      <c r="AT78" s="2"/>
      <c r="AW78" s="2"/>
      <c r="AX78" s="2"/>
      <c r="AY78" s="2"/>
      <c r="AZ78" s="2"/>
    </row>
    <row r="79" spans="1:54" x14ac:dyDescent="0.35">
      <c r="A79" s="1179"/>
      <c r="B79" s="1257" t="s">
        <v>796</v>
      </c>
      <c r="C79" s="682"/>
      <c r="D79" s="682"/>
      <c r="E79" s="642"/>
      <c r="F79" s="642"/>
      <c r="G79" s="652"/>
      <c r="H79" s="943" t="s">
        <v>669</v>
      </c>
      <c r="I79" s="1261">
        <f>3600+8250</f>
        <v>11850</v>
      </c>
      <c r="J79" s="943" t="s">
        <v>669</v>
      </c>
      <c r="K79" s="1261"/>
      <c r="L79" s="943" t="s">
        <v>669</v>
      </c>
      <c r="M79" s="1261"/>
      <c r="N79" s="943" t="s">
        <v>669</v>
      </c>
      <c r="O79" s="1261"/>
      <c r="P79" s="943" t="s">
        <v>669</v>
      </c>
      <c r="Q79" s="1261">
        <f>9500+14500</f>
        <v>24000</v>
      </c>
      <c r="R79" s="943" t="s">
        <v>669</v>
      </c>
      <c r="S79" s="1261">
        <f>8500+12950</f>
        <v>21450</v>
      </c>
      <c r="T79" s="943" t="s">
        <v>669</v>
      </c>
      <c r="U79" s="1261"/>
      <c r="V79" s="943" t="s">
        <v>669</v>
      </c>
      <c r="W79" s="1261">
        <f>8544+9280</f>
        <v>17824</v>
      </c>
      <c r="X79" s="943" t="s">
        <v>669</v>
      </c>
      <c r="Y79" s="1158"/>
      <c r="Z79" s="943" t="s">
        <v>669</v>
      </c>
      <c r="AA79" s="1158"/>
      <c r="AB79" s="943" t="s">
        <v>669</v>
      </c>
      <c r="AC79" s="1158"/>
      <c r="AD79" s="943"/>
      <c r="AE79" s="1180"/>
      <c r="AF79" s="943"/>
      <c r="AG79" s="1180"/>
      <c r="AH79" s="943"/>
      <c r="AI79" s="1180"/>
      <c r="AJ79" s="943"/>
      <c r="AK79" s="1180"/>
      <c r="AQ79" s="1"/>
      <c r="AR79" s="1"/>
      <c r="AS79" s="2"/>
      <c r="AT79" s="2"/>
      <c r="AW79" s="2"/>
      <c r="AX79" s="2"/>
      <c r="AY79" s="2"/>
      <c r="AZ79" s="2"/>
    </row>
    <row r="80" spans="1:54" x14ac:dyDescent="0.35">
      <c r="A80" s="1179"/>
      <c r="B80" s="1260" t="s">
        <v>1153</v>
      </c>
      <c r="C80" s="682"/>
      <c r="D80" s="682">
        <v>58</v>
      </c>
      <c r="E80" s="642" t="s">
        <v>666</v>
      </c>
      <c r="F80" s="1012">
        <v>200</v>
      </c>
      <c r="G80" s="652">
        <f t="shared" si="0"/>
        <v>11600</v>
      </c>
      <c r="H80" s="943" t="s">
        <v>669</v>
      </c>
      <c r="I80" s="1158"/>
      <c r="J80" s="943" t="s">
        <v>669</v>
      </c>
      <c r="K80" s="1158"/>
      <c r="L80" s="943" t="s">
        <v>669</v>
      </c>
      <c r="M80" s="1158"/>
      <c r="N80" s="943" t="s">
        <v>669</v>
      </c>
      <c r="O80" s="1158"/>
      <c r="P80" s="943" t="s">
        <v>669</v>
      </c>
      <c r="Q80" s="1158"/>
      <c r="R80" s="943" t="s">
        <v>669</v>
      </c>
      <c r="S80" s="1158"/>
      <c r="T80" s="943" t="s">
        <v>669</v>
      </c>
      <c r="U80" s="1158"/>
      <c r="V80" s="943" t="s">
        <v>669</v>
      </c>
      <c r="W80" s="1158"/>
      <c r="X80" s="943" t="s">
        <v>669</v>
      </c>
      <c r="Y80" s="1158"/>
      <c r="Z80" s="943" t="s">
        <v>669</v>
      </c>
      <c r="AA80" s="1158"/>
      <c r="AB80" s="943" t="s">
        <v>669</v>
      </c>
      <c r="AC80" s="1158"/>
      <c r="AD80" s="943"/>
      <c r="AE80" s="1180"/>
      <c r="AF80" s="943"/>
      <c r="AG80" s="1180"/>
      <c r="AH80" s="943"/>
      <c r="AI80" s="1180"/>
      <c r="AJ80" s="943"/>
      <c r="AK80" s="1180"/>
      <c r="AQ80" s="1"/>
      <c r="AR80" s="1"/>
      <c r="AS80" s="2"/>
      <c r="AT80" s="2"/>
      <c r="AW80" s="2"/>
      <c r="AX80" s="2"/>
      <c r="AY80" s="2"/>
      <c r="AZ80" s="2"/>
    </row>
    <row r="81" spans="1:37" x14ac:dyDescent="0.35">
      <c r="A81" s="1179"/>
      <c r="B81" s="1260" t="s">
        <v>1154</v>
      </c>
      <c r="C81" s="682"/>
      <c r="D81" s="682">
        <v>8</v>
      </c>
      <c r="E81" s="642" t="s">
        <v>666</v>
      </c>
      <c r="F81" s="1012">
        <v>400</v>
      </c>
      <c r="G81" s="652">
        <f t="shared" si="0"/>
        <v>3200</v>
      </c>
      <c r="H81" s="943" t="s">
        <v>669</v>
      </c>
      <c r="I81" s="1158"/>
      <c r="J81" s="943" t="s">
        <v>669</v>
      </c>
      <c r="K81" s="1158"/>
      <c r="L81" s="943" t="s">
        <v>669</v>
      </c>
      <c r="M81" s="1158"/>
      <c r="N81" s="943" t="s">
        <v>669</v>
      </c>
      <c r="O81" s="1158"/>
      <c r="P81" s="943" t="s">
        <v>669</v>
      </c>
      <c r="Q81" s="1158"/>
      <c r="R81" s="943" t="s">
        <v>669</v>
      </c>
      <c r="S81" s="1158"/>
      <c r="T81" s="943" t="s">
        <v>669</v>
      </c>
      <c r="U81" s="1158"/>
      <c r="V81" s="943" t="s">
        <v>669</v>
      </c>
      <c r="W81" s="1158"/>
      <c r="X81" s="943" t="s">
        <v>669</v>
      </c>
      <c r="Y81" s="1158"/>
      <c r="Z81" s="943" t="s">
        <v>669</v>
      </c>
      <c r="AA81" s="1158"/>
      <c r="AB81" s="943" t="s">
        <v>669</v>
      </c>
      <c r="AC81" s="1158"/>
      <c r="AD81" s="943"/>
      <c r="AE81" s="1180"/>
      <c r="AF81" s="943"/>
      <c r="AG81" s="1180"/>
      <c r="AH81" s="943"/>
      <c r="AI81" s="1180"/>
      <c r="AJ81" s="943"/>
      <c r="AK81" s="1180"/>
    </row>
    <row r="82" spans="1:37" x14ac:dyDescent="0.35">
      <c r="A82" s="1179"/>
      <c r="B82" s="1260"/>
      <c r="C82" s="693"/>
      <c r="D82" s="682"/>
      <c r="E82" s="642"/>
      <c r="F82" s="642"/>
      <c r="G82" s="652"/>
      <c r="H82" s="943" t="s">
        <v>669</v>
      </c>
      <c r="I82" s="1158"/>
      <c r="J82" s="943" t="s">
        <v>669</v>
      </c>
      <c r="K82" s="1158"/>
      <c r="L82" s="943" t="s">
        <v>669</v>
      </c>
      <c r="M82" s="1158"/>
      <c r="N82" s="943" t="s">
        <v>669</v>
      </c>
      <c r="O82" s="1158"/>
      <c r="P82" s="943" t="s">
        <v>669</v>
      </c>
      <c r="Q82" s="1158"/>
      <c r="R82" s="943" t="s">
        <v>669</v>
      </c>
      <c r="S82" s="1158"/>
      <c r="T82" s="943" t="s">
        <v>669</v>
      </c>
      <c r="U82" s="1158"/>
      <c r="V82" s="943" t="s">
        <v>669</v>
      </c>
      <c r="W82" s="1158"/>
      <c r="X82" s="943" t="s">
        <v>669</v>
      </c>
      <c r="Y82" s="1158"/>
      <c r="Z82" s="943" t="s">
        <v>669</v>
      </c>
      <c r="AA82" s="1158"/>
      <c r="AB82" s="943" t="s">
        <v>669</v>
      </c>
      <c r="AC82" s="1158"/>
      <c r="AD82" s="943"/>
      <c r="AE82" s="1180"/>
      <c r="AF82" s="943"/>
      <c r="AG82" s="1180"/>
      <c r="AH82" s="943"/>
      <c r="AI82" s="1180"/>
      <c r="AJ82" s="943"/>
      <c r="AK82" s="1180"/>
    </row>
    <row r="83" spans="1:37" x14ac:dyDescent="0.35">
      <c r="A83" s="1179"/>
      <c r="B83" s="1257" t="s">
        <v>1155</v>
      </c>
      <c r="C83" s="682"/>
      <c r="D83" s="682"/>
      <c r="E83" s="642"/>
      <c r="F83" s="642"/>
      <c r="G83" s="652"/>
      <c r="H83" s="943" t="s">
        <v>669</v>
      </c>
      <c r="I83" s="1261">
        <v>45025</v>
      </c>
      <c r="J83" s="943" t="s">
        <v>669</v>
      </c>
      <c r="K83" s="1261"/>
      <c r="L83" s="943" t="s">
        <v>669</v>
      </c>
      <c r="M83" s="1261"/>
      <c r="N83" s="943" t="s">
        <v>669</v>
      </c>
      <c r="O83" s="1261"/>
      <c r="P83" s="943" t="s">
        <v>669</v>
      </c>
      <c r="Q83" s="1261">
        <f>12200+11300+11300</f>
        <v>34800</v>
      </c>
      <c r="R83" s="943" t="s">
        <v>669</v>
      </c>
      <c r="S83" s="1261">
        <v>10900</v>
      </c>
      <c r="T83" s="943" t="s">
        <v>669</v>
      </c>
      <c r="U83" s="1261"/>
      <c r="V83" s="943" t="s">
        <v>669</v>
      </c>
      <c r="W83" s="1261">
        <f>67818</f>
        <v>67818</v>
      </c>
      <c r="X83" s="943" t="s">
        <v>669</v>
      </c>
      <c r="Y83" s="1158"/>
      <c r="Z83" s="943" t="s">
        <v>669</v>
      </c>
      <c r="AA83" s="1158"/>
      <c r="AB83" s="943" t="s">
        <v>669</v>
      </c>
      <c r="AC83" s="1158"/>
      <c r="AD83" s="943"/>
      <c r="AE83" s="1180"/>
      <c r="AF83" s="943"/>
      <c r="AG83" s="1180"/>
      <c r="AH83" s="943"/>
      <c r="AI83" s="1180"/>
      <c r="AJ83" s="943"/>
      <c r="AK83" s="1180"/>
    </row>
    <row r="84" spans="1:37" x14ac:dyDescent="0.35">
      <c r="A84" s="1179"/>
      <c r="B84" s="1260" t="s">
        <v>1156</v>
      </c>
      <c r="C84" s="682"/>
      <c r="D84" s="682">
        <v>86</v>
      </c>
      <c r="E84" s="642" t="s">
        <v>666</v>
      </c>
      <c r="F84" s="1012">
        <v>200</v>
      </c>
      <c r="G84" s="652">
        <f t="shared" ref="G84" si="1">F84*D84</f>
        <v>17200</v>
      </c>
      <c r="H84" s="943" t="s">
        <v>669</v>
      </c>
      <c r="I84" s="1273"/>
      <c r="J84" s="943" t="s">
        <v>669</v>
      </c>
      <c r="K84" s="1273"/>
      <c r="L84" s="943" t="s">
        <v>669</v>
      </c>
      <c r="M84" s="1158"/>
      <c r="N84" s="943" t="s">
        <v>669</v>
      </c>
      <c r="O84" s="1158"/>
      <c r="P84" s="943" t="s">
        <v>669</v>
      </c>
      <c r="Q84" s="1158"/>
      <c r="R84" s="943" t="s">
        <v>669</v>
      </c>
      <c r="S84" s="1158"/>
      <c r="T84" s="943" t="s">
        <v>669</v>
      </c>
      <c r="U84" s="1158"/>
      <c r="V84" s="943" t="s">
        <v>669</v>
      </c>
      <c r="W84" s="1158"/>
      <c r="X84" s="943" t="s">
        <v>669</v>
      </c>
      <c r="Y84" s="1158"/>
      <c r="Z84" s="943" t="s">
        <v>669</v>
      </c>
      <c r="AA84" s="1158"/>
      <c r="AB84" s="943" t="s">
        <v>669</v>
      </c>
      <c r="AC84" s="1158"/>
      <c r="AD84" s="943"/>
      <c r="AE84" s="1180"/>
      <c r="AF84" s="943"/>
      <c r="AG84" s="1180"/>
      <c r="AH84" s="943"/>
      <c r="AI84" s="1180"/>
      <c r="AJ84" s="943"/>
      <c r="AK84" s="1180"/>
    </row>
    <row r="85" spans="1:37" x14ac:dyDescent="0.35">
      <c r="A85" s="1179"/>
      <c r="B85" s="1257" t="s">
        <v>1157</v>
      </c>
      <c r="C85" s="682"/>
      <c r="D85" s="682"/>
      <c r="E85" s="642"/>
      <c r="F85" s="1012"/>
      <c r="G85" s="652"/>
      <c r="H85" s="943" t="s">
        <v>669</v>
      </c>
      <c r="I85" s="1158"/>
      <c r="J85" s="943" t="s">
        <v>669</v>
      </c>
      <c r="K85" s="1158"/>
      <c r="L85" s="943" t="s">
        <v>669</v>
      </c>
      <c r="M85" s="1158"/>
      <c r="N85" s="943" t="s">
        <v>669</v>
      </c>
      <c r="O85" s="1158"/>
      <c r="P85" s="943" t="s">
        <v>669</v>
      </c>
      <c r="Q85" s="1158"/>
      <c r="R85" s="943" t="s">
        <v>669</v>
      </c>
      <c r="S85" s="1261">
        <v>10000</v>
      </c>
      <c r="T85" s="943" t="s">
        <v>669</v>
      </c>
      <c r="U85" s="1261"/>
      <c r="V85" s="943" t="s">
        <v>669</v>
      </c>
      <c r="W85" s="1158"/>
      <c r="X85" s="943" t="s">
        <v>669</v>
      </c>
      <c r="Y85" s="1158"/>
      <c r="Z85" s="943" t="s">
        <v>669</v>
      </c>
      <c r="AA85" s="1158"/>
      <c r="AB85" s="943" t="s">
        <v>669</v>
      </c>
      <c r="AC85" s="1158"/>
      <c r="AD85" s="943"/>
      <c r="AE85" s="1180"/>
      <c r="AF85" s="943"/>
      <c r="AG85" s="1180"/>
      <c r="AH85" s="943"/>
      <c r="AI85" s="1180"/>
      <c r="AJ85" s="943"/>
      <c r="AK85" s="1180"/>
    </row>
    <row r="86" spans="1:37" x14ac:dyDescent="0.35">
      <c r="A86" s="1179"/>
      <c r="B86" s="1260" t="s">
        <v>1156</v>
      </c>
      <c r="C86" s="682"/>
      <c r="D86" s="682">
        <v>86</v>
      </c>
      <c r="E86" s="642" t="s">
        <v>666</v>
      </c>
      <c r="F86" s="1012">
        <v>200</v>
      </c>
      <c r="G86" s="652">
        <f t="shared" ref="G86" si="2">F86*D86</f>
        <v>17200</v>
      </c>
      <c r="H86" s="943" t="s">
        <v>669</v>
      </c>
      <c r="I86" s="1158"/>
      <c r="J86" s="943" t="s">
        <v>669</v>
      </c>
      <c r="K86" s="1158"/>
      <c r="L86" s="943" t="s">
        <v>669</v>
      </c>
      <c r="M86" s="1158"/>
      <c r="N86" s="943" t="s">
        <v>669</v>
      </c>
      <c r="O86" s="1158"/>
      <c r="P86" s="943" t="s">
        <v>669</v>
      </c>
      <c r="Q86" s="1158"/>
      <c r="R86" s="943" t="s">
        <v>669</v>
      </c>
      <c r="S86" s="1158"/>
      <c r="T86" s="943" t="s">
        <v>669</v>
      </c>
      <c r="U86" s="1158"/>
      <c r="V86" s="943" t="s">
        <v>669</v>
      </c>
      <c r="W86" s="1158"/>
      <c r="X86" s="943" t="s">
        <v>669</v>
      </c>
      <c r="Y86" s="1158"/>
      <c r="Z86" s="943" t="s">
        <v>669</v>
      </c>
      <c r="AA86" s="1158"/>
      <c r="AB86" s="943" t="s">
        <v>669</v>
      </c>
      <c r="AC86" s="1158"/>
      <c r="AD86" s="943"/>
      <c r="AE86" s="1180"/>
      <c r="AF86" s="943"/>
      <c r="AG86" s="1180"/>
      <c r="AH86" s="943"/>
      <c r="AI86" s="1180"/>
      <c r="AJ86" s="943"/>
      <c r="AK86" s="1180"/>
    </row>
    <row r="87" spans="1:37" x14ac:dyDescent="0.35">
      <c r="A87" s="1179"/>
      <c r="B87" s="1257" t="s">
        <v>1158</v>
      </c>
      <c r="C87" s="682"/>
      <c r="D87" s="682"/>
      <c r="E87" s="642"/>
      <c r="F87" s="1012"/>
      <c r="G87" s="652"/>
      <c r="H87" s="943" t="s">
        <v>669</v>
      </c>
      <c r="I87" s="1158"/>
      <c r="J87" s="943" t="s">
        <v>669</v>
      </c>
      <c r="K87" s="1158"/>
      <c r="L87" s="943" t="s">
        <v>669</v>
      </c>
      <c r="M87" s="1158"/>
      <c r="N87" s="943" t="s">
        <v>669</v>
      </c>
      <c r="O87" s="1158"/>
      <c r="P87" s="943" t="s">
        <v>669</v>
      </c>
      <c r="Q87" s="1158"/>
      <c r="R87" s="943" t="s">
        <v>669</v>
      </c>
      <c r="S87" s="1261">
        <v>10000</v>
      </c>
      <c r="T87" s="943" t="s">
        <v>669</v>
      </c>
      <c r="U87" s="1261"/>
      <c r="V87" s="943" t="s">
        <v>669</v>
      </c>
      <c r="W87" s="1158"/>
      <c r="X87" s="943" t="s">
        <v>669</v>
      </c>
      <c r="Y87" s="1158"/>
      <c r="Z87" s="943" t="s">
        <v>669</v>
      </c>
      <c r="AA87" s="1158"/>
      <c r="AB87" s="943" t="s">
        <v>669</v>
      </c>
      <c r="AC87" s="1158"/>
      <c r="AD87" s="943"/>
      <c r="AE87" s="1180"/>
      <c r="AF87" s="943"/>
      <c r="AG87" s="1180"/>
      <c r="AH87" s="943"/>
      <c r="AI87" s="1180"/>
      <c r="AJ87" s="943"/>
      <c r="AK87" s="1180"/>
    </row>
    <row r="88" spans="1:37" x14ac:dyDescent="0.35">
      <c r="A88" s="1179"/>
      <c r="B88" s="1260" t="s">
        <v>1156</v>
      </c>
      <c r="C88" s="682"/>
      <c r="D88" s="682">
        <v>86</v>
      </c>
      <c r="E88" s="642" t="s">
        <v>666</v>
      </c>
      <c r="F88" s="1012">
        <v>200</v>
      </c>
      <c r="G88" s="652">
        <f t="shared" ref="G88" si="3">F88*D88</f>
        <v>17200</v>
      </c>
      <c r="H88" s="943" t="s">
        <v>669</v>
      </c>
      <c r="I88" s="1158"/>
      <c r="J88" s="943" t="s">
        <v>669</v>
      </c>
      <c r="K88" s="1158"/>
      <c r="L88" s="943" t="s">
        <v>669</v>
      </c>
      <c r="M88" s="1158"/>
      <c r="N88" s="943" t="s">
        <v>669</v>
      </c>
      <c r="O88" s="1158"/>
      <c r="P88" s="943" t="s">
        <v>669</v>
      </c>
      <c r="Q88" s="1158"/>
      <c r="R88" s="943" t="s">
        <v>669</v>
      </c>
      <c r="S88" s="1158"/>
      <c r="T88" s="943" t="s">
        <v>669</v>
      </c>
      <c r="U88" s="1158"/>
      <c r="V88" s="943" t="s">
        <v>669</v>
      </c>
      <c r="W88" s="1261"/>
      <c r="X88" s="943" t="s">
        <v>669</v>
      </c>
      <c r="Y88" s="1158"/>
      <c r="Z88" s="943" t="s">
        <v>669</v>
      </c>
      <c r="AA88" s="1158"/>
      <c r="AB88" s="943" t="s">
        <v>669</v>
      </c>
      <c r="AC88" s="1158"/>
      <c r="AD88" s="943"/>
      <c r="AE88" s="1180"/>
      <c r="AF88" s="943"/>
      <c r="AG88" s="1180"/>
      <c r="AH88" s="943"/>
      <c r="AI88" s="1180"/>
      <c r="AJ88" s="943"/>
      <c r="AK88" s="1180"/>
    </row>
    <row r="89" spans="1:37" x14ac:dyDescent="0.35">
      <c r="A89" s="1179"/>
      <c r="B89" s="1257"/>
      <c r="C89" s="682"/>
      <c r="D89" s="682"/>
      <c r="E89" s="642"/>
      <c r="F89" s="642"/>
      <c r="G89" s="652"/>
      <c r="H89" s="943" t="s">
        <v>669</v>
      </c>
      <c r="I89" s="1158"/>
      <c r="J89" s="943" t="s">
        <v>669</v>
      </c>
      <c r="K89" s="1158"/>
      <c r="L89" s="943" t="s">
        <v>669</v>
      </c>
      <c r="M89" s="1158"/>
      <c r="N89" s="943" t="s">
        <v>669</v>
      </c>
      <c r="O89" s="1158"/>
      <c r="P89" s="943" t="s">
        <v>669</v>
      </c>
      <c r="Q89" s="1158"/>
      <c r="R89" s="943" t="s">
        <v>669</v>
      </c>
      <c r="S89" s="1158"/>
      <c r="T89" s="943" t="s">
        <v>669</v>
      </c>
      <c r="U89" s="1158"/>
      <c r="V89" s="943" t="s">
        <v>669</v>
      </c>
      <c r="W89" s="1158"/>
      <c r="X89" s="943" t="s">
        <v>669</v>
      </c>
      <c r="Y89" s="1158"/>
      <c r="Z89" s="943" t="s">
        <v>669</v>
      </c>
      <c r="AA89" s="1158"/>
      <c r="AB89" s="943" t="s">
        <v>669</v>
      </c>
      <c r="AC89" s="1158"/>
      <c r="AD89" s="943"/>
      <c r="AE89" s="1180"/>
      <c r="AF89" s="943"/>
      <c r="AG89" s="1180"/>
      <c r="AH89" s="943"/>
      <c r="AI89" s="1180"/>
      <c r="AJ89" s="943"/>
      <c r="AK89" s="1180"/>
    </row>
    <row r="90" spans="1:37" x14ac:dyDescent="0.35">
      <c r="A90" s="1179"/>
      <c r="B90" s="1257" t="s">
        <v>795</v>
      </c>
      <c r="C90" s="682"/>
      <c r="D90" s="682"/>
      <c r="E90" s="642"/>
      <c r="F90" s="642"/>
      <c r="G90" s="652"/>
      <c r="H90" s="943" t="s">
        <v>669</v>
      </c>
      <c r="I90" s="1261">
        <v>7590</v>
      </c>
      <c r="J90" s="943" t="s">
        <v>669</v>
      </c>
      <c r="K90" s="1261"/>
      <c r="L90" s="943" t="s">
        <v>669</v>
      </c>
      <c r="M90" s="1261"/>
      <c r="N90" s="943" t="s">
        <v>669</v>
      </c>
      <c r="O90" s="1261"/>
      <c r="P90" s="943" t="s">
        <v>669</v>
      </c>
      <c r="Q90" s="1261">
        <f>5800</f>
        <v>5800</v>
      </c>
      <c r="R90" s="943" t="s">
        <v>669</v>
      </c>
      <c r="S90" s="1261"/>
      <c r="T90" s="943" t="s">
        <v>669</v>
      </c>
      <c r="U90" s="1261"/>
      <c r="V90" s="943" t="s">
        <v>669</v>
      </c>
      <c r="W90" s="1261">
        <f>10947</f>
        <v>10947</v>
      </c>
      <c r="X90" s="943" t="s">
        <v>669</v>
      </c>
      <c r="Y90" s="1158"/>
      <c r="Z90" s="943" t="s">
        <v>669</v>
      </c>
      <c r="AA90" s="1158"/>
      <c r="AB90" s="943" t="s">
        <v>669</v>
      </c>
      <c r="AC90" s="1158"/>
      <c r="AD90" s="943"/>
      <c r="AE90" s="1180"/>
      <c r="AF90" s="943"/>
      <c r="AG90" s="1180"/>
      <c r="AH90" s="943"/>
      <c r="AI90" s="1180"/>
      <c r="AJ90" s="943"/>
      <c r="AK90" s="1180"/>
    </row>
    <row r="91" spans="1:37" x14ac:dyDescent="0.35">
      <c r="A91" s="1179"/>
      <c r="B91" s="1260" t="s">
        <v>1248</v>
      </c>
      <c r="C91" s="682"/>
      <c r="D91" s="682">
        <v>41</v>
      </c>
      <c r="E91" s="642" t="s">
        <v>666</v>
      </c>
      <c r="F91" s="1012">
        <v>200</v>
      </c>
      <c r="G91" s="652">
        <f t="shared" ref="G91" si="4">F91*D91</f>
        <v>8200</v>
      </c>
      <c r="H91" s="943" t="s">
        <v>669</v>
      </c>
      <c r="I91" s="1158"/>
      <c r="J91" s="943" t="s">
        <v>669</v>
      </c>
      <c r="K91" s="1158"/>
      <c r="L91" s="943" t="s">
        <v>669</v>
      </c>
      <c r="M91" s="1158"/>
      <c r="N91" s="943" t="s">
        <v>669</v>
      </c>
      <c r="O91" s="1158"/>
      <c r="P91" s="943" t="s">
        <v>669</v>
      </c>
      <c r="Q91" s="1158"/>
      <c r="R91" s="943" t="s">
        <v>669</v>
      </c>
      <c r="S91" s="1158"/>
      <c r="T91" s="943" t="s">
        <v>669</v>
      </c>
      <c r="U91" s="1158"/>
      <c r="V91" s="943" t="s">
        <v>669</v>
      </c>
      <c r="W91" s="1158"/>
      <c r="X91" s="943" t="s">
        <v>669</v>
      </c>
      <c r="Y91" s="1158"/>
      <c r="Z91" s="943" t="s">
        <v>669</v>
      </c>
      <c r="AA91" s="1158"/>
      <c r="AB91" s="943" t="s">
        <v>669</v>
      </c>
      <c r="AC91" s="1158"/>
      <c r="AD91" s="943"/>
      <c r="AE91" s="1180"/>
      <c r="AF91" s="943"/>
      <c r="AG91" s="1180"/>
      <c r="AH91" s="943"/>
      <c r="AI91" s="1180"/>
      <c r="AJ91" s="943"/>
      <c r="AK91" s="1180"/>
    </row>
    <row r="92" spans="1:37" x14ac:dyDescent="0.35">
      <c r="A92" s="1179"/>
      <c r="B92" s="1257" t="s">
        <v>746</v>
      </c>
      <c r="C92" s="682"/>
      <c r="D92" s="682"/>
      <c r="E92" s="642"/>
      <c r="F92" s="642"/>
      <c r="G92" s="652"/>
      <c r="H92" s="943" t="s">
        <v>669</v>
      </c>
      <c r="I92" s="1158"/>
      <c r="J92" s="943" t="s">
        <v>669</v>
      </c>
      <c r="K92" s="1158"/>
      <c r="L92" s="943" t="s">
        <v>669</v>
      </c>
      <c r="M92" s="1158"/>
      <c r="N92" s="943" t="s">
        <v>669</v>
      </c>
      <c r="O92" s="1158"/>
      <c r="P92" s="1101" t="s">
        <v>654</v>
      </c>
      <c r="Q92" s="1274"/>
      <c r="R92" s="943" t="s">
        <v>669</v>
      </c>
      <c r="S92" s="1158"/>
      <c r="T92" s="943" t="s">
        <v>669</v>
      </c>
      <c r="U92" s="1158"/>
      <c r="V92" s="943" t="s">
        <v>669</v>
      </c>
      <c r="W92" s="1158"/>
      <c r="X92" s="943" t="s">
        <v>669</v>
      </c>
      <c r="Y92" s="1158"/>
      <c r="Z92" s="943" t="s">
        <v>669</v>
      </c>
      <c r="AA92" s="1158"/>
      <c r="AB92" s="943" t="s">
        <v>669</v>
      </c>
      <c r="AC92" s="1158"/>
      <c r="AD92" s="943"/>
      <c r="AE92" s="1180"/>
      <c r="AF92" s="943"/>
      <c r="AG92" s="1180"/>
      <c r="AH92" s="943"/>
      <c r="AI92" s="1180"/>
      <c r="AJ92" s="943"/>
      <c r="AK92" s="1180"/>
    </row>
    <row r="93" spans="1:37" x14ac:dyDescent="0.35">
      <c r="A93" s="1179"/>
      <c r="B93" s="1260" t="s">
        <v>1228</v>
      </c>
      <c r="C93" s="682"/>
      <c r="D93" s="642"/>
      <c r="E93" s="642"/>
      <c r="F93" s="654"/>
      <c r="G93" s="652"/>
      <c r="H93" s="943" t="s">
        <v>669</v>
      </c>
      <c r="I93" s="1261">
        <v>360</v>
      </c>
      <c r="J93" s="943" t="s">
        <v>669</v>
      </c>
      <c r="K93" s="1261"/>
      <c r="L93" s="943" t="s">
        <v>669</v>
      </c>
      <c r="M93" s="1158"/>
      <c r="N93" s="943" t="s">
        <v>669</v>
      </c>
      <c r="O93" s="1158"/>
      <c r="P93" s="1101" t="s">
        <v>654</v>
      </c>
      <c r="Q93" s="1275">
        <f>W93</f>
        <v>1080</v>
      </c>
      <c r="R93" s="943" t="s">
        <v>669</v>
      </c>
      <c r="S93" s="1158"/>
      <c r="T93" s="943" t="s">
        <v>669</v>
      </c>
      <c r="U93" s="1158"/>
      <c r="V93" s="943" t="s">
        <v>669</v>
      </c>
      <c r="W93" s="1261">
        <v>1080</v>
      </c>
      <c r="X93" s="943" t="s">
        <v>669</v>
      </c>
      <c r="Y93" s="1158"/>
      <c r="Z93" s="943" t="s">
        <v>669</v>
      </c>
      <c r="AA93" s="1158"/>
      <c r="AB93" s="943" t="s">
        <v>669</v>
      </c>
      <c r="AC93" s="1158"/>
      <c r="AD93" s="943"/>
      <c r="AE93" s="1180"/>
      <c r="AF93" s="943"/>
      <c r="AG93" s="1180"/>
      <c r="AH93" s="943"/>
      <c r="AI93" s="1180"/>
      <c r="AJ93" s="943"/>
      <c r="AK93" s="1180"/>
    </row>
    <row r="94" spans="1:37" x14ac:dyDescent="0.35">
      <c r="A94" s="1179"/>
      <c r="B94" s="1257" t="s">
        <v>158</v>
      </c>
      <c r="C94" s="682"/>
      <c r="D94" s="642"/>
      <c r="E94" s="642"/>
      <c r="F94" s="654"/>
      <c r="G94" s="652"/>
      <c r="H94" s="943" t="s">
        <v>669</v>
      </c>
      <c r="I94" s="1158"/>
      <c r="J94" s="943" t="s">
        <v>669</v>
      </c>
      <c r="K94" s="1158"/>
      <c r="L94" s="943" t="s">
        <v>669</v>
      </c>
      <c r="M94" s="1158"/>
      <c r="N94" s="943" t="s">
        <v>669</v>
      </c>
      <c r="O94" s="1158"/>
      <c r="P94" s="943" t="s">
        <v>669</v>
      </c>
      <c r="Q94" s="1158"/>
      <c r="R94" s="943" t="s">
        <v>669</v>
      </c>
      <c r="S94" s="1158"/>
      <c r="T94" s="943" t="s">
        <v>669</v>
      </c>
      <c r="U94" s="1158"/>
      <c r="V94" s="943" t="s">
        <v>669</v>
      </c>
      <c r="W94" s="1158"/>
      <c r="X94" s="943" t="s">
        <v>669</v>
      </c>
      <c r="Y94" s="1158"/>
      <c r="Z94" s="943" t="s">
        <v>669</v>
      </c>
      <c r="AA94" s="1158"/>
      <c r="AB94" s="943" t="s">
        <v>669</v>
      </c>
      <c r="AC94" s="1158"/>
      <c r="AD94" s="943"/>
      <c r="AE94" s="1180"/>
      <c r="AF94" s="943"/>
      <c r="AG94" s="1180"/>
      <c r="AH94" s="943"/>
      <c r="AI94" s="1180"/>
      <c r="AJ94" s="943"/>
      <c r="AK94" s="1180"/>
    </row>
    <row r="95" spans="1:37" x14ac:dyDescent="0.35">
      <c r="A95" s="1179"/>
      <c r="B95" s="1257"/>
      <c r="C95" s="682"/>
      <c r="D95" s="642"/>
      <c r="E95" s="642"/>
      <c r="F95" s="654"/>
      <c r="G95" s="652"/>
      <c r="H95" s="943"/>
      <c r="I95" s="1158"/>
      <c r="J95" s="943"/>
      <c r="K95" s="1158"/>
      <c r="L95" s="943"/>
      <c r="M95" s="1158"/>
      <c r="N95" s="943"/>
      <c r="O95" s="1158"/>
      <c r="P95" s="943"/>
      <c r="Q95" s="1158"/>
      <c r="R95" s="943"/>
      <c r="S95" s="1158"/>
      <c r="T95" s="943"/>
      <c r="U95" s="1158"/>
      <c r="V95" s="943"/>
      <c r="W95" s="1158"/>
      <c r="X95" s="1158"/>
      <c r="Y95" s="1158"/>
      <c r="Z95" s="1158"/>
      <c r="AA95" s="1158"/>
      <c r="AB95" s="1158"/>
      <c r="AC95" s="1158"/>
      <c r="AD95" s="943"/>
      <c r="AE95" s="1180"/>
      <c r="AF95" s="943"/>
      <c r="AG95" s="1180"/>
      <c r="AH95" s="943"/>
      <c r="AI95" s="1180"/>
      <c r="AJ95" s="943"/>
      <c r="AK95" s="1180"/>
    </row>
    <row r="96" spans="1:37" x14ac:dyDescent="0.35">
      <c r="A96" s="1179"/>
      <c r="B96" s="1257" t="s">
        <v>1232</v>
      </c>
      <c r="C96" s="682"/>
      <c r="D96" s="642"/>
      <c r="E96" s="642"/>
      <c r="F96" s="654"/>
      <c r="G96" s="652"/>
      <c r="H96" s="943" t="s">
        <v>669</v>
      </c>
      <c r="I96" s="1158"/>
      <c r="J96" s="943" t="s">
        <v>669</v>
      </c>
      <c r="K96" s="1158"/>
      <c r="L96" s="943" t="s">
        <v>669</v>
      </c>
      <c r="M96" s="1158"/>
      <c r="N96" s="943" t="s">
        <v>669</v>
      </c>
      <c r="O96" s="1158"/>
      <c r="P96" s="943" t="s">
        <v>669</v>
      </c>
      <c r="Q96" s="1158"/>
      <c r="R96" s="943" t="s">
        <v>669</v>
      </c>
      <c r="S96" s="1158"/>
      <c r="T96" s="943" t="s">
        <v>669</v>
      </c>
      <c r="U96" s="1158"/>
      <c r="V96" s="943" t="s">
        <v>669</v>
      </c>
      <c r="W96" s="1158"/>
      <c r="X96" s="943" t="s">
        <v>669</v>
      </c>
      <c r="Y96" s="1158"/>
      <c r="Z96" s="943" t="s">
        <v>669</v>
      </c>
      <c r="AA96" s="1158"/>
      <c r="AB96" s="943" t="s">
        <v>669</v>
      </c>
      <c r="AC96" s="1158"/>
      <c r="AD96" s="943"/>
      <c r="AE96" s="1180"/>
      <c r="AF96" s="943"/>
      <c r="AG96" s="1180"/>
      <c r="AH96" s="943"/>
      <c r="AI96" s="1180"/>
      <c r="AJ96" s="943"/>
      <c r="AK96" s="1180"/>
    </row>
    <row r="97" spans="1:37" x14ac:dyDescent="0.35">
      <c r="A97" s="1179"/>
      <c r="B97" s="1260" t="s">
        <v>1249</v>
      </c>
      <c r="C97" s="682"/>
      <c r="D97" s="642">
        <f>D42+D47+D53+D59+D65+D71</f>
        <v>196</v>
      </c>
      <c r="E97" s="642"/>
      <c r="F97" s="654"/>
      <c r="G97" s="652"/>
      <c r="H97" s="943" t="s">
        <v>669</v>
      </c>
      <c r="I97" s="1158"/>
      <c r="J97" s="943" t="s">
        <v>669</v>
      </c>
      <c r="K97" s="1158"/>
      <c r="L97" s="943" t="s">
        <v>669</v>
      </c>
      <c r="M97" s="1158"/>
      <c r="N97" s="943" t="s">
        <v>669</v>
      </c>
      <c r="O97" s="1158"/>
      <c r="P97" s="943" t="s">
        <v>669</v>
      </c>
      <c r="Q97" s="1158"/>
      <c r="R97" s="943" t="s">
        <v>669</v>
      </c>
      <c r="S97" s="1158"/>
      <c r="T97" s="943" t="s">
        <v>669</v>
      </c>
      <c r="U97" s="1158"/>
      <c r="V97" s="943" t="s">
        <v>669</v>
      </c>
      <c r="W97" s="1158"/>
      <c r="X97" s="943" t="s">
        <v>669</v>
      </c>
      <c r="Y97" s="1261">
        <f>135*D97</f>
        <v>26460</v>
      </c>
      <c r="Z97" s="943" t="s">
        <v>669</v>
      </c>
      <c r="AA97" s="1261">
        <f>125*D97</f>
        <v>24500</v>
      </c>
      <c r="AB97" s="943" t="s">
        <v>669</v>
      </c>
      <c r="AC97" s="1261">
        <f>D97*325</f>
        <v>63700</v>
      </c>
      <c r="AD97" s="943"/>
      <c r="AE97" s="1180"/>
      <c r="AF97" s="943"/>
      <c r="AG97" s="1261"/>
      <c r="AH97" s="943"/>
      <c r="AI97" s="1180"/>
      <c r="AJ97" s="943"/>
      <c r="AK97" s="1180"/>
    </row>
    <row r="98" spans="1:37" x14ac:dyDescent="0.35">
      <c r="A98" s="1179"/>
      <c r="B98" s="1260" t="s">
        <v>1234</v>
      </c>
      <c r="C98" s="682"/>
      <c r="D98" s="642">
        <f>D43+D48+D54+D60+D66+D72+D77+D80+D84+D86+D88+D91</f>
        <v>856</v>
      </c>
      <c r="E98" s="642"/>
      <c r="F98" s="654"/>
      <c r="G98" s="652"/>
      <c r="H98" s="943" t="s">
        <v>669</v>
      </c>
      <c r="I98" s="1158"/>
      <c r="J98" s="943" t="s">
        <v>669</v>
      </c>
      <c r="K98" s="1158"/>
      <c r="L98" s="943" t="s">
        <v>669</v>
      </c>
      <c r="M98" s="1158"/>
      <c r="N98" s="943" t="s">
        <v>669</v>
      </c>
      <c r="O98" s="1158"/>
      <c r="P98" s="943" t="s">
        <v>669</v>
      </c>
      <c r="Q98" s="1158"/>
      <c r="R98" s="943" t="s">
        <v>669</v>
      </c>
      <c r="S98" s="1158"/>
      <c r="T98" s="943" t="s">
        <v>669</v>
      </c>
      <c r="U98" s="1158"/>
      <c r="V98" s="943" t="s">
        <v>669</v>
      </c>
      <c r="W98" s="1158"/>
      <c r="X98" s="943" t="s">
        <v>669</v>
      </c>
      <c r="Y98" s="1261">
        <f>45*D98</f>
        <v>38520</v>
      </c>
      <c r="Z98" s="943" t="s">
        <v>669</v>
      </c>
      <c r="AA98" s="1261">
        <f>40*D98</f>
        <v>34240</v>
      </c>
      <c r="AB98" s="943" t="s">
        <v>669</v>
      </c>
      <c r="AC98" s="1261">
        <f>75*D98</f>
        <v>64200</v>
      </c>
      <c r="AD98" s="943"/>
      <c r="AE98" s="1180"/>
      <c r="AF98" s="943"/>
      <c r="AG98" s="1261"/>
      <c r="AH98" s="943"/>
      <c r="AI98" s="1180"/>
      <c r="AJ98" s="943"/>
      <c r="AK98" s="1180"/>
    </row>
    <row r="99" spans="1:37" x14ac:dyDescent="0.35">
      <c r="A99" s="1179"/>
      <c r="B99" s="1260" t="s">
        <v>1250</v>
      </c>
      <c r="C99" s="682"/>
      <c r="D99" s="642">
        <f>D44+D49+D55+D61+D67+D73</f>
        <v>58</v>
      </c>
      <c r="E99" s="642"/>
      <c r="F99" s="654"/>
      <c r="G99" s="652"/>
      <c r="H99" s="943" t="s">
        <v>669</v>
      </c>
      <c r="I99" s="1158"/>
      <c r="J99" s="943" t="s">
        <v>669</v>
      </c>
      <c r="K99" s="1158"/>
      <c r="L99" s="943" t="s">
        <v>669</v>
      </c>
      <c r="M99" s="1158"/>
      <c r="N99" s="943" t="s">
        <v>669</v>
      </c>
      <c r="O99" s="1158"/>
      <c r="P99" s="943" t="s">
        <v>669</v>
      </c>
      <c r="Q99" s="1158"/>
      <c r="R99" s="943" t="s">
        <v>669</v>
      </c>
      <c r="S99" s="1158"/>
      <c r="T99" s="943" t="s">
        <v>669</v>
      </c>
      <c r="U99" s="1158"/>
      <c r="V99" s="943" t="s">
        <v>669</v>
      </c>
      <c r="W99" s="1158"/>
      <c r="X99" s="943" t="s">
        <v>669</v>
      </c>
      <c r="Y99" s="1261">
        <f>D99*15</f>
        <v>870</v>
      </c>
      <c r="Z99" s="943" t="s">
        <v>669</v>
      </c>
      <c r="AA99" s="1261">
        <f>30*D99</f>
        <v>1740</v>
      </c>
      <c r="AB99" s="943" t="s">
        <v>669</v>
      </c>
      <c r="AC99" s="1261">
        <f>75*D99</f>
        <v>4350</v>
      </c>
      <c r="AD99" s="943"/>
      <c r="AE99" s="1180"/>
      <c r="AF99" s="943"/>
      <c r="AG99" s="1261"/>
      <c r="AH99" s="943"/>
      <c r="AI99" s="1180"/>
      <c r="AJ99" s="943"/>
      <c r="AK99" s="1180"/>
    </row>
    <row r="100" spans="1:37" x14ac:dyDescent="0.35">
      <c r="A100" s="1179"/>
      <c r="B100" s="1260" t="s">
        <v>1251</v>
      </c>
      <c r="C100" s="682"/>
      <c r="D100" s="642">
        <f>D45+D50+D56+D62+D68+D74</f>
        <v>23</v>
      </c>
      <c r="E100" s="642"/>
      <c r="F100" s="654"/>
      <c r="G100" s="652"/>
      <c r="H100" s="943" t="s">
        <v>669</v>
      </c>
      <c r="I100" s="1261"/>
      <c r="J100" s="943" t="s">
        <v>669</v>
      </c>
      <c r="K100" s="1261"/>
      <c r="L100" s="943" t="s">
        <v>669</v>
      </c>
      <c r="M100" s="1158"/>
      <c r="N100" s="943" t="s">
        <v>669</v>
      </c>
      <c r="O100" s="1158"/>
      <c r="P100" s="943" t="s">
        <v>669</v>
      </c>
      <c r="Q100" s="1158"/>
      <c r="R100" s="943" t="s">
        <v>669</v>
      </c>
      <c r="S100" s="1158"/>
      <c r="T100" s="943" t="s">
        <v>669</v>
      </c>
      <c r="U100" s="1158"/>
      <c r="V100" s="943" t="s">
        <v>669</v>
      </c>
      <c r="W100" s="1158"/>
      <c r="X100" s="943" t="s">
        <v>669</v>
      </c>
      <c r="Y100" s="1261"/>
      <c r="Z100" s="943" t="s">
        <v>669</v>
      </c>
      <c r="AA100" s="1261"/>
      <c r="AB100" s="943" t="s">
        <v>669</v>
      </c>
      <c r="AC100" s="1261"/>
      <c r="AD100" s="943"/>
      <c r="AE100" s="1180"/>
      <c r="AF100" s="943"/>
      <c r="AG100" s="1261"/>
      <c r="AH100" s="943"/>
      <c r="AI100" s="1180"/>
      <c r="AJ100" s="943"/>
      <c r="AK100" s="1180"/>
    </row>
    <row r="101" spans="1:37" x14ac:dyDescent="0.35">
      <c r="A101" s="1179"/>
      <c r="B101" s="1260" t="s">
        <v>1252</v>
      </c>
      <c r="C101" s="624"/>
      <c r="D101" s="707">
        <f>D51+D57+D63+D69+D75</f>
        <v>39</v>
      </c>
      <c r="E101" s="707"/>
      <c r="F101" s="1276"/>
      <c r="G101" s="1277"/>
      <c r="H101" s="943" t="s">
        <v>669</v>
      </c>
      <c r="I101" s="1261"/>
      <c r="J101" s="943" t="s">
        <v>669</v>
      </c>
      <c r="K101" s="1261"/>
      <c r="L101" s="943" t="s">
        <v>669</v>
      </c>
      <c r="M101" s="1158"/>
      <c r="N101" s="943" t="s">
        <v>669</v>
      </c>
      <c r="O101" s="1158"/>
      <c r="P101" s="943" t="s">
        <v>669</v>
      </c>
      <c r="Q101" s="1158"/>
      <c r="R101" s="943" t="s">
        <v>669</v>
      </c>
      <c r="S101" s="1158"/>
      <c r="T101" s="943" t="s">
        <v>669</v>
      </c>
      <c r="U101" s="1158"/>
      <c r="V101" s="943" t="s">
        <v>669</v>
      </c>
      <c r="W101" s="1158"/>
      <c r="X101" s="943" t="s">
        <v>669</v>
      </c>
      <c r="Y101" s="1261">
        <f>D101*62</f>
        <v>2418</v>
      </c>
      <c r="Z101" s="943" t="s">
        <v>669</v>
      </c>
      <c r="AA101" s="1261">
        <f>95*D101</f>
        <v>3705</v>
      </c>
      <c r="AB101" s="943" t="s">
        <v>669</v>
      </c>
      <c r="AC101" s="1261">
        <f>D101*325</f>
        <v>12675</v>
      </c>
      <c r="AD101" s="1278"/>
      <c r="AE101" s="1180"/>
      <c r="AF101" s="943"/>
      <c r="AG101" s="1261"/>
      <c r="AH101" s="1278"/>
      <c r="AI101" s="1180"/>
      <c r="AJ101" s="1278"/>
      <c r="AK101" s="1180"/>
    </row>
    <row r="102" spans="1:37" x14ac:dyDescent="0.35">
      <c r="A102" s="1179"/>
      <c r="B102" s="1260" t="s">
        <v>1236</v>
      </c>
      <c r="C102" s="624"/>
      <c r="D102" s="707">
        <f>D81</f>
        <v>8</v>
      </c>
      <c r="E102" s="707"/>
      <c r="F102" s="1276"/>
      <c r="G102" s="1277"/>
      <c r="H102" s="943" t="s">
        <v>669</v>
      </c>
      <c r="I102" s="1261"/>
      <c r="J102" s="943" t="s">
        <v>669</v>
      </c>
      <c r="K102" s="1261"/>
      <c r="L102" s="943" t="s">
        <v>669</v>
      </c>
      <c r="M102" s="1158"/>
      <c r="N102" s="943" t="s">
        <v>669</v>
      </c>
      <c r="O102" s="1158"/>
      <c r="P102" s="943" t="s">
        <v>669</v>
      </c>
      <c r="Q102" s="1158"/>
      <c r="R102" s="943" t="s">
        <v>669</v>
      </c>
      <c r="S102" s="1158"/>
      <c r="T102" s="943" t="s">
        <v>669</v>
      </c>
      <c r="U102" s="1158"/>
      <c r="V102" s="943" t="s">
        <v>669</v>
      </c>
      <c r="W102" s="1158"/>
      <c r="X102" s="943" t="s">
        <v>669</v>
      </c>
      <c r="Y102" s="1261">
        <f>390*D102</f>
        <v>3120</v>
      </c>
      <c r="Z102" s="943" t="s">
        <v>669</v>
      </c>
      <c r="AA102" s="1261">
        <f>290*D102</f>
        <v>2320</v>
      </c>
      <c r="AB102" s="943" t="s">
        <v>669</v>
      </c>
      <c r="AC102" s="1261">
        <f>D102*450</f>
        <v>3600</v>
      </c>
      <c r="AD102" s="1278"/>
      <c r="AE102" s="1180"/>
      <c r="AF102" s="943"/>
      <c r="AG102" s="1261"/>
      <c r="AH102" s="1278"/>
      <c r="AI102" s="1180"/>
      <c r="AJ102" s="1278"/>
      <c r="AK102" s="1180"/>
    </row>
    <row r="103" spans="1:37" x14ac:dyDescent="0.35">
      <c r="A103" s="1179"/>
      <c r="B103" s="1260" t="s">
        <v>1152</v>
      </c>
      <c r="C103" s="624"/>
      <c r="D103" s="707"/>
      <c r="E103" s="707"/>
      <c r="F103" s="1276"/>
      <c r="G103" s="1277"/>
      <c r="H103" s="943" t="s">
        <v>669</v>
      </c>
      <c r="I103" s="1261"/>
      <c r="J103" s="943" t="s">
        <v>669</v>
      </c>
      <c r="K103" s="1261"/>
      <c r="L103" s="943" t="s">
        <v>669</v>
      </c>
      <c r="M103" s="1158"/>
      <c r="N103" s="943" t="s">
        <v>669</v>
      </c>
      <c r="O103" s="1158"/>
      <c r="P103" s="943" t="s">
        <v>669</v>
      </c>
      <c r="Q103" s="1158"/>
      <c r="R103" s="943" t="s">
        <v>669</v>
      </c>
      <c r="S103" s="1158"/>
      <c r="T103" s="943" t="s">
        <v>669</v>
      </c>
      <c r="U103" s="1158"/>
      <c r="V103" s="943" t="s">
        <v>669</v>
      </c>
      <c r="W103" s="1158"/>
      <c r="X103" s="943" t="s">
        <v>669</v>
      </c>
      <c r="Y103" s="1261"/>
      <c r="Z103" s="943" t="s">
        <v>669</v>
      </c>
      <c r="AA103" s="1261"/>
      <c r="AB103" s="943" t="s">
        <v>669</v>
      </c>
      <c r="AC103" s="1261"/>
      <c r="AD103" s="1278"/>
      <c r="AE103" s="1180"/>
      <c r="AF103" s="1278"/>
      <c r="AG103" s="1261"/>
      <c r="AH103" s="1278"/>
      <c r="AI103" s="1180"/>
      <c r="AJ103" s="1278"/>
      <c r="AK103" s="1180"/>
    </row>
    <row r="104" spans="1:37" x14ac:dyDescent="0.35">
      <c r="A104" s="14"/>
      <c r="B104" s="15"/>
      <c r="C104" s="16"/>
      <c r="D104" s="16"/>
      <c r="E104" s="17"/>
      <c r="F104" s="18" t="s">
        <v>715</v>
      </c>
      <c r="G104" s="328">
        <f>SUM(G35:G103)</f>
        <v>286300</v>
      </c>
      <c r="H104" s="20"/>
      <c r="I104" s="50">
        <f>SUM(I35:I103)</f>
        <v>236630</v>
      </c>
      <c r="J104" s="20"/>
      <c r="K104" s="50">
        <f>SUM(K35:K103)</f>
        <v>0</v>
      </c>
      <c r="L104" s="20"/>
      <c r="M104" s="50">
        <f>SUM(M35:M103)</f>
        <v>408750</v>
      </c>
      <c r="N104" s="20"/>
      <c r="O104" s="50">
        <f>SUM(O35:O103)</f>
        <v>432015</v>
      </c>
      <c r="P104" s="20"/>
      <c r="Q104" s="50">
        <f>SUM(Q35:Q103)</f>
        <v>480360</v>
      </c>
      <c r="R104" s="20"/>
      <c r="S104" s="50">
        <f>SUM(S35:S103)</f>
        <v>427150</v>
      </c>
      <c r="T104" s="20"/>
      <c r="U104" s="50">
        <f>SUM(U35:U103)</f>
        <v>0</v>
      </c>
      <c r="V104" s="20"/>
      <c r="W104" s="50">
        <f>SUM(W35:W103)</f>
        <v>493453</v>
      </c>
      <c r="X104" s="20"/>
      <c r="Y104" s="50">
        <f>SUM(Y35:Y103)</f>
        <v>71388</v>
      </c>
      <c r="Z104" s="20"/>
      <c r="AA104" s="50">
        <f>SUM(AA35:AA103)</f>
        <v>66505</v>
      </c>
      <c r="AB104" s="20"/>
      <c r="AC104" s="50">
        <f>SUM(AC35:AC103)</f>
        <v>148525</v>
      </c>
      <c r="AD104" s="20"/>
      <c r="AE104" s="50">
        <f>SUM(AE35:AE103)</f>
        <v>0</v>
      </c>
      <c r="AF104" s="20"/>
      <c r="AG104" s="50">
        <f>SUM(AG25:AG100)</f>
        <v>0</v>
      </c>
      <c r="AH104" s="20"/>
      <c r="AI104" s="50">
        <f>SUM(AI25:AI100)</f>
        <v>0</v>
      </c>
      <c r="AJ104" s="20"/>
      <c r="AK104" s="50">
        <f>SUM(AK25:AK100)</f>
        <v>0</v>
      </c>
    </row>
    <row r="105" spans="1:37" x14ac:dyDescent="0.35">
      <c r="A105" s="684"/>
      <c r="B105" s="655"/>
      <c r="C105" s="656"/>
      <c r="D105" s="656"/>
      <c r="E105" s="657"/>
      <c r="F105" s="658" t="s">
        <v>716</v>
      </c>
      <c r="G105" s="659"/>
      <c r="H105" s="959">
        <v>0</v>
      </c>
      <c r="I105" s="1121"/>
      <c r="J105" s="959">
        <v>0</v>
      </c>
      <c r="K105" s="1121"/>
      <c r="L105" s="1153">
        <v>0.01</v>
      </c>
      <c r="M105" s="1121"/>
      <c r="N105" s="1153">
        <v>1.4999999999999999E-2</v>
      </c>
      <c r="O105" s="1121"/>
      <c r="P105" s="959">
        <v>0</v>
      </c>
      <c r="Q105" s="1121"/>
      <c r="R105" s="959">
        <v>0</v>
      </c>
      <c r="S105" s="1121"/>
      <c r="T105" s="959">
        <v>0</v>
      </c>
      <c r="U105" s="1121"/>
      <c r="V105" s="959">
        <v>0</v>
      </c>
      <c r="W105" s="1121"/>
      <c r="X105" s="959">
        <v>0</v>
      </c>
      <c r="Y105" s="1121"/>
      <c r="Z105" s="959">
        <v>0</v>
      </c>
      <c r="AA105" s="1121"/>
      <c r="AB105" s="959">
        <v>0</v>
      </c>
      <c r="AC105" s="1121"/>
      <c r="AD105" s="959">
        <v>0</v>
      </c>
      <c r="AE105" s="1121"/>
      <c r="AF105" s="959">
        <v>0</v>
      </c>
      <c r="AG105" s="1121"/>
      <c r="AH105" s="959">
        <v>0.02</v>
      </c>
      <c r="AI105" s="1121"/>
      <c r="AJ105" s="959">
        <v>0.02</v>
      </c>
      <c r="AK105" s="1121"/>
    </row>
    <row r="106" spans="1:37" x14ac:dyDescent="0.35">
      <c r="A106" s="684"/>
      <c r="B106" s="655"/>
      <c r="C106" s="656"/>
      <c r="D106" s="656"/>
      <c r="E106" s="657"/>
      <c r="F106" s="658" t="s">
        <v>717</v>
      </c>
      <c r="G106" s="659"/>
      <c r="H106" s="961"/>
      <c r="I106" s="1122">
        <f>H105*$M$104</f>
        <v>0</v>
      </c>
      <c r="J106" s="961"/>
      <c r="K106" s="1122">
        <f>J105*$M$104</f>
        <v>0</v>
      </c>
      <c r="L106" s="961"/>
      <c r="M106" s="1122">
        <f>L105*$M$104</f>
        <v>4087.5</v>
      </c>
      <c r="N106" s="961"/>
      <c r="O106" s="1122">
        <f>N105*$M$104</f>
        <v>6131.25</v>
      </c>
      <c r="P106" s="961"/>
      <c r="Q106" s="1122">
        <f>P105*$M$104</f>
        <v>0</v>
      </c>
      <c r="R106" s="961"/>
      <c r="S106" s="1122">
        <f>R105*$M$104</f>
        <v>0</v>
      </c>
      <c r="T106" s="961"/>
      <c r="U106" s="1122">
        <f>T105*$M$104</f>
        <v>0</v>
      </c>
      <c r="V106" s="961"/>
      <c r="W106" s="1122">
        <f>V105*$M$104</f>
        <v>0</v>
      </c>
      <c r="X106" s="961"/>
      <c r="Y106" s="1122">
        <f>X105*$M$104</f>
        <v>0</v>
      </c>
      <c r="Z106" s="961"/>
      <c r="AA106" s="1122">
        <f>Z105*$M$104</f>
        <v>0</v>
      </c>
      <c r="AB106" s="961"/>
      <c r="AC106" s="1122">
        <f>AB105*$M$104</f>
        <v>0</v>
      </c>
      <c r="AD106" s="961"/>
      <c r="AE106" s="1122">
        <f>AD105*$M$104</f>
        <v>0</v>
      </c>
      <c r="AF106" s="961"/>
      <c r="AG106" s="1122">
        <f>AF105*$AG$104</f>
        <v>0</v>
      </c>
      <c r="AH106" s="961"/>
      <c r="AI106" s="1122">
        <f>AH105*AI104</f>
        <v>0</v>
      </c>
      <c r="AJ106" s="961"/>
      <c r="AK106" s="1122">
        <f>AJ105*AK104</f>
        <v>0</v>
      </c>
    </row>
    <row r="107" spans="1:37" x14ac:dyDescent="0.35">
      <c r="A107" s="684"/>
      <c r="B107" s="655"/>
      <c r="C107" s="656"/>
      <c r="D107" s="656"/>
      <c r="E107" s="657"/>
      <c r="F107" s="658"/>
      <c r="G107" s="659"/>
      <c r="H107" s="961"/>
      <c r="I107" s="963"/>
      <c r="J107" s="961"/>
      <c r="K107" s="963"/>
      <c r="L107" s="961"/>
      <c r="M107" s="963"/>
      <c r="N107" s="961"/>
      <c r="O107" s="963"/>
      <c r="P107" s="961"/>
      <c r="Q107" s="963"/>
      <c r="R107" s="961"/>
      <c r="S107" s="963"/>
      <c r="T107" s="961"/>
      <c r="U107" s="963"/>
      <c r="V107" s="961"/>
      <c r="W107" s="963"/>
      <c r="X107" s="961"/>
      <c r="Y107" s="963"/>
      <c r="Z107" s="961"/>
      <c r="AA107" s="963"/>
      <c r="AB107" s="961"/>
      <c r="AC107" s="963"/>
      <c r="AD107" s="961"/>
      <c r="AE107" s="963"/>
      <c r="AF107" s="961"/>
      <c r="AG107" s="963"/>
      <c r="AH107" s="961"/>
      <c r="AI107" s="963"/>
      <c r="AJ107" s="961"/>
      <c r="AK107" s="963"/>
    </row>
    <row r="108" spans="1:37" x14ac:dyDescent="0.35">
      <c r="A108" s="684"/>
      <c r="B108" s="655"/>
      <c r="C108" s="656"/>
      <c r="D108" s="656"/>
      <c r="E108" s="657"/>
      <c r="F108" s="658" t="s">
        <v>718</v>
      </c>
      <c r="G108" s="659"/>
      <c r="H108" s="964"/>
      <c r="I108" s="962">
        <f>SUM(I104:I106)</f>
        <v>236630</v>
      </c>
      <c r="J108" s="964"/>
      <c r="K108" s="962">
        <f>SUM(K104:K106)</f>
        <v>0</v>
      </c>
      <c r="L108" s="964"/>
      <c r="M108" s="962">
        <f>SUM(M104:M106)</f>
        <v>412837.5</v>
      </c>
      <c r="N108" s="964"/>
      <c r="O108" s="962">
        <f>SUM(O104:O106)</f>
        <v>438146.25</v>
      </c>
      <c r="P108" s="964"/>
      <c r="Q108" s="962">
        <f>SUM(Q104:Q106)</f>
        <v>480360</v>
      </c>
      <c r="R108" s="964"/>
      <c r="S108" s="962">
        <f>SUM(S104:S106)</f>
        <v>427150</v>
      </c>
      <c r="T108" s="964"/>
      <c r="U108" s="962">
        <f>SUM(U104:U106)</f>
        <v>0</v>
      </c>
      <c r="V108" s="964"/>
      <c r="W108" s="962">
        <f>SUM(W104:W106)</f>
        <v>493453</v>
      </c>
      <c r="X108" s="964"/>
      <c r="Y108" s="962">
        <f>SUM(Y104:Y106)</f>
        <v>71388</v>
      </c>
      <c r="Z108" s="964"/>
      <c r="AA108" s="962">
        <f>SUM(AA104:AA106)</f>
        <v>66505</v>
      </c>
      <c r="AB108" s="964"/>
      <c r="AC108" s="962">
        <f>SUM(AC104:AC106)</f>
        <v>148525</v>
      </c>
      <c r="AD108" s="964"/>
      <c r="AE108" s="962">
        <f>SUM(AE104:AE106)</f>
        <v>0</v>
      </c>
      <c r="AF108" s="964"/>
      <c r="AG108" s="962">
        <f>SUM(AG104:AG106)</f>
        <v>0</v>
      </c>
      <c r="AH108" s="964"/>
      <c r="AI108" s="962">
        <f>SUM(AI104:AI106)</f>
        <v>0</v>
      </c>
      <c r="AJ108" s="964"/>
      <c r="AK108" s="962">
        <f>SUM(AK104:AK106)</f>
        <v>0</v>
      </c>
    </row>
    <row r="109" spans="1:37" x14ac:dyDescent="0.35">
      <c r="A109" s="684"/>
      <c r="B109" s="655"/>
      <c r="C109" s="656"/>
      <c r="D109" s="656"/>
      <c r="E109" s="657"/>
      <c r="F109" s="660" t="s">
        <v>719</v>
      </c>
      <c r="G109" s="661"/>
      <c r="H109" s="965"/>
      <c r="I109" s="966" t="e">
        <f>I108/#REF!</f>
        <v>#REF!</v>
      </c>
      <c r="J109" s="965"/>
      <c r="K109" s="966" t="e">
        <f>K108/#REF!</f>
        <v>#REF!</v>
      </c>
      <c r="L109" s="965"/>
      <c r="M109" s="966" t="e">
        <f>M108/#REF!</f>
        <v>#REF!</v>
      </c>
      <c r="N109" s="965"/>
      <c r="O109" s="966" t="e">
        <f>O108/#REF!</f>
        <v>#REF!</v>
      </c>
      <c r="P109" s="965"/>
      <c r="Q109" s="966" t="e">
        <f>Q108/#REF!</f>
        <v>#REF!</v>
      </c>
      <c r="R109" s="965"/>
      <c r="S109" s="966" t="e">
        <f>S108/#REF!</f>
        <v>#REF!</v>
      </c>
      <c r="T109" s="965"/>
      <c r="U109" s="966" t="e">
        <f>U108/#REF!</f>
        <v>#REF!</v>
      </c>
      <c r="V109" s="965"/>
      <c r="W109" s="966" t="e">
        <f>W108/#REF!</f>
        <v>#REF!</v>
      </c>
      <c r="X109" s="965"/>
      <c r="Y109" s="966" t="e">
        <f>Y108/#REF!</f>
        <v>#REF!</v>
      </c>
      <c r="Z109" s="965"/>
      <c r="AA109" s="966" t="e">
        <f>AA108/#REF!</f>
        <v>#REF!</v>
      </c>
      <c r="AB109" s="965"/>
      <c r="AC109" s="966" t="e">
        <f>AC108/#REF!</f>
        <v>#REF!</v>
      </c>
      <c r="AD109" s="965"/>
      <c r="AE109" s="966" t="e">
        <f>AE108/#REF!</f>
        <v>#REF!</v>
      </c>
      <c r="AF109" s="965"/>
      <c r="AG109" s="966" t="e">
        <f>AG108/#REF!</f>
        <v>#REF!</v>
      </c>
      <c r="AH109" s="965"/>
      <c r="AI109" s="966" t="e">
        <f>AI108/#REF!</f>
        <v>#REF!</v>
      </c>
      <c r="AJ109" s="965"/>
      <c r="AK109" s="966" t="e">
        <f>AK108/#REF!</f>
        <v>#REF!</v>
      </c>
    </row>
    <row r="110" spans="1:37" x14ac:dyDescent="0.35">
      <c r="A110" s="684"/>
      <c r="B110" s="655"/>
      <c r="C110" s="656"/>
      <c r="D110" s="656"/>
      <c r="E110" s="657"/>
      <c r="F110" s="660" t="s">
        <v>720</v>
      </c>
      <c r="G110" s="662"/>
      <c r="H110" s="965"/>
      <c r="I110" s="966" t="e">
        <f>I108/#REF!</f>
        <v>#REF!</v>
      </c>
      <c r="J110" s="965"/>
      <c r="K110" s="966" t="e">
        <f>K108/#REF!</f>
        <v>#REF!</v>
      </c>
      <c r="L110" s="965"/>
      <c r="M110" s="966" t="e">
        <f>M108/#REF!</f>
        <v>#REF!</v>
      </c>
      <c r="N110" s="965"/>
      <c r="O110" s="966" t="e">
        <f>O108/#REF!</f>
        <v>#REF!</v>
      </c>
      <c r="P110" s="965"/>
      <c r="Q110" s="966" t="e">
        <f>Q108/#REF!</f>
        <v>#REF!</v>
      </c>
      <c r="R110" s="965"/>
      <c r="S110" s="966" t="e">
        <f>S108/#REF!</f>
        <v>#REF!</v>
      </c>
      <c r="T110" s="965"/>
      <c r="U110" s="966" t="e">
        <f>U108/#REF!</f>
        <v>#REF!</v>
      </c>
      <c r="V110" s="965"/>
      <c r="W110" s="966" t="e">
        <f>W108/#REF!</f>
        <v>#REF!</v>
      </c>
      <c r="X110" s="965"/>
      <c r="Y110" s="966" t="e">
        <f>Y108/#REF!</f>
        <v>#REF!</v>
      </c>
      <c r="Z110" s="965"/>
      <c r="AA110" s="966" t="e">
        <f>AA108/#REF!</f>
        <v>#REF!</v>
      </c>
      <c r="AB110" s="965"/>
      <c r="AC110" s="966" t="e">
        <f>AC108/#REF!</f>
        <v>#REF!</v>
      </c>
      <c r="AD110" s="965"/>
      <c r="AE110" s="966" t="e">
        <f>AE108/#REF!</f>
        <v>#REF!</v>
      </c>
      <c r="AF110" s="965"/>
      <c r="AG110" s="966" t="e">
        <f>AG108/#REF!</f>
        <v>#REF!</v>
      </c>
      <c r="AH110" s="965"/>
      <c r="AI110" s="966" t="e">
        <f>AI108/#REF!</f>
        <v>#REF!</v>
      </c>
      <c r="AJ110" s="965"/>
      <c r="AK110" s="966" t="e">
        <f>AK108/#REF!</f>
        <v>#REF!</v>
      </c>
    </row>
    <row r="111" spans="1:37" x14ac:dyDescent="0.35">
      <c r="A111" s="684"/>
      <c r="B111" s="655"/>
      <c r="C111" s="656"/>
      <c r="D111" s="656"/>
      <c r="E111" s="657"/>
      <c r="F111" s="658"/>
      <c r="G111" s="663"/>
      <c r="H111" s="967"/>
      <c r="I111" s="967"/>
      <c r="J111" s="967"/>
      <c r="K111" s="967"/>
      <c r="L111" s="967"/>
      <c r="M111" s="967"/>
      <c r="N111" s="967"/>
      <c r="O111" s="967"/>
      <c r="P111" s="967"/>
      <c r="Q111" s="967"/>
      <c r="R111" s="967"/>
      <c r="S111" s="967"/>
      <c r="T111" s="967"/>
      <c r="U111" s="967"/>
      <c r="V111" s="967"/>
      <c r="W111" s="967"/>
      <c r="X111" s="967"/>
      <c r="Y111" s="967"/>
      <c r="Z111" s="967"/>
      <c r="AA111" s="967"/>
      <c r="AB111" s="967"/>
      <c r="AC111" s="967"/>
      <c r="AD111" s="967"/>
      <c r="AE111" s="967"/>
      <c r="AF111" s="967"/>
      <c r="AG111" s="967"/>
      <c r="AH111" s="967"/>
      <c r="AI111" s="967"/>
      <c r="AJ111" s="967"/>
      <c r="AK111" s="967"/>
    </row>
    <row r="112" spans="1:37" x14ac:dyDescent="0.35">
      <c r="A112" s="3764" t="s">
        <v>721</v>
      </c>
      <c r="B112" s="3765"/>
      <c r="C112" s="12"/>
      <c r="D112" s="12"/>
      <c r="E112" s="12"/>
      <c r="F112" s="12"/>
      <c r="G112" s="13"/>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row>
    <row r="113" spans="1:52" x14ac:dyDescent="0.35">
      <c r="A113" s="968"/>
      <c r="B113" s="641"/>
      <c r="C113" s="707"/>
      <c r="D113" s="707"/>
      <c r="E113" s="707"/>
      <c r="F113" s="707"/>
      <c r="G113" s="1195"/>
      <c r="H113" s="972"/>
      <c r="I113" s="972"/>
      <c r="J113" s="972"/>
      <c r="K113" s="972"/>
      <c r="L113" s="972"/>
      <c r="M113" s="972"/>
      <c r="N113" s="972"/>
      <c r="O113" s="972"/>
      <c r="P113" s="972"/>
      <c r="Q113" s="972"/>
      <c r="R113" s="972"/>
      <c r="S113" s="972"/>
      <c r="T113" s="972"/>
      <c r="U113" s="972"/>
      <c r="V113" s="972"/>
      <c r="W113" s="972"/>
      <c r="X113" s="972"/>
      <c r="Y113" s="972"/>
      <c r="Z113" s="972"/>
      <c r="AA113" s="972"/>
      <c r="AB113" s="972"/>
      <c r="AC113" s="972"/>
      <c r="AD113" s="972"/>
      <c r="AE113" s="972"/>
      <c r="AF113" s="972"/>
      <c r="AG113" s="972"/>
      <c r="AH113" s="972"/>
      <c r="AI113" s="972"/>
      <c r="AJ113" s="972"/>
      <c r="AK113" s="972"/>
    </row>
    <row r="114" spans="1:52" x14ac:dyDescent="0.35">
      <c r="A114" s="968"/>
      <c r="B114" s="641"/>
      <c r="C114" s="707"/>
      <c r="D114" s="707"/>
      <c r="E114" s="707"/>
      <c r="F114" s="707"/>
      <c r="G114" s="1195"/>
      <c r="H114" s="972"/>
      <c r="I114" s="972"/>
      <c r="J114" s="972"/>
      <c r="K114" s="972"/>
      <c r="L114" s="972"/>
      <c r="M114" s="972"/>
      <c r="N114" s="972"/>
      <c r="O114" s="972"/>
      <c r="P114" s="972"/>
      <c r="Q114" s="972"/>
      <c r="R114" s="972"/>
      <c r="S114" s="972"/>
      <c r="T114" s="972"/>
      <c r="U114" s="972"/>
      <c r="V114" s="972"/>
      <c r="W114" s="972"/>
      <c r="X114" s="972"/>
      <c r="Y114" s="972"/>
      <c r="Z114" s="972"/>
      <c r="AA114" s="972"/>
      <c r="AB114" s="972"/>
      <c r="AC114" s="972"/>
      <c r="AD114" s="972"/>
      <c r="AE114" s="972"/>
      <c r="AF114" s="972"/>
      <c r="AG114" s="972"/>
      <c r="AH114" s="972"/>
      <c r="AI114" s="972"/>
      <c r="AJ114" s="972"/>
      <c r="AK114" s="972"/>
    </row>
    <row r="115" spans="1:52" x14ac:dyDescent="0.35">
      <c r="A115" s="968"/>
      <c r="B115" s="641"/>
      <c r="C115" s="707"/>
      <c r="D115" s="707"/>
      <c r="E115" s="707"/>
      <c r="F115" s="707"/>
      <c r="G115" s="1195"/>
      <c r="H115" s="972"/>
      <c r="I115" s="972"/>
      <c r="J115" s="972"/>
      <c r="K115" s="972"/>
      <c r="L115" s="972"/>
      <c r="M115" s="972"/>
      <c r="N115" s="972"/>
      <c r="O115" s="972"/>
      <c r="P115" s="972"/>
      <c r="Q115" s="972"/>
      <c r="R115" s="972"/>
      <c r="S115" s="972"/>
      <c r="T115" s="972"/>
      <c r="U115" s="972"/>
      <c r="V115" s="972"/>
      <c r="W115" s="972"/>
      <c r="X115" s="972"/>
      <c r="Y115" s="972"/>
      <c r="Z115" s="972"/>
      <c r="AA115" s="972"/>
      <c r="AB115" s="972"/>
      <c r="AC115" s="972"/>
      <c r="AD115" s="972"/>
      <c r="AE115" s="972"/>
      <c r="AF115" s="972"/>
      <c r="AG115" s="972"/>
      <c r="AH115" s="972"/>
      <c r="AI115" s="972"/>
      <c r="AJ115" s="972"/>
      <c r="AK115" s="972"/>
    </row>
    <row r="116" spans="1:52" s="2" customFormat="1" x14ac:dyDescent="0.35">
      <c r="A116" s="3764" t="s">
        <v>722</v>
      </c>
      <c r="B116" s="3765"/>
      <c r="C116" s="12"/>
      <c r="D116" s="12"/>
      <c r="E116" s="12"/>
      <c r="F116" s="12"/>
      <c r="G116" s="13"/>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O116"/>
      <c r="AP116"/>
      <c r="AQ116"/>
      <c r="AR116"/>
      <c r="AS116"/>
      <c r="AT116"/>
      <c r="AW116"/>
      <c r="AX116"/>
      <c r="AY116"/>
      <c r="AZ116"/>
    </row>
    <row r="117" spans="1:52" s="2" customFormat="1" x14ac:dyDescent="0.35">
      <c r="A117" s="968"/>
      <c r="B117" s="641"/>
      <c r="C117" s="707"/>
      <c r="D117" s="707"/>
      <c r="E117" s="707"/>
      <c r="F117" s="707"/>
      <c r="G117" s="1195"/>
      <c r="H117" s="972"/>
      <c r="I117" s="972"/>
      <c r="J117" s="972"/>
      <c r="K117" s="972"/>
      <c r="L117" s="972"/>
      <c r="M117" s="972"/>
      <c r="N117" s="972"/>
      <c r="O117" s="972"/>
      <c r="P117" s="972"/>
      <c r="Q117" s="972"/>
      <c r="R117" s="972"/>
      <c r="S117" s="972"/>
      <c r="T117" s="972"/>
      <c r="U117" s="972"/>
      <c r="V117" s="972"/>
      <c r="W117" s="972"/>
      <c r="X117" s="972"/>
      <c r="Y117" s="972"/>
      <c r="Z117" s="972"/>
      <c r="AA117" s="972"/>
      <c r="AB117" s="972"/>
      <c r="AC117" s="972"/>
      <c r="AD117" s="972"/>
      <c r="AE117" s="972"/>
      <c r="AF117" s="972"/>
      <c r="AG117" s="972"/>
      <c r="AH117" s="972"/>
      <c r="AI117" s="972"/>
      <c r="AJ117" s="972"/>
      <c r="AK117" s="972"/>
      <c r="AO117"/>
      <c r="AP117"/>
      <c r="AQ117"/>
      <c r="AR117"/>
      <c r="AS117"/>
      <c r="AT117"/>
      <c r="AW117"/>
      <c r="AX117"/>
      <c r="AY117"/>
      <c r="AZ117"/>
    </row>
    <row r="118" spans="1:52" s="2" customFormat="1" x14ac:dyDescent="0.35">
      <c r="A118" s="968"/>
      <c r="B118" s="641"/>
      <c r="C118" s="707"/>
      <c r="D118" s="707"/>
      <c r="E118" s="707"/>
      <c r="F118" s="707"/>
      <c r="G118" s="1195"/>
      <c r="H118" s="972"/>
      <c r="I118" s="972"/>
      <c r="J118" s="972"/>
      <c r="K118" s="972"/>
      <c r="L118" s="972"/>
      <c r="M118" s="972"/>
      <c r="N118" s="972"/>
      <c r="O118" s="972"/>
      <c r="P118" s="972"/>
      <c r="Q118" s="972"/>
      <c r="R118" s="972"/>
      <c r="S118" s="972"/>
      <c r="T118" s="972"/>
      <c r="U118" s="972"/>
      <c r="V118" s="972"/>
      <c r="W118" s="972"/>
      <c r="X118" s="972"/>
      <c r="Y118" s="972"/>
      <c r="Z118" s="972"/>
      <c r="AA118" s="972"/>
      <c r="AB118" s="972"/>
      <c r="AC118" s="972"/>
      <c r="AD118" s="972"/>
      <c r="AE118" s="972"/>
      <c r="AF118" s="972"/>
      <c r="AG118" s="972"/>
      <c r="AH118" s="972"/>
      <c r="AI118" s="972"/>
      <c r="AJ118" s="972"/>
      <c r="AK118" s="972"/>
      <c r="AO118"/>
      <c r="AP118"/>
      <c r="AQ118"/>
      <c r="AR118"/>
      <c r="AS118"/>
      <c r="AT118"/>
      <c r="AW118"/>
      <c r="AX118"/>
      <c r="AY118"/>
      <c r="AZ118"/>
    </row>
    <row r="119" spans="1:52" x14ac:dyDescent="0.35">
      <c r="A119" s="968"/>
      <c r="B119" s="641"/>
      <c r="C119" s="707"/>
      <c r="D119" s="707"/>
      <c r="E119" s="707"/>
      <c r="F119" s="707"/>
      <c r="G119" s="1195"/>
      <c r="H119" s="972"/>
      <c r="I119" s="972"/>
      <c r="J119" s="972"/>
      <c r="K119" s="972"/>
      <c r="L119" s="972"/>
      <c r="M119" s="972"/>
      <c r="N119" s="972"/>
      <c r="O119" s="972"/>
      <c r="P119" s="972"/>
      <c r="Q119" s="972"/>
      <c r="R119" s="972"/>
      <c r="S119" s="972"/>
      <c r="T119" s="972"/>
      <c r="U119" s="972"/>
      <c r="V119" s="972"/>
      <c r="W119" s="972"/>
      <c r="X119" s="972"/>
      <c r="Y119" s="972"/>
      <c r="Z119" s="972"/>
      <c r="AA119" s="972"/>
      <c r="AB119" s="972"/>
      <c r="AC119" s="972"/>
      <c r="AD119" s="972"/>
      <c r="AE119" s="972"/>
      <c r="AF119" s="972"/>
      <c r="AG119" s="972"/>
      <c r="AH119" s="972"/>
      <c r="AI119" s="972"/>
      <c r="AJ119" s="972"/>
      <c r="AK119" s="972"/>
    </row>
    <row r="120" spans="1:52" s="2" customFormat="1" x14ac:dyDescent="0.35">
      <c r="A120" s="3764" t="s">
        <v>723</v>
      </c>
      <c r="B120" s="3765"/>
      <c r="C120" s="12"/>
      <c r="D120" s="12"/>
      <c r="E120" s="12"/>
      <c r="F120" s="12"/>
      <c r="G120" s="13"/>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O120"/>
      <c r="AP120"/>
      <c r="AQ120"/>
      <c r="AR120"/>
      <c r="AS120"/>
      <c r="AT120"/>
      <c r="AW120"/>
      <c r="AX120"/>
      <c r="AY120"/>
      <c r="AZ120"/>
    </row>
    <row r="121" spans="1:52" s="2" customFormat="1" x14ac:dyDescent="0.35">
      <c r="A121" s="968"/>
      <c r="B121" s="641"/>
      <c r="C121" s="707"/>
      <c r="D121" s="707"/>
      <c r="E121" s="707"/>
      <c r="F121" s="707"/>
      <c r="G121" s="1195"/>
      <c r="H121" s="972"/>
      <c r="I121" s="972"/>
      <c r="J121" s="972"/>
      <c r="K121" s="972"/>
      <c r="L121" s="943"/>
      <c r="M121" s="972"/>
      <c r="N121" s="943"/>
      <c r="O121" s="972"/>
      <c r="P121" s="972"/>
      <c r="Q121" s="972"/>
      <c r="R121" s="972"/>
      <c r="S121" s="972"/>
      <c r="T121" s="972"/>
      <c r="U121" s="972"/>
      <c r="V121" s="972"/>
      <c r="W121" s="972"/>
      <c r="X121" s="972"/>
      <c r="Y121" s="972"/>
      <c r="Z121" s="972"/>
      <c r="AA121" s="972"/>
      <c r="AB121" s="972"/>
      <c r="AC121" s="972"/>
      <c r="AD121" s="972"/>
      <c r="AE121" s="972"/>
      <c r="AF121" s="972"/>
      <c r="AG121" s="972"/>
      <c r="AH121" s="972"/>
      <c r="AI121" s="972"/>
      <c r="AJ121" s="972"/>
      <c r="AK121" s="972"/>
      <c r="AO121"/>
      <c r="AP121"/>
      <c r="AQ121"/>
      <c r="AR121"/>
      <c r="AS121"/>
      <c r="AT121"/>
      <c r="AW121"/>
      <c r="AX121"/>
      <c r="AY121"/>
      <c r="AZ121"/>
    </row>
    <row r="122" spans="1:52" s="2" customFormat="1" x14ac:dyDescent="0.35">
      <c r="A122" s="689"/>
      <c r="B122" s="641"/>
      <c r="C122" s="642"/>
      <c r="D122" s="642"/>
      <c r="E122" s="642"/>
      <c r="F122" s="642"/>
      <c r="G122" s="646"/>
      <c r="H122" s="973"/>
      <c r="I122" s="973"/>
      <c r="J122" s="973"/>
      <c r="K122" s="973"/>
      <c r="L122" s="973"/>
      <c r="M122" s="973"/>
      <c r="N122" s="973"/>
      <c r="O122" s="973"/>
      <c r="P122" s="973"/>
      <c r="Q122" s="973"/>
      <c r="R122" s="973"/>
      <c r="S122" s="973"/>
      <c r="T122" s="973"/>
      <c r="U122" s="973"/>
      <c r="V122" s="973"/>
      <c r="W122" s="973"/>
      <c r="X122" s="973"/>
      <c r="Y122" s="973"/>
      <c r="Z122" s="973"/>
      <c r="AA122" s="973"/>
      <c r="AB122" s="973"/>
      <c r="AC122" s="973"/>
      <c r="AD122" s="973"/>
      <c r="AE122" s="973"/>
      <c r="AF122" s="973"/>
      <c r="AG122" s="973"/>
      <c r="AH122" s="973"/>
      <c r="AI122" s="973"/>
      <c r="AJ122" s="973"/>
      <c r="AK122" s="973"/>
      <c r="AO122"/>
      <c r="AP122"/>
      <c r="AQ122"/>
      <c r="AR122"/>
      <c r="AS122"/>
      <c r="AT122"/>
      <c r="AW122"/>
      <c r="AX122"/>
      <c r="AY122"/>
      <c r="AZ122"/>
    </row>
    <row r="123" spans="1:52" s="2" customFormat="1" x14ac:dyDescent="0.35">
      <c r="A123" s="686"/>
      <c r="B123" s="665"/>
      <c r="C123" s="642"/>
      <c r="D123" s="642"/>
      <c r="E123" s="642"/>
      <c r="F123" s="642"/>
      <c r="G123" s="646"/>
      <c r="H123" s="974"/>
      <c r="I123" s="974"/>
      <c r="J123" s="974"/>
      <c r="K123" s="974"/>
      <c r="L123" s="974"/>
      <c r="M123" s="974"/>
      <c r="N123" s="974"/>
      <c r="O123" s="974"/>
      <c r="P123" s="974"/>
      <c r="Q123" s="974"/>
      <c r="R123" s="974"/>
      <c r="S123" s="974"/>
      <c r="T123" s="974"/>
      <c r="U123" s="974"/>
      <c r="V123" s="974"/>
      <c r="W123" s="974"/>
      <c r="X123" s="974"/>
      <c r="Y123" s="974"/>
      <c r="Z123" s="974"/>
      <c r="AA123" s="974"/>
      <c r="AB123" s="974"/>
      <c r="AC123" s="974"/>
      <c r="AD123" s="974"/>
      <c r="AE123" s="974"/>
      <c r="AF123" s="974"/>
      <c r="AG123" s="974"/>
      <c r="AH123" s="974"/>
      <c r="AI123" s="974"/>
      <c r="AJ123" s="974"/>
      <c r="AK123" s="974"/>
      <c r="AO123"/>
      <c r="AP123"/>
      <c r="AQ123"/>
      <c r="AR123"/>
      <c r="AS123"/>
      <c r="AT123"/>
      <c r="AW123"/>
      <c r="AX123"/>
      <c r="AY123"/>
      <c r="AZ123"/>
    </row>
    <row r="124" spans="1:52" s="2" customFormat="1" x14ac:dyDescent="0.35">
      <c r="A124" s="3764" t="s">
        <v>724</v>
      </c>
      <c r="B124" s="3765"/>
      <c r="C124" s="12"/>
      <c r="D124" s="12"/>
      <c r="E124" s="12"/>
      <c r="F124" s="12"/>
      <c r="G124" s="13"/>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O124"/>
      <c r="AP124"/>
      <c r="AQ124"/>
      <c r="AR124"/>
      <c r="AS124"/>
      <c r="AT124"/>
      <c r="AW124"/>
      <c r="AX124"/>
      <c r="AY124"/>
      <c r="AZ124"/>
    </row>
    <row r="125" spans="1:52" x14ac:dyDescent="0.35">
      <c r="A125" s="975"/>
      <c r="B125" s="708"/>
      <c r="C125" s="707"/>
      <c r="D125" s="707"/>
      <c r="E125" s="707"/>
      <c r="F125" s="707"/>
      <c r="G125" s="1195"/>
      <c r="H125" s="972"/>
      <c r="I125" s="972"/>
      <c r="J125" s="972"/>
      <c r="K125" s="972"/>
      <c r="L125" s="943"/>
      <c r="M125" s="972"/>
      <c r="N125" s="943"/>
      <c r="O125" s="972"/>
      <c r="P125" s="972"/>
      <c r="Q125" s="972"/>
      <c r="R125" s="972"/>
      <c r="S125" s="972"/>
      <c r="T125" s="972"/>
      <c r="U125" s="972"/>
      <c r="V125" s="972"/>
      <c r="W125" s="972"/>
      <c r="X125" s="972"/>
      <c r="Y125" s="972"/>
      <c r="Z125" s="972"/>
      <c r="AA125" s="972"/>
      <c r="AB125" s="972"/>
      <c r="AC125" s="972"/>
      <c r="AD125" s="972"/>
      <c r="AE125" s="972"/>
      <c r="AF125" s="972"/>
      <c r="AG125" s="972"/>
      <c r="AH125" s="972"/>
      <c r="AI125" s="972"/>
      <c r="AJ125" s="972"/>
      <c r="AK125" s="972"/>
    </row>
    <row r="126" spans="1:52" x14ac:dyDescent="0.35">
      <c r="A126" s="975"/>
      <c r="B126" s="708"/>
      <c r="C126" s="707"/>
      <c r="D126" s="707"/>
      <c r="E126" s="707"/>
      <c r="F126" s="707"/>
      <c r="G126" s="1195"/>
      <c r="H126" s="972"/>
      <c r="I126" s="972"/>
      <c r="J126" s="972"/>
      <c r="K126" s="972"/>
      <c r="L126" s="943"/>
      <c r="M126" s="972"/>
      <c r="N126" s="943"/>
      <c r="O126" s="972"/>
      <c r="P126" s="972"/>
      <c r="Q126" s="972"/>
      <c r="R126" s="972"/>
      <c r="S126" s="972"/>
      <c r="T126" s="972"/>
      <c r="U126" s="972"/>
      <c r="V126" s="972"/>
      <c r="W126" s="972"/>
      <c r="X126" s="972"/>
      <c r="Y126" s="972"/>
      <c r="Z126" s="972"/>
      <c r="AA126" s="972"/>
      <c r="AB126" s="972"/>
      <c r="AC126" s="972"/>
      <c r="AD126" s="972"/>
      <c r="AE126" s="972"/>
      <c r="AF126" s="972"/>
      <c r="AG126" s="972"/>
      <c r="AH126" s="972"/>
      <c r="AI126" s="972"/>
      <c r="AJ126" s="972"/>
      <c r="AK126" s="972"/>
    </row>
    <row r="127" spans="1:52" x14ac:dyDescent="0.35">
      <c r="A127" s="975"/>
      <c r="B127" s="708"/>
      <c r="C127" s="707"/>
      <c r="D127" s="707"/>
      <c r="E127" s="707"/>
      <c r="F127" s="707"/>
      <c r="G127" s="1195"/>
      <c r="H127" s="972"/>
      <c r="I127" s="972"/>
      <c r="J127" s="972"/>
      <c r="K127" s="972"/>
      <c r="L127" s="943"/>
      <c r="M127" s="972"/>
      <c r="N127" s="943"/>
      <c r="O127" s="972"/>
      <c r="P127" s="972"/>
      <c r="Q127" s="972"/>
      <c r="R127" s="972"/>
      <c r="S127" s="972"/>
      <c r="T127" s="972"/>
      <c r="U127" s="972"/>
      <c r="V127" s="972"/>
      <c r="W127" s="972"/>
      <c r="X127" s="972"/>
      <c r="Y127" s="972"/>
      <c r="Z127" s="972"/>
      <c r="AA127" s="972"/>
      <c r="AB127" s="972"/>
      <c r="AC127" s="972"/>
      <c r="AD127" s="972"/>
      <c r="AE127" s="972"/>
      <c r="AF127" s="972"/>
      <c r="AG127" s="972"/>
      <c r="AH127" s="972"/>
      <c r="AI127" s="972"/>
      <c r="AJ127" s="972"/>
      <c r="AK127" s="972"/>
    </row>
    <row r="128" spans="1:52" x14ac:dyDescent="0.35">
      <c r="A128" s="975"/>
      <c r="B128" s="708"/>
      <c r="C128" s="707"/>
      <c r="D128" s="707"/>
      <c r="E128" s="707"/>
      <c r="F128" s="707"/>
      <c r="G128" s="1195"/>
      <c r="H128" s="972"/>
      <c r="I128" s="972"/>
      <c r="J128" s="972"/>
      <c r="K128" s="972"/>
      <c r="L128" s="943"/>
      <c r="M128" s="972"/>
      <c r="N128" s="943"/>
      <c r="O128" s="972"/>
      <c r="P128" s="972"/>
      <c r="Q128" s="972"/>
      <c r="R128" s="972"/>
      <c r="S128" s="972"/>
      <c r="T128" s="972"/>
      <c r="U128" s="972"/>
      <c r="V128" s="972"/>
      <c r="W128" s="972"/>
      <c r="X128" s="972"/>
      <c r="Y128" s="972"/>
      <c r="Z128" s="972"/>
      <c r="AA128" s="972"/>
      <c r="AB128" s="972"/>
      <c r="AC128" s="972"/>
      <c r="AD128" s="972"/>
      <c r="AE128" s="972"/>
      <c r="AF128" s="972"/>
      <c r="AG128" s="972"/>
      <c r="AH128" s="972"/>
      <c r="AI128" s="972"/>
      <c r="AJ128" s="972"/>
      <c r="AK128" s="972"/>
    </row>
    <row r="129" spans="1:37" x14ac:dyDescent="0.35">
      <c r="A129" s="975"/>
      <c r="B129" s="708" t="s">
        <v>1132</v>
      </c>
      <c r="C129" s="707"/>
      <c r="D129" s="707"/>
      <c r="E129" s="707"/>
      <c r="F129" s="707"/>
      <c r="G129" s="1195"/>
      <c r="H129" s="943" t="s">
        <v>669</v>
      </c>
      <c r="I129" s="972">
        <f>-67570</f>
        <v>-67570</v>
      </c>
      <c r="J129" s="943" t="s">
        <v>669</v>
      </c>
      <c r="K129" s="972">
        <f>-67570</f>
        <v>-67570</v>
      </c>
      <c r="L129" s="943" t="s">
        <v>669</v>
      </c>
      <c r="M129" s="972"/>
      <c r="N129" s="943" t="s">
        <v>669</v>
      </c>
      <c r="O129" s="972"/>
      <c r="P129" s="972"/>
      <c r="Q129" s="972"/>
      <c r="R129" s="972"/>
      <c r="S129" s="972"/>
      <c r="T129" s="972"/>
      <c r="U129" s="972"/>
      <c r="V129" s="972"/>
      <c r="W129" s="972"/>
      <c r="X129" s="972"/>
      <c r="Y129" s="972"/>
      <c r="Z129" s="972"/>
      <c r="AA129" s="972"/>
      <c r="AB129" s="972"/>
      <c r="AC129" s="972"/>
      <c r="AD129" s="972"/>
      <c r="AE129" s="972"/>
      <c r="AF129" s="972"/>
      <c r="AG129" s="972"/>
      <c r="AH129" s="972"/>
      <c r="AI129" s="972"/>
      <c r="AJ129" s="972"/>
      <c r="AK129" s="972"/>
    </row>
    <row r="130" spans="1:37" x14ac:dyDescent="0.35">
      <c r="A130" s="975"/>
      <c r="B130" s="708"/>
      <c r="C130" s="707"/>
      <c r="D130" s="707"/>
      <c r="E130" s="707"/>
      <c r="F130" s="707"/>
      <c r="G130" s="1195"/>
      <c r="H130" s="972"/>
      <c r="I130" s="972"/>
      <c r="J130" s="972"/>
      <c r="K130" s="972"/>
      <c r="L130" s="943"/>
      <c r="M130" s="972"/>
      <c r="N130" s="943"/>
      <c r="O130" s="972"/>
      <c r="P130" s="972"/>
      <c r="Q130" s="972"/>
      <c r="R130" s="972"/>
      <c r="S130" s="972"/>
      <c r="T130" s="972"/>
      <c r="U130" s="972"/>
      <c r="V130" s="972"/>
      <c r="W130" s="972"/>
      <c r="X130" s="972"/>
      <c r="Y130" s="972"/>
      <c r="Z130" s="972"/>
      <c r="AA130" s="972"/>
      <c r="AB130" s="972"/>
      <c r="AC130" s="972"/>
      <c r="AD130" s="972"/>
      <c r="AE130" s="972"/>
      <c r="AF130" s="972"/>
      <c r="AG130" s="972"/>
      <c r="AH130" s="972"/>
      <c r="AI130" s="972"/>
      <c r="AJ130" s="972"/>
      <c r="AK130" s="972"/>
    </row>
    <row r="131" spans="1:37" x14ac:dyDescent="0.35">
      <c r="A131" s="975"/>
      <c r="B131" s="708"/>
      <c r="C131" s="707"/>
      <c r="D131" s="707"/>
      <c r="E131" s="707"/>
      <c r="F131" s="707"/>
      <c r="G131" s="1195"/>
      <c r="H131" s="972"/>
      <c r="I131" s="972"/>
      <c r="J131" s="972"/>
      <c r="K131" s="972"/>
      <c r="L131" s="943"/>
      <c r="M131" s="972"/>
      <c r="N131" s="943"/>
      <c r="O131" s="972"/>
      <c r="P131" s="972"/>
      <c r="Q131" s="972"/>
      <c r="R131" s="972"/>
      <c r="S131" s="972"/>
      <c r="T131" s="972"/>
      <c r="U131" s="972"/>
      <c r="V131" s="972"/>
      <c r="W131" s="972"/>
      <c r="X131" s="972"/>
      <c r="Y131" s="972"/>
      <c r="Z131" s="972"/>
      <c r="AA131" s="972"/>
      <c r="AB131" s="972"/>
      <c r="AC131" s="972"/>
      <c r="AD131" s="972"/>
      <c r="AE131" s="972"/>
      <c r="AF131" s="972"/>
      <c r="AG131" s="972"/>
      <c r="AH131" s="972"/>
      <c r="AI131" s="972"/>
      <c r="AJ131" s="972"/>
      <c r="AK131" s="972"/>
    </row>
    <row r="132" spans="1:37" x14ac:dyDescent="0.35">
      <c r="A132" s="3764" t="s">
        <v>725</v>
      </c>
      <c r="B132" s="3765"/>
      <c r="C132" s="12"/>
      <c r="D132" s="12"/>
      <c r="E132" s="12"/>
      <c r="F132" s="12"/>
      <c r="G132" s="13"/>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row>
    <row r="133" spans="1:37" x14ac:dyDescent="0.35">
      <c r="A133" s="689"/>
      <c r="B133" s="641" t="s">
        <v>726</v>
      </c>
      <c r="C133" s="642"/>
      <c r="D133" s="642"/>
      <c r="E133" s="642"/>
      <c r="F133" s="642"/>
      <c r="G133" s="646"/>
      <c r="H133" s="977"/>
      <c r="I133" s="977"/>
      <c r="J133" s="977"/>
      <c r="K133" s="977"/>
      <c r="L133" s="977"/>
      <c r="M133" s="977"/>
      <c r="N133" s="977"/>
      <c r="O133" s="977"/>
      <c r="P133" s="977"/>
      <c r="Q133" s="977"/>
      <c r="R133" s="977"/>
      <c r="S133" s="977"/>
      <c r="T133" s="977"/>
      <c r="U133" s="977"/>
      <c r="V133" s="977"/>
      <c r="W133" s="977"/>
      <c r="X133" s="977"/>
      <c r="Y133" s="977"/>
      <c r="Z133" s="977"/>
      <c r="AA133" s="977"/>
      <c r="AB133" s="977"/>
      <c r="AC133" s="977"/>
      <c r="AD133" s="977"/>
      <c r="AE133" s="977"/>
      <c r="AF133" s="977"/>
      <c r="AG133" s="977"/>
      <c r="AH133" s="977"/>
      <c r="AI133" s="977"/>
      <c r="AJ133" s="977"/>
      <c r="AK133" s="977"/>
    </row>
    <row r="134" spans="1:37" x14ac:dyDescent="0.35">
      <c r="A134" s="689"/>
      <c r="B134" s="641" t="s">
        <v>727</v>
      </c>
      <c r="C134" s="642"/>
      <c r="D134" s="642"/>
      <c r="E134" s="642"/>
      <c r="F134" s="642"/>
      <c r="G134" s="646"/>
      <c r="H134" s="977"/>
      <c r="I134" s="977"/>
      <c r="J134" s="977"/>
      <c r="K134" s="977"/>
      <c r="L134" s="977"/>
      <c r="M134" s="977"/>
      <c r="N134" s="977"/>
      <c r="O134" s="977"/>
      <c r="P134" s="977"/>
      <c r="Q134" s="977"/>
      <c r="R134" s="977"/>
      <c r="S134" s="977"/>
      <c r="T134" s="977"/>
      <c r="U134" s="977"/>
      <c r="V134" s="977"/>
      <c r="W134" s="977"/>
      <c r="X134" s="977"/>
      <c r="Y134" s="977"/>
      <c r="Z134" s="977"/>
      <c r="AA134" s="977"/>
      <c r="AB134" s="977"/>
      <c r="AC134" s="977"/>
      <c r="AD134" s="977"/>
      <c r="AE134" s="977"/>
      <c r="AF134" s="977"/>
      <c r="AG134" s="977"/>
      <c r="AH134" s="977"/>
      <c r="AI134" s="977"/>
      <c r="AJ134" s="977"/>
      <c r="AK134" s="977"/>
    </row>
    <row r="135" spans="1:37" x14ac:dyDescent="0.35">
      <c r="A135" s="689"/>
      <c r="B135" s="641" t="s">
        <v>728</v>
      </c>
      <c r="C135" s="642"/>
      <c r="D135" s="642"/>
      <c r="E135" s="642"/>
      <c r="F135" s="642"/>
      <c r="G135" s="646"/>
      <c r="H135" s="977"/>
      <c r="I135" s="977"/>
      <c r="J135" s="977"/>
      <c r="K135" s="977"/>
      <c r="L135" s="977"/>
      <c r="M135" s="977"/>
      <c r="N135" s="977"/>
      <c r="O135" s="977"/>
      <c r="P135" s="977"/>
      <c r="Q135" s="977"/>
      <c r="R135" s="977"/>
      <c r="S135" s="977"/>
      <c r="T135" s="977"/>
      <c r="U135" s="977"/>
      <c r="V135" s="977"/>
      <c r="W135" s="977"/>
      <c r="X135" s="977"/>
      <c r="Y135" s="977"/>
      <c r="Z135" s="977"/>
      <c r="AA135" s="977"/>
      <c r="AB135" s="977"/>
      <c r="AC135" s="977"/>
      <c r="AD135" s="977"/>
      <c r="AE135" s="977"/>
      <c r="AF135" s="977"/>
      <c r="AG135" s="977"/>
      <c r="AH135" s="977"/>
      <c r="AI135" s="977"/>
      <c r="AJ135" s="977"/>
      <c r="AK135" s="977"/>
    </row>
    <row r="136" spans="1:37" x14ac:dyDescent="0.35">
      <c r="A136" s="689"/>
      <c r="B136" s="641" t="s">
        <v>729</v>
      </c>
      <c r="C136" s="642"/>
      <c r="D136" s="642"/>
      <c r="E136" s="642"/>
      <c r="F136" s="642"/>
      <c r="G136" s="646"/>
      <c r="H136" s="977"/>
      <c r="I136" s="977"/>
      <c r="J136" s="977"/>
      <c r="K136" s="977"/>
      <c r="L136" s="977"/>
      <c r="M136" s="977"/>
      <c r="N136" s="977"/>
      <c r="O136" s="977"/>
      <c r="P136" s="977"/>
      <c r="Q136" s="977"/>
      <c r="R136" s="977"/>
      <c r="S136" s="977"/>
      <c r="T136" s="977"/>
      <c r="U136" s="977"/>
      <c r="V136" s="977"/>
      <c r="W136" s="977"/>
      <c r="X136" s="977"/>
      <c r="Y136" s="977"/>
      <c r="Z136" s="977"/>
      <c r="AA136" s="977"/>
      <c r="AB136" s="977"/>
      <c r="AC136" s="977"/>
      <c r="AD136" s="977"/>
      <c r="AE136" s="977"/>
      <c r="AF136" s="977"/>
      <c r="AG136" s="977"/>
      <c r="AH136" s="977"/>
      <c r="AI136" s="977"/>
      <c r="AJ136" s="977"/>
      <c r="AK136" s="977"/>
    </row>
    <row r="137" spans="1:37" x14ac:dyDescent="0.35">
      <c r="A137" s="978"/>
      <c r="B137" s="939"/>
      <c r="C137" s="940"/>
      <c r="D137" s="940"/>
      <c r="E137" s="940"/>
      <c r="F137" s="940"/>
      <c r="G137" s="1039"/>
      <c r="H137" s="981"/>
      <c r="I137" s="981"/>
      <c r="J137" s="981"/>
      <c r="K137" s="981"/>
      <c r="L137" s="981"/>
      <c r="M137" s="981"/>
      <c r="N137" s="981"/>
      <c r="O137" s="981"/>
      <c r="P137" s="981"/>
      <c r="Q137" s="981"/>
      <c r="R137" s="981"/>
      <c r="S137" s="981"/>
      <c r="T137" s="981"/>
      <c r="U137" s="981"/>
      <c r="V137" s="981"/>
      <c r="W137" s="981"/>
      <c r="X137" s="981"/>
      <c r="Y137" s="981"/>
      <c r="Z137" s="981"/>
      <c r="AA137" s="981"/>
      <c r="AB137" s="981"/>
      <c r="AC137" s="981"/>
      <c r="AD137" s="981"/>
      <c r="AE137" s="981"/>
      <c r="AF137" s="981"/>
      <c r="AG137" s="981"/>
      <c r="AH137" s="981"/>
      <c r="AI137" s="981"/>
      <c r="AJ137" s="981"/>
      <c r="AK137" s="981"/>
    </row>
    <row r="138" spans="1:37" x14ac:dyDescent="0.35">
      <c r="A138" s="7" t="s">
        <v>730</v>
      </c>
      <c r="B138" s="8"/>
      <c r="C138" s="12"/>
      <c r="D138" s="12"/>
      <c r="E138" s="12"/>
      <c r="F138" s="12"/>
      <c r="G138" s="13"/>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row>
    <row r="139" spans="1:37" x14ac:dyDescent="0.35">
      <c r="A139" s="968"/>
      <c r="B139" s="709" t="s">
        <v>731</v>
      </c>
      <c r="C139" s="707"/>
      <c r="D139" s="707"/>
      <c r="E139" s="707"/>
      <c r="F139" s="707"/>
      <c r="G139" s="1195"/>
      <c r="H139" s="983"/>
      <c r="I139" s="983"/>
      <c r="J139" s="983"/>
      <c r="K139" s="983"/>
      <c r="L139" s="983"/>
      <c r="M139" s="983"/>
      <c r="N139" s="983"/>
      <c r="O139" s="983"/>
      <c r="P139" s="983"/>
      <c r="Q139" s="983"/>
      <c r="R139" s="983"/>
      <c r="S139" s="983"/>
      <c r="T139" s="983"/>
      <c r="U139" s="983"/>
      <c r="V139" s="983"/>
      <c r="W139" s="983"/>
      <c r="X139" s="983"/>
      <c r="Y139" s="983"/>
      <c r="Z139" s="983"/>
      <c r="AA139" s="983"/>
      <c r="AB139" s="983"/>
      <c r="AC139" s="983"/>
      <c r="AD139" s="983"/>
      <c r="AE139" s="983"/>
      <c r="AF139" s="983"/>
      <c r="AG139" s="983"/>
      <c r="AH139" s="983"/>
      <c r="AI139" s="983"/>
      <c r="AJ139" s="983"/>
      <c r="AK139" s="983"/>
    </row>
    <row r="140" spans="1:37" x14ac:dyDescent="0.35">
      <c r="A140" s="689"/>
      <c r="B140" s="641" t="s">
        <v>732</v>
      </c>
      <c r="C140" s="642"/>
      <c r="D140" s="642"/>
      <c r="E140" s="642"/>
      <c r="F140" s="642"/>
      <c r="G140" s="646"/>
      <c r="H140" s="984"/>
      <c r="I140" s="984"/>
      <c r="J140" s="984"/>
      <c r="K140" s="984"/>
      <c r="L140" s="984"/>
      <c r="M140" s="984"/>
      <c r="N140" s="984"/>
      <c r="O140" s="984"/>
      <c r="P140" s="984"/>
      <c r="Q140" s="984"/>
      <c r="R140" s="984"/>
      <c r="S140" s="984"/>
      <c r="T140" s="984"/>
      <c r="U140" s="984"/>
      <c r="V140" s="984"/>
      <c r="W140" s="984"/>
      <c r="X140" s="984"/>
      <c r="Y140" s="984"/>
      <c r="Z140" s="984"/>
      <c r="AA140" s="984"/>
      <c r="AB140" s="984"/>
      <c r="AC140" s="984"/>
      <c r="AD140" s="984"/>
      <c r="AE140" s="984"/>
      <c r="AF140" s="984"/>
      <c r="AG140" s="984"/>
      <c r="AH140" s="984"/>
      <c r="AI140" s="984"/>
      <c r="AJ140" s="984"/>
      <c r="AK140" s="984"/>
    </row>
    <row r="141" spans="1:37" x14ac:dyDescent="0.35">
      <c r="A141" s="985"/>
      <c r="B141" s="986" t="s">
        <v>733</v>
      </c>
      <c r="C141" s="987"/>
      <c r="D141" s="987"/>
      <c r="E141" s="987"/>
      <c r="F141" s="987"/>
      <c r="G141" s="1040"/>
      <c r="H141" s="990"/>
      <c r="I141" s="990"/>
      <c r="J141" s="990"/>
      <c r="K141" s="990"/>
      <c r="L141" s="990"/>
      <c r="M141" s="990"/>
      <c r="N141" s="990"/>
      <c r="O141" s="990"/>
      <c r="P141" s="990"/>
      <c r="Q141" s="990"/>
      <c r="R141" s="990"/>
      <c r="S141" s="990"/>
      <c r="T141" s="990"/>
      <c r="U141" s="990"/>
      <c r="V141" s="990"/>
      <c r="W141" s="990"/>
      <c r="X141" s="990"/>
      <c r="Y141" s="990"/>
      <c r="Z141" s="990"/>
      <c r="AA141" s="990"/>
      <c r="AB141" s="990"/>
      <c r="AC141" s="990"/>
      <c r="AD141" s="990"/>
      <c r="AE141" s="990"/>
      <c r="AF141" s="990"/>
      <c r="AG141" s="990"/>
      <c r="AH141" s="990"/>
      <c r="AI141" s="990"/>
      <c r="AJ141" s="990"/>
      <c r="AK141" s="990"/>
    </row>
    <row r="142" spans="1:37" x14ac:dyDescent="0.35">
      <c r="AJ142" s="2"/>
      <c r="AK142" s="2"/>
    </row>
    <row r="143" spans="1:37" x14ac:dyDescent="0.35">
      <c r="A143" s="78" t="s">
        <v>734</v>
      </c>
      <c r="B143" s="80"/>
      <c r="AJ143" s="2"/>
      <c r="AK143" s="2"/>
    </row>
    <row r="144" spans="1:37" x14ac:dyDescent="0.35">
      <c r="A144" s="79" t="s">
        <v>632</v>
      </c>
      <c r="B144" s="991" t="str">
        <f>V4</f>
        <v>Coastal Metal</v>
      </c>
      <c r="AJ144" s="2"/>
      <c r="AK144" s="2"/>
    </row>
    <row r="145" spans="1:37" x14ac:dyDescent="0.35">
      <c r="A145" s="687" t="s">
        <v>636</v>
      </c>
      <c r="B145" s="991" t="str">
        <f>V5</f>
        <v>Laura Montes</v>
      </c>
      <c r="AJ145" s="2"/>
      <c r="AK145" s="2"/>
    </row>
    <row r="146" spans="1:37" x14ac:dyDescent="0.35">
      <c r="A146" s="992" t="s">
        <v>639</v>
      </c>
      <c r="B146" s="993" t="str">
        <f>V6</f>
        <v>561-819-0308</v>
      </c>
      <c r="AJ146" s="2"/>
      <c r="AK146" s="2"/>
    </row>
    <row r="147" spans="1:37" x14ac:dyDescent="0.35">
      <c r="A147" s="992" t="s">
        <v>642</v>
      </c>
      <c r="B147" s="994" t="str">
        <f>V7</f>
        <v>lmontes@coastalmetal.biz</v>
      </c>
      <c r="C147" s="2" t="s">
        <v>747</v>
      </c>
      <c r="D147" s="2" t="s">
        <v>80</v>
      </c>
      <c r="E147" s="2" t="s">
        <v>429</v>
      </c>
      <c r="F147" s="2" t="s">
        <v>746</v>
      </c>
      <c r="AJ147" s="2"/>
      <c r="AK147" s="2"/>
    </row>
    <row r="148" spans="1:37" x14ac:dyDescent="0.35">
      <c r="A148" s="995" t="s">
        <v>735</v>
      </c>
      <c r="B148" s="996">
        <f>V8</f>
        <v>493453</v>
      </c>
      <c r="C148" s="325"/>
      <c r="F148" s="333"/>
      <c r="AJ148" s="2"/>
      <c r="AK148" s="2"/>
    </row>
    <row r="150" spans="1:37" x14ac:dyDescent="0.35">
      <c r="A150" s="81"/>
      <c r="B150" s="1" t="s">
        <v>736</v>
      </c>
    </row>
    <row r="151" spans="1:37" x14ac:dyDescent="0.35">
      <c r="A151" s="82"/>
      <c r="B151" s="1" t="s">
        <v>737</v>
      </c>
    </row>
  </sheetData>
  <mergeCells count="189">
    <mergeCell ref="R1:S1"/>
    <mergeCell ref="R2:S2"/>
    <mergeCell ref="R3:S3"/>
    <mergeCell ref="R4:S4"/>
    <mergeCell ref="R5:S5"/>
    <mergeCell ref="R6:S6"/>
    <mergeCell ref="R7:S7"/>
    <mergeCell ref="R8:S8"/>
    <mergeCell ref="R9:S9"/>
    <mergeCell ref="AS10:AT10"/>
    <mergeCell ref="AU10:AV10"/>
    <mergeCell ref="AW10:AX10"/>
    <mergeCell ref="AY10:AZ10"/>
    <mergeCell ref="BA10:BB10"/>
    <mergeCell ref="H10:I10"/>
    <mergeCell ref="J10:K10"/>
    <mergeCell ref="L10:M10"/>
    <mergeCell ref="P10:Q10"/>
    <mergeCell ref="V10:W10"/>
    <mergeCell ref="X10:Y10"/>
    <mergeCell ref="Z10:AA10"/>
    <mergeCell ref="AB10:AC10"/>
    <mergeCell ref="AD10:AE10"/>
    <mergeCell ref="R10:S10"/>
    <mergeCell ref="T10:U10"/>
    <mergeCell ref="AF10:AG10"/>
    <mergeCell ref="AH10:AI10"/>
    <mergeCell ref="AJ10:AK10"/>
    <mergeCell ref="AS9:AT9"/>
    <mergeCell ref="AU9:AV9"/>
    <mergeCell ref="AW9:AX9"/>
    <mergeCell ref="AY9:AZ9"/>
    <mergeCell ref="BA9:BB9"/>
    <mergeCell ref="H9:I9"/>
    <mergeCell ref="J9:K9"/>
    <mergeCell ref="L9:M9"/>
    <mergeCell ref="P9:Q9"/>
    <mergeCell ref="V9:W9"/>
    <mergeCell ref="X9:Y9"/>
    <mergeCell ref="Z9:AA9"/>
    <mergeCell ref="AB9:AC9"/>
    <mergeCell ref="AD9:AE9"/>
    <mergeCell ref="AH9:AI9"/>
    <mergeCell ref="BA8:BB8"/>
    <mergeCell ref="AY7:AZ7"/>
    <mergeCell ref="AY8:AZ8"/>
    <mergeCell ref="AS8:AT8"/>
    <mergeCell ref="AW4:AX4"/>
    <mergeCell ref="AW5:AX5"/>
    <mergeCell ref="AW6:AX6"/>
    <mergeCell ref="AW7:AX7"/>
    <mergeCell ref="AW8:AX8"/>
    <mergeCell ref="AY6:AZ6"/>
    <mergeCell ref="AS4:AT4"/>
    <mergeCell ref="AS5:AT5"/>
    <mergeCell ref="AS6:AT6"/>
    <mergeCell ref="AS7:AT7"/>
    <mergeCell ref="BA4:BB4"/>
    <mergeCell ref="AU7:AV7"/>
    <mergeCell ref="AU5:AV5"/>
    <mergeCell ref="AU6:AV6"/>
    <mergeCell ref="AU8:AV8"/>
    <mergeCell ref="BA6:BB6"/>
    <mergeCell ref="BA7:BB7"/>
    <mergeCell ref="BA5:BB5"/>
    <mergeCell ref="BA2:BB2"/>
    <mergeCell ref="BA3:BB3"/>
    <mergeCell ref="AD3:AE3"/>
    <mergeCell ref="AY5:AZ5"/>
    <mergeCell ref="AY3:AZ3"/>
    <mergeCell ref="AY4:AZ4"/>
    <mergeCell ref="AW3:AX3"/>
    <mergeCell ref="AJ2:AK2"/>
    <mergeCell ref="AJ3:AK3"/>
    <mergeCell ref="AS3:AT3"/>
    <mergeCell ref="AJ4:AK4"/>
    <mergeCell ref="AU2:AV2"/>
    <mergeCell ref="AU3:AV3"/>
    <mergeCell ref="AU4:AV4"/>
    <mergeCell ref="AJ5:AK5"/>
    <mergeCell ref="AB1:AC1"/>
    <mergeCell ref="AB3:AC3"/>
    <mergeCell ref="AB4:AC4"/>
    <mergeCell ref="H2:I2"/>
    <mergeCell ref="L3:M3"/>
    <mergeCell ref="AF2:AG2"/>
    <mergeCell ref="Z3:AA3"/>
    <mergeCell ref="Z2:AA2"/>
    <mergeCell ref="L2:M2"/>
    <mergeCell ref="H3:I3"/>
    <mergeCell ref="H4:I4"/>
    <mergeCell ref="L4:M4"/>
    <mergeCell ref="V4:W4"/>
    <mergeCell ref="P4:Q4"/>
    <mergeCell ref="AD4:AE4"/>
    <mergeCell ref="Z4:AA4"/>
    <mergeCell ref="X4:Y4"/>
    <mergeCell ref="J2:K2"/>
    <mergeCell ref="J3:K3"/>
    <mergeCell ref="J4:K4"/>
    <mergeCell ref="V2:W2"/>
    <mergeCell ref="P1:Q1"/>
    <mergeCell ref="P2:Q2"/>
    <mergeCell ref="V3:W3"/>
    <mergeCell ref="L6:M6"/>
    <mergeCell ref="V5:W5"/>
    <mergeCell ref="P5:Q5"/>
    <mergeCell ref="L5:M5"/>
    <mergeCell ref="AF5:AG5"/>
    <mergeCell ref="AH6:AI6"/>
    <mergeCell ref="AF6:AG6"/>
    <mergeCell ref="AB6:AC6"/>
    <mergeCell ref="V6:W6"/>
    <mergeCell ref="P6:Q6"/>
    <mergeCell ref="AD6:AE6"/>
    <mergeCell ref="N5:O5"/>
    <mergeCell ref="N6:O6"/>
    <mergeCell ref="J1:K1"/>
    <mergeCell ref="X3:Y3"/>
    <mergeCell ref="Z1:AA1"/>
    <mergeCell ref="X1:Y1"/>
    <mergeCell ref="AH2:AI2"/>
    <mergeCell ref="AF4:AG4"/>
    <mergeCell ref="AH4:AI4"/>
    <mergeCell ref="A132:B132"/>
    <mergeCell ref="A112:B112"/>
    <mergeCell ref="A116:B116"/>
    <mergeCell ref="A120:B120"/>
    <mergeCell ref="A124:B124"/>
    <mergeCell ref="AF9:AG9"/>
    <mergeCell ref="H5:I5"/>
    <mergeCell ref="AH5:AI5"/>
    <mergeCell ref="H6:I6"/>
    <mergeCell ref="P7:Q7"/>
    <mergeCell ref="AD7:AE7"/>
    <mergeCell ref="Z7:AA7"/>
    <mergeCell ref="X7:Y7"/>
    <mergeCell ref="V7:W7"/>
    <mergeCell ref="AB7:AC7"/>
    <mergeCell ref="J5:K5"/>
    <mergeCell ref="Z5:AA5"/>
    <mergeCell ref="H7:I7"/>
    <mergeCell ref="AF7:AG7"/>
    <mergeCell ref="AH7:AI7"/>
    <mergeCell ref="L7:M7"/>
    <mergeCell ref="X8:Y8"/>
    <mergeCell ref="AB8:AC8"/>
    <mergeCell ref="J7:K7"/>
    <mergeCell ref="J8:K8"/>
    <mergeCell ref="P3:Q3"/>
    <mergeCell ref="X5:Y5"/>
    <mergeCell ref="Z6:AA6"/>
    <mergeCell ref="X6:Y6"/>
    <mergeCell ref="AD5:AE5"/>
    <mergeCell ref="AB5:AC5"/>
    <mergeCell ref="J6:K6"/>
    <mergeCell ref="L8:M8"/>
    <mergeCell ref="H8:I8"/>
    <mergeCell ref="V8:W8"/>
    <mergeCell ref="P8:Q8"/>
    <mergeCell ref="AD8:AE8"/>
    <mergeCell ref="AF8:AG8"/>
    <mergeCell ref="AH8:AI8"/>
    <mergeCell ref="N3:O3"/>
    <mergeCell ref="N4:O4"/>
    <mergeCell ref="N7:O7"/>
    <mergeCell ref="N8:O8"/>
    <mergeCell ref="N9:O9"/>
    <mergeCell ref="N10:O10"/>
    <mergeCell ref="N1:O1"/>
    <mergeCell ref="T2:U2"/>
    <mergeCell ref="AJ8:AK8"/>
    <mergeCell ref="Z8:AA8"/>
    <mergeCell ref="T4:U4"/>
    <mergeCell ref="T5:U5"/>
    <mergeCell ref="T6:U6"/>
    <mergeCell ref="T7:U7"/>
    <mergeCell ref="T3:U3"/>
    <mergeCell ref="T8:U8"/>
    <mergeCell ref="T9:U9"/>
    <mergeCell ref="AJ7:AK7"/>
    <mergeCell ref="AJ6:AK6"/>
    <mergeCell ref="AJ9:AK9"/>
    <mergeCell ref="AB2:AC2"/>
    <mergeCell ref="X2:Y2"/>
    <mergeCell ref="AD2:AE2"/>
    <mergeCell ref="AF3:AG3"/>
    <mergeCell ref="AH3:AI3"/>
    <mergeCell ref="N2:O2"/>
  </mergeCells>
  <conditionalFormatting sqref="H25:H34 H36:H103 L36:L103 P36:P103 V36:V103 AD36:AD103 AF36:AF103 AH36:AH103 AJ36:AJ103 AY58:AY62 X96:X103 Z96:Z103 AB96:AB103">
    <cfRule type="cellIs" dxfId="2529" priority="165" operator="equal">
      <formula>"X"</formula>
    </cfRule>
    <cfRule type="cellIs" dxfId="2528" priority="166" operator="equal">
      <formula>"I"</formula>
    </cfRule>
  </conditionalFormatting>
  <conditionalFormatting sqref="H129">
    <cfRule type="cellIs" dxfId="2527" priority="215" operator="equal">
      <formula>"X"</formula>
    </cfRule>
    <cfRule type="cellIs" dxfId="2526" priority="216" operator="equal">
      <formula>"I"</formula>
    </cfRule>
  </conditionalFormatting>
  <conditionalFormatting sqref="J25:J34">
    <cfRule type="cellIs" dxfId="2525" priority="31" operator="equal">
      <formula>"X"</formula>
    </cfRule>
    <cfRule type="cellIs" dxfId="2524" priority="32" operator="equal">
      <formula>"I"</formula>
    </cfRule>
  </conditionalFormatting>
  <conditionalFormatting sqref="J36:J103">
    <cfRule type="cellIs" dxfId="2523" priority="3" operator="equal">
      <formula>"X"</formula>
    </cfRule>
    <cfRule type="cellIs" dxfId="2522" priority="4" operator="equal">
      <formula>"I"</formula>
    </cfRule>
  </conditionalFormatting>
  <conditionalFormatting sqref="J129">
    <cfRule type="cellIs" dxfId="2521" priority="33" operator="equal">
      <formula>"X"</formula>
    </cfRule>
    <cfRule type="cellIs" dxfId="2520" priority="34" operator="equal">
      <formula>"I"</formula>
    </cfRule>
  </conditionalFormatting>
  <conditionalFormatting sqref="L22:L34">
    <cfRule type="cellIs" dxfId="2519" priority="283" operator="equal">
      <formula>"X"</formula>
    </cfRule>
    <cfRule type="cellIs" dxfId="2518" priority="284" operator="equal">
      <formula>"I"</formula>
    </cfRule>
  </conditionalFormatting>
  <conditionalFormatting sqref="L121">
    <cfRule type="cellIs" dxfId="2517" priority="277" operator="equal">
      <formula>"X"</formula>
    </cfRule>
    <cfRule type="cellIs" dxfId="2516" priority="278" operator="equal">
      <formula>"I"</formula>
    </cfRule>
  </conditionalFormatting>
  <conditionalFormatting sqref="L125:L131">
    <cfRule type="cellIs" dxfId="2515" priority="281" operator="equal">
      <formula>"X"</formula>
    </cfRule>
    <cfRule type="cellIs" dxfId="2514" priority="282" operator="equal">
      <formula>"I"</formula>
    </cfRule>
  </conditionalFormatting>
  <conditionalFormatting sqref="N22:N34">
    <cfRule type="cellIs" dxfId="2513" priority="11" operator="equal">
      <formula>"X"</formula>
    </cfRule>
    <cfRule type="cellIs" dxfId="2512" priority="12" operator="equal">
      <formula>"I"</formula>
    </cfRule>
  </conditionalFormatting>
  <conditionalFormatting sqref="N36:N103">
    <cfRule type="cellIs" dxfId="2511" priority="5" operator="equal">
      <formula>"X"</formula>
    </cfRule>
    <cfRule type="cellIs" dxfId="2510" priority="6" operator="equal">
      <formula>"I"</formula>
    </cfRule>
  </conditionalFormatting>
  <conditionalFormatting sqref="N121">
    <cfRule type="cellIs" dxfId="2509" priority="7" operator="equal">
      <formula>"X"</formula>
    </cfRule>
    <cfRule type="cellIs" dxfId="2508" priority="8" operator="equal">
      <formula>"I"</formula>
    </cfRule>
  </conditionalFormatting>
  <conditionalFormatting sqref="N125:N131">
    <cfRule type="cellIs" dxfId="2507" priority="9" operator="equal">
      <formula>"X"</formula>
    </cfRule>
    <cfRule type="cellIs" dxfId="2506" priority="10" operator="equal">
      <formula>"I"</formula>
    </cfRule>
  </conditionalFormatting>
  <conditionalFormatting sqref="P22:P34">
    <cfRule type="cellIs" dxfId="2505" priority="117" operator="equal">
      <formula>"X"</formula>
    </cfRule>
    <cfRule type="cellIs" dxfId="2504" priority="118" operator="equal">
      <formula>"I"</formula>
    </cfRule>
  </conditionalFormatting>
  <conditionalFormatting sqref="R22:R34">
    <cfRule type="cellIs" dxfId="2503" priority="1" operator="equal">
      <formula>"X"</formula>
    </cfRule>
    <cfRule type="cellIs" dxfId="2502" priority="2" operator="equal">
      <formula>"I"</formula>
    </cfRule>
  </conditionalFormatting>
  <conditionalFormatting sqref="R36:R103">
    <cfRule type="cellIs" dxfId="2501" priority="29" operator="equal">
      <formula>"X"</formula>
    </cfRule>
    <cfRule type="cellIs" dxfId="2500" priority="30" operator="equal">
      <formula>"I"</formula>
    </cfRule>
  </conditionalFormatting>
  <conditionalFormatting sqref="T25:T33">
    <cfRule type="cellIs" dxfId="2499" priority="25" operator="equal">
      <formula>"X"</formula>
    </cfRule>
    <cfRule type="cellIs" dxfId="2498" priority="26" operator="equal">
      <formula>"I"</formula>
    </cfRule>
  </conditionalFormatting>
  <conditionalFormatting sqref="T37:T38">
    <cfRule type="cellIs" dxfId="2497" priority="23" operator="equal">
      <formula>"X"</formula>
    </cfRule>
    <cfRule type="cellIs" dxfId="2496" priority="24" operator="equal">
      <formula>"I"</formula>
    </cfRule>
  </conditionalFormatting>
  <conditionalFormatting sqref="T40:T103">
    <cfRule type="cellIs" dxfId="2495" priority="21" operator="equal">
      <formula>"X"</formula>
    </cfRule>
    <cfRule type="cellIs" dxfId="2494" priority="22" operator="equal">
      <formula>"I"</formula>
    </cfRule>
  </conditionalFormatting>
  <conditionalFormatting sqref="V22:V34">
    <cfRule type="cellIs" dxfId="2493" priority="267" operator="equal">
      <formula>"X"</formula>
    </cfRule>
    <cfRule type="cellIs" dxfId="2492" priority="268" operator="equal">
      <formula>"I"</formula>
    </cfRule>
  </conditionalFormatting>
  <conditionalFormatting sqref="X25:X33">
    <cfRule type="cellIs" dxfId="2491" priority="155" operator="equal">
      <formula>"X"</formula>
    </cfRule>
    <cfRule type="cellIs" dxfId="2490" priority="156" operator="equal">
      <formula>"I"</formula>
    </cfRule>
  </conditionalFormatting>
  <conditionalFormatting sqref="X37:X38">
    <cfRule type="cellIs" dxfId="2489" priority="151" operator="equal">
      <formula>"X"</formula>
    </cfRule>
    <cfRule type="cellIs" dxfId="2488" priority="152" operator="equal">
      <formula>"I"</formula>
    </cfRule>
  </conditionalFormatting>
  <conditionalFormatting sqref="X40:X94">
    <cfRule type="cellIs" dxfId="2487" priority="175" operator="equal">
      <formula>"X"</formula>
    </cfRule>
    <cfRule type="cellIs" dxfId="2486" priority="176" operator="equal">
      <formula>"I"</formula>
    </cfRule>
  </conditionalFormatting>
  <conditionalFormatting sqref="Z25:Z33">
    <cfRule type="cellIs" dxfId="2485" priority="103" operator="equal">
      <formula>"X"</formula>
    </cfRule>
    <cfRule type="cellIs" dxfId="2484" priority="104" operator="equal">
      <formula>"I"</formula>
    </cfRule>
  </conditionalFormatting>
  <conditionalFormatting sqref="Z37:Z38">
    <cfRule type="cellIs" dxfId="2483" priority="101" operator="equal">
      <formula>"X"</formula>
    </cfRule>
    <cfRule type="cellIs" dxfId="2482" priority="102" operator="equal">
      <formula>"I"</formula>
    </cfRule>
  </conditionalFormatting>
  <conditionalFormatting sqref="Z40:Z94">
    <cfRule type="cellIs" dxfId="2481" priority="105" operator="equal">
      <formula>"X"</formula>
    </cfRule>
    <cfRule type="cellIs" dxfId="2480" priority="106" operator="equal">
      <formula>"I"</formula>
    </cfRule>
  </conditionalFormatting>
  <conditionalFormatting sqref="AB25:AB33">
    <cfRule type="cellIs" dxfId="2479" priority="95" operator="equal">
      <formula>"X"</formula>
    </cfRule>
    <cfRule type="cellIs" dxfId="2478" priority="96" operator="equal">
      <formula>"I"</formula>
    </cfRule>
  </conditionalFormatting>
  <conditionalFormatting sqref="AB37:AB38">
    <cfRule type="cellIs" dxfId="2477" priority="93" operator="equal">
      <formula>"X"</formula>
    </cfRule>
    <cfRule type="cellIs" dxfId="2476" priority="94" operator="equal">
      <formula>"I"</formula>
    </cfRule>
  </conditionalFormatting>
  <conditionalFormatting sqref="AB40:AB94">
    <cfRule type="cellIs" dxfId="2475" priority="97" operator="equal">
      <formula>"X"</formula>
    </cfRule>
    <cfRule type="cellIs" dxfId="2474" priority="98" operator="equal">
      <formula>"I"</formula>
    </cfRule>
  </conditionalFormatting>
  <conditionalFormatting sqref="AD22:AD34">
    <cfRule type="cellIs" dxfId="2473" priority="251" operator="equal">
      <formula>"X"</formula>
    </cfRule>
    <cfRule type="cellIs" dxfId="2472" priority="252" operator="equal">
      <formula>"I"</formula>
    </cfRule>
  </conditionalFormatting>
  <conditionalFormatting sqref="AF22:AF34">
    <cfRule type="cellIs" dxfId="2471" priority="289" operator="equal">
      <formula>"X"</formula>
    </cfRule>
    <cfRule type="cellIs" dxfId="2470" priority="290" operator="equal">
      <formula>"I"</formula>
    </cfRule>
  </conditionalFormatting>
  <conditionalFormatting sqref="AH22:AH34">
    <cfRule type="cellIs" dxfId="2469" priority="291" operator="equal">
      <formula>"X"</formula>
    </cfRule>
    <cfRule type="cellIs" dxfId="2468" priority="292" operator="equal">
      <formula>"I"</formula>
    </cfRule>
  </conditionalFormatting>
  <conditionalFormatting sqref="AJ22:AJ34">
    <cfRule type="cellIs" dxfId="2467" priority="275" operator="equal">
      <formula>"X"</formula>
    </cfRule>
    <cfRule type="cellIs" dxfId="2466" priority="276" operator="equal">
      <formula>"I"</formula>
    </cfRule>
  </conditionalFormatting>
  <conditionalFormatting sqref="AS25:AS33">
    <cfRule type="cellIs" dxfId="2465" priority="39" operator="equal">
      <formula>"X"</formula>
    </cfRule>
    <cfRule type="cellIs" dxfId="2464" priority="40" operator="equal">
      <formula>"I"</formula>
    </cfRule>
  </conditionalFormatting>
  <conditionalFormatting sqref="AS37:AS38">
    <cfRule type="cellIs" dxfId="2463" priority="41" operator="equal">
      <formula>"X"</formula>
    </cfRule>
    <cfRule type="cellIs" dxfId="2462" priority="42" operator="equal">
      <formula>"I"</formula>
    </cfRule>
  </conditionalFormatting>
  <conditionalFormatting sqref="AS40:AS62">
    <cfRule type="cellIs" dxfId="2461" priority="35" operator="equal">
      <formula>"X"</formula>
    </cfRule>
    <cfRule type="cellIs" dxfId="2460" priority="36" operator="equal">
      <formula>"I"</formula>
    </cfRule>
  </conditionalFormatting>
  <conditionalFormatting sqref="AU25:AU33">
    <cfRule type="cellIs" dxfId="2459" priority="45" operator="equal">
      <formula>"X"</formula>
    </cfRule>
    <cfRule type="cellIs" dxfId="2458" priority="46" operator="equal">
      <formula>"I"</formula>
    </cfRule>
  </conditionalFormatting>
  <conditionalFormatting sqref="AU37:AU38">
    <cfRule type="cellIs" dxfId="2457" priority="47" operator="equal">
      <formula>"X"</formula>
    </cfRule>
    <cfRule type="cellIs" dxfId="2456" priority="48" operator="equal">
      <formula>"I"</formula>
    </cfRule>
  </conditionalFormatting>
  <conditionalFormatting sqref="AU40:AU55">
    <cfRule type="cellIs" dxfId="2455" priority="43" operator="equal">
      <formula>"X"</formula>
    </cfRule>
    <cfRule type="cellIs" dxfId="2454" priority="44" operator="equal">
      <formula>"I"</formula>
    </cfRule>
  </conditionalFormatting>
  <conditionalFormatting sqref="AU58:AU62">
    <cfRule type="cellIs" dxfId="2453" priority="49" operator="equal">
      <formula>"X"</formula>
    </cfRule>
    <cfRule type="cellIs" dxfId="2452" priority="50" operator="equal">
      <formula>"I"</formula>
    </cfRule>
  </conditionalFormatting>
  <conditionalFormatting sqref="AW25:AW33">
    <cfRule type="cellIs" dxfId="2451" priority="89" operator="equal">
      <formula>"X"</formula>
    </cfRule>
    <cfRule type="cellIs" dxfId="2450" priority="90" operator="equal">
      <formula>"I"</formula>
    </cfRule>
  </conditionalFormatting>
  <conditionalFormatting sqref="AW37:AW38">
    <cfRule type="cellIs" dxfId="2449" priority="91" operator="equal">
      <formula>"X"</formula>
    </cfRule>
    <cfRule type="cellIs" dxfId="2448" priority="92" operator="equal">
      <formula>"I"</formula>
    </cfRule>
  </conditionalFormatting>
  <conditionalFormatting sqref="AW40:AW62">
    <cfRule type="cellIs" dxfId="2447" priority="59" operator="equal">
      <formula>"X"</formula>
    </cfRule>
    <cfRule type="cellIs" dxfId="2446" priority="60" operator="equal">
      <formula>"I"</formula>
    </cfRule>
  </conditionalFormatting>
  <conditionalFormatting sqref="AY25:AY33">
    <cfRule type="cellIs" dxfId="2445" priority="69" operator="equal">
      <formula>"X"</formula>
    </cfRule>
    <cfRule type="cellIs" dxfId="2444" priority="70" operator="equal">
      <formula>"I"</formula>
    </cfRule>
  </conditionalFormatting>
  <conditionalFormatting sqref="AY37:AY38">
    <cfRule type="cellIs" dxfId="2443" priority="71" operator="equal">
      <formula>"X"</formula>
    </cfRule>
    <cfRule type="cellIs" dxfId="2442" priority="72" operator="equal">
      <formula>"I"</formula>
    </cfRule>
  </conditionalFormatting>
  <conditionalFormatting sqref="AY40:AY55">
    <cfRule type="cellIs" dxfId="2441" priority="61" operator="equal">
      <formula>"X"</formula>
    </cfRule>
    <cfRule type="cellIs" dxfId="2440" priority="62" operator="equal">
      <formula>"I"</formula>
    </cfRule>
  </conditionalFormatting>
  <conditionalFormatting sqref="BA25:BA33">
    <cfRule type="cellIs" dxfId="2439" priority="53" operator="equal">
      <formula>"X"</formula>
    </cfRule>
    <cfRule type="cellIs" dxfId="2438" priority="54" operator="equal">
      <formula>"I"</formula>
    </cfRule>
  </conditionalFormatting>
  <conditionalFormatting sqref="BA37:BA38">
    <cfRule type="cellIs" dxfId="2437" priority="55" operator="equal">
      <formula>"X"</formula>
    </cfRule>
    <cfRule type="cellIs" dxfId="2436" priority="56" operator="equal">
      <formula>"I"</formula>
    </cfRule>
  </conditionalFormatting>
  <conditionalFormatting sqref="BA40:BA55">
    <cfRule type="cellIs" dxfId="2435" priority="51" operator="equal">
      <formula>"X"</formula>
    </cfRule>
    <cfRule type="cellIs" dxfId="2434" priority="52" operator="equal">
      <formula>"I"</formula>
    </cfRule>
  </conditionalFormatting>
  <conditionalFormatting sqref="BA58:BA62">
    <cfRule type="cellIs" dxfId="2433" priority="57" operator="equal">
      <formula>"X"</formula>
    </cfRule>
    <cfRule type="cellIs" dxfId="2432" priority="58" operator="equal">
      <formula>"I"</formula>
    </cfRule>
  </conditionalFormatting>
  <hyperlinks>
    <hyperlink ref="B3" location="'Cost Summary'!A1" display="BACK TO SUMMARY SHEET" xr:uid="{D5B7F0B8-F1F9-49D9-B0E0-EC9BC0594681}"/>
    <hyperlink ref="AD7:AE7" r:id="rId1" display="chris@cacocf.com" xr:uid="{0D358166-6863-43CC-8538-3D3ED7566216}"/>
    <hyperlink ref="H7:I7" r:id="rId2" display="drodriguez@biwiron.com" xr:uid="{4D2EC237-C6A8-4EAF-8F06-07A19358196E}"/>
    <hyperlink ref="AH7:AI7" r:id="rId3" display="sales@hollandfiberglass.com" xr:uid="{285C4403-6E4F-468C-8470-456454AB653D}"/>
    <hyperlink ref="AJ7:AK7" r:id="rId4" display="&lt;jake@architecturalmall.com&gt;" xr:uid="{14CF7891-8A1D-4B32-9CB4-8921629D6E2F}"/>
    <hyperlink ref="V7:W7" r:id="rId5" display="lmontes@coastalmetal.biz" xr:uid="{381DA8BE-FBFF-4651-B052-D73ADF442E26}"/>
    <hyperlink ref="P7:Q7" r:id="rId6" display="estimating5@theawningfactory.com" xr:uid="{6EC8B07A-E8FB-4702-B7F2-2B3BFF54ED38}"/>
    <hyperlink ref="P5:Q5" r:id="rId7" display="estimating5@theawningfactory.com" xr:uid="{3F311A52-775F-4721-9308-77D86336E0D5}"/>
    <hyperlink ref="AO3" location="'Cost Summary'!A1" display="BACK TO SUMMARY SHEET" xr:uid="{2CDEC2AE-4F71-421B-BA5A-8A8F6F890176}"/>
    <hyperlink ref="AS7:AT7" r:id="rId8" display="lmontes@coastalmetal.biz" xr:uid="{3AD10547-3A9A-47F6-8F36-DA838BC6074A}"/>
    <hyperlink ref="J7:K7" r:id="rId9" display="drodriguez@biwiron.com" xr:uid="{32B3BE5B-DCC9-4C31-8088-278A6591EAEC}"/>
    <hyperlink ref="R7:S7" r:id="rId10" display="estimating5@theawningfactory.com" xr:uid="{62597207-1CC6-4FA9-8DBD-659B000D6D60}"/>
    <hyperlink ref="R5:S5" r:id="rId11" display="estimating5@theawningfactory.com" xr:uid="{F8205CD3-0D1B-4330-A8E4-0C9905F358A8}"/>
    <hyperlink ref="T7:U7" r:id="rId12" display="vfernandez@aawimpact.com&gt;" xr:uid="{19477D05-7116-467A-B4C7-0BEAEF70C54A}"/>
  </hyperlinks>
  <pageMargins left="0.7" right="0.7" top="0.75" bottom="0.75" header="0.3" footer="0.3"/>
  <pageSetup orientation="portrait" r:id="rId13"/>
  <legacyDrawing r:id="rId1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4B97-A414-4A0E-ADC2-0A112101C55B}">
  <sheetPr>
    <tabColor rgb="FFFFC000"/>
  </sheetPr>
  <dimension ref="A1:AT114"/>
  <sheetViews>
    <sheetView zoomScale="85" zoomScaleNormal="85" workbookViewId="0">
      <pane xSplit="2" ySplit="9" topLeftCell="D65" activePane="bottomRight" state="frozen"/>
      <selection pane="topRight" activeCell="C1" sqref="C1"/>
      <selection pane="bottomLeft" activeCell="A11" sqref="A11"/>
      <selection pane="bottomRight" activeCell="D34" sqref="D34"/>
    </sheetView>
  </sheetViews>
  <sheetFormatPr defaultRowHeight="14.5" x14ac:dyDescent="0.35"/>
  <cols>
    <col min="1" max="1" width="11" customWidth="1"/>
    <col min="2" max="2" width="70.7265625" style="1" customWidth="1"/>
    <col min="3" max="3" width="10.81640625" style="2" bestFit="1" customWidth="1"/>
    <col min="4" max="4" width="12.26953125" style="2" customWidth="1"/>
    <col min="5" max="5" width="7.54296875" style="2" customWidth="1"/>
    <col min="6" max="6" width="10.54296875" style="2" customWidth="1"/>
    <col min="7" max="7" width="12.26953125" style="2" customWidth="1"/>
    <col min="8" max="8" width="6.54296875" style="2" customWidth="1"/>
    <col min="9" max="9" width="12.26953125" style="2" customWidth="1"/>
    <col min="10" max="10" width="7.453125" style="2" customWidth="1"/>
    <col min="11" max="11" width="12.26953125" style="2" customWidth="1"/>
    <col min="12" max="12" width="7.7265625" style="2" customWidth="1"/>
    <col min="13" max="13" width="13.7265625" style="2" customWidth="1"/>
    <col min="14" max="14" width="7.7265625" style="2" customWidth="1"/>
    <col min="15" max="15" width="13.7265625" style="2" customWidth="1"/>
    <col min="16" max="16" width="7.453125" style="2" bestFit="1" customWidth="1"/>
    <col min="17" max="17" width="14.81640625" style="2" customWidth="1"/>
    <col min="18" max="18" width="7.453125" style="2" hidden="1" customWidth="1"/>
    <col min="19" max="19" width="12.26953125" style="2" hidden="1" customWidth="1"/>
    <col min="20" max="20" width="7.453125" style="2" hidden="1" customWidth="1"/>
    <col min="21" max="21" width="14.81640625" style="2" hidden="1" customWidth="1"/>
    <col min="22" max="22" width="7.453125" style="2" hidden="1" customWidth="1"/>
    <col min="23" max="23" width="14.81640625" style="2" hidden="1" customWidth="1"/>
    <col min="24" max="24" width="6.81640625" style="2" hidden="1" customWidth="1"/>
    <col min="25" max="25" width="14.81640625" style="2" hidden="1" customWidth="1"/>
    <col min="26" max="26" width="7.453125" style="2" hidden="1" customWidth="1"/>
    <col min="27" max="27" width="14.81640625" style="2" hidden="1" customWidth="1"/>
    <col min="28" max="28" width="7.453125" style="2" hidden="1" customWidth="1"/>
    <col min="29" max="29" width="14.81640625" style="2" hidden="1" customWidth="1"/>
    <col min="30" max="30" width="7.453125" style="2" hidden="1" customWidth="1"/>
    <col min="31" max="31" width="14.81640625" style="2" hidden="1" customWidth="1"/>
    <col min="32" max="32" width="6.81640625" hidden="1" customWidth="1"/>
    <col min="33" max="33" width="13.81640625" hidden="1" customWidth="1"/>
  </cols>
  <sheetData>
    <row r="1" spans="1:33" x14ac:dyDescent="0.35">
      <c r="E1" s="152"/>
      <c r="F1" s="125"/>
      <c r="G1" s="123" t="s">
        <v>621</v>
      </c>
      <c r="AF1" s="2"/>
      <c r="AG1" s="2"/>
    </row>
    <row r="2" spans="1:33" x14ac:dyDescent="0.35">
      <c r="E2" s="152"/>
      <c r="F2" s="122" t="s">
        <v>622</v>
      </c>
      <c r="G2" s="123" t="s">
        <v>451</v>
      </c>
      <c r="H2" s="3816"/>
      <c r="I2" s="3816"/>
      <c r="J2" s="3816"/>
      <c r="K2" s="3816"/>
      <c r="L2" s="398"/>
      <c r="M2" s="398"/>
      <c r="N2" s="398"/>
      <c r="O2" s="398"/>
      <c r="P2" s="3817"/>
      <c r="Q2" s="3816"/>
      <c r="R2" s="3816">
        <f>S41-$G$41</f>
        <v>-62790</v>
      </c>
      <c r="S2" s="3816"/>
      <c r="T2" s="3816">
        <f>U41-$G$41</f>
        <v>89250</v>
      </c>
      <c r="U2" s="3816"/>
      <c r="V2" s="3816">
        <f>W41-$G$41</f>
        <v>164250</v>
      </c>
      <c r="W2" s="3816"/>
      <c r="X2" s="3816">
        <f>Y41-$G$41</f>
        <v>-48300</v>
      </c>
      <c r="Y2" s="3816"/>
      <c r="Z2" s="3816">
        <f>AA41-$G$41</f>
        <v>-52230</v>
      </c>
      <c r="AA2" s="3816"/>
      <c r="AB2" s="3816">
        <f>AC41-$G$41</f>
        <v>-31500</v>
      </c>
      <c r="AC2" s="3816"/>
      <c r="AD2" s="3816">
        <f>AE41-$G$41</f>
        <v>43500</v>
      </c>
      <c r="AE2" s="3816"/>
      <c r="AF2" s="3782" t="s">
        <v>1165</v>
      </c>
      <c r="AG2" s="3782"/>
    </row>
    <row r="3" spans="1:33" ht="19.5" x14ac:dyDescent="0.35">
      <c r="B3" s="137" t="s">
        <v>623</v>
      </c>
      <c r="E3" s="152"/>
      <c r="F3" s="124" t="s">
        <v>624</v>
      </c>
      <c r="G3" s="123" t="s">
        <v>557</v>
      </c>
      <c r="H3" s="3754" t="s">
        <v>1253</v>
      </c>
      <c r="I3" s="3755"/>
      <c r="J3" s="3754" t="s">
        <v>1254</v>
      </c>
      <c r="K3" s="3755"/>
      <c r="L3" s="3797" t="s">
        <v>1255</v>
      </c>
      <c r="M3" s="3798"/>
      <c r="N3" s="3754" t="s">
        <v>1255</v>
      </c>
      <c r="O3" s="3755"/>
      <c r="P3" s="3754" t="s">
        <v>1256</v>
      </c>
      <c r="Q3" s="3755"/>
      <c r="R3" s="3754" t="s">
        <v>1257</v>
      </c>
      <c r="S3" s="3755"/>
      <c r="T3" s="3754" t="s">
        <v>1258</v>
      </c>
      <c r="U3" s="3755"/>
      <c r="V3" s="3754" t="s">
        <v>1259</v>
      </c>
      <c r="W3" s="3755"/>
      <c r="X3" s="3754" t="s">
        <v>1260</v>
      </c>
      <c r="Y3" s="3755"/>
      <c r="Z3" s="3814" t="s">
        <v>1261</v>
      </c>
      <c r="AA3" s="3815"/>
      <c r="AB3" s="3754" t="s">
        <v>1262</v>
      </c>
      <c r="AC3" s="3755"/>
      <c r="AD3" s="3754" t="s">
        <v>1263</v>
      </c>
      <c r="AE3" s="3755"/>
      <c r="AF3" s="3810" t="s">
        <v>1168</v>
      </c>
      <c r="AG3" s="3811"/>
    </row>
    <row r="4" spans="1:33" x14ac:dyDescent="0.35">
      <c r="A4" s="3" t="s">
        <v>631</v>
      </c>
      <c r="B4" s="4" t="str">
        <f>'AREA CALC''s'!B4</f>
        <v>Alton Hilltop Gardens</v>
      </c>
      <c r="C4" s="5"/>
      <c r="D4" s="5"/>
      <c r="E4" s="5"/>
      <c r="F4" s="5"/>
      <c r="G4" s="6" t="s">
        <v>632</v>
      </c>
      <c r="H4" s="3752" t="s">
        <v>775</v>
      </c>
      <c r="I4" s="3753"/>
      <c r="J4" s="3752" t="s">
        <v>1264</v>
      </c>
      <c r="K4" s="3753"/>
      <c r="L4" s="3752" t="s">
        <v>1265</v>
      </c>
      <c r="M4" s="3753"/>
      <c r="N4" s="3752" t="s">
        <v>1266</v>
      </c>
      <c r="O4" s="3753"/>
      <c r="P4" s="3752" t="s">
        <v>1267</v>
      </c>
      <c r="Q4" s="3753"/>
      <c r="R4" s="3752"/>
      <c r="S4" s="3753"/>
      <c r="T4" s="3752"/>
      <c r="U4" s="3753"/>
      <c r="V4" s="3752"/>
      <c r="W4" s="3753"/>
      <c r="X4" s="3752"/>
      <c r="Y4" s="3753"/>
      <c r="Z4" s="3752"/>
      <c r="AA4" s="3753"/>
      <c r="AB4" s="3752"/>
      <c r="AC4" s="3753"/>
      <c r="AD4" s="3752"/>
      <c r="AE4" s="3753"/>
      <c r="AF4" s="3752"/>
      <c r="AG4" s="3753"/>
    </row>
    <row r="5" spans="1:33" x14ac:dyDescent="0.35">
      <c r="A5" s="688" t="s">
        <v>634</v>
      </c>
      <c r="B5" s="641" t="s">
        <v>478</v>
      </c>
      <c r="C5" s="642"/>
      <c r="D5" s="642"/>
      <c r="E5" s="642"/>
      <c r="F5" s="642"/>
      <c r="G5" s="643" t="s">
        <v>636</v>
      </c>
      <c r="H5" s="3812"/>
      <c r="I5" s="3813"/>
      <c r="J5" s="3812"/>
      <c r="K5" s="3813"/>
      <c r="L5" s="3812"/>
      <c r="M5" s="3813"/>
      <c r="N5" s="3812"/>
      <c r="O5" s="3813"/>
      <c r="P5" s="3812"/>
      <c r="Q5" s="3813"/>
      <c r="R5" s="3812"/>
      <c r="S5" s="3813"/>
      <c r="T5" s="3812"/>
      <c r="U5" s="3813"/>
      <c r="V5" s="3812"/>
      <c r="W5" s="3813"/>
      <c r="X5" s="3812"/>
      <c r="Y5" s="3813"/>
      <c r="Z5" s="3812"/>
      <c r="AA5" s="3813"/>
      <c r="AB5" s="3812"/>
      <c r="AC5" s="3813"/>
      <c r="AD5" s="3812"/>
      <c r="AE5" s="3813"/>
      <c r="AF5" s="3812"/>
      <c r="AG5" s="3813"/>
    </row>
    <row r="6" spans="1:33" x14ac:dyDescent="0.35">
      <c r="A6" s="688" t="s">
        <v>638</v>
      </c>
      <c r="B6" s="644" t="s">
        <v>477</v>
      </c>
      <c r="C6" s="642"/>
      <c r="D6" s="642"/>
      <c r="E6" s="642"/>
      <c r="F6" s="642"/>
      <c r="G6" s="643" t="s">
        <v>639</v>
      </c>
      <c r="H6" s="3756"/>
      <c r="I6" s="3757"/>
      <c r="J6" s="3756"/>
      <c r="K6" s="3757"/>
      <c r="L6" s="3756"/>
      <c r="M6" s="3757"/>
      <c r="N6" s="3756"/>
      <c r="O6" s="3757"/>
      <c r="P6" s="3756"/>
      <c r="Q6" s="3757"/>
      <c r="R6" s="3756"/>
      <c r="S6" s="3757"/>
      <c r="T6" s="3756"/>
      <c r="U6" s="3757"/>
      <c r="V6" s="3756"/>
      <c r="W6" s="3757"/>
      <c r="X6" s="3756"/>
      <c r="Y6" s="3757"/>
      <c r="Z6" s="3756"/>
      <c r="AA6" s="3757"/>
      <c r="AB6" s="3756"/>
      <c r="AC6" s="3757"/>
      <c r="AD6" s="3756"/>
      <c r="AE6" s="3757"/>
      <c r="AF6" s="3756"/>
      <c r="AG6" s="3757"/>
    </row>
    <row r="7" spans="1:33" x14ac:dyDescent="0.35">
      <c r="A7" s="688" t="s">
        <v>641</v>
      </c>
      <c r="B7" s="645"/>
      <c r="C7" s="642"/>
      <c r="D7" s="642"/>
      <c r="E7" s="642"/>
      <c r="F7" s="642"/>
      <c r="G7" s="643" t="s">
        <v>642</v>
      </c>
      <c r="H7" s="3786"/>
      <c r="I7" s="3757"/>
      <c r="J7" s="3786"/>
      <c r="K7" s="3757"/>
      <c r="L7" s="3786"/>
      <c r="M7" s="3757"/>
      <c r="N7" s="3786"/>
      <c r="O7" s="3757"/>
      <c r="P7" s="3790"/>
      <c r="Q7" s="3792"/>
      <c r="R7" s="3786"/>
      <c r="S7" s="3757"/>
      <c r="T7" s="3790"/>
      <c r="U7" s="3791"/>
      <c r="V7" s="3790"/>
      <c r="W7" s="3792"/>
      <c r="X7" s="3790"/>
      <c r="Y7" s="3792"/>
      <c r="Z7" s="3790"/>
      <c r="AA7" s="3792"/>
      <c r="AB7" s="3790"/>
      <c r="AC7" s="3791"/>
      <c r="AD7" s="3786"/>
      <c r="AE7" s="3757"/>
      <c r="AF7" s="3786"/>
      <c r="AG7" s="3757"/>
    </row>
    <row r="8" spans="1:33" x14ac:dyDescent="0.35">
      <c r="A8" s="938" t="s">
        <v>644</v>
      </c>
      <c r="B8" s="939"/>
      <c r="C8" s="940"/>
      <c r="D8" s="940"/>
      <c r="E8" s="940"/>
      <c r="F8" s="940"/>
      <c r="G8" s="1024" t="s">
        <v>644</v>
      </c>
      <c r="H8" s="3760">
        <f>I45</f>
        <v>483460</v>
      </c>
      <c r="I8" s="3761"/>
      <c r="J8" s="3760"/>
      <c r="K8" s="3761"/>
      <c r="L8" s="3760">
        <f>M45</f>
        <v>353486</v>
      </c>
      <c r="M8" s="3761"/>
      <c r="N8" s="3760"/>
      <c r="O8" s="3761"/>
      <c r="P8" s="3760">
        <f>Q45</f>
        <v>307589.3</v>
      </c>
      <c r="Q8" s="3761"/>
      <c r="R8" s="3760">
        <f>S45</f>
        <v>299460</v>
      </c>
      <c r="S8" s="3761"/>
      <c r="T8" s="3760">
        <f>U45</f>
        <v>451500</v>
      </c>
      <c r="U8" s="3761"/>
      <c r="V8" s="3760">
        <f>W45</f>
        <v>526500</v>
      </c>
      <c r="W8" s="3761"/>
      <c r="X8" s="3760">
        <f>Y45</f>
        <v>313950</v>
      </c>
      <c r="Y8" s="3761"/>
      <c r="Z8" s="3760">
        <f>AA45</f>
        <v>310020</v>
      </c>
      <c r="AA8" s="3761"/>
      <c r="AB8" s="3760">
        <f>AC45</f>
        <v>330750</v>
      </c>
      <c r="AC8" s="3761"/>
      <c r="AD8" s="3760">
        <f>AE45</f>
        <v>405750</v>
      </c>
      <c r="AE8" s="3761"/>
      <c r="AF8" s="3760">
        <f>AG45</f>
        <v>637560</v>
      </c>
      <c r="AG8" s="3761"/>
    </row>
    <row r="9" spans="1:33" ht="29" x14ac:dyDescent="0.35">
      <c r="A9" s="7" t="s">
        <v>645</v>
      </c>
      <c r="B9" s="8"/>
      <c r="C9" s="9" t="s">
        <v>646</v>
      </c>
      <c r="D9" s="9" t="s">
        <v>647</v>
      </c>
      <c r="E9" s="9" t="s">
        <v>648</v>
      </c>
      <c r="F9" s="9" t="s">
        <v>649</v>
      </c>
      <c r="G9" s="10" t="s">
        <v>650</v>
      </c>
      <c r="H9" s="11"/>
      <c r="I9" s="11"/>
      <c r="J9" s="11"/>
      <c r="K9" s="11"/>
      <c r="L9" s="11"/>
      <c r="M9" s="11"/>
      <c r="N9" s="11"/>
      <c r="O9" s="11"/>
      <c r="P9" s="11" t="s">
        <v>651</v>
      </c>
      <c r="Q9" s="11" t="s">
        <v>652</v>
      </c>
      <c r="R9" s="11" t="s">
        <v>651</v>
      </c>
      <c r="S9" s="11" t="s">
        <v>652</v>
      </c>
      <c r="T9" s="11" t="s">
        <v>651</v>
      </c>
      <c r="U9" s="11" t="s">
        <v>652</v>
      </c>
      <c r="V9" s="11" t="s">
        <v>651</v>
      </c>
      <c r="W9" s="11" t="s">
        <v>652</v>
      </c>
      <c r="X9" s="11"/>
      <c r="Y9" s="11"/>
      <c r="Z9" s="11"/>
      <c r="AA9" s="11"/>
      <c r="AB9" s="11" t="s">
        <v>651</v>
      </c>
      <c r="AC9" s="11" t="s">
        <v>652</v>
      </c>
      <c r="AD9" s="11" t="s">
        <v>651</v>
      </c>
      <c r="AE9" s="11" t="s">
        <v>652</v>
      </c>
      <c r="AF9" s="11" t="s">
        <v>651</v>
      </c>
      <c r="AG9" s="11" t="s">
        <v>652</v>
      </c>
    </row>
    <row r="10" spans="1:33" hidden="1" x14ac:dyDescent="0.35">
      <c r="A10" s="689"/>
      <c r="B10" s="941" t="s">
        <v>653</v>
      </c>
      <c r="C10" s="642"/>
      <c r="D10" s="642"/>
      <c r="E10" s="642"/>
      <c r="F10" s="642"/>
      <c r="G10" s="646"/>
      <c r="H10" s="942"/>
      <c r="I10" s="942"/>
      <c r="J10" s="942"/>
      <c r="K10" s="942"/>
      <c r="L10" s="942"/>
      <c r="M10" s="942"/>
      <c r="N10" s="942"/>
      <c r="O10" s="942"/>
      <c r="P10" s="942"/>
      <c r="Q10" s="942"/>
      <c r="R10" s="942"/>
      <c r="S10" s="942"/>
      <c r="T10" s="942"/>
      <c r="U10" s="942"/>
      <c r="V10" s="942"/>
      <c r="W10" s="942"/>
      <c r="X10" s="942"/>
      <c r="Y10" s="942"/>
      <c r="Z10" s="942"/>
      <c r="AA10" s="942"/>
      <c r="AB10" s="942"/>
      <c r="AC10" s="942"/>
      <c r="AD10" s="942"/>
      <c r="AE10" s="942"/>
      <c r="AF10" s="942"/>
      <c r="AG10" s="942"/>
    </row>
    <row r="11" spans="1:33"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c r="T11" s="942"/>
      <c r="U11" s="942"/>
      <c r="V11" s="942"/>
      <c r="W11" s="942"/>
      <c r="X11" s="942"/>
      <c r="Y11" s="942"/>
      <c r="Z11" s="942"/>
      <c r="AA11" s="942"/>
      <c r="AB11" s="942"/>
      <c r="AC11" s="942"/>
      <c r="AD11" s="942"/>
      <c r="AE11" s="942"/>
      <c r="AF11" s="942"/>
      <c r="AG11" s="942"/>
    </row>
    <row r="12" spans="1:33"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c r="T12" s="942"/>
      <c r="U12" s="942"/>
      <c r="V12" s="942"/>
      <c r="W12" s="942"/>
      <c r="X12" s="942"/>
      <c r="Y12" s="942"/>
      <c r="Z12" s="942"/>
      <c r="AA12" s="942"/>
      <c r="AB12" s="942"/>
      <c r="AC12" s="942"/>
      <c r="AD12" s="942"/>
      <c r="AE12" s="942"/>
      <c r="AF12" s="942"/>
      <c r="AG12" s="942"/>
    </row>
    <row r="13" spans="1:33"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c r="V13" s="942"/>
      <c r="W13" s="942"/>
      <c r="X13" s="942"/>
      <c r="Y13" s="942"/>
      <c r="Z13" s="942"/>
      <c r="AA13" s="942"/>
      <c r="AB13" s="942"/>
      <c r="AC13" s="942"/>
      <c r="AD13" s="942"/>
      <c r="AE13" s="942"/>
      <c r="AF13" s="942"/>
      <c r="AG13" s="942"/>
    </row>
    <row r="14" spans="1:33"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c r="V14" s="942"/>
      <c r="W14" s="942"/>
      <c r="X14" s="942"/>
      <c r="Y14" s="942"/>
      <c r="Z14" s="942"/>
      <c r="AA14" s="942"/>
      <c r="AB14" s="942"/>
      <c r="AC14" s="942"/>
      <c r="AD14" s="942"/>
      <c r="AE14" s="942"/>
      <c r="AF14" s="942"/>
      <c r="AG14" s="942"/>
    </row>
    <row r="15" spans="1:33"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c r="V15" s="942"/>
      <c r="W15" s="942"/>
      <c r="X15" s="942"/>
      <c r="Y15" s="942"/>
      <c r="Z15" s="942"/>
      <c r="AA15" s="942"/>
      <c r="AB15" s="942"/>
      <c r="AC15" s="942"/>
      <c r="AD15" s="942"/>
      <c r="AE15" s="942"/>
      <c r="AF15" s="942"/>
      <c r="AG15" s="942"/>
    </row>
    <row r="16" spans="1:33"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c r="T16" s="942"/>
      <c r="U16" s="942"/>
      <c r="V16" s="942"/>
      <c r="W16" s="942"/>
      <c r="X16" s="942"/>
      <c r="Y16" s="942"/>
      <c r="Z16" s="942"/>
      <c r="AA16" s="942"/>
      <c r="AB16" s="942"/>
      <c r="AC16" s="942"/>
      <c r="AD16" s="942"/>
      <c r="AE16" s="942"/>
      <c r="AF16" s="942"/>
      <c r="AG16" s="942"/>
    </row>
    <row r="17" spans="1:33"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c r="T17" s="942"/>
      <c r="U17" s="942"/>
      <c r="V17" s="942"/>
      <c r="W17" s="942"/>
      <c r="X17" s="942"/>
      <c r="Y17" s="942"/>
      <c r="Z17" s="942"/>
      <c r="AA17" s="942"/>
      <c r="AB17" s="942"/>
      <c r="AC17" s="942"/>
      <c r="AD17" s="942"/>
      <c r="AE17" s="942"/>
      <c r="AF17" s="942"/>
      <c r="AG17" s="942"/>
    </row>
    <row r="18" spans="1:33"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c r="V18" s="942"/>
      <c r="W18" s="942"/>
      <c r="X18" s="942"/>
      <c r="Y18" s="942"/>
      <c r="Z18" s="942"/>
      <c r="AA18" s="942"/>
      <c r="AB18" s="942"/>
      <c r="AC18" s="942"/>
      <c r="AD18" s="942"/>
      <c r="AE18" s="942"/>
      <c r="AF18" s="942"/>
      <c r="AG18" s="942"/>
    </row>
    <row r="19" spans="1:33"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c r="T19" s="942"/>
      <c r="U19" s="942"/>
      <c r="V19" s="942"/>
      <c r="W19" s="942"/>
      <c r="X19" s="942"/>
      <c r="Y19" s="942"/>
      <c r="Z19" s="942"/>
      <c r="AA19" s="942"/>
      <c r="AB19" s="942"/>
      <c r="AC19" s="942"/>
      <c r="AD19" s="942"/>
      <c r="AE19" s="942"/>
      <c r="AF19" s="942"/>
      <c r="AG19" s="942"/>
    </row>
    <row r="20" spans="1:33" x14ac:dyDescent="0.35">
      <c r="A20" s="689"/>
      <c r="B20" s="641"/>
      <c r="C20" s="647"/>
      <c r="D20" s="642"/>
      <c r="E20" s="642"/>
      <c r="F20" s="642"/>
      <c r="G20" s="646"/>
      <c r="H20" s="943"/>
      <c r="I20" s="942"/>
      <c r="J20" s="943"/>
      <c r="K20" s="942"/>
      <c r="L20" s="942"/>
      <c r="M20" s="942"/>
      <c r="N20" s="942"/>
      <c r="O20" s="942"/>
      <c r="P20" s="943"/>
      <c r="Q20" s="942"/>
      <c r="R20" s="943"/>
      <c r="S20" s="942"/>
      <c r="T20" s="943"/>
      <c r="U20" s="942"/>
      <c r="V20" s="943"/>
      <c r="W20" s="942"/>
      <c r="X20" s="942"/>
      <c r="Y20" s="942"/>
      <c r="Z20" s="942"/>
      <c r="AA20" s="942"/>
      <c r="AB20" s="943"/>
      <c r="AC20" s="942"/>
      <c r="AD20" s="943"/>
      <c r="AE20" s="942"/>
      <c r="AF20" s="943"/>
      <c r="AG20" s="942"/>
    </row>
    <row r="21" spans="1:33" x14ac:dyDescent="0.35">
      <c r="A21" s="689"/>
      <c r="B21" s="648" t="s">
        <v>478</v>
      </c>
      <c r="C21" s="647"/>
      <c r="D21" s="642"/>
      <c r="E21" s="642"/>
      <c r="F21" s="642"/>
      <c r="G21" s="646"/>
      <c r="H21" s="943"/>
      <c r="I21" s="942"/>
      <c r="J21" s="943"/>
      <c r="K21" s="942"/>
      <c r="L21" s="942"/>
      <c r="M21" s="942"/>
      <c r="N21" s="942"/>
      <c r="O21" s="942"/>
      <c r="P21" s="943"/>
      <c r="Q21" s="942"/>
      <c r="R21" s="943"/>
      <c r="S21" s="942"/>
      <c r="T21" s="943"/>
      <c r="U21" s="942"/>
      <c r="V21" s="943"/>
      <c r="W21" s="942"/>
      <c r="X21" s="942"/>
      <c r="Y21" s="942"/>
      <c r="Z21" s="942"/>
      <c r="AA21" s="942"/>
      <c r="AB21" s="943"/>
      <c r="AC21" s="942"/>
      <c r="AD21" s="943"/>
      <c r="AE21" s="942"/>
      <c r="AF21" s="943"/>
      <c r="AG21" s="942"/>
    </row>
    <row r="22" spans="1:33" x14ac:dyDescent="0.35">
      <c r="A22" s="998"/>
      <c r="B22" s="604" t="s">
        <v>657</v>
      </c>
      <c r="C22" s="647"/>
      <c r="D22" s="642"/>
      <c r="E22" s="642"/>
      <c r="F22" s="642"/>
      <c r="G22" s="646"/>
      <c r="H22" s="943"/>
      <c r="I22" s="632"/>
      <c r="J22" s="943"/>
      <c r="K22" s="632"/>
      <c r="L22" s="632"/>
      <c r="M22" s="632"/>
      <c r="N22" s="632"/>
      <c r="O22" s="632"/>
      <c r="P22" s="943"/>
      <c r="Q22" s="632"/>
      <c r="R22" s="943"/>
      <c r="S22" s="632"/>
      <c r="T22" s="943"/>
      <c r="U22" s="632"/>
      <c r="V22" s="943"/>
      <c r="W22" s="632"/>
      <c r="X22" s="632"/>
      <c r="Y22" s="632"/>
      <c r="Z22" s="943"/>
      <c r="AA22" s="632"/>
      <c r="AB22" s="943"/>
      <c r="AC22" s="632"/>
      <c r="AD22" s="943"/>
      <c r="AE22" s="632"/>
      <c r="AF22" s="943"/>
      <c r="AG22" s="632"/>
    </row>
    <row r="23" spans="1:33" x14ac:dyDescent="0.35">
      <c r="A23" s="998"/>
      <c r="B23" s="607" t="s">
        <v>658</v>
      </c>
      <c r="C23" s="647"/>
      <c r="D23" s="642"/>
      <c r="E23" s="642"/>
      <c r="F23" s="642"/>
      <c r="G23" s="646"/>
      <c r="H23" s="943"/>
      <c r="I23" s="632"/>
      <c r="J23" s="943"/>
      <c r="K23" s="632"/>
      <c r="L23" s="632"/>
      <c r="M23" s="632"/>
      <c r="N23" s="632"/>
      <c r="O23" s="632"/>
      <c r="P23" s="943"/>
      <c r="Q23" s="632"/>
      <c r="R23" s="943"/>
      <c r="S23" s="632"/>
      <c r="T23" s="943"/>
      <c r="U23" s="632"/>
      <c r="V23" s="943"/>
      <c r="W23" s="632"/>
      <c r="X23" s="632"/>
      <c r="Y23" s="632"/>
      <c r="Z23" s="943"/>
      <c r="AA23" s="632"/>
      <c r="AB23" s="943"/>
      <c r="AC23" s="630"/>
      <c r="AD23" s="943"/>
      <c r="AE23" s="630"/>
      <c r="AF23" s="943"/>
      <c r="AG23" s="630"/>
    </row>
    <row r="24" spans="1:33" x14ac:dyDescent="0.35">
      <c r="A24" s="683"/>
      <c r="B24" s="1279" t="s">
        <v>659</v>
      </c>
      <c r="C24" s="642"/>
      <c r="D24" s="642"/>
      <c r="E24" s="642"/>
      <c r="F24" s="642"/>
      <c r="G24" s="646"/>
      <c r="H24" s="943"/>
      <c r="I24" s="630"/>
      <c r="J24" s="943"/>
      <c r="K24" s="630"/>
      <c r="L24" s="630"/>
      <c r="M24" s="630"/>
      <c r="N24" s="630"/>
      <c r="O24" s="630"/>
      <c r="P24" s="943"/>
      <c r="Q24" s="632"/>
      <c r="R24" s="943"/>
      <c r="S24" s="630"/>
      <c r="T24" s="943"/>
      <c r="U24" s="630"/>
      <c r="V24" s="943"/>
      <c r="W24" s="630"/>
      <c r="X24" s="630"/>
      <c r="Y24" s="630"/>
      <c r="Z24" s="943"/>
      <c r="AA24" s="630"/>
      <c r="AB24" s="943"/>
      <c r="AC24" s="632"/>
      <c r="AD24" s="943"/>
      <c r="AE24" s="632"/>
      <c r="AF24" s="943"/>
      <c r="AG24" s="632"/>
    </row>
    <row r="25" spans="1:33" x14ac:dyDescent="0.35">
      <c r="A25" s="998"/>
      <c r="B25" s="1280" t="s">
        <v>660</v>
      </c>
      <c r="C25" s="642"/>
      <c r="D25" s="642"/>
      <c r="E25" s="642"/>
      <c r="F25" s="642"/>
      <c r="G25" s="646"/>
      <c r="H25" s="943"/>
      <c r="I25" s="630"/>
      <c r="J25" s="943"/>
      <c r="K25" s="630"/>
      <c r="L25" s="630"/>
      <c r="M25" s="630"/>
      <c r="N25" s="630"/>
      <c r="O25" s="630"/>
      <c r="P25" s="943"/>
      <c r="Q25" s="632"/>
      <c r="R25" s="943"/>
      <c r="S25" s="630"/>
      <c r="T25" s="943"/>
      <c r="U25" s="630"/>
      <c r="V25" s="943"/>
      <c r="W25" s="630"/>
      <c r="X25" s="630"/>
      <c r="Y25" s="630"/>
      <c r="Z25" s="943"/>
      <c r="AA25" s="630"/>
      <c r="AB25" s="943"/>
      <c r="AC25" s="632"/>
      <c r="AD25" s="943"/>
      <c r="AE25" s="632"/>
      <c r="AF25" s="943"/>
      <c r="AG25" s="632"/>
    </row>
    <row r="26" spans="1:33" x14ac:dyDescent="0.35">
      <c r="A26" s="683"/>
      <c r="B26" s="1280" t="s">
        <v>661</v>
      </c>
      <c r="C26" s="642"/>
      <c r="D26" s="642"/>
      <c r="E26" s="642"/>
      <c r="F26" s="642"/>
      <c r="G26" s="646"/>
      <c r="H26" s="943"/>
      <c r="I26" s="630"/>
      <c r="J26" s="943"/>
      <c r="K26" s="630"/>
      <c r="L26" s="630"/>
      <c r="M26" s="630"/>
      <c r="N26" s="630"/>
      <c r="O26" s="630"/>
      <c r="P26" s="943"/>
      <c r="Q26" s="632"/>
      <c r="R26" s="943"/>
      <c r="S26" s="630"/>
      <c r="T26" s="943"/>
      <c r="U26" s="630"/>
      <c r="V26" s="943"/>
      <c r="W26" s="630"/>
      <c r="X26" s="630"/>
      <c r="Y26" s="630"/>
      <c r="Z26" s="943"/>
      <c r="AA26" s="630"/>
      <c r="AB26" s="943"/>
      <c r="AC26" s="632"/>
      <c r="AD26" s="943"/>
      <c r="AE26" s="632"/>
      <c r="AF26" s="943"/>
      <c r="AG26" s="632"/>
    </row>
    <row r="27" spans="1:33" x14ac:dyDescent="0.35">
      <c r="A27" s="998"/>
      <c r="B27" s="1280" t="s">
        <v>662</v>
      </c>
      <c r="C27" s="642"/>
      <c r="D27" s="642"/>
      <c r="E27" s="642"/>
      <c r="F27" s="642"/>
      <c r="G27" s="646"/>
      <c r="H27" s="943"/>
      <c r="I27" s="630"/>
      <c r="J27" s="943"/>
      <c r="K27" s="630"/>
      <c r="L27" s="630"/>
      <c r="M27" s="630"/>
      <c r="N27" s="630"/>
      <c r="O27" s="630"/>
      <c r="P27" s="943"/>
      <c r="Q27" s="632"/>
      <c r="R27" s="943"/>
      <c r="S27" s="630"/>
      <c r="T27" s="943"/>
      <c r="U27" s="630"/>
      <c r="V27" s="943"/>
      <c r="W27" s="630"/>
      <c r="X27" s="630"/>
      <c r="Y27" s="630"/>
      <c r="Z27" s="943"/>
      <c r="AA27" s="630"/>
      <c r="AB27" s="943"/>
      <c r="AC27" s="632"/>
      <c r="AD27" s="943"/>
      <c r="AE27" s="632"/>
      <c r="AF27" s="943"/>
      <c r="AG27" s="632"/>
    </row>
    <row r="28" spans="1:33" x14ac:dyDescent="0.35">
      <c r="A28" s="998"/>
      <c r="B28" s="1280" t="s">
        <v>663</v>
      </c>
      <c r="C28" s="642"/>
      <c r="D28" s="642"/>
      <c r="E28" s="642"/>
      <c r="F28" s="642"/>
      <c r="G28" s="646"/>
      <c r="H28" s="943"/>
      <c r="I28" s="630"/>
      <c r="J28" s="943"/>
      <c r="K28" s="630"/>
      <c r="L28" s="630"/>
      <c r="M28" s="630"/>
      <c r="N28" s="630"/>
      <c r="O28" s="630"/>
      <c r="P28" s="943"/>
      <c r="Q28" s="632"/>
      <c r="R28" s="943"/>
      <c r="S28" s="630"/>
      <c r="T28" s="943"/>
      <c r="U28" s="630"/>
      <c r="V28" s="943"/>
      <c r="W28" s="630"/>
      <c r="X28" s="630"/>
      <c r="Y28" s="630"/>
      <c r="Z28" s="943"/>
      <c r="AA28" s="630"/>
      <c r="AB28" s="943"/>
      <c r="AC28" s="632"/>
      <c r="AD28" s="943"/>
      <c r="AE28" s="632"/>
      <c r="AF28" s="943"/>
      <c r="AG28" s="632"/>
    </row>
    <row r="29" spans="1:33" x14ac:dyDescent="0.35">
      <c r="A29" s="998"/>
      <c r="B29" s="1280" t="s">
        <v>742</v>
      </c>
      <c r="C29" s="642"/>
      <c r="D29" s="642"/>
      <c r="E29" s="642"/>
      <c r="F29" s="642"/>
      <c r="G29" s="646"/>
      <c r="H29" s="943"/>
      <c r="I29" s="630"/>
      <c r="J29" s="943"/>
      <c r="K29" s="630"/>
      <c r="L29" s="630"/>
      <c r="M29" s="630"/>
      <c r="N29" s="630"/>
      <c r="O29" s="630"/>
      <c r="P29" s="943"/>
      <c r="Q29" s="632"/>
      <c r="R29" s="943"/>
      <c r="S29" s="630"/>
      <c r="T29" s="943"/>
      <c r="U29" s="630"/>
      <c r="V29" s="943"/>
      <c r="W29" s="630"/>
      <c r="X29" s="630"/>
      <c r="Y29" s="630"/>
      <c r="Z29" s="943"/>
      <c r="AA29" s="630"/>
      <c r="AB29" s="943"/>
      <c r="AC29" s="632"/>
      <c r="AD29" s="943"/>
      <c r="AE29" s="632"/>
      <c r="AF29" s="943"/>
      <c r="AG29" s="632"/>
    </row>
    <row r="30" spans="1:33" x14ac:dyDescent="0.35">
      <c r="A30" s="998"/>
      <c r="B30" s="1281" t="s">
        <v>664</v>
      </c>
      <c r="C30" s="642"/>
      <c r="D30" s="642"/>
      <c r="E30" s="642"/>
      <c r="F30" s="642"/>
      <c r="G30" s="646"/>
      <c r="H30" s="943"/>
      <c r="I30" s="630"/>
      <c r="J30" s="943"/>
      <c r="K30" s="630"/>
      <c r="L30" s="630"/>
      <c r="M30" s="630"/>
      <c r="N30" s="630"/>
      <c r="O30" s="630"/>
      <c r="P30" s="943"/>
      <c r="Q30" s="632"/>
      <c r="R30" s="943"/>
      <c r="S30" s="630"/>
      <c r="T30" s="943"/>
      <c r="U30" s="630"/>
      <c r="V30" s="943"/>
      <c r="W30" s="630"/>
      <c r="X30" s="630"/>
      <c r="Y30" s="630"/>
      <c r="Z30" s="943"/>
      <c r="AA30" s="630"/>
      <c r="AB30" s="943"/>
      <c r="AC30" s="632"/>
      <c r="AD30" s="943"/>
      <c r="AE30" s="632"/>
      <c r="AF30" s="943"/>
      <c r="AG30" s="632"/>
    </row>
    <row r="31" spans="1:33" x14ac:dyDescent="0.35">
      <c r="A31" s="998"/>
      <c r="B31" s="1262" t="s">
        <v>665</v>
      </c>
      <c r="C31" s="650"/>
      <c r="D31" s="650"/>
      <c r="E31" s="650"/>
      <c r="F31" s="650"/>
      <c r="G31" s="651"/>
      <c r="H31" s="636"/>
      <c r="I31" s="1221">
        <v>425500</v>
      </c>
      <c r="J31" s="636"/>
      <c r="K31" s="1221"/>
      <c r="L31" s="1221"/>
      <c r="M31" s="1221"/>
      <c r="N31" s="1221"/>
      <c r="O31" s="1221"/>
      <c r="P31" s="636"/>
      <c r="Q31" s="1204"/>
      <c r="R31" s="636"/>
      <c r="S31" s="631"/>
      <c r="T31" s="636"/>
      <c r="U31" s="631"/>
      <c r="V31" s="636"/>
      <c r="W31" s="631"/>
      <c r="X31" s="631"/>
      <c r="Y31" s="631"/>
      <c r="Z31" s="636"/>
      <c r="AA31" s="631"/>
      <c r="AB31" s="636"/>
      <c r="AC31" s="1204"/>
      <c r="AD31" s="636"/>
      <c r="AE31" s="1204"/>
      <c r="AF31" s="636"/>
      <c r="AG31" s="1204"/>
    </row>
    <row r="32" spans="1:33" x14ac:dyDescent="0.35">
      <c r="A32" s="998"/>
      <c r="B32" s="627" t="s">
        <v>874</v>
      </c>
      <c r="C32" s="642"/>
      <c r="D32" s="642"/>
      <c r="E32" s="642"/>
      <c r="F32" s="642"/>
      <c r="G32" s="646"/>
      <c r="H32" s="943"/>
      <c r="I32" s="630"/>
      <c r="J32" s="943"/>
      <c r="K32" s="630"/>
      <c r="L32" s="630"/>
      <c r="M32" s="630"/>
      <c r="N32" s="630"/>
      <c r="O32" s="630"/>
      <c r="P32" s="943"/>
      <c r="Q32" s="632"/>
      <c r="R32" s="943"/>
      <c r="S32" s="630"/>
      <c r="T32" s="943"/>
      <c r="U32" s="630"/>
      <c r="V32" s="943"/>
      <c r="W32" s="630"/>
      <c r="X32" s="630"/>
      <c r="Y32" s="630"/>
      <c r="Z32" s="943"/>
      <c r="AA32" s="630"/>
      <c r="AB32" s="943"/>
      <c r="AC32" s="632"/>
      <c r="AD32" s="943"/>
      <c r="AE32" s="632"/>
      <c r="AF32" s="943"/>
      <c r="AG32" s="632"/>
    </row>
    <row r="33" spans="1:33" x14ac:dyDescent="0.35">
      <c r="A33" s="998"/>
      <c r="B33" s="1263"/>
      <c r="C33" s="642"/>
      <c r="D33" s="642"/>
      <c r="E33" s="642"/>
      <c r="F33" s="642"/>
      <c r="G33" s="646"/>
      <c r="H33" s="943"/>
      <c r="I33" s="630"/>
      <c r="J33" s="943"/>
      <c r="K33" s="630"/>
      <c r="L33" s="630"/>
      <c r="M33" s="630"/>
      <c r="N33" s="630"/>
      <c r="O33" s="630"/>
      <c r="P33" s="943"/>
      <c r="Q33" s="632"/>
      <c r="R33" s="943"/>
      <c r="S33" s="630"/>
      <c r="T33" s="943"/>
      <c r="U33" s="630"/>
      <c r="V33" s="943"/>
      <c r="W33" s="630"/>
      <c r="X33" s="630"/>
      <c r="Y33" s="630"/>
      <c r="Z33" s="943"/>
      <c r="AA33" s="630"/>
      <c r="AB33" s="943"/>
      <c r="AC33" s="632"/>
      <c r="AD33" s="943"/>
      <c r="AE33" s="632"/>
      <c r="AF33" s="943"/>
      <c r="AG33" s="632"/>
    </row>
    <row r="34" spans="1:33" ht="30" customHeight="1" x14ac:dyDescent="0.35">
      <c r="A34" s="998"/>
      <c r="B34" s="1193" t="s">
        <v>1268</v>
      </c>
      <c r="C34" s="642"/>
      <c r="D34" s="642">
        <v>483</v>
      </c>
      <c r="E34" s="642" t="s">
        <v>666</v>
      </c>
      <c r="F34" s="1012">
        <v>750</v>
      </c>
      <c r="G34" s="690">
        <f>D34*F34</f>
        <v>362250</v>
      </c>
      <c r="H34" s="943" t="s">
        <v>669</v>
      </c>
      <c r="I34" s="630"/>
      <c r="J34" s="943"/>
      <c r="K34" s="630"/>
      <c r="L34" s="943" t="s">
        <v>669</v>
      </c>
      <c r="M34" s="1222">
        <f>442*483</f>
        <v>213486</v>
      </c>
      <c r="N34" s="630"/>
      <c r="O34" s="630"/>
      <c r="P34" s="943" t="s">
        <v>669</v>
      </c>
      <c r="Q34" s="632"/>
      <c r="R34" s="943" t="s">
        <v>669</v>
      </c>
      <c r="S34" s="630"/>
      <c r="T34" s="943" t="s">
        <v>669</v>
      </c>
      <c r="U34" s="630"/>
      <c r="V34" s="943" t="s">
        <v>669</v>
      </c>
      <c r="W34" s="630"/>
      <c r="X34" s="943" t="s">
        <v>669</v>
      </c>
      <c r="Y34" s="630"/>
      <c r="Z34" s="943" t="s">
        <v>669</v>
      </c>
      <c r="AA34" s="630"/>
      <c r="AB34" s="943" t="s">
        <v>669</v>
      </c>
      <c r="AC34" s="632"/>
      <c r="AD34" s="943" t="s">
        <v>669</v>
      </c>
      <c r="AE34" s="632"/>
      <c r="AF34" s="943" t="s">
        <v>669</v>
      </c>
      <c r="AG34" s="632"/>
    </row>
    <row r="35" spans="1:33" x14ac:dyDescent="0.35">
      <c r="A35" s="683"/>
      <c r="B35" s="1193" t="s">
        <v>1269</v>
      </c>
      <c r="C35" s="940"/>
      <c r="D35" s="940">
        <f>D34</f>
        <v>483</v>
      </c>
      <c r="E35" s="940" t="s">
        <v>666</v>
      </c>
      <c r="F35" s="1012"/>
      <c r="G35" s="1012"/>
      <c r="H35" s="943" t="s">
        <v>669</v>
      </c>
      <c r="I35" s="1282"/>
      <c r="J35" s="943"/>
      <c r="K35" s="1282"/>
      <c r="L35" s="943" t="s">
        <v>669</v>
      </c>
      <c r="M35" s="1282"/>
      <c r="N35" s="1282"/>
      <c r="O35" s="1282"/>
      <c r="P35" s="943" t="s">
        <v>669</v>
      </c>
      <c r="Q35" s="1282">
        <f>490*217.07</f>
        <v>106364.3</v>
      </c>
      <c r="R35" s="943" t="s">
        <v>669</v>
      </c>
      <c r="S35" s="1282">
        <f>D35*120</f>
        <v>57960</v>
      </c>
      <c r="T35" s="943" t="s">
        <v>669</v>
      </c>
      <c r="U35" s="1282">
        <v>210000</v>
      </c>
      <c r="V35" s="943" t="s">
        <v>669</v>
      </c>
      <c r="W35" s="1282">
        <v>285000</v>
      </c>
      <c r="X35" s="943" t="s">
        <v>669</v>
      </c>
      <c r="Y35" s="1282"/>
      <c r="Z35" s="943" t="s">
        <v>669</v>
      </c>
      <c r="AA35" s="1282">
        <v>189270</v>
      </c>
      <c r="AB35" s="943" t="s">
        <v>669</v>
      </c>
      <c r="AC35" s="1282">
        <f>U35</f>
        <v>210000</v>
      </c>
      <c r="AD35" s="943" t="s">
        <v>669</v>
      </c>
      <c r="AE35" s="1283">
        <f>W35</f>
        <v>285000</v>
      </c>
      <c r="AF35" s="943" t="s">
        <v>669</v>
      </c>
      <c r="AG35" s="1282">
        <f>420*483</f>
        <v>202860</v>
      </c>
    </row>
    <row r="36" spans="1:33" x14ac:dyDescent="0.35">
      <c r="A36" s="683"/>
      <c r="B36" s="1193" t="s">
        <v>1270</v>
      </c>
      <c r="C36" s="940"/>
      <c r="D36" s="940"/>
      <c r="E36" s="940"/>
      <c r="F36" s="1012"/>
      <c r="G36" s="1012"/>
      <c r="H36" s="943" t="s">
        <v>669</v>
      </c>
      <c r="I36" s="1282"/>
      <c r="J36" s="943"/>
      <c r="K36" s="1282"/>
      <c r="L36" s="943" t="s">
        <v>669</v>
      </c>
      <c r="M36" s="1282"/>
      <c r="N36" s="1282"/>
      <c r="O36" s="1282"/>
      <c r="P36" s="943" t="s">
        <v>669</v>
      </c>
      <c r="Q36" s="1282" t="s">
        <v>1271</v>
      </c>
      <c r="R36" s="943"/>
      <c r="S36" s="1282"/>
      <c r="T36" s="943"/>
      <c r="U36" s="1282"/>
      <c r="V36" s="943"/>
      <c r="W36" s="1282"/>
      <c r="X36" s="943"/>
      <c r="Y36" s="1282"/>
      <c r="Z36" s="943"/>
      <c r="AA36" s="1282"/>
      <c r="AB36" s="943"/>
      <c r="AC36" s="1282"/>
      <c r="AD36" s="943"/>
      <c r="AE36" s="1283"/>
      <c r="AF36" s="943"/>
      <c r="AG36" s="1282"/>
    </row>
    <row r="37" spans="1:33" x14ac:dyDescent="0.35">
      <c r="A37" s="683"/>
      <c r="B37" s="1193" t="s">
        <v>1272</v>
      </c>
      <c r="C37" s="940"/>
      <c r="D37" s="940">
        <f>D34</f>
        <v>483</v>
      </c>
      <c r="E37" s="940" t="s">
        <v>666</v>
      </c>
      <c r="F37" s="1012">
        <v>120</v>
      </c>
      <c r="G37" s="1012">
        <f>D37*F37</f>
        <v>57960</v>
      </c>
      <c r="H37" s="1101" t="s">
        <v>654</v>
      </c>
      <c r="I37" s="1284">
        <f>G37</f>
        <v>57960</v>
      </c>
      <c r="J37" s="1101"/>
      <c r="K37" s="1284"/>
      <c r="L37" s="943" t="s">
        <v>669</v>
      </c>
      <c r="M37" s="1282">
        <f>'09A Stucco'!I106</f>
        <v>140000</v>
      </c>
      <c r="N37" s="1282"/>
      <c r="O37" s="1282"/>
      <c r="P37" s="943" t="s">
        <v>669</v>
      </c>
      <c r="Q37" s="1282">
        <f>M37</f>
        <v>140000</v>
      </c>
      <c r="R37" s="943" t="s">
        <v>669</v>
      </c>
      <c r="S37" s="1282">
        <f>500*D35</f>
        <v>241500</v>
      </c>
      <c r="T37" s="943" t="s">
        <v>669</v>
      </c>
      <c r="U37" s="1282">
        <f>S37</f>
        <v>241500</v>
      </c>
      <c r="V37" s="943" t="s">
        <v>669</v>
      </c>
      <c r="W37" s="1282">
        <f>U37</f>
        <v>241500</v>
      </c>
      <c r="X37" s="943" t="s">
        <v>669</v>
      </c>
      <c r="Y37" s="1282">
        <f>650*483</f>
        <v>313950</v>
      </c>
      <c r="Z37" s="943" t="s">
        <v>669</v>
      </c>
      <c r="AA37" s="1282">
        <f>250*483</f>
        <v>120750</v>
      </c>
      <c r="AB37" s="943" t="s">
        <v>669</v>
      </c>
      <c r="AC37" s="1283">
        <f>AA37</f>
        <v>120750</v>
      </c>
      <c r="AD37" s="943" t="s">
        <v>669</v>
      </c>
      <c r="AE37" s="1283">
        <f>AC37</f>
        <v>120750</v>
      </c>
      <c r="AF37" s="943" t="s">
        <v>669</v>
      </c>
      <c r="AG37" s="1282">
        <f>900*483</f>
        <v>434700</v>
      </c>
    </row>
    <row r="38" spans="1:33" x14ac:dyDescent="0.35">
      <c r="A38" s="683"/>
      <c r="B38" s="1193" t="s">
        <v>1273</v>
      </c>
      <c r="C38" s="940"/>
      <c r="D38" s="940"/>
      <c r="E38" s="940" t="s">
        <v>28</v>
      </c>
      <c r="F38" s="1012"/>
      <c r="G38" s="1012"/>
      <c r="H38" s="943" t="s">
        <v>669</v>
      </c>
      <c r="I38" s="1282"/>
      <c r="J38" s="943"/>
      <c r="K38" s="1282"/>
      <c r="L38" s="943" t="s">
        <v>669</v>
      </c>
      <c r="M38" s="1282"/>
      <c r="N38" s="1282"/>
      <c r="O38" s="1282"/>
      <c r="P38" s="943" t="s">
        <v>669</v>
      </c>
      <c r="Q38" s="1282"/>
      <c r="R38" s="943" t="s">
        <v>669</v>
      </c>
      <c r="S38" s="1282"/>
      <c r="T38" s="943" t="s">
        <v>669</v>
      </c>
      <c r="U38" s="1282"/>
      <c r="V38" s="943" t="s">
        <v>669</v>
      </c>
      <c r="W38" s="1282"/>
      <c r="X38" s="943" t="s">
        <v>669</v>
      </c>
      <c r="Y38" s="1282"/>
      <c r="Z38" s="943" t="s">
        <v>669</v>
      </c>
      <c r="AA38" s="1282"/>
      <c r="AB38" s="943" t="s">
        <v>669</v>
      </c>
      <c r="AC38" s="632"/>
      <c r="AD38" s="943" t="s">
        <v>669</v>
      </c>
      <c r="AE38" s="632"/>
      <c r="AF38" s="943" t="s">
        <v>669</v>
      </c>
      <c r="AG38" s="632"/>
    </row>
    <row r="39" spans="1:33" x14ac:dyDescent="0.35">
      <c r="A39" s="683"/>
      <c r="B39" s="1193" t="s">
        <v>1274</v>
      </c>
      <c r="C39" s="940"/>
      <c r="D39" s="940">
        <f>D37</f>
        <v>483</v>
      </c>
      <c r="E39" s="940" t="s">
        <v>666</v>
      </c>
      <c r="F39" s="1012">
        <v>75</v>
      </c>
      <c r="G39" s="1012">
        <f>D39*F39</f>
        <v>36225</v>
      </c>
      <c r="H39" s="943" t="s">
        <v>669</v>
      </c>
      <c r="I39" s="1197"/>
      <c r="J39" s="943"/>
      <c r="K39" s="1197"/>
      <c r="L39" s="943" t="s">
        <v>669</v>
      </c>
      <c r="M39" s="1197"/>
      <c r="N39" s="1197"/>
      <c r="O39" s="1197"/>
      <c r="P39" s="1101" t="s">
        <v>654</v>
      </c>
      <c r="Q39" s="1282">
        <f>G39</f>
        <v>36225</v>
      </c>
      <c r="R39" s="943"/>
      <c r="S39" s="1197"/>
      <c r="T39" s="943"/>
      <c r="U39" s="630"/>
      <c r="V39" s="943"/>
      <c r="W39" s="630"/>
      <c r="X39" s="630"/>
      <c r="Y39" s="630"/>
      <c r="Z39" s="630"/>
      <c r="AA39" s="630"/>
      <c r="AB39" s="943"/>
      <c r="AC39" s="632"/>
      <c r="AD39" s="943"/>
      <c r="AE39" s="632"/>
      <c r="AF39" s="943"/>
      <c r="AG39" s="632"/>
    </row>
    <row r="40" spans="1:33" x14ac:dyDescent="0.35">
      <c r="A40" s="683"/>
      <c r="B40" s="1193" t="s">
        <v>1275</v>
      </c>
      <c r="C40" s="940"/>
      <c r="D40" s="940">
        <v>1</v>
      </c>
      <c r="E40" s="940" t="s">
        <v>755</v>
      </c>
      <c r="F40" s="1012">
        <v>5000</v>
      </c>
      <c r="G40" s="1012">
        <f>D40*F40</f>
        <v>5000</v>
      </c>
      <c r="H40" s="943" t="s">
        <v>669</v>
      </c>
      <c r="I40" s="1197"/>
      <c r="J40" s="943"/>
      <c r="K40" s="1197"/>
      <c r="L40" s="943" t="s">
        <v>669</v>
      </c>
      <c r="M40" s="1197"/>
      <c r="N40" s="1197"/>
      <c r="O40" s="1197"/>
      <c r="P40" s="1101" t="s">
        <v>654</v>
      </c>
      <c r="Q40" s="1282">
        <v>25000</v>
      </c>
      <c r="R40" s="943"/>
      <c r="S40" s="1197"/>
      <c r="T40" s="943"/>
      <c r="U40" s="630"/>
      <c r="V40" s="943"/>
      <c r="W40" s="630"/>
      <c r="X40" s="630"/>
      <c r="Y40" s="630"/>
      <c r="Z40" s="630"/>
      <c r="AA40" s="630"/>
      <c r="AB40" s="943"/>
      <c r="AC40" s="632"/>
      <c r="AD40" s="943"/>
      <c r="AE40" s="632"/>
      <c r="AF40" s="943"/>
      <c r="AG40" s="632"/>
    </row>
    <row r="41" spans="1:33" x14ac:dyDescent="0.35">
      <c r="A41" s="14"/>
      <c r="B41" s="15"/>
      <c r="C41" s="16"/>
      <c r="D41" s="16"/>
      <c r="E41" s="17"/>
      <c r="F41" s="18" t="s">
        <v>715</v>
      </c>
      <c r="G41" s="328">
        <f>SUM(G31:G34)</f>
        <v>362250</v>
      </c>
      <c r="H41" s="20"/>
      <c r="I41" s="50">
        <f>SUM(I23:I40)</f>
        <v>483460</v>
      </c>
      <c r="J41" s="20"/>
      <c r="K41" s="50"/>
      <c r="L41" s="20"/>
      <c r="M41" s="50">
        <f>SUM(M23:M40)</f>
        <v>353486</v>
      </c>
      <c r="N41" s="50"/>
      <c r="O41" s="50"/>
      <c r="P41" s="20"/>
      <c r="Q41" s="50">
        <f>SUM(Q23:Q40)</f>
        <v>307589.3</v>
      </c>
      <c r="R41" s="20"/>
      <c r="S41" s="50">
        <f>SUM(S23:S39)</f>
        <v>299460</v>
      </c>
      <c r="T41" s="20"/>
      <c r="U41" s="50">
        <f>SUM(U23:U39)</f>
        <v>451500</v>
      </c>
      <c r="V41" s="20"/>
      <c r="W41" s="50">
        <f>SUM(W23:W39)</f>
        <v>526500</v>
      </c>
      <c r="X41" s="20"/>
      <c r="Y41" s="50">
        <f>SUM(Y23:Y39)</f>
        <v>313950</v>
      </c>
      <c r="Z41" s="20"/>
      <c r="AA41" s="50">
        <f>SUM(AA23:AA39)</f>
        <v>310020</v>
      </c>
      <c r="AB41" s="20"/>
      <c r="AC41" s="50">
        <f>SUM(AC23:AC39)</f>
        <v>330750</v>
      </c>
      <c r="AD41" s="20"/>
      <c r="AE41" s="50">
        <f>SUM(AE23:AE39)</f>
        <v>405750</v>
      </c>
      <c r="AF41" s="20"/>
      <c r="AG41" s="50">
        <f>SUM(AG23:AG39)</f>
        <v>637560</v>
      </c>
    </row>
    <row r="42" spans="1:33" x14ac:dyDescent="0.35">
      <c r="A42" s="684"/>
      <c r="B42" s="655"/>
      <c r="C42" s="656"/>
      <c r="D42" s="656"/>
      <c r="E42" s="657"/>
      <c r="F42" s="658" t="s">
        <v>716</v>
      </c>
      <c r="G42" s="659"/>
      <c r="H42" s="959">
        <v>0</v>
      </c>
      <c r="I42" s="1121"/>
      <c r="J42" s="959"/>
      <c r="K42" s="1121"/>
      <c r="L42" s="959">
        <v>0</v>
      </c>
      <c r="M42" s="1121"/>
      <c r="N42" s="1121"/>
      <c r="O42" s="1121"/>
      <c r="P42" s="959">
        <v>0</v>
      </c>
      <c r="Q42" s="1121"/>
      <c r="R42" s="959">
        <v>0</v>
      </c>
      <c r="S42" s="1121"/>
      <c r="T42" s="959">
        <v>0</v>
      </c>
      <c r="U42" s="1121"/>
      <c r="V42" s="959">
        <v>0</v>
      </c>
      <c r="W42" s="1121"/>
      <c r="X42" s="959">
        <v>0</v>
      </c>
      <c r="Y42" s="1121"/>
      <c r="Z42" s="959">
        <v>0</v>
      </c>
      <c r="AA42" s="1121"/>
      <c r="AB42" s="959">
        <v>0</v>
      </c>
      <c r="AC42" s="1121"/>
      <c r="AD42" s="959">
        <v>0</v>
      </c>
      <c r="AE42" s="1121"/>
      <c r="AF42" s="959">
        <v>0</v>
      </c>
      <c r="AG42" s="1121"/>
    </row>
    <row r="43" spans="1:33" x14ac:dyDescent="0.35">
      <c r="A43" s="684"/>
      <c r="B43" s="655"/>
      <c r="C43" s="656"/>
      <c r="D43" s="656"/>
      <c r="E43" s="657"/>
      <c r="F43" s="658" t="s">
        <v>717</v>
      </c>
      <c r="G43" s="659"/>
      <c r="H43" s="961"/>
      <c r="I43" s="1122">
        <f>H42*$S$41</f>
        <v>0</v>
      </c>
      <c r="J43" s="961"/>
      <c r="K43" s="1122"/>
      <c r="L43" s="961"/>
      <c r="M43" s="1122">
        <f>L42*$S$41</f>
        <v>0</v>
      </c>
      <c r="N43" s="1122"/>
      <c r="O43" s="1122"/>
      <c r="P43" s="961"/>
      <c r="Q43" s="1122">
        <f>P42*$S$41</f>
        <v>0</v>
      </c>
      <c r="R43" s="961"/>
      <c r="S43" s="1122">
        <f>R42*$S$41</f>
        <v>0</v>
      </c>
      <c r="T43" s="961"/>
      <c r="U43" s="1122">
        <f>T42*$S$41</f>
        <v>0</v>
      </c>
      <c r="V43" s="961"/>
      <c r="W43" s="1122">
        <f>V42*$S$41</f>
        <v>0</v>
      </c>
      <c r="X43" s="961"/>
      <c r="Y43" s="1122">
        <f>X42*$S$41</f>
        <v>0</v>
      </c>
      <c r="Z43" s="961"/>
      <c r="AA43" s="1122">
        <f>Z42*$S$41</f>
        <v>0</v>
      </c>
      <c r="AB43" s="961"/>
      <c r="AC43" s="1122">
        <f>AB42*$S$41</f>
        <v>0</v>
      </c>
      <c r="AD43" s="961"/>
      <c r="AE43" s="1122">
        <f>AD42*$S$41</f>
        <v>0</v>
      </c>
      <c r="AF43" s="961"/>
      <c r="AG43" s="1122">
        <f>AF42*$S$41</f>
        <v>0</v>
      </c>
    </row>
    <row r="44" spans="1:33" x14ac:dyDescent="0.35">
      <c r="A44" s="684"/>
      <c r="B44" s="655"/>
      <c r="C44" s="656"/>
      <c r="D44" s="656"/>
      <c r="E44" s="657"/>
      <c r="F44" s="658"/>
      <c r="G44" s="659"/>
      <c r="H44" s="1123"/>
      <c r="I44" s="1122"/>
      <c r="J44" s="1123"/>
      <c r="K44" s="1122"/>
      <c r="L44" s="1123"/>
      <c r="M44" s="1122"/>
      <c r="N44" s="1122"/>
      <c r="O44" s="1122"/>
      <c r="P44" s="1123"/>
      <c r="Q44" s="1122"/>
      <c r="R44" s="1123"/>
      <c r="S44" s="1122"/>
      <c r="T44" s="1123"/>
      <c r="U44" s="1122"/>
      <c r="V44" s="1123"/>
      <c r="W44" s="1122"/>
      <c r="X44" s="1123"/>
      <c r="Y44" s="1122"/>
      <c r="Z44" s="1123"/>
      <c r="AA44" s="1122"/>
      <c r="AB44" s="1123"/>
      <c r="AC44" s="1122"/>
      <c r="AD44" s="1123"/>
      <c r="AE44" s="1122"/>
      <c r="AF44" s="1123"/>
      <c r="AG44" s="1122"/>
    </row>
    <row r="45" spans="1:33" x14ac:dyDescent="0.35">
      <c r="A45" s="684"/>
      <c r="B45" s="655"/>
      <c r="C45" s="656"/>
      <c r="D45" s="656"/>
      <c r="E45" s="657"/>
      <c r="F45" s="658" t="s">
        <v>718</v>
      </c>
      <c r="G45" s="659"/>
      <c r="H45" s="964"/>
      <c r="I45" s="1122">
        <f>SUM(I41:I44)</f>
        <v>483460</v>
      </c>
      <c r="J45" s="964"/>
      <c r="K45" s="1122"/>
      <c r="L45" s="964"/>
      <c r="M45" s="1122">
        <f>SUM(M41:M44)</f>
        <v>353486</v>
      </c>
      <c r="N45" s="1122"/>
      <c r="O45" s="1122"/>
      <c r="P45" s="964"/>
      <c r="Q45" s="1122">
        <f>SUM(Q41:Q44)</f>
        <v>307589.3</v>
      </c>
      <c r="R45" s="964"/>
      <c r="S45" s="1122">
        <f>SUM(S41:S44)</f>
        <v>299460</v>
      </c>
      <c r="T45" s="964"/>
      <c r="U45" s="1122">
        <f>SUM(U41:U44)</f>
        <v>451500</v>
      </c>
      <c r="V45" s="964"/>
      <c r="W45" s="1122">
        <f>SUM(W41:W44)</f>
        <v>526500</v>
      </c>
      <c r="X45" s="964"/>
      <c r="Y45" s="1122">
        <f>SUM(Y41:Y44)</f>
        <v>313950</v>
      </c>
      <c r="Z45" s="964"/>
      <c r="AA45" s="1122">
        <f>SUM(AA41:AA44)</f>
        <v>310020</v>
      </c>
      <c r="AB45" s="964"/>
      <c r="AC45" s="1122">
        <f>SUM(AC41:AC44)</f>
        <v>330750</v>
      </c>
      <c r="AD45" s="964"/>
      <c r="AE45" s="1122">
        <f>SUM(AE41:AE44)</f>
        <v>405750</v>
      </c>
      <c r="AF45" s="964"/>
      <c r="AG45" s="1122">
        <f>SUM(AG41:AG44)</f>
        <v>637560</v>
      </c>
    </row>
    <row r="46" spans="1:33" x14ac:dyDescent="0.35">
      <c r="A46" s="684"/>
      <c r="B46" s="655"/>
      <c r="C46" s="656"/>
      <c r="D46" s="656"/>
      <c r="E46" s="657"/>
      <c r="F46" s="660" t="s">
        <v>719</v>
      </c>
      <c r="G46" s="661"/>
      <c r="H46" s="965"/>
      <c r="I46" s="966" t="e">
        <f>I45/#REF!</f>
        <v>#REF!</v>
      </c>
      <c r="J46" s="965"/>
      <c r="K46" s="966"/>
      <c r="L46" s="965"/>
      <c r="M46" s="966" t="e">
        <f>M45/#REF!</f>
        <v>#REF!</v>
      </c>
      <c r="N46" s="966"/>
      <c r="O46" s="966"/>
      <c r="P46" s="965"/>
      <c r="Q46" s="966" t="e">
        <f>Q45/#REF!</f>
        <v>#REF!</v>
      </c>
      <c r="R46" s="965"/>
      <c r="S46" s="966" t="e">
        <f>S45/#REF!</f>
        <v>#REF!</v>
      </c>
      <c r="T46" s="965"/>
      <c r="U46" s="966" t="e">
        <f>U45/#REF!</f>
        <v>#REF!</v>
      </c>
      <c r="V46" s="965"/>
      <c r="W46" s="966" t="e">
        <f>W45/#REF!</f>
        <v>#REF!</v>
      </c>
      <c r="X46" s="965"/>
      <c r="Y46" s="966" t="e">
        <f>Y45/#REF!</f>
        <v>#REF!</v>
      </c>
      <c r="Z46" s="965"/>
      <c r="AA46" s="966" t="e">
        <f>AA45/#REF!</f>
        <v>#REF!</v>
      </c>
      <c r="AB46" s="965"/>
      <c r="AC46" s="966" t="e">
        <f>AC45/#REF!</f>
        <v>#REF!</v>
      </c>
      <c r="AD46" s="965"/>
      <c r="AE46" s="966" t="e">
        <f>AE45/#REF!</f>
        <v>#REF!</v>
      </c>
      <c r="AF46" s="965"/>
      <c r="AG46" s="966" t="e">
        <f>AG45/#REF!</f>
        <v>#REF!</v>
      </c>
    </row>
    <row r="47" spans="1:33" x14ac:dyDescent="0.35">
      <c r="A47" s="684"/>
      <c r="B47" s="655"/>
      <c r="C47" s="656"/>
      <c r="D47" s="656"/>
      <c r="E47" s="657"/>
      <c r="F47" s="660" t="s">
        <v>720</v>
      </c>
      <c r="G47" s="662"/>
      <c r="H47" s="965"/>
      <c r="I47" s="966" t="e">
        <f>I45/#REF!</f>
        <v>#REF!</v>
      </c>
      <c r="J47" s="965"/>
      <c r="K47" s="966"/>
      <c r="L47" s="965"/>
      <c r="M47" s="966" t="e">
        <f>M45/#REF!</f>
        <v>#REF!</v>
      </c>
      <c r="N47" s="966"/>
      <c r="O47" s="966"/>
      <c r="P47" s="965"/>
      <c r="Q47" s="966" t="e">
        <f>Q45/#REF!</f>
        <v>#REF!</v>
      </c>
      <c r="R47" s="965"/>
      <c r="S47" s="966" t="e">
        <f>S45/#REF!</f>
        <v>#REF!</v>
      </c>
      <c r="T47" s="965"/>
      <c r="U47" s="966" t="e">
        <f>U45/#REF!</f>
        <v>#REF!</v>
      </c>
      <c r="V47" s="965"/>
      <c r="W47" s="966" t="e">
        <f>W45/#REF!</f>
        <v>#REF!</v>
      </c>
      <c r="X47" s="965"/>
      <c r="Y47" s="966" t="e">
        <f>Y45/#REF!</f>
        <v>#REF!</v>
      </c>
      <c r="Z47" s="965"/>
      <c r="AA47" s="966" t="e">
        <f>AA45/#REF!</f>
        <v>#REF!</v>
      </c>
      <c r="AB47" s="965"/>
      <c r="AC47" s="966" t="e">
        <f>AC45/#REF!</f>
        <v>#REF!</v>
      </c>
      <c r="AD47" s="965"/>
      <c r="AE47" s="966" t="e">
        <f>AE45/#REF!</f>
        <v>#REF!</v>
      </c>
      <c r="AF47" s="965"/>
      <c r="AG47" s="966" t="e">
        <f>AG45/#REF!</f>
        <v>#REF!</v>
      </c>
    </row>
    <row r="48" spans="1:33" x14ac:dyDescent="0.35">
      <c r="A48" s="684"/>
      <c r="B48" s="655"/>
      <c r="C48" s="656"/>
      <c r="D48" s="656"/>
      <c r="E48" s="657"/>
      <c r="F48" s="658"/>
      <c r="G48" s="663"/>
      <c r="H48" s="1168"/>
      <c r="I48" s="1169"/>
      <c r="J48" s="1168"/>
      <c r="K48" s="1169"/>
      <c r="L48" s="1168"/>
      <c r="M48" s="1169"/>
      <c r="N48" s="1285"/>
      <c r="O48" s="1285"/>
      <c r="P48" s="1168"/>
      <c r="Q48" s="1169"/>
      <c r="R48" s="1168"/>
      <c r="S48" s="1169"/>
      <c r="T48" s="1168"/>
      <c r="U48" s="1169"/>
      <c r="V48" s="1168"/>
      <c r="W48" s="1169"/>
      <c r="X48" s="1285"/>
      <c r="Y48" s="1285"/>
      <c r="Z48" s="1168"/>
      <c r="AA48" s="1169"/>
      <c r="AB48" s="967"/>
      <c r="AC48" s="967"/>
      <c r="AD48" s="967"/>
      <c r="AE48" s="967"/>
      <c r="AF48" s="967"/>
      <c r="AG48" s="967"/>
    </row>
    <row r="49" spans="1:46" x14ac:dyDescent="0.35">
      <c r="A49" s="3764" t="s">
        <v>721</v>
      </c>
      <c r="B49" s="3765"/>
      <c r="C49" s="12"/>
      <c r="D49" s="12"/>
      <c r="E49" s="12"/>
      <c r="F49" s="12"/>
      <c r="G49" s="13"/>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row>
    <row r="50" spans="1:46" x14ac:dyDescent="0.35">
      <c r="A50" s="968"/>
      <c r="B50" s="641"/>
      <c r="C50" s="707"/>
      <c r="D50" s="707"/>
      <c r="E50" s="707"/>
      <c r="F50" s="707"/>
      <c r="G50" s="1195"/>
      <c r="H50" s="972"/>
      <c r="I50" s="972"/>
      <c r="J50" s="972"/>
      <c r="K50" s="972"/>
      <c r="L50" s="972"/>
      <c r="M50" s="972"/>
      <c r="N50" s="972"/>
      <c r="O50" s="972"/>
      <c r="P50" s="972"/>
      <c r="Q50" s="972"/>
      <c r="R50" s="972"/>
      <c r="S50" s="972"/>
      <c r="T50" s="972"/>
      <c r="U50" s="972"/>
      <c r="V50" s="972"/>
      <c r="W50" s="972"/>
      <c r="X50" s="972"/>
      <c r="Y50" s="972"/>
      <c r="Z50" s="972"/>
      <c r="AA50" s="972"/>
      <c r="AB50" s="972"/>
      <c r="AC50" s="972"/>
      <c r="AD50" s="972"/>
      <c r="AE50" s="972"/>
      <c r="AF50" s="972"/>
      <c r="AG50" s="972"/>
    </row>
    <row r="51" spans="1:46" x14ac:dyDescent="0.35">
      <c r="A51" s="968"/>
      <c r="B51" s="641"/>
      <c r="C51" s="707"/>
      <c r="D51" s="707"/>
      <c r="E51" s="707"/>
      <c r="F51" s="707"/>
      <c r="G51" s="1195"/>
      <c r="H51" s="972"/>
      <c r="I51" s="972"/>
      <c r="J51" s="972"/>
      <c r="K51" s="972"/>
      <c r="L51" s="972"/>
      <c r="M51" s="972"/>
      <c r="N51" s="972"/>
      <c r="O51" s="972"/>
      <c r="P51" s="972"/>
      <c r="Q51" s="972"/>
      <c r="R51" s="972"/>
      <c r="S51" s="972"/>
      <c r="T51" s="972"/>
      <c r="U51" s="972"/>
      <c r="V51" s="972"/>
      <c r="W51" s="972"/>
      <c r="X51" s="972"/>
      <c r="Y51" s="972"/>
      <c r="Z51" s="972"/>
      <c r="AA51" s="972"/>
      <c r="AB51" s="972"/>
      <c r="AC51" s="972"/>
      <c r="AD51" s="972"/>
      <c r="AE51" s="972"/>
      <c r="AF51" s="972"/>
      <c r="AG51" s="972"/>
    </row>
    <row r="52" spans="1:46" x14ac:dyDescent="0.35">
      <c r="A52" s="968"/>
      <c r="B52" s="641"/>
      <c r="C52" s="707"/>
      <c r="D52" s="707"/>
      <c r="E52" s="707"/>
      <c r="F52" s="707"/>
      <c r="G52" s="1195"/>
      <c r="H52" s="972"/>
      <c r="I52" s="972"/>
      <c r="J52" s="972"/>
      <c r="K52" s="972"/>
      <c r="L52" s="972"/>
      <c r="M52" s="972"/>
      <c r="N52" s="972"/>
      <c r="O52" s="972"/>
      <c r="P52" s="972"/>
      <c r="Q52" s="972"/>
      <c r="R52" s="972"/>
      <c r="S52" s="972"/>
      <c r="T52" s="972"/>
      <c r="U52" s="972"/>
      <c r="V52" s="972"/>
      <c r="W52" s="972"/>
      <c r="X52" s="972"/>
      <c r="Y52" s="972"/>
      <c r="Z52" s="972"/>
      <c r="AA52" s="972"/>
      <c r="AB52" s="972"/>
      <c r="AC52" s="972"/>
      <c r="AD52" s="972"/>
      <c r="AE52" s="972"/>
      <c r="AF52" s="972"/>
      <c r="AG52" s="972"/>
    </row>
    <row r="53" spans="1:46" s="2" customFormat="1" x14ac:dyDescent="0.35">
      <c r="A53" s="3764" t="s">
        <v>722</v>
      </c>
      <c r="B53" s="3765"/>
      <c r="C53" s="12"/>
      <c r="D53" s="12"/>
      <c r="E53" s="12"/>
      <c r="F53" s="12"/>
      <c r="G53" s="13"/>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c r="AI53"/>
      <c r="AJ53"/>
      <c r="AK53"/>
      <c r="AL53"/>
      <c r="AM53"/>
      <c r="AN53"/>
      <c r="AO53"/>
      <c r="AP53"/>
      <c r="AQ53"/>
      <c r="AR53"/>
      <c r="AS53"/>
      <c r="AT53"/>
    </row>
    <row r="54" spans="1:46" s="2" customFormat="1" x14ac:dyDescent="0.35">
      <c r="A54" s="968"/>
      <c r="B54" s="641"/>
      <c r="C54" s="707"/>
      <c r="D54" s="707"/>
      <c r="E54" s="707"/>
      <c r="F54" s="707"/>
      <c r="G54" s="1195"/>
      <c r="H54" s="972"/>
      <c r="I54" s="972"/>
      <c r="J54" s="972"/>
      <c r="K54" s="972"/>
      <c r="L54" s="972"/>
      <c r="M54" s="972"/>
      <c r="N54" s="972"/>
      <c r="O54" s="972"/>
      <c r="P54" s="972"/>
      <c r="Q54" s="972"/>
      <c r="R54" s="972"/>
      <c r="S54" s="972"/>
      <c r="T54" s="972"/>
      <c r="U54" s="972"/>
      <c r="V54" s="972"/>
      <c r="W54" s="972"/>
      <c r="X54" s="972"/>
      <c r="Y54" s="972"/>
      <c r="Z54" s="972"/>
      <c r="AA54" s="972"/>
      <c r="AB54" s="972"/>
      <c r="AC54" s="972"/>
      <c r="AD54" s="972"/>
      <c r="AE54" s="972"/>
      <c r="AF54" s="972"/>
      <c r="AG54" s="972"/>
      <c r="AH54"/>
      <c r="AI54"/>
      <c r="AJ54"/>
      <c r="AK54"/>
      <c r="AL54"/>
      <c r="AM54"/>
      <c r="AN54"/>
      <c r="AO54"/>
      <c r="AP54"/>
      <c r="AQ54"/>
      <c r="AR54"/>
      <c r="AS54"/>
      <c r="AT54"/>
    </row>
    <row r="55" spans="1:46" s="2" customFormat="1" x14ac:dyDescent="0.35">
      <c r="A55" s="968"/>
      <c r="B55" s="641"/>
      <c r="C55" s="707"/>
      <c r="D55" s="707"/>
      <c r="E55" s="707"/>
      <c r="F55" s="707"/>
      <c r="G55" s="1195"/>
      <c r="H55" s="972"/>
      <c r="I55" s="972"/>
      <c r="J55" s="972"/>
      <c r="K55" s="972"/>
      <c r="L55" s="972"/>
      <c r="M55" s="972"/>
      <c r="N55" s="972"/>
      <c r="O55" s="972"/>
      <c r="P55" s="972"/>
      <c r="Q55" s="972"/>
      <c r="R55" s="972"/>
      <c r="S55" s="972"/>
      <c r="T55" s="972"/>
      <c r="U55" s="972"/>
      <c r="V55" s="972"/>
      <c r="W55" s="972"/>
      <c r="X55" s="972"/>
      <c r="Y55" s="972"/>
      <c r="Z55" s="972"/>
      <c r="AA55" s="972"/>
      <c r="AB55" s="972"/>
      <c r="AC55" s="972"/>
      <c r="AD55" s="972"/>
      <c r="AE55" s="972"/>
      <c r="AF55" s="972"/>
      <c r="AG55" s="972"/>
      <c r="AH55"/>
      <c r="AI55"/>
      <c r="AJ55"/>
      <c r="AK55"/>
      <c r="AL55"/>
      <c r="AM55"/>
      <c r="AN55"/>
      <c r="AO55"/>
      <c r="AP55"/>
      <c r="AQ55"/>
      <c r="AR55"/>
      <c r="AS55"/>
      <c r="AT55"/>
    </row>
    <row r="56" spans="1:46" x14ac:dyDescent="0.35">
      <c r="A56" s="968"/>
      <c r="B56" s="641"/>
      <c r="C56" s="707"/>
      <c r="D56" s="707"/>
      <c r="E56" s="707"/>
      <c r="F56" s="707"/>
      <c r="G56" s="1195"/>
      <c r="H56" s="972"/>
      <c r="I56" s="972"/>
      <c r="J56" s="972"/>
      <c r="K56" s="972"/>
      <c r="L56" s="972"/>
      <c r="M56" s="972"/>
      <c r="N56" s="972"/>
      <c r="O56" s="972"/>
      <c r="P56" s="972"/>
      <c r="Q56" s="972"/>
      <c r="R56" s="972"/>
      <c r="S56" s="972"/>
      <c r="T56" s="972"/>
      <c r="U56" s="972"/>
      <c r="V56" s="972"/>
      <c r="W56" s="972"/>
      <c r="X56" s="972"/>
      <c r="Y56" s="972"/>
      <c r="Z56" s="972"/>
      <c r="AA56" s="972"/>
      <c r="AB56" s="972"/>
      <c r="AC56" s="972"/>
      <c r="AD56" s="972"/>
      <c r="AE56" s="972"/>
      <c r="AF56" s="972"/>
      <c r="AG56" s="972"/>
    </row>
    <row r="57" spans="1:46" s="2" customFormat="1" x14ac:dyDescent="0.35">
      <c r="A57" s="3764" t="s">
        <v>723</v>
      </c>
      <c r="B57" s="3765"/>
      <c r="C57" s="12"/>
      <c r="D57" s="12"/>
      <c r="E57" s="12"/>
      <c r="F57" s="12"/>
      <c r="G57" s="13"/>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c r="AI57"/>
      <c r="AJ57"/>
      <c r="AK57"/>
      <c r="AL57"/>
      <c r="AM57"/>
      <c r="AN57"/>
      <c r="AO57"/>
      <c r="AP57"/>
      <c r="AQ57"/>
      <c r="AR57"/>
      <c r="AS57"/>
      <c r="AT57"/>
    </row>
    <row r="58" spans="1:46" s="2" customFormat="1" x14ac:dyDescent="0.35">
      <c r="A58" s="968"/>
      <c r="B58" s="641" t="s">
        <v>1159</v>
      </c>
      <c r="C58" s="707"/>
      <c r="D58" s="707"/>
      <c r="E58" s="707"/>
      <c r="F58" s="707"/>
      <c r="G58" s="1195"/>
      <c r="H58" s="972"/>
      <c r="I58" s="972"/>
      <c r="J58" s="972"/>
      <c r="K58" s="972"/>
      <c r="L58" s="972"/>
      <c r="M58" s="972"/>
      <c r="N58" s="972"/>
      <c r="O58" s="972"/>
      <c r="P58" s="972"/>
      <c r="Q58" s="972"/>
      <c r="R58" s="972"/>
      <c r="S58" s="972"/>
      <c r="T58" s="972"/>
      <c r="U58" s="972"/>
      <c r="V58" s="972"/>
      <c r="W58" s="972"/>
      <c r="X58" s="972"/>
      <c r="Y58" s="972"/>
      <c r="Z58" s="972"/>
      <c r="AA58" s="972"/>
      <c r="AB58" s="972"/>
      <c r="AC58" s="972"/>
      <c r="AD58" s="972"/>
      <c r="AE58" s="972"/>
      <c r="AF58" s="972"/>
      <c r="AG58" s="972"/>
      <c r="AH58"/>
      <c r="AI58"/>
      <c r="AJ58"/>
      <c r="AK58"/>
      <c r="AL58"/>
      <c r="AM58"/>
      <c r="AN58"/>
      <c r="AO58"/>
      <c r="AP58"/>
      <c r="AQ58"/>
      <c r="AR58"/>
      <c r="AS58"/>
      <c r="AT58"/>
    </row>
    <row r="59" spans="1:46" s="2" customFormat="1" x14ac:dyDescent="0.35">
      <c r="A59" s="689"/>
      <c r="B59" s="641" t="s">
        <v>1160</v>
      </c>
      <c r="C59" s="642"/>
      <c r="D59" s="642"/>
      <c r="E59" s="642"/>
      <c r="F59" s="642"/>
      <c r="G59" s="646"/>
      <c r="H59" s="973"/>
      <c r="I59" s="973"/>
      <c r="J59" s="973"/>
      <c r="K59" s="973"/>
      <c r="L59" s="973"/>
      <c r="M59" s="973"/>
      <c r="N59" s="973"/>
      <c r="O59" s="973"/>
      <c r="P59" s="973"/>
      <c r="Q59" s="973"/>
      <c r="R59" s="973"/>
      <c r="S59" s="973"/>
      <c r="T59" s="973"/>
      <c r="U59" s="973"/>
      <c r="V59" s="973"/>
      <c r="W59" s="973"/>
      <c r="X59" s="973"/>
      <c r="Y59" s="973"/>
      <c r="Z59" s="973"/>
      <c r="AA59" s="973"/>
      <c r="AB59" s="973"/>
      <c r="AC59" s="973"/>
      <c r="AD59" s="973"/>
      <c r="AE59" s="973"/>
      <c r="AF59" s="973"/>
      <c r="AG59" s="973"/>
      <c r="AH59"/>
      <c r="AI59"/>
      <c r="AJ59"/>
      <c r="AK59"/>
      <c r="AL59"/>
      <c r="AM59"/>
      <c r="AN59"/>
      <c r="AO59"/>
      <c r="AP59"/>
      <c r="AQ59"/>
      <c r="AR59"/>
      <c r="AS59"/>
      <c r="AT59"/>
    </row>
    <row r="60" spans="1:46" s="2" customFormat="1" x14ac:dyDescent="0.35">
      <c r="A60" s="686"/>
      <c r="B60" s="665" t="s">
        <v>1161</v>
      </c>
      <c r="C60" s="642"/>
      <c r="D60" s="642"/>
      <c r="E60" s="642"/>
      <c r="F60" s="642"/>
      <c r="G60" s="646"/>
      <c r="H60" s="974"/>
      <c r="I60" s="974"/>
      <c r="J60" s="974"/>
      <c r="K60" s="974"/>
      <c r="L60" s="974"/>
      <c r="M60" s="974"/>
      <c r="N60" s="974"/>
      <c r="O60" s="974"/>
      <c r="P60" s="974"/>
      <c r="Q60" s="974"/>
      <c r="R60" s="974"/>
      <c r="S60" s="974"/>
      <c r="T60" s="974"/>
      <c r="U60" s="974"/>
      <c r="V60" s="974"/>
      <c r="W60" s="974"/>
      <c r="X60" s="974"/>
      <c r="Y60" s="974"/>
      <c r="Z60" s="974"/>
      <c r="AA60" s="974"/>
      <c r="AB60" s="974"/>
      <c r="AC60" s="974"/>
      <c r="AD60" s="974"/>
      <c r="AE60" s="974"/>
      <c r="AF60" s="974"/>
      <c r="AG60" s="974"/>
    </row>
    <row r="61" spans="1:46" s="2" customFormat="1" x14ac:dyDescent="0.35">
      <c r="A61" s="3764" t="s">
        <v>724</v>
      </c>
      <c r="B61" s="3765"/>
      <c r="C61" s="12"/>
      <c r="D61" s="12"/>
      <c r="E61" s="12"/>
      <c r="F61" s="12"/>
      <c r="G61" s="13"/>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c r="AI61"/>
      <c r="AJ61"/>
      <c r="AK61"/>
      <c r="AL61"/>
      <c r="AM61"/>
      <c r="AN61"/>
      <c r="AO61"/>
      <c r="AP61"/>
      <c r="AQ61"/>
      <c r="AR61"/>
      <c r="AS61"/>
      <c r="AT61"/>
    </row>
    <row r="62" spans="1:46" x14ac:dyDescent="0.35">
      <c r="A62" s="975"/>
      <c r="B62" s="708"/>
      <c r="C62" s="707"/>
      <c r="D62" s="707"/>
      <c r="E62" s="707"/>
      <c r="F62" s="707"/>
      <c r="G62" s="1195"/>
      <c r="H62" s="972"/>
      <c r="I62" s="972"/>
      <c r="J62" s="972"/>
      <c r="K62" s="972"/>
      <c r="L62" s="972"/>
      <c r="M62" s="972"/>
      <c r="N62" s="972"/>
      <c r="O62" s="972"/>
      <c r="P62" s="972"/>
      <c r="Q62" s="972"/>
      <c r="R62" s="972"/>
      <c r="S62" s="972"/>
      <c r="T62" s="972"/>
      <c r="U62" s="972"/>
      <c r="V62" s="972"/>
      <c r="W62" s="972"/>
      <c r="X62" s="972"/>
      <c r="Y62" s="972"/>
      <c r="Z62" s="972"/>
      <c r="AA62" s="972"/>
      <c r="AB62" s="972"/>
      <c r="AC62" s="972"/>
      <c r="AD62" s="972"/>
      <c r="AE62" s="972"/>
      <c r="AF62" s="972"/>
      <c r="AG62" s="972"/>
      <c r="AH62" s="2"/>
      <c r="AI62" s="2"/>
      <c r="AJ62" s="2"/>
      <c r="AK62" s="2"/>
      <c r="AL62" s="2"/>
      <c r="AM62" s="2"/>
      <c r="AN62" s="2"/>
      <c r="AO62" s="2"/>
      <c r="AP62" s="2"/>
      <c r="AQ62" s="2"/>
      <c r="AR62" s="2"/>
      <c r="AS62" s="2"/>
      <c r="AT62" s="2"/>
    </row>
    <row r="63" spans="1:46" x14ac:dyDescent="0.35">
      <c r="A63" s="686"/>
      <c r="B63" s="665"/>
      <c r="C63" s="642"/>
      <c r="D63" s="642"/>
      <c r="E63" s="642"/>
      <c r="F63" s="642"/>
      <c r="G63" s="646"/>
      <c r="H63" s="977"/>
      <c r="I63" s="977"/>
      <c r="J63" s="977"/>
      <c r="K63" s="977"/>
      <c r="L63" s="977"/>
      <c r="M63" s="977"/>
      <c r="N63" s="977"/>
      <c r="O63" s="977"/>
      <c r="P63" s="977"/>
      <c r="Q63" s="977"/>
      <c r="R63" s="977"/>
      <c r="S63" s="977"/>
      <c r="T63" s="977"/>
      <c r="U63" s="977"/>
      <c r="V63" s="977"/>
      <c r="W63" s="977"/>
      <c r="X63" s="977"/>
      <c r="Y63" s="977"/>
      <c r="Z63" s="977"/>
      <c r="AA63" s="977"/>
      <c r="AB63" s="977"/>
      <c r="AC63" s="977"/>
      <c r="AD63" s="977"/>
      <c r="AE63" s="977"/>
      <c r="AF63" s="977"/>
      <c r="AG63" s="977"/>
      <c r="AH63" s="2"/>
      <c r="AI63" s="2"/>
      <c r="AJ63" s="2"/>
      <c r="AK63" s="2"/>
      <c r="AL63" s="2"/>
      <c r="AM63" s="2"/>
      <c r="AN63" s="2"/>
      <c r="AO63" s="2"/>
      <c r="AP63" s="2"/>
      <c r="AQ63" s="2"/>
      <c r="AR63" s="2"/>
      <c r="AS63" s="2"/>
      <c r="AT63" s="2"/>
    </row>
    <row r="64" spans="1:46" x14ac:dyDescent="0.35">
      <c r="A64" s="686"/>
      <c r="B64" s="665"/>
      <c r="C64" s="642"/>
      <c r="D64" s="642"/>
      <c r="E64" s="642"/>
      <c r="F64" s="642"/>
      <c r="G64" s="646"/>
      <c r="H64" s="977"/>
      <c r="I64" s="977"/>
      <c r="J64" s="977"/>
      <c r="K64" s="977"/>
      <c r="L64" s="977"/>
      <c r="M64" s="977"/>
      <c r="N64" s="977"/>
      <c r="O64" s="977"/>
      <c r="P64" s="977"/>
      <c r="Q64" s="977"/>
      <c r="R64" s="977"/>
      <c r="S64" s="977"/>
      <c r="T64" s="977"/>
      <c r="U64" s="977"/>
      <c r="V64" s="977"/>
      <c r="W64" s="977"/>
      <c r="X64" s="977"/>
      <c r="Y64" s="977"/>
      <c r="Z64" s="977"/>
      <c r="AA64" s="977"/>
      <c r="AB64" s="977"/>
      <c r="AC64" s="977"/>
      <c r="AD64" s="977"/>
      <c r="AE64" s="977"/>
      <c r="AF64" s="977"/>
      <c r="AG64" s="977"/>
      <c r="AH64" s="2"/>
      <c r="AI64" s="2"/>
      <c r="AJ64" s="2"/>
      <c r="AK64" s="2"/>
      <c r="AL64" s="2"/>
      <c r="AM64" s="2"/>
      <c r="AN64" s="2"/>
      <c r="AO64" s="2"/>
      <c r="AP64" s="2"/>
      <c r="AQ64" s="2"/>
      <c r="AR64" s="2"/>
      <c r="AS64" s="2"/>
      <c r="AT64" s="2"/>
    </row>
    <row r="65" spans="1:33" x14ac:dyDescent="0.35">
      <c r="A65" s="3764" t="s">
        <v>725</v>
      </c>
      <c r="B65" s="3765"/>
      <c r="C65" s="12"/>
      <c r="D65" s="12"/>
      <c r="E65" s="12"/>
      <c r="F65" s="12"/>
      <c r="G65" s="13"/>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row>
    <row r="66" spans="1:33" x14ac:dyDescent="0.35">
      <c r="A66" s="689"/>
      <c r="B66" s="641" t="s">
        <v>726</v>
      </c>
      <c r="C66" s="642"/>
      <c r="D66" s="642"/>
      <c r="E66" s="642"/>
      <c r="F66" s="642"/>
      <c r="G66" s="646"/>
      <c r="H66" s="977"/>
      <c r="I66" s="977"/>
      <c r="J66" s="977"/>
      <c r="K66" s="977"/>
      <c r="L66" s="977"/>
      <c r="M66" s="977"/>
      <c r="N66" s="977"/>
      <c r="O66" s="977"/>
      <c r="P66" s="977"/>
      <c r="Q66" s="977"/>
      <c r="R66" s="977"/>
      <c r="S66" s="977"/>
      <c r="T66" s="977"/>
      <c r="U66" s="977"/>
      <c r="V66" s="977"/>
      <c r="W66" s="977"/>
      <c r="X66" s="977"/>
      <c r="Y66" s="977"/>
      <c r="Z66" s="977"/>
      <c r="AA66" s="977"/>
      <c r="AB66" s="977"/>
      <c r="AC66" s="977"/>
      <c r="AD66" s="977"/>
      <c r="AE66" s="977"/>
      <c r="AF66" s="977"/>
      <c r="AG66" s="977"/>
    </row>
    <row r="67" spans="1:33" x14ac:dyDescent="0.35">
      <c r="A67" s="689"/>
      <c r="B67" s="641" t="s">
        <v>727</v>
      </c>
      <c r="C67" s="642"/>
      <c r="D67" s="642"/>
      <c r="E67" s="642"/>
      <c r="F67" s="642"/>
      <c r="G67" s="646"/>
      <c r="H67" s="977"/>
      <c r="I67" s="977"/>
      <c r="J67" s="977"/>
      <c r="K67" s="977"/>
      <c r="L67" s="977"/>
      <c r="M67" s="977"/>
      <c r="N67" s="977"/>
      <c r="O67" s="977"/>
      <c r="P67" s="977"/>
      <c r="Q67" s="977"/>
      <c r="R67" s="977"/>
      <c r="S67" s="977"/>
      <c r="T67" s="977"/>
      <c r="U67" s="977"/>
      <c r="V67" s="977"/>
      <c r="W67" s="977"/>
      <c r="X67" s="977"/>
      <c r="Y67" s="977"/>
      <c r="Z67" s="977"/>
      <c r="AA67" s="977"/>
      <c r="AB67" s="977"/>
      <c r="AC67" s="977"/>
      <c r="AD67" s="977"/>
      <c r="AE67" s="977"/>
      <c r="AF67" s="977"/>
      <c r="AG67" s="977"/>
    </row>
    <row r="68" spans="1:33" x14ac:dyDescent="0.35">
      <c r="A68" s="689"/>
      <c r="B68" s="641" t="s">
        <v>728</v>
      </c>
      <c r="C68" s="642"/>
      <c r="D68" s="642"/>
      <c r="E68" s="642"/>
      <c r="F68" s="642"/>
      <c r="G68" s="646"/>
      <c r="H68" s="977"/>
      <c r="I68" s="977"/>
      <c r="J68" s="977"/>
      <c r="K68" s="977"/>
      <c r="L68" s="977"/>
      <c r="M68" s="977"/>
      <c r="N68" s="977"/>
      <c r="O68" s="977"/>
      <c r="P68" s="977"/>
      <c r="Q68" s="977"/>
      <c r="R68" s="977"/>
      <c r="S68" s="977"/>
      <c r="T68" s="977"/>
      <c r="U68" s="977"/>
      <c r="V68" s="977"/>
      <c r="W68" s="977"/>
      <c r="X68" s="977"/>
      <c r="Y68" s="977"/>
      <c r="Z68" s="977"/>
      <c r="AA68" s="977"/>
      <c r="AB68" s="977"/>
      <c r="AC68" s="977"/>
      <c r="AD68" s="977"/>
      <c r="AE68" s="977"/>
      <c r="AF68" s="977"/>
      <c r="AG68" s="977"/>
    </row>
    <row r="69" spans="1:33" x14ac:dyDescent="0.35">
      <c r="A69" s="689"/>
      <c r="B69" s="641" t="s">
        <v>729</v>
      </c>
      <c r="C69" s="642"/>
      <c r="D69" s="642"/>
      <c r="E69" s="642"/>
      <c r="F69" s="642"/>
      <c r="G69" s="646"/>
      <c r="H69" s="977"/>
      <c r="I69" s="977"/>
      <c r="J69" s="977"/>
      <c r="K69" s="977"/>
      <c r="L69" s="977"/>
      <c r="M69" s="977"/>
      <c r="N69" s="977"/>
      <c r="O69" s="977"/>
      <c r="P69" s="977"/>
      <c r="Q69" s="977"/>
      <c r="R69" s="977"/>
      <c r="S69" s="977"/>
      <c r="T69" s="977"/>
      <c r="U69" s="977"/>
      <c r="V69" s="977"/>
      <c r="W69" s="977"/>
      <c r="X69" s="977"/>
      <c r="Y69" s="977"/>
      <c r="Z69" s="977"/>
      <c r="AA69" s="977"/>
      <c r="AB69" s="977"/>
      <c r="AC69" s="977"/>
      <c r="AD69" s="977"/>
      <c r="AE69" s="977"/>
      <c r="AF69" s="977"/>
      <c r="AG69" s="977"/>
    </row>
    <row r="70" spans="1:33" x14ac:dyDescent="0.35">
      <c r="A70" s="978"/>
      <c r="B70" s="939"/>
      <c r="C70" s="940"/>
      <c r="D70" s="940"/>
      <c r="E70" s="940"/>
      <c r="F70" s="940"/>
      <c r="G70" s="1039"/>
      <c r="H70" s="981"/>
      <c r="I70" s="981"/>
      <c r="J70" s="981"/>
      <c r="K70" s="981"/>
      <c r="L70" s="981"/>
      <c r="M70" s="981"/>
      <c r="N70" s="981"/>
      <c r="O70" s="981"/>
      <c r="P70" s="981"/>
      <c r="Q70" s="981"/>
      <c r="R70" s="981"/>
      <c r="S70" s="981"/>
      <c r="T70" s="981"/>
      <c r="U70" s="981"/>
      <c r="V70" s="981"/>
      <c r="W70" s="981"/>
      <c r="X70" s="981"/>
      <c r="Y70" s="981"/>
      <c r="Z70" s="981"/>
      <c r="AA70" s="981"/>
      <c r="AB70" s="981"/>
      <c r="AC70" s="981"/>
      <c r="AD70" s="981"/>
      <c r="AE70" s="981"/>
      <c r="AF70" s="981"/>
      <c r="AG70" s="981"/>
    </row>
    <row r="71" spans="1:33" x14ac:dyDescent="0.35">
      <c r="A71" s="7" t="s">
        <v>730</v>
      </c>
      <c r="B71" s="8"/>
      <c r="C71" s="12"/>
      <c r="D71" s="12"/>
      <c r="E71" s="12"/>
      <c r="F71" s="12"/>
      <c r="G71" s="13"/>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row>
    <row r="72" spans="1:33" x14ac:dyDescent="0.35">
      <c r="A72" s="968"/>
      <c r="B72" s="709" t="s">
        <v>731</v>
      </c>
      <c r="C72" s="707"/>
      <c r="D72" s="707"/>
      <c r="E72" s="707"/>
      <c r="F72" s="707"/>
      <c r="G72" s="1195"/>
      <c r="H72" s="983"/>
      <c r="I72" s="983"/>
      <c r="J72" s="983"/>
      <c r="K72" s="983"/>
      <c r="L72" s="983"/>
      <c r="M72" s="983"/>
      <c r="N72" s="983"/>
      <c r="O72" s="983"/>
      <c r="P72" s="983"/>
      <c r="Q72" s="983"/>
      <c r="R72" s="983"/>
      <c r="S72" s="983"/>
      <c r="T72" s="983"/>
      <c r="U72" s="983"/>
      <c r="V72" s="983"/>
      <c r="W72" s="983"/>
      <c r="X72" s="983"/>
      <c r="Y72" s="983"/>
      <c r="Z72" s="983"/>
      <c r="AA72" s="983"/>
      <c r="AB72" s="983"/>
      <c r="AC72" s="983"/>
      <c r="AD72" s="983"/>
      <c r="AE72" s="983"/>
      <c r="AF72" s="983"/>
      <c r="AG72" s="983"/>
    </row>
    <row r="73" spans="1:33" x14ac:dyDescent="0.35">
      <c r="A73" s="689"/>
      <c r="B73" s="641" t="s">
        <v>732</v>
      </c>
      <c r="C73" s="642"/>
      <c r="D73" s="642"/>
      <c r="E73" s="642"/>
      <c r="F73" s="642"/>
      <c r="G73" s="646"/>
      <c r="H73" s="984"/>
      <c r="I73" s="984"/>
      <c r="J73" s="984"/>
      <c r="K73" s="984"/>
      <c r="L73" s="984"/>
      <c r="M73" s="984"/>
      <c r="N73" s="984"/>
      <c r="O73" s="984"/>
      <c r="P73" s="984"/>
      <c r="Q73" s="984"/>
      <c r="R73" s="984"/>
      <c r="S73" s="984"/>
      <c r="T73" s="984"/>
      <c r="U73" s="984"/>
      <c r="V73" s="984"/>
      <c r="W73" s="984"/>
      <c r="X73" s="984"/>
      <c r="Y73" s="984"/>
      <c r="Z73" s="984"/>
      <c r="AA73" s="984"/>
      <c r="AB73" s="984"/>
      <c r="AC73" s="984"/>
      <c r="AD73" s="984"/>
      <c r="AE73" s="984"/>
      <c r="AF73" s="984"/>
      <c r="AG73" s="984"/>
    </row>
    <row r="74" spans="1:33" x14ac:dyDescent="0.35">
      <c r="A74" s="985"/>
      <c r="B74" s="986" t="s">
        <v>733</v>
      </c>
      <c r="C74" s="987"/>
      <c r="D74" s="987"/>
      <c r="E74" s="987"/>
      <c r="F74" s="987"/>
      <c r="G74" s="1040"/>
      <c r="H74" s="990"/>
      <c r="I74" s="990"/>
      <c r="J74" s="990"/>
      <c r="K74" s="990"/>
      <c r="L74" s="990"/>
      <c r="M74" s="990"/>
      <c r="N74" s="990"/>
      <c r="O74" s="990"/>
      <c r="P74" s="990"/>
      <c r="Q74" s="990"/>
      <c r="R74" s="990"/>
      <c r="S74" s="990"/>
      <c r="T74" s="990"/>
      <c r="U74" s="990"/>
      <c r="V74" s="990"/>
      <c r="W74" s="990"/>
      <c r="X74" s="990"/>
      <c r="Y74" s="990"/>
      <c r="Z74" s="990"/>
      <c r="AA74" s="990"/>
      <c r="AB74" s="990"/>
      <c r="AC74" s="990"/>
      <c r="AD74" s="990"/>
      <c r="AE74" s="990"/>
      <c r="AF74" s="990"/>
      <c r="AG74" s="990"/>
    </row>
    <row r="75" spans="1:33" x14ac:dyDescent="0.35">
      <c r="AF75" s="2"/>
      <c r="AG75" s="2"/>
    </row>
    <row r="76" spans="1:33" x14ac:dyDescent="0.35">
      <c r="A76" s="78" t="s">
        <v>734</v>
      </c>
      <c r="B76" s="80"/>
      <c r="AF76" s="2"/>
      <c r="AG76" s="2"/>
    </row>
    <row r="77" spans="1:33" x14ac:dyDescent="0.35">
      <c r="A77" s="79" t="s">
        <v>632</v>
      </c>
      <c r="B77" s="991" t="str">
        <f>L4</f>
        <v>Griffin + Advanced Drywall</v>
      </c>
      <c r="AF77" s="2"/>
      <c r="AG77" s="2"/>
    </row>
    <row r="78" spans="1:33" x14ac:dyDescent="0.35">
      <c r="A78" s="687" t="s">
        <v>636</v>
      </c>
      <c r="B78" s="991">
        <f>L5</f>
        <v>0</v>
      </c>
      <c r="AF78" s="2"/>
      <c r="AG78" s="2"/>
    </row>
    <row r="79" spans="1:33" x14ac:dyDescent="0.35">
      <c r="A79" s="992" t="s">
        <v>639</v>
      </c>
      <c r="B79" s="993">
        <f>L6</f>
        <v>0</v>
      </c>
      <c r="AF79" s="2"/>
      <c r="AG79" s="2"/>
    </row>
    <row r="80" spans="1:33" x14ac:dyDescent="0.35">
      <c r="A80" s="992" t="s">
        <v>642</v>
      </c>
      <c r="B80" s="1286">
        <f>L7</f>
        <v>0</v>
      </c>
      <c r="AF80" s="2"/>
      <c r="AG80" s="2"/>
    </row>
    <row r="81" spans="1:33" x14ac:dyDescent="0.35">
      <c r="A81" s="995" t="s">
        <v>735</v>
      </c>
      <c r="B81" s="996"/>
      <c r="AF81" s="2"/>
      <c r="AG81" s="2"/>
    </row>
    <row r="82" spans="1:33" x14ac:dyDescent="0.35">
      <c r="AF82" s="2"/>
      <c r="AG82" s="2"/>
    </row>
    <row r="83" spans="1:33" x14ac:dyDescent="0.35">
      <c r="A83" s="81"/>
      <c r="B83" s="1" t="s">
        <v>736</v>
      </c>
      <c r="AF83" s="2"/>
      <c r="AG83" s="2"/>
    </row>
    <row r="84" spans="1:33" x14ac:dyDescent="0.35">
      <c r="A84" s="82"/>
      <c r="B84" s="1" t="s">
        <v>737</v>
      </c>
      <c r="AF84" s="2"/>
      <c r="AG84" s="2"/>
    </row>
    <row r="85" spans="1:33" x14ac:dyDescent="0.35">
      <c r="AF85" s="2"/>
      <c r="AG85" s="2"/>
    </row>
    <row r="86" spans="1:33" x14ac:dyDescent="0.35">
      <c r="AF86" s="2"/>
      <c r="AG86" s="2"/>
    </row>
    <row r="87" spans="1:33" x14ac:dyDescent="0.35">
      <c r="AF87" s="2"/>
      <c r="AG87" s="2"/>
    </row>
    <row r="88" spans="1:33" x14ac:dyDescent="0.35">
      <c r="AF88" s="2"/>
      <c r="AG88" s="2"/>
    </row>
    <row r="89" spans="1:33" x14ac:dyDescent="0.35">
      <c r="AF89" s="2"/>
      <c r="AG89" s="2"/>
    </row>
    <row r="90" spans="1:33" x14ac:dyDescent="0.35">
      <c r="AF90" s="2"/>
      <c r="AG90" s="2"/>
    </row>
    <row r="91" spans="1:33" x14ac:dyDescent="0.35">
      <c r="AF91" s="2"/>
      <c r="AG91" s="2"/>
    </row>
    <row r="92" spans="1:33" x14ac:dyDescent="0.35">
      <c r="AF92" s="2"/>
      <c r="AG92" s="2"/>
    </row>
    <row r="93" spans="1:33" x14ac:dyDescent="0.35">
      <c r="AF93" s="2"/>
      <c r="AG93" s="2"/>
    </row>
    <row r="94" spans="1:33" x14ac:dyDescent="0.35">
      <c r="AF94" s="2"/>
      <c r="AG94" s="2"/>
    </row>
    <row r="95" spans="1:33" x14ac:dyDescent="0.35">
      <c r="AF95" s="2"/>
      <c r="AG95" s="2"/>
    </row>
    <row r="96" spans="1:33" x14ac:dyDescent="0.35">
      <c r="AF96" s="2"/>
      <c r="AG96" s="2"/>
    </row>
    <row r="97" spans="32:33" x14ac:dyDescent="0.35">
      <c r="AF97" s="2"/>
      <c r="AG97" s="2"/>
    </row>
    <row r="98" spans="32:33" x14ac:dyDescent="0.35">
      <c r="AF98" s="2"/>
      <c r="AG98" s="2"/>
    </row>
    <row r="99" spans="32:33" x14ac:dyDescent="0.35">
      <c r="AF99" s="2"/>
      <c r="AG99" s="2"/>
    </row>
    <row r="100" spans="32:33" x14ac:dyDescent="0.35">
      <c r="AF100" s="2"/>
      <c r="AG100" s="2"/>
    </row>
    <row r="101" spans="32:33" x14ac:dyDescent="0.35">
      <c r="AF101" s="2"/>
      <c r="AG101" s="2"/>
    </row>
    <row r="102" spans="32:33" x14ac:dyDescent="0.35">
      <c r="AF102" s="2"/>
      <c r="AG102" s="2"/>
    </row>
    <row r="103" spans="32:33" x14ac:dyDescent="0.35">
      <c r="AF103" s="2"/>
      <c r="AG103" s="2"/>
    </row>
    <row r="104" spans="32:33" x14ac:dyDescent="0.35">
      <c r="AF104" s="2"/>
      <c r="AG104" s="2"/>
    </row>
    <row r="105" spans="32:33" x14ac:dyDescent="0.35">
      <c r="AF105" s="2"/>
      <c r="AG105" s="2"/>
    </row>
    <row r="106" spans="32:33" x14ac:dyDescent="0.35">
      <c r="AF106" s="2"/>
      <c r="AG106" s="2"/>
    </row>
    <row r="107" spans="32:33" x14ac:dyDescent="0.35">
      <c r="AF107" s="2"/>
      <c r="AG107" s="2"/>
    </row>
    <row r="108" spans="32:33" x14ac:dyDescent="0.35">
      <c r="AF108" s="2"/>
      <c r="AG108" s="2"/>
    </row>
    <row r="109" spans="32:33" x14ac:dyDescent="0.35">
      <c r="AF109" s="2"/>
      <c r="AG109" s="2"/>
    </row>
    <row r="110" spans="32:33" x14ac:dyDescent="0.35">
      <c r="AF110" s="2"/>
      <c r="AG110" s="2"/>
    </row>
    <row r="111" spans="32:33" x14ac:dyDescent="0.35">
      <c r="AF111" s="2"/>
      <c r="AG111" s="2"/>
    </row>
    <row r="112" spans="32:33" x14ac:dyDescent="0.35">
      <c r="AF112" s="2"/>
      <c r="AG112" s="2"/>
    </row>
    <row r="113" spans="32:33" x14ac:dyDescent="0.35">
      <c r="AF113" s="2"/>
      <c r="AG113" s="2"/>
    </row>
    <row r="114" spans="32:33" x14ac:dyDescent="0.35">
      <c r="AF114" s="2"/>
      <c r="AG114" s="2"/>
    </row>
  </sheetData>
  <mergeCells count="94">
    <mergeCell ref="L8:M8"/>
    <mergeCell ref="N3:O3"/>
    <mergeCell ref="N4:O4"/>
    <mergeCell ref="N5:O5"/>
    <mergeCell ref="N6:O6"/>
    <mergeCell ref="N7:O7"/>
    <mergeCell ref="N8:O8"/>
    <mergeCell ref="L3:M3"/>
    <mergeCell ref="L4:M4"/>
    <mergeCell ref="L5:M5"/>
    <mergeCell ref="L6:M6"/>
    <mergeCell ref="L7:M7"/>
    <mergeCell ref="J2:K2"/>
    <mergeCell ref="J3:K3"/>
    <mergeCell ref="J4:K4"/>
    <mergeCell ref="J5:K5"/>
    <mergeCell ref="J6:K6"/>
    <mergeCell ref="H2:I2"/>
    <mergeCell ref="H3:I3"/>
    <mergeCell ref="H4:I4"/>
    <mergeCell ref="H5:I5"/>
    <mergeCell ref="H6:I6"/>
    <mergeCell ref="AD2:AE2"/>
    <mergeCell ref="R2:S2"/>
    <mergeCell ref="T2:U2"/>
    <mergeCell ref="V2:W2"/>
    <mergeCell ref="P2:Q2"/>
    <mergeCell ref="AB2:AC2"/>
    <mergeCell ref="X2:Y2"/>
    <mergeCell ref="Z2:AA2"/>
    <mergeCell ref="AD4:AE4"/>
    <mergeCell ref="R3:S3"/>
    <mergeCell ref="T3:U3"/>
    <mergeCell ref="V3:W3"/>
    <mergeCell ref="P3:Q3"/>
    <mergeCell ref="AB3:AC3"/>
    <mergeCell ref="AD3:AE3"/>
    <mergeCell ref="R4:S4"/>
    <mergeCell ref="T4:U4"/>
    <mergeCell ref="V4:W4"/>
    <mergeCell ref="P4:Q4"/>
    <mergeCell ref="AB4:AC4"/>
    <mergeCell ref="Z3:AA3"/>
    <mergeCell ref="Z4:AA4"/>
    <mergeCell ref="X3:Y3"/>
    <mergeCell ref="X4:Y4"/>
    <mergeCell ref="AD6:AE6"/>
    <mergeCell ref="R5:S5"/>
    <mergeCell ref="T5:U5"/>
    <mergeCell ref="V5:W5"/>
    <mergeCell ref="P5:Q5"/>
    <mergeCell ref="AB5:AC5"/>
    <mergeCell ref="AD5:AE5"/>
    <mergeCell ref="R6:S6"/>
    <mergeCell ref="T6:U6"/>
    <mergeCell ref="V6:W6"/>
    <mergeCell ref="P6:Q6"/>
    <mergeCell ref="AB6:AC6"/>
    <mergeCell ref="Z5:AA5"/>
    <mergeCell ref="Z6:AA6"/>
    <mergeCell ref="X5:Y5"/>
    <mergeCell ref="X6:Y6"/>
    <mergeCell ref="A61:B61"/>
    <mergeCell ref="A65:B65"/>
    <mergeCell ref="AF2:AG2"/>
    <mergeCell ref="AF3:AG3"/>
    <mergeCell ref="AF4:AG4"/>
    <mergeCell ref="AF5:AG5"/>
    <mergeCell ref="AF6:AG6"/>
    <mergeCell ref="R8:S8"/>
    <mergeCell ref="T8:U8"/>
    <mergeCell ref="V8:W8"/>
    <mergeCell ref="P8:Q8"/>
    <mergeCell ref="AB8:AC8"/>
    <mergeCell ref="AD8:AE8"/>
    <mergeCell ref="R7:S7"/>
    <mergeCell ref="T7:U7"/>
    <mergeCell ref="V7:W7"/>
    <mergeCell ref="AF7:AG7"/>
    <mergeCell ref="AF8:AG8"/>
    <mergeCell ref="A49:B49"/>
    <mergeCell ref="A53:B53"/>
    <mergeCell ref="A57:B57"/>
    <mergeCell ref="P7:Q7"/>
    <mergeCell ref="AB7:AC7"/>
    <mergeCell ref="AD7:AE7"/>
    <mergeCell ref="Z7:AA7"/>
    <mergeCell ref="Z8:AA8"/>
    <mergeCell ref="X7:Y7"/>
    <mergeCell ref="X8:Y8"/>
    <mergeCell ref="H7:I7"/>
    <mergeCell ref="H8:I8"/>
    <mergeCell ref="J7:K7"/>
    <mergeCell ref="J8:K8"/>
  </mergeCells>
  <conditionalFormatting sqref="H20:H30 J20:J30 P20:P30 R20:R30 T20:T30 V20:V30 AB20:AB30 AD20:AD30 AF20:AF30 Z22:Z30 Z32:Z38 R32:R40 T32:T40 V32:V40 AB32:AB40 AD32:AD40 AF32:AF40 X34:X38">
    <cfRule type="cellIs" dxfId="2431" priority="39" operator="equal">
      <formula>"X"</formula>
    </cfRule>
    <cfRule type="cellIs" dxfId="2430" priority="40" operator="equal">
      <formula>"I"</formula>
    </cfRule>
  </conditionalFormatting>
  <conditionalFormatting sqref="H32:H40">
    <cfRule type="cellIs" dxfId="2429" priority="7" operator="equal">
      <formula>"X"</formula>
    </cfRule>
    <cfRule type="cellIs" dxfId="2428" priority="8" operator="equal">
      <formula>"I"</formula>
    </cfRule>
  </conditionalFormatting>
  <conditionalFormatting sqref="J32:J40">
    <cfRule type="cellIs" dxfId="2427" priority="15" operator="equal">
      <formula>"X"</formula>
    </cfRule>
    <cfRule type="cellIs" dxfId="2426" priority="16" operator="equal">
      <formula>"I"</formula>
    </cfRule>
  </conditionalFormatting>
  <conditionalFormatting sqref="L34:L40">
    <cfRule type="cellIs" dxfId="2425" priority="1" operator="equal">
      <formula>"X"</formula>
    </cfRule>
    <cfRule type="cellIs" dxfId="2424" priority="2" operator="equal">
      <formula>"I"</formula>
    </cfRule>
  </conditionalFormatting>
  <conditionalFormatting sqref="P32:P40">
    <cfRule type="cellIs" dxfId="2423" priority="3" operator="equal">
      <formula>"X"</formula>
    </cfRule>
    <cfRule type="cellIs" dxfId="2422" priority="4" operator="equal">
      <formula>"I"</formula>
    </cfRule>
  </conditionalFormatting>
  <hyperlinks>
    <hyperlink ref="B3" location="'Cost Summary'!A1" display="BACK TO SUMMARY SHEET" xr:uid="{F469F9CE-7B9E-4C94-A3D6-9B609A63A1B3}"/>
    <hyperlink ref="AF2:AG2" r:id="rId1" display="https://www.architecturaldepot.com/ELSQEM.html" xr:uid="{00C5355C-221C-47AF-9BE4-B632C9833637}"/>
  </hyperlinks>
  <pageMargins left="0.7" right="0.7" top="0.75" bottom="0.75" header="0.3" footer="0.3"/>
  <pageSetup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FA88-1782-4707-8620-B9366DC54E8A}">
  <sheetPr>
    <tabColor rgb="FFFFC000"/>
  </sheetPr>
  <dimension ref="A1:AH118"/>
  <sheetViews>
    <sheetView zoomScale="85" zoomScaleNormal="85" workbookViewId="0">
      <pane xSplit="2" ySplit="9" topLeftCell="C39" activePane="bottomRight" state="frozen"/>
      <selection pane="topRight" activeCell="C1" sqref="C1"/>
      <selection pane="bottomLeft" activeCell="A11" sqref="A11"/>
      <selection pane="bottomRight" activeCell="I49" sqref="I49"/>
    </sheetView>
  </sheetViews>
  <sheetFormatPr defaultRowHeight="14.5" x14ac:dyDescent="0.35"/>
  <cols>
    <col min="1" max="1" width="11" customWidth="1"/>
    <col min="2" max="2" width="70.7265625" style="1" customWidth="1"/>
    <col min="3" max="3" width="10.81640625" style="2" bestFit="1" customWidth="1"/>
    <col min="4" max="4" width="12.26953125" style="2" customWidth="1"/>
    <col min="5" max="5" width="7.54296875" style="2" customWidth="1"/>
    <col min="6" max="6" width="12.5429687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9.81640625" style="2"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89"/>
      <c r="I2" s="3789"/>
      <c r="J2" s="3751"/>
      <c r="K2" s="3751"/>
      <c r="L2" s="3789"/>
      <c r="M2" s="3789"/>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ht="15" thickTop="1" x14ac:dyDescent="0.35">
      <c r="A4" s="3" t="s">
        <v>631</v>
      </c>
      <c r="B4" s="4" t="str">
        <f>'AREA CALC''s'!B4</f>
        <v>Alton Hilltop Gardens</v>
      </c>
      <c r="C4" s="5"/>
      <c r="D4" s="5"/>
      <c r="E4" s="5"/>
      <c r="F4" s="5"/>
      <c r="G4" s="6" t="s">
        <v>632</v>
      </c>
      <c r="H4" s="3752"/>
      <c r="I4" s="3753"/>
      <c r="J4" s="3752"/>
      <c r="K4" s="3753"/>
      <c r="L4" s="3752"/>
      <c r="M4" s="3753"/>
      <c r="N4" s="3752"/>
      <c r="O4" s="3753"/>
      <c r="P4" s="3752"/>
      <c r="Q4" s="3753"/>
      <c r="R4" s="3752"/>
      <c r="S4" s="3753"/>
    </row>
    <row r="5" spans="1:19" x14ac:dyDescent="0.35">
      <c r="A5" s="688" t="s">
        <v>634</v>
      </c>
      <c r="B5" s="641" t="s">
        <v>478</v>
      </c>
      <c r="C5" s="642"/>
      <c r="D5" s="642"/>
      <c r="E5" s="642"/>
      <c r="F5" s="642"/>
      <c r="G5" s="643" t="s">
        <v>636</v>
      </c>
      <c r="H5" s="3812"/>
      <c r="I5" s="3813"/>
      <c r="J5" s="3812"/>
      <c r="K5" s="3813"/>
      <c r="L5" s="3812"/>
      <c r="M5" s="3813"/>
      <c r="N5" s="3812"/>
      <c r="O5" s="3813"/>
      <c r="P5" s="3812"/>
      <c r="Q5" s="3813"/>
      <c r="R5" s="3812"/>
      <c r="S5" s="3813"/>
    </row>
    <row r="6" spans="1:19" x14ac:dyDescent="0.35">
      <c r="A6" s="688" t="s">
        <v>638</v>
      </c>
      <c r="B6" s="644" t="s">
        <v>477</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86"/>
      <c r="I7" s="3757"/>
      <c r="J7" s="3790"/>
      <c r="K7" s="3791"/>
      <c r="L7" s="3790"/>
      <c r="M7" s="3792"/>
      <c r="N7" s="3790"/>
      <c r="O7" s="3792"/>
      <c r="P7" s="3790"/>
      <c r="Q7" s="3791"/>
      <c r="R7" s="3786"/>
      <c r="S7" s="3757"/>
    </row>
    <row r="8" spans="1:19" ht="15" thickBot="1" x14ac:dyDescent="0.4">
      <c r="A8" s="938" t="s">
        <v>644</v>
      </c>
      <c r="B8" s="939"/>
      <c r="C8" s="940"/>
      <c r="D8" s="940"/>
      <c r="E8" s="940"/>
      <c r="F8" s="940"/>
      <c r="G8" s="1024" t="s">
        <v>644</v>
      </c>
      <c r="H8" s="3760">
        <f>I79</f>
        <v>587134.4</v>
      </c>
      <c r="I8" s="3761"/>
      <c r="J8" s="3760">
        <f>K79</f>
        <v>0</v>
      </c>
      <c r="K8" s="3761"/>
      <c r="L8" s="3760">
        <f>M79</f>
        <v>0</v>
      </c>
      <c r="M8" s="3761"/>
      <c r="N8" s="3760">
        <f>O79</f>
        <v>0</v>
      </c>
      <c r="O8" s="3761"/>
      <c r="P8" s="3760">
        <f>Q79</f>
        <v>0</v>
      </c>
      <c r="Q8" s="3761"/>
      <c r="R8" s="3760">
        <f>S79</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689"/>
      <c r="B10" s="941" t="s">
        <v>653</v>
      </c>
      <c r="C10" s="642"/>
      <c r="D10" s="642"/>
      <c r="E10" s="642"/>
      <c r="F10" s="642"/>
      <c r="G10" s="646"/>
      <c r="H10" s="942"/>
      <c r="I10" s="942"/>
      <c r="J10" s="942"/>
      <c r="K10" s="942"/>
      <c r="L10" s="942"/>
      <c r="M10" s="942"/>
      <c r="N10" s="942"/>
      <c r="O10" s="942"/>
      <c r="P10" s="942"/>
      <c r="Q10" s="942"/>
      <c r="R10" s="942"/>
      <c r="S10" s="942"/>
    </row>
    <row r="11" spans="1:19" ht="15" hidden="1" thickTop="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t="15" hidden="1" thickTop="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t="15" hidden="1" thickTop="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t="15" hidden="1" thickTop="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t="15" hidden="1" thickTop="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t="15" hidden="1" thickTop="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t="15" hidden="1" thickTop="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t="15" hidden="1" thickTop="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t="15" hidden="1" thickTop="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ht="15" thickTop="1" x14ac:dyDescent="0.35">
      <c r="A20" s="689"/>
      <c r="B20" s="641"/>
      <c r="C20" s="647"/>
      <c r="D20" s="642"/>
      <c r="E20" s="642"/>
      <c r="F20" s="642"/>
      <c r="G20" s="646"/>
      <c r="H20" s="943"/>
      <c r="I20" s="942"/>
      <c r="J20" s="943"/>
      <c r="K20" s="942"/>
      <c r="L20" s="943"/>
      <c r="M20" s="942"/>
      <c r="N20" s="943"/>
      <c r="O20" s="942"/>
      <c r="P20" s="943"/>
      <c r="Q20" s="942"/>
      <c r="R20" s="943"/>
      <c r="S20" s="942"/>
    </row>
    <row r="21" spans="1:19" ht="15" thickBot="1" x14ac:dyDescent="0.4">
      <c r="A21" s="689"/>
      <c r="B21" s="648" t="s">
        <v>478</v>
      </c>
      <c r="C21" s="647"/>
      <c r="D21" s="642"/>
      <c r="E21" s="642"/>
      <c r="F21" s="642"/>
      <c r="G21" s="646"/>
      <c r="H21" s="943"/>
      <c r="I21" s="942"/>
      <c r="J21" s="943"/>
      <c r="K21" s="942"/>
      <c r="L21" s="943"/>
      <c r="M21" s="942"/>
      <c r="N21" s="943"/>
      <c r="O21" s="942"/>
      <c r="P21" s="943"/>
      <c r="Q21" s="942"/>
      <c r="R21" s="943"/>
      <c r="S21" s="942"/>
    </row>
    <row r="22" spans="1:19" ht="15" thickBot="1" x14ac:dyDescent="0.4">
      <c r="A22" s="998"/>
      <c r="B22" s="604" t="s">
        <v>657</v>
      </c>
      <c r="C22" s="647"/>
      <c r="D22" s="642"/>
      <c r="E22" s="642"/>
      <c r="F22" s="642"/>
      <c r="G22" s="646"/>
      <c r="H22" s="943"/>
      <c r="I22" s="632"/>
      <c r="J22" s="943"/>
      <c r="K22" s="632"/>
      <c r="L22" s="943"/>
      <c r="M22" s="632"/>
      <c r="N22" s="943"/>
      <c r="O22" s="632"/>
      <c r="P22" s="943"/>
      <c r="Q22" s="632"/>
      <c r="R22" s="943"/>
      <c r="S22" s="632"/>
    </row>
    <row r="23" spans="1:19" x14ac:dyDescent="0.35">
      <c r="A23" s="998"/>
      <c r="B23" s="607" t="s">
        <v>658</v>
      </c>
      <c r="C23" s="647"/>
      <c r="D23" s="642"/>
      <c r="E23" s="642"/>
      <c r="F23" s="642"/>
      <c r="G23" s="646"/>
      <c r="H23" s="943"/>
      <c r="I23" s="632"/>
      <c r="J23" s="943"/>
      <c r="K23" s="632"/>
      <c r="L23" s="943"/>
      <c r="M23" s="632"/>
      <c r="N23" s="943"/>
      <c r="O23" s="632"/>
      <c r="P23" s="943"/>
      <c r="Q23" s="630"/>
      <c r="R23" s="943"/>
      <c r="S23" s="630"/>
    </row>
    <row r="24" spans="1:19" x14ac:dyDescent="0.35">
      <c r="A24" s="683"/>
      <c r="B24" s="1279" t="s">
        <v>659</v>
      </c>
      <c r="C24" s="642"/>
      <c r="D24" s="642"/>
      <c r="E24" s="642"/>
      <c r="F24" s="642"/>
      <c r="G24" s="646"/>
      <c r="H24" s="943"/>
      <c r="I24" s="630"/>
      <c r="J24" s="943"/>
      <c r="K24" s="630"/>
      <c r="L24" s="943"/>
      <c r="M24" s="630"/>
      <c r="N24" s="943"/>
      <c r="O24" s="632"/>
      <c r="P24" s="943"/>
      <c r="Q24" s="632"/>
      <c r="R24" s="943"/>
      <c r="S24" s="632"/>
    </row>
    <row r="25" spans="1:19" x14ac:dyDescent="0.35">
      <c r="A25" s="998"/>
      <c r="B25" s="1280" t="s">
        <v>660</v>
      </c>
      <c r="C25" s="642"/>
      <c r="D25" s="642"/>
      <c r="E25" s="642"/>
      <c r="F25" s="642"/>
      <c r="G25" s="646"/>
      <c r="H25" s="943"/>
      <c r="I25" s="630"/>
      <c r="J25" s="943"/>
      <c r="K25" s="630"/>
      <c r="L25" s="943"/>
      <c r="M25" s="630"/>
      <c r="N25" s="943"/>
      <c r="O25" s="632"/>
      <c r="P25" s="943"/>
      <c r="Q25" s="632"/>
      <c r="R25" s="943"/>
      <c r="S25" s="632"/>
    </row>
    <row r="26" spans="1:19" x14ac:dyDescent="0.35">
      <c r="A26" s="683"/>
      <c r="B26" s="1280" t="s">
        <v>661</v>
      </c>
      <c r="C26" s="642"/>
      <c r="D26" s="642"/>
      <c r="E26" s="642"/>
      <c r="F26" s="642"/>
      <c r="G26" s="646"/>
      <c r="H26" s="943"/>
      <c r="I26" s="630"/>
      <c r="J26" s="943"/>
      <c r="K26" s="630"/>
      <c r="L26" s="943"/>
      <c r="M26" s="630"/>
      <c r="N26" s="943"/>
      <c r="O26" s="632"/>
      <c r="P26" s="943"/>
      <c r="Q26" s="632"/>
      <c r="R26" s="943"/>
      <c r="S26" s="632"/>
    </row>
    <row r="27" spans="1:19" x14ac:dyDescent="0.35">
      <c r="A27" s="998"/>
      <c r="B27" s="1280" t="s">
        <v>662</v>
      </c>
      <c r="C27" s="642"/>
      <c r="D27" s="642"/>
      <c r="E27" s="642"/>
      <c r="F27" s="642"/>
      <c r="G27" s="646"/>
      <c r="H27" s="943"/>
      <c r="I27" s="630"/>
      <c r="J27" s="943"/>
      <c r="K27" s="630"/>
      <c r="L27" s="943"/>
      <c r="M27" s="630"/>
      <c r="N27" s="943"/>
      <c r="O27" s="632"/>
      <c r="P27" s="943"/>
      <c r="Q27" s="632"/>
      <c r="R27" s="943"/>
      <c r="S27" s="632"/>
    </row>
    <row r="28" spans="1:19" x14ac:dyDescent="0.35">
      <c r="A28" s="998"/>
      <c r="B28" s="1280" t="s">
        <v>663</v>
      </c>
      <c r="C28" s="642"/>
      <c r="D28" s="642"/>
      <c r="E28" s="642"/>
      <c r="F28" s="642"/>
      <c r="G28" s="646"/>
      <c r="H28" s="943"/>
      <c r="I28" s="630"/>
      <c r="J28" s="943"/>
      <c r="K28" s="630"/>
      <c r="L28" s="943"/>
      <c r="M28" s="630"/>
      <c r="N28" s="943"/>
      <c r="O28" s="632"/>
      <c r="P28" s="943"/>
      <c r="Q28" s="632"/>
      <c r="R28" s="943"/>
      <c r="S28" s="632"/>
    </row>
    <row r="29" spans="1:19" x14ac:dyDescent="0.35">
      <c r="A29" s="998"/>
      <c r="B29" s="1280" t="s">
        <v>742</v>
      </c>
      <c r="C29" s="642"/>
      <c r="D29" s="642"/>
      <c r="E29" s="642"/>
      <c r="F29" s="642"/>
      <c r="G29" s="646"/>
      <c r="H29" s="943"/>
      <c r="I29" s="630"/>
      <c r="J29" s="943"/>
      <c r="K29" s="630"/>
      <c r="L29" s="943"/>
      <c r="M29" s="630"/>
      <c r="N29" s="943"/>
      <c r="O29" s="632"/>
      <c r="P29" s="943"/>
      <c r="Q29" s="632"/>
      <c r="R29" s="943"/>
      <c r="S29" s="632"/>
    </row>
    <row r="30" spans="1:19" x14ac:dyDescent="0.35">
      <c r="A30" s="998"/>
      <c r="B30" s="1281" t="s">
        <v>664</v>
      </c>
      <c r="C30" s="642"/>
      <c r="D30" s="642"/>
      <c r="E30" s="642"/>
      <c r="F30" s="642"/>
      <c r="G30" s="646"/>
      <c r="H30" s="943"/>
      <c r="I30" s="630"/>
      <c r="J30" s="943"/>
      <c r="K30" s="630"/>
      <c r="L30" s="943"/>
      <c r="M30" s="630"/>
      <c r="N30" s="943"/>
      <c r="O30" s="632"/>
      <c r="P30" s="943"/>
      <c r="Q30" s="632"/>
      <c r="R30" s="943"/>
      <c r="S30" s="632"/>
    </row>
    <row r="31" spans="1:19" x14ac:dyDescent="0.35">
      <c r="A31" s="998"/>
      <c r="B31" s="1262" t="s">
        <v>665</v>
      </c>
      <c r="C31" s="650"/>
      <c r="D31" s="650"/>
      <c r="E31" s="650"/>
      <c r="F31" s="650"/>
      <c r="G31" s="651"/>
      <c r="H31" s="636"/>
      <c r="I31" s="631"/>
      <c r="J31" s="636"/>
      <c r="K31" s="631"/>
      <c r="L31" s="636"/>
      <c r="M31" s="631"/>
      <c r="N31" s="636"/>
      <c r="O31" s="1204"/>
      <c r="P31" s="636"/>
      <c r="Q31" s="1204"/>
      <c r="R31" s="636"/>
      <c r="S31" s="1204"/>
    </row>
    <row r="32" spans="1:19" x14ac:dyDescent="0.35">
      <c r="A32" s="998"/>
      <c r="B32" s="627" t="s">
        <v>874</v>
      </c>
      <c r="C32" s="642"/>
      <c r="D32" s="642"/>
      <c r="E32" s="642"/>
      <c r="F32" s="642"/>
      <c r="G32" s="646"/>
      <c r="H32" s="943"/>
      <c r="I32" s="630"/>
      <c r="J32" s="943"/>
      <c r="K32" s="630"/>
      <c r="L32" s="943"/>
      <c r="M32" s="630"/>
      <c r="N32" s="943"/>
      <c r="O32" s="632"/>
      <c r="P32" s="943"/>
      <c r="Q32" s="632"/>
      <c r="R32" s="943"/>
      <c r="S32" s="632"/>
    </row>
    <row r="33" spans="1:19" x14ac:dyDescent="0.35">
      <c r="A33" s="998"/>
      <c r="B33" s="1263"/>
      <c r="C33" s="642"/>
      <c r="D33" s="642"/>
      <c r="E33" s="642"/>
      <c r="F33" s="642"/>
      <c r="G33" s="646"/>
      <c r="H33" s="943"/>
      <c r="I33" s="630"/>
      <c r="J33" s="943"/>
      <c r="K33" s="630"/>
      <c r="L33" s="943"/>
      <c r="M33" s="630"/>
      <c r="N33" s="943"/>
      <c r="O33" s="632"/>
      <c r="P33" s="943"/>
      <c r="Q33" s="632"/>
      <c r="R33" s="943"/>
      <c r="S33" s="632"/>
    </row>
    <row r="34" spans="1:19" x14ac:dyDescent="0.35">
      <c r="A34" s="998"/>
      <c r="B34" s="1192" t="s">
        <v>1276</v>
      </c>
      <c r="C34" s="642"/>
      <c r="D34" s="642">
        <v>238146</v>
      </c>
      <c r="E34" s="642" t="s">
        <v>28</v>
      </c>
      <c r="F34" s="642">
        <v>0.4</v>
      </c>
      <c r="G34" s="646">
        <f>F34*D34</f>
        <v>95258.400000000009</v>
      </c>
      <c r="H34" s="943" t="s">
        <v>669</v>
      </c>
      <c r="I34" s="630">
        <f>G34</f>
        <v>95258.400000000009</v>
      </c>
      <c r="J34" s="943"/>
      <c r="K34" s="630"/>
      <c r="L34" s="943"/>
      <c r="M34" s="630"/>
      <c r="N34" s="943"/>
      <c r="O34" s="632"/>
      <c r="P34" s="943"/>
      <c r="Q34" s="632"/>
      <c r="R34" s="943"/>
      <c r="S34" s="632"/>
    </row>
    <row r="35" spans="1:19" x14ac:dyDescent="0.35">
      <c r="A35" s="998"/>
      <c r="B35" s="1193" t="s">
        <v>1277</v>
      </c>
      <c r="C35" s="642"/>
      <c r="D35" s="642">
        <v>47.63</v>
      </c>
      <c r="E35" s="642" t="s">
        <v>1278</v>
      </c>
      <c r="F35" s="642">
        <v>2240</v>
      </c>
      <c r="G35" s="646">
        <f t="shared" ref="G35:G41" si="0">F35*D35</f>
        <v>106691.20000000001</v>
      </c>
      <c r="H35" s="943" t="s">
        <v>669</v>
      </c>
      <c r="I35" s="630">
        <f>G35</f>
        <v>106691.20000000001</v>
      </c>
      <c r="J35" s="943"/>
      <c r="K35" s="630"/>
      <c r="L35" s="943"/>
      <c r="M35" s="630"/>
      <c r="N35" s="943"/>
      <c r="O35" s="632"/>
      <c r="P35" s="943"/>
      <c r="Q35" s="632"/>
      <c r="R35" s="943"/>
      <c r="S35" s="632"/>
    </row>
    <row r="36" spans="1:19" x14ac:dyDescent="0.35">
      <c r="A36" s="998"/>
      <c r="B36" s="1192"/>
      <c r="C36" s="642"/>
      <c r="D36" s="642"/>
      <c r="E36" s="642"/>
      <c r="F36" s="642"/>
      <c r="G36" s="646"/>
      <c r="H36" s="943"/>
      <c r="I36" s="630"/>
      <c r="J36" s="943"/>
      <c r="K36" s="630"/>
      <c r="L36" s="943"/>
      <c r="M36" s="630"/>
      <c r="N36" s="943"/>
      <c r="O36" s="632"/>
      <c r="P36" s="943"/>
      <c r="Q36" s="632"/>
      <c r="R36" s="943"/>
      <c r="S36" s="632"/>
    </row>
    <row r="37" spans="1:19" x14ac:dyDescent="0.35">
      <c r="A37" s="998"/>
      <c r="B37" s="1192" t="s">
        <v>1279</v>
      </c>
      <c r="C37" s="642"/>
      <c r="D37" s="642">
        <v>191025</v>
      </c>
      <c r="E37" s="642" t="s">
        <v>28</v>
      </c>
      <c r="F37" s="642">
        <v>0.4</v>
      </c>
      <c r="G37" s="646">
        <f t="shared" si="0"/>
        <v>76410</v>
      </c>
      <c r="H37" s="943" t="s">
        <v>669</v>
      </c>
      <c r="I37" s="630">
        <f t="shared" ref="I37:I45" si="1">G37</f>
        <v>76410</v>
      </c>
      <c r="J37" s="943"/>
      <c r="K37" s="630"/>
      <c r="L37" s="943"/>
      <c r="M37" s="630"/>
      <c r="N37" s="943"/>
      <c r="O37" s="632"/>
      <c r="P37" s="943"/>
      <c r="Q37" s="632"/>
      <c r="R37" s="943"/>
      <c r="S37" s="632"/>
    </row>
    <row r="38" spans="1:19" x14ac:dyDescent="0.35">
      <c r="A38" s="998"/>
      <c r="B38" s="1193" t="s">
        <v>1277</v>
      </c>
      <c r="C38" s="642"/>
      <c r="D38" s="642">
        <v>47.63</v>
      </c>
      <c r="E38" s="642" t="s">
        <v>1278</v>
      </c>
      <c r="F38" s="642">
        <v>2240</v>
      </c>
      <c r="G38" s="646">
        <f t="shared" si="0"/>
        <v>106691.20000000001</v>
      </c>
      <c r="H38" s="943" t="s">
        <v>669</v>
      </c>
      <c r="I38" s="630">
        <f t="shared" si="1"/>
        <v>106691.20000000001</v>
      </c>
      <c r="J38" s="943"/>
      <c r="K38" s="630"/>
      <c r="L38" s="943"/>
      <c r="M38" s="630"/>
      <c r="N38" s="943"/>
      <c r="O38" s="632"/>
      <c r="P38" s="943"/>
      <c r="Q38" s="632"/>
      <c r="R38" s="943"/>
      <c r="S38" s="632"/>
    </row>
    <row r="39" spans="1:19" x14ac:dyDescent="0.35">
      <c r="A39" s="998"/>
      <c r="B39" s="1192"/>
      <c r="C39" s="642"/>
      <c r="D39" s="642"/>
      <c r="E39" s="642"/>
      <c r="F39" s="642"/>
      <c r="G39" s="646"/>
      <c r="H39" s="943"/>
      <c r="I39" s="630"/>
      <c r="J39" s="943"/>
      <c r="K39" s="630"/>
      <c r="L39" s="943"/>
      <c r="M39" s="630"/>
      <c r="N39" s="943"/>
      <c r="O39" s="632"/>
      <c r="P39" s="943"/>
      <c r="Q39" s="632"/>
      <c r="R39" s="943"/>
      <c r="S39" s="632"/>
    </row>
    <row r="40" spans="1:19" x14ac:dyDescent="0.35">
      <c r="A40" s="998"/>
      <c r="B40" s="1192" t="s">
        <v>1280</v>
      </c>
      <c r="C40" s="642"/>
      <c r="D40" s="642">
        <v>83615</v>
      </c>
      <c r="E40" s="642" t="s">
        <v>28</v>
      </c>
      <c r="F40" s="642">
        <v>0.4</v>
      </c>
      <c r="G40" s="646">
        <f t="shared" si="0"/>
        <v>33446</v>
      </c>
      <c r="H40" s="943" t="s">
        <v>669</v>
      </c>
      <c r="I40" s="630">
        <f t="shared" si="1"/>
        <v>33446</v>
      </c>
      <c r="J40" s="943"/>
      <c r="K40" s="630"/>
      <c r="L40" s="943"/>
      <c r="M40" s="630"/>
      <c r="N40" s="943"/>
      <c r="O40" s="632"/>
      <c r="P40" s="943"/>
      <c r="Q40" s="632"/>
      <c r="R40" s="943"/>
      <c r="S40" s="632"/>
    </row>
    <row r="41" spans="1:19" x14ac:dyDescent="0.35">
      <c r="A41" s="998"/>
      <c r="B41" s="1193" t="s">
        <v>1277</v>
      </c>
      <c r="C41" s="642"/>
      <c r="D41" s="642">
        <v>15.87</v>
      </c>
      <c r="E41" s="642" t="s">
        <v>1278</v>
      </c>
      <c r="F41" s="642">
        <v>2240</v>
      </c>
      <c r="G41" s="646">
        <f t="shared" si="0"/>
        <v>35548.799999999996</v>
      </c>
      <c r="H41" s="943" t="s">
        <v>669</v>
      </c>
      <c r="I41" s="630">
        <f t="shared" si="1"/>
        <v>35548.799999999996</v>
      </c>
      <c r="J41" s="943"/>
      <c r="K41" s="630"/>
      <c r="L41" s="943"/>
      <c r="M41" s="630"/>
      <c r="N41" s="943"/>
      <c r="O41" s="632"/>
      <c r="P41" s="943"/>
      <c r="Q41" s="632"/>
      <c r="R41" s="943"/>
      <c r="S41" s="632"/>
    </row>
    <row r="42" spans="1:19" x14ac:dyDescent="0.35">
      <c r="A42" s="998"/>
      <c r="B42" s="1192"/>
      <c r="C42" s="642"/>
      <c r="D42" s="642"/>
      <c r="E42" s="642"/>
      <c r="F42" s="642"/>
      <c r="G42" s="646"/>
      <c r="H42" s="943"/>
      <c r="I42" s="630"/>
      <c r="J42" s="943"/>
      <c r="K42" s="630"/>
      <c r="L42" s="943"/>
      <c r="M42" s="630"/>
      <c r="N42" s="943"/>
      <c r="O42" s="632"/>
      <c r="P42" s="943"/>
      <c r="Q42" s="632"/>
      <c r="R42" s="943"/>
      <c r="S42" s="632"/>
    </row>
    <row r="43" spans="1:19" x14ac:dyDescent="0.35">
      <c r="A43" s="998"/>
      <c r="B43" s="1192" t="s">
        <v>1281</v>
      </c>
      <c r="C43" s="642"/>
      <c r="D43" s="642">
        <v>10558</v>
      </c>
      <c r="E43" s="642" t="s">
        <v>28</v>
      </c>
      <c r="F43" s="642">
        <v>0.4</v>
      </c>
      <c r="G43" s="646">
        <f t="shared" ref="G43" si="2">F43*D43</f>
        <v>4223.2</v>
      </c>
      <c r="H43" s="943" t="s">
        <v>669</v>
      </c>
      <c r="I43" s="630">
        <f t="shared" si="1"/>
        <v>4223.2</v>
      </c>
      <c r="J43" s="943"/>
      <c r="K43" s="630"/>
      <c r="L43" s="943"/>
      <c r="M43" s="630"/>
      <c r="N43" s="943"/>
      <c r="O43" s="632"/>
      <c r="P43" s="943"/>
      <c r="Q43" s="632"/>
      <c r="R43" s="943"/>
      <c r="S43" s="632"/>
    </row>
    <row r="44" spans="1:19" x14ac:dyDescent="0.35">
      <c r="A44" s="998"/>
      <c r="B44" s="1192"/>
      <c r="C44" s="642"/>
      <c r="D44" s="642"/>
      <c r="E44" s="642"/>
      <c r="F44" s="642"/>
      <c r="G44" s="646"/>
      <c r="H44" s="943"/>
      <c r="I44" s="630"/>
      <c r="J44" s="943"/>
      <c r="K44" s="630"/>
      <c r="L44" s="943"/>
      <c r="M44" s="630"/>
      <c r="N44" s="943"/>
      <c r="O44" s="632"/>
      <c r="P44" s="943"/>
      <c r="Q44" s="632"/>
      <c r="R44" s="943"/>
      <c r="S44" s="632"/>
    </row>
    <row r="45" spans="1:19" x14ac:dyDescent="0.35">
      <c r="A45" s="998"/>
      <c r="B45" s="1192" t="s">
        <v>1282</v>
      </c>
      <c r="C45" s="642"/>
      <c r="D45" s="642">
        <v>6539</v>
      </c>
      <c r="E45" s="642" t="s">
        <v>28</v>
      </c>
      <c r="F45" s="642">
        <v>0.4</v>
      </c>
      <c r="G45" s="646">
        <f t="shared" ref="G45:G47" si="3">F45*D45</f>
        <v>2615.6000000000004</v>
      </c>
      <c r="H45" s="943" t="s">
        <v>669</v>
      </c>
      <c r="I45" s="630">
        <f t="shared" si="1"/>
        <v>2615.6000000000004</v>
      </c>
      <c r="J45" s="943"/>
      <c r="K45" s="630"/>
      <c r="L45" s="943"/>
      <c r="M45" s="630"/>
      <c r="N45" s="943"/>
      <c r="O45" s="632"/>
      <c r="P45" s="943"/>
      <c r="Q45" s="632"/>
      <c r="R45" s="943"/>
      <c r="S45" s="632"/>
    </row>
    <row r="46" spans="1:19" x14ac:dyDescent="0.35">
      <c r="A46" s="998"/>
      <c r="B46" s="1192"/>
      <c r="C46" s="642"/>
      <c r="D46" s="642"/>
      <c r="E46" s="642"/>
      <c r="F46" s="642"/>
      <c r="G46" s="646"/>
      <c r="H46" s="943"/>
      <c r="I46" s="630"/>
      <c r="J46" s="943"/>
      <c r="K46" s="630"/>
      <c r="L46" s="943"/>
      <c r="M46" s="630"/>
      <c r="N46" s="943"/>
      <c r="O46" s="632"/>
      <c r="P46" s="943"/>
      <c r="Q46" s="632"/>
      <c r="R46" s="943"/>
      <c r="S46" s="632"/>
    </row>
    <row r="47" spans="1:19" x14ac:dyDescent="0.35">
      <c r="A47" s="998"/>
      <c r="B47" s="1192" t="s">
        <v>1283</v>
      </c>
      <c r="C47" s="642"/>
      <c r="D47" s="642">
        <v>1532</v>
      </c>
      <c r="E47" s="642" t="s">
        <v>28</v>
      </c>
      <c r="F47" s="642">
        <v>0.4</v>
      </c>
      <c r="G47" s="646">
        <f t="shared" si="3"/>
        <v>612.80000000000007</v>
      </c>
      <c r="H47" s="943" t="s">
        <v>669</v>
      </c>
      <c r="I47" s="630">
        <v>1250</v>
      </c>
      <c r="J47" s="943"/>
      <c r="K47" s="630"/>
      <c r="L47" s="943"/>
      <c r="M47" s="630"/>
      <c r="N47" s="943"/>
      <c r="O47" s="632"/>
      <c r="P47" s="943"/>
      <c r="Q47" s="632"/>
      <c r="R47" s="943"/>
      <c r="S47" s="632"/>
    </row>
    <row r="48" spans="1:19" x14ac:dyDescent="0.35">
      <c r="A48" s="998"/>
      <c r="B48" s="1192"/>
      <c r="C48" s="642"/>
      <c r="D48" s="642"/>
      <c r="E48" s="642"/>
      <c r="F48" s="642"/>
      <c r="G48" s="646"/>
      <c r="H48" s="943"/>
      <c r="I48" s="630"/>
      <c r="J48" s="943"/>
      <c r="K48" s="630"/>
      <c r="L48" s="943"/>
      <c r="M48" s="630"/>
      <c r="N48" s="943"/>
      <c r="O48" s="632"/>
      <c r="P48" s="943"/>
      <c r="Q48" s="632"/>
      <c r="R48" s="943"/>
      <c r="S48" s="632"/>
    </row>
    <row r="49" spans="1:19" ht="30" customHeight="1" x14ac:dyDescent="0.35">
      <c r="A49" s="998"/>
      <c r="B49" s="1193" t="s">
        <v>1284</v>
      </c>
      <c r="C49" s="642"/>
      <c r="D49" s="642">
        <v>1</v>
      </c>
      <c r="E49" s="642" t="s">
        <v>215</v>
      </c>
      <c r="F49" s="690">
        <v>125000</v>
      </c>
      <c r="G49" s="690">
        <f>F49*D49</f>
        <v>125000</v>
      </c>
      <c r="H49" s="943" t="s">
        <v>669</v>
      </c>
      <c r="I49" s="1282">
        <f>G49*D49</f>
        <v>125000</v>
      </c>
      <c r="J49" s="943"/>
      <c r="K49" s="630"/>
      <c r="L49" s="943"/>
      <c r="M49" s="630"/>
      <c r="N49" s="943"/>
      <c r="O49" s="632"/>
      <c r="P49" s="943"/>
      <c r="Q49" s="632"/>
      <c r="R49" s="943"/>
      <c r="S49" s="632"/>
    </row>
    <row r="50" spans="1:19" x14ac:dyDescent="0.35">
      <c r="A50" s="998"/>
      <c r="B50" s="1287"/>
      <c r="C50" s="642"/>
      <c r="D50" s="642"/>
      <c r="E50" s="642"/>
      <c r="F50" s="1012"/>
      <c r="G50" s="690"/>
      <c r="H50" s="943"/>
      <c r="I50" s="630"/>
      <c r="J50" s="943"/>
      <c r="K50" s="630"/>
      <c r="L50" s="943"/>
      <c r="M50" s="630"/>
      <c r="N50" s="943"/>
      <c r="O50" s="632"/>
      <c r="P50" s="943"/>
      <c r="Q50" s="632"/>
      <c r="R50" s="943"/>
      <c r="S50" s="632"/>
    </row>
    <row r="51" spans="1:19" x14ac:dyDescent="0.35">
      <c r="A51" s="998"/>
      <c r="B51" s="1287"/>
      <c r="C51" s="642"/>
      <c r="D51" s="642"/>
      <c r="E51" s="642"/>
      <c r="F51" s="1012"/>
      <c r="G51" s="690"/>
      <c r="H51" s="943"/>
      <c r="I51" s="630"/>
      <c r="J51" s="943"/>
      <c r="K51" s="630"/>
      <c r="L51" s="943"/>
      <c r="M51" s="630"/>
      <c r="N51" s="943"/>
      <c r="O51" s="632"/>
      <c r="P51" s="943"/>
      <c r="Q51" s="632"/>
      <c r="R51" s="943"/>
      <c r="S51" s="632"/>
    </row>
    <row r="52" spans="1:19" x14ac:dyDescent="0.35">
      <c r="A52" s="998"/>
      <c r="B52" s="1287"/>
      <c r="C52" s="642"/>
      <c r="D52" s="642"/>
      <c r="E52" s="642"/>
      <c r="F52" s="1012"/>
      <c r="G52" s="690"/>
      <c r="H52" s="943"/>
      <c r="I52" s="630"/>
      <c r="J52" s="943"/>
      <c r="K52" s="630"/>
      <c r="L52" s="943"/>
      <c r="M52" s="630"/>
      <c r="N52" s="943"/>
      <c r="O52" s="630"/>
      <c r="P52" s="943"/>
      <c r="Q52" s="630"/>
      <c r="R52" s="943"/>
      <c r="S52" s="632"/>
    </row>
    <row r="53" spans="1:19" x14ac:dyDescent="0.35">
      <c r="A53" s="998"/>
      <c r="B53" s="1287"/>
      <c r="C53" s="642"/>
      <c r="D53" s="642"/>
      <c r="E53" s="642"/>
      <c r="F53" s="1012"/>
      <c r="G53" s="690"/>
      <c r="H53" s="943"/>
      <c r="I53" s="630"/>
      <c r="J53" s="943"/>
      <c r="K53" s="630"/>
      <c r="L53" s="943"/>
      <c r="M53" s="630"/>
      <c r="N53" s="943"/>
      <c r="O53" s="630"/>
      <c r="P53" s="943"/>
      <c r="Q53" s="630"/>
      <c r="R53" s="943"/>
      <c r="S53" s="632"/>
    </row>
    <row r="54" spans="1:19" x14ac:dyDescent="0.35">
      <c r="A54" s="998"/>
      <c r="B54" s="1287"/>
      <c r="C54" s="642"/>
      <c r="D54" s="642"/>
      <c r="E54" s="642"/>
      <c r="F54" s="1012"/>
      <c r="G54" s="690"/>
      <c r="H54" s="943"/>
      <c r="I54" s="630"/>
      <c r="J54" s="943"/>
      <c r="K54" s="630"/>
      <c r="L54" s="943"/>
      <c r="M54" s="630"/>
      <c r="N54" s="943"/>
      <c r="O54" s="630"/>
      <c r="P54" s="943"/>
      <c r="Q54" s="630"/>
      <c r="R54" s="943"/>
      <c r="S54" s="632"/>
    </row>
    <row r="55" spans="1:19" ht="17.25" customHeight="1" x14ac:dyDescent="0.35">
      <c r="A55" s="998"/>
      <c r="B55" s="1287"/>
      <c r="C55" s="642"/>
      <c r="D55" s="642"/>
      <c r="E55" s="642"/>
      <c r="F55" s="1012"/>
      <c r="G55" s="690"/>
      <c r="H55" s="943"/>
      <c r="I55" s="630"/>
      <c r="J55" s="943"/>
      <c r="K55" s="630"/>
      <c r="L55" s="943"/>
      <c r="M55" s="630"/>
      <c r="N55" s="943"/>
      <c r="O55" s="630"/>
      <c r="P55" s="943"/>
      <c r="Q55" s="630"/>
      <c r="R55" s="943"/>
      <c r="S55" s="632"/>
    </row>
    <row r="56" spans="1:19" ht="17.25" customHeight="1" x14ac:dyDescent="0.35">
      <c r="A56" s="998"/>
      <c r="B56" s="1287"/>
      <c r="C56" s="940"/>
      <c r="D56" s="940"/>
      <c r="E56" s="940"/>
      <c r="F56" s="1224"/>
      <c r="G56" s="1225"/>
      <c r="H56" s="943"/>
      <c r="I56" s="630"/>
      <c r="J56" s="943"/>
      <c r="K56" s="630"/>
      <c r="L56" s="943"/>
      <c r="M56" s="630"/>
      <c r="N56" s="943"/>
      <c r="O56" s="630"/>
      <c r="P56" s="943"/>
      <c r="Q56" s="630"/>
      <c r="R56" s="943"/>
      <c r="S56" s="632"/>
    </row>
    <row r="57" spans="1:19" ht="17.25" customHeight="1" x14ac:dyDescent="0.35">
      <c r="A57" s="998"/>
      <c r="B57" s="1193"/>
      <c r="C57" s="642"/>
      <c r="D57" s="642"/>
      <c r="E57" s="642"/>
      <c r="F57" s="940"/>
      <c r="G57" s="690"/>
      <c r="H57" s="943"/>
      <c r="I57" s="1282"/>
      <c r="J57" s="943"/>
      <c r="K57" s="630"/>
      <c r="L57" s="943"/>
      <c r="M57" s="630"/>
      <c r="N57" s="943"/>
      <c r="O57" s="632"/>
      <c r="P57" s="943"/>
      <c r="Q57" s="632"/>
      <c r="R57" s="943"/>
      <c r="S57" s="632"/>
    </row>
    <row r="58" spans="1:19" ht="17.25" customHeight="1" x14ac:dyDescent="0.35">
      <c r="A58" s="998"/>
      <c r="B58" s="1287"/>
      <c r="C58" s="940"/>
      <c r="D58" s="940"/>
      <c r="E58" s="940"/>
      <c r="F58" s="940"/>
      <c r="G58" s="1039"/>
      <c r="H58" s="943"/>
      <c r="I58" s="630"/>
      <c r="J58" s="943"/>
      <c r="K58" s="630"/>
      <c r="L58" s="943"/>
      <c r="M58" s="630"/>
      <c r="N58" s="943"/>
      <c r="O58" s="630"/>
      <c r="P58" s="943"/>
      <c r="Q58" s="630"/>
      <c r="R58" s="943"/>
      <c r="S58" s="632"/>
    </row>
    <row r="59" spans="1:19" ht="17.25" customHeight="1" x14ac:dyDescent="0.35">
      <c r="A59" s="998"/>
      <c r="B59" s="1287"/>
      <c r="C59" s="940"/>
      <c r="D59" s="940"/>
      <c r="E59" s="940"/>
      <c r="F59" s="940"/>
      <c r="G59" s="1039"/>
      <c r="H59" s="943"/>
      <c r="I59" s="630"/>
      <c r="J59" s="943"/>
      <c r="K59" s="630"/>
      <c r="L59" s="943"/>
      <c r="M59" s="630"/>
      <c r="N59" s="943"/>
      <c r="O59" s="630"/>
      <c r="P59" s="943"/>
      <c r="Q59" s="630"/>
      <c r="R59" s="943"/>
      <c r="S59" s="632"/>
    </row>
    <row r="60" spans="1:19" ht="17.25" customHeight="1" x14ac:dyDescent="0.35">
      <c r="A60" s="998"/>
      <c r="B60" s="1287"/>
      <c r="C60" s="940"/>
      <c r="D60" s="940"/>
      <c r="E60" s="940"/>
      <c r="F60" s="940"/>
      <c r="G60" s="1039"/>
      <c r="H60" s="943"/>
      <c r="I60" s="630"/>
      <c r="J60" s="943"/>
      <c r="K60" s="630"/>
      <c r="L60" s="943"/>
      <c r="M60" s="630"/>
      <c r="N60" s="943"/>
      <c r="O60" s="630"/>
      <c r="P60" s="943"/>
      <c r="Q60" s="630"/>
      <c r="R60" s="943"/>
      <c r="S60" s="632"/>
    </row>
    <row r="61" spans="1:19" ht="17.25" customHeight="1" x14ac:dyDescent="0.35">
      <c r="A61" s="998"/>
      <c r="B61" s="1287"/>
      <c r="C61" s="940"/>
      <c r="D61" s="940"/>
      <c r="E61" s="940"/>
      <c r="F61" s="940"/>
      <c r="G61" s="1039"/>
      <c r="H61" s="943"/>
      <c r="I61" s="630"/>
      <c r="J61" s="943"/>
      <c r="K61" s="630"/>
      <c r="L61" s="943"/>
      <c r="M61" s="630"/>
      <c r="N61" s="943"/>
      <c r="O61" s="630"/>
      <c r="P61" s="943"/>
      <c r="Q61" s="630"/>
      <c r="R61" s="943"/>
      <c r="S61" s="632"/>
    </row>
    <row r="62" spans="1:19" ht="17.25" customHeight="1" x14ac:dyDescent="0.35">
      <c r="A62" s="998"/>
      <c r="B62" s="1287"/>
      <c r="C62" s="940"/>
      <c r="D62" s="940"/>
      <c r="E62" s="940"/>
      <c r="F62" s="940"/>
      <c r="G62" s="1039"/>
      <c r="H62" s="943"/>
      <c r="I62" s="630"/>
      <c r="J62" s="943"/>
      <c r="K62" s="630"/>
      <c r="L62" s="943"/>
      <c r="M62" s="630"/>
      <c r="N62" s="943"/>
      <c r="O62" s="630"/>
      <c r="P62" s="943"/>
      <c r="Q62" s="630"/>
      <c r="R62" s="943"/>
      <c r="S62" s="632"/>
    </row>
    <row r="63" spans="1:19" x14ac:dyDescent="0.35">
      <c r="A63" s="683"/>
      <c r="B63" s="1287"/>
      <c r="C63" s="940"/>
      <c r="D63" s="940"/>
      <c r="E63" s="940"/>
      <c r="F63" s="940"/>
      <c r="G63" s="1039"/>
      <c r="H63" s="943"/>
      <c r="I63" s="1197"/>
      <c r="J63" s="943"/>
      <c r="K63" s="630"/>
      <c r="L63" s="943"/>
      <c r="M63" s="630"/>
      <c r="N63" s="943"/>
      <c r="O63" s="630"/>
      <c r="P63" s="943"/>
      <c r="Q63" s="632"/>
      <c r="R63" s="943"/>
      <c r="S63" s="632"/>
    </row>
    <row r="64" spans="1:19" x14ac:dyDescent="0.35">
      <c r="A64" s="683"/>
      <c r="B64" s="1287"/>
      <c r="C64" s="940"/>
      <c r="D64" s="940"/>
      <c r="E64" s="940"/>
      <c r="F64" s="940"/>
      <c r="G64" s="1039"/>
      <c r="H64" s="943"/>
      <c r="I64" s="1197"/>
      <c r="J64" s="943"/>
      <c r="K64" s="630"/>
      <c r="L64" s="943"/>
      <c r="M64" s="630"/>
      <c r="N64" s="943"/>
      <c r="O64" s="630"/>
      <c r="P64" s="943"/>
      <c r="Q64" s="632"/>
      <c r="R64" s="943"/>
      <c r="S64" s="632"/>
    </row>
    <row r="65" spans="1:19" x14ac:dyDescent="0.35">
      <c r="A65" s="683"/>
      <c r="B65" s="1287"/>
      <c r="C65" s="940"/>
      <c r="D65" s="940"/>
      <c r="E65" s="940"/>
      <c r="F65" s="940"/>
      <c r="G65" s="1039"/>
      <c r="H65" s="943"/>
      <c r="I65" s="1197"/>
      <c r="J65" s="943"/>
      <c r="K65" s="630"/>
      <c r="L65" s="943"/>
      <c r="M65" s="630"/>
      <c r="N65" s="943"/>
      <c r="O65" s="630"/>
      <c r="P65" s="943"/>
      <c r="Q65" s="632"/>
      <c r="R65" s="943"/>
      <c r="S65" s="632"/>
    </row>
    <row r="66" spans="1:19" x14ac:dyDescent="0.35">
      <c r="A66" s="683"/>
      <c r="B66" s="1193"/>
      <c r="C66" s="940"/>
      <c r="D66" s="940"/>
      <c r="E66" s="642"/>
      <c r="F66" s="940"/>
      <c r="G66" s="690"/>
      <c r="H66" s="943"/>
      <c r="I66" s="1282"/>
      <c r="J66" s="943"/>
      <c r="K66" s="630"/>
      <c r="L66" s="943"/>
      <c r="M66" s="630"/>
      <c r="N66" s="943"/>
      <c r="O66" s="630"/>
      <c r="P66" s="943"/>
      <c r="Q66" s="632"/>
      <c r="R66" s="943"/>
      <c r="S66" s="632"/>
    </row>
    <row r="67" spans="1:19" x14ac:dyDescent="0.35">
      <c r="A67" s="683"/>
      <c r="B67" s="1287"/>
      <c r="C67" s="940"/>
      <c r="D67" s="940"/>
      <c r="E67" s="940"/>
      <c r="F67" s="940"/>
      <c r="G67" s="1039"/>
      <c r="H67" s="943"/>
      <c r="I67" s="1197"/>
      <c r="J67" s="943"/>
      <c r="K67" s="630"/>
      <c r="L67" s="943"/>
      <c r="M67" s="630"/>
      <c r="N67" s="943"/>
      <c r="O67" s="630"/>
      <c r="P67" s="943"/>
      <c r="Q67" s="632"/>
      <c r="R67" s="943"/>
      <c r="S67" s="632"/>
    </row>
    <row r="68" spans="1:19" x14ac:dyDescent="0.35">
      <c r="A68" s="683"/>
      <c r="B68" s="1287"/>
      <c r="C68" s="940"/>
      <c r="D68" s="940"/>
      <c r="E68" s="940"/>
      <c r="F68" s="940"/>
      <c r="G68" s="1039"/>
      <c r="H68" s="943"/>
      <c r="I68" s="1197"/>
      <c r="J68" s="943"/>
      <c r="K68" s="630"/>
      <c r="L68" s="943"/>
      <c r="M68" s="630"/>
      <c r="N68" s="943"/>
      <c r="O68" s="630"/>
      <c r="P68" s="943"/>
      <c r="Q68" s="632"/>
      <c r="R68" s="943"/>
      <c r="S68" s="632"/>
    </row>
    <row r="69" spans="1:19" x14ac:dyDescent="0.35">
      <c r="A69" s="683"/>
      <c r="B69" s="1287"/>
      <c r="C69" s="940"/>
      <c r="D69" s="940"/>
      <c r="E69" s="940"/>
      <c r="F69" s="940"/>
      <c r="G69" s="1039"/>
      <c r="H69" s="943"/>
      <c r="I69" s="1197"/>
      <c r="J69" s="943"/>
      <c r="K69" s="630"/>
      <c r="L69" s="943"/>
      <c r="M69" s="630"/>
      <c r="N69" s="943"/>
      <c r="O69" s="630"/>
      <c r="P69" s="943"/>
      <c r="Q69" s="632"/>
      <c r="R69" s="943"/>
      <c r="S69" s="632"/>
    </row>
    <row r="70" spans="1:19" x14ac:dyDescent="0.35">
      <c r="A70" s="683"/>
      <c r="B70" s="1287"/>
      <c r="C70" s="940"/>
      <c r="D70" s="940"/>
      <c r="E70" s="940"/>
      <c r="F70" s="940"/>
      <c r="G70" s="1039"/>
      <c r="H70" s="943"/>
      <c r="I70" s="1197"/>
      <c r="J70" s="943"/>
      <c r="K70" s="630"/>
      <c r="L70" s="943"/>
      <c r="M70" s="630"/>
      <c r="N70" s="943"/>
      <c r="O70" s="630"/>
      <c r="P70" s="943"/>
      <c r="Q70" s="632"/>
      <c r="R70" s="943"/>
      <c r="S70" s="632"/>
    </row>
    <row r="71" spans="1:19" x14ac:dyDescent="0.35">
      <c r="A71" s="683"/>
      <c r="B71" s="1287"/>
      <c r="C71" s="940"/>
      <c r="D71" s="940"/>
      <c r="E71" s="940"/>
      <c r="F71" s="940"/>
      <c r="G71" s="1039"/>
      <c r="H71" s="943"/>
      <c r="I71" s="1197"/>
      <c r="J71" s="943"/>
      <c r="K71" s="630"/>
      <c r="L71" s="943"/>
      <c r="M71" s="630"/>
      <c r="N71" s="943"/>
      <c r="O71" s="630"/>
      <c r="P71" s="943"/>
      <c r="Q71" s="632"/>
      <c r="R71" s="943"/>
      <c r="S71" s="632"/>
    </row>
    <row r="72" spans="1:19" x14ac:dyDescent="0.35">
      <c r="A72" s="683"/>
      <c r="B72" s="1287"/>
      <c r="C72" s="940"/>
      <c r="D72" s="940"/>
      <c r="E72" s="940"/>
      <c r="F72" s="940"/>
      <c r="G72" s="1039"/>
      <c r="H72" s="943"/>
      <c r="I72" s="1197"/>
      <c r="J72" s="943"/>
      <c r="K72" s="630"/>
      <c r="L72" s="943"/>
      <c r="M72" s="630"/>
      <c r="N72" s="943"/>
      <c r="O72" s="630"/>
      <c r="P72" s="943"/>
      <c r="Q72" s="632"/>
      <c r="R72" s="943"/>
      <c r="S72" s="632"/>
    </row>
    <row r="73" spans="1:19" x14ac:dyDescent="0.35">
      <c r="A73" s="683"/>
      <c r="B73" s="1287"/>
      <c r="C73" s="940"/>
      <c r="D73" s="940"/>
      <c r="E73" s="940"/>
      <c r="F73" s="940"/>
      <c r="G73" s="1039"/>
      <c r="H73" s="943"/>
      <c r="I73" s="1197"/>
      <c r="J73" s="943"/>
      <c r="K73" s="630"/>
      <c r="L73" s="943"/>
      <c r="M73" s="630"/>
      <c r="N73" s="943"/>
      <c r="O73" s="630"/>
      <c r="P73" s="943"/>
      <c r="Q73" s="632"/>
      <c r="R73" s="943"/>
      <c r="S73" s="632"/>
    </row>
    <row r="74" spans="1:19" ht="15" thickBot="1" x14ac:dyDescent="0.4">
      <c r="A74" s="683"/>
      <c r="B74" s="1287"/>
      <c r="C74" s="940"/>
      <c r="D74" s="940"/>
      <c r="E74" s="940"/>
      <c r="F74" s="940"/>
      <c r="G74" s="1039"/>
      <c r="H74" s="943"/>
      <c r="I74" s="1197"/>
      <c r="J74" s="943"/>
      <c r="K74" s="630"/>
      <c r="L74" s="943"/>
      <c r="M74" s="630"/>
      <c r="N74" s="943"/>
      <c r="O74" s="630"/>
      <c r="P74" s="943"/>
      <c r="Q74" s="632"/>
      <c r="R74" s="943"/>
      <c r="S74" s="632"/>
    </row>
    <row r="75" spans="1:19" ht="15" thickTop="1" x14ac:dyDescent="0.35">
      <c r="A75" s="14"/>
      <c r="B75" s="15"/>
      <c r="C75" s="16"/>
      <c r="D75" s="16"/>
      <c r="E75" s="17"/>
      <c r="F75" s="18" t="s">
        <v>715</v>
      </c>
      <c r="G75" s="328">
        <f>SUM(G31:G63)</f>
        <v>586497.19999999995</v>
      </c>
      <c r="H75" s="20"/>
      <c r="I75" s="50">
        <f>SUM(I23:I74)</f>
        <v>587134.4</v>
      </c>
      <c r="J75" s="20"/>
      <c r="K75" s="50">
        <f>SUM(K23:K63)</f>
        <v>0</v>
      </c>
      <c r="L75" s="20"/>
      <c r="M75" s="50">
        <f>SUM(M22:M63)</f>
        <v>0</v>
      </c>
      <c r="N75" s="20"/>
      <c r="O75" s="50">
        <f>SUM(O22:O63)</f>
        <v>0</v>
      </c>
      <c r="P75" s="20"/>
      <c r="Q75" s="50">
        <f>SUM(Q23:Q63)</f>
        <v>0</v>
      </c>
      <c r="R75" s="20"/>
      <c r="S75" s="50">
        <f>SUM(S23:S63)</f>
        <v>0</v>
      </c>
    </row>
    <row r="76" spans="1:19" x14ac:dyDescent="0.35">
      <c r="A76" s="684"/>
      <c r="B76" s="655"/>
      <c r="C76" s="656"/>
      <c r="D76" s="656"/>
      <c r="E76" s="657"/>
      <c r="F76" s="658" t="s">
        <v>716</v>
      </c>
      <c r="G76" s="659"/>
      <c r="H76" s="959">
        <v>0</v>
      </c>
      <c r="I76" s="1121"/>
      <c r="J76" s="959">
        <v>0</v>
      </c>
      <c r="K76" s="1121"/>
      <c r="L76" s="959">
        <v>0</v>
      </c>
      <c r="M76" s="1121"/>
      <c r="N76" s="959">
        <v>0</v>
      </c>
      <c r="O76" s="1121"/>
      <c r="P76" s="959">
        <v>0</v>
      </c>
      <c r="Q76" s="1121"/>
      <c r="R76" s="959">
        <v>0</v>
      </c>
      <c r="S76" s="1121"/>
    </row>
    <row r="77" spans="1:19" x14ac:dyDescent="0.35">
      <c r="A77" s="684"/>
      <c r="B77" s="655"/>
      <c r="C77" s="656"/>
      <c r="D77" s="656"/>
      <c r="E77" s="657"/>
      <c r="F77" s="658" t="s">
        <v>717</v>
      </c>
      <c r="G77" s="659"/>
      <c r="H77" s="961"/>
      <c r="I77" s="1122">
        <f>H76*$I$75</f>
        <v>0</v>
      </c>
      <c r="J77" s="961"/>
      <c r="K77" s="1122">
        <f>J76*$K$75</f>
        <v>0</v>
      </c>
      <c r="L77" s="961"/>
      <c r="M77" s="1122">
        <f>L76*$M$75</f>
        <v>0</v>
      </c>
      <c r="N77" s="961"/>
      <c r="O77" s="1122">
        <f>N76*$O$75</f>
        <v>0</v>
      </c>
      <c r="P77" s="961"/>
      <c r="Q77" s="1122">
        <f>P76*$Q$75</f>
        <v>0</v>
      </c>
      <c r="R77" s="961"/>
      <c r="S77" s="1122">
        <f>R76*S75</f>
        <v>0</v>
      </c>
    </row>
    <row r="78" spans="1:19" x14ac:dyDescent="0.35">
      <c r="A78" s="684"/>
      <c r="B78" s="655"/>
      <c r="C78" s="656"/>
      <c r="D78" s="656"/>
      <c r="E78" s="657"/>
      <c r="F78" s="658"/>
      <c r="G78" s="659"/>
      <c r="H78" s="1123"/>
      <c r="I78" s="1122"/>
      <c r="J78" s="961"/>
      <c r="K78" s="963"/>
      <c r="L78" s="961"/>
      <c r="M78" s="963"/>
      <c r="N78" s="961"/>
      <c r="O78" s="963"/>
      <c r="P78" s="961"/>
      <c r="Q78" s="963"/>
      <c r="R78" s="961"/>
      <c r="S78" s="963"/>
    </row>
    <row r="79" spans="1:19" x14ac:dyDescent="0.35">
      <c r="A79" s="684"/>
      <c r="B79" s="655"/>
      <c r="C79" s="656"/>
      <c r="D79" s="656"/>
      <c r="E79" s="657"/>
      <c r="F79" s="658" t="s">
        <v>718</v>
      </c>
      <c r="G79" s="659"/>
      <c r="H79" s="964"/>
      <c r="I79" s="1122">
        <f>SUM(I75:I78)</f>
        <v>587134.4</v>
      </c>
      <c r="J79" s="964"/>
      <c r="K79" s="962">
        <f>SUM(K75:K77)</f>
        <v>0</v>
      </c>
      <c r="L79" s="964"/>
      <c r="M79" s="962">
        <f>SUM(M75:M77)</f>
        <v>0</v>
      </c>
      <c r="N79" s="964"/>
      <c r="O79" s="962">
        <f>SUM(O75:O77)</f>
        <v>0</v>
      </c>
      <c r="P79" s="964"/>
      <c r="Q79" s="962">
        <f>SUM(Q75:Q77)</f>
        <v>0</v>
      </c>
      <c r="R79" s="964"/>
      <c r="S79" s="962">
        <f>SUM(S75:S77)</f>
        <v>0</v>
      </c>
    </row>
    <row r="80" spans="1:19" x14ac:dyDescent="0.35">
      <c r="A80" s="684"/>
      <c r="B80" s="655"/>
      <c r="C80" s="656"/>
      <c r="D80" s="656"/>
      <c r="E80" s="657"/>
      <c r="F80" s="660" t="s">
        <v>719</v>
      </c>
      <c r="G80" s="661"/>
      <c r="H80" s="965"/>
      <c r="I80" s="966" t="e">
        <f>I79/#REF!</f>
        <v>#REF!</v>
      </c>
      <c r="J80" s="965"/>
      <c r="K80" s="966" t="e">
        <f>K79/#REF!</f>
        <v>#REF!</v>
      </c>
      <c r="L80" s="965"/>
      <c r="M80" s="966" t="e">
        <f>M79/#REF!</f>
        <v>#REF!</v>
      </c>
      <c r="N80" s="965"/>
      <c r="O80" s="966" t="e">
        <f>O79/#REF!</f>
        <v>#REF!</v>
      </c>
      <c r="P80" s="965"/>
      <c r="Q80" s="966" t="e">
        <f>Q79/#REF!</f>
        <v>#REF!</v>
      </c>
      <c r="R80" s="965"/>
      <c r="S80" s="966" t="e">
        <f>S79/#REF!</f>
        <v>#REF!</v>
      </c>
    </row>
    <row r="81" spans="1:34" x14ac:dyDescent="0.35">
      <c r="A81" s="684"/>
      <c r="B81" s="655"/>
      <c r="C81" s="656"/>
      <c r="D81" s="656"/>
      <c r="E81" s="657"/>
      <c r="F81" s="660" t="s">
        <v>720</v>
      </c>
      <c r="G81" s="662"/>
      <c r="H81" s="965"/>
      <c r="I81" s="966" t="e">
        <f>I79/#REF!</f>
        <v>#REF!</v>
      </c>
      <c r="J81" s="965"/>
      <c r="K81" s="966" t="e">
        <f>K79/#REF!</f>
        <v>#REF!</v>
      </c>
      <c r="L81" s="965"/>
      <c r="M81" s="966" t="e">
        <f>M79/#REF!</f>
        <v>#REF!</v>
      </c>
      <c r="N81" s="965"/>
      <c r="O81" s="966" t="e">
        <f>O79/#REF!</f>
        <v>#REF!</v>
      </c>
      <c r="P81" s="965"/>
      <c r="Q81" s="966" t="e">
        <f>Q79/#REF!</f>
        <v>#REF!</v>
      </c>
      <c r="R81" s="965"/>
      <c r="S81" s="966" t="e">
        <f>S79/#REF!</f>
        <v>#REF!</v>
      </c>
    </row>
    <row r="82" spans="1:34" ht="15" thickBot="1" x14ac:dyDescent="0.4">
      <c r="A82" s="684"/>
      <c r="B82" s="655"/>
      <c r="C82" s="656"/>
      <c r="D82" s="656"/>
      <c r="E82" s="657"/>
      <c r="F82" s="658"/>
      <c r="G82" s="663"/>
      <c r="H82" s="1168"/>
      <c r="I82" s="1169"/>
      <c r="J82" s="967"/>
      <c r="K82" s="967"/>
      <c r="L82" s="967"/>
      <c r="M82" s="967"/>
      <c r="N82" s="967"/>
      <c r="O82" s="967"/>
      <c r="P82" s="967"/>
      <c r="Q82" s="967"/>
      <c r="R82" s="967"/>
      <c r="S82" s="967"/>
    </row>
    <row r="83" spans="1:34" ht="15.5" thickTop="1" thickBot="1" x14ac:dyDescent="0.4">
      <c r="A83" s="3764" t="s">
        <v>721</v>
      </c>
      <c r="B83" s="3765"/>
      <c r="C83" s="12"/>
      <c r="D83" s="12"/>
      <c r="E83" s="12"/>
      <c r="F83" s="12"/>
      <c r="G83" s="13"/>
      <c r="H83" s="21"/>
      <c r="I83" s="21"/>
      <c r="J83" s="21"/>
      <c r="K83" s="21"/>
      <c r="L83" s="21"/>
      <c r="M83" s="21"/>
      <c r="N83" s="21"/>
      <c r="O83" s="21"/>
      <c r="P83" s="21"/>
      <c r="Q83" s="21"/>
      <c r="R83" s="21"/>
      <c r="S83" s="21"/>
    </row>
    <row r="84" spans="1:34" ht="15" thickTop="1" x14ac:dyDescent="0.35">
      <c r="A84" s="968"/>
      <c r="B84" s="641"/>
      <c r="C84" s="707"/>
      <c r="D84" s="707"/>
      <c r="E84" s="707"/>
      <c r="F84" s="707"/>
      <c r="G84" s="1195"/>
      <c r="H84" s="972"/>
      <c r="I84" s="972"/>
      <c r="J84" s="972"/>
      <c r="K84" s="972"/>
      <c r="L84" s="972"/>
      <c r="M84" s="972"/>
      <c r="N84" s="972"/>
      <c r="O84" s="972"/>
      <c r="P84" s="972"/>
      <c r="Q84" s="972"/>
      <c r="R84" s="972"/>
      <c r="S84" s="972"/>
    </row>
    <row r="85" spans="1:34" x14ac:dyDescent="0.35">
      <c r="A85" s="968"/>
      <c r="B85" s="641"/>
      <c r="C85" s="707"/>
      <c r="D85" s="707"/>
      <c r="E85" s="707"/>
      <c r="F85" s="707"/>
      <c r="G85" s="1195"/>
      <c r="H85" s="972"/>
      <c r="I85" s="972"/>
      <c r="J85" s="972"/>
      <c r="K85" s="972"/>
      <c r="L85" s="972"/>
      <c r="M85" s="972"/>
      <c r="N85" s="972"/>
      <c r="O85" s="972"/>
      <c r="P85" s="972"/>
      <c r="Q85" s="972"/>
      <c r="R85" s="972"/>
      <c r="S85" s="972"/>
    </row>
    <row r="86" spans="1:34" ht="15" thickBot="1" x14ac:dyDescent="0.4">
      <c r="A86" s="968"/>
      <c r="B86" s="641"/>
      <c r="C86" s="707"/>
      <c r="D86" s="707"/>
      <c r="E86" s="707"/>
      <c r="F86" s="707"/>
      <c r="G86" s="1195"/>
      <c r="H86" s="972"/>
      <c r="I86" s="972"/>
      <c r="J86" s="972"/>
      <c r="K86" s="972"/>
      <c r="L86" s="972"/>
      <c r="M86" s="972"/>
      <c r="N86" s="972"/>
      <c r="O86" s="972"/>
      <c r="P86" s="972"/>
      <c r="Q86" s="972"/>
      <c r="R86" s="972"/>
      <c r="S86" s="972"/>
    </row>
    <row r="87" spans="1:34" s="2" customFormat="1" ht="15.5" thickTop="1" thickBot="1" x14ac:dyDescent="0.4">
      <c r="A87" s="3764" t="s">
        <v>722</v>
      </c>
      <c r="B87" s="3765"/>
      <c r="C87" s="12"/>
      <c r="D87" s="12"/>
      <c r="E87" s="12"/>
      <c r="F87" s="12"/>
      <c r="G87" s="13"/>
      <c r="H87" s="21"/>
      <c r="I87" s="21"/>
      <c r="J87" s="21"/>
      <c r="K87" s="21"/>
      <c r="L87" s="21"/>
      <c r="M87" s="21"/>
      <c r="N87" s="21"/>
      <c r="O87" s="21"/>
      <c r="P87" s="21"/>
      <c r="Q87" s="21"/>
      <c r="R87" s="21"/>
      <c r="S87" s="21"/>
      <c r="T87"/>
      <c r="U87"/>
      <c r="V87"/>
      <c r="W87"/>
      <c r="X87"/>
      <c r="Y87"/>
      <c r="Z87"/>
      <c r="AA87"/>
      <c r="AB87"/>
      <c r="AC87"/>
      <c r="AD87"/>
      <c r="AE87"/>
      <c r="AF87"/>
      <c r="AG87"/>
      <c r="AH87"/>
    </row>
    <row r="88" spans="1:34" s="2" customFormat="1" ht="15" thickTop="1" x14ac:dyDescent="0.35">
      <c r="A88" s="968"/>
      <c r="B88" s="641"/>
      <c r="C88" s="707"/>
      <c r="D88" s="707"/>
      <c r="E88" s="707"/>
      <c r="F88" s="707"/>
      <c r="G88" s="1195"/>
      <c r="H88" s="972"/>
      <c r="I88" s="972"/>
      <c r="J88" s="972"/>
      <c r="K88" s="972"/>
      <c r="L88" s="972"/>
      <c r="M88" s="972"/>
      <c r="N88" s="972"/>
      <c r="O88" s="972"/>
      <c r="P88" s="972"/>
      <c r="Q88" s="972"/>
      <c r="R88" s="972"/>
      <c r="S88" s="972"/>
      <c r="T88"/>
      <c r="U88"/>
      <c r="V88"/>
      <c r="W88"/>
      <c r="X88"/>
      <c r="Y88"/>
      <c r="Z88"/>
      <c r="AA88"/>
      <c r="AB88"/>
      <c r="AC88"/>
      <c r="AD88"/>
      <c r="AE88"/>
      <c r="AF88"/>
      <c r="AG88"/>
      <c r="AH88"/>
    </row>
    <row r="89" spans="1:34" s="2" customFormat="1" x14ac:dyDescent="0.35">
      <c r="A89" s="968"/>
      <c r="B89" s="641"/>
      <c r="C89" s="707"/>
      <c r="D89" s="707"/>
      <c r="E89" s="707"/>
      <c r="F89" s="707"/>
      <c r="G89" s="1195"/>
      <c r="H89" s="972"/>
      <c r="I89" s="972"/>
      <c r="J89" s="972"/>
      <c r="K89" s="972"/>
      <c r="L89" s="972"/>
      <c r="M89" s="972"/>
      <c r="N89" s="972"/>
      <c r="O89" s="972"/>
      <c r="P89" s="972"/>
      <c r="Q89" s="972"/>
      <c r="R89" s="972"/>
      <c r="S89" s="972"/>
      <c r="T89"/>
      <c r="U89"/>
      <c r="V89"/>
      <c r="W89"/>
      <c r="X89"/>
      <c r="Y89"/>
      <c r="Z89"/>
      <c r="AA89"/>
      <c r="AB89"/>
      <c r="AC89"/>
      <c r="AD89"/>
      <c r="AE89"/>
      <c r="AF89"/>
      <c r="AG89"/>
      <c r="AH89"/>
    </row>
    <row r="90" spans="1:34" ht="15" thickBot="1" x14ac:dyDescent="0.4">
      <c r="A90" s="968"/>
      <c r="B90" s="641"/>
      <c r="C90" s="707"/>
      <c r="D90" s="707"/>
      <c r="E90" s="707"/>
      <c r="F90" s="707"/>
      <c r="G90" s="1195"/>
      <c r="H90" s="972"/>
      <c r="I90" s="972"/>
      <c r="J90" s="972"/>
      <c r="K90" s="972"/>
      <c r="L90" s="972"/>
      <c r="M90" s="972"/>
      <c r="N90" s="972"/>
      <c r="O90" s="972"/>
      <c r="P90" s="972"/>
      <c r="Q90" s="972"/>
      <c r="R90" s="972"/>
      <c r="S90" s="972"/>
    </row>
    <row r="91" spans="1:34" s="2" customFormat="1" ht="15.5" thickTop="1" thickBot="1" x14ac:dyDescent="0.4">
      <c r="A91" s="3764" t="s">
        <v>723</v>
      </c>
      <c r="B91" s="3765"/>
      <c r="C91" s="12"/>
      <c r="D91" s="12"/>
      <c r="E91" s="12"/>
      <c r="F91" s="12"/>
      <c r="G91" s="13"/>
      <c r="H91" s="21"/>
      <c r="I91" s="21"/>
      <c r="J91" s="21"/>
      <c r="K91" s="21"/>
      <c r="L91" s="21"/>
      <c r="M91" s="21"/>
      <c r="N91" s="21"/>
      <c r="O91" s="21"/>
      <c r="P91" s="21"/>
      <c r="Q91" s="21"/>
      <c r="R91" s="21"/>
      <c r="S91" s="21"/>
      <c r="T91"/>
      <c r="U91"/>
      <c r="V91"/>
      <c r="W91"/>
      <c r="X91"/>
      <c r="Y91"/>
      <c r="Z91"/>
      <c r="AA91"/>
      <c r="AB91"/>
      <c r="AC91"/>
      <c r="AD91"/>
      <c r="AE91"/>
      <c r="AF91"/>
      <c r="AG91"/>
      <c r="AH91"/>
    </row>
    <row r="92" spans="1:34" s="2" customFormat="1" x14ac:dyDescent="0.35">
      <c r="A92" s="968"/>
      <c r="B92" s="641" t="s">
        <v>1159</v>
      </c>
      <c r="C92" s="707"/>
      <c r="D92" s="707"/>
      <c r="E92" s="707"/>
      <c r="F92" s="707"/>
      <c r="G92" s="1195"/>
      <c r="H92" s="972"/>
      <c r="I92" s="972"/>
      <c r="J92" s="972"/>
      <c r="K92" s="972"/>
      <c r="L92" s="972"/>
      <c r="M92" s="972"/>
      <c r="N92" s="972"/>
      <c r="O92" s="972"/>
      <c r="P92" s="972"/>
      <c r="Q92" s="972"/>
      <c r="R92" s="972"/>
      <c r="S92" s="972"/>
      <c r="T92"/>
      <c r="U92"/>
      <c r="V92"/>
      <c r="W92"/>
      <c r="X92"/>
      <c r="Y92"/>
      <c r="Z92"/>
      <c r="AA92"/>
      <c r="AB92"/>
      <c r="AC92"/>
      <c r="AD92"/>
      <c r="AE92"/>
      <c r="AF92"/>
      <c r="AG92"/>
      <c r="AH92"/>
    </row>
    <row r="93" spans="1:34" s="2" customFormat="1" x14ac:dyDescent="0.35">
      <c r="A93" s="689"/>
      <c r="B93" s="641" t="s">
        <v>1160</v>
      </c>
      <c r="C93" s="642"/>
      <c r="D93" s="642"/>
      <c r="E93" s="642"/>
      <c r="F93" s="642"/>
      <c r="G93" s="646"/>
      <c r="H93" s="973"/>
      <c r="I93" s="973"/>
      <c r="J93" s="973"/>
      <c r="K93" s="973"/>
      <c r="L93" s="973"/>
      <c r="M93" s="973"/>
      <c r="N93" s="973"/>
      <c r="O93" s="973"/>
      <c r="P93" s="973"/>
      <c r="Q93" s="973"/>
      <c r="R93" s="973"/>
      <c r="S93" s="973"/>
      <c r="T93"/>
      <c r="U93"/>
      <c r="V93"/>
      <c r="W93"/>
      <c r="X93"/>
      <c r="Y93"/>
      <c r="Z93"/>
      <c r="AA93"/>
      <c r="AB93"/>
      <c r="AC93"/>
      <c r="AD93"/>
      <c r="AE93"/>
      <c r="AF93"/>
      <c r="AG93"/>
      <c r="AH93"/>
    </row>
    <row r="94" spans="1:34" s="2" customFormat="1" x14ac:dyDescent="0.35">
      <c r="A94" s="686"/>
      <c r="B94" s="665" t="s">
        <v>1161</v>
      </c>
      <c r="C94" s="642"/>
      <c r="D94" s="642"/>
      <c r="E94" s="642"/>
      <c r="F94" s="642"/>
      <c r="G94" s="646"/>
      <c r="H94" s="974"/>
      <c r="I94" s="974"/>
      <c r="J94" s="974"/>
      <c r="K94" s="974"/>
      <c r="L94" s="974"/>
      <c r="M94" s="974"/>
      <c r="N94" s="974"/>
      <c r="O94" s="974"/>
      <c r="P94" s="974"/>
      <c r="Q94" s="974"/>
      <c r="R94" s="974"/>
      <c r="S94" s="974"/>
    </row>
    <row r="95" spans="1:34" s="2" customFormat="1" ht="15.5" thickTop="1" thickBot="1" x14ac:dyDescent="0.4">
      <c r="A95" s="3764" t="s">
        <v>724</v>
      </c>
      <c r="B95" s="3765"/>
      <c r="C95" s="12"/>
      <c r="D95" s="12"/>
      <c r="E95" s="12"/>
      <c r="F95" s="12"/>
      <c r="G95" s="13"/>
      <c r="H95" s="21"/>
      <c r="I95" s="21"/>
      <c r="J95" s="21"/>
      <c r="K95" s="21"/>
      <c r="L95" s="21"/>
      <c r="M95" s="21"/>
      <c r="N95" s="21"/>
      <c r="O95" s="21"/>
      <c r="P95" s="21"/>
      <c r="Q95" s="21"/>
      <c r="R95" s="21"/>
      <c r="S95" s="21"/>
      <c r="T95"/>
      <c r="U95"/>
      <c r="V95"/>
      <c r="W95"/>
      <c r="X95"/>
      <c r="Y95"/>
      <c r="Z95"/>
      <c r="AA95"/>
      <c r="AB95"/>
      <c r="AC95"/>
      <c r="AD95"/>
      <c r="AE95"/>
      <c r="AF95"/>
      <c r="AG95"/>
      <c r="AH95"/>
    </row>
    <row r="96" spans="1:34" ht="15" thickTop="1" x14ac:dyDescent="0.35">
      <c r="A96" s="975"/>
      <c r="B96" s="708"/>
      <c r="C96" s="707"/>
      <c r="D96" s="707"/>
      <c r="E96" s="707"/>
      <c r="F96" s="707"/>
      <c r="G96" s="1195"/>
      <c r="H96" s="972"/>
      <c r="I96" s="972"/>
      <c r="J96" s="972"/>
      <c r="K96" s="972"/>
      <c r="L96" s="972"/>
      <c r="M96" s="972"/>
      <c r="N96" s="972"/>
      <c r="O96" s="972"/>
      <c r="P96" s="972"/>
      <c r="Q96" s="972"/>
      <c r="R96" s="972"/>
      <c r="S96" s="972"/>
      <c r="T96" s="2"/>
      <c r="U96" s="2"/>
      <c r="V96" s="2"/>
      <c r="W96" s="2"/>
      <c r="X96" s="2"/>
      <c r="Y96" s="2"/>
      <c r="Z96" s="2"/>
      <c r="AA96" s="2"/>
      <c r="AB96" s="2"/>
      <c r="AC96" s="2"/>
      <c r="AD96" s="2"/>
      <c r="AE96" s="2"/>
      <c r="AF96" s="2"/>
      <c r="AG96" s="2"/>
      <c r="AH96" s="2"/>
    </row>
    <row r="97" spans="1:34" x14ac:dyDescent="0.35">
      <c r="A97" s="686"/>
      <c r="B97" s="665"/>
      <c r="C97" s="642"/>
      <c r="D97" s="642"/>
      <c r="E97" s="642"/>
      <c r="F97" s="642"/>
      <c r="G97" s="646"/>
      <c r="H97" s="977"/>
      <c r="I97" s="977"/>
      <c r="J97" s="977"/>
      <c r="K97" s="977"/>
      <c r="L97" s="977"/>
      <c r="M97" s="977"/>
      <c r="N97" s="977"/>
      <c r="O97" s="977"/>
      <c r="P97" s="977"/>
      <c r="Q97" s="977"/>
      <c r="R97" s="977"/>
      <c r="S97" s="977"/>
      <c r="T97" s="2"/>
      <c r="U97" s="2"/>
      <c r="V97" s="2"/>
      <c r="W97" s="2"/>
      <c r="X97" s="2"/>
      <c r="Y97" s="2"/>
      <c r="Z97" s="2"/>
      <c r="AA97" s="2"/>
      <c r="AB97" s="2"/>
      <c r="AC97" s="2"/>
      <c r="AD97" s="2"/>
      <c r="AE97" s="2"/>
      <c r="AF97" s="2"/>
      <c r="AG97" s="2"/>
      <c r="AH97" s="2"/>
    </row>
    <row r="98" spans="1:34" ht="15" thickBot="1" x14ac:dyDescent="0.4">
      <c r="A98" s="686"/>
      <c r="B98" s="665"/>
      <c r="C98" s="642"/>
      <c r="D98" s="642"/>
      <c r="E98" s="642"/>
      <c r="F98" s="642"/>
      <c r="G98" s="646"/>
      <c r="H98" s="977"/>
      <c r="I98" s="977"/>
      <c r="J98" s="977"/>
      <c r="K98" s="977"/>
      <c r="L98" s="977"/>
      <c r="M98" s="977"/>
      <c r="N98" s="977"/>
      <c r="O98" s="977"/>
      <c r="P98" s="977"/>
      <c r="Q98" s="977"/>
      <c r="R98" s="977"/>
      <c r="S98" s="977"/>
      <c r="T98" s="2"/>
      <c r="U98" s="2"/>
      <c r="V98" s="2"/>
      <c r="W98" s="2"/>
      <c r="X98" s="2"/>
      <c r="Y98" s="2"/>
      <c r="Z98" s="2"/>
      <c r="AA98" s="2"/>
      <c r="AB98" s="2"/>
      <c r="AC98" s="2"/>
      <c r="AD98" s="2"/>
      <c r="AE98" s="2"/>
      <c r="AF98" s="2"/>
      <c r="AG98" s="2"/>
      <c r="AH98" s="2"/>
    </row>
    <row r="99" spans="1:34" ht="15.5" thickTop="1" thickBot="1" x14ac:dyDescent="0.4">
      <c r="A99" s="3764" t="s">
        <v>725</v>
      </c>
      <c r="B99" s="3765"/>
      <c r="C99" s="12"/>
      <c r="D99" s="12"/>
      <c r="E99" s="12"/>
      <c r="F99" s="12"/>
      <c r="G99" s="13"/>
      <c r="H99" s="21"/>
      <c r="I99" s="21"/>
      <c r="J99" s="21"/>
      <c r="K99" s="21"/>
      <c r="L99" s="21"/>
      <c r="M99" s="21"/>
      <c r="N99" s="21"/>
      <c r="O99" s="21"/>
      <c r="P99" s="21"/>
      <c r="Q99" s="21"/>
      <c r="R99" s="21"/>
      <c r="S99" s="21"/>
    </row>
    <row r="100" spans="1:34" ht="15" thickTop="1" x14ac:dyDescent="0.35">
      <c r="A100" s="689"/>
      <c r="B100" s="641" t="s">
        <v>726</v>
      </c>
      <c r="C100" s="642"/>
      <c r="D100" s="642"/>
      <c r="E100" s="642"/>
      <c r="F100" s="642"/>
      <c r="G100" s="646"/>
      <c r="H100" s="977"/>
      <c r="I100" s="977"/>
      <c r="J100" s="977"/>
      <c r="K100" s="977"/>
      <c r="L100" s="977"/>
      <c r="M100" s="977"/>
      <c r="N100" s="977"/>
      <c r="O100" s="977"/>
      <c r="P100" s="977"/>
      <c r="Q100" s="977"/>
      <c r="R100" s="977"/>
      <c r="S100" s="977"/>
    </row>
    <row r="101" spans="1:34" x14ac:dyDescent="0.35">
      <c r="A101" s="689"/>
      <c r="B101" s="641" t="s">
        <v>727</v>
      </c>
      <c r="C101" s="642"/>
      <c r="D101" s="642"/>
      <c r="E101" s="642"/>
      <c r="F101" s="642"/>
      <c r="G101" s="646"/>
      <c r="H101" s="977"/>
      <c r="I101" s="977"/>
      <c r="J101" s="977"/>
      <c r="K101" s="977"/>
      <c r="L101" s="977"/>
      <c r="M101" s="977"/>
      <c r="N101" s="977"/>
      <c r="O101" s="977"/>
      <c r="P101" s="977"/>
      <c r="Q101" s="977"/>
      <c r="R101" s="977"/>
      <c r="S101" s="977"/>
    </row>
    <row r="102" spans="1:34" x14ac:dyDescent="0.35">
      <c r="A102" s="689"/>
      <c r="B102" s="641" t="s">
        <v>728</v>
      </c>
      <c r="C102" s="642"/>
      <c r="D102" s="642"/>
      <c r="E102" s="642"/>
      <c r="F102" s="642"/>
      <c r="G102" s="646"/>
      <c r="H102" s="977"/>
      <c r="I102" s="977"/>
      <c r="J102" s="977"/>
      <c r="K102" s="977"/>
      <c r="L102" s="977"/>
      <c r="M102" s="977"/>
      <c r="N102" s="977"/>
      <c r="O102" s="977"/>
      <c r="P102" s="977"/>
      <c r="Q102" s="977"/>
      <c r="R102" s="977"/>
      <c r="S102" s="977"/>
    </row>
    <row r="103" spans="1:34" x14ac:dyDescent="0.35">
      <c r="A103" s="689"/>
      <c r="B103" s="641" t="s">
        <v>729</v>
      </c>
      <c r="C103" s="642"/>
      <c r="D103" s="642"/>
      <c r="E103" s="642"/>
      <c r="F103" s="642"/>
      <c r="G103" s="646"/>
      <c r="H103" s="977"/>
      <c r="I103" s="977"/>
      <c r="J103" s="977"/>
      <c r="K103" s="977"/>
      <c r="L103" s="977"/>
      <c r="M103" s="977"/>
      <c r="N103" s="977"/>
      <c r="O103" s="977"/>
      <c r="P103" s="977"/>
      <c r="Q103" s="977"/>
      <c r="R103" s="977"/>
      <c r="S103" s="977"/>
    </row>
    <row r="104" spans="1:34" ht="15" thickBot="1" x14ac:dyDescent="0.4">
      <c r="A104" s="978"/>
      <c r="B104" s="939"/>
      <c r="C104" s="940"/>
      <c r="D104" s="940"/>
      <c r="E104" s="940"/>
      <c r="F104" s="940"/>
      <c r="G104" s="1039"/>
      <c r="H104" s="981"/>
      <c r="I104" s="981"/>
      <c r="J104" s="981"/>
      <c r="K104" s="981"/>
      <c r="L104" s="981"/>
      <c r="M104" s="981"/>
      <c r="N104" s="981"/>
      <c r="O104" s="981"/>
      <c r="P104" s="981"/>
      <c r="Q104" s="981"/>
      <c r="R104" s="981"/>
      <c r="S104" s="981"/>
    </row>
    <row r="105" spans="1:34" ht="15.5" thickTop="1" thickBot="1" x14ac:dyDescent="0.4">
      <c r="A105" s="7" t="s">
        <v>730</v>
      </c>
      <c r="B105" s="8"/>
      <c r="C105" s="12"/>
      <c r="D105" s="12"/>
      <c r="E105" s="12"/>
      <c r="F105" s="12"/>
      <c r="G105" s="13"/>
      <c r="H105" s="21"/>
      <c r="I105" s="21"/>
      <c r="J105" s="21"/>
      <c r="K105" s="21"/>
      <c r="L105" s="21"/>
      <c r="M105" s="21"/>
      <c r="N105" s="21"/>
      <c r="O105" s="21"/>
      <c r="P105" s="21"/>
      <c r="Q105" s="21"/>
      <c r="R105" s="21"/>
      <c r="S105" s="21"/>
    </row>
    <row r="106" spans="1:34" ht="15" thickTop="1" x14ac:dyDescent="0.35">
      <c r="A106" s="968"/>
      <c r="B106" s="709" t="s">
        <v>731</v>
      </c>
      <c r="C106" s="707"/>
      <c r="D106" s="707"/>
      <c r="E106" s="707"/>
      <c r="F106" s="707"/>
      <c r="G106" s="1195"/>
      <c r="H106" s="983"/>
      <c r="I106" s="983"/>
      <c r="J106" s="983"/>
      <c r="K106" s="983"/>
      <c r="L106" s="983"/>
      <c r="M106" s="983"/>
      <c r="N106" s="983"/>
      <c r="O106" s="983"/>
      <c r="P106" s="983"/>
      <c r="Q106" s="983"/>
      <c r="R106" s="983"/>
      <c r="S106" s="983"/>
    </row>
    <row r="107" spans="1:34" x14ac:dyDescent="0.35">
      <c r="A107" s="689"/>
      <c r="B107" s="641" t="s">
        <v>732</v>
      </c>
      <c r="C107" s="642"/>
      <c r="D107" s="642"/>
      <c r="E107" s="642"/>
      <c r="F107" s="642"/>
      <c r="G107" s="646"/>
      <c r="H107" s="984"/>
      <c r="I107" s="984"/>
      <c r="J107" s="984"/>
      <c r="K107" s="984"/>
      <c r="L107" s="984"/>
      <c r="M107" s="984"/>
      <c r="N107" s="984"/>
      <c r="O107" s="984"/>
      <c r="P107" s="984"/>
      <c r="Q107" s="984"/>
      <c r="R107" s="984"/>
      <c r="S107" s="984"/>
    </row>
    <row r="108" spans="1:34" ht="15" thickBot="1" x14ac:dyDescent="0.4">
      <c r="A108" s="985"/>
      <c r="B108" s="986" t="s">
        <v>733</v>
      </c>
      <c r="C108" s="987"/>
      <c r="D108" s="987"/>
      <c r="E108" s="987"/>
      <c r="F108" s="987"/>
      <c r="G108" s="1040"/>
      <c r="H108" s="990"/>
      <c r="I108" s="990"/>
      <c r="J108" s="990"/>
      <c r="K108" s="990"/>
      <c r="L108" s="990"/>
      <c r="M108" s="990"/>
      <c r="N108" s="990"/>
      <c r="O108" s="990"/>
      <c r="P108" s="990"/>
      <c r="Q108" s="990"/>
      <c r="R108" s="990"/>
      <c r="S108" s="990"/>
    </row>
    <row r="109" spans="1:34" ht="15.5" thickTop="1" thickBot="1" x14ac:dyDescent="0.4"/>
    <row r="110" spans="1:34" ht="15.5" thickTop="1" thickBot="1" x14ac:dyDescent="0.4">
      <c r="A110" s="78" t="s">
        <v>734</v>
      </c>
      <c r="B110" s="80"/>
    </row>
    <row r="111" spans="1:34" ht="15" thickTop="1" x14ac:dyDescent="0.35">
      <c r="A111" s="79" t="s">
        <v>632</v>
      </c>
      <c r="B111" s="991"/>
    </row>
    <row r="112" spans="1:34" x14ac:dyDescent="0.35">
      <c r="A112" s="687" t="s">
        <v>636</v>
      </c>
      <c r="B112" s="991"/>
    </row>
    <row r="113" spans="1:2" x14ac:dyDescent="0.35">
      <c r="A113" s="992" t="s">
        <v>639</v>
      </c>
      <c r="B113" s="993"/>
    </row>
    <row r="114" spans="1:2" x14ac:dyDescent="0.35">
      <c r="A114" s="992" t="s">
        <v>642</v>
      </c>
      <c r="B114" s="994"/>
    </row>
    <row r="115" spans="1:2" ht="15" thickBot="1" x14ac:dyDescent="0.4">
      <c r="A115" s="995" t="s">
        <v>735</v>
      </c>
      <c r="B115" s="996">
        <f>H8</f>
        <v>587134.4</v>
      </c>
    </row>
    <row r="116" spans="1:2" ht="15" thickTop="1" x14ac:dyDescent="0.35"/>
    <row r="117" spans="1:2" x14ac:dyDescent="0.35">
      <c r="A117" s="81"/>
      <c r="B117" s="1" t="s">
        <v>736</v>
      </c>
    </row>
    <row r="118" spans="1:2" x14ac:dyDescent="0.35">
      <c r="A118" s="82"/>
      <c r="B118" s="1" t="s">
        <v>737</v>
      </c>
    </row>
  </sheetData>
  <mergeCells count="47">
    <mergeCell ref="A83:B83"/>
    <mergeCell ref="A87:B87"/>
    <mergeCell ref="A91:B91"/>
    <mergeCell ref="A95:B95"/>
    <mergeCell ref="A99:B99"/>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J32:J74 L32:L74 N32:N74 P32:P74 R32:R74 H32:H74">
    <cfRule type="cellIs" dxfId="2421" priority="13" operator="equal">
      <formula>"X"</formula>
    </cfRule>
    <cfRule type="cellIs" dxfId="2420" priority="14" operator="equal">
      <formula>"I"</formula>
    </cfRule>
  </conditionalFormatting>
  <conditionalFormatting sqref="J20:J30">
    <cfRule type="cellIs" dxfId="2419" priority="15" operator="equal">
      <formula>"X"</formula>
    </cfRule>
    <cfRule type="cellIs" dxfId="2418" priority="16" operator="equal">
      <formula>"I"</formula>
    </cfRule>
  </conditionalFormatting>
  <conditionalFormatting sqref="L20:L30">
    <cfRule type="cellIs" dxfId="2417" priority="17" operator="equal">
      <formula>"X"</formula>
    </cfRule>
    <cfRule type="cellIs" dxfId="2416" priority="18" operator="equal">
      <formula>"I"</formula>
    </cfRule>
  </conditionalFormatting>
  <conditionalFormatting sqref="N20:N30">
    <cfRule type="cellIs" dxfId="2415" priority="19" operator="equal">
      <formula>"X"</formula>
    </cfRule>
    <cfRule type="cellIs" dxfId="2414" priority="20" operator="equal">
      <formula>"I"</formula>
    </cfRule>
  </conditionalFormatting>
  <conditionalFormatting sqref="P20:P30">
    <cfRule type="cellIs" dxfId="2413" priority="21" operator="equal">
      <formula>"X"</formula>
    </cfRule>
    <cfRule type="cellIs" dxfId="2412" priority="22" operator="equal">
      <formula>"I"</formula>
    </cfRule>
  </conditionalFormatting>
  <conditionalFormatting sqref="R20:R30">
    <cfRule type="cellIs" dxfId="2411" priority="23" operator="equal">
      <formula>"X"</formula>
    </cfRule>
    <cfRule type="cellIs" dxfId="2410" priority="24" operator="equal">
      <formula>"I"</formula>
    </cfRule>
  </conditionalFormatting>
  <hyperlinks>
    <hyperlink ref="B3" location="'Cost Summary'!A1" display="BACK TO SUMMARY SHEET" xr:uid="{CE16CE51-0B09-43B2-B471-F9D1C78D2788}"/>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D9E7-3057-498B-B35B-03FE0DDD491F}">
  <sheetPr>
    <tabColor rgb="FFFFC000"/>
  </sheetPr>
  <dimension ref="A1:Y110"/>
  <sheetViews>
    <sheetView zoomScaleNormal="100" workbookViewId="0">
      <pane xSplit="2" ySplit="9" topLeftCell="C35" activePane="bottomRight" state="frozen"/>
      <selection pane="topRight" activeCell="C1" sqref="C1"/>
      <selection pane="bottomLeft" activeCell="A11" sqref="A11"/>
      <selection pane="bottomRight" activeCell="M89" sqref="M8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26953125" style="2" hidden="1" customWidth="1"/>
    <col min="9" max="9" width="14.81640625" style="2" hidden="1" customWidth="1"/>
    <col min="10" max="10" width="7.453125" style="2" bestFit="1" customWidth="1"/>
    <col min="11" max="11" width="14.81640625" style="2" customWidth="1"/>
    <col min="12" max="12" width="7.453125" style="2" bestFit="1" customWidth="1"/>
    <col min="13" max="13" width="14.81640625" style="2" customWidth="1"/>
    <col min="14" max="14" width="6.81640625" style="2"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 min="24" max="24" width="7.453125" style="2" bestFit="1" customWidth="1"/>
    <col min="25" max="25" width="14.81640625" style="2" customWidth="1"/>
  </cols>
  <sheetData>
    <row r="1" spans="1:25" x14ac:dyDescent="0.35">
      <c r="E1" s="152"/>
      <c r="F1" s="125"/>
      <c r="G1" s="123" t="s">
        <v>621</v>
      </c>
      <c r="H1" s="3785" t="s">
        <v>1285</v>
      </c>
      <c r="I1" s="3785"/>
      <c r="L1" s="3785" t="s">
        <v>1286</v>
      </c>
      <c r="M1" s="3785"/>
      <c r="N1" s="3785"/>
      <c r="O1" s="3785"/>
      <c r="P1" s="3785"/>
      <c r="Q1" s="3785"/>
    </row>
    <row r="2" spans="1:25" x14ac:dyDescent="0.35">
      <c r="E2" s="152"/>
      <c r="F2" s="122" t="s">
        <v>622</v>
      </c>
      <c r="G2" s="123" t="s">
        <v>451</v>
      </c>
      <c r="H2" s="3789" t="s">
        <v>1141</v>
      </c>
      <c r="I2" s="3789"/>
      <c r="J2" s="3818" t="s">
        <v>1287</v>
      </c>
      <c r="K2" s="3818"/>
      <c r="L2" s="3818" t="s">
        <v>1288</v>
      </c>
      <c r="M2" s="3818"/>
      <c r="N2" s="3789" t="s">
        <v>1289</v>
      </c>
      <c r="O2" s="3789"/>
      <c r="P2" s="3789"/>
      <c r="Q2" s="3789"/>
      <c r="R2" s="3818"/>
      <c r="S2" s="3818"/>
      <c r="T2" s="3808"/>
      <c r="U2" s="3808"/>
      <c r="V2" s="3751"/>
      <c r="W2" s="3751"/>
      <c r="X2" s="3751"/>
      <c r="Y2" s="3751"/>
    </row>
    <row r="3" spans="1:25" ht="19.5" x14ac:dyDescent="0.35">
      <c r="B3" s="137" t="s">
        <v>623</v>
      </c>
      <c r="E3" s="152"/>
      <c r="F3" s="124" t="s">
        <v>624</v>
      </c>
      <c r="G3" s="123" t="s">
        <v>557</v>
      </c>
      <c r="H3" s="3754" t="s">
        <v>625</v>
      </c>
      <c r="I3" s="3755"/>
      <c r="J3" s="3754" t="s">
        <v>625</v>
      </c>
      <c r="K3" s="3755"/>
      <c r="L3" s="3772" t="s">
        <v>625</v>
      </c>
      <c r="M3" s="3773"/>
      <c r="N3" s="3778" t="s">
        <v>626</v>
      </c>
      <c r="O3" s="3779"/>
      <c r="P3" s="3754" t="s">
        <v>627</v>
      </c>
      <c r="Q3" s="3755"/>
      <c r="R3" s="3754" t="s">
        <v>628</v>
      </c>
      <c r="S3" s="3755"/>
      <c r="T3" s="3754" t="s">
        <v>772</v>
      </c>
      <c r="U3" s="3755"/>
      <c r="V3" s="3754" t="s">
        <v>773</v>
      </c>
      <c r="W3" s="3755"/>
      <c r="X3" s="3754" t="s">
        <v>773</v>
      </c>
      <c r="Y3" s="3755"/>
    </row>
    <row r="4" spans="1:25" x14ac:dyDescent="0.35">
      <c r="A4" s="3" t="s">
        <v>631</v>
      </c>
      <c r="B4" s="4" t="str">
        <f>'AREA CALC''s'!B4</f>
        <v>Alton Hilltop Gardens</v>
      </c>
      <c r="C4" s="5"/>
      <c r="D4" s="5"/>
      <c r="E4" s="5"/>
      <c r="F4" s="5"/>
      <c r="G4" s="6" t="s">
        <v>632</v>
      </c>
      <c r="H4" s="3752" t="s">
        <v>1290</v>
      </c>
      <c r="I4" s="3753"/>
      <c r="J4" s="3752" t="s">
        <v>1291</v>
      </c>
      <c r="K4" s="3753"/>
      <c r="L4" s="3752" t="s">
        <v>1291</v>
      </c>
      <c r="M4" s="3753"/>
      <c r="N4" s="3752" t="s">
        <v>1290</v>
      </c>
      <c r="O4" s="3753"/>
      <c r="P4" s="3752" t="s">
        <v>1292</v>
      </c>
      <c r="Q4" s="3753"/>
      <c r="R4" s="3752" t="s">
        <v>1291</v>
      </c>
      <c r="S4" s="3753"/>
      <c r="T4" s="3752" t="s">
        <v>1293</v>
      </c>
      <c r="U4" s="3753"/>
      <c r="V4" s="3752" t="s">
        <v>1294</v>
      </c>
      <c r="W4" s="3753"/>
      <c r="X4" s="3752"/>
      <c r="Y4" s="3753"/>
    </row>
    <row r="5" spans="1:25" x14ac:dyDescent="0.35">
      <c r="A5" s="688" t="s">
        <v>634</v>
      </c>
      <c r="B5" s="641" t="s">
        <v>481</v>
      </c>
      <c r="C5" s="642"/>
      <c r="D5" s="642"/>
      <c r="E5" s="642"/>
      <c r="F5" s="642"/>
      <c r="G5" s="643" t="s">
        <v>636</v>
      </c>
      <c r="H5" s="3812" t="s">
        <v>1295</v>
      </c>
      <c r="I5" s="3813"/>
      <c r="J5" s="3812" t="s">
        <v>1296</v>
      </c>
      <c r="K5" s="3813"/>
      <c r="L5" s="3812" t="s">
        <v>1296</v>
      </c>
      <c r="M5" s="3813"/>
      <c r="N5" s="3812" t="s">
        <v>1295</v>
      </c>
      <c r="O5" s="3813"/>
      <c r="P5" s="3812" t="s">
        <v>1297</v>
      </c>
      <c r="Q5" s="3813"/>
      <c r="R5" s="3812" t="s">
        <v>1296</v>
      </c>
      <c r="S5" s="3813"/>
      <c r="T5" s="3812" t="s">
        <v>1298</v>
      </c>
      <c r="U5" s="3813"/>
      <c r="V5" s="3812" t="s">
        <v>1294</v>
      </c>
      <c r="W5" s="3813"/>
      <c r="X5" s="3812"/>
      <c r="Y5" s="3813"/>
    </row>
    <row r="6" spans="1:25" x14ac:dyDescent="0.35">
      <c r="A6" s="688" t="s">
        <v>638</v>
      </c>
      <c r="B6" s="644" t="s">
        <v>480</v>
      </c>
      <c r="C6" s="642"/>
      <c r="D6" s="642"/>
      <c r="E6" s="642"/>
      <c r="F6" s="642"/>
      <c r="G6" s="643" t="s">
        <v>639</v>
      </c>
      <c r="H6" s="3756" t="s">
        <v>1299</v>
      </c>
      <c r="I6" s="3757"/>
      <c r="J6" s="3756" t="s">
        <v>1300</v>
      </c>
      <c r="K6" s="3757"/>
      <c r="L6" s="3756" t="s">
        <v>1300</v>
      </c>
      <c r="M6" s="3757"/>
      <c r="N6" s="3756" t="s">
        <v>1299</v>
      </c>
      <c r="O6" s="3757"/>
      <c r="P6" s="3756" t="s">
        <v>1301</v>
      </c>
      <c r="Q6" s="3757"/>
      <c r="R6" s="3756" t="s">
        <v>1300</v>
      </c>
      <c r="S6" s="3757"/>
      <c r="T6" s="3756" t="s">
        <v>1302</v>
      </c>
      <c r="U6" s="3757"/>
      <c r="V6" s="3756" t="s">
        <v>1303</v>
      </c>
      <c r="W6" s="3757"/>
      <c r="X6" s="3756"/>
      <c r="Y6" s="3757"/>
    </row>
    <row r="7" spans="1:25" x14ac:dyDescent="0.35">
      <c r="A7" s="688" t="s">
        <v>641</v>
      </c>
      <c r="B7" s="645"/>
      <c r="C7" s="642"/>
      <c r="D7" s="642"/>
      <c r="E7" s="642"/>
      <c r="F7" s="642"/>
      <c r="G7" s="643" t="s">
        <v>642</v>
      </c>
      <c r="H7" s="3790" t="s">
        <v>1304</v>
      </c>
      <c r="I7" s="3792"/>
      <c r="J7" s="3790" t="s">
        <v>1305</v>
      </c>
      <c r="K7" s="3792"/>
      <c r="L7" s="3790" t="s">
        <v>1305</v>
      </c>
      <c r="M7" s="3792"/>
      <c r="N7" s="3790" t="s">
        <v>1304</v>
      </c>
      <c r="O7" s="3792"/>
      <c r="P7" s="3786" t="s">
        <v>1306</v>
      </c>
      <c r="Q7" s="3802"/>
      <c r="R7" s="3790" t="s">
        <v>1305</v>
      </c>
      <c r="S7" s="3792"/>
      <c r="T7" s="3790" t="s">
        <v>1307</v>
      </c>
      <c r="U7" s="3792"/>
      <c r="V7" s="3790" t="s">
        <v>1308</v>
      </c>
      <c r="W7" s="3792"/>
      <c r="X7" s="3786"/>
      <c r="Y7" s="3757"/>
    </row>
    <row r="8" spans="1:25" x14ac:dyDescent="0.35">
      <c r="A8" s="938" t="s">
        <v>644</v>
      </c>
      <c r="B8" s="939"/>
      <c r="C8" s="940"/>
      <c r="D8" s="940"/>
      <c r="E8" s="940"/>
      <c r="F8" s="940"/>
      <c r="G8" s="1024" t="s">
        <v>644</v>
      </c>
      <c r="H8" s="3760">
        <f>I71</f>
        <v>222711.46</v>
      </c>
      <c r="I8" s="3761"/>
      <c r="J8" s="3760">
        <f>K71</f>
        <v>234596.89</v>
      </c>
      <c r="K8" s="3761"/>
      <c r="L8" s="3760">
        <f>M71</f>
        <v>252757.98</v>
      </c>
      <c r="M8" s="3761"/>
      <c r="N8" s="3760">
        <f>O71</f>
        <v>260015.93</v>
      </c>
      <c r="O8" s="3761"/>
      <c r="P8" s="3760">
        <f>Q71</f>
        <v>287972.58</v>
      </c>
      <c r="Q8" s="3761"/>
      <c r="R8" s="3760">
        <f>S71</f>
        <v>323184.68</v>
      </c>
      <c r="S8" s="3761"/>
      <c r="T8" s="3760">
        <f>U71</f>
        <v>325725.08</v>
      </c>
      <c r="U8" s="3761"/>
      <c r="V8" s="3760">
        <f>W71</f>
        <v>568720.88</v>
      </c>
      <c r="W8" s="3761"/>
      <c r="X8" s="3760">
        <f>Y71</f>
        <v>0</v>
      </c>
      <c r="Y8" s="3761"/>
    </row>
    <row r="9" spans="1:25" ht="29" x14ac:dyDescent="0.35">
      <c r="A9" s="7" t="s">
        <v>645</v>
      </c>
      <c r="B9" s="8"/>
      <c r="C9" s="9" t="s">
        <v>646</v>
      </c>
      <c r="D9" s="9" t="s">
        <v>647</v>
      </c>
      <c r="E9" s="9" t="s">
        <v>648</v>
      </c>
      <c r="F9" s="9" t="s">
        <v>649</v>
      </c>
      <c r="G9" s="10" t="s">
        <v>650</v>
      </c>
      <c r="H9" s="11"/>
      <c r="I9" s="11"/>
      <c r="J9" s="11" t="s">
        <v>651</v>
      </c>
      <c r="K9" s="11" t="s">
        <v>652</v>
      </c>
      <c r="L9" s="11" t="s">
        <v>651</v>
      </c>
      <c r="M9" s="11" t="s">
        <v>652</v>
      </c>
      <c r="N9" s="11"/>
      <c r="O9" s="11"/>
      <c r="P9" s="11" t="s">
        <v>651</v>
      </c>
      <c r="Q9" s="11" t="s">
        <v>652</v>
      </c>
      <c r="R9" s="11" t="s">
        <v>651</v>
      </c>
      <c r="S9" s="11" t="s">
        <v>652</v>
      </c>
      <c r="T9" s="11" t="s">
        <v>651</v>
      </c>
      <c r="U9" s="11" t="s">
        <v>652</v>
      </c>
      <c r="V9" s="11" t="s">
        <v>651</v>
      </c>
      <c r="W9" s="11" t="s">
        <v>652</v>
      </c>
      <c r="X9" s="11" t="s">
        <v>651</v>
      </c>
      <c r="Y9" s="11" t="s">
        <v>652</v>
      </c>
    </row>
    <row r="10" spans="1:25" hidden="1" x14ac:dyDescent="0.35">
      <c r="A10" s="689"/>
      <c r="B10" s="941" t="s">
        <v>653</v>
      </c>
      <c r="C10" s="642"/>
      <c r="D10" s="642"/>
      <c r="E10" s="642"/>
      <c r="F10" s="642"/>
      <c r="G10" s="646"/>
      <c r="H10" s="942"/>
      <c r="I10" s="942"/>
      <c r="J10" s="942"/>
      <c r="K10" s="942"/>
      <c r="L10" s="942"/>
      <c r="M10" s="942"/>
      <c r="N10" s="942"/>
      <c r="O10" s="942"/>
      <c r="P10" s="942"/>
      <c r="Q10" s="942"/>
      <c r="R10" s="942"/>
      <c r="S10" s="942"/>
      <c r="T10" s="942"/>
      <c r="U10" s="942"/>
      <c r="V10" s="942"/>
      <c r="W10" s="942"/>
      <c r="X10" s="942"/>
      <c r="Y10" s="942"/>
    </row>
    <row r="11" spans="1:25"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c r="T11" s="942"/>
      <c r="U11" s="942"/>
      <c r="V11" s="942"/>
      <c r="W11" s="942"/>
      <c r="X11" s="942"/>
      <c r="Y11" s="942"/>
    </row>
    <row r="12" spans="1:25"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c r="T12" s="942"/>
      <c r="U12" s="942"/>
      <c r="V12" s="942"/>
      <c r="W12" s="942"/>
      <c r="X12" s="942"/>
      <c r="Y12" s="942"/>
    </row>
    <row r="13" spans="1:25"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c r="V13" s="942"/>
      <c r="W13" s="942"/>
      <c r="X13" s="942"/>
      <c r="Y13" s="942"/>
    </row>
    <row r="14" spans="1:25"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c r="V14" s="942"/>
      <c r="W14" s="942"/>
      <c r="X14" s="942"/>
      <c r="Y14" s="942"/>
    </row>
    <row r="15" spans="1:25"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c r="V15" s="942"/>
      <c r="W15" s="942"/>
      <c r="X15" s="942"/>
      <c r="Y15" s="942"/>
    </row>
    <row r="16" spans="1:25"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c r="T16" s="942"/>
      <c r="U16" s="942"/>
      <c r="V16" s="942"/>
      <c r="W16" s="942"/>
      <c r="X16" s="942"/>
      <c r="Y16" s="942"/>
    </row>
    <row r="17" spans="1:25"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c r="T17" s="942"/>
      <c r="U17" s="942"/>
      <c r="V17" s="942"/>
      <c r="W17" s="942"/>
      <c r="X17" s="942"/>
      <c r="Y17" s="942"/>
    </row>
    <row r="18" spans="1:25"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c r="V18" s="942"/>
      <c r="W18" s="942"/>
      <c r="X18" s="942"/>
      <c r="Y18" s="942"/>
    </row>
    <row r="19" spans="1:25"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c r="T19" s="942"/>
      <c r="U19" s="942"/>
      <c r="V19" s="942"/>
      <c r="W19" s="942"/>
      <c r="X19" s="942"/>
      <c r="Y19" s="942"/>
    </row>
    <row r="20" spans="1:25" x14ac:dyDescent="0.35">
      <c r="A20" s="968"/>
      <c r="C20" s="647"/>
      <c r="D20" s="642"/>
      <c r="E20" s="642"/>
      <c r="F20" s="642"/>
      <c r="G20" s="646"/>
      <c r="H20" s="943"/>
      <c r="I20" s="1214"/>
      <c r="J20" s="943"/>
      <c r="K20" s="1214"/>
      <c r="L20" s="943"/>
      <c r="M20" s="1214"/>
      <c r="N20" s="943"/>
      <c r="O20" s="1214"/>
      <c r="P20" s="943"/>
      <c r="Q20" s="1214"/>
      <c r="R20" s="943"/>
      <c r="S20" s="1214"/>
      <c r="T20" s="943"/>
      <c r="U20" s="1214"/>
      <c r="V20" s="943"/>
      <c r="W20" s="1214"/>
      <c r="X20" s="943"/>
      <c r="Y20" s="1214"/>
    </row>
    <row r="21" spans="1:25" x14ac:dyDescent="0.35">
      <c r="A21" s="968"/>
      <c r="B21" s="648" t="s">
        <v>481</v>
      </c>
      <c r="C21" s="647"/>
      <c r="D21" s="642"/>
      <c r="E21" s="642"/>
      <c r="F21" s="642"/>
      <c r="G21" s="646"/>
      <c r="H21" s="943"/>
      <c r="I21" s="1214"/>
      <c r="J21" s="943"/>
      <c r="K21" s="1214"/>
      <c r="L21" s="943"/>
      <c r="M21" s="1214"/>
      <c r="N21" s="943"/>
      <c r="O21" s="1214"/>
      <c r="P21" s="943"/>
      <c r="Q21" s="1214"/>
      <c r="R21" s="943"/>
      <c r="S21" s="1214"/>
      <c r="T21" s="943"/>
      <c r="U21" s="1214"/>
      <c r="V21" s="943"/>
      <c r="W21" s="1214"/>
      <c r="X21" s="943"/>
      <c r="Y21" s="1214"/>
    </row>
    <row r="22" spans="1:25" x14ac:dyDescent="0.35">
      <c r="A22" s="998"/>
      <c r="B22" s="604" t="s">
        <v>657</v>
      </c>
      <c r="C22" s="647"/>
      <c r="D22" s="642"/>
      <c r="E22" s="642"/>
      <c r="F22" s="642"/>
      <c r="G22" s="646"/>
      <c r="H22" s="943"/>
      <c r="I22" s="632"/>
      <c r="J22" s="943"/>
      <c r="K22" s="632"/>
      <c r="L22" s="943"/>
      <c r="M22" s="632"/>
      <c r="N22" s="943"/>
      <c r="O22" s="632"/>
      <c r="P22" s="943"/>
      <c r="Q22" s="632"/>
      <c r="R22" s="943"/>
      <c r="S22" s="632"/>
      <c r="T22" s="943"/>
      <c r="U22" s="632"/>
      <c r="V22" s="943"/>
      <c r="W22" s="632"/>
      <c r="X22" s="943"/>
      <c r="Y22" s="632"/>
    </row>
    <row r="23" spans="1:25" x14ac:dyDescent="0.35">
      <c r="A23" s="998"/>
      <c r="B23" s="607" t="s">
        <v>658</v>
      </c>
      <c r="C23" s="647"/>
      <c r="D23" s="642"/>
      <c r="E23" s="642"/>
      <c r="F23" s="642"/>
      <c r="G23" s="646"/>
      <c r="H23" s="943" t="s">
        <v>669</v>
      </c>
      <c r="I23" s="632"/>
      <c r="J23" s="943" t="s">
        <v>669</v>
      </c>
      <c r="K23" s="632"/>
      <c r="L23" s="943" t="s">
        <v>669</v>
      </c>
      <c r="M23" s="632"/>
      <c r="N23" s="943" t="s">
        <v>669</v>
      </c>
      <c r="O23" s="632"/>
      <c r="P23" s="943" t="s">
        <v>669</v>
      </c>
      <c r="Q23" s="632"/>
      <c r="R23" s="943" t="s">
        <v>669</v>
      </c>
      <c r="S23" s="632"/>
      <c r="T23" s="943" t="s">
        <v>669</v>
      </c>
      <c r="U23" s="630"/>
      <c r="V23" s="943" t="s">
        <v>669</v>
      </c>
      <c r="W23" s="632"/>
      <c r="X23" s="943"/>
      <c r="Y23" s="630"/>
    </row>
    <row r="24" spans="1:25" x14ac:dyDescent="0.35">
      <c r="A24" s="683"/>
      <c r="B24" s="1279" t="s">
        <v>659</v>
      </c>
      <c r="C24" s="642"/>
      <c r="D24" s="642"/>
      <c r="E24" s="642"/>
      <c r="F24" s="642"/>
      <c r="G24" s="646"/>
      <c r="H24" s="943" t="s">
        <v>669</v>
      </c>
      <c r="I24" s="630"/>
      <c r="J24" s="943" t="s">
        <v>669</v>
      </c>
      <c r="K24" s="630"/>
      <c r="L24" s="943" t="s">
        <v>669</v>
      </c>
      <c r="M24" s="630"/>
      <c r="N24" s="943" t="s">
        <v>669</v>
      </c>
      <c r="O24" s="630"/>
      <c r="P24" s="943" t="s">
        <v>669</v>
      </c>
      <c r="Q24" s="630"/>
      <c r="R24" s="943" t="s">
        <v>669</v>
      </c>
      <c r="S24" s="630"/>
      <c r="T24" s="943" t="s">
        <v>669</v>
      </c>
      <c r="U24" s="632"/>
      <c r="V24" s="943" t="s">
        <v>669</v>
      </c>
      <c r="W24" s="632"/>
      <c r="X24" s="943"/>
      <c r="Y24" s="632"/>
    </row>
    <row r="25" spans="1:25" x14ac:dyDescent="0.35">
      <c r="A25" s="998"/>
      <c r="B25" s="1280" t="s">
        <v>660</v>
      </c>
      <c r="C25" s="642"/>
      <c r="D25" s="642"/>
      <c r="E25" s="642"/>
      <c r="F25" s="642"/>
      <c r="G25" s="646"/>
      <c r="H25" s="943" t="s">
        <v>671</v>
      </c>
      <c r="I25" s="630"/>
      <c r="J25" s="943" t="s">
        <v>671</v>
      </c>
      <c r="K25" s="630"/>
      <c r="L25" s="943" t="s">
        <v>671</v>
      </c>
      <c r="M25" s="630"/>
      <c r="N25" s="943" t="s">
        <v>671</v>
      </c>
      <c r="O25" s="630"/>
      <c r="P25" s="943" t="s">
        <v>671</v>
      </c>
      <c r="Q25" s="630"/>
      <c r="R25" s="943" t="s">
        <v>671</v>
      </c>
      <c r="S25" s="630"/>
      <c r="T25" s="943" t="s">
        <v>671</v>
      </c>
      <c r="U25" s="632"/>
      <c r="V25" s="943" t="s">
        <v>671</v>
      </c>
      <c r="W25" s="632"/>
      <c r="X25" s="943"/>
      <c r="Y25" s="632"/>
    </row>
    <row r="26" spans="1:25" x14ac:dyDescent="0.35">
      <c r="A26" s="683"/>
      <c r="B26" s="1280" t="s">
        <v>661</v>
      </c>
      <c r="C26" s="642"/>
      <c r="D26" s="642"/>
      <c r="E26" s="642"/>
      <c r="F26" s="642"/>
      <c r="G26" s="646"/>
      <c r="H26" s="943" t="s">
        <v>669</v>
      </c>
      <c r="I26" s="630"/>
      <c r="J26" s="943" t="s">
        <v>669</v>
      </c>
      <c r="K26" s="630"/>
      <c r="L26" s="943" t="s">
        <v>669</v>
      </c>
      <c r="M26" s="630"/>
      <c r="N26" s="943" t="s">
        <v>669</v>
      </c>
      <c r="O26" s="630"/>
      <c r="P26" s="943" t="s">
        <v>669</v>
      </c>
      <c r="Q26" s="630"/>
      <c r="R26" s="943" t="s">
        <v>669</v>
      </c>
      <c r="S26" s="630"/>
      <c r="T26" s="943" t="s">
        <v>669</v>
      </c>
      <c r="U26" s="632"/>
      <c r="V26" s="943" t="s">
        <v>669</v>
      </c>
      <c r="W26" s="632"/>
      <c r="X26" s="943"/>
      <c r="Y26" s="632"/>
    </row>
    <row r="27" spans="1:25" x14ac:dyDescent="0.35">
      <c r="A27" s="998"/>
      <c r="B27" s="1280" t="s">
        <v>662</v>
      </c>
      <c r="C27" s="642"/>
      <c r="D27" s="642"/>
      <c r="E27" s="642"/>
      <c r="F27" s="642"/>
      <c r="G27" s="646"/>
      <c r="H27" s="943" t="s">
        <v>669</v>
      </c>
      <c r="I27" s="630"/>
      <c r="J27" s="943" t="s">
        <v>669</v>
      </c>
      <c r="K27" s="630"/>
      <c r="L27" s="943" t="s">
        <v>669</v>
      </c>
      <c r="M27" s="630"/>
      <c r="N27" s="943" t="s">
        <v>669</v>
      </c>
      <c r="O27" s="630"/>
      <c r="P27" s="943" t="s">
        <v>669</v>
      </c>
      <c r="Q27" s="630"/>
      <c r="R27" s="943" t="s">
        <v>669</v>
      </c>
      <c r="S27" s="630"/>
      <c r="T27" s="943" t="s">
        <v>669</v>
      </c>
      <c r="U27" s="632"/>
      <c r="V27" s="943" t="s">
        <v>669</v>
      </c>
      <c r="W27" s="632"/>
      <c r="X27" s="943"/>
      <c r="Y27" s="632"/>
    </row>
    <row r="28" spans="1:25" x14ac:dyDescent="0.35">
      <c r="A28" s="998"/>
      <c r="B28" s="1280" t="s">
        <v>663</v>
      </c>
      <c r="C28" s="642"/>
      <c r="D28" s="642"/>
      <c r="E28" s="642"/>
      <c r="F28" s="642"/>
      <c r="G28" s="646"/>
      <c r="H28" s="943" t="s">
        <v>669</v>
      </c>
      <c r="I28" s="630"/>
      <c r="J28" s="943" t="s">
        <v>669</v>
      </c>
      <c r="K28" s="630"/>
      <c r="L28" s="943" t="s">
        <v>669</v>
      </c>
      <c r="M28" s="630"/>
      <c r="N28" s="943" t="s">
        <v>669</v>
      </c>
      <c r="O28" s="630"/>
      <c r="P28" s="943" t="s">
        <v>669</v>
      </c>
      <c r="Q28" s="630"/>
      <c r="R28" s="943" t="s">
        <v>669</v>
      </c>
      <c r="S28" s="630"/>
      <c r="T28" s="943" t="s">
        <v>669</v>
      </c>
      <c r="U28" s="632"/>
      <c r="V28" s="943" t="s">
        <v>669</v>
      </c>
      <c r="W28" s="632"/>
      <c r="X28" s="943"/>
      <c r="Y28" s="632"/>
    </row>
    <row r="29" spans="1:25" x14ac:dyDescent="0.35">
      <c r="A29" s="998"/>
      <c r="B29" s="1280" t="s">
        <v>742</v>
      </c>
      <c r="C29" s="642"/>
      <c r="D29" s="642"/>
      <c r="E29" s="642"/>
      <c r="F29" s="642"/>
      <c r="G29" s="646"/>
      <c r="H29" s="943" t="s">
        <v>671</v>
      </c>
      <c r="I29" s="630"/>
      <c r="J29" s="943" t="s">
        <v>671</v>
      </c>
      <c r="K29" s="630"/>
      <c r="L29" s="943" t="s">
        <v>671</v>
      </c>
      <c r="M29" s="630"/>
      <c r="N29" s="943" t="s">
        <v>671</v>
      </c>
      <c r="O29" s="630"/>
      <c r="P29" s="943" t="s">
        <v>671</v>
      </c>
      <c r="Q29" s="630"/>
      <c r="R29" s="943" t="s">
        <v>671</v>
      </c>
      <c r="S29" s="630"/>
      <c r="T29" s="943" t="s">
        <v>671</v>
      </c>
      <c r="U29" s="632"/>
      <c r="V29" s="943" t="s">
        <v>671</v>
      </c>
      <c r="W29" s="632"/>
      <c r="X29" s="943"/>
      <c r="Y29" s="632"/>
    </row>
    <row r="30" spans="1:25" x14ac:dyDescent="0.35">
      <c r="A30" s="998"/>
      <c r="B30" s="1281" t="s">
        <v>664</v>
      </c>
      <c r="C30" s="642"/>
      <c r="D30" s="642"/>
      <c r="E30" s="642"/>
      <c r="F30" s="642"/>
      <c r="G30" s="646"/>
      <c r="H30" s="943"/>
      <c r="I30" s="630"/>
      <c r="J30" s="943"/>
      <c r="K30" s="630"/>
      <c r="L30" s="943"/>
      <c r="M30" s="630"/>
      <c r="N30" s="943"/>
      <c r="O30" s="630"/>
      <c r="P30" s="943"/>
      <c r="Q30" s="630"/>
      <c r="R30" s="943"/>
      <c r="S30" s="630"/>
      <c r="T30" s="943"/>
      <c r="U30" s="632"/>
      <c r="V30" s="943"/>
      <c r="W30" s="632"/>
      <c r="X30" s="943"/>
      <c r="Y30" s="632"/>
    </row>
    <row r="31" spans="1:25" x14ac:dyDescent="0.35">
      <c r="A31" s="998"/>
      <c r="B31" s="1262" t="s">
        <v>665</v>
      </c>
      <c r="C31" s="650"/>
      <c r="D31" s="650"/>
      <c r="E31" s="650"/>
      <c r="F31" s="650"/>
      <c r="G31" s="952"/>
      <c r="H31" s="636"/>
      <c r="I31" s="631"/>
      <c r="J31" s="636"/>
      <c r="K31" s="1221">
        <v>225365.35</v>
      </c>
      <c r="L31" s="636"/>
      <c r="M31" s="1221">
        <f>145855.57+39108.45+8433.59+47352.07+2279.62</f>
        <v>243029.30000000002</v>
      </c>
      <c r="N31" s="636"/>
      <c r="O31" s="1221">
        <v>260015.93</v>
      </c>
      <c r="P31" s="636"/>
      <c r="Q31" s="1221">
        <v>278431.7</v>
      </c>
      <c r="R31" s="636"/>
      <c r="S31" s="1221">
        <v>313643.8</v>
      </c>
      <c r="T31" s="636"/>
      <c r="U31" s="1221">
        <v>316184.2</v>
      </c>
      <c r="V31" s="636"/>
      <c r="W31" s="1221">
        <v>559180</v>
      </c>
      <c r="X31" s="636"/>
      <c r="Y31" s="1204"/>
    </row>
    <row r="32" spans="1:25" x14ac:dyDescent="0.35">
      <c r="A32" s="998"/>
      <c r="B32" s="627" t="s">
        <v>874</v>
      </c>
      <c r="C32" s="642"/>
      <c r="D32" s="642"/>
      <c r="E32" s="642"/>
      <c r="F32" s="642"/>
      <c r="G32" s="646"/>
      <c r="H32" s="943"/>
      <c r="I32" s="630"/>
      <c r="J32" s="943"/>
      <c r="K32" s="630"/>
      <c r="L32" s="943"/>
      <c r="M32" s="630"/>
      <c r="N32" s="943"/>
      <c r="O32" s="630"/>
      <c r="P32" s="943"/>
      <c r="Q32" s="630"/>
      <c r="R32" s="943"/>
      <c r="S32" s="630"/>
      <c r="T32" s="943"/>
      <c r="U32" s="632"/>
      <c r="V32" s="943"/>
      <c r="W32" s="632"/>
      <c r="X32" s="943"/>
      <c r="Y32" s="632"/>
    </row>
    <row r="33" spans="1:25" x14ac:dyDescent="0.35">
      <c r="A33" s="998"/>
      <c r="B33" s="1263"/>
      <c r="C33" s="642"/>
      <c r="D33" s="642"/>
      <c r="E33" s="642"/>
      <c r="F33" s="642"/>
      <c r="G33" s="646"/>
      <c r="H33" s="943"/>
      <c r="I33" s="630"/>
      <c r="J33" s="943"/>
      <c r="K33" s="630"/>
      <c r="L33" s="943"/>
      <c r="M33" s="630"/>
      <c r="N33" s="943"/>
      <c r="O33" s="630"/>
      <c r="P33" s="943"/>
      <c r="Q33" s="630"/>
      <c r="R33" s="943"/>
      <c r="S33" s="630"/>
      <c r="T33" s="943"/>
      <c r="U33" s="632"/>
      <c r="V33" s="943"/>
      <c r="W33" s="632"/>
      <c r="X33" s="943"/>
      <c r="Y33" s="632"/>
    </row>
    <row r="34" spans="1:25" x14ac:dyDescent="0.35">
      <c r="A34" s="998"/>
      <c r="B34" s="1192" t="s">
        <v>1309</v>
      </c>
      <c r="C34" s="642"/>
      <c r="D34" s="642"/>
      <c r="E34" s="642"/>
      <c r="F34" s="642"/>
      <c r="G34" s="646"/>
      <c r="H34" s="943" t="s">
        <v>669</v>
      </c>
      <c r="I34" s="630"/>
      <c r="J34" s="943" t="s">
        <v>669</v>
      </c>
      <c r="K34" s="630"/>
      <c r="L34" s="943" t="s">
        <v>669</v>
      </c>
      <c r="M34" s="630"/>
      <c r="N34" s="943" t="s">
        <v>669</v>
      </c>
      <c r="O34" s="630"/>
      <c r="P34" s="943" t="s">
        <v>669</v>
      </c>
      <c r="Q34" s="630"/>
      <c r="R34" s="943" t="s">
        <v>669</v>
      </c>
      <c r="S34" s="630"/>
      <c r="T34" s="943" t="s">
        <v>669</v>
      </c>
      <c r="U34" s="632"/>
      <c r="V34" s="943" t="s">
        <v>669</v>
      </c>
      <c r="W34" s="632"/>
      <c r="X34" s="943"/>
      <c r="Y34" s="632"/>
    </row>
    <row r="35" spans="1:25" x14ac:dyDescent="0.35">
      <c r="A35" s="998"/>
      <c r="B35" s="1193" t="s">
        <v>1310</v>
      </c>
      <c r="C35" s="642"/>
      <c r="D35" s="642"/>
      <c r="E35" s="642"/>
      <c r="F35" s="642"/>
      <c r="G35" s="646"/>
      <c r="H35" s="943" t="s">
        <v>669</v>
      </c>
      <c r="I35" s="630"/>
      <c r="J35" s="943" t="s">
        <v>669</v>
      </c>
      <c r="K35" s="630"/>
      <c r="L35" s="943" t="s">
        <v>669</v>
      </c>
      <c r="M35" s="630"/>
      <c r="N35" s="943" t="s">
        <v>669</v>
      </c>
      <c r="O35" s="630"/>
      <c r="P35" s="943" t="s">
        <v>669</v>
      </c>
      <c r="Q35" s="630"/>
      <c r="R35" s="943" t="s">
        <v>669</v>
      </c>
      <c r="S35" s="630"/>
      <c r="T35" s="943" t="s">
        <v>669</v>
      </c>
      <c r="U35" s="632"/>
      <c r="V35" s="943" t="s">
        <v>669</v>
      </c>
      <c r="W35" s="632"/>
      <c r="X35" s="943"/>
      <c r="Y35" s="632"/>
    </row>
    <row r="36" spans="1:25" x14ac:dyDescent="0.35">
      <c r="A36" s="998"/>
      <c r="B36" s="1193" t="s">
        <v>1311</v>
      </c>
      <c r="C36" s="642"/>
      <c r="D36" s="642"/>
      <c r="E36" s="642"/>
      <c r="F36" s="642"/>
      <c r="G36" s="646"/>
      <c r="H36" s="943" t="s">
        <v>669</v>
      </c>
      <c r="I36" s="630"/>
      <c r="J36" s="943" t="s">
        <v>669</v>
      </c>
      <c r="K36" s="630"/>
      <c r="L36" s="943" t="s">
        <v>669</v>
      </c>
      <c r="M36" s="630"/>
      <c r="N36" s="943" t="s">
        <v>669</v>
      </c>
      <c r="O36" s="630"/>
      <c r="P36" s="943" t="s">
        <v>669</v>
      </c>
      <c r="Q36" s="630"/>
      <c r="R36" s="943" t="s">
        <v>669</v>
      </c>
      <c r="S36" s="630"/>
      <c r="T36" s="943" t="s">
        <v>669</v>
      </c>
      <c r="U36" s="632"/>
      <c r="V36" s="943" t="s">
        <v>669</v>
      </c>
      <c r="W36" s="632"/>
      <c r="X36" s="943"/>
      <c r="Y36" s="632"/>
    </row>
    <row r="37" spans="1:25" x14ac:dyDescent="0.35">
      <c r="A37" s="998"/>
      <c r="B37" s="1193" t="s">
        <v>1312</v>
      </c>
      <c r="C37" s="642"/>
      <c r="D37" s="642"/>
      <c r="E37" s="642"/>
      <c r="F37" s="642"/>
      <c r="G37" s="646"/>
      <c r="H37" s="943" t="s">
        <v>671</v>
      </c>
      <c r="I37" s="630"/>
      <c r="J37" s="943" t="s">
        <v>669</v>
      </c>
      <c r="K37" s="1222">
        <v>9231.5400000000009</v>
      </c>
      <c r="L37" s="943" t="s">
        <v>669</v>
      </c>
      <c r="M37" s="1222">
        <v>9728.68</v>
      </c>
      <c r="N37" s="943" t="s">
        <v>669</v>
      </c>
      <c r="O37" s="630"/>
      <c r="P37" s="943" t="s">
        <v>669</v>
      </c>
      <c r="Q37" s="1222">
        <f>9540.88</f>
        <v>9540.8799999999992</v>
      </c>
      <c r="R37" s="1101" t="s">
        <v>654</v>
      </c>
      <c r="S37" s="1228">
        <f>$Q$37</f>
        <v>9540.8799999999992</v>
      </c>
      <c r="T37" s="1101" t="s">
        <v>654</v>
      </c>
      <c r="U37" s="1228">
        <f>$Q$37</f>
        <v>9540.8799999999992</v>
      </c>
      <c r="V37" s="1101" t="s">
        <v>654</v>
      </c>
      <c r="W37" s="1228">
        <f>$Q$37</f>
        <v>9540.8799999999992</v>
      </c>
      <c r="X37" s="943"/>
      <c r="Y37" s="632"/>
    </row>
    <row r="38" spans="1:25" x14ac:dyDescent="0.35">
      <c r="A38" s="998"/>
      <c r="B38" s="1193" t="s">
        <v>1313</v>
      </c>
      <c r="C38" s="642"/>
      <c r="D38" s="642"/>
      <c r="E38" s="642"/>
      <c r="F38" s="642"/>
      <c r="G38" s="646"/>
      <c r="H38" s="943" t="s">
        <v>669</v>
      </c>
      <c r="I38" s="630"/>
      <c r="J38" s="943" t="s">
        <v>669</v>
      </c>
      <c r="K38" s="630"/>
      <c r="L38" s="943" t="s">
        <v>669</v>
      </c>
      <c r="M38" s="630"/>
      <c r="N38" s="943" t="s">
        <v>669</v>
      </c>
      <c r="O38" s="630"/>
      <c r="P38" s="943" t="s">
        <v>669</v>
      </c>
      <c r="Q38" s="630"/>
      <c r="R38" s="943" t="s">
        <v>669</v>
      </c>
      <c r="S38" s="630"/>
      <c r="T38" s="943" t="s">
        <v>669</v>
      </c>
      <c r="U38" s="632"/>
      <c r="V38" s="943" t="s">
        <v>669</v>
      </c>
      <c r="W38" s="632"/>
      <c r="X38" s="943"/>
      <c r="Y38" s="632"/>
    </row>
    <row r="39" spans="1:25" x14ac:dyDescent="0.35">
      <c r="A39" s="998"/>
      <c r="B39" s="1193" t="s">
        <v>1314</v>
      </c>
      <c r="C39" s="642"/>
      <c r="D39" s="642"/>
      <c r="E39" s="642"/>
      <c r="F39" s="642"/>
      <c r="G39" s="646"/>
      <c r="H39" s="943" t="s">
        <v>669</v>
      </c>
      <c r="I39" s="630"/>
      <c r="J39" s="943" t="s">
        <v>669</v>
      </c>
      <c r="K39" s="630"/>
      <c r="L39" s="943" t="s">
        <v>669</v>
      </c>
      <c r="M39" s="630"/>
      <c r="N39" s="943" t="s">
        <v>669</v>
      </c>
      <c r="O39" s="630"/>
      <c r="P39" s="943" t="s">
        <v>669</v>
      </c>
      <c r="Q39" s="630"/>
      <c r="R39" s="943" t="s">
        <v>669</v>
      </c>
      <c r="S39" s="630"/>
      <c r="T39" s="943" t="s">
        <v>669</v>
      </c>
      <c r="U39" s="632"/>
      <c r="V39" s="943" t="s">
        <v>669</v>
      </c>
      <c r="W39" s="632"/>
      <c r="X39" s="943"/>
      <c r="Y39" s="632"/>
    </row>
    <row r="40" spans="1:25" x14ac:dyDescent="0.35">
      <c r="A40" s="998"/>
      <c r="B40" s="1193" t="s">
        <v>1059</v>
      </c>
      <c r="C40" s="642"/>
      <c r="D40" s="642"/>
      <c r="E40" s="642"/>
      <c r="F40" s="642"/>
      <c r="G40" s="646"/>
      <c r="H40" s="943" t="s">
        <v>669</v>
      </c>
      <c r="I40" s="630"/>
      <c r="J40" s="943" t="s">
        <v>669</v>
      </c>
      <c r="K40" s="630"/>
      <c r="L40" s="943" t="s">
        <v>669</v>
      </c>
      <c r="M40" s="630"/>
      <c r="N40" s="943" t="s">
        <v>669</v>
      </c>
      <c r="O40" s="630"/>
      <c r="P40" s="943" t="s">
        <v>669</v>
      </c>
      <c r="Q40" s="630"/>
      <c r="R40" s="943" t="s">
        <v>669</v>
      </c>
      <c r="S40" s="630"/>
      <c r="T40" s="943" t="s">
        <v>669</v>
      </c>
      <c r="U40" s="632"/>
      <c r="V40" s="943" t="s">
        <v>669</v>
      </c>
      <c r="W40" s="632"/>
      <c r="X40" s="943"/>
      <c r="Y40" s="632"/>
    </row>
    <row r="41" spans="1:25" x14ac:dyDescent="0.35">
      <c r="A41" s="998"/>
      <c r="B41" s="1193"/>
      <c r="C41" s="642"/>
      <c r="D41" s="642"/>
      <c r="E41" s="642"/>
      <c r="F41" s="642"/>
      <c r="G41" s="646"/>
      <c r="H41" s="943"/>
      <c r="I41" s="630"/>
      <c r="J41" s="943"/>
      <c r="K41" s="630"/>
      <c r="L41" s="943"/>
      <c r="M41" s="630"/>
      <c r="N41" s="943"/>
      <c r="O41" s="630"/>
      <c r="P41" s="943"/>
      <c r="Q41" s="630"/>
      <c r="R41" s="943"/>
      <c r="S41" s="630"/>
      <c r="T41" s="943"/>
      <c r="U41" s="632"/>
      <c r="V41" s="943"/>
      <c r="W41" s="632"/>
      <c r="X41" s="943"/>
      <c r="Y41" s="632"/>
    </row>
    <row r="42" spans="1:25" x14ac:dyDescent="0.35">
      <c r="A42" s="998"/>
      <c r="B42" s="1193" t="s">
        <v>1315</v>
      </c>
      <c r="C42" s="642" t="s">
        <v>1316</v>
      </c>
      <c r="D42" s="642"/>
      <c r="E42" s="642"/>
      <c r="F42" s="1012"/>
      <c r="G42" s="646"/>
      <c r="H42" s="943" t="s">
        <v>671</v>
      </c>
      <c r="I42" s="630"/>
      <c r="J42" s="943" t="s">
        <v>669</v>
      </c>
      <c r="K42" s="630"/>
      <c r="L42" s="943" t="s">
        <v>669</v>
      </c>
      <c r="M42" s="630"/>
      <c r="N42" s="943" t="s">
        <v>669</v>
      </c>
      <c r="O42" s="630"/>
      <c r="P42" s="943" t="s">
        <v>669</v>
      </c>
      <c r="Q42" s="630"/>
      <c r="R42" s="943" t="s">
        <v>669</v>
      </c>
      <c r="S42" s="630"/>
      <c r="T42" s="943" t="s">
        <v>669</v>
      </c>
      <c r="U42" s="632"/>
      <c r="V42" s="943" t="s">
        <v>671</v>
      </c>
      <c r="W42" s="632"/>
      <c r="X42" s="943"/>
      <c r="Y42" s="632"/>
    </row>
    <row r="43" spans="1:25" x14ac:dyDescent="0.35">
      <c r="A43" s="998"/>
      <c r="B43" s="1193"/>
      <c r="C43" s="642"/>
      <c r="D43" s="642"/>
      <c r="E43" s="642"/>
      <c r="F43" s="642"/>
      <c r="G43" s="646"/>
      <c r="H43" s="943"/>
      <c r="I43" s="630"/>
      <c r="J43" s="943"/>
      <c r="K43" s="630"/>
      <c r="L43" s="943"/>
      <c r="M43" s="630"/>
      <c r="N43" s="943"/>
      <c r="O43" s="630"/>
      <c r="P43" s="943"/>
      <c r="Q43" s="630"/>
      <c r="R43" s="943"/>
      <c r="S43" s="630"/>
      <c r="T43" s="943"/>
      <c r="U43" s="632"/>
      <c r="V43" s="943"/>
      <c r="W43" s="632"/>
      <c r="X43" s="943"/>
      <c r="Y43" s="632"/>
    </row>
    <row r="44" spans="1:25" x14ac:dyDescent="0.35">
      <c r="A44" s="998"/>
      <c r="B44" s="626" t="s">
        <v>1317</v>
      </c>
      <c r="C44" s="642"/>
      <c r="D44" s="672">
        <f>6111*1.1</f>
        <v>6722.1</v>
      </c>
      <c r="E44" s="642" t="s">
        <v>28</v>
      </c>
      <c r="F44" s="1012">
        <v>5</v>
      </c>
      <c r="G44" s="690">
        <f>F44*D44</f>
        <v>33610.5</v>
      </c>
      <c r="H44" s="943" t="s">
        <v>669</v>
      </c>
      <c r="I44" s="690">
        <f>20559.12</f>
        <v>20559.12</v>
      </c>
      <c r="J44" s="943" t="s">
        <v>669</v>
      </c>
      <c r="K44" s="630"/>
      <c r="L44" s="943" t="s">
        <v>669</v>
      </c>
      <c r="M44" s="630"/>
      <c r="N44" s="943" t="s">
        <v>669</v>
      </c>
      <c r="O44" s="690"/>
      <c r="P44" s="943" t="s">
        <v>669</v>
      </c>
      <c r="Q44" s="630"/>
      <c r="R44" s="943" t="s">
        <v>669</v>
      </c>
      <c r="S44" s="630"/>
      <c r="T44" s="943" t="s">
        <v>669</v>
      </c>
      <c r="U44" s="632"/>
      <c r="V44" s="943" t="s">
        <v>669</v>
      </c>
      <c r="W44" s="632"/>
      <c r="X44" s="943"/>
      <c r="Y44" s="632"/>
    </row>
    <row r="45" spans="1:25" x14ac:dyDescent="0.35">
      <c r="A45" s="998"/>
      <c r="B45" s="626" t="s">
        <v>1318</v>
      </c>
      <c r="C45" s="642"/>
      <c r="D45" s="672">
        <f>7842*1.1</f>
        <v>8626.2000000000007</v>
      </c>
      <c r="E45" s="642" t="s">
        <v>28</v>
      </c>
      <c r="F45" s="1012">
        <v>5</v>
      </c>
      <c r="G45" s="690">
        <f t="shared" ref="G45:G53" si="0">F45*D45</f>
        <v>43131</v>
      </c>
      <c r="H45" s="943" t="s">
        <v>669</v>
      </c>
      <c r="I45" s="690">
        <v>26491.4</v>
      </c>
      <c r="J45" s="943" t="s">
        <v>669</v>
      </c>
      <c r="K45" s="630"/>
      <c r="L45" s="943" t="s">
        <v>669</v>
      </c>
      <c r="M45" s="630"/>
      <c r="N45" s="943" t="s">
        <v>669</v>
      </c>
      <c r="O45" s="690"/>
      <c r="P45" s="943" t="s">
        <v>669</v>
      </c>
      <c r="Q45" s="630"/>
      <c r="R45" s="943" t="s">
        <v>669</v>
      </c>
      <c r="S45" s="630"/>
      <c r="T45" s="943" t="s">
        <v>669</v>
      </c>
      <c r="U45" s="1283"/>
      <c r="V45" s="943" t="s">
        <v>669</v>
      </c>
      <c r="W45" s="632"/>
      <c r="X45" s="943"/>
      <c r="Y45" s="632"/>
    </row>
    <row r="46" spans="1:25" x14ac:dyDescent="0.35">
      <c r="A46" s="998"/>
      <c r="B46" s="626" t="s">
        <v>1319</v>
      </c>
      <c r="C46" s="642"/>
      <c r="D46" s="672">
        <f>7842*1.1</f>
        <v>8626.2000000000007</v>
      </c>
      <c r="E46" s="642" t="s">
        <v>28</v>
      </c>
      <c r="F46" s="1012">
        <v>5</v>
      </c>
      <c r="G46" s="690">
        <f t="shared" si="0"/>
        <v>43131</v>
      </c>
      <c r="H46" s="943" t="s">
        <v>669</v>
      </c>
      <c r="I46" s="690">
        <v>26107.43</v>
      </c>
      <c r="J46" s="943" t="s">
        <v>669</v>
      </c>
      <c r="K46" s="630"/>
      <c r="L46" s="943" t="s">
        <v>669</v>
      </c>
      <c r="M46" s="630"/>
      <c r="N46" s="943" t="s">
        <v>669</v>
      </c>
      <c r="O46" s="690"/>
      <c r="P46" s="943" t="s">
        <v>669</v>
      </c>
      <c r="Q46" s="630"/>
      <c r="R46" s="943" t="s">
        <v>669</v>
      </c>
      <c r="S46" s="630"/>
      <c r="T46" s="943" t="s">
        <v>669</v>
      </c>
      <c r="U46" s="632"/>
      <c r="V46" s="943" t="s">
        <v>669</v>
      </c>
      <c r="W46" s="632"/>
      <c r="X46" s="943"/>
      <c r="Y46" s="632"/>
    </row>
    <row r="47" spans="1:25" x14ac:dyDescent="0.35">
      <c r="A47" s="998"/>
      <c r="B47" s="626" t="s">
        <v>1320</v>
      </c>
      <c r="C47" s="642"/>
      <c r="D47" s="672">
        <f>7800*1.1</f>
        <v>8580</v>
      </c>
      <c r="E47" s="642" t="s">
        <v>28</v>
      </c>
      <c r="F47" s="1012">
        <v>5</v>
      </c>
      <c r="G47" s="690">
        <f t="shared" si="0"/>
        <v>42900</v>
      </c>
      <c r="H47" s="943" t="s">
        <v>669</v>
      </c>
      <c r="I47" s="690">
        <v>27336.86</v>
      </c>
      <c r="J47" s="943" t="s">
        <v>669</v>
      </c>
      <c r="K47" s="630"/>
      <c r="L47" s="943" t="s">
        <v>669</v>
      </c>
      <c r="M47" s="630"/>
      <c r="N47" s="943" t="s">
        <v>669</v>
      </c>
      <c r="O47" s="690"/>
      <c r="P47" s="943" t="s">
        <v>669</v>
      </c>
      <c r="Q47" s="630"/>
      <c r="R47" s="943" t="s">
        <v>669</v>
      </c>
      <c r="S47" s="630"/>
      <c r="T47" s="943" t="s">
        <v>669</v>
      </c>
      <c r="U47" s="632"/>
      <c r="V47" s="943" t="s">
        <v>669</v>
      </c>
      <c r="W47" s="632"/>
      <c r="X47" s="943"/>
      <c r="Y47" s="632"/>
    </row>
    <row r="48" spans="1:25" x14ac:dyDescent="0.35">
      <c r="A48" s="998"/>
      <c r="B48" s="626" t="s">
        <v>1321</v>
      </c>
      <c r="C48" s="642"/>
      <c r="D48" s="672">
        <f>7800*1.1</f>
        <v>8580</v>
      </c>
      <c r="E48" s="642" t="s">
        <v>28</v>
      </c>
      <c r="F48" s="1012">
        <v>5</v>
      </c>
      <c r="G48" s="690">
        <f t="shared" si="0"/>
        <v>42900</v>
      </c>
      <c r="H48" s="943" t="s">
        <v>669</v>
      </c>
      <c r="I48" s="690">
        <v>19787.64</v>
      </c>
      <c r="J48" s="943" t="s">
        <v>669</v>
      </c>
      <c r="K48" s="630"/>
      <c r="L48" s="943" t="s">
        <v>669</v>
      </c>
      <c r="M48" s="630"/>
      <c r="N48" s="943" t="s">
        <v>669</v>
      </c>
      <c r="O48" s="690"/>
      <c r="P48" s="943" t="s">
        <v>669</v>
      </c>
      <c r="Q48" s="630"/>
      <c r="R48" s="943" t="s">
        <v>669</v>
      </c>
      <c r="S48" s="630"/>
      <c r="T48" s="943" t="s">
        <v>669</v>
      </c>
      <c r="U48" s="632"/>
      <c r="V48" s="943" t="s">
        <v>669</v>
      </c>
      <c r="W48" s="632"/>
      <c r="X48" s="943"/>
      <c r="Y48" s="632"/>
    </row>
    <row r="49" spans="1:25" x14ac:dyDescent="0.35">
      <c r="A49" s="998"/>
      <c r="B49" s="626" t="s">
        <v>1322</v>
      </c>
      <c r="C49" s="642"/>
      <c r="D49" s="672">
        <f>7800*1.1</f>
        <v>8580</v>
      </c>
      <c r="E49" s="642" t="s">
        <v>28</v>
      </c>
      <c r="F49" s="1012">
        <v>5</v>
      </c>
      <c r="G49" s="690">
        <f t="shared" si="0"/>
        <v>42900</v>
      </c>
      <c r="H49" s="943" t="s">
        <v>669</v>
      </c>
      <c r="I49" s="690">
        <v>27336.86</v>
      </c>
      <c r="J49" s="943" t="s">
        <v>669</v>
      </c>
      <c r="K49" s="630"/>
      <c r="L49" s="943" t="s">
        <v>669</v>
      </c>
      <c r="M49" s="630"/>
      <c r="N49" s="943" t="s">
        <v>669</v>
      </c>
      <c r="O49" s="690"/>
      <c r="P49" s="943" t="s">
        <v>669</v>
      </c>
      <c r="Q49" s="630"/>
      <c r="R49" s="943" t="s">
        <v>669</v>
      </c>
      <c r="S49" s="630"/>
      <c r="T49" s="943" t="s">
        <v>669</v>
      </c>
      <c r="U49" s="632"/>
      <c r="V49" s="943" t="s">
        <v>669</v>
      </c>
      <c r="W49" s="632"/>
      <c r="X49" s="943"/>
      <c r="Y49" s="632"/>
    </row>
    <row r="50" spans="1:25" x14ac:dyDescent="0.35">
      <c r="A50" s="998"/>
      <c r="B50" s="626"/>
      <c r="C50" s="642"/>
      <c r="D50" s="672"/>
      <c r="E50" s="642"/>
      <c r="F50" s="642"/>
      <c r="G50" s="646"/>
      <c r="H50" s="630"/>
      <c r="I50" s="690"/>
      <c r="J50" s="943"/>
      <c r="K50" s="630"/>
      <c r="L50" s="943"/>
      <c r="M50" s="630"/>
      <c r="N50" s="630"/>
      <c r="O50" s="690"/>
      <c r="P50" s="943"/>
      <c r="Q50" s="630"/>
      <c r="R50" s="943"/>
      <c r="S50" s="630"/>
      <c r="T50" s="943"/>
      <c r="U50" s="632"/>
      <c r="V50" s="943"/>
      <c r="W50" s="632"/>
      <c r="X50" s="943"/>
      <c r="Y50" s="632"/>
    </row>
    <row r="51" spans="1:25" x14ac:dyDescent="0.35">
      <c r="A51" s="998"/>
      <c r="B51" s="626" t="s">
        <v>1323</v>
      </c>
      <c r="C51" s="642"/>
      <c r="D51" s="1288">
        <f>3802*1.1</f>
        <v>4182.2000000000007</v>
      </c>
      <c r="E51" s="642" t="s">
        <v>28</v>
      </c>
      <c r="F51" s="1012">
        <v>5</v>
      </c>
      <c r="G51" s="690">
        <f t="shared" si="0"/>
        <v>20911.000000000004</v>
      </c>
      <c r="H51" s="943" t="s">
        <v>669</v>
      </c>
      <c r="I51" s="690">
        <v>12410.46</v>
      </c>
      <c r="J51" s="943" t="s">
        <v>669</v>
      </c>
      <c r="K51" s="630"/>
      <c r="L51" s="943" t="s">
        <v>669</v>
      </c>
      <c r="M51" s="630"/>
      <c r="N51" s="943" t="s">
        <v>669</v>
      </c>
      <c r="O51" s="690"/>
      <c r="P51" s="943" t="s">
        <v>669</v>
      </c>
      <c r="Q51" s="630"/>
      <c r="R51" s="943" t="s">
        <v>669</v>
      </c>
      <c r="S51" s="630"/>
      <c r="T51" s="943" t="s">
        <v>669</v>
      </c>
      <c r="U51" s="632"/>
      <c r="V51" s="943" t="s">
        <v>669</v>
      </c>
      <c r="W51" s="632"/>
      <c r="X51" s="943"/>
      <c r="Y51" s="632"/>
    </row>
    <row r="52" spans="1:25" x14ac:dyDescent="0.35">
      <c r="A52" s="998"/>
      <c r="B52" s="626" t="s">
        <v>1324</v>
      </c>
      <c r="C52" s="642"/>
      <c r="D52" s="1288">
        <f>3802*1.1</f>
        <v>4182.2000000000007</v>
      </c>
      <c r="E52" s="642" t="s">
        <v>28</v>
      </c>
      <c r="F52" s="1012">
        <v>5</v>
      </c>
      <c r="G52" s="690">
        <f t="shared" si="0"/>
        <v>20911.000000000004</v>
      </c>
      <c r="H52" s="943" t="s">
        <v>669</v>
      </c>
      <c r="I52" s="690">
        <v>11443.47</v>
      </c>
      <c r="J52" s="943" t="s">
        <v>669</v>
      </c>
      <c r="K52" s="630"/>
      <c r="L52" s="943" t="s">
        <v>669</v>
      </c>
      <c r="M52" s="630"/>
      <c r="N52" s="943" t="s">
        <v>669</v>
      </c>
      <c r="O52" s="690"/>
      <c r="P52" s="943" t="s">
        <v>669</v>
      </c>
      <c r="Q52" s="630"/>
      <c r="R52" s="943" t="s">
        <v>669</v>
      </c>
      <c r="S52" s="630"/>
      <c r="T52" s="943" t="s">
        <v>669</v>
      </c>
      <c r="U52" s="632"/>
      <c r="V52" s="943" t="s">
        <v>669</v>
      </c>
      <c r="W52" s="632"/>
      <c r="X52" s="943"/>
      <c r="Y52" s="632"/>
    </row>
    <row r="53" spans="1:25" x14ac:dyDescent="0.35">
      <c r="A53" s="998"/>
      <c r="B53" s="626" t="s">
        <v>1325</v>
      </c>
      <c r="C53" s="642"/>
      <c r="D53" s="1288">
        <f>3802*1.1</f>
        <v>4182.2000000000007</v>
      </c>
      <c r="E53" s="642" t="s">
        <v>28</v>
      </c>
      <c r="F53" s="1012">
        <v>5</v>
      </c>
      <c r="G53" s="690">
        <f t="shared" si="0"/>
        <v>20911.000000000004</v>
      </c>
      <c r="H53" s="943" t="s">
        <v>669</v>
      </c>
      <c r="I53" s="690">
        <v>11443.47</v>
      </c>
      <c r="J53" s="943" t="s">
        <v>669</v>
      </c>
      <c r="K53" s="630"/>
      <c r="L53" s="943" t="s">
        <v>669</v>
      </c>
      <c r="M53" s="630"/>
      <c r="N53" s="943" t="s">
        <v>669</v>
      </c>
      <c r="O53" s="690"/>
      <c r="P53" s="943" t="s">
        <v>669</v>
      </c>
      <c r="Q53" s="630"/>
      <c r="R53" s="943" t="s">
        <v>669</v>
      </c>
      <c r="S53" s="630"/>
      <c r="T53" s="943" t="s">
        <v>669</v>
      </c>
      <c r="U53" s="632"/>
      <c r="V53" s="943" t="s">
        <v>669</v>
      </c>
      <c r="W53" s="632"/>
      <c r="X53" s="943"/>
      <c r="Y53" s="632"/>
    </row>
    <row r="54" spans="1:25" x14ac:dyDescent="0.35">
      <c r="A54" s="998"/>
      <c r="B54" s="626"/>
      <c r="C54" s="642"/>
      <c r="D54" s="672"/>
      <c r="E54" s="642"/>
      <c r="F54" s="642"/>
      <c r="G54" s="646"/>
      <c r="H54" s="630"/>
      <c r="I54" s="690"/>
      <c r="J54" s="943"/>
      <c r="K54" s="630"/>
      <c r="L54" s="943"/>
      <c r="M54" s="630"/>
      <c r="N54" s="630"/>
      <c r="O54" s="690"/>
      <c r="P54" s="943"/>
      <c r="Q54" s="630"/>
      <c r="R54" s="943"/>
      <c r="S54" s="630"/>
      <c r="T54" s="943"/>
      <c r="U54" s="632"/>
      <c r="V54" s="943"/>
      <c r="W54" s="632"/>
      <c r="X54" s="943"/>
      <c r="Y54" s="632"/>
    </row>
    <row r="55" spans="1:25" x14ac:dyDescent="0.35">
      <c r="A55" s="998"/>
      <c r="B55" s="626" t="s">
        <v>795</v>
      </c>
      <c r="C55" s="642"/>
      <c r="D55" s="672"/>
      <c r="E55" s="642" t="s">
        <v>28</v>
      </c>
      <c r="F55" s="1012">
        <v>5</v>
      </c>
      <c r="G55" s="690">
        <f t="shared" ref="G55:G57" si="1">F55*D55</f>
        <v>0</v>
      </c>
      <c r="H55" s="943" t="s">
        <v>669</v>
      </c>
      <c r="I55" s="690">
        <v>2226.94</v>
      </c>
      <c r="J55" s="943" t="s">
        <v>669</v>
      </c>
      <c r="K55" s="630"/>
      <c r="L55" s="943" t="s">
        <v>669</v>
      </c>
      <c r="M55" s="630"/>
      <c r="N55" s="943" t="s">
        <v>669</v>
      </c>
      <c r="O55" s="690"/>
      <c r="P55" s="943" t="s">
        <v>669</v>
      </c>
      <c r="Q55" s="630"/>
      <c r="R55" s="943" t="s">
        <v>669</v>
      </c>
      <c r="S55" s="630"/>
      <c r="T55" s="943" t="s">
        <v>669</v>
      </c>
      <c r="U55" s="632"/>
      <c r="V55" s="943" t="s">
        <v>669</v>
      </c>
      <c r="W55" s="632"/>
      <c r="X55" s="943"/>
      <c r="Y55" s="632"/>
    </row>
    <row r="56" spans="1:25" x14ac:dyDescent="0.35">
      <c r="A56" s="998"/>
      <c r="B56" s="626" t="s">
        <v>796</v>
      </c>
      <c r="C56" s="642"/>
      <c r="D56" s="672">
        <f>1532*1.1</f>
        <v>1685.2</v>
      </c>
      <c r="E56" s="642" t="s">
        <v>28</v>
      </c>
      <c r="F56" s="1012">
        <v>5</v>
      </c>
      <c r="G56" s="690">
        <f t="shared" si="1"/>
        <v>8426</v>
      </c>
      <c r="H56" s="943" t="s">
        <v>669</v>
      </c>
      <c r="I56" s="690">
        <v>6820.94</v>
      </c>
      <c r="J56" s="943" t="s">
        <v>669</v>
      </c>
      <c r="K56" s="630"/>
      <c r="L56" s="943" t="s">
        <v>669</v>
      </c>
      <c r="M56" s="630"/>
      <c r="N56" s="943" t="s">
        <v>669</v>
      </c>
      <c r="O56" s="690"/>
      <c r="P56" s="943" t="s">
        <v>669</v>
      </c>
      <c r="Q56" s="630"/>
      <c r="R56" s="943" t="s">
        <v>669</v>
      </c>
      <c r="S56" s="630"/>
      <c r="T56" s="943" t="s">
        <v>669</v>
      </c>
      <c r="U56" s="632"/>
      <c r="V56" s="943" t="s">
        <v>669</v>
      </c>
      <c r="W56" s="632"/>
      <c r="X56" s="943"/>
      <c r="Y56" s="632"/>
    </row>
    <row r="57" spans="1:25" x14ac:dyDescent="0.35">
      <c r="A57" s="998"/>
      <c r="B57" s="626" t="s">
        <v>80</v>
      </c>
      <c r="C57" s="642"/>
      <c r="D57" s="672"/>
      <c r="E57" s="642" t="s">
        <v>28</v>
      </c>
      <c r="F57" s="1012">
        <v>5</v>
      </c>
      <c r="G57" s="690">
        <f t="shared" si="1"/>
        <v>0</v>
      </c>
      <c r="H57" s="943" t="s">
        <v>669</v>
      </c>
      <c r="I57" s="690">
        <v>30746.87</v>
      </c>
      <c r="J57" s="943" t="s">
        <v>669</v>
      </c>
      <c r="K57" s="630"/>
      <c r="L57" s="943" t="s">
        <v>669</v>
      </c>
      <c r="M57" s="630"/>
      <c r="N57" s="943" t="s">
        <v>669</v>
      </c>
      <c r="O57" s="690"/>
      <c r="P57" s="943" t="s">
        <v>669</v>
      </c>
      <c r="Q57" s="630"/>
      <c r="R57" s="943" t="s">
        <v>669</v>
      </c>
      <c r="S57" s="630"/>
      <c r="T57" s="943" t="s">
        <v>669</v>
      </c>
      <c r="U57" s="632"/>
      <c r="V57" s="943" t="s">
        <v>669</v>
      </c>
      <c r="W57" s="632"/>
      <c r="X57" s="943"/>
      <c r="Y57" s="632"/>
    </row>
    <row r="58" spans="1:25" x14ac:dyDescent="0.35">
      <c r="A58" s="998"/>
      <c r="B58" s="626"/>
      <c r="C58" s="642"/>
      <c r="D58" s="672"/>
      <c r="E58" s="642"/>
      <c r="F58" s="642"/>
      <c r="G58" s="690"/>
      <c r="H58" s="943"/>
      <c r="I58" s="690"/>
      <c r="J58" s="943"/>
      <c r="K58" s="630"/>
      <c r="L58" s="943"/>
      <c r="M58" s="630"/>
      <c r="N58" s="943"/>
      <c r="O58" s="690"/>
      <c r="P58" s="943"/>
      <c r="Q58" s="630"/>
      <c r="R58" s="943"/>
      <c r="S58" s="630"/>
      <c r="T58" s="943"/>
      <c r="U58" s="632"/>
      <c r="V58" s="943"/>
      <c r="W58" s="632"/>
      <c r="X58" s="943"/>
      <c r="Y58" s="632"/>
    </row>
    <row r="59" spans="1:25" x14ac:dyDescent="0.35">
      <c r="A59" s="998"/>
      <c r="B59" s="1192" t="s">
        <v>1326</v>
      </c>
      <c r="C59" s="642"/>
      <c r="D59" s="672"/>
      <c r="E59" s="642"/>
      <c r="F59" s="642"/>
      <c r="G59" s="646"/>
      <c r="H59" s="943" t="s">
        <v>669</v>
      </c>
      <c r="I59" s="1222"/>
      <c r="J59" s="943" t="s">
        <v>669</v>
      </c>
      <c r="K59" s="630"/>
      <c r="L59" s="943" t="s">
        <v>669</v>
      </c>
      <c r="M59" s="630"/>
      <c r="N59" s="943" t="s">
        <v>669</v>
      </c>
      <c r="O59" s="1222"/>
      <c r="P59" s="943" t="s">
        <v>669</v>
      </c>
      <c r="Q59" s="1222"/>
      <c r="R59" s="943" t="s">
        <v>669</v>
      </c>
      <c r="S59" s="630"/>
      <c r="T59" s="943" t="s">
        <v>669</v>
      </c>
      <c r="U59" s="632"/>
      <c r="V59" s="943" t="s">
        <v>669</v>
      </c>
      <c r="W59" s="632"/>
      <c r="X59" s="943"/>
      <c r="Y59" s="632"/>
    </row>
    <row r="60" spans="1:25" x14ac:dyDescent="0.35">
      <c r="A60" s="998"/>
      <c r="B60" s="1192" t="s">
        <v>1327</v>
      </c>
      <c r="C60" s="642"/>
      <c r="D60" s="672"/>
      <c r="E60" s="642"/>
      <c r="F60" s="642"/>
      <c r="G60" s="646"/>
      <c r="H60" s="943" t="s">
        <v>669</v>
      </c>
      <c r="I60" s="1222"/>
      <c r="J60" s="943" t="s">
        <v>669</v>
      </c>
      <c r="K60" s="630"/>
      <c r="L60" s="943" t="s">
        <v>669</v>
      </c>
      <c r="M60" s="630"/>
      <c r="N60" s="943" t="s">
        <v>669</v>
      </c>
      <c r="O60" s="1222"/>
      <c r="P60" s="943" t="s">
        <v>669</v>
      </c>
      <c r="Q60" s="1222"/>
      <c r="R60" s="943" t="s">
        <v>669</v>
      </c>
      <c r="S60" s="630"/>
      <c r="T60" s="943" t="s">
        <v>669</v>
      </c>
      <c r="U60" s="632"/>
      <c r="V60" s="943" t="s">
        <v>669</v>
      </c>
      <c r="W60" s="632"/>
      <c r="X60" s="943"/>
      <c r="Y60" s="632"/>
    </row>
    <row r="61" spans="1:25" x14ac:dyDescent="0.35">
      <c r="A61" s="998"/>
      <c r="B61" s="1192" t="s">
        <v>1328</v>
      </c>
      <c r="C61" s="642"/>
      <c r="D61" s="672"/>
      <c r="E61" s="642"/>
      <c r="F61" s="642"/>
      <c r="G61" s="646"/>
      <c r="H61" s="943" t="s">
        <v>669</v>
      </c>
      <c r="I61" s="1222"/>
      <c r="J61" s="943" t="s">
        <v>669</v>
      </c>
      <c r="K61" s="630"/>
      <c r="L61" s="943" t="s">
        <v>669</v>
      </c>
      <c r="M61" s="630"/>
      <c r="N61" s="943" t="s">
        <v>669</v>
      </c>
      <c r="O61" s="1222"/>
      <c r="P61" s="943" t="s">
        <v>669</v>
      </c>
      <c r="Q61" s="1222"/>
      <c r="R61" s="943" t="s">
        <v>669</v>
      </c>
      <c r="S61" s="630"/>
      <c r="T61" s="943" t="s">
        <v>669</v>
      </c>
      <c r="U61" s="632"/>
      <c r="V61" s="943" t="s">
        <v>669</v>
      </c>
      <c r="W61" s="632"/>
      <c r="X61" s="943"/>
      <c r="Y61" s="632"/>
    </row>
    <row r="62" spans="1:25" x14ac:dyDescent="0.35">
      <c r="A62" s="998"/>
      <c r="B62" s="1192" t="s">
        <v>80</v>
      </c>
      <c r="C62" s="642"/>
      <c r="D62" s="672"/>
      <c r="E62" s="642" t="s">
        <v>28</v>
      </c>
      <c r="F62" s="642"/>
      <c r="G62" s="646"/>
      <c r="H62" s="943" t="s">
        <v>669</v>
      </c>
      <c r="I62" s="1222"/>
      <c r="J62" s="943" t="s">
        <v>669</v>
      </c>
      <c r="K62" s="630"/>
      <c r="L62" s="943" t="s">
        <v>669</v>
      </c>
      <c r="M62" s="630"/>
      <c r="N62" s="943" t="s">
        <v>669</v>
      </c>
      <c r="O62" s="1222"/>
      <c r="P62" s="943" t="s">
        <v>669</v>
      </c>
      <c r="Q62" s="1222"/>
      <c r="R62" s="943" t="s">
        <v>669</v>
      </c>
      <c r="S62" s="630"/>
      <c r="T62" s="943" t="s">
        <v>669</v>
      </c>
      <c r="U62" s="632"/>
      <c r="V62" s="943" t="s">
        <v>669</v>
      </c>
      <c r="W62" s="632"/>
      <c r="X62" s="943"/>
      <c r="Y62" s="632"/>
    </row>
    <row r="63" spans="1:25" x14ac:dyDescent="0.35">
      <c r="A63" s="998"/>
      <c r="B63" s="1192" t="s">
        <v>1329</v>
      </c>
      <c r="C63" s="642"/>
      <c r="D63" s="672"/>
      <c r="E63" s="642" t="s">
        <v>28</v>
      </c>
      <c r="F63" s="642"/>
      <c r="G63" s="646"/>
      <c r="H63" s="943" t="s">
        <v>669</v>
      </c>
      <c r="I63" s="1222"/>
      <c r="J63" s="943" t="s">
        <v>669</v>
      </c>
      <c r="K63" s="630"/>
      <c r="L63" s="943" t="s">
        <v>669</v>
      </c>
      <c r="M63" s="630"/>
      <c r="N63" s="943" t="s">
        <v>669</v>
      </c>
      <c r="O63" s="1222"/>
      <c r="P63" s="943" t="s">
        <v>669</v>
      </c>
      <c r="Q63" s="1222"/>
      <c r="R63" s="943" t="s">
        <v>669</v>
      </c>
      <c r="S63" s="630"/>
      <c r="T63" s="943" t="s">
        <v>669</v>
      </c>
      <c r="U63" s="632"/>
      <c r="V63" s="943" t="s">
        <v>669</v>
      </c>
      <c r="W63" s="632"/>
      <c r="X63" s="943"/>
      <c r="Y63" s="632"/>
    </row>
    <row r="64" spans="1:25" x14ac:dyDescent="0.35">
      <c r="A64" s="998"/>
      <c r="B64" s="1192" t="s">
        <v>1330</v>
      </c>
      <c r="C64" s="642"/>
      <c r="D64" s="672"/>
      <c r="E64" s="642" t="s">
        <v>28</v>
      </c>
      <c r="F64" s="642"/>
      <c r="G64" s="646"/>
      <c r="H64" s="943" t="s">
        <v>669</v>
      </c>
      <c r="I64" s="1222"/>
      <c r="J64" s="943" t="s">
        <v>669</v>
      </c>
      <c r="K64" s="630"/>
      <c r="L64" s="943" t="s">
        <v>669</v>
      </c>
      <c r="M64" s="630"/>
      <c r="N64" s="943" t="s">
        <v>669</v>
      </c>
      <c r="O64" s="1222"/>
      <c r="P64" s="943" t="s">
        <v>669</v>
      </c>
      <c r="Q64" s="1222"/>
      <c r="R64" s="943" t="s">
        <v>669</v>
      </c>
      <c r="S64" s="630"/>
      <c r="T64" s="943" t="s">
        <v>669</v>
      </c>
      <c r="U64" s="632"/>
      <c r="V64" s="943" t="s">
        <v>669</v>
      </c>
      <c r="W64" s="632"/>
      <c r="X64" s="943"/>
      <c r="Y64" s="632"/>
    </row>
    <row r="65" spans="1:25" x14ac:dyDescent="0.35">
      <c r="A65" s="998"/>
      <c r="B65" s="1192" t="s">
        <v>795</v>
      </c>
      <c r="C65" s="642"/>
      <c r="D65" s="672"/>
      <c r="E65" s="642" t="s">
        <v>28</v>
      </c>
      <c r="F65" s="642"/>
      <c r="G65" s="646"/>
      <c r="H65" s="943" t="s">
        <v>669</v>
      </c>
      <c r="I65" s="1222"/>
      <c r="J65" s="943" t="s">
        <v>669</v>
      </c>
      <c r="K65" s="630"/>
      <c r="L65" s="943" t="s">
        <v>669</v>
      </c>
      <c r="M65" s="630"/>
      <c r="N65" s="943" t="s">
        <v>669</v>
      </c>
      <c r="O65" s="1222"/>
      <c r="P65" s="943" t="s">
        <v>669</v>
      </c>
      <c r="Q65" s="1222"/>
      <c r="R65" s="943" t="s">
        <v>669</v>
      </c>
      <c r="S65" s="630"/>
      <c r="T65" s="943" t="s">
        <v>669</v>
      </c>
      <c r="U65" s="630"/>
      <c r="V65" s="943" t="s">
        <v>669</v>
      </c>
      <c r="W65" s="630"/>
      <c r="X65" s="943"/>
      <c r="Y65" s="632"/>
    </row>
    <row r="66" spans="1:25" x14ac:dyDescent="0.35">
      <c r="A66" s="998"/>
      <c r="B66" s="1192" t="s">
        <v>796</v>
      </c>
      <c r="C66" s="642"/>
      <c r="D66" s="672">
        <v>1532</v>
      </c>
      <c r="E66" s="642" t="s">
        <v>28</v>
      </c>
      <c r="F66" s="1012">
        <v>5</v>
      </c>
      <c r="G66" s="690">
        <f>F66*D66</f>
        <v>7660</v>
      </c>
      <c r="H66" s="943" t="s">
        <v>669</v>
      </c>
      <c r="I66" s="1222"/>
      <c r="J66" s="943" t="s">
        <v>669</v>
      </c>
      <c r="K66" s="630"/>
      <c r="L66" s="943" t="s">
        <v>669</v>
      </c>
      <c r="M66" s="630"/>
      <c r="N66" s="943" t="s">
        <v>669</v>
      </c>
      <c r="O66" s="1222"/>
      <c r="P66" s="943" t="s">
        <v>669</v>
      </c>
      <c r="Q66" s="1222"/>
      <c r="R66" s="943" t="s">
        <v>669</v>
      </c>
      <c r="S66" s="630"/>
      <c r="T66" s="943" t="s">
        <v>669</v>
      </c>
      <c r="U66" s="630"/>
      <c r="V66" s="943" t="s">
        <v>669</v>
      </c>
      <c r="W66" s="630"/>
      <c r="X66" s="943"/>
      <c r="Y66" s="632"/>
    </row>
    <row r="67" spans="1:25" x14ac:dyDescent="0.35">
      <c r="A67" s="14"/>
      <c r="B67" s="15"/>
      <c r="C67" s="16"/>
      <c r="D67" s="16"/>
      <c r="E67" s="17"/>
      <c r="F67" s="18" t="s">
        <v>715</v>
      </c>
      <c r="G67" s="19"/>
      <c r="H67" s="20"/>
      <c r="I67" s="50">
        <f>SUM(I23:I66)</f>
        <v>222711.46</v>
      </c>
      <c r="J67" s="20"/>
      <c r="K67" s="50">
        <f>SUM(K23:K66)</f>
        <v>234596.89</v>
      </c>
      <c r="L67" s="20"/>
      <c r="M67" s="50">
        <f>SUM(M23:M66)</f>
        <v>252757.98</v>
      </c>
      <c r="N67" s="20"/>
      <c r="O67" s="50">
        <f>SUM(O23:O66)</f>
        <v>260015.93</v>
      </c>
      <c r="P67" s="20"/>
      <c r="Q67" s="50">
        <f>SUM(Q23:Q66)</f>
        <v>287972.58</v>
      </c>
      <c r="R67" s="20"/>
      <c r="S67" s="50">
        <f>SUM(S23:S66)</f>
        <v>323184.68</v>
      </c>
      <c r="T67" s="20"/>
      <c r="U67" s="50">
        <f>SUM(U23:U65)</f>
        <v>325725.08</v>
      </c>
      <c r="V67" s="20"/>
      <c r="W67" s="50">
        <f>SUM(W22:W65)</f>
        <v>568720.88</v>
      </c>
      <c r="X67" s="20"/>
      <c r="Y67" s="50">
        <f>SUM(Y23:Y65)</f>
        <v>0</v>
      </c>
    </row>
    <row r="68" spans="1:25" x14ac:dyDescent="0.35">
      <c r="A68" s="684"/>
      <c r="B68" s="655"/>
      <c r="C68" s="656"/>
      <c r="D68" s="656"/>
      <c r="E68" s="657"/>
      <c r="F68" s="658" t="s">
        <v>716</v>
      </c>
      <c r="G68" s="659"/>
      <c r="H68" s="959">
        <v>0</v>
      </c>
      <c r="I68" s="1121"/>
      <c r="J68" s="959">
        <v>0</v>
      </c>
      <c r="K68" s="1121"/>
      <c r="L68" s="959">
        <v>0</v>
      </c>
      <c r="M68" s="1121"/>
      <c r="N68" s="959">
        <v>0</v>
      </c>
      <c r="O68" s="1121"/>
      <c r="P68" s="959">
        <v>0</v>
      </c>
      <c r="Q68" s="1121"/>
      <c r="R68" s="959">
        <v>0</v>
      </c>
      <c r="S68" s="1121"/>
      <c r="T68" s="959">
        <v>0</v>
      </c>
      <c r="U68" s="1121"/>
      <c r="V68" s="959">
        <v>0</v>
      </c>
      <c r="W68" s="1121"/>
      <c r="X68" s="959">
        <v>0</v>
      </c>
      <c r="Y68" s="1121"/>
    </row>
    <row r="69" spans="1:25" x14ac:dyDescent="0.35">
      <c r="A69" s="684"/>
      <c r="B69" s="655"/>
      <c r="C69" s="656"/>
      <c r="D69" s="656"/>
      <c r="E69" s="657"/>
      <c r="F69" s="658" t="s">
        <v>717</v>
      </c>
      <c r="G69" s="659"/>
      <c r="H69" s="961"/>
      <c r="I69" s="1122">
        <f>H68*$Q$67</f>
        <v>0</v>
      </c>
      <c r="J69" s="961"/>
      <c r="K69" s="1122">
        <f>J68*$Q$67</f>
        <v>0</v>
      </c>
      <c r="L69" s="961"/>
      <c r="M69" s="1122">
        <f>L68*$Q$67</f>
        <v>0</v>
      </c>
      <c r="N69" s="961"/>
      <c r="O69" s="1122">
        <f>N68*$Q$67</f>
        <v>0</v>
      </c>
      <c r="P69" s="961"/>
      <c r="Q69" s="1122">
        <f>P68*$Q$67</f>
        <v>0</v>
      </c>
      <c r="R69" s="961"/>
      <c r="S69" s="1122">
        <f>R68*$Q$67</f>
        <v>0</v>
      </c>
      <c r="T69" s="961"/>
      <c r="U69" s="1122">
        <f>T68*$U$67</f>
        <v>0</v>
      </c>
      <c r="V69" s="961"/>
      <c r="W69" s="1122">
        <f>V68*$W$67</f>
        <v>0</v>
      </c>
      <c r="X69" s="961"/>
      <c r="Y69" s="1122">
        <f>X68*Y67</f>
        <v>0</v>
      </c>
    </row>
    <row r="70" spans="1:25" x14ac:dyDescent="0.35">
      <c r="A70" s="684"/>
      <c r="B70" s="655"/>
      <c r="C70" s="656"/>
      <c r="D70" s="656"/>
      <c r="E70" s="657"/>
      <c r="F70" s="658"/>
      <c r="G70" s="659"/>
      <c r="H70" s="961"/>
      <c r="I70" s="963"/>
      <c r="J70" s="961"/>
      <c r="K70" s="963"/>
      <c r="L70" s="961"/>
      <c r="M70" s="963"/>
      <c r="N70" s="961"/>
      <c r="O70" s="963"/>
      <c r="P70" s="961"/>
      <c r="Q70" s="963"/>
      <c r="R70" s="961"/>
      <c r="S70" s="963"/>
      <c r="T70" s="961"/>
      <c r="U70" s="963"/>
      <c r="V70" s="961"/>
      <c r="W70" s="963"/>
      <c r="X70" s="961"/>
      <c r="Y70" s="963"/>
    </row>
    <row r="71" spans="1:25" x14ac:dyDescent="0.35">
      <c r="A71" s="684"/>
      <c r="B71" s="655"/>
      <c r="C71" s="656"/>
      <c r="D71" s="656"/>
      <c r="E71" s="657"/>
      <c r="F71" s="658" t="s">
        <v>718</v>
      </c>
      <c r="G71" s="659"/>
      <c r="H71" s="964"/>
      <c r="I71" s="962">
        <f>SUM(I67:I69)</f>
        <v>222711.46</v>
      </c>
      <c r="J71" s="964"/>
      <c r="K71" s="962">
        <f>SUM(K67:K69)</f>
        <v>234596.89</v>
      </c>
      <c r="L71" s="964"/>
      <c r="M71" s="962">
        <f>SUM(M67:M69)</f>
        <v>252757.98</v>
      </c>
      <c r="N71" s="964"/>
      <c r="O71" s="962">
        <f>SUM(O67:O69)</f>
        <v>260015.93</v>
      </c>
      <c r="P71" s="964"/>
      <c r="Q71" s="962">
        <f>SUM(Q67:Q69)</f>
        <v>287972.58</v>
      </c>
      <c r="R71" s="964"/>
      <c r="S71" s="962">
        <f>SUM(S67:S69)</f>
        <v>323184.68</v>
      </c>
      <c r="T71" s="964"/>
      <c r="U71" s="962">
        <f>SUM(U67:U69)</f>
        <v>325725.08</v>
      </c>
      <c r="V71" s="964"/>
      <c r="W71" s="962">
        <f>SUM(W67:W69)</f>
        <v>568720.88</v>
      </c>
      <c r="X71" s="964"/>
      <c r="Y71" s="962">
        <f>SUM(Y67:Y69)</f>
        <v>0</v>
      </c>
    </row>
    <row r="72" spans="1:25" x14ac:dyDescent="0.35">
      <c r="A72" s="684"/>
      <c r="B72" s="655"/>
      <c r="C72" s="656"/>
      <c r="D72" s="656"/>
      <c r="E72" s="657"/>
      <c r="F72" s="660" t="s">
        <v>719</v>
      </c>
      <c r="G72" s="661"/>
      <c r="H72" s="965"/>
      <c r="I72" s="966" t="e">
        <f>I71/#REF!</f>
        <v>#REF!</v>
      </c>
      <c r="J72" s="965"/>
      <c r="K72" s="966" t="e">
        <f>K71/#REF!</f>
        <v>#REF!</v>
      </c>
      <c r="L72" s="965"/>
      <c r="M72" s="966" t="e">
        <f>M71/#REF!</f>
        <v>#REF!</v>
      </c>
      <c r="N72" s="965"/>
      <c r="O72" s="966" t="e">
        <f>O71/#REF!</f>
        <v>#REF!</v>
      </c>
      <c r="P72" s="965"/>
      <c r="Q72" s="966" t="e">
        <f>Q71/#REF!</f>
        <v>#REF!</v>
      </c>
      <c r="R72" s="965"/>
      <c r="S72" s="966" t="e">
        <f>S71/#REF!</f>
        <v>#REF!</v>
      </c>
      <c r="T72" s="965"/>
      <c r="U72" s="966" t="e">
        <f>U71/#REF!</f>
        <v>#REF!</v>
      </c>
      <c r="V72" s="965"/>
      <c r="W72" s="966" t="e">
        <f>W71/#REF!</f>
        <v>#REF!</v>
      </c>
      <c r="X72" s="965"/>
      <c r="Y72" s="966" t="e">
        <f>Y71/#REF!</f>
        <v>#REF!</v>
      </c>
    </row>
    <row r="73" spans="1:25" x14ac:dyDescent="0.35">
      <c r="A73" s="684"/>
      <c r="B73" s="655"/>
      <c r="C73" s="656"/>
      <c r="D73" s="656"/>
      <c r="E73" s="657"/>
      <c r="F73" s="660" t="s">
        <v>720</v>
      </c>
      <c r="G73" s="662"/>
      <c r="H73" s="965"/>
      <c r="I73" s="966" t="e">
        <f>I71/#REF!</f>
        <v>#REF!</v>
      </c>
      <c r="J73" s="965"/>
      <c r="K73" s="966" t="e">
        <f>K71/#REF!</f>
        <v>#REF!</v>
      </c>
      <c r="L73" s="965"/>
      <c r="M73" s="966" t="e">
        <f>M71/#REF!</f>
        <v>#REF!</v>
      </c>
      <c r="N73" s="965"/>
      <c r="O73" s="966" t="e">
        <f>O71/#REF!</f>
        <v>#REF!</v>
      </c>
      <c r="P73" s="965"/>
      <c r="Q73" s="966" t="e">
        <f>Q71/#REF!</f>
        <v>#REF!</v>
      </c>
      <c r="R73" s="965"/>
      <c r="S73" s="966" t="e">
        <f>S71/#REF!</f>
        <v>#REF!</v>
      </c>
      <c r="T73" s="965"/>
      <c r="U73" s="966" t="e">
        <f>U71/#REF!</f>
        <v>#REF!</v>
      </c>
      <c r="V73" s="965"/>
      <c r="W73" s="966" t="e">
        <f>W71/#REF!</f>
        <v>#REF!</v>
      </c>
      <c r="X73" s="965"/>
      <c r="Y73" s="966" t="e">
        <f>Y71/#REF!</f>
        <v>#REF!</v>
      </c>
    </row>
    <row r="74" spans="1:25" x14ac:dyDescent="0.35">
      <c r="A74" s="684"/>
      <c r="B74" s="655"/>
      <c r="C74" s="656"/>
      <c r="D74" s="656"/>
      <c r="E74" s="657"/>
      <c r="F74" s="658"/>
      <c r="G74" s="663"/>
      <c r="H74" s="1168"/>
      <c r="I74" s="1169"/>
      <c r="J74" s="1168"/>
      <c r="K74" s="1169"/>
      <c r="L74" s="1168"/>
      <c r="M74" s="1169"/>
      <c r="N74" s="1168"/>
      <c r="O74" s="1169"/>
      <c r="P74" s="1168"/>
      <c r="Q74" s="1169"/>
      <c r="R74" s="1168"/>
      <c r="S74" s="1169"/>
      <c r="T74" s="967"/>
      <c r="U74" s="967"/>
      <c r="V74" s="967"/>
      <c r="W74" s="967"/>
      <c r="X74" s="967"/>
      <c r="Y74" s="967"/>
    </row>
    <row r="75" spans="1:25" x14ac:dyDescent="0.35">
      <c r="A75" s="3764" t="s">
        <v>721</v>
      </c>
      <c r="B75" s="3765"/>
      <c r="C75" s="12"/>
      <c r="D75" s="12"/>
      <c r="E75" s="12"/>
      <c r="F75" s="12"/>
      <c r="G75" s="13"/>
      <c r="H75" s="21"/>
      <c r="I75" s="21"/>
      <c r="J75" s="21"/>
      <c r="K75" s="21"/>
      <c r="L75" s="21"/>
      <c r="M75" s="21"/>
      <c r="N75" s="21"/>
      <c r="O75" s="21"/>
      <c r="P75" s="21"/>
      <c r="Q75" s="21"/>
      <c r="R75" s="21"/>
      <c r="S75" s="21"/>
      <c r="T75" s="21"/>
      <c r="U75" s="21"/>
      <c r="V75" s="21"/>
      <c r="W75" s="21"/>
      <c r="X75" s="21"/>
      <c r="Y75" s="21"/>
    </row>
    <row r="76" spans="1:25" x14ac:dyDescent="0.35">
      <c r="A76" s="968"/>
      <c r="B76" s="641" t="s">
        <v>1331</v>
      </c>
      <c r="C76" s="707"/>
      <c r="D76" s="707"/>
      <c r="E76" s="707"/>
      <c r="F76" s="707"/>
      <c r="G76" s="1195"/>
      <c r="H76" s="972"/>
      <c r="I76" s="972"/>
      <c r="J76" s="972"/>
      <c r="K76" s="972"/>
      <c r="L76" s="972"/>
      <c r="M76" s="972"/>
      <c r="N76" s="972"/>
      <c r="O76" s="972"/>
      <c r="P76" s="972"/>
      <c r="Q76" s="972"/>
      <c r="R76" s="972"/>
      <c r="S76" s="972"/>
      <c r="T76" s="972"/>
      <c r="U76" s="972"/>
      <c r="V76" s="972"/>
      <c r="W76" s="972"/>
      <c r="X76" s="972"/>
      <c r="Y76" s="972"/>
    </row>
    <row r="77" spans="1:25" x14ac:dyDescent="0.35">
      <c r="A77" s="968"/>
      <c r="B77" s="641"/>
      <c r="C77" s="707"/>
      <c r="D77" s="707"/>
      <c r="E77" s="707"/>
      <c r="F77" s="707"/>
      <c r="G77" s="1195"/>
      <c r="H77" s="972"/>
      <c r="I77" s="972"/>
      <c r="J77" s="972"/>
      <c r="K77" s="972"/>
      <c r="L77" s="972"/>
      <c r="M77" s="972"/>
      <c r="N77" s="972"/>
      <c r="O77" s="972"/>
      <c r="P77" s="972"/>
      <c r="Q77" s="972"/>
      <c r="R77" s="972"/>
      <c r="S77" s="972"/>
      <c r="T77" s="972"/>
      <c r="U77" s="972"/>
      <c r="V77" s="972"/>
      <c r="W77" s="972"/>
      <c r="X77" s="972"/>
      <c r="Y77" s="972"/>
    </row>
    <row r="78" spans="1:25" x14ac:dyDescent="0.35">
      <c r="A78" s="968"/>
      <c r="B78" s="641"/>
      <c r="C78" s="707"/>
      <c r="D78" s="707"/>
      <c r="E78" s="707"/>
      <c r="F78" s="707"/>
      <c r="G78" s="1195"/>
      <c r="H78" s="972"/>
      <c r="I78" s="972"/>
      <c r="J78" s="972"/>
      <c r="K78" s="972"/>
      <c r="L78" s="972"/>
      <c r="M78" s="972"/>
      <c r="N78" s="972"/>
      <c r="O78" s="972"/>
      <c r="P78" s="972"/>
      <c r="Q78" s="972"/>
      <c r="R78" s="972"/>
      <c r="S78" s="972"/>
      <c r="T78" s="972"/>
      <c r="U78" s="972"/>
      <c r="V78" s="972"/>
      <c r="W78" s="972"/>
      <c r="X78" s="972"/>
      <c r="Y78" s="972"/>
    </row>
    <row r="79" spans="1:25" s="2" customFormat="1" x14ac:dyDescent="0.35">
      <c r="A79" s="3764" t="s">
        <v>722</v>
      </c>
      <c r="B79" s="3765"/>
      <c r="C79" s="12"/>
      <c r="D79" s="12"/>
      <c r="E79" s="12"/>
      <c r="F79" s="12"/>
      <c r="G79" s="13"/>
      <c r="H79" s="21"/>
      <c r="I79" s="21"/>
      <c r="J79" s="21"/>
      <c r="K79" s="21"/>
      <c r="L79" s="21"/>
      <c r="M79" s="21"/>
      <c r="N79" s="21"/>
      <c r="O79" s="21"/>
      <c r="P79" s="21"/>
      <c r="Q79" s="21"/>
      <c r="R79" s="21"/>
      <c r="S79" s="21"/>
      <c r="T79" s="21"/>
      <c r="U79" s="21"/>
      <c r="V79" s="21"/>
      <c r="W79" s="21"/>
      <c r="X79" s="21"/>
      <c r="Y79" s="21"/>
    </row>
    <row r="80" spans="1:25" s="2" customFormat="1" x14ac:dyDescent="0.35">
      <c r="A80" s="968"/>
      <c r="B80" s="641"/>
      <c r="C80" s="707"/>
      <c r="D80" s="707"/>
      <c r="E80" s="707"/>
      <c r="F80" s="707"/>
      <c r="G80" s="1195"/>
      <c r="H80" s="972"/>
      <c r="I80" s="972"/>
      <c r="J80" s="972"/>
      <c r="K80" s="972"/>
      <c r="L80" s="972"/>
      <c r="M80" s="972"/>
      <c r="N80" s="972"/>
      <c r="O80" s="972"/>
      <c r="P80" s="972"/>
      <c r="Q80" s="972"/>
      <c r="R80" s="972"/>
      <c r="S80" s="972"/>
      <c r="T80" s="972"/>
      <c r="U80" s="972"/>
      <c r="V80" s="972"/>
      <c r="W80" s="972"/>
      <c r="X80" s="972"/>
      <c r="Y80" s="972"/>
    </row>
    <row r="81" spans="1:25" s="2" customFormat="1" x14ac:dyDescent="0.35">
      <c r="A81" s="968"/>
      <c r="B81" s="641"/>
      <c r="C81" s="707"/>
      <c r="D81" s="707"/>
      <c r="E81" s="707"/>
      <c r="F81" s="707"/>
      <c r="G81" s="1195"/>
      <c r="H81" s="972"/>
      <c r="I81" s="972"/>
      <c r="J81" s="972"/>
      <c r="K81" s="972"/>
      <c r="L81" s="972"/>
      <c r="M81" s="972"/>
      <c r="N81" s="972"/>
      <c r="O81" s="972"/>
      <c r="P81" s="972"/>
      <c r="Q81" s="972"/>
      <c r="R81" s="972"/>
      <c r="S81" s="972"/>
      <c r="T81" s="972"/>
      <c r="U81" s="972"/>
      <c r="V81" s="972"/>
      <c r="W81" s="972"/>
      <c r="X81" s="972"/>
      <c r="Y81" s="972"/>
    </row>
    <row r="82" spans="1:25" x14ac:dyDescent="0.35">
      <c r="A82" s="968"/>
      <c r="B82" s="641"/>
      <c r="C82" s="707"/>
      <c r="D82" s="707"/>
      <c r="E82" s="707"/>
      <c r="F82" s="707"/>
      <c r="G82" s="1195"/>
      <c r="H82" s="972"/>
      <c r="I82" s="972"/>
      <c r="J82" s="972"/>
      <c r="K82" s="972"/>
      <c r="L82" s="972"/>
      <c r="M82" s="972"/>
      <c r="N82" s="972"/>
      <c r="O82" s="972"/>
      <c r="P82" s="972"/>
      <c r="Q82" s="972"/>
      <c r="R82" s="972"/>
      <c r="S82" s="972"/>
      <c r="T82" s="972"/>
      <c r="U82" s="972"/>
      <c r="V82" s="972"/>
      <c r="W82" s="972"/>
      <c r="X82" s="972"/>
      <c r="Y82" s="972"/>
    </row>
    <row r="83" spans="1:25" s="2" customFormat="1" x14ac:dyDescent="0.35">
      <c r="A83" s="3764" t="s">
        <v>723</v>
      </c>
      <c r="B83" s="3765"/>
      <c r="C83" s="12"/>
      <c r="D83" s="12"/>
      <c r="E83" s="12"/>
      <c r="F83" s="12"/>
      <c r="G83" s="13"/>
      <c r="H83" s="21"/>
      <c r="I83" s="21"/>
      <c r="J83" s="21"/>
      <c r="K83" s="21"/>
      <c r="L83" s="21"/>
      <c r="M83" s="21"/>
      <c r="N83" s="21"/>
      <c r="O83" s="21"/>
      <c r="P83" s="21"/>
      <c r="Q83" s="21"/>
      <c r="R83" s="21"/>
      <c r="S83" s="21"/>
      <c r="T83" s="21"/>
      <c r="U83" s="21"/>
      <c r="V83" s="21"/>
      <c r="W83" s="21"/>
      <c r="X83" s="21"/>
      <c r="Y83" s="21"/>
    </row>
    <row r="84" spans="1:25" s="2" customFormat="1" x14ac:dyDescent="0.35">
      <c r="A84" s="968"/>
      <c r="B84" s="641"/>
      <c r="C84" s="707"/>
      <c r="D84" s="707"/>
      <c r="E84" s="707"/>
      <c r="F84" s="707"/>
      <c r="G84" s="1195"/>
      <c r="H84" s="972"/>
      <c r="I84" s="972"/>
      <c r="J84" s="972"/>
      <c r="K84" s="972"/>
      <c r="L84" s="972"/>
      <c r="M84" s="972"/>
      <c r="N84" s="972"/>
      <c r="O84" s="972"/>
      <c r="P84" s="972"/>
      <c r="Q84" s="972"/>
      <c r="R84" s="972"/>
      <c r="S84" s="972"/>
      <c r="T84" s="972"/>
      <c r="U84" s="972"/>
      <c r="V84" s="972"/>
      <c r="W84" s="972"/>
      <c r="X84" s="972"/>
      <c r="Y84" s="972"/>
    </row>
    <row r="85" spans="1:25" s="2" customFormat="1" x14ac:dyDescent="0.35">
      <c r="A85" s="689"/>
      <c r="B85" s="641"/>
      <c r="C85" s="642"/>
      <c r="D85" s="642"/>
      <c r="E85" s="642"/>
      <c r="F85" s="642"/>
      <c r="G85" s="646"/>
      <c r="H85" s="973"/>
      <c r="I85" s="973"/>
      <c r="J85" s="973"/>
      <c r="K85" s="973"/>
      <c r="L85" s="973"/>
      <c r="M85" s="973"/>
      <c r="N85" s="973"/>
      <c r="O85" s="973"/>
      <c r="P85" s="973"/>
      <c r="Q85" s="973"/>
      <c r="R85" s="973"/>
      <c r="S85" s="973"/>
      <c r="T85" s="973"/>
      <c r="U85" s="973"/>
      <c r="V85" s="973"/>
      <c r="W85" s="973"/>
      <c r="X85" s="973"/>
      <c r="Y85" s="973"/>
    </row>
    <row r="86" spans="1:25" s="2" customFormat="1" x14ac:dyDescent="0.35">
      <c r="A86" s="686"/>
      <c r="B86" s="665"/>
      <c r="C86" s="642"/>
      <c r="D86" s="642"/>
      <c r="E86" s="642"/>
      <c r="F86" s="642"/>
      <c r="G86" s="646"/>
      <c r="H86" s="974"/>
      <c r="I86" s="974"/>
      <c r="J86" s="974"/>
      <c r="K86" s="974"/>
      <c r="L86" s="974"/>
      <c r="M86" s="974"/>
      <c r="N86" s="974"/>
      <c r="O86" s="974"/>
      <c r="P86" s="974"/>
      <c r="Q86" s="974"/>
      <c r="R86" s="974"/>
      <c r="S86" s="974"/>
      <c r="T86" s="974"/>
      <c r="U86" s="974"/>
      <c r="V86" s="974"/>
      <c r="W86" s="974"/>
      <c r="X86" s="974"/>
      <c r="Y86" s="974"/>
    </row>
    <row r="87" spans="1:25" s="2" customFormat="1" x14ac:dyDescent="0.35">
      <c r="A87" s="3764" t="s">
        <v>724</v>
      </c>
      <c r="B87" s="3765"/>
      <c r="C87" s="12"/>
      <c r="D87" s="12"/>
      <c r="E87" s="12"/>
      <c r="F87" s="12"/>
      <c r="G87" s="13"/>
      <c r="H87" s="21"/>
      <c r="I87" s="21"/>
      <c r="J87" s="21"/>
      <c r="K87" s="21"/>
      <c r="L87" s="21"/>
      <c r="M87" s="21"/>
      <c r="N87" s="21"/>
      <c r="O87" s="21"/>
      <c r="P87" s="21"/>
      <c r="Q87" s="21"/>
      <c r="R87" s="21"/>
      <c r="S87" s="21"/>
      <c r="T87" s="21"/>
      <c r="U87" s="21"/>
      <c r="V87" s="21"/>
      <c r="W87" s="21"/>
      <c r="X87" s="21"/>
      <c r="Y87" s="21"/>
    </row>
    <row r="88" spans="1:25" x14ac:dyDescent="0.35">
      <c r="A88" s="975"/>
      <c r="B88" s="708" t="s">
        <v>1332</v>
      </c>
      <c r="C88" s="707"/>
      <c r="D88" s="707"/>
      <c r="E88" s="707"/>
      <c r="F88" s="707"/>
      <c r="G88" s="1195"/>
      <c r="H88" s="972"/>
      <c r="I88" s="972"/>
      <c r="J88" s="943" t="s">
        <v>669</v>
      </c>
      <c r="K88" s="972">
        <v>-9728.68</v>
      </c>
      <c r="L88" s="943" t="s">
        <v>669</v>
      </c>
      <c r="M88" s="972">
        <f>-3659-806-4549-217.54</f>
        <v>-9231.5400000000009</v>
      </c>
      <c r="N88" s="943" t="s">
        <v>669</v>
      </c>
      <c r="O88" s="972">
        <f>-12069.5</f>
        <v>-12069.5</v>
      </c>
      <c r="P88" s="943" t="s">
        <v>669</v>
      </c>
      <c r="Q88" s="972">
        <f>258972.75-278432.7</f>
        <v>-19459.950000000012</v>
      </c>
      <c r="R88" s="972"/>
      <c r="S88" s="972"/>
      <c r="T88" s="943" t="s">
        <v>669</v>
      </c>
      <c r="U88" s="972">
        <f>-33753.02</f>
        <v>-33753.019999999997</v>
      </c>
      <c r="V88" s="972"/>
      <c r="W88" s="972"/>
      <c r="X88" s="972"/>
      <c r="Y88" s="972"/>
    </row>
    <row r="89" spans="1:25" x14ac:dyDescent="0.35">
      <c r="A89" s="686"/>
      <c r="B89" s="665" t="s">
        <v>1333</v>
      </c>
      <c r="C89" s="642"/>
      <c r="D89" s="642"/>
      <c r="E89" s="642"/>
      <c r="F89" s="642"/>
      <c r="G89" s="646"/>
      <c r="H89" s="977"/>
      <c r="I89" s="977"/>
      <c r="J89" s="943" t="s">
        <v>669</v>
      </c>
      <c r="K89" s="977">
        <v>-4549</v>
      </c>
      <c r="L89" s="943" t="s">
        <v>669</v>
      </c>
      <c r="M89" s="977">
        <v>-4549</v>
      </c>
      <c r="N89" s="977"/>
      <c r="O89" s="977"/>
      <c r="P89" s="977"/>
      <c r="Q89" s="977"/>
      <c r="R89" s="977"/>
      <c r="S89" s="977"/>
      <c r="T89" s="977"/>
      <c r="U89" s="977"/>
      <c r="V89" s="977"/>
      <c r="W89" s="977"/>
      <c r="X89" s="977"/>
      <c r="Y89" s="977"/>
    </row>
    <row r="90" spans="1:25" x14ac:dyDescent="0.35">
      <c r="A90" s="686"/>
      <c r="B90" s="665"/>
      <c r="C90" s="642"/>
      <c r="D90" s="642"/>
      <c r="E90" s="642"/>
      <c r="F90" s="642"/>
      <c r="G90" s="646"/>
      <c r="H90" s="977"/>
      <c r="I90" s="977"/>
      <c r="J90" s="977"/>
      <c r="K90" s="977"/>
      <c r="L90" s="977"/>
      <c r="M90" s="977"/>
      <c r="N90" s="977"/>
      <c r="O90" s="977"/>
      <c r="P90" s="977"/>
      <c r="Q90" s="977"/>
      <c r="R90" s="977"/>
      <c r="S90" s="977"/>
      <c r="T90" s="977"/>
      <c r="U90" s="977"/>
      <c r="V90" s="977"/>
      <c r="W90" s="977"/>
      <c r="X90" s="977"/>
      <c r="Y90" s="977"/>
    </row>
    <row r="91" spans="1:25" x14ac:dyDescent="0.35">
      <c r="A91" s="3764" t="s">
        <v>725</v>
      </c>
      <c r="B91" s="3765"/>
      <c r="C91" s="12"/>
      <c r="D91" s="12"/>
      <c r="E91" s="12"/>
      <c r="F91" s="12"/>
      <c r="G91" s="13"/>
      <c r="H91" s="21"/>
      <c r="I91" s="21"/>
      <c r="J91" s="21"/>
      <c r="K91" s="21"/>
      <c r="L91" s="21"/>
      <c r="M91" s="21"/>
      <c r="N91" s="21"/>
      <c r="O91" s="21"/>
      <c r="P91" s="21"/>
      <c r="Q91" s="21"/>
      <c r="R91" s="21"/>
      <c r="S91" s="21"/>
      <c r="T91" s="21"/>
      <c r="U91" s="21"/>
      <c r="V91" s="21"/>
      <c r="W91" s="21"/>
      <c r="X91" s="21"/>
      <c r="Y91" s="21"/>
    </row>
    <row r="92" spans="1:25" x14ac:dyDescent="0.35">
      <c r="A92" s="689"/>
      <c r="B92" s="641" t="s">
        <v>726</v>
      </c>
      <c r="C92" s="642"/>
      <c r="D92" s="642"/>
      <c r="E92" s="642"/>
      <c r="F92" s="642"/>
      <c r="G92" s="646"/>
      <c r="H92" s="977"/>
      <c r="I92" s="977"/>
      <c r="J92" s="977"/>
      <c r="K92" s="977"/>
      <c r="L92" s="977"/>
      <c r="M92" s="977"/>
      <c r="N92" s="977"/>
      <c r="O92" s="977"/>
      <c r="P92" s="977"/>
      <c r="Q92" s="977"/>
      <c r="R92" s="977"/>
      <c r="S92" s="977"/>
      <c r="T92" s="977"/>
      <c r="U92" s="977"/>
      <c r="V92" s="977"/>
      <c r="W92" s="977"/>
      <c r="X92" s="977"/>
      <c r="Y92" s="977"/>
    </row>
    <row r="93" spans="1:25" x14ac:dyDescent="0.35">
      <c r="A93" s="689"/>
      <c r="B93" s="641" t="s">
        <v>727</v>
      </c>
      <c r="C93" s="642"/>
      <c r="D93" s="642"/>
      <c r="E93" s="642"/>
      <c r="F93" s="642"/>
      <c r="G93" s="646"/>
      <c r="H93" s="977"/>
      <c r="I93" s="977"/>
      <c r="J93" s="977"/>
      <c r="K93" s="977"/>
      <c r="L93" s="977"/>
      <c r="M93" s="977"/>
      <c r="N93" s="977"/>
      <c r="O93" s="977"/>
      <c r="P93" s="977"/>
      <c r="Q93" s="977"/>
      <c r="R93" s="977"/>
      <c r="S93" s="977"/>
      <c r="T93" s="977"/>
      <c r="U93" s="977"/>
      <c r="V93" s="977"/>
      <c r="W93" s="977"/>
      <c r="X93" s="977"/>
      <c r="Y93" s="977"/>
    </row>
    <row r="94" spans="1:25" x14ac:dyDescent="0.35">
      <c r="A94" s="689"/>
      <c r="B94" s="641" t="s">
        <v>728</v>
      </c>
      <c r="C94" s="642"/>
      <c r="D94" s="642"/>
      <c r="E94" s="642"/>
      <c r="F94" s="642"/>
      <c r="G94" s="646"/>
      <c r="H94" s="977"/>
      <c r="I94" s="977"/>
      <c r="J94" s="977"/>
      <c r="K94" s="977"/>
      <c r="L94" s="977"/>
      <c r="M94" s="977"/>
      <c r="N94" s="977"/>
      <c r="O94" s="977"/>
      <c r="P94" s="977"/>
      <c r="Q94" s="977"/>
      <c r="R94" s="977"/>
      <c r="S94" s="977"/>
      <c r="T94" s="977"/>
      <c r="U94" s="977"/>
      <c r="V94" s="977"/>
      <c r="W94" s="977"/>
      <c r="X94" s="977"/>
      <c r="Y94" s="977"/>
    </row>
    <row r="95" spans="1:25" x14ac:dyDescent="0.35">
      <c r="A95" s="689"/>
      <c r="B95" s="641" t="s">
        <v>729</v>
      </c>
      <c r="C95" s="642"/>
      <c r="D95" s="642"/>
      <c r="E95" s="642"/>
      <c r="F95" s="642"/>
      <c r="G95" s="646"/>
      <c r="H95" s="977"/>
      <c r="I95" s="977"/>
      <c r="J95" s="977"/>
      <c r="K95" s="977"/>
      <c r="L95" s="977"/>
      <c r="M95" s="977"/>
      <c r="N95" s="977"/>
      <c r="O95" s="977"/>
      <c r="P95" s="977"/>
      <c r="Q95" s="977"/>
      <c r="R95" s="977"/>
      <c r="S95" s="977"/>
      <c r="T95" s="977"/>
      <c r="U95" s="977"/>
      <c r="V95" s="977"/>
      <c r="W95" s="977"/>
      <c r="X95" s="977"/>
      <c r="Y95" s="977"/>
    </row>
    <row r="96" spans="1:25" x14ac:dyDescent="0.35">
      <c r="A96" s="978"/>
      <c r="B96" s="939"/>
      <c r="C96" s="940"/>
      <c r="D96" s="940"/>
      <c r="E96" s="940"/>
      <c r="F96" s="940"/>
      <c r="G96" s="1039"/>
      <c r="H96" s="981"/>
      <c r="I96" s="981"/>
      <c r="J96" s="981"/>
      <c r="K96" s="981"/>
      <c r="L96" s="981"/>
      <c r="M96" s="981"/>
      <c r="N96" s="981"/>
      <c r="O96" s="981"/>
      <c r="P96" s="981"/>
      <c r="Q96" s="981"/>
      <c r="R96" s="981"/>
      <c r="S96" s="981"/>
      <c r="T96" s="981"/>
      <c r="U96" s="981"/>
      <c r="V96" s="981"/>
      <c r="W96" s="981"/>
      <c r="X96" s="981"/>
      <c r="Y96" s="981"/>
    </row>
    <row r="97" spans="1:25" x14ac:dyDescent="0.35">
      <c r="A97" s="7" t="s">
        <v>730</v>
      </c>
      <c r="B97" s="8"/>
      <c r="C97" s="12"/>
      <c r="D97" s="12"/>
      <c r="E97" s="12"/>
      <c r="F97" s="12"/>
      <c r="G97" s="13"/>
      <c r="H97" s="21"/>
      <c r="I97" s="21"/>
      <c r="J97" s="21"/>
      <c r="K97" s="21"/>
      <c r="L97" s="21"/>
      <c r="M97" s="21"/>
      <c r="N97" s="21"/>
      <c r="O97" s="21"/>
      <c r="P97" s="21"/>
      <c r="Q97" s="21"/>
      <c r="R97" s="21"/>
      <c r="S97" s="21"/>
      <c r="T97" s="21"/>
      <c r="U97" s="21"/>
      <c r="V97" s="21"/>
      <c r="W97" s="21"/>
      <c r="X97" s="21"/>
      <c r="Y97" s="21"/>
    </row>
    <row r="98" spans="1:25" x14ac:dyDescent="0.35">
      <c r="A98" s="968"/>
      <c r="B98" s="709" t="s">
        <v>731</v>
      </c>
      <c r="C98" s="707"/>
      <c r="D98" s="707"/>
      <c r="E98" s="707"/>
      <c r="F98" s="707"/>
      <c r="G98" s="1195"/>
      <c r="H98" s="983"/>
      <c r="I98" s="983"/>
      <c r="J98" s="983"/>
      <c r="K98" s="983"/>
      <c r="L98" s="983"/>
      <c r="M98" s="983"/>
      <c r="N98" s="983"/>
      <c r="O98" s="983"/>
      <c r="P98" s="983"/>
      <c r="Q98" s="983"/>
      <c r="R98" s="983"/>
      <c r="S98" s="983"/>
      <c r="T98" s="983"/>
      <c r="U98" s="983"/>
      <c r="V98" s="983"/>
      <c r="W98" s="983"/>
      <c r="X98" s="983"/>
      <c r="Y98" s="983"/>
    </row>
    <row r="99" spans="1:25" x14ac:dyDescent="0.35">
      <c r="A99" s="689"/>
      <c r="B99" s="641" t="s">
        <v>732</v>
      </c>
      <c r="C99" s="642"/>
      <c r="D99" s="642"/>
      <c r="E99" s="642"/>
      <c r="F99" s="642"/>
      <c r="G99" s="646"/>
      <c r="H99" s="984"/>
      <c r="I99" s="984"/>
      <c r="J99" s="984"/>
      <c r="K99" s="984"/>
      <c r="L99" s="984"/>
      <c r="M99" s="984"/>
      <c r="N99" s="984"/>
      <c r="O99" s="984"/>
      <c r="P99" s="984"/>
      <c r="Q99" s="984"/>
      <c r="R99" s="984"/>
      <c r="S99" s="984"/>
      <c r="T99" s="984"/>
      <c r="U99" s="984"/>
      <c r="V99" s="984"/>
      <c r="W99" s="984"/>
      <c r="X99" s="984"/>
      <c r="Y99" s="984"/>
    </row>
    <row r="100" spans="1:25" x14ac:dyDescent="0.35">
      <c r="A100" s="985"/>
      <c r="B100" s="986" t="s">
        <v>733</v>
      </c>
      <c r="C100" s="987"/>
      <c r="D100" s="987"/>
      <c r="E100" s="987"/>
      <c r="F100" s="987"/>
      <c r="G100" s="1040"/>
      <c r="H100" s="990"/>
      <c r="I100" s="990"/>
      <c r="J100" s="990"/>
      <c r="K100" s="990"/>
      <c r="L100" s="990"/>
      <c r="M100" s="990"/>
      <c r="N100" s="990"/>
      <c r="O100" s="990"/>
      <c r="P100" s="990"/>
      <c r="Q100" s="990"/>
      <c r="R100" s="990"/>
      <c r="S100" s="990"/>
      <c r="T100" s="990"/>
      <c r="U100" s="990"/>
      <c r="V100" s="990"/>
      <c r="W100" s="990"/>
      <c r="X100" s="990"/>
      <c r="Y100" s="990"/>
    </row>
    <row r="102" spans="1:25" x14ac:dyDescent="0.35">
      <c r="A102" s="78" t="s">
        <v>734</v>
      </c>
      <c r="B102" s="80"/>
    </row>
    <row r="103" spans="1:25" x14ac:dyDescent="0.35">
      <c r="A103" s="79" t="s">
        <v>632</v>
      </c>
      <c r="B103" s="991" t="str">
        <f>J4</f>
        <v>Ridgway Roof</v>
      </c>
    </row>
    <row r="104" spans="1:25" x14ac:dyDescent="0.35">
      <c r="A104" s="687" t="s">
        <v>636</v>
      </c>
      <c r="B104" s="991" t="str">
        <f>J5</f>
        <v>Daniel Skelly</v>
      </c>
    </row>
    <row r="105" spans="1:25" x14ac:dyDescent="0.35">
      <c r="A105" s="992" t="s">
        <v>639</v>
      </c>
      <c r="B105" s="993" t="str">
        <f>J6</f>
        <v>352-363-4339</v>
      </c>
    </row>
    <row r="106" spans="1:25" x14ac:dyDescent="0.35">
      <c r="A106" s="992" t="s">
        <v>642</v>
      </c>
      <c r="B106" s="1286" t="str">
        <f>J7</f>
        <v xml:space="preserve">daniel@ridgwaytruss.com&gt; </v>
      </c>
    </row>
    <row r="107" spans="1:25" x14ac:dyDescent="0.35">
      <c r="A107" s="995" t="s">
        <v>735</v>
      </c>
      <c r="B107" s="996">
        <f>L8</f>
        <v>252757.98</v>
      </c>
    </row>
    <row r="109" spans="1:25" x14ac:dyDescent="0.35">
      <c r="A109" s="81"/>
      <c r="B109" s="1" t="s">
        <v>736</v>
      </c>
    </row>
    <row r="110" spans="1:25" x14ac:dyDescent="0.35">
      <c r="A110" s="82"/>
      <c r="B110" s="1" t="s">
        <v>737</v>
      </c>
    </row>
  </sheetData>
  <mergeCells count="72">
    <mergeCell ref="L1:M1"/>
    <mergeCell ref="R6:S6"/>
    <mergeCell ref="J2:K2"/>
    <mergeCell ref="J3:K3"/>
    <mergeCell ref="J4:K4"/>
    <mergeCell ref="J5:K5"/>
    <mergeCell ref="J6:K6"/>
    <mergeCell ref="L2:M2"/>
    <mergeCell ref="L3:M3"/>
    <mergeCell ref="L4:M4"/>
    <mergeCell ref="L5:M5"/>
    <mergeCell ref="L6:M6"/>
    <mergeCell ref="P1:Q1"/>
    <mergeCell ref="N1:O1"/>
    <mergeCell ref="N2:O2"/>
    <mergeCell ref="N3:O3"/>
    <mergeCell ref="H2:I2"/>
    <mergeCell ref="H1:I1"/>
    <mergeCell ref="H3:I3"/>
    <mergeCell ref="H4:I4"/>
    <mergeCell ref="H5:I5"/>
    <mergeCell ref="H6:I6"/>
    <mergeCell ref="A87:B87"/>
    <mergeCell ref="A91:B91"/>
    <mergeCell ref="X2:Y2"/>
    <mergeCell ref="P2:Q2"/>
    <mergeCell ref="R2:S2"/>
    <mergeCell ref="V2:W2"/>
    <mergeCell ref="T2:U2"/>
    <mergeCell ref="X4:Y4"/>
    <mergeCell ref="P3:Q3"/>
    <mergeCell ref="R3:S3"/>
    <mergeCell ref="V3:W3"/>
    <mergeCell ref="T3:U3"/>
    <mergeCell ref="X3:Y3"/>
    <mergeCell ref="X6:Y6"/>
    <mergeCell ref="X5:Y5"/>
    <mergeCell ref="A83:B83"/>
    <mergeCell ref="J7:K7"/>
    <mergeCell ref="J8:K8"/>
    <mergeCell ref="N7:O7"/>
    <mergeCell ref="N8:O8"/>
    <mergeCell ref="A75:B75"/>
    <mergeCell ref="A79:B79"/>
    <mergeCell ref="H8:I8"/>
    <mergeCell ref="H7:I7"/>
    <mergeCell ref="L7:M7"/>
    <mergeCell ref="L8:M8"/>
    <mergeCell ref="X8:Y8"/>
    <mergeCell ref="P7:Q7"/>
    <mergeCell ref="R7:S7"/>
    <mergeCell ref="V7:W7"/>
    <mergeCell ref="T7:U7"/>
    <mergeCell ref="X7:Y7"/>
    <mergeCell ref="P8:Q8"/>
    <mergeCell ref="R8:S8"/>
    <mergeCell ref="V8:W8"/>
    <mergeCell ref="T8:U8"/>
    <mergeCell ref="V5:W5"/>
    <mergeCell ref="T5:U5"/>
    <mergeCell ref="N4:O4"/>
    <mergeCell ref="N5:O5"/>
    <mergeCell ref="N6:O6"/>
    <mergeCell ref="R5:S5"/>
    <mergeCell ref="R4:S4"/>
    <mergeCell ref="V4:W4"/>
    <mergeCell ref="T4:U4"/>
    <mergeCell ref="T6:U6"/>
    <mergeCell ref="V6:W6"/>
    <mergeCell ref="P4:Q4"/>
    <mergeCell ref="P5:Q5"/>
    <mergeCell ref="P6:Q6"/>
  </mergeCells>
  <conditionalFormatting sqref="H20:H30">
    <cfRule type="cellIs" dxfId="2409" priority="25" operator="equal">
      <formula>"X"</formula>
    </cfRule>
    <cfRule type="cellIs" dxfId="2408" priority="26" operator="equal">
      <formula>"I"</formula>
    </cfRule>
  </conditionalFormatting>
  <conditionalFormatting sqref="H32:H49">
    <cfRule type="cellIs" dxfId="2407" priority="23" operator="equal">
      <formula>"X"</formula>
    </cfRule>
    <cfRule type="cellIs" dxfId="2406" priority="24" operator="equal">
      <formula>"I"</formula>
    </cfRule>
  </conditionalFormatting>
  <conditionalFormatting sqref="H51:H53">
    <cfRule type="cellIs" dxfId="2405" priority="39" operator="equal">
      <formula>"X"</formula>
    </cfRule>
    <cfRule type="cellIs" dxfId="2404" priority="40" operator="equal">
      <formula>"I"</formula>
    </cfRule>
  </conditionalFormatting>
  <conditionalFormatting sqref="H55:H66">
    <cfRule type="cellIs" dxfId="2403" priority="35" operator="equal">
      <formula>"X"</formula>
    </cfRule>
    <cfRule type="cellIs" dxfId="2402" priority="36" operator="equal">
      <formula>"I"</formula>
    </cfRule>
  </conditionalFormatting>
  <conditionalFormatting sqref="J20:J30">
    <cfRule type="cellIs" dxfId="2401" priority="19" operator="equal">
      <formula>"X"</formula>
    </cfRule>
    <cfRule type="cellIs" dxfId="2400" priority="20" operator="equal">
      <formula>"I"</formula>
    </cfRule>
  </conditionalFormatting>
  <conditionalFormatting sqref="J32:J66">
    <cfRule type="cellIs" dxfId="2399" priority="21" operator="equal">
      <formula>"X"</formula>
    </cfRule>
    <cfRule type="cellIs" dxfId="2398" priority="22" operator="equal">
      <formula>"I"</formula>
    </cfRule>
  </conditionalFormatting>
  <conditionalFormatting sqref="J88:J89">
    <cfRule type="cellIs" dxfId="2397" priority="17" operator="equal">
      <formula>"X"</formula>
    </cfRule>
    <cfRule type="cellIs" dxfId="2396" priority="18" operator="equal">
      <formula>"I"</formula>
    </cfRule>
  </conditionalFormatting>
  <conditionalFormatting sqref="L20:L30">
    <cfRule type="cellIs" dxfId="2395" priority="3" operator="equal">
      <formula>"X"</formula>
    </cfRule>
    <cfRule type="cellIs" dxfId="2394" priority="4" operator="equal">
      <formula>"I"</formula>
    </cfRule>
  </conditionalFormatting>
  <conditionalFormatting sqref="L32:L66">
    <cfRule type="cellIs" dxfId="2393" priority="5" operator="equal">
      <formula>"X"</formula>
    </cfRule>
    <cfRule type="cellIs" dxfId="2392" priority="6" operator="equal">
      <formula>"I"</formula>
    </cfRule>
  </conditionalFormatting>
  <conditionalFormatting sqref="L88:L89">
    <cfRule type="cellIs" dxfId="2391" priority="1" operator="equal">
      <formula>"X"</formula>
    </cfRule>
    <cfRule type="cellIs" dxfId="2390" priority="2" operator="equal">
      <formula>"I"</formula>
    </cfRule>
  </conditionalFormatting>
  <conditionalFormatting sqref="N20:N30">
    <cfRule type="cellIs" dxfId="2389" priority="11" operator="equal">
      <formula>"X"</formula>
    </cfRule>
    <cfRule type="cellIs" dxfId="2388" priority="12" operator="equal">
      <formula>"I"</formula>
    </cfRule>
  </conditionalFormatting>
  <conditionalFormatting sqref="N32:N49">
    <cfRule type="cellIs" dxfId="2387" priority="9" operator="equal">
      <formula>"X"</formula>
    </cfRule>
    <cfRule type="cellIs" dxfId="2386" priority="10" operator="equal">
      <formula>"I"</formula>
    </cfRule>
  </conditionalFormatting>
  <conditionalFormatting sqref="N51:N53">
    <cfRule type="cellIs" dxfId="2385" priority="15" operator="equal">
      <formula>"X"</formula>
    </cfRule>
    <cfRule type="cellIs" dxfId="2384" priority="16" operator="equal">
      <formula>"I"</formula>
    </cfRule>
  </conditionalFormatting>
  <conditionalFormatting sqref="N55:N66">
    <cfRule type="cellIs" dxfId="2383" priority="13" operator="equal">
      <formula>"X"</formula>
    </cfRule>
    <cfRule type="cellIs" dxfId="2382" priority="14" operator="equal">
      <formula>"I"</formula>
    </cfRule>
  </conditionalFormatting>
  <conditionalFormatting sqref="N88">
    <cfRule type="cellIs" dxfId="2381" priority="7" operator="equal">
      <formula>"X"</formula>
    </cfRule>
    <cfRule type="cellIs" dxfId="2380" priority="8" operator="equal">
      <formula>"I"</formula>
    </cfRule>
  </conditionalFormatting>
  <conditionalFormatting sqref="P20:P30 P32:P66 R32:R66 T32:T66 V32:V66 X32:X66">
    <cfRule type="cellIs" dxfId="2379" priority="67" operator="equal">
      <formula>"X"</formula>
    </cfRule>
    <cfRule type="cellIs" dxfId="2378" priority="68" operator="equal">
      <formula>"I"</formula>
    </cfRule>
  </conditionalFormatting>
  <conditionalFormatting sqref="P88">
    <cfRule type="cellIs" dxfId="2377" priority="49" operator="equal">
      <formula>"X"</formula>
    </cfRule>
    <cfRule type="cellIs" dxfId="2376" priority="50" operator="equal">
      <formula>"I"</formula>
    </cfRule>
  </conditionalFormatting>
  <conditionalFormatting sqref="R20:R30">
    <cfRule type="cellIs" dxfId="2375" priority="51" operator="equal">
      <formula>"X"</formula>
    </cfRule>
    <cfRule type="cellIs" dxfId="2374" priority="52" operator="equal">
      <formula>"I"</formula>
    </cfRule>
  </conditionalFormatting>
  <conditionalFormatting sqref="T20:T30">
    <cfRule type="cellIs" dxfId="2373" priority="45" operator="equal">
      <formula>"X"</formula>
    </cfRule>
    <cfRule type="cellIs" dxfId="2372" priority="46" operator="equal">
      <formula>"I"</formula>
    </cfRule>
  </conditionalFormatting>
  <conditionalFormatting sqref="T88">
    <cfRule type="cellIs" dxfId="2371" priority="43" operator="equal">
      <formula>"X"</formula>
    </cfRule>
    <cfRule type="cellIs" dxfId="2370" priority="44" operator="equal">
      <formula>"I"</formula>
    </cfRule>
  </conditionalFormatting>
  <conditionalFormatting sqref="V20:V30">
    <cfRule type="cellIs" dxfId="2369" priority="47" operator="equal">
      <formula>"X"</formula>
    </cfRule>
    <cfRule type="cellIs" dxfId="2368" priority="48" operator="equal">
      <formula>"I"</formula>
    </cfRule>
  </conditionalFormatting>
  <conditionalFormatting sqref="X20:X30">
    <cfRule type="cellIs" dxfId="2367" priority="77" operator="equal">
      <formula>"X"</formula>
    </cfRule>
    <cfRule type="cellIs" dxfId="2366" priority="78" operator="equal">
      <formula>"I"</formula>
    </cfRule>
  </conditionalFormatting>
  <hyperlinks>
    <hyperlink ref="B3" location="'Cost Summary'!A1" display="BACK TO SUMMARY SHEET" xr:uid="{D77A0BA9-822F-446D-85CA-CA8C7BBE98C4}"/>
    <hyperlink ref="P7:Q7" r:id="rId1" display="jim.thomas@a1globalholdings.com" xr:uid="{4E38A1D5-5FA7-4120-855B-888EAA9EC457}"/>
    <hyperlink ref="R7:S7" r:id="rId2" display="daniel@ridgwaytruss.com&gt; " xr:uid="{8450E792-336A-4795-ACCC-3DA29C1214E0}"/>
    <hyperlink ref="T7:U7" r:id="rId3" display="romuloe@bcgius.com" xr:uid="{5DB30224-6CCF-44A6-81E4-14ABE3D1C012}"/>
    <hyperlink ref="H7:I7" r:id="rId4" display="&lt;erec.erickson@bldr.com&gt; " xr:uid="{12727090-0FB7-4039-9CA1-DCE902A5A867}"/>
    <hyperlink ref="J7:K7" r:id="rId5" display="daniel@ridgwaytruss.com&gt; " xr:uid="{4A0C64E9-1AF9-471F-93BC-BC89FD244321}"/>
    <hyperlink ref="N7:O7" r:id="rId6" display="&lt;erec.erickson@bldr.com&gt; " xr:uid="{9198B3F9-4E5D-4AFB-AC44-D4857E6A9348}"/>
    <hyperlink ref="L7:M7" r:id="rId7" display="daniel@ridgwaytruss.com&gt; " xr:uid="{99708A8F-D505-45E4-AB5F-BCBDA578B0E6}"/>
  </hyperlinks>
  <pageMargins left="0.7" right="0.7" top="0.75" bottom="0.75" header="0.3" footer="0.3"/>
  <pageSetup orientation="portrait" r:id="rId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C7E3-BEC4-4C8D-8E0D-0DCC00A7DBE3}">
  <sheetPr>
    <tabColor rgb="FFFFC000"/>
  </sheetPr>
  <dimension ref="A1:U101"/>
  <sheetViews>
    <sheetView zoomScale="95" zoomScaleNormal="95" workbookViewId="0">
      <pane xSplit="2" ySplit="21" topLeftCell="G37" activePane="bottomRight" state="frozen"/>
      <selection pane="topRight" activeCell="C1" sqref="C1"/>
      <selection pane="bottomLeft" activeCell="A20" sqref="A20"/>
      <selection pane="bottomRight" activeCell="T9" sqref="T9:U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5.54296875" style="2" customWidth="1"/>
    <col min="8" max="8" width="7.453125" style="2" bestFit="1" customWidth="1"/>
    <col min="9" max="9" width="14.81640625" style="2" customWidth="1"/>
    <col min="10" max="10" width="7.453125" style="2" bestFit="1" customWidth="1"/>
    <col min="11" max="11" width="16.7265625" style="2" customWidth="1"/>
    <col min="12" max="12" width="7.453125" style="2" hidden="1" customWidth="1"/>
    <col min="13" max="13" width="14.81640625" style="2" hidden="1" customWidth="1"/>
    <col min="14" max="14" width="7.453125" style="2" hidden="1" customWidth="1"/>
    <col min="15" max="15" width="14.81640625" style="2" hidden="1" customWidth="1"/>
    <col min="16" max="16" width="7.453125" style="2" customWidth="1"/>
    <col min="17" max="17" width="16.54296875" style="2" customWidth="1"/>
    <col min="18" max="18" width="7.453125" style="2" bestFit="1" customWidth="1"/>
    <col min="19" max="19" width="17.54296875" style="2" customWidth="1"/>
    <col min="20" max="20" width="7.453125" style="2" bestFit="1" customWidth="1"/>
    <col min="21" max="21" width="14.81640625" style="2" customWidth="1"/>
  </cols>
  <sheetData>
    <row r="1" spans="1:21" x14ac:dyDescent="0.35">
      <c r="E1" s="152"/>
      <c r="F1" s="125"/>
      <c r="G1" s="123" t="s">
        <v>621</v>
      </c>
    </row>
    <row r="2" spans="1:21" x14ac:dyDescent="0.35">
      <c r="E2" s="152"/>
      <c r="F2" s="122" t="s">
        <v>622</v>
      </c>
      <c r="G2" s="123" t="s">
        <v>451</v>
      </c>
      <c r="H2" s="3789"/>
      <c r="I2" s="3789"/>
      <c r="J2" s="3789"/>
      <c r="K2" s="3789"/>
      <c r="L2" s="3751"/>
      <c r="M2" s="3751"/>
      <c r="N2" s="3789"/>
      <c r="O2" s="3789"/>
      <c r="P2" s="3751"/>
      <c r="Q2" s="3751"/>
      <c r="R2" s="3751"/>
      <c r="S2" s="3751"/>
      <c r="T2" s="3751"/>
      <c r="U2" s="3751"/>
    </row>
    <row r="3" spans="1:21" ht="19.5" x14ac:dyDescent="0.35">
      <c r="B3" s="137" t="s">
        <v>623</v>
      </c>
      <c r="E3" s="152"/>
      <c r="F3" s="124" t="s">
        <v>624</v>
      </c>
      <c r="G3" s="123" t="s">
        <v>557</v>
      </c>
      <c r="H3" s="3823" t="s">
        <v>625</v>
      </c>
      <c r="I3" s="3824"/>
      <c r="J3" s="3778" t="s">
        <v>625</v>
      </c>
      <c r="K3" s="3779"/>
      <c r="L3" s="3754" t="s">
        <v>626</v>
      </c>
      <c r="M3" s="3755"/>
      <c r="N3" s="3754" t="s">
        <v>627</v>
      </c>
      <c r="O3" s="3755"/>
      <c r="P3" s="3754" t="s">
        <v>628</v>
      </c>
      <c r="Q3" s="3755"/>
      <c r="R3" s="3754" t="s">
        <v>627</v>
      </c>
      <c r="S3" s="3755"/>
      <c r="T3" s="3754" t="s">
        <v>773</v>
      </c>
      <c r="U3" s="3755"/>
    </row>
    <row r="4" spans="1:21" ht="15.75" customHeight="1" x14ac:dyDescent="0.35">
      <c r="A4" s="3" t="s">
        <v>631</v>
      </c>
      <c r="B4" s="4" t="str">
        <f>'AREA CALC''s'!B4</f>
        <v>Alton Hilltop Gardens</v>
      </c>
      <c r="C4" s="5"/>
      <c r="D4" s="5"/>
      <c r="E4" s="5"/>
      <c r="F4" s="5"/>
      <c r="G4" s="6" t="s">
        <v>632</v>
      </c>
      <c r="H4" s="3752" t="s">
        <v>1334</v>
      </c>
      <c r="I4" s="3753"/>
      <c r="J4" s="3752" t="s">
        <v>1335</v>
      </c>
      <c r="K4" s="3753"/>
      <c r="L4" s="3752" t="s">
        <v>1336</v>
      </c>
      <c r="M4" s="3753"/>
      <c r="N4" s="3752" t="s">
        <v>1337</v>
      </c>
      <c r="O4" s="3753"/>
      <c r="P4" s="3752" t="s">
        <v>1338</v>
      </c>
      <c r="Q4" s="3753"/>
      <c r="R4" s="3752" t="s">
        <v>1339</v>
      </c>
      <c r="S4" s="3753"/>
      <c r="T4" s="3752" t="s">
        <v>1340</v>
      </c>
      <c r="U4" s="3753"/>
    </row>
    <row r="5" spans="1:21" x14ac:dyDescent="0.35">
      <c r="A5" s="688" t="s">
        <v>634</v>
      </c>
      <c r="B5" s="641" t="s">
        <v>1341</v>
      </c>
      <c r="C5" s="642"/>
      <c r="D5" s="642"/>
      <c r="E5" s="642"/>
      <c r="F5" s="642"/>
      <c r="G5" s="643" t="s">
        <v>636</v>
      </c>
      <c r="H5" s="3758" t="s">
        <v>1342</v>
      </c>
      <c r="I5" s="3759"/>
      <c r="J5" s="3758" t="s">
        <v>1342</v>
      </c>
      <c r="K5" s="3759"/>
      <c r="L5" s="3758" t="s">
        <v>1343</v>
      </c>
      <c r="M5" s="3759"/>
      <c r="N5" s="3812" t="s">
        <v>1344</v>
      </c>
      <c r="O5" s="3813"/>
      <c r="P5" s="3758" t="s">
        <v>1345</v>
      </c>
      <c r="Q5" s="3759"/>
      <c r="R5" s="3758" t="s">
        <v>1346</v>
      </c>
      <c r="S5" s="3759"/>
      <c r="T5" s="3758" t="s">
        <v>1347</v>
      </c>
      <c r="U5" s="3759"/>
    </row>
    <row r="6" spans="1:21" x14ac:dyDescent="0.35">
      <c r="A6" s="688" t="s">
        <v>638</v>
      </c>
      <c r="B6" s="644" t="s">
        <v>483</v>
      </c>
      <c r="C6" s="642"/>
      <c r="D6" s="642"/>
      <c r="E6" s="642"/>
      <c r="F6" s="642"/>
      <c r="G6" s="643" t="s">
        <v>639</v>
      </c>
      <c r="H6" s="3756" t="s">
        <v>1348</v>
      </c>
      <c r="I6" s="3757"/>
      <c r="J6" s="3756" t="s">
        <v>1348</v>
      </c>
      <c r="K6" s="3757"/>
      <c r="L6" s="3756" t="s">
        <v>1349</v>
      </c>
      <c r="M6" s="3757"/>
      <c r="N6" s="3756" t="s">
        <v>1350</v>
      </c>
      <c r="O6" s="3757"/>
      <c r="P6" s="3758" t="s">
        <v>1351</v>
      </c>
      <c r="Q6" s="3759"/>
      <c r="R6" s="3758" t="s">
        <v>1352</v>
      </c>
      <c r="S6" s="3759"/>
      <c r="T6" s="3756" t="s">
        <v>1353</v>
      </c>
      <c r="U6" s="3757"/>
    </row>
    <row r="7" spans="1:21" x14ac:dyDescent="0.35">
      <c r="A7" s="688" t="s">
        <v>641</v>
      </c>
      <c r="B7" s="645"/>
      <c r="C7" s="642"/>
      <c r="D7" s="642"/>
      <c r="E7" s="642"/>
      <c r="F7" s="642"/>
      <c r="G7" s="643" t="s">
        <v>642</v>
      </c>
      <c r="H7" s="3819" t="s">
        <v>1354</v>
      </c>
      <c r="I7" s="3820"/>
      <c r="J7" s="3819" t="s">
        <v>1354</v>
      </c>
      <c r="K7" s="3820"/>
      <c r="L7" s="3821" t="s">
        <v>1355</v>
      </c>
      <c r="M7" s="3822"/>
      <c r="N7" s="3790" t="s">
        <v>1356</v>
      </c>
      <c r="O7" s="3792"/>
      <c r="P7" s="3819" t="s">
        <v>1357</v>
      </c>
      <c r="Q7" s="3820"/>
      <c r="R7" s="3819" t="s">
        <v>1358</v>
      </c>
      <c r="S7" s="3820"/>
      <c r="T7" s="3819" t="s">
        <v>1359</v>
      </c>
      <c r="U7" s="3820"/>
    </row>
    <row r="8" spans="1:21" x14ac:dyDescent="0.35">
      <c r="A8" s="938" t="s">
        <v>644</v>
      </c>
      <c r="B8" s="939"/>
      <c r="C8" s="940"/>
      <c r="D8" s="940"/>
      <c r="E8" s="940"/>
      <c r="F8" s="940"/>
      <c r="G8" s="1024" t="s">
        <v>644</v>
      </c>
      <c r="H8" s="3760">
        <f>I62</f>
        <v>243815</v>
      </c>
      <c r="I8" s="3761"/>
      <c r="J8" s="3760">
        <f>K62</f>
        <v>224365</v>
      </c>
      <c r="K8" s="3761"/>
      <c r="L8" s="3760">
        <f>M62</f>
        <v>429610</v>
      </c>
      <c r="M8" s="3761"/>
      <c r="N8" s="3760">
        <f>O62</f>
        <v>429491.63</v>
      </c>
      <c r="O8" s="3761"/>
      <c r="P8" s="3760">
        <f>Q62</f>
        <v>280484</v>
      </c>
      <c r="Q8" s="3761"/>
      <c r="R8" s="3760">
        <f>S62</f>
        <v>69600.600000000006</v>
      </c>
      <c r="S8" s="3761"/>
      <c r="T8" s="3760">
        <f>U58</f>
        <v>324390</v>
      </c>
      <c r="U8" s="3761"/>
    </row>
    <row r="9" spans="1:21" x14ac:dyDescent="0.35">
      <c r="A9" s="938"/>
      <c r="B9" s="939"/>
      <c r="C9" s="940"/>
      <c r="D9" s="940"/>
      <c r="E9" s="940"/>
      <c r="F9" s="940"/>
      <c r="G9" s="1024" t="s">
        <v>1360</v>
      </c>
      <c r="H9" s="3760">
        <f>'08A Doors, Frames, &amp; Hardware'!J8</f>
        <v>2337225</v>
      </c>
      <c r="I9" s="3761"/>
      <c r="J9" s="3760">
        <f>'08A Doors, Frames, &amp; Hardware'!L8</f>
        <v>2159280</v>
      </c>
      <c r="K9" s="3761"/>
      <c r="L9" s="3760"/>
      <c r="M9" s="3761"/>
      <c r="N9" s="3760"/>
      <c r="O9" s="3761"/>
      <c r="P9" s="3760">
        <f>'08A Doors, Frames, &amp; Hardware'!V8</f>
        <v>2554326.9862000002</v>
      </c>
      <c r="Q9" s="3761"/>
      <c r="R9" s="3760">
        <f>'08A Doors, Frames, &amp; Hardware'!AB8</f>
        <v>3600000</v>
      </c>
      <c r="S9" s="3761"/>
      <c r="T9" s="3760">
        <f>'08A Doors, Frames, &amp; Hardware'!H8</f>
        <v>2196709</v>
      </c>
      <c r="U9" s="3761"/>
    </row>
    <row r="10" spans="1:21" x14ac:dyDescent="0.35">
      <c r="A10" s="938"/>
      <c r="B10" s="939"/>
      <c r="C10" s="940"/>
      <c r="D10" s="940"/>
      <c r="E10" s="940"/>
      <c r="F10" s="940"/>
      <c r="G10" s="1024" t="s">
        <v>5</v>
      </c>
      <c r="H10" s="3760">
        <f>SUM(H8:I9)</f>
        <v>2581040</v>
      </c>
      <c r="I10" s="3761"/>
      <c r="J10" s="3760">
        <f>SUM(J8:K9)</f>
        <v>2383645</v>
      </c>
      <c r="K10" s="3761"/>
      <c r="L10" s="3760"/>
      <c r="M10" s="3761"/>
      <c r="N10" s="3760"/>
      <c r="O10" s="3761"/>
      <c r="P10" s="3760">
        <f>SUM(P8:Q9)</f>
        <v>2834810.9862000002</v>
      </c>
      <c r="Q10" s="3761"/>
      <c r="R10" s="3760">
        <f>SUM(R8:S9)</f>
        <v>3669600.6</v>
      </c>
      <c r="S10" s="3761"/>
      <c r="T10" s="3760">
        <f>SUM(T8:U9)</f>
        <v>2521099</v>
      </c>
      <c r="U10" s="3761"/>
    </row>
    <row r="11" spans="1:21" ht="29" x14ac:dyDescent="0.35">
      <c r="A11" s="7" t="s">
        <v>645</v>
      </c>
      <c r="B11" s="8"/>
      <c r="C11" s="9" t="s">
        <v>646</v>
      </c>
      <c r="D11" s="9" t="s">
        <v>647</v>
      </c>
      <c r="E11" s="9" t="s">
        <v>648</v>
      </c>
      <c r="F11" s="9" t="s">
        <v>649</v>
      </c>
      <c r="G11" s="10" t="s">
        <v>650</v>
      </c>
      <c r="H11" s="11" t="s">
        <v>651</v>
      </c>
      <c r="I11" s="11" t="s">
        <v>652</v>
      </c>
      <c r="J11" s="11" t="s">
        <v>651</v>
      </c>
      <c r="K11" s="11" t="s">
        <v>652</v>
      </c>
      <c r="L11" s="11" t="s">
        <v>651</v>
      </c>
      <c r="M11" s="11" t="s">
        <v>652</v>
      </c>
      <c r="N11" s="11" t="s">
        <v>651</v>
      </c>
      <c r="O11" s="11" t="s">
        <v>652</v>
      </c>
      <c r="P11" s="11" t="s">
        <v>651</v>
      </c>
      <c r="Q11" s="11" t="s">
        <v>652</v>
      </c>
      <c r="R11" s="11" t="s">
        <v>651</v>
      </c>
      <c r="S11" s="11" t="s">
        <v>652</v>
      </c>
      <c r="T11" s="11" t="s">
        <v>651</v>
      </c>
      <c r="U11" s="11" t="s">
        <v>652</v>
      </c>
    </row>
    <row r="12" spans="1:21" hidden="1" x14ac:dyDescent="0.35">
      <c r="A12" s="689"/>
      <c r="B12" s="941" t="s">
        <v>653</v>
      </c>
      <c r="C12" s="642"/>
      <c r="D12" s="642"/>
      <c r="E12" s="642"/>
      <c r="F12" s="642"/>
      <c r="G12" s="646"/>
      <c r="H12" s="942"/>
      <c r="I12" s="942"/>
      <c r="J12" s="942"/>
      <c r="K12" s="942"/>
      <c r="L12" s="942"/>
      <c r="M12" s="942"/>
      <c r="N12" s="942"/>
      <c r="O12" s="942"/>
      <c r="P12" s="942"/>
      <c r="Q12" s="942"/>
      <c r="R12" s="942"/>
      <c r="S12" s="942"/>
      <c r="T12" s="942"/>
      <c r="U12" s="942"/>
    </row>
    <row r="13" spans="1:21"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c r="T13" s="942"/>
      <c r="U13" s="942"/>
    </row>
    <row r="14" spans="1:21"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c r="T14" s="942"/>
      <c r="U14" s="942"/>
    </row>
    <row r="15" spans="1:21"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c r="T15" s="942"/>
      <c r="U15" s="942"/>
    </row>
    <row r="16" spans="1:21"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c r="T16" s="942"/>
      <c r="U16" s="942"/>
    </row>
    <row r="17" spans="1:21"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c r="T17" s="942"/>
      <c r="U17" s="942"/>
    </row>
    <row r="18" spans="1:21"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c r="T18" s="942"/>
      <c r="U18" s="942"/>
    </row>
    <row r="19" spans="1:21"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c r="T19" s="942"/>
      <c r="U19" s="942"/>
    </row>
    <row r="20" spans="1:21" hidden="1" x14ac:dyDescent="0.35">
      <c r="A20" s="689"/>
      <c r="B20" s="641" t="e">
        <f>#REF!</f>
        <v>#REF!</v>
      </c>
      <c r="C20" s="647" t="s">
        <v>654</v>
      </c>
      <c r="D20" s="642"/>
      <c r="E20" s="642"/>
      <c r="F20" s="642"/>
      <c r="G20" s="646"/>
      <c r="H20" s="942"/>
      <c r="I20" s="942"/>
      <c r="J20" s="942"/>
      <c r="K20" s="942"/>
      <c r="L20" s="942"/>
      <c r="M20" s="942"/>
      <c r="N20" s="942"/>
      <c r="O20" s="942"/>
      <c r="P20" s="942"/>
      <c r="Q20" s="942"/>
      <c r="R20" s="942"/>
      <c r="S20" s="942"/>
      <c r="T20" s="942"/>
      <c r="U20" s="942"/>
    </row>
    <row r="21" spans="1:21" hidden="1" x14ac:dyDescent="0.35">
      <c r="A21" s="689"/>
      <c r="B21" s="641" t="e">
        <f>#REF!</f>
        <v>#REF!</v>
      </c>
      <c r="C21" s="647" t="s">
        <v>654</v>
      </c>
      <c r="D21" s="642"/>
      <c r="E21" s="642"/>
      <c r="F21" s="642"/>
      <c r="G21" s="646"/>
      <c r="H21" s="942"/>
      <c r="I21" s="942"/>
      <c r="J21" s="942"/>
      <c r="K21" s="942"/>
      <c r="L21" s="942"/>
      <c r="M21" s="942"/>
      <c r="N21" s="942"/>
      <c r="O21" s="942"/>
      <c r="P21" s="942"/>
      <c r="Q21" s="942"/>
      <c r="R21" s="942"/>
      <c r="S21" s="942"/>
      <c r="T21" s="942"/>
      <c r="U21" s="942"/>
    </row>
    <row r="22" spans="1:21" x14ac:dyDescent="0.35">
      <c r="A22" s="689"/>
      <c r="B22" s="641"/>
      <c r="C22" s="647"/>
      <c r="D22" s="642"/>
      <c r="E22" s="642"/>
      <c r="F22" s="642"/>
      <c r="G22" s="646"/>
      <c r="H22" s="943"/>
      <c r="I22" s="942"/>
      <c r="J22" s="943"/>
      <c r="K22" s="942"/>
      <c r="L22" s="943"/>
      <c r="M22" s="942"/>
      <c r="N22" s="943"/>
      <c r="O22" s="942"/>
      <c r="P22" s="943"/>
      <c r="Q22" s="942"/>
      <c r="R22" s="943"/>
      <c r="S22" s="942"/>
      <c r="T22" s="943"/>
      <c r="U22" s="942"/>
    </row>
    <row r="23" spans="1:21" x14ac:dyDescent="0.35">
      <c r="A23" s="689"/>
      <c r="B23" s="648" t="s">
        <v>1341</v>
      </c>
      <c r="C23" s="647"/>
      <c r="D23" s="642"/>
      <c r="E23" s="642"/>
      <c r="F23" s="642"/>
      <c r="G23" s="646"/>
      <c r="H23" s="943"/>
      <c r="I23" s="942"/>
      <c r="J23" s="943"/>
      <c r="K23" s="942"/>
      <c r="L23" s="943"/>
      <c r="M23" s="942"/>
      <c r="N23" s="943"/>
      <c r="O23" s="942"/>
      <c r="P23" s="943"/>
      <c r="Q23" s="942"/>
      <c r="R23" s="943"/>
      <c r="S23" s="942"/>
      <c r="T23" s="943"/>
      <c r="U23" s="942"/>
    </row>
    <row r="24" spans="1:21" x14ac:dyDescent="0.35">
      <c r="A24" s="998"/>
      <c r="B24" s="604" t="s">
        <v>657</v>
      </c>
      <c r="C24" s="647"/>
      <c r="D24" s="642"/>
      <c r="E24" s="642"/>
      <c r="F24" s="642"/>
      <c r="G24" s="646"/>
      <c r="H24" s="943"/>
      <c r="I24" s="632"/>
      <c r="J24" s="943"/>
      <c r="K24" s="632"/>
      <c r="L24" s="943"/>
      <c r="M24" s="632"/>
      <c r="N24" s="943"/>
      <c r="O24" s="632"/>
      <c r="P24" s="943"/>
      <c r="Q24" s="632"/>
      <c r="R24" s="943"/>
      <c r="S24" s="632"/>
      <c r="T24" s="943"/>
      <c r="U24" s="632"/>
    </row>
    <row r="25" spans="1:21" x14ac:dyDescent="0.35">
      <c r="A25" s="998"/>
      <c r="B25" s="607" t="s">
        <v>658</v>
      </c>
      <c r="C25" s="647"/>
      <c r="D25" s="642"/>
      <c r="E25" s="642"/>
      <c r="F25" s="642"/>
      <c r="G25" s="646"/>
      <c r="H25" s="943" t="s">
        <v>669</v>
      </c>
      <c r="I25" s="632"/>
      <c r="J25" s="943" t="s">
        <v>669</v>
      </c>
      <c r="K25" s="632"/>
      <c r="L25" s="943" t="s">
        <v>669</v>
      </c>
      <c r="M25" s="632"/>
      <c r="N25" s="943" t="s">
        <v>669</v>
      </c>
      <c r="O25" s="632"/>
      <c r="P25" s="943" t="s">
        <v>669</v>
      </c>
      <c r="Q25" s="632"/>
      <c r="R25" s="943" t="s">
        <v>669</v>
      </c>
      <c r="S25" s="632"/>
      <c r="T25" s="943" t="s">
        <v>669</v>
      </c>
      <c r="U25" s="630"/>
    </row>
    <row r="26" spans="1:21" x14ac:dyDescent="0.35">
      <c r="A26" s="683"/>
      <c r="B26" s="1279" t="s">
        <v>659</v>
      </c>
      <c r="C26" s="642"/>
      <c r="D26" s="642"/>
      <c r="E26" s="642"/>
      <c r="F26" s="642"/>
      <c r="G26" s="646"/>
      <c r="H26" s="943" t="s">
        <v>669</v>
      </c>
      <c r="I26" s="630"/>
      <c r="J26" s="943" t="s">
        <v>669</v>
      </c>
      <c r="K26" s="630"/>
      <c r="L26" s="943" t="s">
        <v>669</v>
      </c>
      <c r="M26" s="630"/>
      <c r="N26" s="943" t="s">
        <v>669</v>
      </c>
      <c r="O26" s="630"/>
      <c r="P26" s="943" t="s">
        <v>669</v>
      </c>
      <c r="Q26" s="630"/>
      <c r="R26" s="943" t="s">
        <v>669</v>
      </c>
      <c r="S26" s="630"/>
      <c r="T26" s="943" t="s">
        <v>669</v>
      </c>
      <c r="U26" s="632"/>
    </row>
    <row r="27" spans="1:21" x14ac:dyDescent="0.35">
      <c r="A27" s="998"/>
      <c r="B27" s="1280" t="s">
        <v>660</v>
      </c>
      <c r="C27" s="642"/>
      <c r="D27" s="642"/>
      <c r="E27" s="642"/>
      <c r="F27" s="642"/>
      <c r="G27" s="646"/>
      <c r="H27" s="943" t="s">
        <v>671</v>
      </c>
      <c r="I27" s="630"/>
      <c r="J27" s="943" t="s">
        <v>671</v>
      </c>
      <c r="K27" s="630"/>
      <c r="L27" s="943" t="s">
        <v>671</v>
      </c>
      <c r="M27" s="630"/>
      <c r="N27" s="943" t="s">
        <v>671</v>
      </c>
      <c r="O27" s="630"/>
      <c r="P27" s="943" t="s">
        <v>671</v>
      </c>
      <c r="Q27" s="630"/>
      <c r="R27" s="943" t="s">
        <v>671</v>
      </c>
      <c r="S27" s="630"/>
      <c r="T27" s="943" t="s">
        <v>671</v>
      </c>
      <c r="U27" s="632"/>
    </row>
    <row r="28" spans="1:21" x14ac:dyDescent="0.35">
      <c r="A28" s="683"/>
      <c r="B28" s="1280" t="s">
        <v>661</v>
      </c>
      <c r="C28" s="642"/>
      <c r="D28" s="642"/>
      <c r="E28" s="642"/>
      <c r="F28" s="642"/>
      <c r="G28" s="646"/>
      <c r="H28" s="943" t="s">
        <v>669</v>
      </c>
      <c r="I28" s="630"/>
      <c r="J28" s="943" t="s">
        <v>669</v>
      </c>
      <c r="K28" s="630"/>
      <c r="L28" s="943" t="s">
        <v>669</v>
      </c>
      <c r="M28" s="630"/>
      <c r="N28" s="943" t="s">
        <v>669</v>
      </c>
      <c r="O28" s="630"/>
      <c r="P28" s="943" t="s">
        <v>669</v>
      </c>
      <c r="Q28" s="630"/>
      <c r="R28" s="943" t="s">
        <v>669</v>
      </c>
      <c r="S28" s="630"/>
      <c r="T28" s="943" t="s">
        <v>669</v>
      </c>
      <c r="U28" s="632"/>
    </row>
    <row r="29" spans="1:21" x14ac:dyDescent="0.35">
      <c r="A29" s="998"/>
      <c r="B29" s="1280" t="s">
        <v>663</v>
      </c>
      <c r="C29" s="642"/>
      <c r="D29" s="642"/>
      <c r="E29" s="642"/>
      <c r="F29" s="642"/>
      <c r="G29" s="646"/>
      <c r="H29" s="943" t="s">
        <v>669</v>
      </c>
      <c r="I29" s="630"/>
      <c r="J29" s="943" t="s">
        <v>669</v>
      </c>
      <c r="K29" s="630"/>
      <c r="L29" s="943" t="s">
        <v>669</v>
      </c>
      <c r="M29" s="630"/>
      <c r="N29" s="943" t="s">
        <v>669</v>
      </c>
      <c r="O29" s="630"/>
      <c r="P29" s="943" t="s">
        <v>669</v>
      </c>
      <c r="Q29" s="630"/>
      <c r="R29" s="943" t="s">
        <v>669</v>
      </c>
      <c r="S29" s="630"/>
      <c r="T29" s="943" t="s">
        <v>669</v>
      </c>
      <c r="U29" s="632"/>
    </row>
    <row r="30" spans="1:21" x14ac:dyDescent="0.35">
      <c r="A30" s="998"/>
      <c r="B30" s="629" t="s">
        <v>789</v>
      </c>
      <c r="C30" s="642"/>
      <c r="D30" s="642"/>
      <c r="E30" s="642"/>
      <c r="F30" s="642"/>
      <c r="G30" s="646"/>
      <c r="H30" s="943" t="s">
        <v>669</v>
      </c>
      <c r="I30" s="630"/>
      <c r="J30" s="943" t="s">
        <v>669</v>
      </c>
      <c r="K30" s="630"/>
      <c r="L30" s="943" t="s">
        <v>669</v>
      </c>
      <c r="M30" s="630"/>
      <c r="N30" s="943" t="s">
        <v>669</v>
      </c>
      <c r="O30" s="630"/>
      <c r="P30" s="943" t="s">
        <v>669</v>
      </c>
      <c r="Q30" s="630"/>
      <c r="R30" s="943" t="s">
        <v>669</v>
      </c>
      <c r="S30" s="630"/>
      <c r="T30" s="943" t="s">
        <v>669</v>
      </c>
      <c r="U30" s="632"/>
    </row>
    <row r="31" spans="1:21" x14ac:dyDescent="0.35">
      <c r="A31" s="998"/>
      <c r="B31" s="629" t="s">
        <v>790</v>
      </c>
      <c r="C31" s="642"/>
      <c r="D31" s="642"/>
      <c r="E31" s="642"/>
      <c r="F31" s="642"/>
      <c r="G31" s="646"/>
      <c r="H31" s="943" t="s">
        <v>671</v>
      </c>
      <c r="I31" s="630" t="s">
        <v>1008</v>
      </c>
      <c r="J31" s="943" t="s">
        <v>671</v>
      </c>
      <c r="K31" s="630" t="s">
        <v>1008</v>
      </c>
      <c r="L31" s="943" t="s">
        <v>671</v>
      </c>
      <c r="M31" s="630" t="s">
        <v>1008</v>
      </c>
      <c r="N31" s="943" t="s">
        <v>671</v>
      </c>
      <c r="O31" s="630" t="s">
        <v>1008</v>
      </c>
      <c r="P31" s="943" t="s">
        <v>671</v>
      </c>
      <c r="Q31" s="630" t="s">
        <v>1008</v>
      </c>
      <c r="R31" s="943" t="s">
        <v>671</v>
      </c>
      <c r="S31" s="630" t="s">
        <v>1008</v>
      </c>
      <c r="T31" s="943" t="s">
        <v>671</v>
      </c>
      <c r="U31" s="632"/>
    </row>
    <row r="32" spans="1:21" x14ac:dyDescent="0.35">
      <c r="A32" s="998"/>
      <c r="B32" s="629" t="s">
        <v>791</v>
      </c>
      <c r="C32" s="642"/>
      <c r="D32" s="642"/>
      <c r="E32" s="642"/>
      <c r="F32" s="642"/>
      <c r="G32" s="646"/>
      <c r="H32" s="943" t="s">
        <v>671</v>
      </c>
      <c r="I32" s="630"/>
      <c r="J32" s="943" t="s">
        <v>671</v>
      </c>
      <c r="K32" s="630"/>
      <c r="L32" s="943" t="s">
        <v>671</v>
      </c>
      <c r="M32" s="630" t="s">
        <v>968</v>
      </c>
      <c r="N32" s="943" t="s">
        <v>671</v>
      </c>
      <c r="O32" s="630"/>
      <c r="P32" s="943" t="s">
        <v>671</v>
      </c>
      <c r="Q32" s="630"/>
      <c r="R32" s="943" t="s">
        <v>671</v>
      </c>
      <c r="S32" s="630"/>
      <c r="T32" s="943" t="s">
        <v>671</v>
      </c>
      <c r="U32" s="632"/>
    </row>
    <row r="33" spans="1:21" x14ac:dyDescent="0.35">
      <c r="A33" s="998"/>
      <c r="B33" s="1281" t="s">
        <v>664</v>
      </c>
      <c r="C33" s="642"/>
      <c r="D33" s="642"/>
      <c r="E33" s="642"/>
      <c r="F33" s="642"/>
      <c r="G33" s="646"/>
      <c r="H33" s="943" t="s">
        <v>671</v>
      </c>
      <c r="I33" s="630"/>
      <c r="J33" s="943" t="s">
        <v>671</v>
      </c>
      <c r="K33" s="630"/>
      <c r="L33" s="943" t="s">
        <v>671</v>
      </c>
      <c r="M33" s="630"/>
      <c r="N33" s="943" t="s">
        <v>671</v>
      </c>
      <c r="O33" s="630"/>
      <c r="P33" s="943" t="s">
        <v>671</v>
      </c>
      <c r="Q33" s="630"/>
      <c r="R33" s="943" t="s">
        <v>671</v>
      </c>
      <c r="S33" s="630"/>
      <c r="T33" s="943" t="s">
        <v>671</v>
      </c>
      <c r="U33" s="632"/>
    </row>
    <row r="34" spans="1:21" x14ac:dyDescent="0.35">
      <c r="A34" s="998"/>
      <c r="B34" s="1289" t="s">
        <v>665</v>
      </c>
      <c r="C34" s="650"/>
      <c r="D34" s="650"/>
      <c r="E34" s="650"/>
      <c r="F34" s="650"/>
      <c r="G34" s="651"/>
      <c r="H34" s="636"/>
      <c r="I34" s="1221">
        <f>137870+97150+5940+2855</f>
        <v>243815</v>
      </c>
      <c r="J34" s="636"/>
      <c r="K34" s="1221">
        <f>118805+96845+5870+2845</f>
        <v>224365</v>
      </c>
      <c r="L34" s="636"/>
      <c r="M34" s="631">
        <f>249650+179960</f>
        <v>429610</v>
      </c>
      <c r="N34" s="636"/>
      <c r="O34" s="1221">
        <f>228512.36+200979.27</f>
        <v>429491.63</v>
      </c>
      <c r="P34" s="636"/>
      <c r="Q34" s="1204">
        <v>280484</v>
      </c>
      <c r="R34" s="636"/>
      <c r="S34" s="1221">
        <f>66036.6+3564</f>
        <v>69600.600000000006</v>
      </c>
      <c r="T34" s="636"/>
      <c r="U34" s="1221">
        <v>324390</v>
      </c>
    </row>
    <row r="35" spans="1:21" x14ac:dyDescent="0.35">
      <c r="A35" s="998"/>
      <c r="B35" s="1290"/>
      <c r="C35" s="642"/>
      <c r="D35" s="642"/>
      <c r="E35" s="642"/>
      <c r="F35" s="654"/>
      <c r="G35" s="646"/>
      <c r="H35" s="943"/>
      <c r="I35" s="630"/>
      <c r="J35" s="943"/>
      <c r="K35" s="630"/>
      <c r="L35" s="943"/>
      <c r="M35" s="630"/>
      <c r="N35" s="943"/>
      <c r="O35" s="630"/>
      <c r="P35" s="943"/>
      <c r="Q35" s="632"/>
      <c r="R35" s="943"/>
      <c r="S35" s="632"/>
      <c r="T35" s="943"/>
      <c r="U35" s="632"/>
    </row>
    <row r="36" spans="1:21" x14ac:dyDescent="0.35">
      <c r="A36" s="998"/>
      <c r="B36" s="1192" t="s">
        <v>793</v>
      </c>
      <c r="C36" s="642"/>
      <c r="D36" s="642"/>
      <c r="E36" s="642"/>
      <c r="F36" s="642"/>
      <c r="G36" s="646"/>
      <c r="H36" s="943"/>
      <c r="I36" s="630"/>
      <c r="J36" s="943"/>
      <c r="K36" s="630"/>
      <c r="L36" s="943"/>
      <c r="M36" s="630"/>
      <c r="N36" s="943"/>
      <c r="O36" s="630"/>
      <c r="P36" s="943"/>
      <c r="Q36" s="632"/>
      <c r="R36" s="943" t="s">
        <v>669</v>
      </c>
      <c r="S36" s="632"/>
      <c r="T36" s="943" t="s">
        <v>669</v>
      </c>
      <c r="U36" s="632"/>
    </row>
    <row r="37" spans="1:21" x14ac:dyDescent="0.35">
      <c r="A37" s="998"/>
      <c r="B37" s="1193" t="s">
        <v>1361</v>
      </c>
      <c r="C37" s="642"/>
      <c r="D37" s="642"/>
      <c r="E37" s="642"/>
      <c r="F37" s="642"/>
      <c r="G37" s="646"/>
      <c r="H37" s="943" t="s">
        <v>669</v>
      </c>
      <c r="I37" s="1222"/>
      <c r="J37" s="943" t="s">
        <v>669</v>
      </c>
      <c r="K37" s="1222"/>
      <c r="L37" s="943" t="s">
        <v>669</v>
      </c>
      <c r="M37" s="1222"/>
      <c r="N37" s="943" t="s">
        <v>669</v>
      </c>
      <c r="O37" s="1222"/>
      <c r="P37" s="943" t="s">
        <v>669</v>
      </c>
      <c r="Q37" s="1222"/>
      <c r="R37" s="943" t="s">
        <v>669</v>
      </c>
      <c r="S37" s="632" t="s">
        <v>1362</v>
      </c>
      <c r="T37" s="943" t="s">
        <v>669</v>
      </c>
      <c r="U37" s="632"/>
    </row>
    <row r="38" spans="1:21" x14ac:dyDescent="0.35">
      <c r="A38" s="998"/>
      <c r="B38" s="1193" t="s">
        <v>1363</v>
      </c>
      <c r="C38" s="642"/>
      <c r="D38" s="642"/>
      <c r="E38" s="642"/>
      <c r="F38" s="642"/>
      <c r="G38" s="646"/>
      <c r="H38" s="943" t="s">
        <v>671</v>
      </c>
      <c r="I38" s="1222" t="s">
        <v>1364</v>
      </c>
      <c r="J38" s="943" t="s">
        <v>671</v>
      </c>
      <c r="K38" s="1222" t="s">
        <v>1364</v>
      </c>
      <c r="L38" s="943" t="s">
        <v>669</v>
      </c>
      <c r="M38" s="1222"/>
      <c r="N38" s="943" t="s">
        <v>669</v>
      </c>
      <c r="O38" s="1222"/>
      <c r="P38" s="943" t="s">
        <v>671</v>
      </c>
      <c r="Q38" s="1222" t="s">
        <v>1364</v>
      </c>
      <c r="R38" s="943" t="s">
        <v>671</v>
      </c>
      <c r="S38" s="1222" t="s">
        <v>1364</v>
      </c>
      <c r="T38" s="943" t="s">
        <v>671</v>
      </c>
      <c r="U38" s="1222" t="s">
        <v>1364</v>
      </c>
    </row>
    <row r="39" spans="1:21" x14ac:dyDescent="0.35">
      <c r="A39" s="998"/>
      <c r="B39" s="1193" t="s">
        <v>1365</v>
      </c>
      <c r="C39" s="642"/>
      <c r="D39" s="642"/>
      <c r="E39" s="642"/>
      <c r="F39" s="642"/>
      <c r="G39" s="646"/>
      <c r="H39" s="943" t="s">
        <v>671</v>
      </c>
      <c r="I39" s="1222"/>
      <c r="J39" s="943" t="s">
        <v>671</v>
      </c>
      <c r="K39" s="1222"/>
      <c r="L39" s="943" t="s">
        <v>669</v>
      </c>
      <c r="M39" s="1222"/>
      <c r="N39" s="943" t="s">
        <v>671</v>
      </c>
      <c r="O39" s="1222"/>
      <c r="P39" s="943" t="s">
        <v>671</v>
      </c>
      <c r="Q39" s="1222"/>
      <c r="R39" s="943" t="s">
        <v>671</v>
      </c>
      <c r="S39" s="1222"/>
      <c r="T39" s="943" t="s">
        <v>671</v>
      </c>
      <c r="U39" s="1222"/>
    </row>
    <row r="40" spans="1:21" x14ac:dyDescent="0.35">
      <c r="A40" s="998"/>
      <c r="B40" s="1193" t="s">
        <v>1366</v>
      </c>
      <c r="C40" s="642"/>
      <c r="D40" s="642"/>
      <c r="E40" s="642"/>
      <c r="F40" s="642"/>
      <c r="G40" s="646"/>
      <c r="H40" s="943" t="s">
        <v>671</v>
      </c>
      <c r="I40" s="1222" t="s">
        <v>1364</v>
      </c>
      <c r="J40" s="943" t="s">
        <v>671</v>
      </c>
      <c r="K40" s="1222" t="s">
        <v>1364</v>
      </c>
      <c r="L40" s="943" t="s">
        <v>669</v>
      </c>
      <c r="M40" s="1222"/>
      <c r="N40" s="943" t="s">
        <v>669</v>
      </c>
      <c r="O40" s="1222"/>
      <c r="P40" s="943" t="s">
        <v>671</v>
      </c>
      <c r="Q40" s="1222" t="s">
        <v>1364</v>
      </c>
      <c r="R40" s="943" t="s">
        <v>671</v>
      </c>
      <c r="S40" s="1222" t="s">
        <v>1364</v>
      </c>
      <c r="T40" s="943" t="s">
        <v>671</v>
      </c>
      <c r="U40" s="1222" t="s">
        <v>1364</v>
      </c>
    </row>
    <row r="41" spans="1:21" x14ac:dyDescent="0.35">
      <c r="A41" s="998"/>
      <c r="B41" s="1192" t="s">
        <v>80</v>
      </c>
      <c r="C41" s="642"/>
      <c r="D41" s="642"/>
      <c r="E41" s="642"/>
      <c r="F41" s="642"/>
      <c r="G41" s="646"/>
      <c r="H41" s="943" t="s">
        <v>669</v>
      </c>
      <c r="I41" s="1222"/>
      <c r="J41" s="943" t="s">
        <v>669</v>
      </c>
      <c r="K41" s="1222"/>
      <c r="L41" s="943" t="s">
        <v>669</v>
      </c>
      <c r="M41" s="630"/>
      <c r="N41" s="943" t="s">
        <v>669</v>
      </c>
      <c r="O41" s="1222"/>
      <c r="P41" s="943" t="s">
        <v>669</v>
      </c>
      <c r="Q41" s="1222"/>
      <c r="R41" s="943" t="s">
        <v>669</v>
      </c>
      <c r="S41" s="632"/>
      <c r="T41" s="943" t="s">
        <v>669</v>
      </c>
      <c r="U41" s="632"/>
    </row>
    <row r="42" spans="1:21" x14ac:dyDescent="0.35">
      <c r="A42" s="998"/>
      <c r="B42" s="1193" t="s">
        <v>1367</v>
      </c>
      <c r="C42" s="642"/>
      <c r="D42" s="642"/>
      <c r="E42" s="642"/>
      <c r="F42" s="642"/>
      <c r="G42" s="646"/>
      <c r="H42" s="943" t="s">
        <v>669</v>
      </c>
      <c r="I42" s="630"/>
      <c r="J42" s="943" t="s">
        <v>669</v>
      </c>
      <c r="K42" s="630"/>
      <c r="L42" s="943" t="s">
        <v>669</v>
      </c>
      <c r="M42" s="630"/>
      <c r="N42" s="943" t="s">
        <v>669</v>
      </c>
      <c r="O42" s="1222"/>
      <c r="P42" s="943" t="s">
        <v>669</v>
      </c>
      <c r="Q42" s="630"/>
      <c r="R42" s="943" t="s">
        <v>669</v>
      </c>
      <c r="S42" s="632" t="s">
        <v>1368</v>
      </c>
      <c r="T42" s="943" t="s">
        <v>669</v>
      </c>
      <c r="U42" s="632"/>
    </row>
    <row r="43" spans="1:21" x14ac:dyDescent="0.35">
      <c r="A43" s="998"/>
      <c r="B43" s="1193" t="s">
        <v>1366</v>
      </c>
      <c r="C43" s="642"/>
      <c r="D43" s="642"/>
      <c r="E43" s="642"/>
      <c r="F43" s="642"/>
      <c r="G43" s="646"/>
      <c r="H43" s="943" t="s">
        <v>671</v>
      </c>
      <c r="I43" s="1222" t="s">
        <v>1364</v>
      </c>
      <c r="J43" s="943" t="s">
        <v>671</v>
      </c>
      <c r="K43" s="1222" t="s">
        <v>1364</v>
      </c>
      <c r="L43" s="943" t="s">
        <v>669</v>
      </c>
      <c r="M43" s="630"/>
      <c r="N43" s="943" t="s">
        <v>671</v>
      </c>
      <c r="O43" s="1222"/>
      <c r="P43" s="943" t="s">
        <v>671</v>
      </c>
      <c r="Q43" s="1222" t="s">
        <v>1364</v>
      </c>
      <c r="R43" s="943" t="s">
        <v>671</v>
      </c>
      <c r="S43" s="1222" t="s">
        <v>1364</v>
      </c>
      <c r="T43" s="943" t="s">
        <v>671</v>
      </c>
      <c r="U43" s="1222" t="s">
        <v>1364</v>
      </c>
    </row>
    <row r="44" spans="1:21" x14ac:dyDescent="0.35">
      <c r="A44" s="998"/>
      <c r="B44" s="1193"/>
      <c r="C44" s="642"/>
      <c r="D44" s="642"/>
      <c r="E44" s="642"/>
      <c r="F44" s="642"/>
      <c r="G44" s="646"/>
      <c r="H44" s="943"/>
      <c r="I44" s="630"/>
      <c r="J44" s="943"/>
      <c r="K44" s="630"/>
      <c r="L44" s="943"/>
      <c r="M44" s="630"/>
      <c r="N44" s="943"/>
      <c r="O44" s="1222"/>
      <c r="P44" s="943"/>
      <c r="Q44" s="630"/>
      <c r="R44" s="943"/>
      <c r="S44" s="632"/>
      <c r="T44" s="943"/>
      <c r="U44" s="632"/>
    </row>
    <row r="45" spans="1:21" x14ac:dyDescent="0.35">
      <c r="A45" s="998"/>
      <c r="B45" s="1193" t="s">
        <v>1369</v>
      </c>
      <c r="C45" s="642"/>
      <c r="D45" s="642"/>
      <c r="E45" s="642"/>
      <c r="F45" s="642"/>
      <c r="G45" s="646"/>
      <c r="H45" s="943" t="s">
        <v>669</v>
      </c>
      <c r="I45" s="630"/>
      <c r="J45" s="943" t="s">
        <v>669</v>
      </c>
      <c r="K45" s="630"/>
      <c r="L45" s="943" t="s">
        <v>669</v>
      </c>
      <c r="M45" s="630"/>
      <c r="N45" s="943" t="s">
        <v>669</v>
      </c>
      <c r="O45" s="630"/>
      <c r="P45" s="943" t="s">
        <v>669</v>
      </c>
      <c r="Q45" s="630"/>
      <c r="R45" s="943" t="s">
        <v>669</v>
      </c>
      <c r="S45" s="632"/>
      <c r="T45" s="943" t="s">
        <v>669</v>
      </c>
      <c r="U45" s="632"/>
    </row>
    <row r="46" spans="1:21" x14ac:dyDescent="0.35">
      <c r="A46" s="998"/>
      <c r="B46" s="1192"/>
      <c r="C46" s="642"/>
      <c r="D46" s="642"/>
      <c r="E46" s="642"/>
      <c r="F46" s="642"/>
      <c r="G46" s="646"/>
      <c r="H46" s="943"/>
      <c r="I46" s="630"/>
      <c r="J46" s="943"/>
      <c r="K46" s="630"/>
      <c r="L46" s="943"/>
      <c r="M46" s="630"/>
      <c r="N46" s="943"/>
      <c r="O46" s="630"/>
      <c r="P46" s="943"/>
      <c r="Q46" s="632"/>
      <c r="R46" s="943"/>
      <c r="S46" s="632"/>
      <c r="T46" s="943"/>
      <c r="U46" s="632"/>
    </row>
    <row r="47" spans="1:21" hidden="1" x14ac:dyDescent="0.35">
      <c r="A47" s="998"/>
      <c r="B47" s="1193"/>
      <c r="C47" s="642"/>
      <c r="D47" s="642"/>
      <c r="E47" s="642"/>
      <c r="F47" s="642"/>
      <c r="G47" s="646"/>
      <c r="H47" s="943"/>
      <c r="I47" s="630"/>
      <c r="J47" s="943"/>
      <c r="K47" s="630"/>
      <c r="L47" s="943"/>
      <c r="M47" s="630"/>
      <c r="N47" s="943"/>
      <c r="O47" s="630"/>
      <c r="P47" s="943"/>
      <c r="Q47" s="632"/>
      <c r="R47" s="943"/>
      <c r="S47" s="632"/>
      <c r="T47" s="943"/>
      <c r="U47" s="632"/>
    </row>
    <row r="48" spans="1:21" hidden="1" x14ac:dyDescent="0.35">
      <c r="A48" s="998"/>
      <c r="B48" s="1193"/>
      <c r="C48" s="642"/>
      <c r="D48" s="642"/>
      <c r="E48" s="642"/>
      <c r="F48" s="642"/>
      <c r="G48" s="646"/>
      <c r="H48" s="943"/>
      <c r="I48" s="630"/>
      <c r="J48" s="943"/>
      <c r="K48" s="630"/>
      <c r="L48" s="943"/>
      <c r="M48" s="630"/>
      <c r="N48" s="943"/>
      <c r="O48" s="630"/>
      <c r="P48" s="943"/>
      <c r="Q48" s="632"/>
      <c r="R48" s="943"/>
      <c r="S48" s="632"/>
      <c r="T48" s="943"/>
      <c r="U48" s="632"/>
    </row>
    <row r="49" spans="1:21" hidden="1" x14ac:dyDescent="0.35">
      <c r="A49" s="998"/>
      <c r="B49" s="1193"/>
      <c r="C49" s="642"/>
      <c r="D49" s="642"/>
      <c r="E49" s="642"/>
      <c r="F49" s="642"/>
      <c r="G49" s="646"/>
      <c r="H49" s="943"/>
      <c r="I49" s="630"/>
      <c r="J49" s="943"/>
      <c r="K49" s="630"/>
      <c r="L49" s="943"/>
      <c r="M49" s="630"/>
      <c r="N49" s="943"/>
      <c r="O49" s="630"/>
      <c r="P49" s="943"/>
      <c r="Q49" s="632"/>
      <c r="R49" s="943"/>
      <c r="S49" s="632"/>
      <c r="T49" s="943"/>
      <c r="U49" s="632"/>
    </row>
    <row r="50" spans="1:21" hidden="1" x14ac:dyDescent="0.35">
      <c r="A50" s="998"/>
      <c r="B50" s="1192"/>
      <c r="C50" s="642"/>
      <c r="D50" s="642"/>
      <c r="E50" s="642"/>
      <c r="F50" s="642"/>
      <c r="G50" s="646"/>
      <c r="H50" s="943"/>
      <c r="I50" s="630"/>
      <c r="J50" s="943"/>
      <c r="K50" s="630"/>
      <c r="L50" s="943"/>
      <c r="M50" s="630"/>
      <c r="N50" s="943"/>
      <c r="O50" s="630"/>
      <c r="P50" s="943"/>
      <c r="Q50" s="632"/>
      <c r="R50" s="943"/>
      <c r="S50" s="632"/>
      <c r="T50" s="943"/>
      <c r="U50" s="632"/>
    </row>
    <row r="51" spans="1:21" hidden="1" x14ac:dyDescent="0.35">
      <c r="A51" s="998"/>
      <c r="B51" s="1193"/>
      <c r="C51" s="642"/>
      <c r="D51" s="642"/>
      <c r="E51" s="642"/>
      <c r="F51" s="642"/>
      <c r="G51" s="646"/>
      <c r="H51" s="943"/>
      <c r="I51" s="630"/>
      <c r="J51" s="943"/>
      <c r="K51" s="630"/>
      <c r="L51" s="943"/>
      <c r="M51" s="630"/>
      <c r="N51" s="943"/>
      <c r="O51" s="630"/>
      <c r="P51" s="943"/>
      <c r="Q51" s="632"/>
      <c r="R51" s="943"/>
      <c r="S51" s="632"/>
      <c r="T51" s="943"/>
      <c r="U51" s="632"/>
    </row>
    <row r="52" spans="1:21" hidden="1" x14ac:dyDescent="0.35">
      <c r="A52" s="998"/>
      <c r="B52" s="1193"/>
      <c r="C52" s="642"/>
      <c r="D52" s="642"/>
      <c r="E52" s="642"/>
      <c r="F52" s="642"/>
      <c r="G52" s="646"/>
      <c r="H52" s="943"/>
      <c r="I52" s="630"/>
      <c r="J52" s="943"/>
      <c r="K52" s="630"/>
      <c r="L52" s="943"/>
      <c r="M52" s="630"/>
      <c r="N52" s="943"/>
      <c r="O52" s="630"/>
      <c r="P52" s="943"/>
      <c r="Q52" s="632"/>
      <c r="R52" s="943"/>
      <c r="S52" s="632"/>
      <c r="T52" s="943"/>
      <c r="U52" s="632"/>
    </row>
    <row r="53" spans="1:21" hidden="1" x14ac:dyDescent="0.35">
      <c r="A53" s="998"/>
      <c r="B53" s="1193"/>
      <c r="C53" s="642"/>
      <c r="D53" s="642"/>
      <c r="E53" s="642"/>
      <c r="F53" s="642"/>
      <c r="G53" s="646"/>
      <c r="H53" s="943"/>
      <c r="I53" s="630"/>
      <c r="J53" s="943"/>
      <c r="K53" s="630"/>
      <c r="L53" s="943"/>
      <c r="M53" s="630"/>
      <c r="N53" s="943"/>
      <c r="O53" s="630"/>
      <c r="P53" s="943"/>
      <c r="Q53" s="632"/>
      <c r="R53" s="943"/>
      <c r="S53" s="632"/>
      <c r="T53" s="943"/>
      <c r="U53" s="632"/>
    </row>
    <row r="54" spans="1:21" hidden="1" x14ac:dyDescent="0.35">
      <c r="A54" s="998"/>
      <c r="B54" s="1192"/>
      <c r="C54" s="642"/>
      <c r="D54" s="642"/>
      <c r="E54" s="642"/>
      <c r="F54" s="642"/>
      <c r="G54" s="646"/>
      <c r="H54" s="943"/>
      <c r="I54" s="630"/>
      <c r="J54" s="943"/>
      <c r="K54" s="630"/>
      <c r="L54" s="943"/>
      <c r="M54" s="630"/>
      <c r="N54" s="943"/>
      <c r="O54" s="630"/>
      <c r="P54" s="943"/>
      <c r="Q54" s="632"/>
      <c r="R54" s="943"/>
      <c r="S54" s="632"/>
      <c r="T54" s="943"/>
      <c r="U54" s="632"/>
    </row>
    <row r="55" spans="1:21" hidden="1" x14ac:dyDescent="0.35">
      <c r="A55" s="998"/>
      <c r="B55" s="1193"/>
      <c r="C55" s="642"/>
      <c r="D55" s="642"/>
      <c r="E55" s="642"/>
      <c r="F55" s="642"/>
      <c r="G55" s="646"/>
      <c r="H55" s="943"/>
      <c r="I55" s="630"/>
      <c r="J55" s="943"/>
      <c r="K55" s="630"/>
      <c r="L55" s="943"/>
      <c r="M55" s="630"/>
      <c r="N55" s="943"/>
      <c r="O55" s="630"/>
      <c r="P55" s="943"/>
      <c r="Q55" s="632"/>
      <c r="R55" s="943"/>
      <c r="S55" s="632"/>
      <c r="T55" s="943"/>
      <c r="U55" s="632"/>
    </row>
    <row r="56" spans="1:21" hidden="1" x14ac:dyDescent="0.35">
      <c r="A56" s="998"/>
      <c r="B56" s="1193"/>
      <c r="C56" s="642"/>
      <c r="D56" s="642"/>
      <c r="E56" s="642"/>
      <c r="F56" s="642"/>
      <c r="G56" s="646"/>
      <c r="H56" s="943"/>
      <c r="I56" s="630"/>
      <c r="J56" s="943"/>
      <c r="K56" s="630"/>
      <c r="L56" s="943"/>
      <c r="M56" s="630"/>
      <c r="N56" s="943"/>
      <c r="O56" s="630"/>
      <c r="P56" s="943"/>
      <c r="Q56" s="632"/>
      <c r="R56" s="943"/>
      <c r="S56" s="632"/>
      <c r="T56" s="943"/>
      <c r="U56" s="632"/>
    </row>
    <row r="57" spans="1:21" hidden="1" x14ac:dyDescent="0.35">
      <c r="A57" s="998"/>
      <c r="B57" s="1193"/>
      <c r="C57" s="642"/>
      <c r="D57" s="642"/>
      <c r="E57" s="642"/>
      <c r="F57" s="642"/>
      <c r="G57" s="646"/>
      <c r="H57" s="943"/>
      <c r="I57" s="630"/>
      <c r="J57" s="943"/>
      <c r="K57" s="630"/>
      <c r="L57" s="943"/>
      <c r="M57" s="630"/>
      <c r="N57" s="943"/>
      <c r="O57" s="630"/>
      <c r="P57" s="943"/>
      <c r="Q57" s="632"/>
      <c r="R57" s="943"/>
      <c r="S57" s="632"/>
      <c r="T57" s="943"/>
      <c r="U57" s="632"/>
    </row>
    <row r="58" spans="1:21" x14ac:dyDescent="0.35">
      <c r="A58" s="14"/>
      <c r="B58" s="15"/>
      <c r="C58" s="16"/>
      <c r="D58" s="16"/>
      <c r="E58" s="17"/>
      <c r="F58" s="18" t="s">
        <v>715</v>
      </c>
      <c r="G58" s="19"/>
      <c r="H58" s="20"/>
      <c r="I58" s="50">
        <f>SUM(I25:I57)</f>
        <v>243815</v>
      </c>
      <c r="J58" s="20"/>
      <c r="K58" s="50">
        <f>SUM(K25:K57)</f>
        <v>224365</v>
      </c>
      <c r="L58" s="20"/>
      <c r="M58" s="50">
        <f>SUM(M25:M57)</f>
        <v>429610</v>
      </c>
      <c r="N58" s="20"/>
      <c r="O58" s="50">
        <f>SUM(O24:O57)</f>
        <v>429491.63</v>
      </c>
      <c r="P58" s="20"/>
      <c r="Q58" s="50">
        <f>SUM(Q24:Q57)</f>
        <v>280484</v>
      </c>
      <c r="R58" s="20"/>
      <c r="S58" s="50">
        <f>SUM(S25:S57)</f>
        <v>69600.600000000006</v>
      </c>
      <c r="T58" s="20"/>
      <c r="U58" s="50">
        <f>SUM(U25:U57)</f>
        <v>324390</v>
      </c>
    </row>
    <row r="59" spans="1:21" x14ac:dyDescent="0.35">
      <c r="A59" s="684"/>
      <c r="B59" s="655"/>
      <c r="C59" s="656"/>
      <c r="D59" s="656"/>
      <c r="E59" s="657"/>
      <c r="F59" s="658" t="s">
        <v>716</v>
      </c>
      <c r="G59" s="659"/>
      <c r="H59" s="959">
        <v>0</v>
      </c>
      <c r="I59" s="1121"/>
      <c r="J59" s="959">
        <v>0</v>
      </c>
      <c r="K59" s="1121"/>
      <c r="L59" s="959">
        <v>0</v>
      </c>
      <c r="M59" s="1121"/>
      <c r="N59" s="959">
        <v>0</v>
      </c>
      <c r="O59" s="1121"/>
      <c r="P59" s="959">
        <v>0</v>
      </c>
      <c r="Q59" s="1121"/>
      <c r="R59" s="959">
        <v>0</v>
      </c>
      <c r="S59" s="1121"/>
      <c r="T59" s="959">
        <v>0</v>
      </c>
      <c r="U59" s="1121"/>
    </row>
    <row r="60" spans="1:21" x14ac:dyDescent="0.35">
      <c r="A60" s="684"/>
      <c r="B60" s="655"/>
      <c r="C60" s="656"/>
      <c r="D60" s="656"/>
      <c r="E60" s="657"/>
      <c r="F60" s="658" t="s">
        <v>717</v>
      </c>
      <c r="G60" s="659"/>
      <c r="H60" s="961"/>
      <c r="I60" s="1122">
        <f>H59*$I$58</f>
        <v>0</v>
      </c>
      <c r="J60" s="961"/>
      <c r="K60" s="1122">
        <f>J59*$I$58</f>
        <v>0</v>
      </c>
      <c r="L60" s="961"/>
      <c r="M60" s="1122">
        <f>L59*$M$58</f>
        <v>0</v>
      </c>
      <c r="N60" s="961"/>
      <c r="O60" s="1122">
        <f>N59*$O$58</f>
        <v>0</v>
      </c>
      <c r="P60" s="961"/>
      <c r="Q60" s="1122">
        <f>P59*$Q$58</f>
        <v>0</v>
      </c>
      <c r="R60" s="961"/>
      <c r="S60" s="1122">
        <f>R59*$S$58</f>
        <v>0</v>
      </c>
      <c r="T60" s="961"/>
      <c r="U60" s="1122">
        <f>T59*U58</f>
        <v>0</v>
      </c>
    </row>
    <row r="61" spans="1:21" x14ac:dyDescent="0.35">
      <c r="A61" s="684"/>
      <c r="B61" s="655"/>
      <c r="C61" s="656"/>
      <c r="D61" s="656"/>
      <c r="E61" s="657"/>
      <c r="F61" s="658"/>
      <c r="G61" s="659"/>
      <c r="H61" s="1123"/>
      <c r="I61" s="962"/>
      <c r="J61" s="1123"/>
      <c r="K61" s="962"/>
      <c r="L61" s="961"/>
      <c r="M61" s="963"/>
      <c r="N61" s="961"/>
      <c r="O61" s="963"/>
      <c r="P61" s="961"/>
      <c r="Q61" s="963"/>
      <c r="R61" s="961"/>
      <c r="S61" s="963"/>
      <c r="T61" s="961"/>
      <c r="U61" s="963"/>
    </row>
    <row r="62" spans="1:21" x14ac:dyDescent="0.35">
      <c r="A62" s="684"/>
      <c r="B62" s="655"/>
      <c r="C62" s="656"/>
      <c r="D62" s="656"/>
      <c r="E62" s="657"/>
      <c r="F62" s="658" t="s">
        <v>718</v>
      </c>
      <c r="G62" s="659"/>
      <c r="H62" s="964"/>
      <c r="I62" s="962">
        <f>SUM(I58:I61)</f>
        <v>243815</v>
      </c>
      <c r="J62" s="964"/>
      <c r="K62" s="962">
        <f>SUM(K58:K61)</f>
        <v>224365</v>
      </c>
      <c r="L62" s="964"/>
      <c r="M62" s="962">
        <f>SUM(M58:M60)</f>
        <v>429610</v>
      </c>
      <c r="N62" s="964"/>
      <c r="O62" s="962">
        <f>SUM(O58:O60)</f>
        <v>429491.63</v>
      </c>
      <c r="P62" s="964"/>
      <c r="Q62" s="962">
        <f>SUM(Q58:Q60)</f>
        <v>280484</v>
      </c>
      <c r="R62" s="964"/>
      <c r="S62" s="962">
        <f>SUM(S58:S60)</f>
        <v>69600.600000000006</v>
      </c>
      <c r="T62" s="964"/>
      <c r="U62" s="962">
        <f>SUM(U58:U60)</f>
        <v>324390</v>
      </c>
    </row>
    <row r="63" spans="1:21" x14ac:dyDescent="0.35">
      <c r="A63" s="684"/>
      <c r="B63" s="655"/>
      <c r="C63" s="656"/>
      <c r="D63" s="656"/>
      <c r="E63" s="657"/>
      <c r="F63" s="660" t="s">
        <v>719</v>
      </c>
      <c r="G63" s="661"/>
      <c r="H63" s="965"/>
      <c r="I63" s="966" t="e">
        <f>I62/#REF!</f>
        <v>#REF!</v>
      </c>
      <c r="J63" s="965"/>
      <c r="K63" s="966" t="e">
        <f>K62/#REF!</f>
        <v>#REF!</v>
      </c>
      <c r="L63" s="965"/>
      <c r="M63" s="966" t="e">
        <f>M62/#REF!</f>
        <v>#REF!</v>
      </c>
      <c r="N63" s="965"/>
      <c r="O63" s="966" t="e">
        <f>O62/#REF!</f>
        <v>#REF!</v>
      </c>
      <c r="P63" s="965"/>
      <c r="Q63" s="966" t="e">
        <f>Q62/#REF!</f>
        <v>#REF!</v>
      </c>
      <c r="R63" s="965"/>
      <c r="S63" s="966" t="e">
        <f>S62/#REF!</f>
        <v>#REF!</v>
      </c>
      <c r="T63" s="965"/>
      <c r="U63" s="966" t="e">
        <f>U62/#REF!</f>
        <v>#REF!</v>
      </c>
    </row>
    <row r="64" spans="1:21" x14ac:dyDescent="0.35">
      <c r="A64" s="684"/>
      <c r="B64" s="655"/>
      <c r="C64" s="656"/>
      <c r="D64" s="656"/>
      <c r="E64" s="657"/>
      <c r="F64" s="660" t="s">
        <v>720</v>
      </c>
      <c r="G64" s="662"/>
      <c r="H64" s="965"/>
      <c r="I64" s="966" t="e">
        <f>I62/#REF!</f>
        <v>#REF!</v>
      </c>
      <c r="J64" s="965"/>
      <c r="K64" s="966" t="e">
        <f>K62/#REF!</f>
        <v>#REF!</v>
      </c>
      <c r="L64" s="965"/>
      <c r="M64" s="966" t="e">
        <f>M62/#REF!</f>
        <v>#REF!</v>
      </c>
      <c r="N64" s="965"/>
      <c r="O64" s="966" t="e">
        <f>O62/#REF!</f>
        <v>#REF!</v>
      </c>
      <c r="P64" s="965"/>
      <c r="Q64" s="966" t="e">
        <f>Q62/#REF!</f>
        <v>#REF!</v>
      </c>
      <c r="R64" s="965"/>
      <c r="S64" s="966" t="e">
        <f>S62/#REF!</f>
        <v>#REF!</v>
      </c>
      <c r="T64" s="965"/>
      <c r="U64" s="966" t="e">
        <f>U62/#REF!</f>
        <v>#REF!</v>
      </c>
    </row>
    <row r="65" spans="1:21" x14ac:dyDescent="0.35">
      <c r="A65" s="684"/>
      <c r="B65" s="655"/>
      <c r="C65" s="656"/>
      <c r="D65" s="656"/>
      <c r="E65" s="657"/>
      <c r="F65" s="658"/>
      <c r="G65" s="663"/>
      <c r="H65" s="1168"/>
      <c r="I65" s="1169"/>
      <c r="J65" s="1168"/>
      <c r="K65" s="1169"/>
      <c r="L65" s="967"/>
      <c r="M65" s="967"/>
      <c r="N65" s="967"/>
      <c r="O65" s="967"/>
      <c r="P65" s="967"/>
      <c r="Q65" s="967"/>
      <c r="R65" s="967"/>
      <c r="S65" s="967"/>
      <c r="T65" s="967"/>
      <c r="U65" s="967"/>
    </row>
    <row r="66" spans="1:21" x14ac:dyDescent="0.35">
      <c r="A66" s="3764" t="s">
        <v>721</v>
      </c>
      <c r="B66" s="3765"/>
      <c r="C66" s="12"/>
      <c r="D66" s="12"/>
      <c r="E66" s="12"/>
      <c r="F66" s="12"/>
      <c r="G66" s="13"/>
      <c r="H66" s="21"/>
      <c r="I66" s="21"/>
      <c r="J66" s="21"/>
      <c r="K66" s="21"/>
      <c r="L66" s="21"/>
      <c r="M66" s="21"/>
      <c r="N66" s="21"/>
      <c r="O66" s="21"/>
      <c r="P66" s="21"/>
      <c r="Q66" s="21"/>
      <c r="R66" s="21"/>
      <c r="S66" s="21"/>
      <c r="T66" s="21"/>
      <c r="U66" s="21"/>
    </row>
    <row r="67" spans="1:21" x14ac:dyDescent="0.35">
      <c r="A67" s="968"/>
      <c r="B67" s="641"/>
      <c r="C67" s="707"/>
      <c r="D67" s="707"/>
      <c r="E67" s="707"/>
      <c r="F67" s="707"/>
      <c r="G67" s="1195"/>
      <c r="H67" s="972"/>
      <c r="I67" s="972"/>
      <c r="J67" s="972"/>
      <c r="K67" s="972"/>
      <c r="L67" s="972"/>
      <c r="M67" s="972"/>
      <c r="N67" s="972"/>
      <c r="O67" s="972"/>
      <c r="P67" s="972"/>
      <c r="Q67" s="972"/>
      <c r="R67" s="972"/>
      <c r="S67" s="972"/>
      <c r="T67" s="972"/>
      <c r="U67" s="972"/>
    </row>
    <row r="68" spans="1:21" x14ac:dyDescent="0.35">
      <c r="A68" s="968"/>
      <c r="B68" s="641"/>
      <c r="C68" s="707"/>
      <c r="D68" s="707"/>
      <c r="E68" s="707"/>
      <c r="F68" s="707"/>
      <c r="G68" s="1195"/>
      <c r="H68" s="972"/>
      <c r="I68" s="972"/>
      <c r="J68" s="972"/>
      <c r="K68" s="972"/>
      <c r="L68" s="972"/>
      <c r="M68" s="972"/>
      <c r="N68" s="972"/>
      <c r="O68" s="972"/>
      <c r="P68" s="972"/>
      <c r="Q68" s="972"/>
      <c r="R68" s="972"/>
      <c r="S68" s="972"/>
      <c r="T68" s="972"/>
      <c r="U68" s="972"/>
    </row>
    <row r="69" spans="1:21" x14ac:dyDescent="0.35">
      <c r="A69" s="968"/>
      <c r="B69" s="641"/>
      <c r="C69" s="707"/>
      <c r="D69" s="707"/>
      <c r="E69" s="707"/>
      <c r="F69" s="707"/>
      <c r="G69" s="1195"/>
      <c r="H69" s="972"/>
      <c r="I69" s="972"/>
      <c r="J69" s="972"/>
      <c r="K69" s="972"/>
      <c r="L69" s="972"/>
      <c r="M69" s="972"/>
      <c r="N69" s="972"/>
      <c r="O69" s="972"/>
      <c r="P69" s="972"/>
      <c r="Q69" s="972"/>
      <c r="R69" s="972"/>
      <c r="S69" s="972"/>
      <c r="T69" s="972"/>
      <c r="U69" s="972"/>
    </row>
    <row r="70" spans="1:21" s="2" customFormat="1" x14ac:dyDescent="0.35">
      <c r="A70" s="3764" t="s">
        <v>722</v>
      </c>
      <c r="B70" s="3765"/>
      <c r="C70" s="12"/>
      <c r="D70" s="12"/>
      <c r="E70" s="12"/>
      <c r="F70" s="12"/>
      <c r="G70" s="13"/>
      <c r="H70" s="21"/>
      <c r="I70" s="21"/>
      <c r="J70" s="21"/>
      <c r="K70" s="21"/>
      <c r="L70" s="21"/>
      <c r="M70" s="21"/>
      <c r="N70" s="21"/>
      <c r="O70" s="21"/>
      <c r="P70" s="21"/>
      <c r="Q70" s="21"/>
      <c r="R70" s="21"/>
      <c r="S70" s="21"/>
      <c r="T70" s="21"/>
      <c r="U70" s="21"/>
    </row>
    <row r="71" spans="1:21" s="2" customFormat="1" x14ac:dyDescent="0.35">
      <c r="A71" s="968"/>
      <c r="B71" s="641"/>
      <c r="C71" s="707"/>
      <c r="D71" s="707"/>
      <c r="E71" s="707"/>
      <c r="F71" s="707"/>
      <c r="G71" s="1195"/>
      <c r="H71" s="972"/>
      <c r="I71" s="972"/>
      <c r="J71" s="972"/>
      <c r="K71" s="972"/>
      <c r="L71" s="972"/>
      <c r="M71" s="972"/>
      <c r="N71" s="972"/>
      <c r="O71" s="972"/>
      <c r="P71" s="972"/>
      <c r="Q71" s="972"/>
      <c r="R71" s="972"/>
      <c r="S71" s="972"/>
      <c r="T71" s="972"/>
      <c r="U71" s="972"/>
    </row>
    <row r="72" spans="1:21" s="2" customFormat="1" x14ac:dyDescent="0.35">
      <c r="A72" s="968"/>
      <c r="B72" s="641"/>
      <c r="C72" s="707"/>
      <c r="D72" s="707"/>
      <c r="E72" s="707"/>
      <c r="F72" s="707"/>
      <c r="G72" s="1195"/>
      <c r="H72" s="972"/>
      <c r="I72" s="972"/>
      <c r="J72" s="972"/>
      <c r="K72" s="972"/>
      <c r="L72" s="972"/>
      <c r="M72" s="972"/>
      <c r="N72" s="972"/>
      <c r="O72" s="972"/>
      <c r="P72" s="972"/>
      <c r="Q72" s="972"/>
      <c r="R72" s="972"/>
      <c r="S72" s="972"/>
      <c r="T72" s="972"/>
      <c r="U72" s="972"/>
    </row>
    <row r="73" spans="1:21" x14ac:dyDescent="0.35">
      <c r="A73" s="968"/>
      <c r="B73" s="641"/>
      <c r="C73" s="707"/>
      <c r="D73" s="707"/>
      <c r="E73" s="707"/>
      <c r="F73" s="707"/>
      <c r="G73" s="1195"/>
      <c r="H73" s="972"/>
      <c r="I73" s="972"/>
      <c r="J73" s="972"/>
      <c r="K73" s="972"/>
      <c r="L73" s="972"/>
      <c r="M73" s="972"/>
      <c r="N73" s="972"/>
      <c r="O73" s="972"/>
      <c r="P73" s="972"/>
      <c r="Q73" s="972"/>
      <c r="R73" s="972"/>
      <c r="S73" s="972"/>
      <c r="T73" s="972"/>
      <c r="U73" s="972"/>
    </row>
    <row r="74" spans="1:21" s="2" customFormat="1" x14ac:dyDescent="0.35">
      <c r="A74" s="3764" t="s">
        <v>723</v>
      </c>
      <c r="B74" s="3765"/>
      <c r="C74" s="12"/>
      <c r="D74" s="12"/>
      <c r="E74" s="12"/>
      <c r="F74" s="12"/>
      <c r="G74" s="13"/>
      <c r="H74" s="21"/>
      <c r="I74" s="21"/>
      <c r="J74" s="21"/>
      <c r="K74" s="21"/>
      <c r="L74" s="21"/>
      <c r="M74" s="21"/>
      <c r="N74" s="21"/>
      <c r="O74" s="21"/>
      <c r="P74" s="21"/>
      <c r="Q74" s="21"/>
      <c r="R74" s="21"/>
      <c r="S74" s="21"/>
      <c r="T74" s="21"/>
      <c r="U74" s="21"/>
    </row>
    <row r="75" spans="1:21" s="2" customFormat="1" x14ac:dyDescent="0.35">
      <c r="A75" s="968"/>
      <c r="B75" s="641"/>
      <c r="C75" s="707"/>
      <c r="D75" s="707"/>
      <c r="E75" s="707"/>
      <c r="F75" s="707"/>
      <c r="G75" s="1195"/>
      <c r="H75" s="972"/>
      <c r="I75" s="972"/>
      <c r="J75" s="972"/>
      <c r="K75" s="972"/>
      <c r="L75" s="972"/>
      <c r="M75" s="972"/>
      <c r="N75" s="972"/>
      <c r="O75" s="972"/>
      <c r="P75" s="972"/>
      <c r="Q75" s="972"/>
      <c r="R75" s="972"/>
      <c r="S75" s="972"/>
      <c r="T75" s="972"/>
      <c r="U75" s="972"/>
    </row>
    <row r="76" spans="1:21" s="2" customFormat="1" x14ac:dyDescent="0.35">
      <c r="A76" s="689"/>
      <c r="B76" s="641"/>
      <c r="C76" s="642"/>
      <c r="D76" s="642"/>
      <c r="E76" s="642"/>
      <c r="F76" s="642"/>
      <c r="G76" s="646"/>
      <c r="H76" s="973"/>
      <c r="I76" s="973"/>
      <c r="J76" s="973"/>
      <c r="K76" s="973"/>
      <c r="L76" s="973"/>
      <c r="M76" s="973"/>
      <c r="N76" s="973"/>
      <c r="O76" s="973"/>
      <c r="P76" s="973"/>
      <c r="Q76" s="973"/>
      <c r="R76" s="973"/>
      <c r="S76" s="973"/>
      <c r="T76" s="973"/>
      <c r="U76" s="973"/>
    </row>
    <row r="77" spans="1:21" s="2" customFormat="1" x14ac:dyDescent="0.35">
      <c r="A77" s="686"/>
      <c r="B77" s="665"/>
      <c r="C77" s="642"/>
      <c r="D77" s="642"/>
      <c r="E77" s="642"/>
      <c r="F77" s="642"/>
      <c r="G77" s="646"/>
      <c r="H77" s="974"/>
      <c r="I77" s="974"/>
      <c r="J77" s="974"/>
      <c r="K77" s="974"/>
      <c r="L77" s="974"/>
      <c r="M77" s="974"/>
      <c r="N77" s="974"/>
      <c r="O77" s="974"/>
      <c r="P77" s="974"/>
      <c r="Q77" s="974"/>
      <c r="R77" s="974"/>
      <c r="S77" s="974"/>
      <c r="T77" s="974"/>
      <c r="U77" s="974"/>
    </row>
    <row r="78" spans="1:21" s="2" customFormat="1" x14ac:dyDescent="0.35">
      <c r="A78" s="3764" t="s">
        <v>724</v>
      </c>
      <c r="B78" s="3765"/>
      <c r="C78" s="12"/>
      <c r="D78" s="12"/>
      <c r="E78" s="12"/>
      <c r="F78" s="12"/>
      <c r="G78" s="13"/>
      <c r="H78" s="21"/>
      <c r="I78" s="21"/>
      <c r="J78" s="21"/>
      <c r="K78" s="21"/>
      <c r="L78" s="21"/>
      <c r="M78" s="21"/>
      <c r="N78" s="21"/>
      <c r="O78" s="21"/>
      <c r="P78" s="21"/>
      <c r="Q78" s="21"/>
      <c r="R78" s="21"/>
      <c r="S78" s="21"/>
      <c r="T78" s="21"/>
      <c r="U78" s="21"/>
    </row>
    <row r="79" spans="1:21" x14ac:dyDescent="0.35">
      <c r="A79" s="975"/>
      <c r="B79" s="708"/>
      <c r="C79" s="707"/>
      <c r="D79" s="707"/>
      <c r="E79" s="707"/>
      <c r="F79" s="707"/>
      <c r="G79" s="1195"/>
      <c r="H79" s="972"/>
      <c r="I79" s="972"/>
      <c r="J79" s="972"/>
      <c r="K79" s="972"/>
      <c r="L79" s="972"/>
      <c r="M79" s="972"/>
      <c r="N79" s="972"/>
      <c r="O79" s="972"/>
      <c r="P79" s="972"/>
      <c r="Q79" s="972"/>
      <c r="R79" s="972"/>
      <c r="S79" s="972"/>
      <c r="T79" s="972"/>
      <c r="U79" s="972"/>
    </row>
    <row r="80" spans="1:21" x14ac:dyDescent="0.35">
      <c r="A80" s="686"/>
      <c r="B80" s="665"/>
      <c r="C80" s="642"/>
      <c r="D80" s="642"/>
      <c r="E80" s="642"/>
      <c r="F80" s="642"/>
      <c r="G80" s="646"/>
      <c r="H80" s="977"/>
      <c r="I80" s="977"/>
      <c r="J80" s="977"/>
      <c r="K80" s="977"/>
      <c r="L80" s="977"/>
      <c r="M80" s="977"/>
      <c r="N80" s="977"/>
      <c r="O80" s="977"/>
      <c r="P80" s="977"/>
      <c r="Q80" s="977"/>
      <c r="R80" s="977"/>
      <c r="S80" s="977"/>
      <c r="T80" s="977"/>
      <c r="U80" s="977"/>
    </row>
    <row r="81" spans="1:21" x14ac:dyDescent="0.35">
      <c r="A81" s="686"/>
      <c r="B81" s="665"/>
      <c r="C81" s="642"/>
      <c r="D81" s="642"/>
      <c r="E81" s="642"/>
      <c r="F81" s="642"/>
      <c r="G81" s="646"/>
      <c r="H81" s="977"/>
      <c r="I81" s="977"/>
      <c r="J81" s="977"/>
      <c r="K81" s="977"/>
      <c r="L81" s="977"/>
      <c r="M81" s="977"/>
      <c r="N81" s="977"/>
      <c r="O81" s="977"/>
      <c r="P81" s="977"/>
      <c r="Q81" s="977"/>
      <c r="R81" s="977"/>
      <c r="S81" s="977"/>
      <c r="T81" s="977"/>
      <c r="U81" s="977"/>
    </row>
    <row r="82" spans="1:21" x14ac:dyDescent="0.35">
      <c r="A82" s="3764" t="s">
        <v>725</v>
      </c>
      <c r="B82" s="3765"/>
      <c r="C82" s="12"/>
      <c r="D82" s="12"/>
      <c r="E82" s="12"/>
      <c r="F82" s="12"/>
      <c r="G82" s="13"/>
      <c r="H82" s="21"/>
      <c r="I82" s="21"/>
      <c r="J82" s="21"/>
      <c r="K82" s="21"/>
      <c r="L82" s="21"/>
      <c r="M82" s="21"/>
      <c r="N82" s="21"/>
      <c r="O82" s="21"/>
      <c r="P82" s="21"/>
      <c r="Q82" s="21"/>
      <c r="R82" s="21"/>
      <c r="S82" s="21"/>
      <c r="T82" s="21"/>
      <c r="U82" s="21"/>
    </row>
    <row r="83" spans="1:21" x14ac:dyDescent="0.35">
      <c r="A83" s="689"/>
      <c r="B83" s="641" t="s">
        <v>726</v>
      </c>
      <c r="C83" s="642"/>
      <c r="D83" s="642"/>
      <c r="E83" s="642"/>
      <c r="F83" s="642"/>
      <c r="G83" s="646"/>
      <c r="H83" s="977"/>
      <c r="I83" s="977"/>
      <c r="J83" s="977"/>
      <c r="K83" s="977"/>
      <c r="L83" s="977"/>
      <c r="M83" s="977"/>
      <c r="N83" s="977"/>
      <c r="O83" s="977"/>
      <c r="P83" s="977"/>
      <c r="Q83" s="977"/>
      <c r="R83" s="977"/>
      <c r="S83" s="977"/>
      <c r="T83" s="977"/>
      <c r="U83" s="977"/>
    </row>
    <row r="84" spans="1:21" x14ac:dyDescent="0.35">
      <c r="A84" s="689"/>
      <c r="B84" s="641" t="s">
        <v>727</v>
      </c>
      <c r="C84" s="642"/>
      <c r="D84" s="642"/>
      <c r="E84" s="642"/>
      <c r="F84" s="642"/>
      <c r="G84" s="646"/>
      <c r="H84" s="977"/>
      <c r="I84" s="977"/>
      <c r="J84" s="977"/>
      <c r="K84" s="977"/>
      <c r="L84" s="977"/>
      <c r="M84" s="977"/>
      <c r="N84" s="977"/>
      <c r="O84" s="977"/>
      <c r="P84" s="977"/>
      <c r="Q84" s="977"/>
      <c r="R84" s="977"/>
      <c r="S84" s="977"/>
      <c r="T84" s="977"/>
      <c r="U84" s="977"/>
    </row>
    <row r="85" spans="1:21" x14ac:dyDescent="0.35">
      <c r="A85" s="689"/>
      <c r="B85" s="641" t="s">
        <v>728</v>
      </c>
      <c r="C85" s="642"/>
      <c r="D85" s="642"/>
      <c r="E85" s="642"/>
      <c r="F85" s="642"/>
      <c r="G85" s="646"/>
      <c r="H85" s="977"/>
      <c r="I85" s="977"/>
      <c r="J85" s="977"/>
      <c r="K85" s="977"/>
      <c r="L85" s="977"/>
      <c r="M85" s="977"/>
      <c r="N85" s="977"/>
      <c r="O85" s="977"/>
      <c r="P85" s="977"/>
      <c r="Q85" s="977"/>
      <c r="R85" s="977"/>
      <c r="S85" s="977"/>
      <c r="T85" s="977"/>
      <c r="U85" s="977"/>
    </row>
    <row r="86" spans="1:21" x14ac:dyDescent="0.35">
      <c r="A86" s="689"/>
      <c r="B86" s="641" t="s">
        <v>729</v>
      </c>
      <c r="C86" s="642"/>
      <c r="D86" s="642"/>
      <c r="E86" s="642"/>
      <c r="F86" s="642"/>
      <c r="G86" s="646"/>
      <c r="H86" s="977"/>
      <c r="I86" s="977"/>
      <c r="J86" s="977"/>
      <c r="K86" s="977"/>
      <c r="L86" s="977"/>
      <c r="M86" s="977"/>
      <c r="N86" s="977"/>
      <c r="O86" s="977"/>
      <c r="P86" s="977"/>
      <c r="Q86" s="977"/>
      <c r="R86" s="977"/>
      <c r="S86" s="977"/>
      <c r="T86" s="977"/>
      <c r="U86" s="977"/>
    </row>
    <row r="87" spans="1:21" x14ac:dyDescent="0.35">
      <c r="A87" s="978"/>
      <c r="B87" s="939"/>
      <c r="C87" s="940"/>
      <c r="D87" s="940"/>
      <c r="E87" s="940"/>
      <c r="F87" s="940"/>
      <c r="G87" s="1039"/>
      <c r="H87" s="981"/>
      <c r="I87" s="981"/>
      <c r="J87" s="981"/>
      <c r="K87" s="981"/>
      <c r="L87" s="981"/>
      <c r="M87" s="981"/>
      <c r="N87" s="981"/>
      <c r="O87" s="981"/>
      <c r="P87" s="981"/>
      <c r="Q87" s="981"/>
      <c r="R87" s="981"/>
      <c r="S87" s="981"/>
      <c r="T87" s="981"/>
      <c r="U87" s="981"/>
    </row>
    <row r="88" spans="1:21" x14ac:dyDescent="0.35">
      <c r="A88" s="7" t="s">
        <v>730</v>
      </c>
      <c r="B88" s="8"/>
      <c r="C88" s="12"/>
      <c r="D88" s="12"/>
      <c r="E88" s="12"/>
      <c r="F88" s="12"/>
      <c r="G88" s="13"/>
      <c r="H88" s="21"/>
      <c r="I88" s="21"/>
      <c r="J88" s="21"/>
      <c r="K88" s="21"/>
      <c r="L88" s="21"/>
      <c r="M88" s="21"/>
      <c r="N88" s="21"/>
      <c r="O88" s="21"/>
      <c r="P88" s="21"/>
      <c r="Q88" s="21"/>
      <c r="R88" s="21"/>
      <c r="S88" s="21"/>
      <c r="T88" s="21"/>
      <c r="U88" s="21"/>
    </row>
    <row r="89" spans="1:21" x14ac:dyDescent="0.35">
      <c r="A89" s="968"/>
      <c r="B89" s="709" t="s">
        <v>731</v>
      </c>
      <c r="C89" s="707"/>
      <c r="D89" s="707"/>
      <c r="E89" s="707"/>
      <c r="F89" s="707"/>
      <c r="G89" s="1195"/>
      <c r="H89" s="983"/>
      <c r="I89" s="983"/>
      <c r="J89" s="983"/>
      <c r="K89" s="983"/>
      <c r="L89" s="983"/>
      <c r="M89" s="983"/>
      <c r="N89" s="983"/>
      <c r="O89" s="983"/>
      <c r="P89" s="983"/>
      <c r="Q89" s="983"/>
      <c r="R89" s="983"/>
      <c r="S89" s="983"/>
      <c r="T89" s="983"/>
      <c r="U89" s="983"/>
    </row>
    <row r="90" spans="1:21" x14ac:dyDescent="0.35">
      <c r="A90" s="689"/>
      <c r="B90" s="641" t="s">
        <v>732</v>
      </c>
      <c r="C90" s="642"/>
      <c r="D90" s="642"/>
      <c r="E90" s="642"/>
      <c r="F90" s="642"/>
      <c r="G90" s="646"/>
      <c r="H90" s="984"/>
      <c r="I90" s="984"/>
      <c r="J90" s="984"/>
      <c r="K90" s="984"/>
      <c r="L90" s="984"/>
      <c r="M90" s="984"/>
      <c r="N90" s="984"/>
      <c r="O90" s="984"/>
      <c r="P90" s="984"/>
      <c r="Q90" s="984"/>
      <c r="R90" s="984"/>
      <c r="S90" s="984"/>
      <c r="T90" s="984"/>
      <c r="U90" s="984"/>
    </row>
    <row r="91" spans="1:21" x14ac:dyDescent="0.35">
      <c r="A91" s="985"/>
      <c r="B91" s="986" t="s">
        <v>733</v>
      </c>
      <c r="C91" s="987"/>
      <c r="D91" s="987"/>
      <c r="E91" s="987"/>
      <c r="F91" s="987"/>
      <c r="G91" s="1040"/>
      <c r="H91" s="990"/>
      <c r="I91" s="990"/>
      <c r="J91" s="990"/>
      <c r="K91" s="990"/>
      <c r="L91" s="990"/>
      <c r="M91" s="990"/>
      <c r="N91" s="990"/>
      <c r="O91" s="990"/>
      <c r="P91" s="990"/>
      <c r="Q91" s="990"/>
      <c r="R91" s="990"/>
      <c r="S91" s="990"/>
      <c r="T91" s="990"/>
      <c r="U91" s="990"/>
    </row>
    <row r="93" spans="1:21" x14ac:dyDescent="0.35">
      <c r="A93" s="78" t="s">
        <v>734</v>
      </c>
      <c r="B93" s="80"/>
    </row>
    <row r="94" spans="1:21" x14ac:dyDescent="0.35">
      <c r="A94" s="79" t="s">
        <v>632</v>
      </c>
      <c r="B94" s="991" t="str">
        <f>H4</f>
        <v xml:space="preserve">National Millwork	</v>
      </c>
    </row>
    <row r="95" spans="1:21" x14ac:dyDescent="0.35">
      <c r="A95" s="687" t="s">
        <v>636</v>
      </c>
      <c r="B95" s="991" t="str">
        <f>H5</f>
        <v>Ric Waggoneer</v>
      </c>
    </row>
    <row r="96" spans="1:21" x14ac:dyDescent="0.35">
      <c r="A96" s="992" t="s">
        <v>639</v>
      </c>
      <c r="B96" s="993" t="str">
        <f>H6</f>
        <v>561-351-6359</v>
      </c>
    </row>
    <row r="97" spans="1:2" x14ac:dyDescent="0.35">
      <c r="A97" s="992" t="s">
        <v>642</v>
      </c>
      <c r="B97" s="994" t="str">
        <f>H7</f>
        <v>rwaggoner@nationalmillworkinc.com</v>
      </c>
    </row>
    <row r="98" spans="1:2" x14ac:dyDescent="0.35">
      <c r="A98" s="995" t="s">
        <v>735</v>
      </c>
      <c r="B98" s="996">
        <f>H8</f>
        <v>243815</v>
      </c>
    </row>
    <row r="100" spans="1:2" x14ac:dyDescent="0.35">
      <c r="A100" s="81"/>
      <c r="B100" s="1" t="s">
        <v>736</v>
      </c>
    </row>
    <row r="101" spans="1:2" x14ac:dyDescent="0.35">
      <c r="A101" s="82"/>
      <c r="B101" s="1" t="s">
        <v>737</v>
      </c>
    </row>
  </sheetData>
  <mergeCells count="68">
    <mergeCell ref="A66:B66"/>
    <mergeCell ref="A70:B70"/>
    <mergeCell ref="A74:B74"/>
    <mergeCell ref="A78:B78"/>
    <mergeCell ref="A82:B82"/>
    <mergeCell ref="T2:U2"/>
    <mergeCell ref="H2:I2"/>
    <mergeCell ref="L2:M2"/>
    <mergeCell ref="N2:O2"/>
    <mergeCell ref="P2:Q2"/>
    <mergeCell ref="R2:S2"/>
    <mergeCell ref="J2:K2"/>
    <mergeCell ref="T4:U4"/>
    <mergeCell ref="H3:I3"/>
    <mergeCell ref="L3:M3"/>
    <mergeCell ref="N3:O3"/>
    <mergeCell ref="P3:Q3"/>
    <mergeCell ref="R3:S3"/>
    <mergeCell ref="T3:U3"/>
    <mergeCell ref="H4:I4"/>
    <mergeCell ref="L4:M4"/>
    <mergeCell ref="N4:O4"/>
    <mergeCell ref="P4:Q4"/>
    <mergeCell ref="R4:S4"/>
    <mergeCell ref="J3:K3"/>
    <mergeCell ref="J4:K4"/>
    <mergeCell ref="T6:U6"/>
    <mergeCell ref="H5:I5"/>
    <mergeCell ref="L5:M5"/>
    <mergeCell ref="N5:O5"/>
    <mergeCell ref="P5:Q5"/>
    <mergeCell ref="R5:S5"/>
    <mergeCell ref="T5:U5"/>
    <mergeCell ref="H6:I6"/>
    <mergeCell ref="L6:M6"/>
    <mergeCell ref="N6:O6"/>
    <mergeCell ref="P6:Q6"/>
    <mergeCell ref="R6:S6"/>
    <mergeCell ref="J5:K5"/>
    <mergeCell ref="J6:K6"/>
    <mergeCell ref="T8:U8"/>
    <mergeCell ref="H7:I7"/>
    <mergeCell ref="L7:M7"/>
    <mergeCell ref="N7:O7"/>
    <mergeCell ref="P7:Q7"/>
    <mergeCell ref="R7:S7"/>
    <mergeCell ref="T7:U7"/>
    <mergeCell ref="H8:I8"/>
    <mergeCell ref="L8:M8"/>
    <mergeCell ref="N8:O8"/>
    <mergeCell ref="P8:Q8"/>
    <mergeCell ref="R8:S8"/>
    <mergeCell ref="J7:K7"/>
    <mergeCell ref="J8:K8"/>
    <mergeCell ref="T9:U9"/>
    <mergeCell ref="H10:I10"/>
    <mergeCell ref="L10:M10"/>
    <mergeCell ref="N10:O10"/>
    <mergeCell ref="P10:Q10"/>
    <mergeCell ref="R10:S10"/>
    <mergeCell ref="T10:U10"/>
    <mergeCell ref="H9:I9"/>
    <mergeCell ref="L9:M9"/>
    <mergeCell ref="N9:O9"/>
    <mergeCell ref="P9:Q9"/>
    <mergeCell ref="R9:S9"/>
    <mergeCell ref="J9:K9"/>
    <mergeCell ref="J10:K10"/>
  </mergeCells>
  <conditionalFormatting sqref="H22:H33 L22:L33 N22:N33 R22:R33 H35:H57 L35:L57 N35:N57 R35:R57 T22:T33 T35:T57">
    <cfRule type="cellIs" dxfId="2365" priority="21" operator="equal">
      <formula>"X"</formula>
    </cfRule>
    <cfRule type="cellIs" dxfId="2364" priority="22" operator="equal">
      <formula>"I"</formula>
    </cfRule>
  </conditionalFormatting>
  <conditionalFormatting sqref="J22:J33 J35:J57">
    <cfRule type="cellIs" dxfId="2363" priority="5" operator="equal">
      <formula>"X"</formula>
    </cfRule>
    <cfRule type="cellIs" dxfId="2362" priority="6" operator="equal">
      <formula>"I"</formula>
    </cfRule>
  </conditionalFormatting>
  <conditionalFormatting sqref="P22:P33">
    <cfRule type="cellIs" dxfId="2361" priority="3" operator="equal">
      <formula>"X"</formula>
    </cfRule>
    <cfRule type="cellIs" dxfId="2360" priority="4" operator="equal">
      <formula>"I"</formula>
    </cfRule>
  </conditionalFormatting>
  <conditionalFormatting sqref="P35:P57">
    <cfRule type="cellIs" dxfId="2359" priority="1" operator="equal">
      <formula>"X"</formula>
    </cfRule>
    <cfRule type="cellIs" dxfId="2358" priority="2" operator="equal">
      <formula>"I"</formula>
    </cfRule>
  </conditionalFormatting>
  <hyperlinks>
    <hyperlink ref="B3" location="'Cost Summary'!A1" display="BACK TO SUMMARY SHEET" xr:uid="{569109D0-E072-4E66-B9DC-F9521295769E}"/>
    <hyperlink ref="H7:I7" r:id="rId1" display="rwaggoner@nationalmillworkinc.com" xr:uid="{FBB703E5-14DA-43B7-AF2C-81468CE7C025}"/>
    <hyperlink ref="N7:O7" r:id="rId2" display="guillermo.santiago@buildwithbmc.com" xr:uid="{EBD3D0A4-65FB-4279-A4B2-75A5719F514C}"/>
    <hyperlink ref="R7:S7" r:id="rId3" display="preston@choicedoor.com&gt;" xr:uid="{5DBDE22C-A5F3-48E7-A849-D202E9099D5C}"/>
    <hyperlink ref="J7:K7" r:id="rId4" display="rwaggoner@nationalmillworkinc.com" xr:uid="{93D7C980-A2E6-4FCD-A352-DA83B11D1762}"/>
    <hyperlink ref="P7:Q7" r:id="rId5" display="brandon.smith@terson.us" xr:uid="{06A77F8D-ABD2-4946-8057-9A19BFF8B59A}"/>
    <hyperlink ref="T7:U7" r:id="rId6" display="lsayan@etiflorida.com" xr:uid="{6669F021-8F8E-466D-BE01-9E96E116B716}"/>
  </hyperlinks>
  <pageMargins left="0.7" right="0.7" top="0.75" bottom="0.75" header="0.3" footer="0.3"/>
  <pageSetup orientation="portrait" r:id="rId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59C-DF99-44F8-9B46-40F6D8D9FB95}">
  <sheetPr>
    <tabColor rgb="FF92D050"/>
  </sheetPr>
  <dimension ref="A1:S91"/>
  <sheetViews>
    <sheetView zoomScale="70" zoomScaleNormal="70" workbookViewId="0">
      <pane xSplit="2" ySplit="9" topLeftCell="C37" activePane="bottomRight" state="frozen"/>
      <selection pane="topRight" activeCell="C1" sqref="C1"/>
      <selection pane="bottomLeft" activeCell="A11" sqref="A11"/>
      <selection pane="bottomRight" activeCell="B37" sqref="B37"/>
    </sheetView>
  </sheetViews>
  <sheetFormatPr defaultColWidth="9.1796875" defaultRowHeight="14.5" x14ac:dyDescent="0.35"/>
  <cols>
    <col min="1" max="1" width="11" style="55" customWidth="1"/>
    <col min="2" max="2" width="70.7265625" style="56" customWidth="1"/>
    <col min="3" max="3" width="10.81640625" style="57" bestFit="1" customWidth="1"/>
    <col min="4" max="5" width="7.54296875" style="57" customWidth="1"/>
    <col min="6" max="6" width="17.26953125" style="57" customWidth="1"/>
    <col min="7" max="7" width="12.26953125" style="57" customWidth="1"/>
    <col min="8" max="8" width="7.453125" style="57" bestFit="1" customWidth="1"/>
    <col min="9" max="9" width="14.81640625" style="57" customWidth="1"/>
    <col min="10" max="10" width="7.453125" style="57" bestFit="1" customWidth="1"/>
    <col min="11" max="11" width="14.81640625" style="57" customWidth="1"/>
    <col min="12" max="12" width="7.453125" style="57" bestFit="1" customWidth="1"/>
    <col min="13" max="13" width="14.81640625" style="57" customWidth="1"/>
    <col min="14" max="14" width="7.453125" style="57" bestFit="1" customWidth="1"/>
    <col min="15" max="15" width="14.81640625" style="57" customWidth="1"/>
    <col min="16" max="16" width="7.453125" style="57" bestFit="1" customWidth="1"/>
    <col min="17" max="17" width="14.81640625" style="57" customWidth="1"/>
    <col min="18" max="18" width="7.453125" style="57" bestFit="1" customWidth="1"/>
    <col min="19" max="19" width="14.81640625" style="57" customWidth="1"/>
    <col min="20" max="16384" width="9.1796875" style="55"/>
  </cols>
  <sheetData>
    <row r="1" spans="1:19" x14ac:dyDescent="0.35">
      <c r="C1" s="2"/>
      <c r="D1" s="2"/>
      <c r="E1" s="152"/>
      <c r="F1" s="125"/>
      <c r="G1" s="123" t="s">
        <v>621</v>
      </c>
      <c r="N1" s="3846"/>
      <c r="O1" s="3846"/>
    </row>
    <row r="2" spans="1:19" ht="15" thickBot="1" x14ac:dyDescent="0.4">
      <c r="C2" s="2"/>
      <c r="D2" s="2"/>
      <c r="E2" s="152"/>
      <c r="F2" s="122" t="s">
        <v>622</v>
      </c>
      <c r="G2" s="123" t="s">
        <v>451</v>
      </c>
      <c r="H2" s="3843"/>
      <c r="I2" s="3843"/>
      <c r="J2" s="3843"/>
      <c r="K2" s="3843"/>
      <c r="L2" s="3843"/>
      <c r="M2" s="3843"/>
      <c r="N2" s="3789"/>
      <c r="O2" s="3789"/>
      <c r="P2" s="3843"/>
      <c r="Q2" s="3843"/>
      <c r="R2" s="3843"/>
      <c r="S2" s="3843"/>
    </row>
    <row r="3" spans="1:19" ht="20" thickBot="1" x14ac:dyDescent="0.4">
      <c r="B3" s="137" t="s">
        <v>623</v>
      </c>
      <c r="C3" s="2"/>
      <c r="D3" s="2"/>
      <c r="E3" s="152"/>
      <c r="F3" s="124" t="s">
        <v>624</v>
      </c>
      <c r="G3" s="123" t="s">
        <v>557</v>
      </c>
      <c r="H3" s="3844" t="s">
        <v>625</v>
      </c>
      <c r="I3" s="3845"/>
      <c r="J3" s="3844" t="s">
        <v>626</v>
      </c>
      <c r="K3" s="3845"/>
      <c r="L3" s="3844" t="s">
        <v>627</v>
      </c>
      <c r="M3" s="3845"/>
      <c r="N3" s="3844" t="s">
        <v>1370</v>
      </c>
      <c r="O3" s="3845"/>
      <c r="P3" s="3844" t="s">
        <v>629</v>
      </c>
      <c r="Q3" s="3845"/>
      <c r="R3" s="3844" t="s">
        <v>630</v>
      </c>
      <c r="S3" s="3845"/>
    </row>
    <row r="4" spans="1:19" ht="15" thickTop="1" x14ac:dyDescent="0.35">
      <c r="A4" s="58" t="s">
        <v>631</v>
      </c>
      <c r="B4" s="4" t="e">
        <f>#REF!</f>
        <v>#REF!</v>
      </c>
      <c r="C4" s="59"/>
      <c r="D4" s="59"/>
      <c r="E4" s="59"/>
      <c r="F4" s="59"/>
      <c r="G4" s="74" t="s">
        <v>632</v>
      </c>
      <c r="H4" s="3840"/>
      <c r="I4" s="3841"/>
      <c r="J4" s="3796"/>
      <c r="K4" s="3842"/>
      <c r="L4" s="3840"/>
      <c r="M4" s="3841"/>
      <c r="N4" s="3840"/>
      <c r="O4" s="3841"/>
      <c r="P4" s="3840"/>
      <c r="Q4" s="3841"/>
      <c r="R4" s="3837"/>
      <c r="S4" s="3838"/>
    </row>
    <row r="5" spans="1:19" x14ac:dyDescent="0.35">
      <c r="A5" s="694" t="s">
        <v>634</v>
      </c>
      <c r="B5" s="1291" t="s">
        <v>1371</v>
      </c>
      <c r="C5" s="679"/>
      <c r="D5" s="679"/>
      <c r="E5" s="679"/>
      <c r="F5" s="679"/>
      <c r="G5" s="695" t="s">
        <v>636</v>
      </c>
      <c r="H5" s="3837"/>
      <c r="I5" s="3838"/>
      <c r="J5" s="3839"/>
      <c r="K5" s="3813"/>
      <c r="L5" s="3837"/>
      <c r="M5" s="3838"/>
      <c r="N5" s="3837"/>
      <c r="O5" s="3838"/>
      <c r="P5" s="3837"/>
      <c r="Q5" s="3838"/>
      <c r="R5" s="3837"/>
      <c r="S5" s="3838"/>
    </row>
    <row r="6" spans="1:19" x14ac:dyDescent="0.35">
      <c r="A6" s="694" t="s">
        <v>638</v>
      </c>
      <c r="B6" s="1292" t="s">
        <v>1372</v>
      </c>
      <c r="C6" s="679"/>
      <c r="D6" s="679"/>
      <c r="E6" s="679"/>
      <c r="F6" s="679"/>
      <c r="G6" s="695" t="s">
        <v>639</v>
      </c>
      <c r="H6" s="3830"/>
      <c r="I6" s="3831"/>
      <c r="J6" s="3836"/>
      <c r="K6" s="3757"/>
      <c r="L6" s="3830"/>
      <c r="M6" s="3831"/>
      <c r="N6" s="3830"/>
      <c r="O6" s="3831"/>
      <c r="P6" s="3830"/>
      <c r="Q6" s="3831"/>
      <c r="R6" s="3830"/>
      <c r="S6" s="3831"/>
    </row>
    <row r="7" spans="1:19" x14ac:dyDescent="0.35">
      <c r="A7" s="694" t="s">
        <v>641</v>
      </c>
      <c r="B7" s="1293"/>
      <c r="C7" s="679"/>
      <c r="D7" s="679"/>
      <c r="E7" s="679"/>
      <c r="F7" s="679"/>
      <c r="G7" s="695" t="s">
        <v>642</v>
      </c>
      <c r="H7" s="3762"/>
      <c r="I7" s="3832"/>
      <c r="J7" s="3833"/>
      <c r="K7" s="3763"/>
      <c r="L7" s="3762"/>
      <c r="M7" s="3832"/>
      <c r="N7" s="3762"/>
      <c r="O7" s="3832"/>
      <c r="P7" s="3762"/>
      <c r="Q7" s="3832"/>
      <c r="R7" s="3834"/>
      <c r="S7" s="3835"/>
    </row>
    <row r="8" spans="1:19" ht="15" thickBot="1" x14ac:dyDescent="0.4">
      <c r="A8" s="938" t="s">
        <v>644</v>
      </c>
      <c r="B8" s="1294"/>
      <c r="C8" s="1295"/>
      <c r="D8" s="1295"/>
      <c r="E8" s="1295"/>
      <c r="F8" s="1295"/>
      <c r="G8" s="1024" t="s">
        <v>644</v>
      </c>
      <c r="H8" s="3827">
        <f>I52</f>
        <v>0</v>
      </c>
      <c r="I8" s="3828"/>
      <c r="J8" s="3829">
        <f>K52</f>
        <v>0</v>
      </c>
      <c r="K8" s="3828"/>
      <c r="L8" s="3827">
        <f>M52</f>
        <v>0</v>
      </c>
      <c r="M8" s="3828"/>
      <c r="N8" s="3827">
        <f>O52</f>
        <v>0</v>
      </c>
      <c r="O8" s="3828"/>
      <c r="P8" s="3827">
        <f>Q52</f>
        <v>0</v>
      </c>
      <c r="Q8" s="3828"/>
      <c r="R8" s="3825">
        <f>S52</f>
        <v>0</v>
      </c>
      <c r="S8" s="3826"/>
    </row>
    <row r="9" spans="1:19" ht="30" thickTop="1" thickBot="1" x14ac:dyDescent="0.4">
      <c r="A9" s="60" t="s">
        <v>645</v>
      </c>
      <c r="B9" s="61"/>
      <c r="C9" s="62" t="s">
        <v>646</v>
      </c>
      <c r="D9" s="62" t="s">
        <v>647</v>
      </c>
      <c r="E9" s="62" t="s">
        <v>648</v>
      </c>
      <c r="F9" s="62" t="s">
        <v>649</v>
      </c>
      <c r="G9" s="75" t="s">
        <v>650</v>
      </c>
      <c r="H9" s="64" t="s">
        <v>651</v>
      </c>
      <c r="I9" s="64" t="s">
        <v>652</v>
      </c>
      <c r="J9" s="63" t="s">
        <v>651</v>
      </c>
      <c r="K9" s="64" t="s">
        <v>652</v>
      </c>
      <c r="L9" s="64" t="s">
        <v>651</v>
      </c>
      <c r="M9" s="64" t="s">
        <v>652</v>
      </c>
      <c r="N9" s="64" t="s">
        <v>651</v>
      </c>
      <c r="O9" s="64" t="s">
        <v>652</v>
      </c>
      <c r="P9" s="64" t="s">
        <v>651</v>
      </c>
      <c r="Q9" s="64" t="s">
        <v>652</v>
      </c>
      <c r="R9" s="64" t="s">
        <v>651</v>
      </c>
      <c r="S9" s="64" t="s">
        <v>652</v>
      </c>
    </row>
    <row r="10" spans="1:19" ht="15" hidden="1" thickTop="1" x14ac:dyDescent="0.35">
      <c r="A10" s="696"/>
      <c r="B10" s="941" t="s">
        <v>653</v>
      </c>
      <c r="C10" s="679"/>
      <c r="D10" s="679"/>
      <c r="E10" s="679"/>
      <c r="F10" s="679"/>
      <c r="G10" s="697"/>
      <c r="H10" s="1296"/>
      <c r="I10" s="1297"/>
      <c r="J10" s="1298"/>
      <c r="K10" s="1296"/>
      <c r="L10" s="1296"/>
      <c r="M10" s="1296"/>
      <c r="N10" s="1296"/>
      <c r="O10" s="1296"/>
      <c r="P10" s="1296"/>
      <c r="Q10" s="1296"/>
      <c r="R10" s="1296"/>
      <c r="S10" s="1296"/>
    </row>
    <row r="11" spans="1:19" hidden="1" x14ac:dyDescent="0.35">
      <c r="A11" s="696"/>
      <c r="B11" s="641" t="e">
        <f>#REF!</f>
        <v>#REF!</v>
      </c>
      <c r="C11" s="678" t="s">
        <v>654</v>
      </c>
      <c r="D11" s="679"/>
      <c r="E11" s="679"/>
      <c r="F11" s="679"/>
      <c r="G11" s="697"/>
      <c r="H11" s="1296"/>
      <c r="I11" s="1297"/>
      <c r="J11" s="1298"/>
      <c r="K11" s="1296"/>
      <c r="L11" s="1296"/>
      <c r="M11" s="1296"/>
      <c r="N11" s="1296"/>
      <c r="O11" s="1296"/>
      <c r="P11" s="1296"/>
      <c r="Q11" s="1296"/>
      <c r="R11" s="1296"/>
      <c r="S11" s="1296"/>
    </row>
    <row r="12" spans="1:19" ht="15" hidden="1" thickTop="1" x14ac:dyDescent="0.35">
      <c r="A12" s="696"/>
      <c r="B12" s="641" t="e">
        <f>#REF!</f>
        <v>#REF!</v>
      </c>
      <c r="C12" s="678" t="s">
        <v>654</v>
      </c>
      <c r="D12" s="679"/>
      <c r="E12" s="679"/>
      <c r="F12" s="679"/>
      <c r="G12" s="697"/>
      <c r="H12" s="1296"/>
      <c r="I12" s="1297"/>
      <c r="J12" s="1298"/>
      <c r="K12" s="1296"/>
      <c r="L12" s="1296"/>
      <c r="M12" s="1296"/>
      <c r="N12" s="1296"/>
      <c r="O12" s="1296"/>
      <c r="P12" s="1296"/>
      <c r="Q12" s="1296"/>
      <c r="R12" s="1296"/>
      <c r="S12" s="1296"/>
    </row>
    <row r="13" spans="1:19" ht="15" hidden="1" thickTop="1" x14ac:dyDescent="0.35">
      <c r="A13" s="696"/>
      <c r="B13" s="641" t="e">
        <f>#REF!</f>
        <v>#REF!</v>
      </c>
      <c r="C13" s="678" t="s">
        <v>654</v>
      </c>
      <c r="D13" s="679"/>
      <c r="E13" s="679"/>
      <c r="F13" s="679"/>
      <c r="G13" s="697"/>
      <c r="H13" s="1296"/>
      <c r="I13" s="1297"/>
      <c r="J13" s="1298"/>
      <c r="K13" s="1296"/>
      <c r="L13" s="1296"/>
      <c r="M13" s="1296"/>
      <c r="N13" s="1296"/>
      <c r="O13" s="1296"/>
      <c r="P13" s="1296"/>
      <c r="Q13" s="1296"/>
      <c r="R13" s="1296"/>
      <c r="S13" s="1296"/>
    </row>
    <row r="14" spans="1:19" ht="15" hidden="1" thickTop="1" x14ac:dyDescent="0.35">
      <c r="A14" s="696"/>
      <c r="B14" s="641" t="e">
        <f>#REF!</f>
        <v>#REF!</v>
      </c>
      <c r="C14" s="678" t="s">
        <v>654</v>
      </c>
      <c r="D14" s="679"/>
      <c r="E14" s="679"/>
      <c r="F14" s="679"/>
      <c r="G14" s="697"/>
      <c r="H14" s="1296"/>
      <c r="I14" s="1297"/>
      <c r="J14" s="1298"/>
      <c r="K14" s="1296"/>
      <c r="L14" s="1296"/>
      <c r="M14" s="1296"/>
      <c r="N14" s="1296"/>
      <c r="O14" s="1296"/>
      <c r="P14" s="1296"/>
      <c r="Q14" s="1296"/>
      <c r="R14" s="1296"/>
      <c r="S14" s="1296"/>
    </row>
    <row r="15" spans="1:19" ht="15" hidden="1" thickTop="1" x14ac:dyDescent="0.35">
      <c r="A15" s="696"/>
      <c r="B15" s="641" t="e">
        <f>#REF!</f>
        <v>#REF!</v>
      </c>
      <c r="C15" s="678" t="s">
        <v>654</v>
      </c>
      <c r="D15" s="679"/>
      <c r="E15" s="679"/>
      <c r="F15" s="679"/>
      <c r="G15" s="697"/>
      <c r="H15" s="1296"/>
      <c r="I15" s="1297"/>
      <c r="J15" s="1298"/>
      <c r="K15" s="1296"/>
      <c r="L15" s="1296"/>
      <c r="M15" s="1296"/>
      <c r="N15" s="1296"/>
      <c r="O15" s="1296"/>
      <c r="P15" s="1296"/>
      <c r="Q15" s="1296"/>
      <c r="R15" s="1296"/>
      <c r="S15" s="1296"/>
    </row>
    <row r="16" spans="1:19" ht="15" hidden="1" thickTop="1" x14ac:dyDescent="0.35">
      <c r="A16" s="696"/>
      <c r="B16" s="641" t="e">
        <f>#REF!</f>
        <v>#REF!</v>
      </c>
      <c r="C16" s="678" t="s">
        <v>654</v>
      </c>
      <c r="D16" s="679"/>
      <c r="E16" s="679"/>
      <c r="F16" s="679"/>
      <c r="G16" s="697"/>
      <c r="H16" s="1296"/>
      <c r="I16" s="1297"/>
      <c r="J16" s="1298"/>
      <c r="K16" s="1296"/>
      <c r="L16" s="1296"/>
      <c r="M16" s="1296"/>
      <c r="N16" s="1296"/>
      <c r="O16" s="1296"/>
      <c r="P16" s="1296"/>
      <c r="Q16" s="1296"/>
      <c r="R16" s="1296"/>
      <c r="S16" s="1296"/>
    </row>
    <row r="17" spans="1:19" ht="15" hidden="1" thickTop="1" x14ac:dyDescent="0.35">
      <c r="A17" s="696"/>
      <c r="B17" s="641" t="e">
        <f>#REF!</f>
        <v>#REF!</v>
      </c>
      <c r="C17" s="678" t="s">
        <v>654</v>
      </c>
      <c r="D17" s="679"/>
      <c r="E17" s="679"/>
      <c r="F17" s="679"/>
      <c r="G17" s="697"/>
      <c r="H17" s="1296"/>
      <c r="I17" s="1297"/>
      <c r="J17" s="1298"/>
      <c r="K17" s="1296"/>
      <c r="L17" s="1296"/>
      <c r="M17" s="1296"/>
      <c r="N17" s="1296"/>
      <c r="O17" s="1296"/>
      <c r="P17" s="1296"/>
      <c r="Q17" s="1296"/>
      <c r="R17" s="1296"/>
      <c r="S17" s="1296"/>
    </row>
    <row r="18" spans="1:19" ht="15" hidden="1" thickTop="1" x14ac:dyDescent="0.35">
      <c r="A18" s="696"/>
      <c r="B18" s="641" t="e">
        <f>#REF!</f>
        <v>#REF!</v>
      </c>
      <c r="C18" s="678" t="s">
        <v>654</v>
      </c>
      <c r="D18" s="679"/>
      <c r="E18" s="679"/>
      <c r="F18" s="679"/>
      <c r="G18" s="697"/>
      <c r="H18" s="1296"/>
      <c r="I18" s="1297"/>
      <c r="J18" s="1298"/>
      <c r="K18" s="1296"/>
      <c r="L18" s="1296"/>
      <c r="M18" s="1296"/>
      <c r="N18" s="1296"/>
      <c r="O18" s="1296"/>
      <c r="P18" s="1296"/>
      <c r="Q18" s="1296"/>
      <c r="R18" s="1296"/>
      <c r="S18" s="1296"/>
    </row>
    <row r="19" spans="1:19" ht="15" hidden="1" customHeight="1" thickTop="1" x14ac:dyDescent="0.35">
      <c r="A19" s="696"/>
      <c r="B19" s="641" t="e">
        <f>#REF!</f>
        <v>#REF!</v>
      </c>
      <c r="C19" s="678" t="s">
        <v>654</v>
      </c>
      <c r="D19" s="679"/>
      <c r="E19" s="679"/>
      <c r="F19" s="679"/>
      <c r="G19" s="697"/>
      <c r="H19" s="1296"/>
      <c r="I19" s="1297"/>
      <c r="J19" s="1298"/>
      <c r="K19" s="1296"/>
      <c r="L19" s="1296"/>
      <c r="M19" s="1296"/>
      <c r="N19" s="1296"/>
      <c r="O19" s="1296"/>
      <c r="P19" s="1296"/>
      <c r="Q19" s="1296"/>
      <c r="R19" s="1296"/>
      <c r="S19" s="1296"/>
    </row>
    <row r="20" spans="1:19" ht="15" thickTop="1" x14ac:dyDescent="0.35">
      <c r="A20" s="696"/>
      <c r="B20" s="641"/>
      <c r="C20" s="678"/>
      <c r="D20" s="679"/>
      <c r="E20" s="679"/>
      <c r="F20" s="679"/>
      <c r="G20" s="697"/>
      <c r="H20" s="943"/>
      <c r="I20" s="1297"/>
      <c r="J20" s="943"/>
      <c r="K20" s="1296"/>
      <c r="L20" s="943"/>
      <c r="M20" s="1296"/>
      <c r="N20" s="943"/>
      <c r="O20" s="1296"/>
      <c r="P20" s="943"/>
      <c r="Q20" s="1296"/>
      <c r="R20" s="943"/>
      <c r="S20" s="1296"/>
    </row>
    <row r="21" spans="1:19" ht="15" thickBot="1" x14ac:dyDescent="0.4">
      <c r="A21" s="696"/>
      <c r="B21" s="648" t="s">
        <v>1371</v>
      </c>
      <c r="C21" s="678"/>
      <c r="D21" s="679"/>
      <c r="E21" s="679"/>
      <c r="F21" s="679"/>
      <c r="G21" s="697"/>
      <c r="H21" s="943"/>
      <c r="I21" s="1297"/>
      <c r="J21" s="943"/>
      <c r="K21" s="1296"/>
      <c r="L21" s="943"/>
      <c r="M21" s="1296"/>
      <c r="N21" s="943"/>
      <c r="O21" s="1296"/>
      <c r="P21" s="943"/>
      <c r="Q21" s="1296"/>
      <c r="R21" s="943"/>
      <c r="S21" s="1296"/>
    </row>
    <row r="22" spans="1:19" ht="75" hidden="1" customHeight="1" thickBot="1" x14ac:dyDescent="0.4">
      <c r="A22" s="1299">
        <v>3</v>
      </c>
      <c r="B22" s="1291" t="s">
        <v>1373</v>
      </c>
      <c r="C22" s="678" t="s">
        <v>654</v>
      </c>
      <c r="D22" s="679"/>
      <c r="E22" s="679"/>
      <c r="F22" s="679"/>
      <c r="G22" s="697"/>
      <c r="H22" s="943"/>
      <c r="I22" s="1300"/>
      <c r="J22" s="943"/>
      <c r="K22" s="1301"/>
      <c r="L22" s="943"/>
      <c r="M22" s="1301"/>
      <c r="N22" s="943"/>
      <c r="O22" s="1301"/>
      <c r="P22" s="943"/>
      <c r="Q22" s="1301"/>
      <c r="R22" s="943"/>
      <c r="S22" s="1301"/>
    </row>
    <row r="23" spans="1:19" ht="15" thickBot="1" x14ac:dyDescent="0.4">
      <c r="A23" s="1299"/>
      <c r="B23" s="604" t="s">
        <v>657</v>
      </c>
      <c r="C23" s="678"/>
      <c r="D23" s="679"/>
      <c r="E23" s="679"/>
      <c r="F23" s="679"/>
      <c r="G23" s="697"/>
      <c r="H23" s="943"/>
      <c r="I23" s="1300"/>
      <c r="J23" s="943"/>
      <c r="K23" s="1301"/>
      <c r="L23" s="943"/>
      <c r="M23" s="1301"/>
      <c r="N23" s="943"/>
      <c r="O23" s="1301"/>
      <c r="P23" s="943"/>
      <c r="Q23" s="1301"/>
      <c r="R23" s="943"/>
      <c r="S23" s="1301"/>
    </row>
    <row r="24" spans="1:19" x14ac:dyDescent="0.35">
      <c r="A24" s="1299"/>
      <c r="B24" s="607" t="s">
        <v>658</v>
      </c>
      <c r="C24" s="697"/>
      <c r="D24" s="679"/>
      <c r="E24" s="679"/>
      <c r="F24" s="679"/>
      <c r="G24" s="697"/>
      <c r="H24" s="943"/>
      <c r="I24" s="1302"/>
      <c r="J24" s="943"/>
      <c r="K24" s="1302"/>
      <c r="L24" s="943"/>
      <c r="M24" s="1302"/>
      <c r="N24" s="943"/>
      <c r="O24" s="1302"/>
      <c r="P24" s="943"/>
      <c r="Q24" s="1302"/>
      <c r="R24" s="943"/>
      <c r="S24" s="1301"/>
    </row>
    <row r="25" spans="1:19" x14ac:dyDescent="0.35">
      <c r="A25" s="1299"/>
      <c r="B25" s="1279" t="s">
        <v>659</v>
      </c>
      <c r="C25" s="697"/>
      <c r="D25" s="1303"/>
      <c r="E25" s="679"/>
      <c r="F25" s="1304"/>
      <c r="G25" s="1305"/>
      <c r="H25" s="943"/>
      <c r="I25" s="1302"/>
      <c r="J25" s="943"/>
      <c r="K25" s="1302"/>
      <c r="L25" s="943"/>
      <c r="M25" s="1302"/>
      <c r="N25" s="943"/>
      <c r="O25" s="1301"/>
      <c r="P25" s="943"/>
      <c r="Q25" s="1301"/>
      <c r="R25" s="943"/>
      <c r="S25" s="1301"/>
    </row>
    <row r="26" spans="1:19" x14ac:dyDescent="0.35">
      <c r="A26" s="1299"/>
      <c r="B26" s="1280" t="s">
        <v>660</v>
      </c>
      <c r="C26" s="697"/>
      <c r="D26" s="1303"/>
      <c r="E26" s="679"/>
      <c r="F26" s="1304"/>
      <c r="G26" s="1305"/>
      <c r="H26" s="943"/>
      <c r="I26" s="1300"/>
      <c r="J26" s="943"/>
      <c r="K26" s="1302"/>
      <c r="L26" s="943"/>
      <c r="M26" s="1302"/>
      <c r="N26" s="943"/>
      <c r="O26" s="1302"/>
      <c r="P26" s="943"/>
      <c r="Q26" s="1302"/>
      <c r="R26" s="943"/>
      <c r="S26" s="1301"/>
    </row>
    <row r="27" spans="1:19" x14ac:dyDescent="0.35">
      <c r="A27" s="1299"/>
      <c r="B27" s="1280" t="s">
        <v>661</v>
      </c>
      <c r="C27" s="697"/>
      <c r="D27" s="1303"/>
      <c r="E27" s="679"/>
      <c r="F27" s="1304"/>
      <c r="G27" s="1305"/>
      <c r="H27" s="943"/>
      <c r="I27" s="1300"/>
      <c r="J27" s="943"/>
      <c r="K27" s="1302"/>
      <c r="L27" s="943"/>
      <c r="M27" s="1302"/>
      <c r="N27" s="943"/>
      <c r="O27" s="1302"/>
      <c r="P27" s="943"/>
      <c r="Q27" s="1302"/>
      <c r="R27" s="943"/>
      <c r="S27" s="1301"/>
    </row>
    <row r="28" spans="1:19" x14ac:dyDescent="0.35">
      <c r="A28" s="1299"/>
      <c r="B28" s="1280" t="s">
        <v>662</v>
      </c>
      <c r="C28" s="697"/>
      <c r="D28" s="1303"/>
      <c r="E28" s="679"/>
      <c r="F28" s="1304"/>
      <c r="G28" s="697"/>
      <c r="H28" s="943"/>
      <c r="I28" s="1300"/>
      <c r="J28" s="943"/>
      <c r="K28" s="1302"/>
      <c r="L28" s="943"/>
      <c r="M28" s="1302"/>
      <c r="N28" s="943"/>
      <c r="O28" s="1302"/>
      <c r="P28" s="943"/>
      <c r="Q28" s="1302"/>
      <c r="R28" s="943"/>
      <c r="S28" s="1301"/>
    </row>
    <row r="29" spans="1:19" x14ac:dyDescent="0.35">
      <c r="A29" s="1299"/>
      <c r="B29" s="1280" t="s">
        <v>663</v>
      </c>
      <c r="C29" s="697"/>
      <c r="D29" s="1303"/>
      <c r="E29" s="679"/>
      <c r="F29" s="1304"/>
      <c r="G29" s="697"/>
      <c r="H29" s="943"/>
      <c r="I29" s="1300"/>
      <c r="J29" s="943"/>
      <c r="K29" s="1302"/>
      <c r="L29" s="943"/>
      <c r="M29" s="1302"/>
      <c r="N29" s="943"/>
      <c r="O29" s="1302"/>
      <c r="P29" s="943"/>
      <c r="Q29" s="1302"/>
      <c r="R29" s="943"/>
      <c r="S29" s="1301"/>
    </row>
    <row r="30" spans="1:19" x14ac:dyDescent="0.35">
      <c r="A30" s="1299"/>
      <c r="B30" s="1280" t="s">
        <v>742</v>
      </c>
      <c r="C30" s="697"/>
      <c r="D30" s="1303"/>
      <c r="E30" s="679"/>
      <c r="F30" s="1304"/>
      <c r="G30" s="697"/>
      <c r="H30" s="943"/>
      <c r="I30" s="1300"/>
      <c r="J30" s="943"/>
      <c r="K30" s="1302"/>
      <c r="L30" s="943"/>
      <c r="M30" s="1302"/>
      <c r="N30" s="943"/>
      <c r="O30" s="1302"/>
      <c r="P30" s="943"/>
      <c r="Q30" s="1302"/>
      <c r="R30" s="943"/>
      <c r="S30" s="1301"/>
    </row>
    <row r="31" spans="1:19" x14ac:dyDescent="0.35">
      <c r="A31" s="1299"/>
      <c r="B31" s="1281" t="s">
        <v>664</v>
      </c>
      <c r="C31" s="697"/>
      <c r="D31" s="1303"/>
      <c r="E31" s="679"/>
      <c r="F31" s="1304"/>
      <c r="G31" s="697"/>
      <c r="H31" s="943"/>
      <c r="I31" s="1300"/>
      <c r="J31" s="943"/>
      <c r="K31" s="1302"/>
      <c r="L31" s="943"/>
      <c r="M31" s="1302"/>
      <c r="N31" s="943"/>
      <c r="O31" s="1302"/>
      <c r="P31" s="943"/>
      <c r="Q31" s="1302"/>
      <c r="R31" s="943"/>
      <c r="S31" s="1301"/>
    </row>
    <row r="32" spans="1:19" x14ac:dyDescent="0.35">
      <c r="A32" s="1299"/>
      <c r="B32" s="1289" t="s">
        <v>665</v>
      </c>
      <c r="C32" s="1306"/>
      <c r="D32" s="1307"/>
      <c r="E32" s="1308"/>
      <c r="F32" s="1308"/>
      <c r="G32" s="1306"/>
      <c r="H32" s="1309"/>
      <c r="I32" s="1310"/>
      <c r="J32" s="1311"/>
      <c r="K32" s="1312"/>
      <c r="L32" s="1309"/>
      <c r="M32" s="1312"/>
      <c r="N32" s="1309"/>
      <c r="O32" s="1312"/>
      <c r="P32" s="1309"/>
      <c r="Q32" s="1312"/>
      <c r="R32" s="1309"/>
      <c r="S32" s="1313"/>
    </row>
    <row r="33" spans="1:19" x14ac:dyDescent="0.35">
      <c r="A33" s="1299"/>
      <c r="B33" s="1290"/>
      <c r="C33" s="697"/>
      <c r="D33" s="1303"/>
      <c r="E33" s="679"/>
      <c r="F33" s="1304"/>
      <c r="G33" s="1305"/>
      <c r="H33" s="943"/>
      <c r="I33" s="1300"/>
      <c r="J33" s="943"/>
      <c r="K33" s="1302"/>
      <c r="L33" s="943"/>
      <c r="M33" s="1302"/>
      <c r="N33" s="943"/>
      <c r="O33" s="1302"/>
      <c r="P33" s="943"/>
      <c r="Q33" s="1302"/>
      <c r="R33" s="943"/>
      <c r="S33" s="1301"/>
    </row>
    <row r="34" spans="1:19" x14ac:dyDescent="0.35">
      <c r="A34" s="625"/>
      <c r="B34" s="1290"/>
      <c r="C34" s="697"/>
      <c r="D34" s="1303"/>
      <c r="E34" s="679"/>
      <c r="F34" s="679"/>
      <c r="G34" s="697"/>
      <c r="H34" s="943"/>
      <c r="I34" s="1300"/>
      <c r="J34" s="943"/>
      <c r="K34" s="1302"/>
      <c r="L34" s="943"/>
      <c r="M34" s="1302"/>
      <c r="N34" s="943"/>
      <c r="O34" s="1302"/>
      <c r="P34" s="943"/>
      <c r="Q34" s="1302"/>
      <c r="R34" s="943"/>
      <c r="S34" s="1301"/>
    </row>
    <row r="35" spans="1:19" x14ac:dyDescent="0.35">
      <c r="A35" s="1299"/>
      <c r="B35" s="1290"/>
      <c r="C35" s="697"/>
      <c r="D35" s="1303"/>
      <c r="E35" s="679"/>
      <c r="F35" s="679"/>
      <c r="G35" s="697"/>
      <c r="H35" s="943"/>
      <c r="I35" s="1300"/>
      <c r="J35" s="943"/>
      <c r="K35" s="1302"/>
      <c r="L35" s="943"/>
      <c r="M35" s="1302"/>
      <c r="N35" s="943"/>
      <c r="O35" s="1302"/>
      <c r="P35" s="943"/>
      <c r="Q35" s="1302"/>
      <c r="R35" s="943"/>
      <c r="S35" s="1301"/>
    </row>
    <row r="36" spans="1:19" x14ac:dyDescent="0.35">
      <c r="A36" s="625"/>
      <c r="B36" s="1290"/>
      <c r="C36" s="697"/>
      <c r="D36" s="1303"/>
      <c r="E36" s="679"/>
      <c r="F36" s="679"/>
      <c r="G36" s="697"/>
      <c r="H36" s="943"/>
      <c r="I36" s="1300"/>
      <c r="J36" s="943"/>
      <c r="K36" s="1302"/>
      <c r="L36" s="943"/>
      <c r="M36" s="1302"/>
      <c r="N36" s="943"/>
      <c r="O36" s="1302"/>
      <c r="P36" s="943"/>
      <c r="Q36" s="1302"/>
      <c r="R36" s="943"/>
      <c r="S36" s="1301"/>
    </row>
    <row r="37" spans="1:19" x14ac:dyDescent="0.35">
      <c r="A37" s="1299"/>
      <c r="B37" s="1290"/>
      <c r="C37" s="697"/>
      <c r="D37" s="1303"/>
      <c r="E37" s="679"/>
      <c r="F37" s="679"/>
      <c r="G37" s="697"/>
      <c r="H37" s="943" t="s">
        <v>671</v>
      </c>
      <c r="I37" s="1300"/>
      <c r="J37" s="943"/>
      <c r="K37" s="1302"/>
      <c r="L37" s="943"/>
      <c r="M37" s="1302"/>
      <c r="N37" s="943"/>
      <c r="O37" s="1302"/>
      <c r="P37" s="943"/>
      <c r="Q37" s="1302"/>
      <c r="R37" s="943"/>
      <c r="S37" s="1301"/>
    </row>
    <row r="38" spans="1:19" ht="16.5" customHeight="1" x14ac:dyDescent="0.35">
      <c r="A38" s="625"/>
      <c r="B38" s="1290"/>
      <c r="C38" s="697"/>
      <c r="D38" s="1303"/>
      <c r="E38" s="679"/>
      <c r="F38" s="679"/>
      <c r="G38" s="697"/>
      <c r="H38" s="943"/>
      <c r="I38" s="1300"/>
      <c r="J38" s="943"/>
      <c r="K38" s="1302"/>
      <c r="L38" s="943"/>
      <c r="M38" s="1302"/>
      <c r="N38" s="943"/>
      <c r="O38" s="1302"/>
      <c r="P38" s="943"/>
      <c r="Q38" s="1302"/>
      <c r="R38" s="943"/>
      <c r="S38" s="1300"/>
    </row>
    <row r="39" spans="1:19" x14ac:dyDescent="0.35">
      <c r="A39" s="1299"/>
      <c r="B39" s="1290"/>
      <c r="C39" s="697"/>
      <c r="D39" s="1303"/>
      <c r="E39" s="679"/>
      <c r="F39" s="679"/>
      <c r="G39" s="697"/>
      <c r="H39" s="943"/>
      <c r="I39" s="1300"/>
      <c r="J39" s="943"/>
      <c r="K39" s="1302"/>
      <c r="L39" s="943"/>
      <c r="M39" s="1302"/>
      <c r="N39" s="943"/>
      <c r="O39" s="1302"/>
      <c r="P39" s="943"/>
      <c r="Q39" s="1302"/>
      <c r="R39" s="943"/>
      <c r="S39" s="1300"/>
    </row>
    <row r="40" spans="1:19" x14ac:dyDescent="0.35">
      <c r="A40" s="1299"/>
      <c r="B40" s="1290"/>
      <c r="C40" s="697"/>
      <c r="D40" s="1303"/>
      <c r="E40" s="679"/>
      <c r="F40" s="679"/>
      <c r="G40" s="697"/>
      <c r="H40" s="943"/>
      <c r="I40" s="1300"/>
      <c r="J40" s="943"/>
      <c r="K40" s="1302"/>
      <c r="L40" s="943"/>
      <c r="M40" s="1302"/>
      <c r="N40" s="943"/>
      <c r="O40" s="1302"/>
      <c r="P40" s="943"/>
      <c r="Q40" s="1302"/>
      <c r="R40" s="943"/>
      <c r="S40" s="1300"/>
    </row>
    <row r="41" spans="1:19" x14ac:dyDescent="0.35">
      <c r="A41" s="625"/>
      <c r="B41" s="1290"/>
      <c r="C41" s="697"/>
      <c r="D41" s="1303"/>
      <c r="E41" s="679"/>
      <c r="F41" s="679"/>
      <c r="G41" s="697"/>
      <c r="H41" s="943"/>
      <c r="I41" s="1300"/>
      <c r="J41" s="943"/>
      <c r="K41" s="1302"/>
      <c r="L41" s="943"/>
      <c r="M41" s="1302"/>
      <c r="N41" s="943"/>
      <c r="O41" s="1302"/>
      <c r="P41" s="943"/>
      <c r="Q41" s="1302"/>
      <c r="R41" s="943"/>
      <c r="S41" s="1301"/>
    </row>
    <row r="42" spans="1:19" x14ac:dyDescent="0.35">
      <c r="A42" s="625"/>
      <c r="B42" s="1290"/>
      <c r="C42" s="697"/>
      <c r="D42" s="1303"/>
      <c r="E42" s="679"/>
      <c r="F42" s="679"/>
      <c r="G42" s="697"/>
      <c r="H42" s="943"/>
      <c r="I42" s="1300"/>
      <c r="J42" s="943"/>
      <c r="K42" s="1302"/>
      <c r="L42" s="943"/>
      <c r="M42" s="1302"/>
      <c r="N42" s="943"/>
      <c r="O42" s="1302"/>
      <c r="P42" s="943"/>
      <c r="Q42" s="1302"/>
      <c r="R42" s="943"/>
      <c r="S42" s="1301"/>
    </row>
    <row r="43" spans="1:19" x14ac:dyDescent="0.35">
      <c r="A43" s="1299"/>
      <c r="B43" s="1290"/>
      <c r="C43" s="697"/>
      <c r="D43" s="1303"/>
      <c r="E43" s="679"/>
      <c r="F43" s="679"/>
      <c r="G43" s="697"/>
      <c r="H43" s="943"/>
      <c r="I43" s="1300"/>
      <c r="J43" s="943"/>
      <c r="K43" s="1302"/>
      <c r="L43" s="943"/>
      <c r="M43" s="1302"/>
      <c r="N43" s="943"/>
      <c r="O43" s="1302"/>
      <c r="P43" s="943"/>
      <c r="Q43" s="1302"/>
      <c r="R43" s="943"/>
      <c r="S43" s="1301"/>
    </row>
    <row r="44" spans="1:19" x14ac:dyDescent="0.35">
      <c r="A44" s="625"/>
      <c r="B44" s="1290"/>
      <c r="C44" s="697"/>
      <c r="D44" s="1303"/>
      <c r="E44" s="679"/>
      <c r="F44" s="679"/>
      <c r="G44" s="697"/>
      <c r="H44" s="943"/>
      <c r="I44" s="1300"/>
      <c r="J44" s="943"/>
      <c r="K44" s="1302"/>
      <c r="L44" s="943"/>
      <c r="M44" s="1302"/>
      <c r="N44" s="943"/>
      <c r="O44" s="1302"/>
      <c r="P44" s="943"/>
      <c r="Q44" s="1302"/>
      <c r="R44" s="943"/>
      <c r="S44" s="1301"/>
    </row>
    <row r="45" spans="1:19" x14ac:dyDescent="0.35">
      <c r="A45" s="1299"/>
      <c r="B45" s="1290"/>
      <c r="C45" s="697"/>
      <c r="D45" s="1303"/>
      <c r="E45" s="679"/>
      <c r="F45" s="679"/>
      <c r="G45" s="697"/>
      <c r="H45" s="943"/>
      <c r="I45" s="1300"/>
      <c r="J45" s="943"/>
      <c r="K45" s="1302"/>
      <c r="L45" s="943"/>
      <c r="M45" s="1302"/>
      <c r="N45" s="943"/>
      <c r="O45" s="1302"/>
      <c r="P45" s="943"/>
      <c r="Q45" s="1302"/>
      <c r="R45" s="943"/>
      <c r="S45" s="1301"/>
    </row>
    <row r="46" spans="1:19" x14ac:dyDescent="0.35">
      <c r="A46" s="1299"/>
      <c r="B46" s="1290"/>
      <c r="C46" s="697"/>
      <c r="D46" s="1303"/>
      <c r="E46" s="679"/>
      <c r="F46" s="679"/>
      <c r="G46" s="697"/>
      <c r="H46" s="943"/>
      <c r="I46" s="1301"/>
      <c r="J46" s="943"/>
      <c r="K46" s="1302"/>
      <c r="L46" s="943"/>
      <c r="M46" s="1301"/>
      <c r="N46" s="943"/>
      <c r="O46" s="1302"/>
      <c r="P46" s="943"/>
      <c r="Q46" s="1302"/>
      <c r="R46" s="943"/>
      <c r="S46" s="1301"/>
    </row>
    <row r="47" spans="1:19" ht="15" thickBot="1" x14ac:dyDescent="0.4">
      <c r="A47" s="1299"/>
      <c r="B47" s="1290"/>
      <c r="C47" s="691"/>
      <c r="D47" s="1303"/>
      <c r="E47" s="679"/>
      <c r="F47" s="679"/>
      <c r="G47" s="697"/>
      <c r="H47" s="943"/>
      <c r="I47" s="1301"/>
      <c r="J47" s="943"/>
      <c r="K47" s="1302"/>
      <c r="L47" s="943"/>
      <c r="M47" s="1301"/>
      <c r="N47" s="943"/>
      <c r="O47" s="1302"/>
      <c r="P47" s="943"/>
      <c r="Q47" s="1302"/>
      <c r="R47" s="943"/>
      <c r="S47" s="1302"/>
    </row>
    <row r="48" spans="1:19" ht="15" thickTop="1" x14ac:dyDescent="0.35">
      <c r="A48" s="65"/>
      <c r="B48" s="66"/>
      <c r="C48" s="67"/>
      <c r="D48" s="67"/>
      <c r="E48" s="68"/>
      <c r="F48" s="69" t="s">
        <v>715</v>
      </c>
      <c r="G48" s="76"/>
      <c r="H48" s="72"/>
      <c r="I48" s="71">
        <f>SUM(I24:I47)</f>
        <v>0</v>
      </c>
      <c r="J48" s="70"/>
      <c r="K48" s="71">
        <f>SUM(K24:K47)</f>
        <v>0</v>
      </c>
      <c r="L48" s="72"/>
      <c r="M48" s="71">
        <f>SUM(M24:M47)</f>
        <v>0</v>
      </c>
      <c r="N48" s="72"/>
      <c r="O48" s="71">
        <f>SUM(O24:O47)</f>
        <v>0</v>
      </c>
      <c r="P48" s="72"/>
      <c r="Q48" s="71">
        <f>SUM(Q24:Q47)</f>
        <v>0</v>
      </c>
      <c r="R48" s="72"/>
      <c r="S48" s="71">
        <f>SUM(S24:S47)</f>
        <v>0</v>
      </c>
    </row>
    <row r="49" spans="1:19" x14ac:dyDescent="0.35">
      <c r="A49" s="698"/>
      <c r="B49" s="1314"/>
      <c r="C49" s="1315"/>
      <c r="D49" s="1315"/>
      <c r="E49" s="1316"/>
      <c r="F49" s="1317" t="s">
        <v>716</v>
      </c>
      <c r="G49" s="699"/>
      <c r="H49" s="1318">
        <v>0</v>
      </c>
      <c r="I49" s="1319"/>
      <c r="J49" s="700">
        <v>0</v>
      </c>
      <c r="K49" s="1319"/>
      <c r="L49" s="1318">
        <v>0</v>
      </c>
      <c r="M49" s="1319"/>
      <c r="N49" s="1318">
        <v>0</v>
      </c>
      <c r="O49" s="1319"/>
      <c r="P49" s="1318">
        <v>0</v>
      </c>
      <c r="Q49" s="1319"/>
      <c r="R49" s="1318">
        <v>0</v>
      </c>
      <c r="S49" s="1319"/>
    </row>
    <row r="50" spans="1:19" x14ac:dyDescent="0.35">
      <c r="A50" s="698"/>
      <c r="B50" s="1314"/>
      <c r="C50" s="1315"/>
      <c r="D50" s="1315"/>
      <c r="E50" s="1316"/>
      <c r="F50" s="1317" t="s">
        <v>717</v>
      </c>
      <c r="G50" s="699"/>
      <c r="H50" s="1320"/>
      <c r="I50" s="1321">
        <f>H49*I48</f>
        <v>0</v>
      </c>
      <c r="J50" s="701"/>
      <c r="K50" s="1321">
        <f>J49*K48</f>
        <v>0</v>
      </c>
      <c r="L50" s="1320"/>
      <c r="M50" s="1321">
        <f>L49*M48</f>
        <v>0</v>
      </c>
      <c r="N50" s="1320"/>
      <c r="O50" s="1321">
        <f>N49*O48</f>
        <v>0</v>
      </c>
      <c r="P50" s="1320"/>
      <c r="Q50" s="1321">
        <f>P49*Q48</f>
        <v>0</v>
      </c>
      <c r="R50" s="1320"/>
      <c r="S50" s="1321">
        <f>R49*S48</f>
        <v>0</v>
      </c>
    </row>
    <row r="51" spans="1:19" x14ac:dyDescent="0.35">
      <c r="A51" s="698"/>
      <c r="B51" s="1314"/>
      <c r="C51" s="1315"/>
      <c r="D51" s="1315"/>
      <c r="E51" s="1316"/>
      <c r="F51" s="1317"/>
      <c r="G51" s="699"/>
      <c r="H51" s="1320"/>
      <c r="I51" s="1322"/>
      <c r="J51" s="701"/>
      <c r="K51" s="1322"/>
      <c r="L51" s="1320"/>
      <c r="M51" s="1322"/>
      <c r="N51" s="1320"/>
      <c r="O51" s="1322"/>
      <c r="P51" s="1320"/>
      <c r="Q51" s="1322"/>
      <c r="R51" s="1320"/>
      <c r="S51" s="1322"/>
    </row>
    <row r="52" spans="1:19" x14ac:dyDescent="0.35">
      <c r="A52" s="698"/>
      <c r="B52" s="1314"/>
      <c r="C52" s="1315"/>
      <c r="D52" s="1315"/>
      <c r="E52" s="1316"/>
      <c r="F52" s="1317" t="s">
        <v>718</v>
      </c>
      <c r="G52" s="699"/>
      <c r="H52" s="1323"/>
      <c r="I52" s="1324">
        <f>SUM(I48:I51)</f>
        <v>0</v>
      </c>
      <c r="J52" s="702"/>
      <c r="K52" s="1324">
        <f>SUM(K48:K51)</f>
        <v>0</v>
      </c>
      <c r="L52" s="1323"/>
      <c r="M52" s="1324">
        <f>SUM(M48:M51)</f>
        <v>0</v>
      </c>
      <c r="N52" s="1323"/>
      <c r="O52" s="1324">
        <f>SUM(O48:O51)</f>
        <v>0</v>
      </c>
      <c r="P52" s="1323"/>
      <c r="Q52" s="1324">
        <f>SUM(Q48:Q51)</f>
        <v>0</v>
      </c>
      <c r="R52" s="1323"/>
      <c r="S52" s="1324">
        <f>SUM(S48:S51)</f>
        <v>0</v>
      </c>
    </row>
    <row r="53" spans="1:19" x14ac:dyDescent="0.35">
      <c r="A53" s="698"/>
      <c r="B53" s="1314"/>
      <c r="C53" s="1315"/>
      <c r="D53" s="1315"/>
      <c r="E53" s="1316"/>
      <c r="F53" s="1317" t="s">
        <v>719</v>
      </c>
      <c r="G53" s="703"/>
      <c r="H53" s="1325"/>
      <c r="I53" s="966" t="e">
        <f>I52/#REF!</f>
        <v>#REF!</v>
      </c>
      <c r="J53" s="704"/>
      <c r="K53" s="966" t="e">
        <f>K52/#REF!</f>
        <v>#REF!</v>
      </c>
      <c r="L53" s="1325"/>
      <c r="M53" s="966" t="e">
        <f>M52/#REF!</f>
        <v>#REF!</v>
      </c>
      <c r="N53" s="1325"/>
      <c r="O53" s="966" t="e">
        <f>O52/#REF!</f>
        <v>#REF!</v>
      </c>
      <c r="P53" s="1325"/>
      <c r="Q53" s="966" t="e">
        <f>Q52/#REF!</f>
        <v>#REF!</v>
      </c>
      <c r="R53" s="1325"/>
      <c r="S53" s="966" t="e">
        <f>S52/#REF!</f>
        <v>#REF!</v>
      </c>
    </row>
    <row r="54" spans="1:19" x14ac:dyDescent="0.35">
      <c r="A54" s="698"/>
      <c r="B54" s="1314"/>
      <c r="C54" s="1315"/>
      <c r="D54" s="1315"/>
      <c r="E54" s="1316"/>
      <c r="F54" s="1317" t="s">
        <v>720</v>
      </c>
      <c r="G54" s="699"/>
      <c r="H54" s="1325"/>
      <c r="I54" s="966" t="e">
        <f>I52/#REF!</f>
        <v>#REF!</v>
      </c>
      <c r="J54" s="704"/>
      <c r="K54" s="966" t="e">
        <f>K52/#REF!</f>
        <v>#REF!</v>
      </c>
      <c r="L54" s="1325"/>
      <c r="M54" s="966" t="e">
        <f>M52/#REF!</f>
        <v>#REF!</v>
      </c>
      <c r="N54" s="1325"/>
      <c r="O54" s="966" t="e">
        <f>O52/#REF!</f>
        <v>#REF!</v>
      </c>
      <c r="P54" s="1325"/>
      <c r="Q54" s="966" t="e">
        <f>Q52/#REF!</f>
        <v>#REF!</v>
      </c>
      <c r="R54" s="1325"/>
      <c r="S54" s="966" t="e">
        <f>S52/#REF!</f>
        <v>#REF!</v>
      </c>
    </row>
    <row r="55" spans="1:19" ht="15" thickBot="1" x14ac:dyDescent="0.4">
      <c r="A55" s="698"/>
      <c r="B55" s="655"/>
      <c r="C55" s="656"/>
      <c r="D55" s="656"/>
      <c r="E55" s="657"/>
      <c r="F55" s="658"/>
      <c r="G55" s="663"/>
      <c r="H55" s="1168"/>
      <c r="I55" s="1169"/>
      <c r="J55" s="1241"/>
      <c r="K55" s="1169"/>
      <c r="L55" s="1168"/>
      <c r="M55" s="1169"/>
      <c r="N55" s="1168"/>
      <c r="O55" s="1169"/>
      <c r="P55" s="1168"/>
      <c r="Q55" s="1169"/>
      <c r="R55" s="1168"/>
      <c r="S55" s="1169"/>
    </row>
    <row r="56" spans="1:19" ht="15.5" thickTop="1" thickBot="1" x14ac:dyDescent="0.4">
      <c r="A56" s="3764" t="s">
        <v>721</v>
      </c>
      <c r="B56" s="3765"/>
      <c r="C56" s="12"/>
      <c r="D56" s="12"/>
      <c r="E56" s="12"/>
      <c r="F56" s="12"/>
      <c r="G56" s="13"/>
      <c r="H56" s="21"/>
      <c r="I56" s="21"/>
      <c r="J56" s="42"/>
      <c r="K56" s="21"/>
      <c r="L56" s="21"/>
      <c r="M56" s="21"/>
      <c r="N56" s="21"/>
      <c r="O56" s="21"/>
      <c r="P56" s="21"/>
      <c r="Q56" s="21"/>
      <c r="R56" s="21"/>
      <c r="S56" s="21"/>
    </row>
    <row r="57" spans="1:19" ht="15" thickTop="1" x14ac:dyDescent="0.35">
      <c r="A57" s="1326"/>
      <c r="B57" s="641"/>
      <c r="C57" s="1327"/>
      <c r="D57" s="1327"/>
      <c r="E57" s="1327"/>
      <c r="F57" s="1327"/>
      <c r="G57" s="1328"/>
      <c r="H57" s="1329"/>
      <c r="I57" s="1329"/>
      <c r="J57" s="1330"/>
      <c r="K57" s="1329"/>
      <c r="L57" s="1329"/>
      <c r="M57" s="1329"/>
      <c r="N57" s="1329"/>
      <c r="O57" s="1329"/>
      <c r="P57" s="1329"/>
      <c r="Q57" s="1329"/>
      <c r="R57" s="1329"/>
      <c r="S57" s="1329"/>
    </row>
    <row r="58" spans="1:19" x14ac:dyDescent="0.35">
      <c r="A58" s="1326"/>
      <c r="B58" s="641"/>
      <c r="C58" s="1327"/>
      <c r="D58" s="1327"/>
      <c r="E58" s="1327"/>
      <c r="F58" s="1327"/>
      <c r="G58" s="1328"/>
      <c r="H58" s="1329"/>
      <c r="I58" s="1329"/>
      <c r="J58" s="1330"/>
      <c r="K58" s="1329"/>
      <c r="L58" s="1329"/>
      <c r="M58" s="1329"/>
      <c r="N58" s="1329"/>
      <c r="O58" s="1329"/>
      <c r="P58" s="1329"/>
      <c r="Q58" s="1329"/>
      <c r="R58" s="1329"/>
      <c r="S58" s="1329"/>
    </row>
    <row r="59" spans="1:19" ht="15" thickBot="1" x14ac:dyDescent="0.4">
      <c r="A59" s="1326"/>
      <c r="B59" s="641"/>
      <c r="C59" s="1327"/>
      <c r="D59" s="1327"/>
      <c r="E59" s="1327"/>
      <c r="F59" s="1327"/>
      <c r="G59" s="1328"/>
      <c r="H59" s="1329"/>
      <c r="I59" s="1329"/>
      <c r="J59" s="1330"/>
      <c r="K59" s="1329"/>
      <c r="L59" s="1329"/>
      <c r="M59" s="1329"/>
      <c r="N59" s="1329"/>
      <c r="O59" s="1329"/>
      <c r="P59" s="1329"/>
      <c r="Q59" s="1329"/>
      <c r="R59" s="1329"/>
      <c r="S59" s="1329"/>
    </row>
    <row r="60" spans="1:19" s="57" customFormat="1" ht="15.5" thickTop="1" thickBot="1" x14ac:dyDescent="0.4">
      <c r="A60" s="3764" t="s">
        <v>722</v>
      </c>
      <c r="B60" s="3765"/>
      <c r="C60" s="12"/>
      <c r="D60" s="12"/>
      <c r="E60" s="12"/>
      <c r="F60" s="12"/>
      <c r="G60" s="13"/>
      <c r="H60" s="21"/>
      <c r="I60" s="21"/>
      <c r="J60" s="42"/>
      <c r="K60" s="21"/>
      <c r="L60" s="21"/>
      <c r="M60" s="21"/>
      <c r="N60" s="21"/>
      <c r="O60" s="21"/>
      <c r="P60" s="21"/>
      <c r="Q60" s="21"/>
      <c r="R60" s="21"/>
      <c r="S60" s="21"/>
    </row>
    <row r="61" spans="1:19" s="57" customFormat="1" ht="15" thickTop="1" x14ac:dyDescent="0.35">
      <c r="A61" s="1326"/>
      <c r="B61" s="641"/>
      <c r="C61" s="1327"/>
      <c r="D61" s="1327"/>
      <c r="E61" s="1327"/>
      <c r="F61" s="1327"/>
      <c r="G61" s="1328"/>
      <c r="H61" s="1329"/>
      <c r="I61" s="1329"/>
      <c r="J61" s="1330"/>
      <c r="K61" s="1329"/>
      <c r="L61" s="1329"/>
      <c r="M61" s="1329"/>
      <c r="N61" s="1329"/>
      <c r="O61" s="1329"/>
      <c r="P61" s="1329"/>
      <c r="Q61" s="1329"/>
      <c r="R61" s="1329"/>
      <c r="S61" s="1329"/>
    </row>
    <row r="62" spans="1:19" s="57" customFormat="1" x14ac:dyDescent="0.35">
      <c r="A62" s="1326"/>
      <c r="B62" s="641"/>
      <c r="C62" s="1327"/>
      <c r="D62" s="1327"/>
      <c r="E62" s="1327"/>
      <c r="F62" s="1327"/>
      <c r="G62" s="1328"/>
      <c r="H62" s="1329"/>
      <c r="I62" s="1329"/>
      <c r="J62" s="1330"/>
      <c r="K62" s="1329"/>
      <c r="L62" s="1329"/>
      <c r="M62" s="1329"/>
      <c r="N62" s="1329"/>
      <c r="O62" s="1329"/>
      <c r="P62" s="1329"/>
      <c r="Q62" s="1329"/>
      <c r="R62" s="1329"/>
      <c r="S62" s="1329"/>
    </row>
    <row r="63" spans="1:19" ht="15" thickBot="1" x14ac:dyDescent="0.4">
      <c r="A63" s="1326"/>
      <c r="B63" s="641"/>
      <c r="C63" s="1327"/>
      <c r="D63" s="1327"/>
      <c r="E63" s="1327"/>
      <c r="F63" s="1327"/>
      <c r="G63" s="1328"/>
      <c r="H63" s="1329"/>
      <c r="I63" s="1329"/>
      <c r="J63" s="1330"/>
      <c r="K63" s="1329"/>
      <c r="L63" s="1329"/>
      <c r="M63" s="1329"/>
      <c r="N63" s="1329"/>
      <c r="O63" s="1329"/>
      <c r="P63" s="1329"/>
      <c r="Q63" s="1329"/>
      <c r="R63" s="1329"/>
      <c r="S63" s="1329"/>
    </row>
    <row r="64" spans="1:19" s="57" customFormat="1" ht="15.5" thickTop="1" thickBot="1" x14ac:dyDescent="0.4">
      <c r="A64" s="3764" t="s">
        <v>723</v>
      </c>
      <c r="B64" s="3765"/>
      <c r="C64" s="12"/>
      <c r="D64" s="12"/>
      <c r="E64" s="12"/>
      <c r="F64" s="12"/>
      <c r="G64" s="13"/>
      <c r="H64" s="21"/>
      <c r="I64" s="21"/>
      <c r="J64" s="42"/>
      <c r="K64" s="21"/>
      <c r="L64" s="21"/>
      <c r="M64" s="21"/>
      <c r="N64" s="21"/>
      <c r="O64" s="21"/>
      <c r="P64" s="21"/>
      <c r="Q64" s="21"/>
      <c r="R64" s="21"/>
      <c r="S64" s="21"/>
    </row>
    <row r="65" spans="1:19" s="57" customFormat="1" ht="15" thickTop="1" x14ac:dyDescent="0.35">
      <c r="A65" s="1326"/>
      <c r="B65" s="641"/>
      <c r="C65" s="1327"/>
      <c r="D65" s="1327"/>
      <c r="E65" s="1327"/>
      <c r="F65" s="1327"/>
      <c r="G65" s="1328"/>
      <c r="H65" s="1329"/>
      <c r="I65" s="1329"/>
      <c r="J65" s="1330"/>
      <c r="K65" s="1329"/>
      <c r="L65" s="1329"/>
      <c r="M65" s="1329"/>
      <c r="N65" s="1329"/>
      <c r="O65" s="1329"/>
      <c r="P65" s="1329"/>
      <c r="Q65" s="1329"/>
      <c r="R65" s="1329"/>
      <c r="S65" s="1329"/>
    </row>
    <row r="66" spans="1:19" s="57" customFormat="1" x14ac:dyDescent="0.35">
      <c r="A66" s="689"/>
      <c r="B66" s="641"/>
      <c r="C66" s="642"/>
      <c r="D66" s="642"/>
      <c r="E66" s="642"/>
      <c r="F66" s="642"/>
      <c r="G66" s="646"/>
      <c r="H66" s="973"/>
      <c r="I66" s="973"/>
      <c r="J66" s="664"/>
      <c r="K66" s="973"/>
      <c r="L66" s="973"/>
      <c r="M66" s="973"/>
      <c r="N66" s="973"/>
      <c r="O66" s="973"/>
      <c r="P66" s="973"/>
      <c r="Q66" s="973"/>
      <c r="R66" s="973"/>
      <c r="S66" s="973"/>
    </row>
    <row r="67" spans="1:19" s="57" customFormat="1" ht="15" thickBot="1" x14ac:dyDescent="0.4">
      <c r="A67" s="686"/>
      <c r="B67" s="665"/>
      <c r="C67" s="642"/>
      <c r="D67" s="642"/>
      <c r="E67" s="642"/>
      <c r="F67" s="642"/>
      <c r="G67" s="646"/>
      <c r="H67" s="974"/>
      <c r="I67" s="974"/>
      <c r="J67" s="666"/>
      <c r="K67" s="974"/>
      <c r="L67" s="974"/>
      <c r="M67" s="974"/>
      <c r="N67" s="974"/>
      <c r="O67" s="974"/>
      <c r="P67" s="974"/>
      <c r="Q67" s="974"/>
      <c r="R67" s="974"/>
      <c r="S67" s="974"/>
    </row>
    <row r="68" spans="1:19" s="57" customFormat="1" ht="15.5" thickTop="1" thickBot="1" x14ac:dyDescent="0.4">
      <c r="A68" s="3764" t="s">
        <v>724</v>
      </c>
      <c r="B68" s="3765"/>
      <c r="C68" s="12"/>
      <c r="D68" s="12"/>
      <c r="E68" s="12"/>
      <c r="F68" s="12"/>
      <c r="G68" s="13"/>
      <c r="H68" s="21"/>
      <c r="I68" s="21"/>
      <c r="J68" s="42"/>
      <c r="K68" s="21"/>
      <c r="L68" s="21"/>
      <c r="M68" s="21"/>
      <c r="N68" s="21"/>
      <c r="O68" s="21"/>
      <c r="P68" s="21"/>
      <c r="Q68" s="21"/>
      <c r="R68" s="21"/>
      <c r="S68" s="21"/>
    </row>
    <row r="69" spans="1:19" ht="15" thickTop="1" x14ac:dyDescent="0.35">
      <c r="A69" s="628"/>
      <c r="B69" s="1331"/>
      <c r="C69" s="1327"/>
      <c r="D69" s="1327"/>
      <c r="E69" s="1327"/>
      <c r="F69" s="1327"/>
      <c r="G69" s="1328"/>
      <c r="H69" s="1329"/>
      <c r="I69" s="1329"/>
      <c r="J69" s="1330"/>
      <c r="K69" s="1329"/>
      <c r="L69" s="1329"/>
      <c r="M69" s="1329"/>
      <c r="N69" s="1329"/>
      <c r="O69" s="1329"/>
      <c r="P69" s="1329"/>
      <c r="Q69" s="1329"/>
      <c r="R69" s="1329"/>
      <c r="S69" s="1329"/>
    </row>
    <row r="70" spans="1:19" x14ac:dyDescent="0.35">
      <c r="A70" s="686"/>
      <c r="B70" s="665"/>
      <c r="C70" s="642"/>
      <c r="D70" s="642"/>
      <c r="E70" s="642"/>
      <c r="F70" s="642"/>
      <c r="G70" s="646"/>
      <c r="H70" s="977"/>
      <c r="I70" s="977"/>
      <c r="J70" s="667"/>
      <c r="K70" s="977"/>
      <c r="L70" s="977"/>
      <c r="M70" s="977"/>
      <c r="N70" s="977"/>
      <c r="O70" s="977"/>
      <c r="P70" s="977"/>
      <c r="Q70" s="977"/>
      <c r="R70" s="977"/>
      <c r="S70" s="977"/>
    </row>
    <row r="71" spans="1:19" ht="15" thickBot="1" x14ac:dyDescent="0.4">
      <c r="A71" s="686"/>
      <c r="B71" s="665"/>
      <c r="C71" s="642"/>
      <c r="D71" s="642"/>
      <c r="E71" s="642"/>
      <c r="F71" s="642"/>
      <c r="G71" s="646"/>
      <c r="H71" s="977"/>
      <c r="I71" s="977"/>
      <c r="J71" s="667"/>
      <c r="K71" s="977"/>
      <c r="L71" s="977"/>
      <c r="M71" s="977"/>
      <c r="N71" s="977"/>
      <c r="O71" s="977"/>
      <c r="P71" s="977"/>
      <c r="Q71" s="977"/>
      <c r="R71" s="977"/>
      <c r="S71" s="977"/>
    </row>
    <row r="72" spans="1:19" ht="15.5" thickTop="1" thickBot="1" x14ac:dyDescent="0.4">
      <c r="A72" s="3764" t="s">
        <v>725</v>
      </c>
      <c r="B72" s="3765"/>
      <c r="C72" s="12"/>
      <c r="D72" s="12"/>
      <c r="E72" s="12"/>
      <c r="F72" s="12"/>
      <c r="G72" s="13"/>
      <c r="H72" s="21"/>
      <c r="I72" s="21"/>
      <c r="J72" s="42"/>
      <c r="K72" s="21"/>
      <c r="L72" s="21"/>
      <c r="M72" s="21"/>
      <c r="N72" s="21"/>
      <c r="O72" s="21"/>
      <c r="P72" s="21"/>
      <c r="Q72" s="21"/>
      <c r="R72" s="21"/>
      <c r="S72" s="21"/>
    </row>
    <row r="73" spans="1:19" ht="15" thickTop="1" x14ac:dyDescent="0.35">
      <c r="A73" s="689"/>
      <c r="B73" s="641" t="s">
        <v>726</v>
      </c>
      <c r="C73" s="642"/>
      <c r="D73" s="642"/>
      <c r="E73" s="642"/>
      <c r="F73" s="642"/>
      <c r="G73" s="646"/>
      <c r="H73" s="977"/>
      <c r="I73" s="977"/>
      <c r="J73" s="667"/>
      <c r="K73" s="977"/>
      <c r="L73" s="977"/>
      <c r="M73" s="977"/>
      <c r="N73" s="977"/>
      <c r="O73" s="977"/>
      <c r="P73" s="977"/>
      <c r="Q73" s="977"/>
      <c r="R73" s="977"/>
      <c r="S73" s="977"/>
    </row>
    <row r="74" spans="1:19" x14ac:dyDescent="0.35">
      <c r="A74" s="689"/>
      <c r="B74" s="641" t="s">
        <v>727</v>
      </c>
      <c r="C74" s="642"/>
      <c r="D74" s="642"/>
      <c r="E74" s="642"/>
      <c r="F74" s="642"/>
      <c r="G74" s="646"/>
      <c r="H74" s="977"/>
      <c r="I74" s="977"/>
      <c r="J74" s="667"/>
      <c r="K74" s="977"/>
      <c r="L74" s="977"/>
      <c r="M74" s="977"/>
      <c r="N74" s="977"/>
      <c r="O74" s="977"/>
      <c r="P74" s="977"/>
      <c r="Q74" s="977"/>
      <c r="R74" s="977"/>
      <c r="S74" s="977"/>
    </row>
    <row r="75" spans="1:19" x14ac:dyDescent="0.35">
      <c r="A75" s="689"/>
      <c r="B75" s="641" t="s">
        <v>728</v>
      </c>
      <c r="C75" s="642"/>
      <c r="D75" s="642"/>
      <c r="E75" s="642"/>
      <c r="F75" s="642"/>
      <c r="G75" s="646"/>
      <c r="H75" s="977"/>
      <c r="I75" s="977"/>
      <c r="J75" s="667"/>
      <c r="K75" s="977"/>
      <c r="L75" s="977"/>
      <c r="M75" s="977"/>
      <c r="N75" s="977"/>
      <c r="O75" s="977"/>
      <c r="P75" s="977"/>
      <c r="Q75" s="977"/>
      <c r="R75" s="977"/>
      <c r="S75" s="977"/>
    </row>
    <row r="76" spans="1:19" x14ac:dyDescent="0.35">
      <c r="A76" s="689"/>
      <c r="B76" s="641" t="s">
        <v>729</v>
      </c>
      <c r="C76" s="642"/>
      <c r="D76" s="642"/>
      <c r="E76" s="642"/>
      <c r="F76" s="642"/>
      <c r="G76" s="646"/>
      <c r="H76" s="977"/>
      <c r="I76" s="977"/>
      <c r="J76" s="667"/>
      <c r="K76" s="977"/>
      <c r="L76" s="977"/>
      <c r="M76" s="977"/>
      <c r="N76" s="977"/>
      <c r="O76" s="977"/>
      <c r="P76" s="977"/>
      <c r="Q76" s="977"/>
      <c r="R76" s="977"/>
      <c r="S76" s="977"/>
    </row>
    <row r="77" spans="1:19" ht="15" thickBot="1" x14ac:dyDescent="0.4">
      <c r="A77" s="978"/>
      <c r="B77" s="939"/>
      <c r="C77" s="940"/>
      <c r="D77" s="940"/>
      <c r="E77" s="940"/>
      <c r="F77" s="940"/>
      <c r="G77" s="1039"/>
      <c r="H77" s="981"/>
      <c r="I77" s="981"/>
      <c r="J77" s="980"/>
      <c r="K77" s="981"/>
      <c r="L77" s="981"/>
      <c r="M77" s="981"/>
      <c r="N77" s="981"/>
      <c r="O77" s="981"/>
      <c r="P77" s="981"/>
      <c r="Q77" s="981"/>
      <c r="R77" s="981"/>
      <c r="S77" s="981"/>
    </row>
    <row r="78" spans="1:19" ht="15.5" thickTop="1" thickBot="1" x14ac:dyDescent="0.4">
      <c r="A78" s="7" t="s">
        <v>730</v>
      </c>
      <c r="B78" s="8"/>
      <c r="C78" s="12"/>
      <c r="D78" s="12"/>
      <c r="E78" s="12"/>
      <c r="F78" s="12"/>
      <c r="G78" s="13"/>
      <c r="H78" s="21"/>
      <c r="I78" s="21"/>
      <c r="J78" s="42"/>
      <c r="K78" s="21"/>
      <c r="L78" s="21"/>
      <c r="M78" s="21"/>
      <c r="N78" s="21"/>
      <c r="O78" s="21"/>
      <c r="P78" s="21"/>
      <c r="Q78" s="21"/>
      <c r="R78" s="21"/>
      <c r="S78" s="21"/>
    </row>
    <row r="79" spans="1:19" ht="15" thickTop="1" x14ac:dyDescent="0.35">
      <c r="A79" s="1326"/>
      <c r="B79" s="1332" t="s">
        <v>731</v>
      </c>
      <c r="C79" s="1327"/>
      <c r="D79" s="1327"/>
      <c r="E79" s="1327"/>
      <c r="F79" s="1327"/>
      <c r="G79" s="1328"/>
      <c r="H79" s="983"/>
      <c r="I79" s="983"/>
      <c r="J79" s="1333"/>
      <c r="K79" s="983"/>
      <c r="L79" s="983"/>
      <c r="M79" s="983"/>
      <c r="N79" s="983"/>
      <c r="O79" s="983"/>
      <c r="P79" s="983"/>
      <c r="Q79" s="983"/>
      <c r="R79" s="983"/>
      <c r="S79" s="983"/>
    </row>
    <row r="80" spans="1:19" x14ac:dyDescent="0.35">
      <c r="A80" s="689"/>
      <c r="B80" s="641" t="s">
        <v>732</v>
      </c>
      <c r="C80" s="642"/>
      <c r="D80" s="642"/>
      <c r="E80" s="642"/>
      <c r="F80" s="642"/>
      <c r="G80" s="646"/>
      <c r="H80" s="984"/>
      <c r="I80" s="984"/>
      <c r="J80" s="668"/>
      <c r="K80" s="984"/>
      <c r="L80" s="984"/>
      <c r="M80" s="984"/>
      <c r="N80" s="984"/>
      <c r="O80" s="984"/>
      <c r="P80" s="984"/>
      <c r="Q80" s="984"/>
      <c r="R80" s="984"/>
      <c r="S80" s="984"/>
    </row>
    <row r="81" spans="1:19" ht="15" thickBot="1" x14ac:dyDescent="0.4">
      <c r="A81" s="985"/>
      <c r="B81" s="986" t="s">
        <v>733</v>
      </c>
      <c r="C81" s="987"/>
      <c r="D81" s="987"/>
      <c r="E81" s="987"/>
      <c r="F81" s="987"/>
      <c r="G81" s="1040"/>
      <c r="H81" s="990"/>
      <c r="I81" s="990"/>
      <c r="J81" s="989"/>
      <c r="K81" s="990"/>
      <c r="L81" s="990"/>
      <c r="M81" s="990"/>
      <c r="N81" s="990"/>
      <c r="O81" s="990"/>
      <c r="P81" s="990"/>
      <c r="Q81" s="990"/>
      <c r="R81" s="990"/>
      <c r="S81" s="990"/>
    </row>
    <row r="82" spans="1:19" ht="15.5" thickTop="1" thickBot="1" x14ac:dyDescent="0.4">
      <c r="A82"/>
      <c r="B82" s="1"/>
      <c r="C82" s="2"/>
      <c r="D82" s="2"/>
      <c r="E82" s="2"/>
      <c r="F82" s="2"/>
      <c r="G82" s="2"/>
      <c r="H82" s="2"/>
      <c r="I82" s="2"/>
      <c r="J82" s="2"/>
      <c r="K82" s="2"/>
      <c r="L82" s="2"/>
      <c r="M82" s="2"/>
      <c r="N82" s="2"/>
      <c r="O82" s="2"/>
      <c r="P82" s="2"/>
      <c r="Q82" s="2"/>
      <c r="R82" s="2"/>
      <c r="S82" s="2"/>
    </row>
    <row r="83" spans="1:19" ht="15.5" thickTop="1" thickBot="1" x14ac:dyDescent="0.4">
      <c r="A83" s="78" t="s">
        <v>734</v>
      </c>
      <c r="B83" s="80"/>
      <c r="C83" s="2"/>
      <c r="D83" s="2"/>
      <c r="E83" s="2"/>
      <c r="F83" s="2"/>
      <c r="G83" s="2"/>
      <c r="H83" s="2"/>
      <c r="I83" s="2"/>
      <c r="J83" s="2"/>
      <c r="K83" s="2"/>
      <c r="L83" s="2"/>
      <c r="M83" s="2"/>
      <c r="N83" s="2"/>
      <c r="O83" s="2"/>
      <c r="P83" s="2"/>
      <c r="Q83" s="2"/>
      <c r="R83" s="2"/>
      <c r="S83" s="2"/>
    </row>
    <row r="84" spans="1:19" ht="15" thickTop="1" x14ac:dyDescent="0.35">
      <c r="A84" s="79" t="s">
        <v>632</v>
      </c>
      <c r="B84" s="991"/>
      <c r="C84" s="2"/>
      <c r="D84" s="2"/>
      <c r="E84" s="2"/>
      <c r="F84" s="2"/>
      <c r="G84" s="2"/>
      <c r="H84" s="2"/>
      <c r="I84" s="2"/>
      <c r="J84" s="2"/>
      <c r="K84" s="2"/>
      <c r="L84" s="2"/>
      <c r="M84" s="2"/>
      <c r="N84" s="2"/>
      <c r="O84" s="2"/>
      <c r="P84" s="2"/>
      <c r="Q84" s="2"/>
      <c r="R84" s="2"/>
      <c r="S84" s="2"/>
    </row>
    <row r="85" spans="1:19" x14ac:dyDescent="0.35">
      <c r="A85" s="687" t="s">
        <v>636</v>
      </c>
      <c r="B85" s="991"/>
      <c r="C85" s="2"/>
      <c r="D85" s="2"/>
      <c r="E85" s="2"/>
      <c r="F85" s="2"/>
      <c r="G85" s="2"/>
      <c r="H85" s="2"/>
      <c r="I85" s="2"/>
      <c r="J85" s="2"/>
      <c r="K85" s="2"/>
      <c r="L85" s="2"/>
      <c r="M85" s="2"/>
      <c r="N85" s="2"/>
      <c r="O85" s="2"/>
      <c r="P85" s="2"/>
      <c r="Q85" s="2"/>
      <c r="R85" s="2"/>
      <c r="S85" s="2"/>
    </row>
    <row r="86" spans="1:19" x14ac:dyDescent="0.35">
      <c r="A86" s="992" t="s">
        <v>639</v>
      </c>
      <c r="B86" s="993"/>
      <c r="C86" s="2"/>
      <c r="D86" s="2"/>
      <c r="E86" s="2"/>
      <c r="F86" s="2"/>
      <c r="G86" s="2"/>
      <c r="H86" s="2"/>
      <c r="I86" s="2"/>
      <c r="J86" s="2"/>
      <c r="K86" s="2"/>
      <c r="L86" s="2"/>
      <c r="M86" s="2"/>
      <c r="N86" s="2"/>
      <c r="O86" s="2"/>
      <c r="P86" s="2"/>
      <c r="Q86" s="2"/>
      <c r="R86" s="2"/>
      <c r="S86" s="2"/>
    </row>
    <row r="87" spans="1:19" x14ac:dyDescent="0.35">
      <c r="A87" s="992" t="s">
        <v>642</v>
      </c>
      <c r="B87" s="994"/>
      <c r="C87" s="2"/>
      <c r="D87" s="2"/>
      <c r="E87" s="2"/>
      <c r="F87" s="2"/>
      <c r="G87" s="2"/>
      <c r="H87" s="2"/>
      <c r="I87" s="2"/>
      <c r="J87" s="2"/>
      <c r="K87" s="2"/>
      <c r="L87" s="2"/>
      <c r="M87" s="2"/>
      <c r="N87" s="2"/>
      <c r="O87" s="2"/>
      <c r="P87" s="2"/>
      <c r="Q87" s="2"/>
      <c r="R87" s="2"/>
      <c r="S87" s="2"/>
    </row>
    <row r="88" spans="1:19" ht="15" thickBot="1" x14ac:dyDescent="0.4">
      <c r="A88" s="995" t="s">
        <v>735</v>
      </c>
      <c r="B88" s="996"/>
      <c r="C88" s="2"/>
      <c r="D88" s="2"/>
      <c r="E88" s="2"/>
      <c r="F88" s="2"/>
      <c r="G88" s="2"/>
      <c r="H88" s="2"/>
      <c r="I88" s="2"/>
      <c r="J88" s="2"/>
      <c r="K88" s="2"/>
      <c r="L88" s="2"/>
      <c r="M88" s="2"/>
      <c r="N88" s="2"/>
      <c r="O88" s="2"/>
      <c r="P88" s="2"/>
      <c r="Q88" s="2"/>
      <c r="R88" s="2"/>
      <c r="S88" s="2"/>
    </row>
    <row r="89" spans="1:19" ht="15" thickTop="1" x14ac:dyDescent="0.35">
      <c r="A89"/>
      <c r="B89" s="1"/>
      <c r="C89" s="2"/>
      <c r="D89" s="2"/>
      <c r="E89" s="2"/>
      <c r="F89" s="2"/>
      <c r="G89" s="2"/>
      <c r="H89" s="2"/>
      <c r="I89" s="2"/>
      <c r="J89" s="2"/>
      <c r="K89" s="2"/>
      <c r="L89" s="2"/>
      <c r="M89" s="2"/>
      <c r="N89" s="2"/>
      <c r="O89" s="2"/>
      <c r="P89" s="2"/>
      <c r="Q89" s="2"/>
      <c r="R89" s="2"/>
      <c r="S89" s="2"/>
    </row>
    <row r="90" spans="1:19" x14ac:dyDescent="0.35">
      <c r="A90" s="81"/>
      <c r="B90" s="1" t="s">
        <v>736</v>
      </c>
      <c r="C90" s="2"/>
      <c r="D90" s="2"/>
      <c r="E90" s="2"/>
      <c r="F90" s="2"/>
      <c r="G90" s="2"/>
      <c r="H90" s="2"/>
      <c r="I90" s="2"/>
      <c r="J90" s="2"/>
      <c r="K90" s="2"/>
      <c r="L90" s="2"/>
      <c r="M90" s="2"/>
      <c r="N90" s="2"/>
      <c r="O90" s="2"/>
      <c r="P90" s="2"/>
      <c r="Q90" s="2"/>
      <c r="R90" s="2"/>
      <c r="S90" s="2"/>
    </row>
    <row r="91" spans="1:19" x14ac:dyDescent="0.35">
      <c r="A91" s="82"/>
      <c r="B91" s="1" t="s">
        <v>737</v>
      </c>
      <c r="C91" s="2"/>
      <c r="D91" s="2"/>
      <c r="E91" s="2"/>
      <c r="F91" s="2"/>
      <c r="G91" s="2"/>
      <c r="H91" s="2"/>
      <c r="I91" s="2"/>
      <c r="J91" s="2"/>
      <c r="K91" s="2"/>
      <c r="L91" s="2"/>
      <c r="M91" s="2"/>
      <c r="N91" s="2"/>
      <c r="O91" s="2"/>
      <c r="P91" s="2"/>
      <c r="Q91" s="2"/>
      <c r="R91" s="2"/>
      <c r="S91" s="2"/>
    </row>
  </sheetData>
  <mergeCells count="48">
    <mergeCell ref="A56:B56"/>
    <mergeCell ref="A60:B60"/>
    <mergeCell ref="A64:B64"/>
    <mergeCell ref="A68:B68"/>
    <mergeCell ref="A72:B72"/>
    <mergeCell ref="N1:O1"/>
    <mergeCell ref="H2:I2"/>
    <mergeCell ref="J2:K2"/>
    <mergeCell ref="L2:M2"/>
    <mergeCell ref="N2:O2"/>
    <mergeCell ref="P2:Q2"/>
    <mergeCell ref="R2:S2"/>
    <mergeCell ref="H3:I3"/>
    <mergeCell ref="J3:K3"/>
    <mergeCell ref="L3:M3"/>
    <mergeCell ref="N3:O3"/>
    <mergeCell ref="P3:Q3"/>
    <mergeCell ref="R3:S3"/>
    <mergeCell ref="R4:S4"/>
    <mergeCell ref="H5:I5"/>
    <mergeCell ref="J5:K5"/>
    <mergeCell ref="L5:M5"/>
    <mergeCell ref="N5:O5"/>
    <mergeCell ref="P5:Q5"/>
    <mergeCell ref="R5:S5"/>
    <mergeCell ref="H4:I4"/>
    <mergeCell ref="J4:K4"/>
    <mergeCell ref="L4:M4"/>
    <mergeCell ref="N4:O4"/>
    <mergeCell ref="P4:Q4"/>
    <mergeCell ref="R6:S6"/>
    <mergeCell ref="H7:I7"/>
    <mergeCell ref="J7:K7"/>
    <mergeCell ref="L7:M7"/>
    <mergeCell ref="N7:O7"/>
    <mergeCell ref="P7:Q7"/>
    <mergeCell ref="R7:S7"/>
    <mergeCell ref="H6:I6"/>
    <mergeCell ref="J6:K6"/>
    <mergeCell ref="L6:M6"/>
    <mergeCell ref="N6:O6"/>
    <mergeCell ref="P6:Q6"/>
    <mergeCell ref="R8:S8"/>
    <mergeCell ref="H8:I8"/>
    <mergeCell ref="J8:K8"/>
    <mergeCell ref="L8:M8"/>
    <mergeCell ref="N8:O8"/>
    <mergeCell ref="P8:Q8"/>
  </mergeCells>
  <conditionalFormatting sqref="H20:H31">
    <cfRule type="cellIs" dxfId="2357" priority="13" operator="equal">
      <formula>"X"</formula>
    </cfRule>
    <cfRule type="cellIs" dxfId="2356" priority="14" operator="equal">
      <formula>"I"</formula>
    </cfRule>
  </conditionalFormatting>
  <conditionalFormatting sqref="H33:H47">
    <cfRule type="cellIs" dxfId="2355" priority="1" operator="equal">
      <formula>"X"</formula>
    </cfRule>
    <cfRule type="cellIs" dxfId="2354" priority="2" operator="equal">
      <formula>"I"</formula>
    </cfRule>
  </conditionalFormatting>
  <conditionalFormatting sqref="J20:J31">
    <cfRule type="cellIs" dxfId="2353" priority="15" operator="equal">
      <formula>"X"</formula>
    </cfRule>
    <cfRule type="cellIs" dxfId="2352" priority="16" operator="equal">
      <formula>"I"</formula>
    </cfRule>
  </conditionalFormatting>
  <conditionalFormatting sqref="J33:J47">
    <cfRule type="cellIs" dxfId="2351" priority="3" operator="equal">
      <formula>"X"</formula>
    </cfRule>
    <cfRule type="cellIs" dxfId="2350" priority="4" operator="equal">
      <formula>"I"</formula>
    </cfRule>
  </conditionalFormatting>
  <conditionalFormatting sqref="L20:L31">
    <cfRule type="cellIs" dxfId="2349" priority="17" operator="equal">
      <formula>"X"</formula>
    </cfRule>
    <cfRule type="cellIs" dxfId="2348" priority="18" operator="equal">
      <formula>"I"</formula>
    </cfRule>
  </conditionalFormatting>
  <conditionalFormatting sqref="L33:L47">
    <cfRule type="cellIs" dxfId="2347" priority="5" operator="equal">
      <formula>"X"</formula>
    </cfRule>
    <cfRule type="cellIs" dxfId="2346" priority="6" operator="equal">
      <formula>"I"</formula>
    </cfRule>
  </conditionalFormatting>
  <conditionalFormatting sqref="N20:N31">
    <cfRule type="cellIs" dxfId="2345" priority="19" operator="equal">
      <formula>"X"</formula>
    </cfRule>
    <cfRule type="cellIs" dxfId="2344" priority="20" operator="equal">
      <formula>"I"</formula>
    </cfRule>
  </conditionalFormatting>
  <conditionalFormatting sqref="N33:N47">
    <cfRule type="cellIs" dxfId="2343" priority="7" operator="equal">
      <formula>"X"</formula>
    </cfRule>
    <cfRule type="cellIs" dxfId="2342" priority="8" operator="equal">
      <formula>"I"</formula>
    </cfRule>
  </conditionalFormatting>
  <conditionalFormatting sqref="P20:P31">
    <cfRule type="cellIs" dxfId="2341" priority="21" operator="equal">
      <formula>"X"</formula>
    </cfRule>
    <cfRule type="cellIs" dxfId="2340" priority="22" operator="equal">
      <formula>"I"</formula>
    </cfRule>
  </conditionalFormatting>
  <conditionalFormatting sqref="P33:P47">
    <cfRule type="cellIs" dxfId="2339" priority="9" operator="equal">
      <formula>"X"</formula>
    </cfRule>
    <cfRule type="cellIs" dxfId="2338" priority="10" operator="equal">
      <formula>"I"</formula>
    </cfRule>
  </conditionalFormatting>
  <conditionalFormatting sqref="R20:R31">
    <cfRule type="cellIs" dxfId="2337" priority="23" operator="equal">
      <formula>"X"</formula>
    </cfRule>
    <cfRule type="cellIs" dxfId="2336" priority="24" operator="equal">
      <formula>"I"</formula>
    </cfRule>
  </conditionalFormatting>
  <conditionalFormatting sqref="R33:R47">
    <cfRule type="cellIs" dxfId="2335" priority="11" operator="equal">
      <formula>"X"</formula>
    </cfRule>
    <cfRule type="cellIs" dxfId="2334" priority="12" operator="equal">
      <formula>"I"</formula>
    </cfRule>
  </conditionalFormatting>
  <hyperlinks>
    <hyperlink ref="B3" location="'Cost Summary'!A1" display="BACK TO SUMMARY SHEET" xr:uid="{4A62C248-EA36-41CA-B6B1-CEBFEF767D23}"/>
  </hyperlink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DD5E-4A05-46FA-A452-7EB01116F710}">
  <sheetPr>
    <tabColor rgb="FFFFC000"/>
  </sheetPr>
  <dimension ref="A1:S193"/>
  <sheetViews>
    <sheetView zoomScale="85" zoomScaleNormal="85" workbookViewId="0">
      <pane xSplit="2" ySplit="9" topLeftCell="C40" activePane="bottomRight" state="frozen"/>
      <selection pane="topRight" activeCell="C1" sqref="C1"/>
      <selection pane="bottomLeft" activeCell="A11" sqref="A11"/>
      <selection pane="bottomRight" activeCell="J68" sqref="J68"/>
    </sheetView>
  </sheetViews>
  <sheetFormatPr defaultColWidth="9.1796875" defaultRowHeight="14.5" x14ac:dyDescent="0.35"/>
  <cols>
    <col min="1" max="1" width="11" style="55" customWidth="1"/>
    <col min="2" max="2" width="70.7265625" style="56" customWidth="1"/>
    <col min="3" max="3" width="10.81640625" style="57" bestFit="1" customWidth="1"/>
    <col min="4" max="4" width="10.7265625" style="57" customWidth="1"/>
    <col min="5" max="5" width="7.54296875" style="57" customWidth="1"/>
    <col min="6" max="6" width="17.26953125" style="57" customWidth="1"/>
    <col min="7" max="7" width="12.26953125" style="57" customWidth="1"/>
    <col min="8" max="8" width="7.453125" style="57" bestFit="1" customWidth="1"/>
    <col min="9" max="9" width="14.81640625" style="57" customWidth="1"/>
    <col min="10" max="10" width="7.453125" style="57" bestFit="1" customWidth="1"/>
    <col min="11" max="11" width="14.81640625" style="57" customWidth="1"/>
    <col min="12" max="12" width="7.453125" style="57" bestFit="1" customWidth="1"/>
    <col min="13" max="13" width="14.81640625" style="57" customWidth="1"/>
    <col min="14" max="14" width="7.453125" style="57" bestFit="1" customWidth="1"/>
    <col min="15" max="15" width="14.81640625" style="57" customWidth="1"/>
    <col min="16" max="16" width="7.453125" style="57" bestFit="1" customWidth="1"/>
    <col min="17" max="17" width="14.81640625" style="57" customWidth="1"/>
    <col min="18" max="18" width="7.453125" style="57" bestFit="1" customWidth="1"/>
    <col min="19" max="19" width="14.81640625" style="57" customWidth="1"/>
    <col min="20" max="16384" width="9.1796875" style="55"/>
  </cols>
  <sheetData>
    <row r="1" spans="1:19" x14ac:dyDescent="0.35">
      <c r="C1" s="2"/>
      <c r="D1" s="2"/>
      <c r="E1" s="152"/>
      <c r="F1" s="125"/>
      <c r="G1" s="123" t="s">
        <v>621</v>
      </c>
      <c r="J1" s="3846" t="s">
        <v>1374</v>
      </c>
      <c r="K1" s="3846"/>
      <c r="N1" s="3846"/>
      <c r="O1" s="3846"/>
    </row>
    <row r="2" spans="1:19" ht="15.75" customHeight="1" x14ac:dyDescent="0.35">
      <c r="C2" s="2"/>
      <c r="D2" s="2"/>
      <c r="E2" s="152"/>
      <c r="F2" s="122" t="s">
        <v>622</v>
      </c>
      <c r="G2" s="123" t="s">
        <v>451</v>
      </c>
      <c r="H2" s="3843"/>
      <c r="I2" s="3843"/>
      <c r="J2" s="3789" t="s">
        <v>1375</v>
      </c>
      <c r="K2" s="3789"/>
      <c r="L2" s="3843" t="s">
        <v>1064</v>
      </c>
      <c r="M2" s="3843"/>
      <c r="N2" s="3843" t="s">
        <v>1064</v>
      </c>
      <c r="O2" s="3843"/>
      <c r="P2" s="3843" t="s">
        <v>4324</v>
      </c>
      <c r="Q2" s="3843"/>
      <c r="R2" s="3843"/>
      <c r="S2" s="3843"/>
    </row>
    <row r="3" spans="1:19" ht="19.5" x14ac:dyDescent="0.35">
      <c r="B3" s="137" t="s">
        <v>623</v>
      </c>
      <c r="C3" s="2"/>
      <c r="D3" s="2"/>
      <c r="E3" s="152"/>
      <c r="F3" s="124" t="s">
        <v>624</v>
      </c>
      <c r="G3" s="123" t="s">
        <v>557</v>
      </c>
      <c r="H3" s="3847" t="s">
        <v>625</v>
      </c>
      <c r="I3" s="3848"/>
      <c r="J3" s="3844" t="s">
        <v>626</v>
      </c>
      <c r="K3" s="3845"/>
      <c r="L3" s="3844" t="s">
        <v>627</v>
      </c>
      <c r="M3" s="3845"/>
      <c r="N3" s="3844" t="s">
        <v>626</v>
      </c>
      <c r="O3" s="3845"/>
      <c r="P3" s="3844" t="s">
        <v>629</v>
      </c>
      <c r="Q3" s="3845"/>
      <c r="R3" s="3844" t="s">
        <v>630</v>
      </c>
      <c r="S3" s="3845"/>
    </row>
    <row r="4" spans="1:19" x14ac:dyDescent="0.35">
      <c r="A4" s="58" t="s">
        <v>631</v>
      </c>
      <c r="B4" s="4" t="str">
        <f>'AREA CALC''s'!B4</f>
        <v>Alton Hilltop Gardens</v>
      </c>
      <c r="C4" s="59"/>
      <c r="D4" s="59"/>
      <c r="E4" s="59"/>
      <c r="F4" s="59"/>
      <c r="G4" s="74" t="s">
        <v>632</v>
      </c>
      <c r="H4" s="3752" t="s">
        <v>1376</v>
      </c>
      <c r="I4" s="3753"/>
      <c r="J4" s="3840" t="s">
        <v>1377</v>
      </c>
      <c r="K4" s="3841"/>
      <c r="L4" s="3840" t="s">
        <v>1378</v>
      </c>
      <c r="M4" s="3841"/>
      <c r="N4" s="3840" t="s">
        <v>1379</v>
      </c>
      <c r="O4" s="3841"/>
      <c r="P4" s="3840" t="s">
        <v>2867</v>
      </c>
      <c r="Q4" s="3841"/>
      <c r="R4" s="3837"/>
      <c r="S4" s="3838"/>
    </row>
    <row r="5" spans="1:19" x14ac:dyDescent="0.35">
      <c r="A5" s="694" t="s">
        <v>634</v>
      </c>
      <c r="B5" s="1291" t="s">
        <v>486</v>
      </c>
      <c r="C5" s="679"/>
      <c r="D5" s="679"/>
      <c r="E5" s="679"/>
      <c r="F5" s="679"/>
      <c r="G5" s="695" t="s">
        <v>636</v>
      </c>
      <c r="H5" s="3837" t="s">
        <v>1380</v>
      </c>
      <c r="I5" s="3838"/>
      <c r="J5" s="3837" t="s">
        <v>1381</v>
      </c>
      <c r="K5" s="3838"/>
      <c r="L5" s="3837" t="s">
        <v>1382</v>
      </c>
      <c r="M5" s="3838"/>
      <c r="N5" s="3837" t="s">
        <v>1383</v>
      </c>
      <c r="O5" s="3838"/>
      <c r="P5" s="3837" t="s">
        <v>4318</v>
      </c>
      <c r="Q5" s="3838"/>
      <c r="R5" s="3837"/>
      <c r="S5" s="3838"/>
    </row>
    <row r="6" spans="1:19" x14ac:dyDescent="0.35">
      <c r="A6" s="694" t="s">
        <v>638</v>
      </c>
      <c r="B6" s="1292" t="s">
        <v>485</v>
      </c>
      <c r="C6" s="679"/>
      <c r="D6" s="679"/>
      <c r="E6" s="679"/>
      <c r="F6" s="679"/>
      <c r="G6" s="695" t="s">
        <v>639</v>
      </c>
      <c r="H6" s="3830" t="s">
        <v>1384</v>
      </c>
      <c r="I6" s="3831"/>
      <c r="J6" s="3830" t="s">
        <v>1385</v>
      </c>
      <c r="K6" s="3831"/>
      <c r="L6" s="3830" t="s">
        <v>1386</v>
      </c>
      <c r="M6" s="3831"/>
      <c r="N6" s="3830" t="s">
        <v>1387</v>
      </c>
      <c r="O6" s="3831"/>
      <c r="P6" s="3830" t="s">
        <v>4316</v>
      </c>
      <c r="Q6" s="3831"/>
      <c r="R6" s="3830"/>
      <c r="S6" s="3831"/>
    </row>
    <row r="7" spans="1:19" x14ac:dyDescent="0.35">
      <c r="A7" s="694" t="s">
        <v>641</v>
      </c>
      <c r="B7" s="1293"/>
      <c r="C7" s="679"/>
      <c r="D7" s="679"/>
      <c r="E7" s="679"/>
      <c r="F7" s="679"/>
      <c r="G7" s="695" t="s">
        <v>642</v>
      </c>
      <c r="H7" s="3762" t="s">
        <v>1388</v>
      </c>
      <c r="I7" s="3763"/>
      <c r="J7" s="3762" t="s">
        <v>1389</v>
      </c>
      <c r="K7" s="3832"/>
      <c r="L7" s="3762" t="s">
        <v>1390</v>
      </c>
      <c r="M7" s="3763"/>
      <c r="N7" s="3762" t="s">
        <v>1391</v>
      </c>
      <c r="O7" s="3832"/>
      <c r="P7" s="3762" t="s">
        <v>4317</v>
      </c>
      <c r="Q7" s="3832"/>
      <c r="R7" s="3834"/>
      <c r="S7" s="3835"/>
    </row>
    <row r="8" spans="1:19" x14ac:dyDescent="0.35">
      <c r="A8" s="938" t="s">
        <v>644</v>
      </c>
      <c r="B8" s="1294"/>
      <c r="C8" s="1295"/>
      <c r="D8" s="1295"/>
      <c r="E8" s="1295"/>
      <c r="F8" s="1295"/>
      <c r="G8" s="1024" t="s">
        <v>644</v>
      </c>
      <c r="H8" s="3827">
        <f>I154</f>
        <v>697916.55</v>
      </c>
      <c r="I8" s="3828"/>
      <c r="J8" s="3827">
        <f>K154</f>
        <v>723105</v>
      </c>
      <c r="K8" s="3828"/>
      <c r="L8" s="3827">
        <f>M154</f>
        <v>733709</v>
      </c>
      <c r="M8" s="3828"/>
      <c r="N8" s="3827">
        <f>O154</f>
        <v>742983.4</v>
      </c>
      <c r="O8" s="3828"/>
      <c r="P8" s="3827">
        <f>Q154</f>
        <v>647750</v>
      </c>
      <c r="Q8" s="3828"/>
      <c r="R8" s="3825">
        <f>S154</f>
        <v>0</v>
      </c>
      <c r="S8" s="3826"/>
    </row>
    <row r="9" spans="1:19" ht="29" x14ac:dyDescent="0.35">
      <c r="A9" s="60" t="s">
        <v>645</v>
      </c>
      <c r="B9" s="61"/>
      <c r="C9" s="62" t="s">
        <v>646</v>
      </c>
      <c r="D9" s="62" t="s">
        <v>647</v>
      </c>
      <c r="E9" s="62" t="s">
        <v>648</v>
      </c>
      <c r="F9" s="62" t="s">
        <v>649</v>
      </c>
      <c r="G9" s="75" t="s">
        <v>650</v>
      </c>
      <c r="H9" s="64" t="s">
        <v>651</v>
      </c>
      <c r="I9" s="64" t="s">
        <v>652</v>
      </c>
      <c r="J9" s="64" t="s">
        <v>651</v>
      </c>
      <c r="K9" s="64" t="s">
        <v>652</v>
      </c>
      <c r="L9" s="64" t="s">
        <v>651</v>
      </c>
      <c r="M9" s="64" t="s">
        <v>652</v>
      </c>
      <c r="N9" s="64" t="s">
        <v>651</v>
      </c>
      <c r="O9" s="64" t="s">
        <v>652</v>
      </c>
      <c r="P9" s="64" t="s">
        <v>651</v>
      </c>
      <c r="Q9" s="64" t="s">
        <v>652</v>
      </c>
      <c r="R9" s="64" t="s">
        <v>651</v>
      </c>
      <c r="S9" s="64" t="s">
        <v>652</v>
      </c>
    </row>
    <row r="10" spans="1:19" ht="15" hidden="1" customHeight="1" x14ac:dyDescent="0.35">
      <c r="A10" s="696"/>
      <c r="B10" s="1334" t="s">
        <v>653</v>
      </c>
      <c r="C10" s="679"/>
      <c r="D10" s="679"/>
      <c r="E10" s="679"/>
      <c r="F10" s="679"/>
      <c r="G10" s="697"/>
      <c r="H10" s="1296"/>
      <c r="I10" s="1297"/>
      <c r="J10" s="1296"/>
      <c r="K10" s="1296"/>
      <c r="L10" s="1296"/>
      <c r="M10" s="1296"/>
      <c r="N10" s="1296"/>
      <c r="O10" s="1296"/>
      <c r="P10" s="1296"/>
      <c r="Q10" s="1296"/>
      <c r="R10" s="1296"/>
      <c r="S10" s="1296"/>
    </row>
    <row r="11" spans="1:19" ht="15" hidden="1" customHeight="1" x14ac:dyDescent="0.35">
      <c r="A11" s="696"/>
      <c r="B11" s="641" t="e">
        <f>#REF!</f>
        <v>#REF!</v>
      </c>
      <c r="C11" s="678" t="s">
        <v>654</v>
      </c>
      <c r="D11" s="679"/>
      <c r="E11" s="679"/>
      <c r="F11" s="679"/>
      <c r="G11" s="697"/>
      <c r="H11" s="1296"/>
      <c r="I11" s="1297"/>
      <c r="J11" s="1296"/>
      <c r="K11" s="1296"/>
      <c r="L11" s="1296"/>
      <c r="M11" s="1296"/>
      <c r="N11" s="1296"/>
      <c r="O11" s="1296"/>
      <c r="P11" s="1296"/>
      <c r="Q11" s="1296"/>
      <c r="R11" s="1296"/>
      <c r="S11" s="1296"/>
    </row>
    <row r="12" spans="1:19" ht="15" hidden="1" customHeight="1" x14ac:dyDescent="0.35">
      <c r="A12" s="696"/>
      <c r="B12" s="641" t="e">
        <f>#REF!</f>
        <v>#REF!</v>
      </c>
      <c r="C12" s="678" t="s">
        <v>654</v>
      </c>
      <c r="D12" s="679"/>
      <c r="E12" s="679"/>
      <c r="F12" s="679"/>
      <c r="G12" s="697"/>
      <c r="H12" s="1296"/>
      <c r="I12" s="1297"/>
      <c r="J12" s="1296"/>
      <c r="K12" s="1296"/>
      <c r="L12" s="1296"/>
      <c r="M12" s="1296"/>
      <c r="N12" s="1296"/>
      <c r="O12" s="1296"/>
      <c r="P12" s="1296"/>
      <c r="Q12" s="1296"/>
      <c r="R12" s="1296"/>
      <c r="S12" s="1296"/>
    </row>
    <row r="13" spans="1:19" ht="15" hidden="1" customHeight="1" x14ac:dyDescent="0.35">
      <c r="A13" s="696"/>
      <c r="B13" s="641" t="e">
        <f>#REF!</f>
        <v>#REF!</v>
      </c>
      <c r="C13" s="678" t="s">
        <v>654</v>
      </c>
      <c r="D13" s="679"/>
      <c r="E13" s="679"/>
      <c r="F13" s="679"/>
      <c r="G13" s="697"/>
      <c r="H13" s="1296"/>
      <c r="I13" s="1297"/>
      <c r="J13" s="1296"/>
      <c r="K13" s="1296"/>
      <c r="L13" s="1296"/>
      <c r="M13" s="1296"/>
      <c r="N13" s="1296"/>
      <c r="O13" s="1296"/>
      <c r="P13" s="1296"/>
      <c r="Q13" s="1296"/>
      <c r="R13" s="1296"/>
      <c r="S13" s="1296"/>
    </row>
    <row r="14" spans="1:19" ht="15" hidden="1" customHeight="1" x14ac:dyDescent="0.35">
      <c r="A14" s="696"/>
      <c r="B14" s="641" t="e">
        <f>#REF!</f>
        <v>#REF!</v>
      </c>
      <c r="C14" s="678" t="s">
        <v>654</v>
      </c>
      <c r="D14" s="679"/>
      <c r="E14" s="679"/>
      <c r="F14" s="679"/>
      <c r="G14" s="697"/>
      <c r="H14" s="1296"/>
      <c r="I14" s="1297"/>
      <c r="J14" s="1296"/>
      <c r="K14" s="1296"/>
      <c r="L14" s="1296"/>
      <c r="M14" s="1296"/>
      <c r="N14" s="1296"/>
      <c r="O14" s="1296"/>
      <c r="P14" s="1296"/>
      <c r="Q14" s="1296"/>
      <c r="R14" s="1296"/>
      <c r="S14" s="1296"/>
    </row>
    <row r="15" spans="1:19" ht="15" hidden="1" customHeight="1" x14ac:dyDescent="0.35">
      <c r="A15" s="696"/>
      <c r="B15" s="641" t="e">
        <f>#REF!</f>
        <v>#REF!</v>
      </c>
      <c r="C15" s="678" t="s">
        <v>654</v>
      </c>
      <c r="D15" s="679"/>
      <c r="E15" s="679"/>
      <c r="F15" s="679"/>
      <c r="G15" s="697"/>
      <c r="H15" s="1296"/>
      <c r="I15" s="1297"/>
      <c r="J15" s="1296"/>
      <c r="K15" s="1296"/>
      <c r="L15" s="1296"/>
      <c r="M15" s="1296"/>
      <c r="N15" s="1296"/>
      <c r="O15" s="1296"/>
      <c r="P15" s="1296"/>
      <c r="Q15" s="1296"/>
      <c r="R15" s="1296"/>
      <c r="S15" s="1296"/>
    </row>
    <row r="16" spans="1:19" ht="15" hidden="1" customHeight="1" x14ac:dyDescent="0.35">
      <c r="A16" s="696"/>
      <c r="B16" s="641" t="e">
        <f>#REF!</f>
        <v>#REF!</v>
      </c>
      <c r="C16" s="678" t="s">
        <v>654</v>
      </c>
      <c r="D16" s="679"/>
      <c r="E16" s="679"/>
      <c r="F16" s="679"/>
      <c r="G16" s="697"/>
      <c r="H16" s="1296"/>
      <c r="I16" s="1297"/>
      <c r="J16" s="1296"/>
      <c r="K16" s="1296"/>
      <c r="L16" s="1296"/>
      <c r="M16" s="1296"/>
      <c r="N16" s="1296"/>
      <c r="O16" s="1296"/>
      <c r="P16" s="1296"/>
      <c r="Q16" s="1296"/>
      <c r="R16" s="1296"/>
      <c r="S16" s="1296"/>
    </row>
    <row r="17" spans="1:19" ht="15" hidden="1" customHeight="1" x14ac:dyDescent="0.35">
      <c r="A17" s="696"/>
      <c r="B17" s="641" t="e">
        <f>#REF!</f>
        <v>#REF!</v>
      </c>
      <c r="C17" s="678" t="s">
        <v>654</v>
      </c>
      <c r="D17" s="679"/>
      <c r="E17" s="679"/>
      <c r="F17" s="679"/>
      <c r="G17" s="697"/>
      <c r="H17" s="1296"/>
      <c r="I17" s="1297"/>
      <c r="J17" s="1296"/>
      <c r="K17" s="1296"/>
      <c r="L17" s="1296"/>
      <c r="M17" s="1296"/>
      <c r="N17" s="1296"/>
      <c r="O17" s="1296"/>
      <c r="P17" s="1296"/>
      <c r="Q17" s="1296"/>
      <c r="R17" s="1296"/>
      <c r="S17" s="1296"/>
    </row>
    <row r="18" spans="1:19" ht="15" hidden="1" customHeight="1" x14ac:dyDescent="0.35">
      <c r="A18" s="696"/>
      <c r="B18" s="641" t="e">
        <f>#REF!</f>
        <v>#REF!</v>
      </c>
      <c r="C18" s="678" t="s">
        <v>654</v>
      </c>
      <c r="D18" s="679"/>
      <c r="E18" s="679"/>
      <c r="F18" s="679"/>
      <c r="G18" s="697"/>
      <c r="H18" s="1296"/>
      <c r="I18" s="1297"/>
      <c r="J18" s="1296"/>
      <c r="K18" s="1296"/>
      <c r="L18" s="1296"/>
      <c r="M18" s="1296"/>
      <c r="N18" s="1296"/>
      <c r="O18" s="1296"/>
      <c r="P18" s="1296"/>
      <c r="Q18" s="1296"/>
      <c r="R18" s="1296"/>
      <c r="S18" s="1296"/>
    </row>
    <row r="19" spans="1:19" ht="15" hidden="1" customHeight="1" x14ac:dyDescent="0.35">
      <c r="A19" s="696"/>
      <c r="B19" s="641" t="e">
        <f>#REF!</f>
        <v>#REF!</v>
      </c>
      <c r="C19" s="678" t="s">
        <v>654</v>
      </c>
      <c r="D19" s="679"/>
      <c r="E19" s="679"/>
      <c r="F19" s="679"/>
      <c r="G19" s="697"/>
      <c r="H19" s="1296"/>
      <c r="I19" s="1297"/>
      <c r="J19" s="1296"/>
      <c r="K19" s="1296"/>
      <c r="L19" s="1296"/>
      <c r="M19" s="1296"/>
      <c r="N19" s="1296"/>
      <c r="O19" s="1296"/>
      <c r="P19" s="1296"/>
      <c r="Q19" s="1296"/>
      <c r="R19" s="1296"/>
      <c r="S19" s="1296"/>
    </row>
    <row r="20" spans="1:19" ht="15" hidden="1" customHeight="1" x14ac:dyDescent="0.35">
      <c r="A20" s="696"/>
      <c r="B20" s="641" t="e">
        <f>#REF!</f>
        <v>#REF!</v>
      </c>
      <c r="C20" s="678" t="s">
        <v>654</v>
      </c>
      <c r="D20" s="679"/>
      <c r="E20" s="679"/>
      <c r="F20" s="679"/>
      <c r="G20" s="697"/>
      <c r="H20" s="1296"/>
      <c r="I20" s="1297"/>
      <c r="J20" s="1296"/>
      <c r="K20" s="1296"/>
      <c r="L20" s="1296"/>
      <c r="M20" s="1296"/>
      <c r="N20" s="1296"/>
      <c r="O20" s="1296"/>
      <c r="P20" s="1296"/>
      <c r="Q20" s="1296"/>
      <c r="R20" s="1296"/>
      <c r="S20" s="1296"/>
    </row>
    <row r="21" spans="1:19" ht="15" hidden="1" customHeight="1" x14ac:dyDescent="0.35">
      <c r="A21" s="696"/>
      <c r="B21" s="641" t="e">
        <f>#REF!</f>
        <v>#REF!</v>
      </c>
      <c r="C21" s="678" t="s">
        <v>654</v>
      </c>
      <c r="D21" s="679"/>
      <c r="E21" s="679"/>
      <c r="F21" s="679"/>
      <c r="G21" s="697"/>
      <c r="H21" s="1296"/>
      <c r="I21" s="1297"/>
      <c r="J21" s="1296"/>
      <c r="K21" s="1296"/>
      <c r="L21" s="1296"/>
      <c r="M21" s="1296"/>
      <c r="N21" s="1296"/>
      <c r="O21" s="1296"/>
      <c r="P21" s="1296"/>
      <c r="Q21" s="1296"/>
      <c r="R21" s="1296"/>
      <c r="S21" s="1296"/>
    </row>
    <row r="22" spans="1:19" customFormat="1" ht="19.5" customHeight="1" x14ac:dyDescent="0.35">
      <c r="A22" s="689"/>
      <c r="B22" s="641"/>
      <c r="C22" s="647"/>
      <c r="D22" s="642"/>
      <c r="E22" s="642"/>
      <c r="F22" s="642"/>
      <c r="G22" s="646"/>
      <c r="H22" s="943"/>
      <c r="I22" s="942"/>
      <c r="J22" s="943"/>
      <c r="K22" s="942"/>
      <c r="L22" s="943"/>
      <c r="M22" s="942"/>
      <c r="N22" s="943"/>
      <c r="O22" s="942"/>
      <c r="P22" s="943"/>
      <c r="Q22" s="942"/>
      <c r="R22" s="943"/>
      <c r="S22" s="942"/>
    </row>
    <row r="23" spans="1:19" x14ac:dyDescent="0.35">
      <c r="A23" s="696"/>
      <c r="B23" s="648" t="s">
        <v>486</v>
      </c>
      <c r="C23" s="678"/>
      <c r="D23" s="679"/>
      <c r="E23" s="679"/>
      <c r="F23" s="679"/>
      <c r="G23" s="697"/>
      <c r="H23" s="943"/>
      <c r="I23" s="1297"/>
      <c r="J23" s="943"/>
      <c r="K23" s="1296"/>
      <c r="L23" s="943"/>
      <c r="M23" s="1296"/>
      <c r="N23" s="943"/>
      <c r="O23" s="1296"/>
      <c r="P23" s="943"/>
      <c r="Q23" s="1296"/>
      <c r="R23" s="943"/>
      <c r="S23" s="1296"/>
    </row>
    <row r="24" spans="1:19" x14ac:dyDescent="0.35">
      <c r="A24" s="1299"/>
      <c r="B24" s="604" t="s">
        <v>657</v>
      </c>
      <c r="C24" s="678"/>
      <c r="D24" s="679"/>
      <c r="E24" s="679"/>
      <c r="F24" s="679"/>
      <c r="G24" s="697"/>
      <c r="H24" s="943"/>
      <c r="I24" s="1335"/>
      <c r="J24" s="943"/>
      <c r="K24" s="1336"/>
      <c r="L24" s="943"/>
      <c r="M24" s="1336"/>
      <c r="N24" s="943"/>
      <c r="O24" s="1336"/>
      <c r="P24" s="943"/>
      <c r="Q24" s="1336"/>
      <c r="R24" s="943"/>
      <c r="S24" s="1336"/>
    </row>
    <row r="25" spans="1:19" x14ac:dyDescent="0.35">
      <c r="A25" s="1299"/>
      <c r="B25" s="607" t="s">
        <v>658</v>
      </c>
      <c r="C25" s="697"/>
      <c r="D25" s="679"/>
      <c r="E25" s="679"/>
      <c r="F25" s="679"/>
      <c r="G25" s="697"/>
      <c r="H25" s="943" t="s">
        <v>669</v>
      </c>
      <c r="I25" s="1337"/>
      <c r="J25" s="943" t="s">
        <v>669</v>
      </c>
      <c r="K25" s="1337"/>
      <c r="L25" s="943" t="s">
        <v>669</v>
      </c>
      <c r="M25" s="1337"/>
      <c r="N25" s="943" t="s">
        <v>669</v>
      </c>
      <c r="O25" s="1337"/>
      <c r="P25" s="943" t="s">
        <v>669</v>
      </c>
      <c r="Q25" s="1337"/>
      <c r="R25" s="943"/>
      <c r="S25" s="1336"/>
    </row>
    <row r="26" spans="1:19" x14ac:dyDescent="0.35">
      <c r="A26" s="1299"/>
      <c r="B26" s="1338" t="s">
        <v>659</v>
      </c>
      <c r="C26" s="697"/>
      <c r="D26" s="1303"/>
      <c r="E26" s="679"/>
      <c r="F26" s="1304"/>
      <c r="G26" s="1305"/>
      <c r="H26" s="943" t="s">
        <v>669</v>
      </c>
      <c r="I26" s="1337"/>
      <c r="J26" s="943" t="s">
        <v>669</v>
      </c>
      <c r="K26" s="1337"/>
      <c r="L26" s="943" t="s">
        <v>669</v>
      </c>
      <c r="M26" s="1337"/>
      <c r="N26" s="943" t="s">
        <v>669</v>
      </c>
      <c r="O26" s="1337"/>
      <c r="P26" s="943" t="s">
        <v>669</v>
      </c>
      <c r="Q26" s="4035"/>
      <c r="R26" s="943"/>
      <c r="S26" s="1336"/>
    </row>
    <row r="27" spans="1:19" x14ac:dyDescent="0.35">
      <c r="A27" s="1299"/>
      <c r="B27" s="1339" t="s">
        <v>660</v>
      </c>
      <c r="C27" s="697"/>
      <c r="D27" s="1303"/>
      <c r="E27" s="679"/>
      <c r="F27" s="1304"/>
      <c r="G27" s="1305"/>
      <c r="H27" s="943" t="s">
        <v>671</v>
      </c>
      <c r="I27" s="1337"/>
      <c r="J27" s="943" t="s">
        <v>671</v>
      </c>
      <c r="K27" s="1337"/>
      <c r="L27" s="943" t="s">
        <v>671</v>
      </c>
      <c r="M27" s="1337"/>
      <c r="N27" s="943" t="s">
        <v>671</v>
      </c>
      <c r="O27" s="1337"/>
      <c r="P27" s="943" t="s">
        <v>671</v>
      </c>
      <c r="Q27" s="1337"/>
      <c r="R27" s="943"/>
      <c r="S27" s="1336"/>
    </row>
    <row r="28" spans="1:19" x14ac:dyDescent="0.35">
      <c r="A28" s="1299"/>
      <c r="B28" s="1339" t="s">
        <v>661</v>
      </c>
      <c r="C28" s="697"/>
      <c r="D28" s="1303"/>
      <c r="E28" s="679"/>
      <c r="F28" s="1304"/>
      <c r="G28" s="1305"/>
      <c r="H28" s="943" t="s">
        <v>669</v>
      </c>
      <c r="I28" s="1335"/>
      <c r="J28" s="943" t="s">
        <v>669</v>
      </c>
      <c r="K28" s="1337"/>
      <c r="L28" s="943" t="s">
        <v>669</v>
      </c>
      <c r="M28" s="1337"/>
      <c r="N28" s="943" t="s">
        <v>669</v>
      </c>
      <c r="O28" s="1337"/>
      <c r="P28" s="943" t="s">
        <v>669</v>
      </c>
      <c r="Q28" s="1337"/>
      <c r="R28" s="943"/>
      <c r="S28" s="1336"/>
    </row>
    <row r="29" spans="1:19" x14ac:dyDescent="0.35">
      <c r="A29" s="1299"/>
      <c r="B29" s="1339" t="s">
        <v>662</v>
      </c>
      <c r="C29" s="697"/>
      <c r="D29" s="1303"/>
      <c r="E29" s="679"/>
      <c r="F29" s="1304"/>
      <c r="G29" s="697"/>
      <c r="H29" s="943" t="s">
        <v>669</v>
      </c>
      <c r="I29" s="1335"/>
      <c r="J29" s="943" t="s">
        <v>669</v>
      </c>
      <c r="K29" s="1337"/>
      <c r="L29" s="943" t="s">
        <v>669</v>
      </c>
      <c r="M29" s="1337"/>
      <c r="N29" s="943" t="s">
        <v>669</v>
      </c>
      <c r="O29" s="1337"/>
      <c r="P29" s="943" t="s">
        <v>669</v>
      </c>
      <c r="Q29" s="1337"/>
      <c r="R29" s="943"/>
      <c r="S29" s="1336"/>
    </row>
    <row r="30" spans="1:19" x14ac:dyDescent="0.35">
      <c r="A30" s="1299"/>
      <c r="B30" s="1339" t="s">
        <v>663</v>
      </c>
      <c r="C30" s="697"/>
      <c r="D30" s="1303"/>
      <c r="E30" s="679"/>
      <c r="F30" s="1304"/>
      <c r="G30" s="697"/>
      <c r="H30" s="943" t="s">
        <v>669</v>
      </c>
      <c r="I30" s="1335"/>
      <c r="J30" s="943" t="s">
        <v>669</v>
      </c>
      <c r="K30" s="1337"/>
      <c r="L30" s="943" t="s">
        <v>669</v>
      </c>
      <c r="M30" s="1337"/>
      <c r="N30" s="943" t="s">
        <v>669</v>
      </c>
      <c r="O30" s="1337"/>
      <c r="P30" s="943" t="s">
        <v>669</v>
      </c>
      <c r="Q30" s="1337"/>
      <c r="R30" s="943"/>
      <c r="S30" s="1336"/>
    </row>
    <row r="31" spans="1:19" x14ac:dyDescent="0.35">
      <c r="A31" s="1299"/>
      <c r="B31" s="1159" t="s">
        <v>789</v>
      </c>
      <c r="C31" s="697"/>
      <c r="D31" s="1303"/>
      <c r="E31" s="679"/>
      <c r="F31" s="1304"/>
      <c r="G31" s="697"/>
      <c r="H31" s="943" t="s">
        <v>669</v>
      </c>
      <c r="I31" s="1337" t="s">
        <v>1392</v>
      </c>
      <c r="J31" s="943" t="s">
        <v>671</v>
      </c>
      <c r="K31" s="1337" t="s">
        <v>1008</v>
      </c>
      <c r="L31" s="943" t="s">
        <v>671</v>
      </c>
      <c r="M31" s="1337" t="s">
        <v>1008</v>
      </c>
      <c r="N31" s="943" t="s">
        <v>671</v>
      </c>
      <c r="O31" s="1337" t="s">
        <v>1008</v>
      </c>
      <c r="P31" s="943" t="s">
        <v>671</v>
      </c>
      <c r="Q31" s="1337" t="s">
        <v>1008</v>
      </c>
      <c r="R31" s="943"/>
      <c r="S31" s="1336"/>
    </row>
    <row r="32" spans="1:19" x14ac:dyDescent="0.35">
      <c r="A32" s="1299"/>
      <c r="B32" s="1159" t="s">
        <v>790</v>
      </c>
      <c r="C32" s="697"/>
      <c r="D32" s="1303"/>
      <c r="E32" s="679"/>
      <c r="F32" s="1304"/>
      <c r="G32" s="697"/>
      <c r="H32" s="943" t="s">
        <v>669</v>
      </c>
      <c r="I32" s="1337" t="s">
        <v>1393</v>
      </c>
      <c r="J32" s="943" t="s">
        <v>671</v>
      </c>
      <c r="K32" s="1337" t="s">
        <v>1100</v>
      </c>
      <c r="L32" s="943" t="s">
        <v>671</v>
      </c>
      <c r="M32" s="1337" t="s">
        <v>1394</v>
      </c>
      <c r="N32" s="943" t="s">
        <v>671</v>
      </c>
      <c r="O32" s="1337" t="s">
        <v>1100</v>
      </c>
      <c r="P32" s="943" t="s">
        <v>671</v>
      </c>
      <c r="Q32" s="1337" t="s">
        <v>1100</v>
      </c>
      <c r="R32" s="943"/>
      <c r="S32" s="1336"/>
    </row>
    <row r="33" spans="1:19" x14ac:dyDescent="0.35">
      <c r="A33" s="1299"/>
      <c r="B33" s="1159" t="s">
        <v>791</v>
      </c>
      <c r="C33" s="697"/>
      <c r="D33" s="1303"/>
      <c r="E33" s="679"/>
      <c r="F33" s="1304"/>
      <c r="G33" s="697"/>
      <c r="H33" s="943" t="s">
        <v>669</v>
      </c>
      <c r="I33" s="1337" t="s">
        <v>1211</v>
      </c>
      <c r="J33" s="943" t="s">
        <v>671</v>
      </c>
      <c r="K33" s="1337"/>
      <c r="L33" s="943" t="s">
        <v>671</v>
      </c>
      <c r="M33" s="1337"/>
      <c r="N33" s="943" t="s">
        <v>671</v>
      </c>
      <c r="O33" s="1337"/>
      <c r="P33" s="943" t="s">
        <v>671</v>
      </c>
      <c r="Q33" s="1337"/>
      <c r="R33" s="943"/>
      <c r="S33" s="1336"/>
    </row>
    <row r="34" spans="1:19" x14ac:dyDescent="0.35">
      <c r="A34" s="1299"/>
      <c r="B34" s="1340" t="s">
        <v>664</v>
      </c>
      <c r="C34" s="697"/>
      <c r="D34" s="1303"/>
      <c r="E34" s="679"/>
      <c r="F34" s="1341"/>
      <c r="G34" s="1342"/>
      <c r="H34" s="943"/>
      <c r="I34" s="1335"/>
      <c r="J34" s="943"/>
      <c r="K34" s="1337"/>
      <c r="L34" s="943"/>
      <c r="M34" s="1337"/>
      <c r="N34" s="943"/>
      <c r="O34" s="1337"/>
      <c r="P34" s="943"/>
      <c r="Q34" s="1337"/>
      <c r="R34" s="943"/>
      <c r="S34" s="1336"/>
    </row>
    <row r="35" spans="1:19" x14ac:dyDescent="0.35">
      <c r="A35" s="1299"/>
      <c r="B35" s="1343" t="s">
        <v>665</v>
      </c>
      <c r="C35" s="1306"/>
      <c r="D35" s="1307"/>
      <c r="E35" s="1308"/>
      <c r="F35" s="1344"/>
      <c r="G35" s="651"/>
      <c r="H35" s="1309"/>
      <c r="I35" s="1345">
        <v>692466.55</v>
      </c>
      <c r="J35" s="1309"/>
      <c r="K35" s="1345">
        <v>596830</v>
      </c>
      <c r="L35" s="1309"/>
      <c r="M35" s="1345">
        <v>638199</v>
      </c>
      <c r="N35" s="1309"/>
      <c r="O35" s="1345">
        <v>690423.4</v>
      </c>
      <c r="P35" s="1309"/>
      <c r="Q35" s="4039">
        <v>647750</v>
      </c>
      <c r="R35" s="1309"/>
      <c r="S35" s="1346"/>
    </row>
    <row r="36" spans="1:19" x14ac:dyDescent="0.35">
      <c r="A36" s="1299"/>
      <c r="B36" s="1347"/>
      <c r="C36" s="697"/>
      <c r="D36" s="1303"/>
      <c r="E36" s="679"/>
      <c r="F36" s="1341"/>
      <c r="G36" s="1348"/>
      <c r="H36" s="943"/>
      <c r="I36" s="1335"/>
      <c r="J36" s="943"/>
      <c r="K36" s="1337"/>
      <c r="L36" s="943"/>
      <c r="M36" s="1337"/>
      <c r="N36" s="943"/>
      <c r="O36" s="1337"/>
      <c r="P36" s="943"/>
      <c r="Q36" s="1337"/>
      <c r="R36" s="943"/>
      <c r="S36" s="1336"/>
    </row>
    <row r="37" spans="1:19" x14ac:dyDescent="0.35">
      <c r="A37" s="1349"/>
      <c r="B37" s="1350" t="s">
        <v>1395</v>
      </c>
      <c r="C37" s="697"/>
      <c r="D37" s="1351"/>
      <c r="E37" s="679"/>
      <c r="F37" s="654"/>
      <c r="G37" s="652"/>
      <c r="H37" s="943" t="s">
        <v>669</v>
      </c>
      <c r="I37" s="1335"/>
      <c r="J37" s="943" t="s">
        <v>669</v>
      </c>
      <c r="K37" s="1337"/>
      <c r="L37" s="943" t="s">
        <v>669</v>
      </c>
      <c r="M37" s="1337"/>
      <c r="N37" s="943" t="s">
        <v>669</v>
      </c>
      <c r="O37" s="1337"/>
      <c r="P37" s="943" t="s">
        <v>669</v>
      </c>
      <c r="Q37" s="1337"/>
      <c r="R37" s="943"/>
      <c r="S37" s="1335"/>
    </row>
    <row r="38" spans="1:19" ht="32.25" customHeight="1" x14ac:dyDescent="0.35">
      <c r="A38" s="1349"/>
      <c r="B38" s="1352" t="s">
        <v>1396</v>
      </c>
      <c r="C38" s="697" t="s">
        <v>1397</v>
      </c>
      <c r="D38" s="1351"/>
      <c r="E38" s="679"/>
      <c r="F38" s="654"/>
      <c r="G38" s="652"/>
      <c r="H38" s="943" t="s">
        <v>671</v>
      </c>
      <c r="I38" s="1335"/>
      <c r="J38" s="943" t="s">
        <v>671</v>
      </c>
      <c r="K38" s="1337"/>
      <c r="L38" s="943" t="s">
        <v>671</v>
      </c>
      <c r="M38" s="1337"/>
      <c r="N38" s="943" t="s">
        <v>671</v>
      </c>
      <c r="O38" s="1337"/>
      <c r="P38" s="943" t="s">
        <v>671</v>
      </c>
      <c r="Q38" s="1337"/>
      <c r="R38" s="943"/>
      <c r="S38" s="1335"/>
    </row>
    <row r="39" spans="1:19" x14ac:dyDescent="0.35">
      <c r="A39" s="1349"/>
      <c r="B39" s="1353" t="s">
        <v>1398</v>
      </c>
      <c r="C39" s="697" t="s">
        <v>1399</v>
      </c>
      <c r="D39" s="1351"/>
      <c r="E39" s="679"/>
      <c r="F39" s="654"/>
      <c r="G39" s="652"/>
      <c r="H39" s="943" t="s">
        <v>669</v>
      </c>
      <c r="I39" s="1335"/>
      <c r="J39" s="1101" t="s">
        <v>654</v>
      </c>
      <c r="K39" s="1354">
        <v>10000</v>
      </c>
      <c r="L39" s="1101" t="s">
        <v>654</v>
      </c>
      <c r="M39" s="1354">
        <v>10000</v>
      </c>
      <c r="N39" s="943" t="s">
        <v>669</v>
      </c>
      <c r="O39" s="1337"/>
      <c r="P39" s="943" t="s">
        <v>669</v>
      </c>
      <c r="Q39" s="1337"/>
      <c r="R39" s="943"/>
      <c r="S39" s="1335"/>
    </row>
    <row r="40" spans="1:19" x14ac:dyDescent="0.35">
      <c r="A40" s="1349"/>
      <c r="B40" s="1353" t="s">
        <v>1400</v>
      </c>
      <c r="C40" s="697" t="s">
        <v>1144</v>
      </c>
      <c r="D40" s="1351"/>
      <c r="E40" s="679"/>
      <c r="F40" s="654"/>
      <c r="G40" s="652"/>
      <c r="H40" s="943" t="s">
        <v>669</v>
      </c>
      <c r="I40" s="1335"/>
      <c r="J40" s="943" t="s">
        <v>669</v>
      </c>
      <c r="K40" s="1337"/>
      <c r="L40" s="943" t="s">
        <v>669</v>
      </c>
      <c r="M40" s="1337"/>
      <c r="N40" s="943" t="s">
        <v>669</v>
      </c>
      <c r="O40" s="1337"/>
      <c r="P40" s="943" t="s">
        <v>669</v>
      </c>
      <c r="Q40" s="1337"/>
      <c r="R40" s="943"/>
      <c r="S40" s="1335"/>
    </row>
    <row r="41" spans="1:19" x14ac:dyDescent="0.35">
      <c r="A41" s="1349"/>
      <c r="B41" s="1353" t="s">
        <v>1401</v>
      </c>
      <c r="C41" s="697" t="s">
        <v>1144</v>
      </c>
      <c r="D41" s="1351"/>
      <c r="E41" s="679"/>
      <c r="F41" s="654"/>
      <c r="G41" s="652"/>
      <c r="H41" s="943" t="s">
        <v>669</v>
      </c>
      <c r="I41" s="1335"/>
      <c r="J41" s="943" t="s">
        <v>669</v>
      </c>
      <c r="K41" s="1337"/>
      <c r="L41" s="943" t="s">
        <v>669</v>
      </c>
      <c r="M41" s="1337"/>
      <c r="N41" s="943" t="s">
        <v>669</v>
      </c>
      <c r="O41" s="1337"/>
      <c r="P41" s="943" t="s">
        <v>669</v>
      </c>
      <c r="Q41" s="1337"/>
      <c r="R41" s="943"/>
      <c r="S41" s="1335"/>
    </row>
    <row r="42" spans="1:19" x14ac:dyDescent="0.35">
      <c r="A42" s="1349"/>
      <c r="B42" s="1353" t="s">
        <v>1402</v>
      </c>
      <c r="C42" s="697" t="s">
        <v>1144</v>
      </c>
      <c r="D42" s="1351"/>
      <c r="E42" s="679"/>
      <c r="F42" s="654"/>
      <c r="G42" s="652"/>
      <c r="H42" s="943" t="s">
        <v>669</v>
      </c>
      <c r="I42" s="1335"/>
      <c r="J42" s="943" t="s">
        <v>669</v>
      </c>
      <c r="K42" s="1355">
        <v>6875</v>
      </c>
      <c r="L42" s="1101" t="s">
        <v>654</v>
      </c>
      <c r="M42" s="1354">
        <f>K42</f>
        <v>6875</v>
      </c>
      <c r="N42" s="943" t="s">
        <v>669</v>
      </c>
      <c r="O42" s="1337"/>
      <c r="P42" s="943" t="s">
        <v>671</v>
      </c>
      <c r="Q42" s="4037"/>
      <c r="R42" s="943"/>
      <c r="S42" s="1335"/>
    </row>
    <row r="43" spans="1:19" x14ac:dyDescent="0.35">
      <c r="A43" s="1349"/>
      <c r="B43" s="1353" t="s">
        <v>1403</v>
      </c>
      <c r="C43" s="697" t="s">
        <v>1144</v>
      </c>
      <c r="D43" s="1351"/>
      <c r="E43" s="679"/>
      <c r="F43" s="654"/>
      <c r="G43" s="652"/>
      <c r="H43" s="943" t="s">
        <v>671</v>
      </c>
      <c r="I43" s="1335"/>
      <c r="J43" s="943" t="s">
        <v>671</v>
      </c>
      <c r="K43" s="1337"/>
      <c r="L43" s="943" t="s">
        <v>671</v>
      </c>
      <c r="M43" s="1337"/>
      <c r="N43" s="943" t="s">
        <v>671</v>
      </c>
      <c r="O43" s="1337"/>
      <c r="P43" s="943" t="s">
        <v>671</v>
      </c>
      <c r="Q43" s="1337"/>
      <c r="R43" s="943"/>
      <c r="S43" s="1335"/>
    </row>
    <row r="44" spans="1:19" ht="29" x14ac:dyDescent="0.35">
      <c r="A44" s="1349"/>
      <c r="B44" s="1353" t="s">
        <v>1404</v>
      </c>
      <c r="C44" s="1356" t="s">
        <v>1405</v>
      </c>
      <c r="D44" s="1351"/>
      <c r="E44" s="679"/>
      <c r="F44" s="654"/>
      <c r="G44" s="652"/>
      <c r="H44" s="943" t="s">
        <v>669</v>
      </c>
      <c r="I44" s="1335"/>
      <c r="J44" s="943" t="s">
        <v>669</v>
      </c>
      <c r="K44" s="1337"/>
      <c r="L44" s="943" t="s">
        <v>669</v>
      </c>
      <c r="M44" s="1337"/>
      <c r="N44" s="943" t="s">
        <v>669</v>
      </c>
      <c r="O44" s="1337"/>
      <c r="P44" s="943" t="s">
        <v>669</v>
      </c>
      <c r="Q44" s="1337"/>
      <c r="R44" s="943"/>
      <c r="S44" s="1335"/>
    </row>
    <row r="45" spans="1:19" x14ac:dyDescent="0.35">
      <c r="A45" s="1349"/>
      <c r="B45" s="1353" t="s">
        <v>1406</v>
      </c>
      <c r="C45" s="697" t="s">
        <v>1407</v>
      </c>
      <c r="D45" s="1303"/>
      <c r="E45" s="679"/>
      <c r="F45" s="1357"/>
      <c r="G45" s="1342"/>
      <c r="H45" s="943" t="s">
        <v>669</v>
      </c>
      <c r="I45" s="1335"/>
      <c r="J45" s="943" t="s">
        <v>669</v>
      </c>
      <c r="K45" s="1337"/>
      <c r="L45" s="943" t="s">
        <v>669</v>
      </c>
      <c r="M45" s="1337"/>
      <c r="N45" s="943" t="s">
        <v>669</v>
      </c>
      <c r="O45" s="1337"/>
      <c r="P45" s="943" t="s">
        <v>669</v>
      </c>
      <c r="Q45" s="1337"/>
      <c r="R45" s="943"/>
      <c r="S45" s="1336"/>
    </row>
    <row r="46" spans="1:19" x14ac:dyDescent="0.35">
      <c r="A46" s="1349"/>
      <c r="B46" s="1353" t="s">
        <v>1408</v>
      </c>
      <c r="C46" s="697" t="s">
        <v>1144</v>
      </c>
      <c r="D46" s="1303"/>
      <c r="E46" s="679"/>
      <c r="F46" s="1357"/>
      <c r="G46" s="1342"/>
      <c r="H46" s="943" t="s">
        <v>669</v>
      </c>
      <c r="I46" s="1335"/>
      <c r="J46" s="943" t="s">
        <v>669</v>
      </c>
      <c r="K46" s="1337"/>
      <c r="L46" s="943" t="s">
        <v>669</v>
      </c>
      <c r="M46" s="1337"/>
      <c r="N46" s="943" t="s">
        <v>669</v>
      </c>
      <c r="O46" s="1337"/>
      <c r="P46" s="943" t="s">
        <v>669</v>
      </c>
      <c r="Q46" s="1337"/>
      <c r="R46" s="943"/>
      <c r="S46" s="1336"/>
    </row>
    <row r="47" spans="1:19" ht="24.5" x14ac:dyDescent="0.35">
      <c r="A47" s="1349"/>
      <c r="B47" s="1353" t="s">
        <v>1409</v>
      </c>
      <c r="C47" s="1358" t="s">
        <v>1410</v>
      </c>
      <c r="D47" s="1303"/>
      <c r="E47" s="679"/>
      <c r="F47" s="1357"/>
      <c r="G47" s="1342"/>
      <c r="H47" s="943" t="s">
        <v>669</v>
      </c>
      <c r="I47" s="1335"/>
      <c r="J47" s="943" t="s">
        <v>669</v>
      </c>
      <c r="K47" s="1337"/>
      <c r="L47" s="943" t="s">
        <v>669</v>
      </c>
      <c r="M47" s="1337"/>
      <c r="N47" s="943" t="s">
        <v>669</v>
      </c>
      <c r="O47" s="1337"/>
      <c r="P47" s="943" t="s">
        <v>1613</v>
      </c>
      <c r="Q47" s="4037"/>
      <c r="R47" s="943"/>
      <c r="S47" s="1336"/>
    </row>
    <row r="48" spans="1:19" x14ac:dyDescent="0.35">
      <c r="A48" s="1349"/>
      <c r="B48" s="1350" t="s">
        <v>1411</v>
      </c>
      <c r="C48" s="697"/>
      <c r="D48" s="1351"/>
      <c r="E48" s="679"/>
      <c r="F48" s="654"/>
      <c r="G48" s="652"/>
      <c r="H48" s="943" t="s">
        <v>669</v>
      </c>
      <c r="I48" s="1335"/>
      <c r="J48" s="943" t="s">
        <v>669</v>
      </c>
      <c r="K48" s="1337"/>
      <c r="L48" s="943" t="s">
        <v>669</v>
      </c>
      <c r="M48" s="1337"/>
      <c r="N48" s="943" t="s">
        <v>669</v>
      </c>
      <c r="O48" s="1337"/>
      <c r="P48" s="943" t="s">
        <v>669</v>
      </c>
      <c r="Q48" s="1337"/>
      <c r="R48" s="943"/>
      <c r="S48" s="1335"/>
    </row>
    <row r="49" spans="1:19" x14ac:dyDescent="0.35">
      <c r="A49" s="1349"/>
      <c r="B49" s="1347" t="s">
        <v>1412</v>
      </c>
      <c r="C49" s="697" t="s">
        <v>1413</v>
      </c>
      <c r="D49" s="1351"/>
      <c r="E49" s="679"/>
      <c r="F49" s="654"/>
      <c r="G49" s="652"/>
      <c r="H49" s="943" t="s">
        <v>669</v>
      </c>
      <c r="I49" s="1335"/>
      <c r="J49" s="943" t="s">
        <v>669</v>
      </c>
      <c r="K49" s="1355">
        <v>23575</v>
      </c>
      <c r="L49" s="1101" t="s">
        <v>654</v>
      </c>
      <c r="M49" s="1354">
        <f>K49</f>
        <v>23575</v>
      </c>
      <c r="N49" s="943" t="s">
        <v>669</v>
      </c>
      <c r="O49" s="1337"/>
      <c r="P49" s="943" t="s">
        <v>671</v>
      </c>
      <c r="Q49" s="1337"/>
      <c r="R49" s="943"/>
      <c r="S49" s="1335"/>
    </row>
    <row r="50" spans="1:19" x14ac:dyDescent="0.35">
      <c r="A50" s="1349"/>
      <c r="B50" s="1347" t="s">
        <v>1414</v>
      </c>
      <c r="C50" s="697" t="s">
        <v>1415</v>
      </c>
      <c r="D50" s="1303"/>
      <c r="E50" s="679"/>
      <c r="F50" s="1357"/>
      <c r="G50" s="1342"/>
      <c r="H50" s="943" t="s">
        <v>669</v>
      </c>
      <c r="I50" s="1335"/>
      <c r="J50" s="1101" t="s">
        <v>654</v>
      </c>
      <c r="K50" s="1354">
        <v>5000</v>
      </c>
      <c r="L50" s="1101" t="s">
        <v>654</v>
      </c>
      <c r="M50" s="1354">
        <v>5000</v>
      </c>
      <c r="N50" s="943" t="s">
        <v>669</v>
      </c>
      <c r="O50" s="1337"/>
      <c r="P50" s="943" t="s">
        <v>669</v>
      </c>
      <c r="Q50" s="1337"/>
      <c r="R50" s="943"/>
      <c r="S50" s="1336"/>
    </row>
    <row r="51" spans="1:19" x14ac:dyDescent="0.35">
      <c r="A51" s="1349"/>
      <c r="B51" s="1347" t="s">
        <v>1416</v>
      </c>
      <c r="C51" s="697" t="s">
        <v>1417</v>
      </c>
      <c r="D51" s="1303"/>
      <c r="E51" s="679"/>
      <c r="F51" s="1357"/>
      <c r="G51" s="1342"/>
      <c r="H51" s="943" t="s">
        <v>669</v>
      </c>
      <c r="I51" s="1335"/>
      <c r="J51" s="943" t="s">
        <v>669</v>
      </c>
      <c r="K51" s="1337"/>
      <c r="L51" s="943" t="s">
        <v>669</v>
      </c>
      <c r="M51" s="1337"/>
      <c r="N51" s="943" t="s">
        <v>669</v>
      </c>
      <c r="O51" s="1337"/>
      <c r="P51" s="943" t="s">
        <v>669</v>
      </c>
      <c r="Q51" s="1337"/>
      <c r="R51" s="943"/>
      <c r="S51" s="1336"/>
    </row>
    <row r="52" spans="1:19" x14ac:dyDescent="0.35">
      <c r="A52" s="1349"/>
      <c r="B52" s="1347" t="s">
        <v>1418</v>
      </c>
      <c r="C52" s="697" t="s">
        <v>1415</v>
      </c>
      <c r="D52" s="1303"/>
      <c r="E52" s="679"/>
      <c r="F52" s="1357"/>
      <c r="G52" s="1342"/>
      <c r="H52" s="943" t="s">
        <v>669</v>
      </c>
      <c r="I52" s="1335"/>
      <c r="J52" s="943" t="s">
        <v>669</v>
      </c>
      <c r="K52" s="1337"/>
      <c r="L52" s="943" t="s">
        <v>669</v>
      </c>
      <c r="M52" s="1337"/>
      <c r="N52" s="943" t="s">
        <v>669</v>
      </c>
      <c r="O52" s="1337"/>
      <c r="P52" s="943" t="s">
        <v>669</v>
      </c>
      <c r="Q52" s="1337"/>
      <c r="R52" s="943"/>
      <c r="S52" s="1336"/>
    </row>
    <row r="53" spans="1:19" x14ac:dyDescent="0.35">
      <c r="A53" s="1349"/>
      <c r="B53" s="1350" t="s">
        <v>1419</v>
      </c>
      <c r="C53" s="697"/>
      <c r="D53" s="1351"/>
      <c r="E53" s="679"/>
      <c r="F53" s="654"/>
      <c r="G53" s="652"/>
      <c r="H53" s="943" t="s">
        <v>669</v>
      </c>
      <c r="I53" s="1335"/>
      <c r="J53" s="943" t="s">
        <v>669</v>
      </c>
      <c r="K53" s="1337"/>
      <c r="L53" s="943" t="s">
        <v>669</v>
      </c>
      <c r="M53" s="1337"/>
      <c r="N53" s="943" t="s">
        <v>669</v>
      </c>
      <c r="O53" s="1337"/>
      <c r="P53" s="943" t="s">
        <v>669</v>
      </c>
      <c r="Q53" s="1337"/>
      <c r="R53" s="943"/>
      <c r="S53" s="1335"/>
    </row>
    <row r="54" spans="1:19" x14ac:dyDescent="0.35">
      <c r="A54" s="1349"/>
      <c r="B54" s="1347" t="s">
        <v>1420</v>
      </c>
      <c r="C54" s="697" t="s">
        <v>1421</v>
      </c>
      <c r="D54" s="1351">
        <v>8</v>
      </c>
      <c r="E54" s="679" t="s">
        <v>752</v>
      </c>
      <c r="F54" s="654"/>
      <c r="G54" s="652"/>
      <c r="H54" s="943" t="s">
        <v>669</v>
      </c>
      <c r="I54" s="1335"/>
      <c r="J54" s="943" t="s">
        <v>669</v>
      </c>
      <c r="K54" s="1337"/>
      <c r="L54" s="943" t="s">
        <v>669</v>
      </c>
      <c r="M54" s="1337"/>
      <c r="N54" s="943" t="s">
        <v>669</v>
      </c>
      <c r="O54" s="1337"/>
      <c r="P54" s="943" t="s">
        <v>669</v>
      </c>
      <c r="Q54" s="1337"/>
      <c r="R54" s="943"/>
      <c r="S54" s="1335"/>
    </row>
    <row r="55" spans="1:19" x14ac:dyDescent="0.35">
      <c r="A55" s="1349"/>
      <c r="B55" s="1347" t="s">
        <v>1422</v>
      </c>
      <c r="C55" s="697" t="s">
        <v>1421</v>
      </c>
      <c r="D55" s="1351">
        <v>85</v>
      </c>
      <c r="E55" s="679" t="s">
        <v>28</v>
      </c>
      <c r="F55" s="654"/>
      <c r="G55" s="652"/>
      <c r="H55" s="943" t="s">
        <v>669</v>
      </c>
      <c r="I55" s="1335"/>
      <c r="J55" s="943" t="s">
        <v>669</v>
      </c>
      <c r="K55" s="1337"/>
      <c r="L55" s="943" t="s">
        <v>669</v>
      </c>
      <c r="M55" s="1337"/>
      <c r="N55" s="943" t="s">
        <v>669</v>
      </c>
      <c r="O55" s="1337"/>
      <c r="P55" s="943" t="s">
        <v>669</v>
      </c>
      <c r="Q55" s="1337"/>
      <c r="R55" s="943"/>
      <c r="S55" s="1335"/>
    </row>
    <row r="56" spans="1:19" x14ac:dyDescent="0.35">
      <c r="A56" s="1349"/>
      <c r="B56" s="1359" t="s">
        <v>1423</v>
      </c>
      <c r="C56" s="697" t="s">
        <v>1421</v>
      </c>
      <c r="D56" s="1351">
        <v>33</v>
      </c>
      <c r="E56" s="679" t="s">
        <v>28</v>
      </c>
      <c r="F56" s="654"/>
      <c r="G56" s="652"/>
      <c r="H56" s="943" t="s">
        <v>669</v>
      </c>
      <c r="I56" s="1335"/>
      <c r="J56" s="1101" t="s">
        <v>654</v>
      </c>
      <c r="K56" s="1354">
        <v>10000</v>
      </c>
      <c r="L56" s="1101" t="s">
        <v>654</v>
      </c>
      <c r="M56" s="1354">
        <v>10000</v>
      </c>
      <c r="N56" s="1101" t="s">
        <v>654</v>
      </c>
      <c r="O56" s="1354">
        <v>10000</v>
      </c>
      <c r="P56" s="943" t="s">
        <v>671</v>
      </c>
      <c r="Q56" s="4037"/>
      <c r="R56" s="943"/>
      <c r="S56" s="1335"/>
    </row>
    <row r="57" spans="1:19" x14ac:dyDescent="0.35">
      <c r="A57" s="1349"/>
      <c r="B57" s="1353" t="s">
        <v>1424</v>
      </c>
      <c r="C57" s="697" t="s">
        <v>1421</v>
      </c>
      <c r="D57" s="1303"/>
      <c r="E57" s="679"/>
      <c r="F57" s="1357"/>
      <c r="G57" s="1342"/>
      <c r="H57" s="943" t="s">
        <v>669</v>
      </c>
      <c r="I57" s="1335"/>
      <c r="J57" s="943" t="s">
        <v>669</v>
      </c>
      <c r="K57" s="1337"/>
      <c r="L57" s="943" t="s">
        <v>669</v>
      </c>
      <c r="M57" s="1337"/>
      <c r="N57" s="943" t="s">
        <v>669</v>
      </c>
      <c r="O57" s="1337"/>
      <c r="P57" s="943" t="s">
        <v>669</v>
      </c>
      <c r="Q57" s="1337"/>
      <c r="R57" s="943"/>
      <c r="S57" s="1336"/>
    </row>
    <row r="58" spans="1:19" x14ac:dyDescent="0.35">
      <c r="A58" s="1349"/>
      <c r="B58" s="1347" t="s">
        <v>1425</v>
      </c>
      <c r="C58" s="697" t="s">
        <v>1421</v>
      </c>
      <c r="D58" s="1303"/>
      <c r="E58" s="679"/>
      <c r="F58" s="1357"/>
      <c r="G58" s="1342"/>
      <c r="H58" s="943" t="s">
        <v>669</v>
      </c>
      <c r="I58" s="1335"/>
      <c r="J58" s="943" t="s">
        <v>669</v>
      </c>
      <c r="K58" s="1337"/>
      <c r="L58" s="943" t="s">
        <v>669</v>
      </c>
      <c r="M58" s="1337"/>
      <c r="N58" s="943" t="s">
        <v>669</v>
      </c>
      <c r="O58" s="1337"/>
      <c r="P58" s="943" t="s">
        <v>669</v>
      </c>
      <c r="Q58" s="1337"/>
      <c r="R58" s="943"/>
      <c r="S58" s="1336"/>
    </row>
    <row r="59" spans="1:19" x14ac:dyDescent="0.35">
      <c r="A59" s="1349"/>
      <c r="B59" s="1347" t="s">
        <v>1426</v>
      </c>
      <c r="C59" s="697" t="s">
        <v>1421</v>
      </c>
      <c r="D59" s="1303"/>
      <c r="E59" s="679"/>
      <c r="F59" s="1357"/>
      <c r="G59" s="1342"/>
      <c r="H59" s="943" t="s">
        <v>669</v>
      </c>
      <c r="I59" s="1335"/>
      <c r="J59" s="943" t="s">
        <v>669</v>
      </c>
      <c r="K59" s="1337"/>
      <c r="L59" s="943" t="s">
        <v>669</v>
      </c>
      <c r="M59" s="1337"/>
      <c r="N59" s="943" t="s">
        <v>669</v>
      </c>
      <c r="O59" s="1337"/>
      <c r="P59" s="943" t="s">
        <v>669</v>
      </c>
      <c r="Q59" s="1337"/>
      <c r="R59" s="943"/>
      <c r="S59" s="1336"/>
    </row>
    <row r="60" spans="1:19" x14ac:dyDescent="0.35">
      <c r="A60" s="1349"/>
      <c r="B60" s="1347" t="s">
        <v>1412</v>
      </c>
      <c r="C60" s="697" t="s">
        <v>1421</v>
      </c>
      <c r="D60" s="1303"/>
      <c r="E60" s="679"/>
      <c r="F60" s="1357"/>
      <c r="G60" s="1342"/>
      <c r="H60" s="943" t="s">
        <v>669</v>
      </c>
      <c r="I60" s="1335"/>
      <c r="J60" s="1101" t="s">
        <v>654</v>
      </c>
      <c r="K60" s="1354">
        <v>17000</v>
      </c>
      <c r="L60" s="1101" t="s">
        <v>654</v>
      </c>
      <c r="M60" s="1354">
        <v>17000</v>
      </c>
      <c r="N60" s="1101" t="s">
        <v>654</v>
      </c>
      <c r="O60" s="1354">
        <v>17000</v>
      </c>
      <c r="P60" s="943" t="s">
        <v>669</v>
      </c>
      <c r="Q60" s="1337"/>
      <c r="R60" s="943"/>
      <c r="S60" s="1336"/>
    </row>
    <row r="61" spans="1:19" x14ac:dyDescent="0.35">
      <c r="A61" s="1349"/>
      <c r="B61" s="1347" t="s">
        <v>1416</v>
      </c>
      <c r="C61" s="697" t="s">
        <v>1417</v>
      </c>
      <c r="D61" s="1303"/>
      <c r="E61" s="679"/>
      <c r="F61" s="1357"/>
      <c r="G61" s="1342"/>
      <c r="H61" s="943" t="s">
        <v>669</v>
      </c>
      <c r="I61" s="1335"/>
      <c r="J61" s="943" t="s">
        <v>669</v>
      </c>
      <c r="K61" s="1337"/>
      <c r="L61" s="943" t="s">
        <v>669</v>
      </c>
      <c r="M61" s="1337"/>
      <c r="N61" s="943" t="s">
        <v>669</v>
      </c>
      <c r="O61" s="1337"/>
      <c r="P61" s="943" t="s">
        <v>669</v>
      </c>
      <c r="Q61" s="1337"/>
      <c r="R61" s="943"/>
      <c r="S61" s="1336"/>
    </row>
    <row r="62" spans="1:19" x14ac:dyDescent="0.35">
      <c r="A62" s="1349"/>
      <c r="B62" s="1350" t="s">
        <v>1427</v>
      </c>
      <c r="C62" s="697"/>
      <c r="D62" s="1351"/>
      <c r="E62" s="679"/>
      <c r="F62" s="654"/>
      <c r="G62" s="652"/>
      <c r="H62" s="943" t="s">
        <v>669</v>
      </c>
      <c r="I62" s="1335"/>
      <c r="J62" s="943" t="s">
        <v>669</v>
      </c>
      <c r="K62" s="1337"/>
      <c r="L62" s="943" t="s">
        <v>669</v>
      </c>
      <c r="M62" s="1337"/>
      <c r="N62" s="943" t="s">
        <v>669</v>
      </c>
      <c r="O62" s="1337"/>
      <c r="P62" s="943" t="s">
        <v>669</v>
      </c>
      <c r="Q62" s="1337"/>
      <c r="R62" s="943"/>
      <c r="S62" s="1335"/>
    </row>
    <row r="63" spans="1:19" x14ac:dyDescent="0.35">
      <c r="A63" s="1349"/>
      <c r="B63" s="1347" t="s">
        <v>1428</v>
      </c>
      <c r="C63" s="697" t="s">
        <v>1421</v>
      </c>
      <c r="D63" s="1351">
        <v>430</v>
      </c>
      <c r="E63" s="679" t="s">
        <v>28</v>
      </c>
      <c r="F63" s="654"/>
      <c r="G63" s="652"/>
      <c r="H63" s="943" t="s">
        <v>669</v>
      </c>
      <c r="I63" s="1335"/>
      <c r="J63" s="943" t="s">
        <v>669</v>
      </c>
      <c r="K63" s="1337"/>
      <c r="L63" s="943" t="s">
        <v>669</v>
      </c>
      <c r="M63" s="1337"/>
      <c r="N63" s="943" t="s">
        <v>669</v>
      </c>
      <c r="O63" s="1337"/>
      <c r="P63" s="943" t="s">
        <v>669</v>
      </c>
      <c r="Q63" s="1337"/>
      <c r="R63" s="943"/>
      <c r="S63" s="1335"/>
    </row>
    <row r="64" spans="1:19" x14ac:dyDescent="0.35">
      <c r="A64" s="1349"/>
      <c r="B64" s="1353" t="s">
        <v>1429</v>
      </c>
      <c r="C64" s="697" t="s">
        <v>1421</v>
      </c>
      <c r="D64" s="1351">
        <v>23</v>
      </c>
      <c r="E64" s="679" t="s">
        <v>28</v>
      </c>
      <c r="F64" s="654"/>
      <c r="G64" s="652"/>
      <c r="H64" s="943" t="s">
        <v>669</v>
      </c>
      <c r="I64" s="1335"/>
      <c r="J64" s="943" t="s">
        <v>669</v>
      </c>
      <c r="K64" s="1337"/>
      <c r="L64" s="943" t="s">
        <v>669</v>
      </c>
      <c r="M64" s="1337"/>
      <c r="N64" s="1101" t="s">
        <v>654</v>
      </c>
      <c r="O64" s="1354">
        <v>2500</v>
      </c>
      <c r="P64" s="943" t="s">
        <v>669</v>
      </c>
      <c r="Q64" s="1337"/>
      <c r="R64" s="943"/>
      <c r="S64" s="1335"/>
    </row>
    <row r="65" spans="1:19" x14ac:dyDescent="0.35">
      <c r="A65" s="1349"/>
      <c r="B65" s="1353" t="s">
        <v>1430</v>
      </c>
      <c r="C65" s="697" t="s">
        <v>1421</v>
      </c>
      <c r="D65" s="1351">
        <f>14*2</f>
        <v>28</v>
      </c>
      <c r="E65" s="679" t="s">
        <v>752</v>
      </c>
      <c r="F65" s="654"/>
      <c r="G65" s="652"/>
      <c r="H65" s="943" t="s">
        <v>669</v>
      </c>
      <c r="I65" s="1335"/>
      <c r="J65" s="943" t="s">
        <v>669</v>
      </c>
      <c r="K65" s="1337"/>
      <c r="L65" s="943" t="s">
        <v>669</v>
      </c>
      <c r="M65" s="1337"/>
      <c r="N65" s="943" t="s">
        <v>669</v>
      </c>
      <c r="O65" s="1337"/>
      <c r="P65" s="943" t="s">
        <v>669</v>
      </c>
      <c r="Q65" s="1337"/>
      <c r="R65" s="943"/>
      <c r="S65" s="1335"/>
    </row>
    <row r="66" spans="1:19" x14ac:dyDescent="0.35">
      <c r="A66" s="1349"/>
      <c r="B66" s="1353" t="s">
        <v>1431</v>
      </c>
      <c r="C66" s="697" t="s">
        <v>1421</v>
      </c>
      <c r="D66" s="1351">
        <v>1</v>
      </c>
      <c r="E66" s="679" t="s">
        <v>755</v>
      </c>
      <c r="F66" s="654"/>
      <c r="G66" s="652"/>
      <c r="H66" s="943" t="s">
        <v>669</v>
      </c>
      <c r="I66" s="1335"/>
      <c r="J66" s="943" t="s">
        <v>669</v>
      </c>
      <c r="K66" s="1337"/>
      <c r="L66" s="943" t="s">
        <v>669</v>
      </c>
      <c r="M66" s="1337"/>
      <c r="N66" s="943" t="s">
        <v>669</v>
      </c>
      <c r="O66" s="1337"/>
      <c r="P66" s="943" t="s">
        <v>669</v>
      </c>
      <c r="Q66" s="1337"/>
      <c r="R66" s="943"/>
      <c r="S66" s="1335"/>
    </row>
    <row r="67" spans="1:19" x14ac:dyDescent="0.35">
      <c r="A67" s="1349"/>
      <c r="B67" s="1353" t="s">
        <v>1432</v>
      </c>
      <c r="C67" s="697" t="s">
        <v>1421</v>
      </c>
      <c r="D67" s="1351">
        <v>80</v>
      </c>
      <c r="E67" s="679" t="s">
        <v>28</v>
      </c>
      <c r="F67" s="654"/>
      <c r="G67" s="652"/>
      <c r="H67" s="943" t="s">
        <v>669</v>
      </c>
      <c r="I67" s="1335"/>
      <c r="J67" s="943" t="s">
        <v>669</v>
      </c>
      <c r="K67" s="1337"/>
      <c r="L67" s="943" t="s">
        <v>669</v>
      </c>
      <c r="M67" s="1337"/>
      <c r="N67" s="943" t="s">
        <v>669</v>
      </c>
      <c r="O67" s="1337"/>
      <c r="P67" s="943" t="s">
        <v>669</v>
      </c>
      <c r="Q67" s="1337"/>
      <c r="R67" s="943"/>
      <c r="S67" s="1335"/>
    </row>
    <row r="68" spans="1:19" x14ac:dyDescent="0.35">
      <c r="A68" s="1349"/>
      <c r="B68" s="1353" t="s">
        <v>1433</v>
      </c>
      <c r="C68" s="697" t="s">
        <v>1421</v>
      </c>
      <c r="D68" s="1351">
        <v>8</v>
      </c>
      <c r="E68" s="679" t="s">
        <v>752</v>
      </c>
      <c r="F68" s="654"/>
      <c r="G68" s="652"/>
      <c r="H68" s="943" t="s">
        <v>669</v>
      </c>
      <c r="I68" s="1335"/>
      <c r="J68" s="943" t="s">
        <v>669</v>
      </c>
      <c r="K68" s="1337"/>
      <c r="L68" s="943" t="s">
        <v>669</v>
      </c>
      <c r="M68" s="1337"/>
      <c r="N68" s="943" t="s">
        <v>669</v>
      </c>
      <c r="O68" s="1337"/>
      <c r="P68" s="943" t="s">
        <v>669</v>
      </c>
      <c r="Q68" s="1337"/>
      <c r="R68" s="943"/>
      <c r="S68" s="1335"/>
    </row>
    <row r="69" spans="1:19" x14ac:dyDescent="0.35">
      <c r="A69" s="1349"/>
      <c r="B69" s="1353" t="s">
        <v>1434</v>
      </c>
      <c r="C69" s="697" t="s">
        <v>1421</v>
      </c>
      <c r="D69" s="1351">
        <v>8</v>
      </c>
      <c r="E69" s="679" t="s">
        <v>752</v>
      </c>
      <c r="F69" s="654"/>
      <c r="G69" s="652"/>
      <c r="H69" s="943" t="s">
        <v>669</v>
      </c>
      <c r="I69" s="1335"/>
      <c r="J69" s="943" t="s">
        <v>669</v>
      </c>
      <c r="K69" s="1337"/>
      <c r="L69" s="943" t="s">
        <v>669</v>
      </c>
      <c r="M69" s="1337"/>
      <c r="N69" s="943" t="s">
        <v>669</v>
      </c>
      <c r="O69" s="1337"/>
      <c r="P69" s="943" t="s">
        <v>669</v>
      </c>
      <c r="Q69" s="1337"/>
      <c r="R69" s="943"/>
      <c r="S69" s="1335"/>
    </row>
    <row r="70" spans="1:19" x14ac:dyDescent="0.35">
      <c r="A70" s="1349"/>
      <c r="B70" s="1353" t="s">
        <v>1435</v>
      </c>
      <c r="C70" s="697" t="s">
        <v>1421</v>
      </c>
      <c r="D70" s="1351">
        <v>17</v>
      </c>
      <c r="E70" s="679" t="s">
        <v>28</v>
      </c>
      <c r="F70" s="654"/>
      <c r="G70" s="652"/>
      <c r="H70" s="943" t="s">
        <v>669</v>
      </c>
      <c r="I70" s="1335"/>
      <c r="J70" s="943" t="s">
        <v>669</v>
      </c>
      <c r="K70" s="1337"/>
      <c r="L70" s="943" t="s">
        <v>669</v>
      </c>
      <c r="M70" s="1337"/>
      <c r="N70" s="943" t="s">
        <v>669</v>
      </c>
      <c r="O70" s="1337"/>
      <c r="P70" s="943" t="s">
        <v>669</v>
      </c>
      <c r="Q70" s="1337"/>
      <c r="R70" s="943"/>
      <c r="S70" s="1335"/>
    </row>
    <row r="71" spans="1:19" x14ac:dyDescent="0.35">
      <c r="A71" s="1349"/>
      <c r="B71" s="1353" t="s">
        <v>1423</v>
      </c>
      <c r="C71" s="697" t="s">
        <v>1421</v>
      </c>
      <c r="D71" s="1351">
        <v>33</v>
      </c>
      <c r="E71" s="679" t="s">
        <v>28</v>
      </c>
      <c r="F71" s="654"/>
      <c r="G71" s="652"/>
      <c r="H71" s="943" t="s">
        <v>669</v>
      </c>
      <c r="I71" s="1335"/>
      <c r="J71" s="943" t="s">
        <v>669</v>
      </c>
      <c r="K71" s="1337">
        <v>7750</v>
      </c>
      <c r="L71" s="1101" t="s">
        <v>654</v>
      </c>
      <c r="M71" s="1360">
        <f>O71</f>
        <v>7750</v>
      </c>
      <c r="N71" s="1101" t="s">
        <v>654</v>
      </c>
      <c r="O71" s="1360">
        <f>K71</f>
        <v>7750</v>
      </c>
      <c r="P71" s="943" t="s">
        <v>671</v>
      </c>
      <c r="Q71" s="4037"/>
      <c r="R71" s="943"/>
      <c r="S71" s="1335"/>
    </row>
    <row r="72" spans="1:19" x14ac:dyDescent="0.35">
      <c r="A72" s="1349"/>
      <c r="B72" s="1353" t="s">
        <v>1436</v>
      </c>
      <c r="C72" s="697" t="s">
        <v>1421</v>
      </c>
      <c r="D72" s="1351">
        <v>25</v>
      </c>
      <c r="E72" s="679" t="s">
        <v>28</v>
      </c>
      <c r="F72" s="654"/>
      <c r="G72" s="652"/>
      <c r="H72" s="943" t="s">
        <v>669</v>
      </c>
      <c r="I72" s="1335"/>
      <c r="J72" s="943" t="s">
        <v>669</v>
      </c>
      <c r="K72" s="1337"/>
      <c r="L72" s="943" t="s">
        <v>669</v>
      </c>
      <c r="M72" s="1337"/>
      <c r="N72" s="943" t="s">
        <v>669</v>
      </c>
      <c r="O72" s="1337"/>
      <c r="P72" s="943" t="s">
        <v>669</v>
      </c>
      <c r="Q72" s="1337"/>
      <c r="R72" s="943"/>
      <c r="S72" s="1335"/>
    </row>
    <row r="73" spans="1:19" x14ac:dyDescent="0.35">
      <c r="A73" s="1349"/>
      <c r="B73" s="1353" t="s">
        <v>1437</v>
      </c>
      <c r="C73" s="697" t="s">
        <v>1421</v>
      </c>
      <c r="D73" s="1303">
        <v>1</v>
      </c>
      <c r="E73" s="679" t="s">
        <v>755</v>
      </c>
      <c r="F73" s="1357"/>
      <c r="G73" s="1342"/>
      <c r="H73" s="1101" t="s">
        <v>654</v>
      </c>
      <c r="I73" s="1361">
        <f>K73</f>
        <v>5450</v>
      </c>
      <c r="J73" s="943" t="s">
        <v>669</v>
      </c>
      <c r="K73" s="1337">
        <v>5450</v>
      </c>
      <c r="L73" s="1101" t="s">
        <v>654</v>
      </c>
      <c r="M73" s="1360">
        <f>O73</f>
        <v>5450</v>
      </c>
      <c r="N73" s="1101" t="s">
        <v>654</v>
      </c>
      <c r="O73" s="1360">
        <f>K73</f>
        <v>5450</v>
      </c>
      <c r="P73" s="943" t="s">
        <v>669</v>
      </c>
      <c r="Q73" s="1337"/>
      <c r="R73" s="943"/>
      <c r="S73" s="1336"/>
    </row>
    <row r="74" spans="1:19" x14ac:dyDescent="0.35">
      <c r="A74" s="1349"/>
      <c r="B74" s="1350" t="s">
        <v>1438</v>
      </c>
      <c r="C74" s="697"/>
      <c r="D74" s="1351"/>
      <c r="E74" s="679"/>
      <c r="F74" s="654"/>
      <c r="G74" s="652"/>
      <c r="H74" s="943" t="s">
        <v>669</v>
      </c>
      <c r="I74" s="1335"/>
      <c r="J74" s="943" t="s">
        <v>669</v>
      </c>
      <c r="K74" s="1337"/>
      <c r="L74" s="943" t="s">
        <v>669</v>
      </c>
      <c r="M74" s="1337"/>
      <c r="N74" s="943" t="s">
        <v>671</v>
      </c>
      <c r="O74" s="1337"/>
      <c r="P74" s="943" t="s">
        <v>669</v>
      </c>
      <c r="Q74" s="1337"/>
      <c r="R74" s="943"/>
      <c r="S74" s="1335"/>
    </row>
    <row r="75" spans="1:19" x14ac:dyDescent="0.35">
      <c r="A75" s="1349"/>
      <c r="B75" s="1347" t="s">
        <v>1439</v>
      </c>
      <c r="C75" s="697" t="s">
        <v>1440</v>
      </c>
      <c r="D75" s="1351">
        <f>26</f>
        <v>26</v>
      </c>
      <c r="E75" s="679" t="s">
        <v>752</v>
      </c>
      <c r="F75" s="654">
        <v>300</v>
      </c>
      <c r="G75" s="652">
        <f>F75*D75</f>
        <v>7800</v>
      </c>
      <c r="H75" s="943" t="s">
        <v>669</v>
      </c>
      <c r="I75" s="1335"/>
      <c r="J75" s="943" t="s">
        <v>669</v>
      </c>
      <c r="K75" s="1337"/>
      <c r="L75" s="943" t="s">
        <v>669</v>
      </c>
      <c r="M75" s="1337"/>
      <c r="N75" s="943" t="s">
        <v>669</v>
      </c>
      <c r="O75" s="1337"/>
      <c r="P75" s="943" t="s">
        <v>669</v>
      </c>
      <c r="Q75" s="1337"/>
      <c r="R75" s="943"/>
      <c r="S75" s="1335"/>
    </row>
    <row r="76" spans="1:19" x14ac:dyDescent="0.35">
      <c r="A76" s="1349"/>
      <c r="B76" s="1347" t="s">
        <v>1441</v>
      </c>
      <c r="C76" s="697" t="s">
        <v>1440</v>
      </c>
      <c r="D76" s="1351">
        <f>30*2+86</f>
        <v>146</v>
      </c>
      <c r="E76" s="679" t="s">
        <v>28</v>
      </c>
      <c r="F76" s="654"/>
      <c r="G76" s="652"/>
      <c r="H76" s="943" t="s">
        <v>669</v>
      </c>
      <c r="I76" s="1335"/>
      <c r="J76" s="943" t="s">
        <v>669</v>
      </c>
      <c r="K76" s="1337"/>
      <c r="L76" s="1101" t="s">
        <v>654</v>
      </c>
      <c r="M76" s="1360" t="s">
        <v>1442</v>
      </c>
      <c r="N76" s="943" t="s">
        <v>669</v>
      </c>
      <c r="O76" s="1337"/>
      <c r="P76" s="943" t="s">
        <v>669</v>
      </c>
      <c r="Q76" s="1337"/>
      <c r="R76" s="943"/>
      <c r="S76" s="1335"/>
    </row>
    <row r="77" spans="1:19" x14ac:dyDescent="0.35">
      <c r="A77" s="1349"/>
      <c r="B77" s="1347" t="s">
        <v>1443</v>
      </c>
      <c r="C77" s="697" t="s">
        <v>1440</v>
      </c>
      <c r="D77" s="1351"/>
      <c r="E77" s="679"/>
      <c r="F77" s="654"/>
      <c r="G77" s="652"/>
      <c r="H77" s="943" t="s">
        <v>669</v>
      </c>
      <c r="I77" s="1335"/>
      <c r="J77" s="1101" t="s">
        <v>654</v>
      </c>
      <c r="K77" s="1360" t="s">
        <v>1442</v>
      </c>
      <c r="L77" s="1101" t="s">
        <v>654</v>
      </c>
      <c r="M77" s="1360" t="s">
        <v>1442</v>
      </c>
      <c r="N77" s="1101" t="s">
        <v>654</v>
      </c>
      <c r="O77" s="1360" t="s">
        <v>1442</v>
      </c>
      <c r="P77" s="943" t="s">
        <v>669</v>
      </c>
      <c r="Q77" s="1337"/>
      <c r="R77" s="943"/>
      <c r="S77" s="1335"/>
    </row>
    <row r="78" spans="1:19" x14ac:dyDescent="0.35">
      <c r="A78" s="1349"/>
      <c r="B78" s="1347" t="s">
        <v>1444</v>
      </c>
      <c r="C78" s="697" t="s">
        <v>1440</v>
      </c>
      <c r="D78" s="1303"/>
      <c r="E78" s="679"/>
      <c r="F78" s="1357"/>
      <c r="G78" s="1342"/>
      <c r="H78" s="943" t="s">
        <v>669</v>
      </c>
      <c r="I78" s="1335"/>
      <c r="J78" s="943" t="s">
        <v>669</v>
      </c>
      <c r="K78" s="1337"/>
      <c r="L78" s="943" t="s">
        <v>669</v>
      </c>
      <c r="M78" s="1337"/>
      <c r="N78" s="943" t="s">
        <v>669</v>
      </c>
      <c r="O78" s="1337"/>
      <c r="P78" s="943" t="s">
        <v>669</v>
      </c>
      <c r="Q78" s="1337"/>
      <c r="R78" s="943"/>
      <c r="S78" s="1336"/>
    </row>
    <row r="79" spans="1:19" x14ac:dyDescent="0.35">
      <c r="A79" s="1349"/>
      <c r="B79" s="1350" t="s">
        <v>1445</v>
      </c>
      <c r="C79" s="697"/>
      <c r="D79" s="1303"/>
      <c r="E79" s="679"/>
      <c r="F79" s="1357"/>
      <c r="G79" s="1342"/>
      <c r="H79" s="943" t="s">
        <v>669</v>
      </c>
      <c r="I79" s="1335"/>
      <c r="J79" s="943" t="s">
        <v>669</v>
      </c>
      <c r="K79" s="1337"/>
      <c r="L79" s="943" t="s">
        <v>669</v>
      </c>
      <c r="M79" s="1337"/>
      <c r="N79" s="943" t="s">
        <v>669</v>
      </c>
      <c r="O79" s="1337"/>
      <c r="P79" s="943" t="s">
        <v>669</v>
      </c>
      <c r="Q79" s="1337"/>
      <c r="R79" s="943"/>
      <c r="S79" s="1336"/>
    </row>
    <row r="80" spans="1:19" x14ac:dyDescent="0.35">
      <c r="A80" s="1349"/>
      <c r="B80" s="1347" t="s">
        <v>1446</v>
      </c>
      <c r="C80" s="697" t="s">
        <v>1440</v>
      </c>
      <c r="D80" s="1303"/>
      <c r="E80" s="679"/>
      <c r="F80" s="1357"/>
      <c r="G80" s="1342"/>
      <c r="H80" s="943" t="s">
        <v>669</v>
      </c>
      <c r="I80" s="1335"/>
      <c r="J80" s="943" t="s">
        <v>669</v>
      </c>
      <c r="K80" s="1337"/>
      <c r="L80" s="943" t="s">
        <v>669</v>
      </c>
      <c r="M80" s="1337"/>
      <c r="N80" s="943" t="s">
        <v>669</v>
      </c>
      <c r="O80" s="1337"/>
      <c r="P80" s="943" t="s">
        <v>669</v>
      </c>
      <c r="Q80" s="1337"/>
      <c r="R80" s="943"/>
      <c r="S80" s="1336"/>
    </row>
    <row r="81" spans="1:19" x14ac:dyDescent="0.35">
      <c r="A81" s="1349"/>
      <c r="B81" s="1347" t="s">
        <v>1447</v>
      </c>
      <c r="C81" s="697" t="s">
        <v>1440</v>
      </c>
      <c r="D81" s="1303"/>
      <c r="E81" s="679"/>
      <c r="F81" s="1357"/>
      <c r="G81" s="1342"/>
      <c r="H81" s="943" t="s">
        <v>669</v>
      </c>
      <c r="I81" s="1335"/>
      <c r="J81" s="943" t="s">
        <v>669</v>
      </c>
      <c r="K81" s="1337"/>
      <c r="L81" s="943" t="s">
        <v>669</v>
      </c>
      <c r="M81" s="1337"/>
      <c r="N81" s="943" t="s">
        <v>669</v>
      </c>
      <c r="O81" s="1337"/>
      <c r="P81" s="943" t="s">
        <v>669</v>
      </c>
      <c r="Q81" s="1337"/>
      <c r="R81" s="943"/>
      <c r="S81" s="1336"/>
    </row>
    <row r="82" spans="1:19" x14ac:dyDescent="0.35">
      <c r="A82" s="1349"/>
      <c r="B82" s="1347" t="s">
        <v>1448</v>
      </c>
      <c r="C82" s="697" t="s">
        <v>1440</v>
      </c>
      <c r="D82" s="1303"/>
      <c r="E82" s="679"/>
      <c r="F82" s="1357"/>
      <c r="G82" s="1342"/>
      <c r="H82" s="943" t="s">
        <v>669</v>
      </c>
      <c r="I82" s="1335"/>
      <c r="J82" s="943" t="s">
        <v>669</v>
      </c>
      <c r="K82" s="1337"/>
      <c r="L82" s="943" t="s">
        <v>669</v>
      </c>
      <c r="M82" s="1337"/>
      <c r="N82" s="943" t="s">
        <v>669</v>
      </c>
      <c r="O82" s="1337"/>
      <c r="P82" s="943" t="s">
        <v>669</v>
      </c>
      <c r="Q82" s="1337"/>
      <c r="R82" s="943"/>
      <c r="S82" s="1336"/>
    </row>
    <row r="83" spans="1:19" x14ac:dyDescent="0.35">
      <c r="A83" s="1349"/>
      <c r="B83" s="1347" t="s">
        <v>1449</v>
      </c>
      <c r="C83" s="697" t="s">
        <v>1440</v>
      </c>
      <c r="D83" s="1303"/>
      <c r="E83" s="679"/>
      <c r="F83" s="1357"/>
      <c r="G83" s="1342"/>
      <c r="H83" s="943" t="s">
        <v>669</v>
      </c>
      <c r="I83" s="1335"/>
      <c r="J83" s="943" t="s">
        <v>669</v>
      </c>
      <c r="K83" s="1337"/>
      <c r="L83" s="943" t="s">
        <v>669</v>
      </c>
      <c r="M83" s="1337"/>
      <c r="N83" s="943" t="s">
        <v>669</v>
      </c>
      <c r="O83" s="1337"/>
      <c r="P83" s="943" t="s">
        <v>669</v>
      </c>
      <c r="Q83" s="1337"/>
      <c r="R83" s="943"/>
      <c r="S83" s="1336"/>
    </row>
    <row r="84" spans="1:19" x14ac:dyDescent="0.35">
      <c r="A84" s="1299"/>
      <c r="B84" s="1350" t="s">
        <v>1450</v>
      </c>
      <c r="C84" s="697"/>
      <c r="D84" s="1303"/>
      <c r="E84" s="679"/>
      <c r="F84" s="654"/>
      <c r="G84" s="652"/>
      <c r="H84" s="943" t="s">
        <v>669</v>
      </c>
      <c r="I84" s="1335"/>
      <c r="J84" s="943" t="s">
        <v>669</v>
      </c>
      <c r="K84" s="1337"/>
      <c r="L84" s="943" t="s">
        <v>669</v>
      </c>
      <c r="M84" s="1337"/>
      <c r="N84" s="943" t="s">
        <v>669</v>
      </c>
      <c r="O84" s="1337"/>
      <c r="P84" s="943" t="s">
        <v>669</v>
      </c>
      <c r="Q84" s="1337"/>
      <c r="R84" s="943"/>
      <c r="S84" s="1336"/>
    </row>
    <row r="85" spans="1:19" ht="16.5" customHeight="1" x14ac:dyDescent="0.35">
      <c r="A85" s="1349"/>
      <c r="B85" s="1347" t="s">
        <v>1451</v>
      </c>
      <c r="C85" s="697" t="s">
        <v>1452</v>
      </c>
      <c r="D85" s="1351">
        <v>40</v>
      </c>
      <c r="E85" s="679" t="s">
        <v>28</v>
      </c>
      <c r="F85" s="654"/>
      <c r="G85" s="652"/>
      <c r="H85" s="943" t="s">
        <v>669</v>
      </c>
      <c r="I85" s="1335"/>
      <c r="J85" s="943" t="s">
        <v>669</v>
      </c>
      <c r="K85" s="1337"/>
      <c r="L85" s="943" t="s">
        <v>669</v>
      </c>
      <c r="M85" s="1337"/>
      <c r="N85" s="943" t="s">
        <v>669</v>
      </c>
      <c r="O85" s="1337"/>
      <c r="P85" s="943" t="s">
        <v>669</v>
      </c>
      <c r="Q85" s="1337"/>
      <c r="R85" s="943"/>
      <c r="S85" s="1335"/>
    </row>
    <row r="86" spans="1:19" ht="16.5" customHeight="1" x14ac:dyDescent="0.35">
      <c r="A86" s="1349"/>
      <c r="B86" s="4036" t="s">
        <v>4319</v>
      </c>
      <c r="C86" s="697" t="s">
        <v>1452</v>
      </c>
      <c r="D86" s="1351">
        <v>4</v>
      </c>
      <c r="E86" s="679" t="s">
        <v>666</v>
      </c>
      <c r="F86" s="654"/>
      <c r="G86" s="652"/>
      <c r="H86" s="943" t="s">
        <v>671</v>
      </c>
      <c r="I86" s="1335" t="s">
        <v>4327</v>
      </c>
      <c r="J86" s="943" t="s">
        <v>671</v>
      </c>
      <c r="K86" s="1337"/>
      <c r="L86" s="943" t="s">
        <v>671</v>
      </c>
      <c r="M86" s="1337"/>
      <c r="N86" s="943" t="s">
        <v>671</v>
      </c>
      <c r="O86" s="1337"/>
      <c r="P86" s="943" t="s">
        <v>671</v>
      </c>
      <c r="Q86" s="4037"/>
      <c r="R86" s="943"/>
      <c r="S86" s="1335"/>
    </row>
    <row r="87" spans="1:19" ht="16.5" customHeight="1" x14ac:dyDescent="0.35">
      <c r="A87" s="1349"/>
      <c r="B87" s="1350" t="s">
        <v>1453</v>
      </c>
      <c r="C87" s="697"/>
      <c r="D87" s="1351"/>
      <c r="E87" s="679"/>
      <c r="F87" s="654"/>
      <c r="G87" s="652"/>
      <c r="H87" s="943" t="s">
        <v>669</v>
      </c>
      <c r="I87" s="1335"/>
      <c r="J87" s="943" t="s">
        <v>669</v>
      </c>
      <c r="K87" s="1337"/>
      <c r="L87" s="943" t="s">
        <v>669</v>
      </c>
      <c r="M87" s="1337"/>
      <c r="N87" s="943" t="s">
        <v>669</v>
      </c>
      <c r="O87" s="1337"/>
      <c r="P87" s="943" t="s">
        <v>669</v>
      </c>
      <c r="Q87" s="1337"/>
      <c r="R87" s="943"/>
      <c r="S87" s="1335"/>
    </row>
    <row r="88" spans="1:19" ht="16.5" customHeight="1" x14ac:dyDescent="0.35">
      <c r="A88" s="1349"/>
      <c r="B88" s="1347" t="s">
        <v>1454</v>
      </c>
      <c r="C88" s="697" t="s">
        <v>1455</v>
      </c>
      <c r="D88" s="1351">
        <v>30</v>
      </c>
      <c r="E88" s="679" t="s">
        <v>28</v>
      </c>
      <c r="F88" s="654"/>
      <c r="G88" s="652"/>
      <c r="H88" s="943" t="s">
        <v>669</v>
      </c>
      <c r="I88" s="1335"/>
      <c r="J88" s="943" t="s">
        <v>669</v>
      </c>
      <c r="K88" s="1337"/>
      <c r="L88" s="943" t="s">
        <v>669</v>
      </c>
      <c r="M88" s="1337"/>
      <c r="N88" s="943" t="s">
        <v>669</v>
      </c>
      <c r="O88" s="1337"/>
      <c r="P88" s="943" t="s">
        <v>669</v>
      </c>
      <c r="Q88" s="1337"/>
      <c r="R88" s="943"/>
      <c r="S88" s="1335"/>
    </row>
    <row r="89" spans="1:19" ht="16.5" customHeight="1" x14ac:dyDescent="0.35">
      <c r="A89" s="1349"/>
      <c r="B89" s="1347" t="s">
        <v>1456</v>
      </c>
      <c r="C89" s="697" t="s">
        <v>1455</v>
      </c>
      <c r="D89" s="1351">
        <v>3</v>
      </c>
      <c r="E89" s="679" t="s">
        <v>28</v>
      </c>
      <c r="F89" s="654"/>
      <c r="G89" s="652"/>
      <c r="H89" s="943" t="s">
        <v>669</v>
      </c>
      <c r="I89" s="1335"/>
      <c r="J89" s="943" t="s">
        <v>669</v>
      </c>
      <c r="K89" s="1337"/>
      <c r="L89" s="943" t="s">
        <v>669</v>
      </c>
      <c r="M89" s="1337"/>
      <c r="N89" s="943" t="s">
        <v>669</v>
      </c>
      <c r="O89" s="1337"/>
      <c r="P89" s="943" t="s">
        <v>669</v>
      </c>
      <c r="Q89" s="1337"/>
      <c r="R89" s="943"/>
      <c r="S89" s="1335"/>
    </row>
    <row r="90" spans="1:19" ht="16.5" customHeight="1" x14ac:dyDescent="0.35">
      <c r="A90" s="1349"/>
      <c r="B90" s="1350" t="s">
        <v>1457</v>
      </c>
      <c r="C90" s="697"/>
      <c r="D90" s="1351"/>
      <c r="E90" s="679"/>
      <c r="F90" s="654"/>
      <c r="G90" s="652"/>
      <c r="H90" s="943" t="s">
        <v>669</v>
      </c>
      <c r="I90" s="1335"/>
      <c r="J90" s="943" t="s">
        <v>669</v>
      </c>
      <c r="K90" s="1337"/>
      <c r="L90" s="943" t="s">
        <v>669</v>
      </c>
      <c r="M90" s="1337"/>
      <c r="N90" s="943" t="s">
        <v>669</v>
      </c>
      <c r="O90" s="1337"/>
      <c r="P90" s="943" t="s">
        <v>669</v>
      </c>
      <c r="Q90" s="1337"/>
      <c r="R90" s="943"/>
      <c r="S90" s="1335"/>
    </row>
    <row r="91" spans="1:19" ht="16.5" customHeight="1" x14ac:dyDescent="0.35">
      <c r="A91" s="1349"/>
      <c r="B91" s="1353" t="s">
        <v>1458</v>
      </c>
      <c r="C91" s="1356" t="s">
        <v>1459</v>
      </c>
      <c r="D91" s="1351"/>
      <c r="E91" s="679"/>
      <c r="F91" s="654"/>
      <c r="G91" s="652"/>
      <c r="H91" s="943" t="s">
        <v>669</v>
      </c>
      <c r="I91" s="1335"/>
      <c r="J91" s="943" t="s">
        <v>669</v>
      </c>
      <c r="K91" s="1337"/>
      <c r="L91" s="943" t="s">
        <v>669</v>
      </c>
      <c r="M91" s="1337"/>
      <c r="N91" s="943" t="s">
        <v>669</v>
      </c>
      <c r="O91" s="1337"/>
      <c r="P91" s="943" t="s">
        <v>669</v>
      </c>
      <c r="Q91" s="1337"/>
      <c r="R91" s="943"/>
      <c r="S91" s="1335"/>
    </row>
    <row r="92" spans="1:19" ht="16.5" customHeight="1" x14ac:dyDescent="0.35">
      <c r="A92" s="1349"/>
      <c r="B92" s="1353" t="s">
        <v>1460</v>
      </c>
      <c r="C92" s="1356" t="s">
        <v>1461</v>
      </c>
      <c r="D92" s="1351">
        <v>12</v>
      </c>
      <c r="E92" s="679" t="s">
        <v>752</v>
      </c>
      <c r="F92" s="654"/>
      <c r="G92" s="652"/>
      <c r="H92" s="943" t="s">
        <v>669</v>
      </c>
      <c r="I92" s="1335"/>
      <c r="J92" s="943" t="s">
        <v>669</v>
      </c>
      <c r="K92" s="1337"/>
      <c r="L92" s="943" t="s">
        <v>669</v>
      </c>
      <c r="M92" s="1337"/>
      <c r="N92" s="943" t="s">
        <v>669</v>
      </c>
      <c r="O92" s="1337"/>
      <c r="P92" s="943" t="s">
        <v>669</v>
      </c>
      <c r="Q92" s="1337"/>
      <c r="R92" s="943"/>
      <c r="S92" s="1335"/>
    </row>
    <row r="93" spans="1:19" ht="16.5" customHeight="1" x14ac:dyDescent="0.35">
      <c r="A93" s="1349"/>
      <c r="B93" s="1353" t="s">
        <v>1448</v>
      </c>
      <c r="C93" s="1356" t="s">
        <v>1461</v>
      </c>
      <c r="D93" s="1351">
        <v>16</v>
      </c>
      <c r="E93" s="679" t="s">
        <v>28</v>
      </c>
      <c r="F93" s="654"/>
      <c r="G93" s="652"/>
      <c r="H93" s="943" t="s">
        <v>669</v>
      </c>
      <c r="I93" s="1335"/>
      <c r="J93" s="943" t="s">
        <v>669</v>
      </c>
      <c r="K93" s="1337"/>
      <c r="L93" s="943" t="s">
        <v>669</v>
      </c>
      <c r="M93" s="1337"/>
      <c r="N93" s="943" t="s">
        <v>669</v>
      </c>
      <c r="O93" s="1337"/>
      <c r="P93" s="943" t="s">
        <v>669</v>
      </c>
      <c r="Q93" s="1337"/>
      <c r="R93" s="943"/>
      <c r="S93" s="1335"/>
    </row>
    <row r="94" spans="1:19" ht="16.5" customHeight="1" x14ac:dyDescent="0.35">
      <c r="A94" s="1349"/>
      <c r="B94" s="1353" t="s">
        <v>1462</v>
      </c>
      <c r="C94" s="1356" t="s">
        <v>1461</v>
      </c>
      <c r="D94" s="1351">
        <v>2</v>
      </c>
      <c r="E94" s="679" t="s">
        <v>666</v>
      </c>
      <c r="F94" s="654"/>
      <c r="G94" s="652"/>
      <c r="H94" s="943" t="s">
        <v>669</v>
      </c>
      <c r="I94" s="1335"/>
      <c r="J94" s="943" t="s">
        <v>669</v>
      </c>
      <c r="K94" s="1337"/>
      <c r="L94" s="1101" t="s">
        <v>654</v>
      </c>
      <c r="M94" s="1360" t="s">
        <v>1442</v>
      </c>
      <c r="N94" s="943" t="s">
        <v>669</v>
      </c>
      <c r="O94" s="1337"/>
      <c r="P94" s="943" t="s">
        <v>669</v>
      </c>
      <c r="Q94" s="1337"/>
      <c r="R94" s="943"/>
      <c r="S94" s="1335"/>
    </row>
    <row r="95" spans="1:19" ht="16.5" customHeight="1" x14ac:dyDescent="0.35">
      <c r="A95" s="1349"/>
      <c r="B95" s="1350" t="s">
        <v>1463</v>
      </c>
      <c r="C95" s="697"/>
      <c r="D95" s="1351"/>
      <c r="E95" s="679"/>
      <c r="F95" s="654"/>
      <c r="G95" s="652"/>
      <c r="H95" s="943" t="s">
        <v>669</v>
      </c>
      <c r="I95" s="1335"/>
      <c r="J95" s="943" t="s">
        <v>669</v>
      </c>
      <c r="K95" s="1355">
        <v>23145</v>
      </c>
      <c r="L95" s="943" t="s">
        <v>669</v>
      </c>
      <c r="M95" s="1337"/>
      <c r="N95" s="943" t="s">
        <v>669</v>
      </c>
      <c r="O95" s="1337"/>
      <c r="P95" s="943" t="s">
        <v>669</v>
      </c>
      <c r="Q95" s="1337"/>
      <c r="R95" s="943"/>
      <c r="S95" s="1335"/>
    </row>
    <row r="96" spans="1:19" ht="16.5" customHeight="1" x14ac:dyDescent="0.35">
      <c r="A96" s="1349"/>
      <c r="B96" s="1347" t="s">
        <v>1464</v>
      </c>
      <c r="C96" s="1356" t="s">
        <v>1465</v>
      </c>
      <c r="D96" s="1351"/>
      <c r="E96" s="679"/>
      <c r="F96" s="654"/>
      <c r="G96" s="652"/>
      <c r="H96" s="943" t="s">
        <v>669</v>
      </c>
      <c r="I96" s="1335"/>
      <c r="J96" s="943" t="s">
        <v>669</v>
      </c>
      <c r="K96" s="1337"/>
      <c r="L96" s="943" t="s">
        <v>669</v>
      </c>
      <c r="M96" s="1337"/>
      <c r="N96" s="943" t="s">
        <v>669</v>
      </c>
      <c r="O96" s="1337"/>
      <c r="P96" s="943" t="s">
        <v>669</v>
      </c>
      <c r="Q96" s="1337"/>
      <c r="R96" s="943"/>
      <c r="S96" s="1335"/>
    </row>
    <row r="97" spans="1:19" ht="16.5" customHeight="1" x14ac:dyDescent="0.35">
      <c r="A97" s="1349"/>
      <c r="B97" s="1347" t="s">
        <v>1466</v>
      </c>
      <c r="C97" s="1356" t="s">
        <v>1465</v>
      </c>
      <c r="D97" s="1351"/>
      <c r="E97" s="679"/>
      <c r="F97" s="654"/>
      <c r="G97" s="652"/>
      <c r="H97" s="943" t="s">
        <v>669</v>
      </c>
      <c r="I97" s="1335"/>
      <c r="J97" s="943" t="s">
        <v>669</v>
      </c>
      <c r="K97" s="1337"/>
      <c r="L97" s="943" t="s">
        <v>669</v>
      </c>
      <c r="M97" s="1337"/>
      <c r="N97" s="943" t="s">
        <v>669</v>
      </c>
      <c r="O97" s="1337"/>
      <c r="P97" s="943" t="s">
        <v>669</v>
      </c>
      <c r="Q97" s="1337"/>
      <c r="R97" s="943"/>
      <c r="S97" s="1335"/>
    </row>
    <row r="98" spans="1:19" ht="16.5" customHeight="1" x14ac:dyDescent="0.35">
      <c r="A98" s="1349"/>
      <c r="B98" s="1347" t="s">
        <v>1467</v>
      </c>
      <c r="C98" s="1356" t="s">
        <v>1465</v>
      </c>
      <c r="D98" s="1351"/>
      <c r="E98" s="679"/>
      <c r="F98" s="654"/>
      <c r="G98" s="652"/>
      <c r="H98" s="943" t="s">
        <v>669</v>
      </c>
      <c r="I98" s="1335"/>
      <c r="J98" s="943" t="s">
        <v>669</v>
      </c>
      <c r="K98" s="1337"/>
      <c r="L98" s="943" t="s">
        <v>669</v>
      </c>
      <c r="M98" s="1337"/>
      <c r="N98" s="943" t="s">
        <v>669</v>
      </c>
      <c r="O98" s="1337"/>
      <c r="P98" s="943" t="s">
        <v>669</v>
      </c>
      <c r="Q98" s="1337"/>
      <c r="R98" s="943"/>
      <c r="S98" s="1335"/>
    </row>
    <row r="99" spans="1:19" ht="16.5" customHeight="1" x14ac:dyDescent="0.35">
      <c r="A99" s="1349"/>
      <c r="B99" s="1350" t="s">
        <v>1468</v>
      </c>
      <c r="C99" s="697"/>
      <c r="D99" s="1351"/>
      <c r="E99" s="679"/>
      <c r="F99" s="654"/>
      <c r="G99" s="652"/>
      <c r="H99" s="943" t="s">
        <v>669</v>
      </c>
      <c r="I99" s="1335"/>
      <c r="J99" s="943" t="s">
        <v>669</v>
      </c>
      <c r="K99" s="1337"/>
      <c r="L99" s="943" t="s">
        <v>669</v>
      </c>
      <c r="M99" s="1337"/>
      <c r="N99" s="943" t="s">
        <v>669</v>
      </c>
      <c r="O99" s="1337"/>
      <c r="P99" s="943" t="s">
        <v>669</v>
      </c>
      <c r="Q99" s="1337"/>
      <c r="R99" s="943"/>
      <c r="S99" s="1335"/>
    </row>
    <row r="100" spans="1:19" ht="16.5" customHeight="1" x14ac:dyDescent="0.35">
      <c r="A100" s="1349"/>
      <c r="B100" s="1347" t="s">
        <v>1469</v>
      </c>
      <c r="C100" s="697" t="s">
        <v>1470</v>
      </c>
      <c r="D100" s="1351">
        <v>12</v>
      </c>
      <c r="E100" s="679" t="s">
        <v>752</v>
      </c>
      <c r="F100" s="654"/>
      <c r="G100" s="652"/>
      <c r="H100" s="943" t="s">
        <v>669</v>
      </c>
      <c r="I100" s="1335"/>
      <c r="J100" s="943" t="s">
        <v>669</v>
      </c>
      <c r="K100" s="1337"/>
      <c r="L100" s="943" t="s">
        <v>669</v>
      </c>
      <c r="M100" s="1337"/>
      <c r="N100" s="943" t="s">
        <v>669</v>
      </c>
      <c r="O100" s="1337"/>
      <c r="P100" s="943" t="s">
        <v>669</v>
      </c>
      <c r="Q100" s="1337"/>
      <c r="R100" s="943"/>
      <c r="S100" s="1335"/>
    </row>
    <row r="101" spans="1:19" ht="16.5" customHeight="1" x14ac:dyDescent="0.35">
      <c r="A101" s="1349"/>
      <c r="B101" s="1353" t="s">
        <v>1471</v>
      </c>
      <c r="C101" s="697" t="s">
        <v>1470</v>
      </c>
      <c r="D101" s="1351">
        <f>92*5+118+36*5</f>
        <v>758</v>
      </c>
      <c r="E101" s="679" t="s">
        <v>28</v>
      </c>
      <c r="F101" s="654"/>
      <c r="G101" s="652"/>
      <c r="H101" s="943" t="s">
        <v>669</v>
      </c>
      <c r="I101" s="1335"/>
      <c r="J101" s="943" t="s">
        <v>669</v>
      </c>
      <c r="K101" s="1337"/>
      <c r="L101" s="943" t="s">
        <v>669</v>
      </c>
      <c r="M101" s="1337"/>
      <c r="N101" s="943" t="s">
        <v>669</v>
      </c>
      <c r="O101" s="1337"/>
      <c r="P101" s="943" t="s">
        <v>669</v>
      </c>
      <c r="Q101" s="1337"/>
      <c r="R101" s="943"/>
      <c r="S101" s="1335"/>
    </row>
    <row r="102" spans="1:19" ht="16.5" customHeight="1" x14ac:dyDescent="0.35">
      <c r="A102" s="1349"/>
      <c r="B102" s="1353" t="s">
        <v>1472</v>
      </c>
      <c r="C102" s="697" t="s">
        <v>1470</v>
      </c>
      <c r="D102" s="1351"/>
      <c r="E102" s="679"/>
      <c r="F102" s="654"/>
      <c r="G102" s="652"/>
      <c r="H102" s="943" t="s">
        <v>669</v>
      </c>
      <c r="I102" s="1335"/>
      <c r="J102" s="943" t="s">
        <v>669</v>
      </c>
      <c r="K102" s="1337"/>
      <c r="L102" s="943" t="s">
        <v>669</v>
      </c>
      <c r="M102" s="1337"/>
      <c r="N102" s="943" t="s">
        <v>669</v>
      </c>
      <c r="O102" s="1337"/>
      <c r="P102" s="943" t="s">
        <v>669</v>
      </c>
      <c r="Q102" s="1337"/>
      <c r="R102" s="943"/>
      <c r="S102" s="1335"/>
    </row>
    <row r="103" spans="1:19" ht="16.5" customHeight="1" x14ac:dyDescent="0.35">
      <c r="A103" s="1349"/>
      <c r="B103" s="1353" t="s">
        <v>1473</v>
      </c>
      <c r="C103" s="697" t="s">
        <v>1470</v>
      </c>
      <c r="D103" s="1351"/>
      <c r="E103" s="679"/>
      <c r="F103" s="654"/>
      <c r="G103" s="652"/>
      <c r="H103" s="943" t="s">
        <v>669</v>
      </c>
      <c r="I103" s="1335"/>
      <c r="J103" s="1101" t="s">
        <v>654</v>
      </c>
      <c r="K103" s="1360" t="s">
        <v>1442</v>
      </c>
      <c r="L103" s="943" t="s">
        <v>669</v>
      </c>
      <c r="M103" s="1337"/>
      <c r="N103" s="943" t="s">
        <v>669</v>
      </c>
      <c r="O103" s="1337"/>
      <c r="P103" s="943" t="s">
        <v>1613</v>
      </c>
      <c r="Q103" s="4038"/>
      <c r="R103" s="943"/>
      <c r="S103" s="1335"/>
    </row>
    <row r="104" spans="1:19" ht="16.5" customHeight="1" x14ac:dyDescent="0.35">
      <c r="A104" s="1349"/>
      <c r="B104" s="1347" t="s">
        <v>1474</v>
      </c>
      <c r="C104" s="697" t="s">
        <v>1470</v>
      </c>
      <c r="D104" s="1351"/>
      <c r="E104" s="679"/>
      <c r="F104" s="654"/>
      <c r="G104" s="652"/>
      <c r="H104" s="943" t="s">
        <v>671</v>
      </c>
      <c r="I104" s="1335"/>
      <c r="J104" s="943" t="s">
        <v>671</v>
      </c>
      <c r="K104" s="1337"/>
      <c r="L104" s="943" t="s">
        <v>671</v>
      </c>
      <c r="M104" s="1337"/>
      <c r="N104" s="943" t="s">
        <v>671</v>
      </c>
      <c r="O104" s="1337"/>
      <c r="P104" s="943" t="s">
        <v>671</v>
      </c>
      <c r="Q104" s="1337"/>
      <c r="R104" s="943"/>
      <c r="S104" s="1335"/>
    </row>
    <row r="105" spans="1:19" ht="16.5" customHeight="1" x14ac:dyDescent="0.35">
      <c r="A105" s="1349"/>
      <c r="B105" s="1350" t="s">
        <v>1476</v>
      </c>
      <c r="C105" s="697"/>
      <c r="D105" s="1351"/>
      <c r="E105" s="679"/>
      <c r="F105" s="654"/>
      <c r="G105" s="652"/>
      <c r="H105" s="943" t="s">
        <v>669</v>
      </c>
      <c r="I105" s="1335"/>
      <c r="J105" s="943" t="s">
        <v>669</v>
      </c>
      <c r="K105" s="1337"/>
      <c r="L105" s="943" t="s">
        <v>669</v>
      </c>
      <c r="M105" s="1337"/>
      <c r="N105" s="943" t="s">
        <v>669</v>
      </c>
      <c r="O105" s="1337"/>
      <c r="P105" s="943" t="s">
        <v>669</v>
      </c>
      <c r="Q105" s="1337"/>
      <c r="R105" s="943"/>
      <c r="S105" s="1335"/>
    </row>
    <row r="106" spans="1:19" ht="16.5" customHeight="1" x14ac:dyDescent="0.35">
      <c r="A106" s="1349"/>
      <c r="B106" s="1347" t="s">
        <v>1477</v>
      </c>
      <c r="C106" s="697" t="s">
        <v>1478</v>
      </c>
      <c r="D106" s="1351"/>
      <c r="E106" s="679"/>
      <c r="F106" s="654"/>
      <c r="G106" s="652"/>
      <c r="H106" s="943" t="s">
        <v>669</v>
      </c>
      <c r="I106" s="1335"/>
      <c r="J106" s="943" t="s">
        <v>669</v>
      </c>
      <c r="K106" s="1337"/>
      <c r="L106" s="943" t="s">
        <v>669</v>
      </c>
      <c r="M106" s="1337"/>
      <c r="N106" s="943" t="s">
        <v>669</v>
      </c>
      <c r="O106" s="1337"/>
      <c r="P106" s="943" t="s">
        <v>669</v>
      </c>
      <c r="Q106" s="1337"/>
      <c r="R106" s="943"/>
      <c r="S106" s="1335"/>
    </row>
    <row r="107" spans="1:19" ht="16.5" customHeight="1" x14ac:dyDescent="0.35">
      <c r="A107" s="1349"/>
      <c r="B107" s="1350" t="s">
        <v>1479</v>
      </c>
      <c r="C107" s="697"/>
      <c r="D107" s="1351"/>
      <c r="E107" s="679"/>
      <c r="F107" s="654"/>
      <c r="G107" s="652"/>
      <c r="H107" s="943" t="s">
        <v>669</v>
      </c>
      <c r="I107" s="1335"/>
      <c r="J107" s="943" t="s">
        <v>669</v>
      </c>
      <c r="K107" s="1337"/>
      <c r="L107" s="943" t="s">
        <v>669</v>
      </c>
      <c r="M107" s="1337"/>
      <c r="N107" s="943" t="s">
        <v>669</v>
      </c>
      <c r="O107" s="1337"/>
      <c r="P107" s="943" t="s">
        <v>669</v>
      </c>
      <c r="Q107" s="1337"/>
      <c r="R107" s="943"/>
      <c r="S107" s="1335"/>
    </row>
    <row r="108" spans="1:19" ht="16.5" customHeight="1" x14ac:dyDescent="0.35">
      <c r="A108" s="1349"/>
      <c r="B108" s="1347" t="s">
        <v>1480</v>
      </c>
      <c r="C108" s="697"/>
      <c r="D108" s="1351"/>
      <c r="E108" s="679"/>
      <c r="F108" s="654"/>
      <c r="G108" s="652"/>
      <c r="H108" s="943" t="s">
        <v>669</v>
      </c>
      <c r="I108" s="1335"/>
      <c r="J108" s="943" t="s">
        <v>669</v>
      </c>
      <c r="K108" s="1337"/>
      <c r="L108" s="943" t="s">
        <v>669</v>
      </c>
      <c r="M108" s="1337"/>
      <c r="N108" s="943" t="s">
        <v>669</v>
      </c>
      <c r="O108" s="1337"/>
      <c r="P108" s="943" t="s">
        <v>669</v>
      </c>
      <c r="Q108" s="1337"/>
      <c r="R108" s="943"/>
      <c r="S108" s="1335"/>
    </row>
    <row r="109" spans="1:19" ht="16.5" customHeight="1" x14ac:dyDescent="0.35">
      <c r="A109" s="1349"/>
      <c r="B109" s="1347" t="s">
        <v>1481</v>
      </c>
      <c r="C109" s="697"/>
      <c r="D109" s="1351"/>
      <c r="E109" s="679"/>
      <c r="F109" s="654"/>
      <c r="G109" s="652"/>
      <c r="H109" s="943" t="s">
        <v>669</v>
      </c>
      <c r="I109" s="1335"/>
      <c r="J109" s="943" t="s">
        <v>669</v>
      </c>
      <c r="K109" s="1337"/>
      <c r="L109" s="943" t="s">
        <v>669</v>
      </c>
      <c r="M109" s="1337"/>
      <c r="N109" s="943" t="s">
        <v>669</v>
      </c>
      <c r="O109" s="1337"/>
      <c r="P109" s="943" t="s">
        <v>669</v>
      </c>
      <c r="Q109" s="1337"/>
      <c r="R109" s="943"/>
      <c r="S109" s="1335"/>
    </row>
    <row r="110" spans="1:19" ht="16.5" customHeight="1" x14ac:dyDescent="0.35">
      <c r="A110" s="1349"/>
      <c r="B110" s="1347" t="s">
        <v>1482</v>
      </c>
      <c r="C110" s="697"/>
      <c r="D110" s="1351"/>
      <c r="E110" s="679"/>
      <c r="F110" s="654"/>
      <c r="G110" s="652"/>
      <c r="H110" s="943" t="s">
        <v>669</v>
      </c>
      <c r="I110" s="1335"/>
      <c r="J110" s="943" t="s">
        <v>669</v>
      </c>
      <c r="K110" s="1337"/>
      <c r="L110" s="943" t="s">
        <v>669</v>
      </c>
      <c r="M110" s="1337"/>
      <c r="N110" s="943" t="s">
        <v>669</v>
      </c>
      <c r="O110" s="1337"/>
      <c r="P110" s="943" t="s">
        <v>669</v>
      </c>
      <c r="Q110" s="1337"/>
      <c r="R110" s="943"/>
      <c r="S110" s="1335"/>
    </row>
    <row r="111" spans="1:19" ht="29" x14ac:dyDescent="0.35">
      <c r="A111" s="1349"/>
      <c r="B111" s="1353" t="s">
        <v>1483</v>
      </c>
      <c r="C111" s="1356" t="s">
        <v>1484</v>
      </c>
      <c r="D111" s="1351">
        <f>23*2+25</f>
        <v>71</v>
      </c>
      <c r="E111" s="679" t="s">
        <v>28</v>
      </c>
      <c r="F111" s="654"/>
      <c r="G111" s="652"/>
      <c r="H111" s="943" t="s">
        <v>669</v>
      </c>
      <c r="I111" s="1335"/>
      <c r="J111" s="1101" t="s">
        <v>654</v>
      </c>
      <c r="K111" s="1360" t="s">
        <v>1442</v>
      </c>
      <c r="L111" s="1101" t="s">
        <v>654</v>
      </c>
      <c r="M111" s="1360" t="s">
        <v>1442</v>
      </c>
      <c r="N111" s="943" t="s">
        <v>669</v>
      </c>
      <c r="O111" s="1337"/>
      <c r="P111" s="943" t="s">
        <v>669</v>
      </c>
      <c r="Q111" s="1337"/>
      <c r="R111" s="943"/>
      <c r="S111" s="1335"/>
    </row>
    <row r="112" spans="1:19" ht="16.5" customHeight="1" x14ac:dyDescent="0.35">
      <c r="A112" s="1349"/>
      <c r="B112" s="1350" t="s">
        <v>4321</v>
      </c>
      <c r="C112" s="697"/>
      <c r="D112" s="1351"/>
      <c r="E112" s="679"/>
      <c r="F112" s="654"/>
      <c r="G112" s="652"/>
      <c r="H112" s="943" t="s">
        <v>669</v>
      </c>
      <c r="I112" s="1335"/>
      <c r="J112" s="943" t="s">
        <v>669</v>
      </c>
      <c r="K112" s="1337"/>
      <c r="L112" s="943" t="s">
        <v>669</v>
      </c>
      <c r="M112" s="1337"/>
      <c r="N112" s="943" t="s">
        <v>669</v>
      </c>
      <c r="O112" s="1337"/>
      <c r="P112" s="943" t="s">
        <v>669</v>
      </c>
      <c r="Q112" s="1337"/>
      <c r="R112" s="943"/>
      <c r="S112" s="1335"/>
    </row>
    <row r="113" spans="1:19" ht="16.5" customHeight="1" x14ac:dyDescent="0.35">
      <c r="A113" s="1349"/>
      <c r="B113" s="1347" t="s">
        <v>1485</v>
      </c>
      <c r="C113" s="697" t="s">
        <v>1486</v>
      </c>
      <c r="D113" s="1351"/>
      <c r="E113" s="679" t="s">
        <v>752</v>
      </c>
      <c r="F113" s="654"/>
      <c r="G113" s="652"/>
      <c r="H113" s="943" t="s">
        <v>669</v>
      </c>
      <c r="I113" s="1335"/>
      <c r="J113" s="943" t="s">
        <v>669</v>
      </c>
      <c r="K113" s="1337"/>
      <c r="L113" s="943" t="s">
        <v>669</v>
      </c>
      <c r="M113" s="1337"/>
      <c r="N113" s="943" t="s">
        <v>669</v>
      </c>
      <c r="O113" s="1337"/>
      <c r="P113" s="943" t="s">
        <v>1613</v>
      </c>
      <c r="Q113" s="4038"/>
      <c r="R113" s="943"/>
      <c r="S113" s="1335"/>
    </row>
    <row r="114" spans="1:19" ht="16.5" customHeight="1" x14ac:dyDescent="0.35">
      <c r="A114" s="1349"/>
      <c r="B114" s="1362" t="s">
        <v>1487</v>
      </c>
      <c r="C114" s="697" t="s">
        <v>1486</v>
      </c>
      <c r="D114" s="1351">
        <v>5</v>
      </c>
      <c r="E114" s="679" t="s">
        <v>666</v>
      </c>
      <c r="F114" s="654"/>
      <c r="G114" s="652"/>
      <c r="H114" s="943" t="s">
        <v>669</v>
      </c>
      <c r="I114" s="1335"/>
      <c r="J114" s="943" t="s">
        <v>671</v>
      </c>
      <c r="K114" s="1337"/>
      <c r="L114" s="943" t="s">
        <v>671</v>
      </c>
      <c r="M114" s="1337"/>
      <c r="N114" s="943" t="s">
        <v>671</v>
      </c>
      <c r="O114" s="1337"/>
      <c r="P114" s="943" t="s">
        <v>671</v>
      </c>
      <c r="Q114" s="4038"/>
      <c r="R114" s="943"/>
      <c r="S114" s="1335"/>
    </row>
    <row r="115" spans="1:19" ht="16.5" customHeight="1" x14ac:dyDescent="0.35">
      <c r="A115" s="1349"/>
      <c r="B115" s="1347" t="s">
        <v>1488</v>
      </c>
      <c r="C115" s="697" t="s">
        <v>1486</v>
      </c>
      <c r="D115" s="1351"/>
      <c r="E115" s="679"/>
      <c r="F115" s="654"/>
      <c r="G115" s="652"/>
      <c r="H115" s="943" t="s">
        <v>669</v>
      </c>
      <c r="I115" s="1335"/>
      <c r="J115" s="943" t="s">
        <v>669</v>
      </c>
      <c r="K115" s="1337"/>
      <c r="L115" s="943" t="s">
        <v>669</v>
      </c>
      <c r="M115" s="1337"/>
      <c r="N115" s="943" t="s">
        <v>669</v>
      </c>
      <c r="O115" s="1337"/>
      <c r="P115" s="943" t="s">
        <v>669</v>
      </c>
      <c r="Q115" s="1337"/>
      <c r="R115" s="943"/>
      <c r="S115" s="1335"/>
    </row>
    <row r="116" spans="1:19" ht="16.5" customHeight="1" x14ac:dyDescent="0.35">
      <c r="A116" s="1349"/>
      <c r="B116" s="1347" t="s">
        <v>1489</v>
      </c>
      <c r="C116" s="697" t="s">
        <v>1486</v>
      </c>
      <c r="D116" s="1351"/>
      <c r="E116" s="679"/>
      <c r="F116" s="654"/>
      <c r="G116" s="652"/>
      <c r="H116" s="943" t="s">
        <v>669</v>
      </c>
      <c r="I116" s="1335"/>
      <c r="J116" s="943" t="s">
        <v>669</v>
      </c>
      <c r="K116" s="1337"/>
      <c r="L116" s="943" t="s">
        <v>669</v>
      </c>
      <c r="M116" s="1337"/>
      <c r="N116" s="943" t="s">
        <v>669</v>
      </c>
      <c r="O116" s="1337"/>
      <c r="P116" s="943" t="s">
        <v>669</v>
      </c>
      <c r="Q116" s="1337"/>
      <c r="R116" s="943"/>
      <c r="S116" s="1335"/>
    </row>
    <row r="117" spans="1:19" ht="16.5" customHeight="1" x14ac:dyDescent="0.35">
      <c r="A117" s="1349"/>
      <c r="B117" s="1347" t="s">
        <v>1490</v>
      </c>
      <c r="C117" s="697" t="s">
        <v>1486</v>
      </c>
      <c r="D117" s="1351"/>
      <c r="E117" s="679"/>
      <c r="F117" s="654"/>
      <c r="G117" s="652"/>
      <c r="H117" s="943" t="s">
        <v>669</v>
      </c>
      <c r="I117" s="1335"/>
      <c r="J117" s="943" t="s">
        <v>669</v>
      </c>
      <c r="K117" s="1337"/>
      <c r="L117" s="943" t="s">
        <v>669</v>
      </c>
      <c r="M117" s="1337"/>
      <c r="N117" s="943" t="s">
        <v>669</v>
      </c>
      <c r="O117" s="1337"/>
      <c r="P117" s="943" t="s">
        <v>669</v>
      </c>
      <c r="Q117" s="1337"/>
      <c r="R117" s="943"/>
      <c r="S117" s="1335"/>
    </row>
    <row r="118" spans="1:19" ht="30.75" customHeight="1" x14ac:dyDescent="0.35">
      <c r="A118" s="1349"/>
      <c r="B118" s="1347" t="s">
        <v>1491</v>
      </c>
      <c r="C118" s="1356" t="s">
        <v>1492</v>
      </c>
      <c r="D118" s="1351"/>
      <c r="E118" s="679"/>
      <c r="F118" s="654"/>
      <c r="G118" s="652"/>
      <c r="H118" s="943" t="s">
        <v>669</v>
      </c>
      <c r="I118" s="1335"/>
      <c r="J118" s="943" t="s">
        <v>669</v>
      </c>
      <c r="K118" s="1337"/>
      <c r="L118" s="943" t="s">
        <v>669</v>
      </c>
      <c r="M118" s="1337"/>
      <c r="N118" s="943" t="s">
        <v>669</v>
      </c>
      <c r="O118" s="1337"/>
      <c r="P118" s="943" t="s">
        <v>669</v>
      </c>
      <c r="Q118" s="1337"/>
      <c r="R118" s="943"/>
      <c r="S118" s="1335"/>
    </row>
    <row r="119" spans="1:19" ht="16.5" customHeight="1" x14ac:dyDescent="0.35">
      <c r="A119" s="1349"/>
      <c r="B119" s="1353" t="s">
        <v>1493</v>
      </c>
      <c r="C119" s="697" t="s">
        <v>1494</v>
      </c>
      <c r="D119" s="1351"/>
      <c r="E119" s="679"/>
      <c r="F119" s="654"/>
      <c r="G119" s="652"/>
      <c r="H119" s="943" t="s">
        <v>669</v>
      </c>
      <c r="I119" s="1335" t="s">
        <v>4326</v>
      </c>
      <c r="J119" s="943" t="s">
        <v>671</v>
      </c>
      <c r="K119" s="1337"/>
      <c r="L119" s="943" t="s">
        <v>671</v>
      </c>
      <c r="M119" s="1337"/>
      <c r="N119" s="943" t="s">
        <v>671</v>
      </c>
      <c r="O119" s="1337"/>
      <c r="P119" s="943"/>
      <c r="Q119" s="1337"/>
      <c r="R119" s="943"/>
      <c r="S119" s="1335"/>
    </row>
    <row r="120" spans="1:19" ht="16.5" customHeight="1" x14ac:dyDescent="0.35">
      <c r="A120" s="1349"/>
      <c r="B120" s="1350" t="s">
        <v>4322</v>
      </c>
      <c r="C120" s="697"/>
      <c r="D120" s="1351"/>
      <c r="E120" s="679"/>
      <c r="F120" s="654"/>
      <c r="G120" s="652"/>
      <c r="H120" s="943" t="s">
        <v>669</v>
      </c>
      <c r="I120" s="1335"/>
      <c r="J120" s="943" t="s">
        <v>669</v>
      </c>
      <c r="K120" s="1337"/>
      <c r="L120" s="943" t="s">
        <v>669</v>
      </c>
      <c r="M120" s="1337"/>
      <c r="N120" s="943" t="s">
        <v>669</v>
      </c>
      <c r="O120" s="1337"/>
      <c r="P120" s="943" t="s">
        <v>669</v>
      </c>
      <c r="Q120" s="1337"/>
      <c r="R120" s="943"/>
      <c r="S120" s="1335"/>
    </row>
    <row r="121" spans="1:19" ht="16.5" customHeight="1" x14ac:dyDescent="0.35">
      <c r="A121" s="1349"/>
      <c r="B121" s="1347" t="s">
        <v>1495</v>
      </c>
      <c r="C121" s="697" t="s">
        <v>1496</v>
      </c>
      <c r="D121" s="1351"/>
      <c r="E121" s="679"/>
      <c r="F121" s="654"/>
      <c r="G121" s="652"/>
      <c r="H121" s="943" t="s">
        <v>669</v>
      </c>
      <c r="I121" s="1335"/>
      <c r="J121" s="943" t="s">
        <v>669</v>
      </c>
      <c r="K121" s="1337"/>
      <c r="L121" s="943" t="s">
        <v>669</v>
      </c>
      <c r="M121" s="1337"/>
      <c r="N121" s="943" t="s">
        <v>669</v>
      </c>
      <c r="O121" s="1337"/>
      <c r="P121" s="943" t="s">
        <v>669</v>
      </c>
      <c r="Q121" s="1337"/>
      <c r="R121" s="943"/>
      <c r="S121" s="1335"/>
    </row>
    <row r="122" spans="1:19" ht="16.5" customHeight="1" x14ac:dyDescent="0.35">
      <c r="A122" s="1349"/>
      <c r="B122" s="1347" t="s">
        <v>1497</v>
      </c>
      <c r="C122" s="697" t="s">
        <v>1496</v>
      </c>
      <c r="D122" s="1351"/>
      <c r="E122" s="679"/>
      <c r="F122" s="654"/>
      <c r="G122" s="652"/>
      <c r="H122" s="943" t="s">
        <v>669</v>
      </c>
      <c r="I122" s="1335"/>
      <c r="J122" s="943" t="s">
        <v>669</v>
      </c>
      <c r="K122" s="1337"/>
      <c r="L122" s="943" t="s">
        <v>669</v>
      </c>
      <c r="M122" s="1337"/>
      <c r="N122" s="943" t="s">
        <v>669</v>
      </c>
      <c r="O122" s="1337"/>
      <c r="P122" s="943" t="s">
        <v>669</v>
      </c>
      <c r="Q122" s="1337"/>
      <c r="R122" s="943"/>
      <c r="S122" s="1335"/>
    </row>
    <row r="123" spans="1:19" ht="29" x14ac:dyDescent="0.35">
      <c r="A123" s="1349"/>
      <c r="B123" s="1347" t="s">
        <v>1498</v>
      </c>
      <c r="C123" s="1356" t="s">
        <v>1499</v>
      </c>
      <c r="D123" s="1351"/>
      <c r="E123" s="679"/>
      <c r="F123" s="654"/>
      <c r="G123" s="652"/>
      <c r="H123" s="943" t="s">
        <v>669</v>
      </c>
      <c r="I123" s="1335"/>
      <c r="J123" s="943" t="s">
        <v>669</v>
      </c>
      <c r="K123" s="1337" t="s">
        <v>1500</v>
      </c>
      <c r="L123" s="943" t="s">
        <v>669</v>
      </c>
      <c r="M123" s="1363" t="s">
        <v>1500</v>
      </c>
      <c r="N123" s="943" t="s">
        <v>669</v>
      </c>
      <c r="O123" s="1337"/>
      <c r="P123" s="943" t="s">
        <v>669</v>
      </c>
      <c r="Q123" s="1337"/>
      <c r="R123" s="943"/>
      <c r="S123" s="1335"/>
    </row>
    <row r="124" spans="1:19" x14ac:dyDescent="0.35">
      <c r="A124" s="1179"/>
      <c r="B124" s="1364" t="s">
        <v>1501</v>
      </c>
      <c r="C124" s="1356"/>
      <c r="D124" s="1351"/>
      <c r="E124" s="679"/>
      <c r="F124" s="654"/>
      <c r="G124" s="652"/>
      <c r="H124" s="943" t="s">
        <v>669</v>
      </c>
      <c r="I124" s="1365"/>
      <c r="J124" s="943" t="s">
        <v>669</v>
      </c>
      <c r="K124" s="1366"/>
      <c r="L124" s="943" t="s">
        <v>669</v>
      </c>
      <c r="M124" s="1366"/>
      <c r="N124" s="943" t="s">
        <v>669</v>
      </c>
      <c r="O124" s="1366"/>
      <c r="P124" s="943" t="s">
        <v>669</v>
      </c>
      <c r="Q124" s="1366"/>
      <c r="R124" s="943"/>
      <c r="S124" s="1365"/>
    </row>
    <row r="125" spans="1:19" x14ac:dyDescent="0.35">
      <c r="A125" s="1349"/>
      <c r="B125" s="1367" t="s">
        <v>1502</v>
      </c>
      <c r="C125" s="697" t="s">
        <v>1503</v>
      </c>
      <c r="D125" s="1351">
        <v>22</v>
      </c>
      <c r="E125" s="679" t="s">
        <v>752</v>
      </c>
      <c r="F125" s="654"/>
      <c r="G125" s="652"/>
      <c r="H125" s="943" t="s">
        <v>669</v>
      </c>
      <c r="I125" s="1335"/>
      <c r="J125" s="943" t="s">
        <v>669</v>
      </c>
      <c r="K125" s="1337"/>
      <c r="L125" s="943" t="s">
        <v>669</v>
      </c>
      <c r="M125" s="1337"/>
      <c r="N125" s="943" t="s">
        <v>669</v>
      </c>
      <c r="O125" s="1337" t="s">
        <v>1504</v>
      </c>
      <c r="P125" s="943" t="s">
        <v>669</v>
      </c>
      <c r="Q125" s="1337"/>
      <c r="R125" s="943"/>
      <c r="S125" s="1335"/>
    </row>
    <row r="126" spans="1:19" ht="16.5" customHeight="1" x14ac:dyDescent="0.35">
      <c r="A126" s="1349"/>
      <c r="B126" s="1347" t="s">
        <v>1505</v>
      </c>
      <c r="C126" s="697" t="s">
        <v>1503</v>
      </c>
      <c r="D126" s="1351">
        <v>10</v>
      </c>
      <c r="E126" s="679" t="s">
        <v>752</v>
      </c>
      <c r="F126" s="654"/>
      <c r="G126" s="652"/>
      <c r="H126" s="943" t="s">
        <v>669</v>
      </c>
      <c r="I126" s="1335"/>
      <c r="J126" s="943" t="s">
        <v>669</v>
      </c>
      <c r="K126" s="1337"/>
      <c r="L126" s="943" t="s">
        <v>669</v>
      </c>
      <c r="M126" s="1337"/>
      <c r="N126" s="943" t="s">
        <v>669</v>
      </c>
      <c r="O126" s="1337"/>
      <c r="P126" s="943" t="s">
        <v>669</v>
      </c>
      <c r="Q126" s="1337"/>
      <c r="R126" s="943"/>
      <c r="S126" s="1335"/>
    </row>
    <row r="127" spans="1:19" ht="16.5" customHeight="1" x14ac:dyDescent="0.35">
      <c r="A127" s="1349"/>
      <c r="B127" s="1347" t="s">
        <v>1506</v>
      </c>
      <c r="C127" s="697" t="s">
        <v>1503</v>
      </c>
      <c r="D127" s="1351">
        <v>20</v>
      </c>
      <c r="E127" s="679" t="s">
        <v>28</v>
      </c>
      <c r="F127" s="654"/>
      <c r="G127" s="652"/>
      <c r="H127" s="943" t="s">
        <v>669</v>
      </c>
      <c r="I127" s="1335"/>
      <c r="J127" s="943" t="s">
        <v>669</v>
      </c>
      <c r="K127" s="1337"/>
      <c r="L127" s="943" t="s">
        <v>669</v>
      </c>
      <c r="M127" s="1337"/>
      <c r="N127" s="943" t="s">
        <v>669</v>
      </c>
      <c r="O127" s="1337"/>
      <c r="P127" s="943" t="s">
        <v>669</v>
      </c>
      <c r="Q127" s="1337"/>
      <c r="R127" s="943"/>
      <c r="S127" s="1335"/>
    </row>
    <row r="128" spans="1:19" ht="16.5" customHeight="1" x14ac:dyDescent="0.35">
      <c r="A128" s="1179"/>
      <c r="B128" s="1368" t="s">
        <v>1462</v>
      </c>
      <c r="C128" s="697" t="s">
        <v>1503</v>
      </c>
      <c r="D128" s="1351"/>
      <c r="E128" s="679"/>
      <c r="F128" s="654"/>
      <c r="G128" s="652"/>
      <c r="H128" s="943" t="s">
        <v>669</v>
      </c>
      <c r="I128" s="1365"/>
      <c r="J128" s="1101" t="s">
        <v>654</v>
      </c>
      <c r="K128" s="1360" t="s">
        <v>1442</v>
      </c>
      <c r="L128" s="1101" t="s">
        <v>654</v>
      </c>
      <c r="M128" s="1360" t="s">
        <v>1442</v>
      </c>
      <c r="N128" s="943" t="s">
        <v>669</v>
      </c>
      <c r="O128" s="1366"/>
      <c r="P128" s="943" t="s">
        <v>669</v>
      </c>
      <c r="Q128" s="1366"/>
      <c r="R128" s="943"/>
      <c r="S128" s="1365"/>
    </row>
    <row r="129" spans="1:19" ht="16.5" customHeight="1" x14ac:dyDescent="0.35">
      <c r="A129" s="1349"/>
      <c r="B129" s="1350" t="s">
        <v>4323</v>
      </c>
      <c r="C129" s="697"/>
      <c r="D129" s="1351"/>
      <c r="E129" s="679"/>
      <c r="F129" s="654"/>
      <c r="G129" s="652"/>
      <c r="H129" s="943" t="s">
        <v>669</v>
      </c>
      <c r="I129" s="1335"/>
      <c r="J129" s="943" t="s">
        <v>669</v>
      </c>
      <c r="K129" s="1337"/>
      <c r="L129" s="943" t="s">
        <v>669</v>
      </c>
      <c r="M129" s="1337"/>
      <c r="N129" s="943" t="s">
        <v>669</v>
      </c>
      <c r="O129" s="1337"/>
      <c r="P129" s="943" t="s">
        <v>669</v>
      </c>
      <c r="Q129" s="1337"/>
      <c r="R129" s="943"/>
      <c r="S129" s="1335"/>
    </row>
    <row r="130" spans="1:19" ht="16.5" customHeight="1" x14ac:dyDescent="0.35">
      <c r="A130" s="1349"/>
      <c r="B130" s="1347" t="s">
        <v>1507</v>
      </c>
      <c r="C130" s="697" t="s">
        <v>1503</v>
      </c>
      <c r="D130" s="1351">
        <v>25</v>
      </c>
      <c r="E130" s="679" t="s">
        <v>28</v>
      </c>
      <c r="F130" s="654"/>
      <c r="G130" s="652"/>
      <c r="H130" s="943" t="s">
        <v>669</v>
      </c>
      <c r="I130" s="1335"/>
      <c r="J130" s="943" t="s">
        <v>669</v>
      </c>
      <c r="K130" s="1337"/>
      <c r="L130" s="943" t="s">
        <v>669</v>
      </c>
      <c r="M130" s="1337"/>
      <c r="N130" s="943" t="s">
        <v>669</v>
      </c>
      <c r="O130" s="1337"/>
      <c r="P130" s="943" t="s">
        <v>669</v>
      </c>
      <c r="Q130" s="1337"/>
      <c r="R130" s="943"/>
      <c r="S130" s="1335"/>
    </row>
    <row r="131" spans="1:19" ht="16.5" customHeight="1" x14ac:dyDescent="0.35">
      <c r="A131" s="1349"/>
      <c r="B131" s="1347" t="s">
        <v>1508</v>
      </c>
      <c r="C131" s="697" t="s">
        <v>1503</v>
      </c>
      <c r="D131" s="1351">
        <v>13</v>
      </c>
      <c r="E131" s="679" t="s">
        <v>752</v>
      </c>
      <c r="F131" s="654"/>
      <c r="G131" s="652"/>
      <c r="H131" s="943" t="s">
        <v>669</v>
      </c>
      <c r="I131" s="1335"/>
      <c r="J131" s="943" t="s">
        <v>669</v>
      </c>
      <c r="K131" s="1337"/>
      <c r="L131" s="943" t="s">
        <v>669</v>
      </c>
      <c r="M131" s="1337"/>
      <c r="N131" s="943" t="s">
        <v>669</v>
      </c>
      <c r="O131" s="1337"/>
      <c r="P131" s="943" t="s">
        <v>669</v>
      </c>
      <c r="Q131" s="1337"/>
      <c r="R131" s="943"/>
      <c r="S131" s="1335"/>
    </row>
    <row r="132" spans="1:19" ht="16.5" customHeight="1" x14ac:dyDescent="0.35">
      <c r="A132" s="1349"/>
      <c r="B132" s="1347" t="s">
        <v>1509</v>
      </c>
      <c r="C132" s="697" t="s">
        <v>1503</v>
      </c>
      <c r="D132" s="1351">
        <v>25</v>
      </c>
      <c r="E132" s="679" t="s">
        <v>752</v>
      </c>
      <c r="F132" s="654"/>
      <c r="G132" s="652"/>
      <c r="H132" s="943" t="s">
        <v>669</v>
      </c>
      <c r="I132" s="1335"/>
      <c r="J132" s="943" t="s">
        <v>669</v>
      </c>
      <c r="K132" s="1337"/>
      <c r="L132" s="943" t="s">
        <v>669</v>
      </c>
      <c r="M132" s="1337"/>
      <c r="N132" s="943" t="s">
        <v>669</v>
      </c>
      <c r="O132" s="1337"/>
      <c r="P132" s="943" t="s">
        <v>669</v>
      </c>
      <c r="Q132" s="1337"/>
      <c r="R132" s="943"/>
      <c r="S132" s="1335"/>
    </row>
    <row r="133" spans="1:19" ht="16.5" customHeight="1" x14ac:dyDescent="0.35">
      <c r="A133" s="1179"/>
      <c r="B133" s="1369" t="s">
        <v>1408</v>
      </c>
      <c r="C133" s="697" t="s">
        <v>1503</v>
      </c>
      <c r="D133" s="1351"/>
      <c r="E133" s="679"/>
      <c r="F133" s="654"/>
      <c r="G133" s="652"/>
      <c r="H133" s="943" t="s">
        <v>669</v>
      </c>
      <c r="I133" s="1365"/>
      <c r="J133" s="943" t="s">
        <v>669</v>
      </c>
      <c r="K133" s="1337"/>
      <c r="L133" s="943" t="s">
        <v>669</v>
      </c>
      <c r="M133" s="1337"/>
      <c r="N133" s="943" t="s">
        <v>669</v>
      </c>
      <c r="O133" s="1337"/>
      <c r="P133" s="943" t="s">
        <v>669</v>
      </c>
      <c r="Q133" s="1337"/>
      <c r="R133" s="943"/>
      <c r="S133" s="1365"/>
    </row>
    <row r="134" spans="1:19" ht="16.5" customHeight="1" x14ac:dyDescent="0.35">
      <c r="A134" s="1179"/>
      <c r="B134" s="1369" t="s">
        <v>1510</v>
      </c>
      <c r="C134" s="697" t="s">
        <v>1503</v>
      </c>
      <c r="D134" s="1351"/>
      <c r="E134" s="679"/>
      <c r="F134" s="654"/>
      <c r="G134" s="652"/>
      <c r="H134" s="943" t="s">
        <v>669</v>
      </c>
      <c r="I134" s="1365"/>
      <c r="J134" s="943" t="s">
        <v>669</v>
      </c>
      <c r="K134" s="1366"/>
      <c r="L134" s="943" t="s">
        <v>669</v>
      </c>
      <c r="M134" s="1366"/>
      <c r="N134" s="943" t="s">
        <v>669</v>
      </c>
      <c r="O134" s="1366"/>
      <c r="P134" s="943" t="s">
        <v>669</v>
      </c>
      <c r="Q134" s="1366"/>
      <c r="R134" s="943"/>
      <c r="S134" s="1365"/>
    </row>
    <row r="135" spans="1:19" ht="16.5" customHeight="1" x14ac:dyDescent="0.35">
      <c r="A135" s="1349"/>
      <c r="B135" s="1350" t="s">
        <v>1511</v>
      </c>
      <c r="C135" s="697"/>
      <c r="D135" s="1351"/>
      <c r="E135" s="679"/>
      <c r="F135" s="654"/>
      <c r="G135" s="652"/>
      <c r="H135" s="943" t="s">
        <v>671</v>
      </c>
      <c r="I135" s="1365"/>
      <c r="J135" s="943" t="s">
        <v>671</v>
      </c>
      <c r="K135" s="1337"/>
      <c r="L135" s="943" t="s">
        <v>671</v>
      </c>
      <c r="M135" s="1337"/>
      <c r="N135" s="943" t="s">
        <v>671</v>
      </c>
      <c r="O135" s="1337"/>
      <c r="P135" s="943" t="s">
        <v>671</v>
      </c>
      <c r="Q135" s="1337"/>
      <c r="R135" s="943"/>
      <c r="S135" s="1335"/>
    </row>
    <row r="136" spans="1:19" ht="16.5" customHeight="1" x14ac:dyDescent="0.35">
      <c r="A136" s="1179"/>
      <c r="B136" s="1364" t="s">
        <v>1512</v>
      </c>
      <c r="C136" s="697"/>
      <c r="D136" s="1351"/>
      <c r="E136" s="679"/>
      <c r="F136" s="654"/>
      <c r="G136" s="652"/>
      <c r="H136" s="943" t="s">
        <v>669</v>
      </c>
      <c r="I136" s="1365"/>
      <c r="J136" s="943" t="s">
        <v>669</v>
      </c>
      <c r="K136" s="1366"/>
      <c r="L136" s="943" t="s">
        <v>669</v>
      </c>
      <c r="M136" s="1366"/>
      <c r="N136" s="943" t="s">
        <v>669</v>
      </c>
      <c r="O136" s="1366"/>
      <c r="P136" s="943" t="s">
        <v>669</v>
      </c>
      <c r="Q136" s="1366"/>
      <c r="R136" s="943"/>
      <c r="S136" s="1365"/>
    </row>
    <row r="137" spans="1:19" ht="16.5" customHeight="1" x14ac:dyDescent="0.35">
      <c r="A137" s="1179"/>
      <c r="B137" s="1369" t="s">
        <v>1513</v>
      </c>
      <c r="C137" s="697" t="s">
        <v>1514</v>
      </c>
      <c r="D137" s="1351"/>
      <c r="E137" s="679"/>
      <c r="F137" s="654"/>
      <c r="G137" s="652"/>
      <c r="H137" s="943" t="s">
        <v>669</v>
      </c>
      <c r="I137" s="1365"/>
      <c r="J137" s="943" t="s">
        <v>669</v>
      </c>
      <c r="K137" s="1370">
        <v>6620</v>
      </c>
      <c r="L137" s="943" t="s">
        <v>669</v>
      </c>
      <c r="M137" s="1366"/>
      <c r="N137" s="943" t="s">
        <v>669</v>
      </c>
      <c r="O137" s="1366"/>
      <c r="P137" s="943" t="s">
        <v>669</v>
      </c>
      <c r="Q137" s="1366"/>
      <c r="R137" s="943"/>
      <c r="S137" s="1365"/>
    </row>
    <row r="138" spans="1:19" ht="16.5" customHeight="1" x14ac:dyDescent="0.35">
      <c r="A138" s="1179"/>
      <c r="B138" s="1369" t="s">
        <v>1515</v>
      </c>
      <c r="C138" s="697"/>
      <c r="D138" s="1351"/>
      <c r="E138" s="679"/>
      <c r="F138" s="654"/>
      <c r="G138" s="652"/>
      <c r="H138" s="943" t="s">
        <v>669</v>
      </c>
      <c r="I138" s="1365"/>
      <c r="J138" s="943" t="s">
        <v>669</v>
      </c>
      <c r="K138" s="1366"/>
      <c r="L138" s="943" t="s">
        <v>669</v>
      </c>
      <c r="M138" s="1366"/>
      <c r="N138" s="943" t="s">
        <v>669</v>
      </c>
      <c r="O138" s="1366"/>
      <c r="P138" s="943" t="s">
        <v>669</v>
      </c>
      <c r="Q138" s="1366"/>
      <c r="R138" s="943"/>
      <c r="S138" s="1365"/>
    </row>
    <row r="139" spans="1:19" ht="16.5" customHeight="1" x14ac:dyDescent="0.35">
      <c r="A139" s="1179"/>
      <c r="B139" s="1369"/>
      <c r="C139" s="697"/>
      <c r="D139" s="1351"/>
      <c r="E139" s="679"/>
      <c r="F139" s="654"/>
      <c r="G139" s="652"/>
      <c r="H139" s="943"/>
      <c r="I139" s="1365"/>
      <c r="J139" s="943"/>
      <c r="K139" s="1366"/>
      <c r="L139" s="943"/>
      <c r="M139" s="1366"/>
      <c r="N139" s="943"/>
      <c r="O139" s="1366"/>
      <c r="P139" s="943"/>
      <c r="Q139" s="1366"/>
      <c r="R139" s="943"/>
      <c r="S139" s="1365"/>
    </row>
    <row r="140" spans="1:19" ht="16.5" customHeight="1" x14ac:dyDescent="0.35">
      <c r="A140" s="1179"/>
      <c r="B140" s="1364" t="s">
        <v>796</v>
      </c>
      <c r="C140" s="697"/>
      <c r="D140" s="1351"/>
      <c r="E140" s="679"/>
      <c r="F140" s="654"/>
      <c r="G140" s="652"/>
      <c r="H140" s="943" t="s">
        <v>669</v>
      </c>
      <c r="I140" s="1365"/>
      <c r="J140" s="943" t="s">
        <v>669</v>
      </c>
      <c r="K140" s="1366"/>
      <c r="L140" s="943" t="s">
        <v>669</v>
      </c>
      <c r="M140" s="1366"/>
      <c r="N140" s="943" t="s">
        <v>669</v>
      </c>
      <c r="O140" s="1366"/>
      <c r="P140" s="943" t="s">
        <v>669</v>
      </c>
      <c r="Q140" s="1366"/>
      <c r="R140" s="943"/>
      <c r="S140" s="1365"/>
    </row>
    <row r="141" spans="1:19" ht="16.5" customHeight="1" x14ac:dyDescent="0.35">
      <c r="A141" s="1179"/>
      <c r="B141" s="1369" t="s">
        <v>1516</v>
      </c>
      <c r="C141" s="697" t="s">
        <v>1503</v>
      </c>
      <c r="D141" s="1351"/>
      <c r="E141" s="679"/>
      <c r="F141" s="654"/>
      <c r="G141" s="652"/>
      <c r="H141" s="943" t="s">
        <v>669</v>
      </c>
      <c r="I141" s="1365"/>
      <c r="J141" s="943" t="s">
        <v>669</v>
      </c>
      <c r="K141" s="1366"/>
      <c r="L141" s="943" t="s">
        <v>669</v>
      </c>
      <c r="M141" s="1366"/>
      <c r="N141" s="943" t="s">
        <v>669</v>
      </c>
      <c r="O141" s="1366"/>
      <c r="P141" s="943" t="s">
        <v>669</v>
      </c>
      <c r="Q141" s="1366"/>
      <c r="R141" s="943"/>
      <c r="S141" s="1365"/>
    </row>
    <row r="142" spans="1:19" ht="16.5" customHeight="1" x14ac:dyDescent="0.35">
      <c r="A142" s="1179"/>
      <c r="B142" s="1369" t="s">
        <v>1517</v>
      </c>
      <c r="C142" s="697" t="s">
        <v>1503</v>
      </c>
      <c r="D142" s="1351"/>
      <c r="E142" s="679"/>
      <c r="F142" s="654"/>
      <c r="G142" s="652"/>
      <c r="H142" s="943" t="s">
        <v>669</v>
      </c>
      <c r="I142" s="1365"/>
      <c r="J142" s="943" t="s">
        <v>669</v>
      </c>
      <c r="K142" s="1366"/>
      <c r="L142" s="943" t="s">
        <v>669</v>
      </c>
      <c r="M142" s="1366"/>
      <c r="N142" s="943" t="s">
        <v>669</v>
      </c>
      <c r="O142" s="1366"/>
      <c r="P142" s="943" t="s">
        <v>669</v>
      </c>
      <c r="Q142" s="1366"/>
      <c r="R142" s="943"/>
      <c r="S142" s="1365"/>
    </row>
    <row r="143" spans="1:19" ht="16.5" customHeight="1" x14ac:dyDescent="0.35">
      <c r="A143" s="1179"/>
      <c r="B143" s="1369" t="s">
        <v>1518</v>
      </c>
      <c r="C143" s="697" t="s">
        <v>1519</v>
      </c>
      <c r="D143" s="1351">
        <v>1</v>
      </c>
      <c r="E143" s="679" t="s">
        <v>755</v>
      </c>
      <c r="F143" s="654">
        <f>4930*2</f>
        <v>9860</v>
      </c>
      <c r="G143" s="652">
        <f>F143*D143</f>
        <v>9860</v>
      </c>
      <c r="H143" s="943" t="s">
        <v>669</v>
      </c>
      <c r="I143" s="1365"/>
      <c r="J143" s="1101" t="s">
        <v>654</v>
      </c>
      <c r="K143" s="1371">
        <f>G143</f>
        <v>9860</v>
      </c>
      <c r="L143" s="1101" t="s">
        <v>654</v>
      </c>
      <c r="M143" s="1371">
        <f>G143</f>
        <v>9860</v>
      </c>
      <c r="N143" s="1101" t="s">
        <v>654</v>
      </c>
      <c r="O143" s="1371">
        <f>M143</f>
        <v>9860</v>
      </c>
      <c r="P143" s="943" t="s">
        <v>669</v>
      </c>
      <c r="Q143" s="1366"/>
      <c r="R143" s="943"/>
      <c r="S143" s="1365"/>
    </row>
    <row r="144" spans="1:19" ht="16.5" customHeight="1" x14ac:dyDescent="0.35">
      <c r="A144" s="1179"/>
      <c r="B144" s="1369" t="s">
        <v>1520</v>
      </c>
      <c r="C144" s="697" t="s">
        <v>1519</v>
      </c>
      <c r="D144" s="1351"/>
      <c r="E144" s="679"/>
      <c r="F144" s="654"/>
      <c r="G144" s="652"/>
      <c r="H144" s="943" t="s">
        <v>669</v>
      </c>
      <c r="I144" s="1365"/>
      <c r="J144" s="1101" t="s">
        <v>654</v>
      </c>
      <c r="K144" s="1371">
        <v>1000</v>
      </c>
      <c r="L144" s="943" t="s">
        <v>669</v>
      </c>
      <c r="M144" s="1366"/>
      <c r="N144" s="943" t="s">
        <v>669</v>
      </c>
      <c r="O144" s="1366"/>
      <c r="P144" s="943" t="s">
        <v>669</v>
      </c>
      <c r="Q144" s="1366"/>
      <c r="R144" s="943"/>
      <c r="S144" s="1365"/>
    </row>
    <row r="145" spans="1:19" ht="16.5" customHeight="1" x14ac:dyDescent="0.35">
      <c r="A145" s="1372"/>
      <c r="B145" s="1373" t="s">
        <v>1521</v>
      </c>
      <c r="C145" s="697"/>
      <c r="D145" s="1351"/>
      <c r="E145" s="679"/>
      <c r="F145" s="654"/>
      <c r="G145" s="652"/>
      <c r="H145" s="943" t="s">
        <v>669</v>
      </c>
      <c r="I145" s="1374"/>
      <c r="J145" s="943"/>
      <c r="K145" s="1375"/>
      <c r="L145" s="943"/>
      <c r="M145" s="1375"/>
      <c r="N145" s="943"/>
      <c r="O145" s="1375"/>
      <c r="P145" s="943" t="s">
        <v>669</v>
      </c>
      <c r="Q145" s="1375"/>
      <c r="R145" s="943"/>
      <c r="S145" s="1374"/>
    </row>
    <row r="146" spans="1:19" ht="16.5" customHeight="1" x14ac:dyDescent="0.35">
      <c r="A146" s="1376"/>
      <c r="B146" s="1377"/>
      <c r="C146" s="697"/>
      <c r="D146" s="1351"/>
      <c r="E146" s="679"/>
      <c r="F146" s="654"/>
      <c r="G146" s="652"/>
      <c r="H146" s="943"/>
      <c r="I146" s="1378"/>
      <c r="J146" s="943"/>
      <c r="K146" s="1379"/>
      <c r="L146" s="943"/>
      <c r="M146" s="1379"/>
      <c r="N146" s="943"/>
      <c r="O146" s="1379"/>
      <c r="P146" s="943"/>
      <c r="Q146" s="1379"/>
      <c r="R146" s="943"/>
      <c r="S146" s="1378"/>
    </row>
    <row r="147" spans="1:19" ht="16.5" customHeight="1" x14ac:dyDescent="0.35">
      <c r="A147" s="1349"/>
      <c r="B147" s="1347" t="s">
        <v>1522</v>
      </c>
      <c r="C147" s="697"/>
      <c r="D147" s="1303"/>
      <c r="E147" s="679"/>
      <c r="F147" s="654"/>
      <c r="G147" s="652"/>
      <c r="H147" s="943" t="s">
        <v>669</v>
      </c>
      <c r="I147" s="1335"/>
      <c r="J147" s="943" t="s">
        <v>671</v>
      </c>
      <c r="K147" s="1337" t="s">
        <v>1475</v>
      </c>
      <c r="L147" s="943" t="s">
        <v>671</v>
      </c>
      <c r="M147" s="1337" t="s">
        <v>1475</v>
      </c>
      <c r="N147" s="943" t="s">
        <v>669</v>
      </c>
      <c r="O147" s="1337"/>
      <c r="P147" s="943" t="s">
        <v>671</v>
      </c>
      <c r="Q147" s="4038"/>
      <c r="R147" s="943"/>
      <c r="S147" s="1335"/>
    </row>
    <row r="148" spans="1:19" x14ac:dyDescent="0.35">
      <c r="A148" s="1299"/>
      <c r="B148" s="1347" t="s">
        <v>1523</v>
      </c>
      <c r="C148" s="697" t="s">
        <v>1524</v>
      </c>
      <c r="D148" s="1303"/>
      <c r="E148" s="679"/>
      <c r="F148" s="654"/>
      <c r="G148" s="652"/>
      <c r="H148" s="943"/>
      <c r="I148" s="1335"/>
      <c r="J148" s="943"/>
      <c r="K148" s="1337"/>
      <c r="L148" s="943"/>
      <c r="M148" s="1337"/>
      <c r="N148" s="943"/>
      <c r="O148" s="1337"/>
      <c r="P148" s="943" t="s">
        <v>1613</v>
      </c>
      <c r="Q148" s="4038"/>
      <c r="R148" s="943"/>
      <c r="S148" s="1335"/>
    </row>
    <row r="149" spans="1:19" x14ac:dyDescent="0.35">
      <c r="A149" s="1299"/>
      <c r="B149" s="1347" t="s">
        <v>4320</v>
      </c>
      <c r="C149" s="697"/>
      <c r="D149" s="1303"/>
      <c r="E149" s="679"/>
      <c r="F149" s="679"/>
      <c r="G149" s="697"/>
      <c r="H149" s="943"/>
      <c r="I149" s="1335"/>
      <c r="J149" s="943"/>
      <c r="K149" s="1337"/>
      <c r="L149" s="943"/>
      <c r="M149" s="1337"/>
      <c r="N149" s="943"/>
      <c r="O149" s="1337"/>
      <c r="P149" s="943" t="s">
        <v>669</v>
      </c>
      <c r="Q149" s="1337"/>
      <c r="R149" s="943"/>
      <c r="S149" s="1336"/>
    </row>
    <row r="150" spans="1:19" x14ac:dyDescent="0.35">
      <c r="A150" s="65"/>
      <c r="B150" s="66"/>
      <c r="C150" s="67"/>
      <c r="D150" s="67"/>
      <c r="E150" s="68"/>
      <c r="F150" s="69" t="s">
        <v>715</v>
      </c>
      <c r="G150" s="76"/>
      <c r="H150" s="72"/>
      <c r="I150" s="71">
        <f>SUM(I25:I149)</f>
        <v>697916.55</v>
      </c>
      <c r="J150" s="72"/>
      <c r="K150" s="71">
        <f>SUM(K25:K149)</f>
        <v>723105</v>
      </c>
      <c r="L150" s="72"/>
      <c r="M150" s="71">
        <f>SUM(M25:M149)</f>
        <v>733709</v>
      </c>
      <c r="N150" s="72"/>
      <c r="O150" s="71">
        <f>SUM(O25:O149)</f>
        <v>742983.4</v>
      </c>
      <c r="P150" s="72"/>
      <c r="Q150" s="71">
        <f>SUM(Q25:Q149)</f>
        <v>647750</v>
      </c>
      <c r="R150" s="72"/>
      <c r="S150" s="71">
        <f>SUM(S26:S149)</f>
        <v>0</v>
      </c>
    </row>
    <row r="151" spans="1:19" x14ac:dyDescent="0.35">
      <c r="A151" s="698"/>
      <c r="B151" s="1314"/>
      <c r="C151" s="1315"/>
      <c r="D151" s="1315"/>
      <c r="E151" s="1316"/>
      <c r="F151" s="1317" t="s">
        <v>716</v>
      </c>
      <c r="G151" s="699"/>
      <c r="H151" s="1318">
        <v>0</v>
      </c>
      <c r="I151" s="1319"/>
      <c r="J151" s="1318">
        <v>0</v>
      </c>
      <c r="K151" s="1319"/>
      <c r="L151" s="1318">
        <v>0</v>
      </c>
      <c r="M151" s="1319"/>
      <c r="N151" s="1318">
        <v>0</v>
      </c>
      <c r="O151" s="1319"/>
      <c r="P151" s="1318">
        <v>0</v>
      </c>
      <c r="Q151" s="1319"/>
      <c r="R151" s="1318">
        <v>0</v>
      </c>
      <c r="S151" s="1319"/>
    </row>
    <row r="152" spans="1:19" x14ac:dyDescent="0.35">
      <c r="A152" s="698"/>
      <c r="B152" s="1314"/>
      <c r="C152" s="1315"/>
      <c r="D152" s="1315"/>
      <c r="E152" s="1316"/>
      <c r="F152" s="1317" t="s">
        <v>717</v>
      </c>
      <c r="G152" s="699"/>
      <c r="H152" s="1320"/>
      <c r="I152" s="1321">
        <f>H151*I150</f>
        <v>0</v>
      </c>
      <c r="J152" s="1320"/>
      <c r="K152" s="1321">
        <f>J151*K150</f>
        <v>0</v>
      </c>
      <c r="L152" s="1320"/>
      <c r="M152" s="1321">
        <f>L151*M150</f>
        <v>0</v>
      </c>
      <c r="N152" s="1320"/>
      <c r="O152" s="1321">
        <f>N151*O150</f>
        <v>0</v>
      </c>
      <c r="P152" s="1320"/>
      <c r="Q152" s="1321">
        <f>P151*Q150</f>
        <v>0</v>
      </c>
      <c r="R152" s="1320"/>
      <c r="S152" s="1321">
        <f>R151*S150</f>
        <v>0</v>
      </c>
    </row>
    <row r="153" spans="1:19" x14ac:dyDescent="0.35">
      <c r="A153" s="698"/>
      <c r="B153" s="1314"/>
      <c r="C153" s="1315"/>
      <c r="D153" s="1315"/>
      <c r="E153" s="1316"/>
      <c r="F153" s="1317"/>
      <c r="G153" s="699"/>
      <c r="H153" s="1380"/>
      <c r="I153" s="1324"/>
      <c r="J153" s="1320"/>
      <c r="K153" s="1322"/>
      <c r="L153" s="1320"/>
      <c r="M153" s="1322"/>
      <c r="N153" s="1320"/>
      <c r="O153" s="1322"/>
      <c r="P153" s="1320"/>
      <c r="Q153" s="1322"/>
      <c r="R153" s="1320"/>
      <c r="S153" s="1322"/>
    </row>
    <row r="154" spans="1:19" x14ac:dyDescent="0.35">
      <c r="A154" s="698"/>
      <c r="B154" s="1314"/>
      <c r="C154" s="1315"/>
      <c r="D154" s="1315"/>
      <c r="E154" s="1316"/>
      <c r="F154" s="1317" t="s">
        <v>718</v>
      </c>
      <c r="G154" s="699"/>
      <c r="H154" s="1323"/>
      <c r="I154" s="1324">
        <f>SUM(I150:I153)</f>
        <v>697916.55</v>
      </c>
      <c r="J154" s="1323"/>
      <c r="K154" s="1324">
        <f>SUM(K150:K153)</f>
        <v>723105</v>
      </c>
      <c r="L154" s="1323"/>
      <c r="M154" s="1324">
        <f>SUM(M150:M153)</f>
        <v>733709</v>
      </c>
      <c r="N154" s="1323"/>
      <c r="O154" s="1324">
        <f>SUM(O150:O153)</f>
        <v>742983.4</v>
      </c>
      <c r="P154" s="1323"/>
      <c r="Q154" s="1324">
        <f>SUM(Q150:Q153)</f>
        <v>647750</v>
      </c>
      <c r="R154" s="1323"/>
      <c r="S154" s="1324">
        <f>SUM(S150:S153)</f>
        <v>0</v>
      </c>
    </row>
    <row r="155" spans="1:19" x14ac:dyDescent="0.35">
      <c r="A155" s="698"/>
      <c r="B155" s="1314"/>
      <c r="C155" s="1315"/>
      <c r="D155" s="1315"/>
      <c r="E155" s="1316"/>
      <c r="F155" s="1317" t="s">
        <v>719</v>
      </c>
      <c r="G155" s="703"/>
      <c r="H155" s="1325"/>
      <c r="I155" s="966" t="e">
        <f>I154/#REF!</f>
        <v>#REF!</v>
      </c>
      <c r="J155" s="1325"/>
      <c r="K155" s="966" t="e">
        <f>K154/#REF!</f>
        <v>#REF!</v>
      </c>
      <c r="L155" s="1325"/>
      <c r="M155" s="966" t="e">
        <f>M154/#REF!</f>
        <v>#REF!</v>
      </c>
      <c r="N155" s="1325"/>
      <c r="O155" s="966" t="e">
        <f>O154/#REF!</f>
        <v>#REF!</v>
      </c>
      <c r="P155" s="1325"/>
      <c r="Q155" s="966" t="e">
        <f>Q154/#REF!</f>
        <v>#REF!</v>
      </c>
      <c r="R155" s="1325"/>
      <c r="S155" s="966" t="e">
        <f>S154/#REF!</f>
        <v>#REF!</v>
      </c>
    </row>
    <row r="156" spans="1:19" x14ac:dyDescent="0.35">
      <c r="A156" s="698"/>
      <c r="B156" s="1314"/>
      <c r="C156" s="1315"/>
      <c r="D156" s="1315"/>
      <c r="E156" s="1316"/>
      <c r="F156" s="1317" t="s">
        <v>720</v>
      </c>
      <c r="G156" s="699"/>
      <c r="H156" s="1325"/>
      <c r="I156" s="966" t="e">
        <f>I154/#REF!</f>
        <v>#REF!</v>
      </c>
      <c r="J156" s="1325"/>
      <c r="K156" s="966" t="e">
        <f>K154/#REF!</f>
        <v>#REF!</v>
      </c>
      <c r="L156" s="1325"/>
      <c r="M156" s="966" t="e">
        <f>M154/#REF!</f>
        <v>#REF!</v>
      </c>
      <c r="N156" s="1325"/>
      <c r="O156" s="966" t="e">
        <f>O154/#REF!</f>
        <v>#REF!</v>
      </c>
      <c r="P156" s="1325"/>
      <c r="Q156" s="966" t="e">
        <f>Q154/#REF!</f>
        <v>#REF!</v>
      </c>
      <c r="R156" s="1325"/>
      <c r="S156" s="966" t="e">
        <f>S154/#REF!</f>
        <v>#REF!</v>
      </c>
    </row>
    <row r="157" spans="1:19" x14ac:dyDescent="0.35">
      <c r="A157" s="698"/>
      <c r="B157" s="655"/>
      <c r="C157" s="656"/>
      <c r="D157" s="656"/>
      <c r="E157" s="657"/>
      <c r="F157" s="658"/>
      <c r="G157" s="663"/>
      <c r="H157" s="1168"/>
      <c r="I157" s="1169"/>
      <c r="J157" s="1381"/>
      <c r="K157" s="1381"/>
      <c r="L157" s="1381"/>
      <c r="M157" s="1381"/>
      <c r="N157" s="1381"/>
      <c r="O157" s="1381"/>
      <c r="P157" s="1381"/>
      <c r="Q157" s="1381"/>
      <c r="R157" s="1381"/>
      <c r="S157" s="1381"/>
    </row>
    <row r="158" spans="1:19" x14ac:dyDescent="0.35">
      <c r="A158" s="3764" t="s">
        <v>721</v>
      </c>
      <c r="B158" s="3765"/>
      <c r="C158" s="12"/>
      <c r="D158" s="12"/>
      <c r="E158" s="12"/>
      <c r="F158" s="12"/>
      <c r="G158" s="13"/>
      <c r="H158" s="21"/>
      <c r="I158" s="21"/>
      <c r="J158" s="21"/>
      <c r="K158" s="21"/>
      <c r="L158" s="21"/>
      <c r="M158" s="21"/>
      <c r="N158" s="21"/>
      <c r="O158" s="21"/>
      <c r="P158" s="21"/>
      <c r="Q158" s="21"/>
      <c r="R158" s="21"/>
      <c r="S158" s="21"/>
    </row>
    <row r="159" spans="1:19" x14ac:dyDescent="0.35">
      <c r="A159" s="1382"/>
      <c r="B159" s="641" t="s">
        <v>1525</v>
      </c>
      <c r="C159" s="1383"/>
      <c r="D159" s="1383"/>
      <c r="E159" s="1383"/>
      <c r="F159" s="1383"/>
      <c r="G159" s="1384"/>
      <c r="H159" s="1385"/>
      <c r="I159" s="1385"/>
      <c r="J159" s="1385"/>
      <c r="K159" s="1385"/>
      <c r="L159" s="1385"/>
      <c r="M159" s="1385"/>
      <c r="N159" s="1385"/>
      <c r="O159" s="1385"/>
      <c r="P159" s="1385"/>
      <c r="Q159" s="1385"/>
      <c r="R159" s="1385"/>
      <c r="S159" s="1385"/>
    </row>
    <row r="160" spans="1:19" x14ac:dyDescent="0.35">
      <c r="A160" s="1382"/>
      <c r="B160" s="641" t="s">
        <v>1526</v>
      </c>
      <c r="C160" s="1383"/>
      <c r="D160" s="1383"/>
      <c r="E160" s="1383"/>
      <c r="F160" s="1383"/>
      <c r="G160" s="1384"/>
      <c r="H160" s="1385"/>
      <c r="I160" s="1385"/>
      <c r="J160" s="1385"/>
      <c r="K160" s="1385"/>
      <c r="L160" s="1385"/>
      <c r="M160" s="1385"/>
      <c r="N160" s="1385"/>
      <c r="O160" s="1385"/>
      <c r="P160" s="1385"/>
      <c r="Q160" s="1385"/>
      <c r="R160" s="1385"/>
      <c r="S160" s="1385"/>
    </row>
    <row r="161" spans="1:19" x14ac:dyDescent="0.35">
      <c r="A161" s="1382"/>
      <c r="B161" s="641"/>
      <c r="C161" s="1383"/>
      <c r="D161" s="1383"/>
      <c r="E161" s="1383"/>
      <c r="F161" s="1383"/>
      <c r="G161" s="1384"/>
      <c r="H161" s="1385"/>
      <c r="I161" s="1385"/>
      <c r="J161" s="1385"/>
      <c r="K161" s="1385"/>
      <c r="L161" s="1385"/>
      <c r="M161" s="1385"/>
      <c r="N161" s="1385"/>
      <c r="O161" s="1385"/>
      <c r="P161" s="1385"/>
      <c r="Q161" s="1385"/>
      <c r="R161" s="1385"/>
      <c r="S161" s="1385"/>
    </row>
    <row r="162" spans="1:19" s="57" customFormat="1" x14ac:dyDescent="0.35">
      <c r="A162" s="3764" t="s">
        <v>722</v>
      </c>
      <c r="B162" s="3765"/>
      <c r="C162" s="12"/>
      <c r="D162" s="12"/>
      <c r="E162" s="12"/>
      <c r="F162" s="12"/>
      <c r="G162" s="13"/>
      <c r="H162" s="21"/>
      <c r="I162" s="21"/>
      <c r="J162" s="21"/>
      <c r="K162" s="21"/>
      <c r="L162" s="21"/>
      <c r="M162" s="21"/>
      <c r="N162" s="21"/>
      <c r="O162" s="21"/>
      <c r="P162" s="21"/>
      <c r="Q162" s="21"/>
      <c r="R162" s="21"/>
      <c r="S162" s="21"/>
    </row>
    <row r="163" spans="1:19" s="57" customFormat="1" x14ac:dyDescent="0.35">
      <c r="A163" s="1382"/>
      <c r="B163" s="641"/>
      <c r="C163" s="1383"/>
      <c r="D163" s="1383"/>
      <c r="E163" s="1383"/>
      <c r="F163" s="1383"/>
      <c r="G163" s="1384"/>
      <c r="H163" s="1385"/>
      <c r="I163" s="1385"/>
      <c r="J163" s="1385"/>
      <c r="K163" s="1385"/>
      <c r="L163" s="1385"/>
      <c r="M163" s="1385"/>
      <c r="N163" s="1385"/>
      <c r="O163" s="1385"/>
      <c r="P163" s="1385"/>
      <c r="Q163" s="1385"/>
      <c r="R163" s="1385"/>
      <c r="S163" s="1385"/>
    </row>
    <row r="164" spans="1:19" s="57" customFormat="1" x14ac:dyDescent="0.35">
      <c r="A164" s="1382"/>
      <c r="B164" s="641"/>
      <c r="C164" s="1383"/>
      <c r="D164" s="1383"/>
      <c r="E164" s="1383"/>
      <c r="F164" s="1383"/>
      <c r="G164" s="1384"/>
      <c r="H164" s="1385"/>
      <c r="I164" s="1385"/>
      <c r="J164" s="1385"/>
      <c r="K164" s="1385"/>
      <c r="L164" s="1385"/>
      <c r="M164" s="1385"/>
      <c r="N164" s="1385"/>
      <c r="O164" s="1385"/>
      <c r="P164" s="1385"/>
      <c r="Q164" s="1385"/>
      <c r="R164" s="1385"/>
      <c r="S164" s="1385"/>
    </row>
    <row r="165" spans="1:19" x14ac:dyDescent="0.35">
      <c r="A165" s="1382"/>
      <c r="B165" s="641"/>
      <c r="C165" s="1383"/>
      <c r="D165" s="1383"/>
      <c r="E165" s="1383"/>
      <c r="F165" s="1383"/>
      <c r="G165" s="1384"/>
      <c r="H165" s="1385"/>
      <c r="I165" s="1385"/>
      <c r="J165" s="1385"/>
      <c r="K165" s="1385"/>
      <c r="L165" s="1385"/>
      <c r="M165" s="1385"/>
      <c r="N165" s="1385"/>
      <c r="O165" s="1385"/>
      <c r="P165" s="1385"/>
      <c r="Q165" s="1385"/>
      <c r="R165" s="1385"/>
      <c r="S165" s="1385"/>
    </row>
    <row r="166" spans="1:19" s="57" customFormat="1" x14ac:dyDescent="0.35">
      <c r="A166" s="3764" t="s">
        <v>723</v>
      </c>
      <c r="B166" s="3765"/>
      <c r="C166" s="12"/>
      <c r="D166" s="12"/>
      <c r="E166" s="12"/>
      <c r="F166" s="12"/>
      <c r="G166" s="13"/>
      <c r="H166" s="21"/>
      <c r="I166" s="21"/>
      <c r="J166" s="21"/>
      <c r="K166" s="21"/>
      <c r="L166" s="21"/>
      <c r="M166" s="21"/>
      <c r="N166" s="21"/>
      <c r="O166" s="21"/>
      <c r="P166" s="21"/>
      <c r="Q166" s="21"/>
      <c r="R166" s="21"/>
      <c r="S166" s="21"/>
    </row>
    <row r="167" spans="1:19" s="57" customFormat="1" x14ac:dyDescent="0.35">
      <c r="A167" s="1382"/>
      <c r="B167" s="641"/>
      <c r="C167" s="1383"/>
      <c r="D167" s="1383"/>
      <c r="E167" s="1383"/>
      <c r="F167" s="1383"/>
      <c r="G167" s="1384"/>
      <c r="H167" s="1385"/>
      <c r="I167" s="1385"/>
      <c r="J167" s="1385"/>
      <c r="K167" s="1385"/>
      <c r="L167" s="1385"/>
      <c r="M167" s="1385"/>
      <c r="N167" s="1385"/>
      <c r="O167" s="1385"/>
      <c r="P167" s="1385"/>
      <c r="Q167" s="1385"/>
      <c r="R167" s="1385"/>
      <c r="S167" s="1385"/>
    </row>
    <row r="168" spans="1:19" s="57" customFormat="1" x14ac:dyDescent="0.35">
      <c r="A168" s="689"/>
      <c r="B168" s="641"/>
      <c r="C168" s="642"/>
      <c r="D168" s="642"/>
      <c r="E168" s="642"/>
      <c r="F168" s="642"/>
      <c r="G168" s="646"/>
      <c r="H168" s="973"/>
      <c r="I168" s="973"/>
      <c r="J168" s="973"/>
      <c r="K168" s="973"/>
      <c r="L168" s="973"/>
      <c r="M168" s="973"/>
      <c r="N168" s="973"/>
      <c r="O168" s="973"/>
      <c r="P168" s="973"/>
      <c r="Q168" s="973"/>
      <c r="R168" s="973"/>
      <c r="S168" s="973"/>
    </row>
    <row r="169" spans="1:19" s="57" customFormat="1" x14ac:dyDescent="0.35">
      <c r="A169" s="686"/>
      <c r="B169" s="665"/>
      <c r="C169" s="642"/>
      <c r="D169" s="642"/>
      <c r="E169" s="642"/>
      <c r="F169" s="642"/>
      <c r="G169" s="646"/>
      <c r="H169" s="974"/>
      <c r="I169" s="974"/>
      <c r="J169" s="974"/>
      <c r="K169" s="974"/>
      <c r="L169" s="974"/>
      <c r="M169" s="974"/>
      <c r="N169" s="974"/>
      <c r="O169" s="974"/>
      <c r="P169" s="974"/>
      <c r="Q169" s="974"/>
      <c r="R169" s="974"/>
      <c r="S169" s="974"/>
    </row>
    <row r="170" spans="1:19" s="57" customFormat="1" x14ac:dyDescent="0.35">
      <c r="A170" s="3764" t="s">
        <v>724</v>
      </c>
      <c r="B170" s="3765"/>
      <c r="C170" s="12"/>
      <c r="D170" s="12"/>
      <c r="E170" s="12"/>
      <c r="F170" s="12"/>
      <c r="G170" s="13"/>
      <c r="H170" s="21"/>
      <c r="I170" s="21"/>
      <c r="J170" s="21"/>
      <c r="K170" s="21"/>
      <c r="L170" s="21"/>
      <c r="M170" s="21"/>
      <c r="N170" s="21"/>
      <c r="O170" s="21"/>
      <c r="P170" s="21"/>
      <c r="Q170" s="21"/>
      <c r="R170" s="21"/>
      <c r="S170" s="21"/>
    </row>
    <row r="171" spans="1:19" x14ac:dyDescent="0.35">
      <c r="A171" s="1386"/>
      <c r="B171" s="1387"/>
      <c r="C171" s="1383"/>
      <c r="D171" s="1383"/>
      <c r="E171" s="1383"/>
      <c r="F171" s="1383"/>
      <c r="G171" s="1384"/>
      <c r="H171" s="1385"/>
      <c r="I171" s="1385"/>
      <c r="J171" s="1385"/>
      <c r="K171" s="1385"/>
      <c r="L171" s="1385"/>
      <c r="M171" s="1385"/>
      <c r="N171" s="1385"/>
      <c r="O171" s="1385"/>
      <c r="P171" s="1385"/>
      <c r="Q171" s="1385"/>
      <c r="R171" s="1385"/>
      <c r="S171" s="1385"/>
    </row>
    <row r="172" spans="1:19" x14ac:dyDescent="0.35">
      <c r="A172" s="686"/>
      <c r="B172" s="665"/>
      <c r="C172" s="642"/>
      <c r="D172" s="642"/>
      <c r="E172" s="642"/>
      <c r="F172" s="642"/>
      <c r="G172" s="646"/>
      <c r="H172" s="977"/>
      <c r="I172" s="977"/>
      <c r="J172" s="977"/>
      <c r="K172" s="977"/>
      <c r="L172" s="977"/>
      <c r="M172" s="977"/>
      <c r="N172" s="977"/>
      <c r="O172" s="977"/>
      <c r="P172" s="977"/>
      <c r="Q172" s="977"/>
      <c r="R172" s="977"/>
      <c r="S172" s="977"/>
    </row>
    <row r="173" spans="1:19" x14ac:dyDescent="0.35">
      <c r="A173" s="686"/>
      <c r="B173" s="665"/>
      <c r="C173" s="642"/>
      <c r="D173" s="642"/>
      <c r="E173" s="642"/>
      <c r="F173" s="642"/>
      <c r="G173" s="646"/>
      <c r="H173" s="977"/>
      <c r="I173" s="977"/>
      <c r="J173" s="977"/>
      <c r="K173" s="977"/>
      <c r="L173" s="977"/>
      <c r="M173" s="977"/>
      <c r="N173" s="977"/>
      <c r="O173" s="977"/>
      <c r="P173" s="977"/>
      <c r="Q173" s="977"/>
      <c r="R173" s="977"/>
      <c r="S173" s="977"/>
    </row>
    <row r="174" spans="1:19" x14ac:dyDescent="0.35">
      <c r="A174" s="3764" t="s">
        <v>725</v>
      </c>
      <c r="B174" s="3765"/>
      <c r="C174" s="12"/>
      <c r="D174" s="12"/>
      <c r="E174" s="12"/>
      <c r="F174" s="12"/>
      <c r="G174" s="13"/>
      <c r="H174" s="21"/>
      <c r="I174" s="21"/>
      <c r="J174" s="21"/>
      <c r="K174" s="21"/>
      <c r="L174" s="21"/>
      <c r="M174" s="21"/>
      <c r="N174" s="21"/>
      <c r="O174" s="21"/>
      <c r="P174" s="21"/>
      <c r="Q174" s="21"/>
      <c r="R174" s="21"/>
      <c r="S174" s="21"/>
    </row>
    <row r="175" spans="1:19" x14ac:dyDescent="0.35">
      <c r="A175" s="689"/>
      <c r="B175" s="641" t="s">
        <v>726</v>
      </c>
      <c r="C175" s="642"/>
      <c r="D175" s="642"/>
      <c r="E175" s="642"/>
      <c r="F175" s="642"/>
      <c r="G175" s="646"/>
      <c r="H175" s="977"/>
      <c r="I175" s="977"/>
      <c r="J175" s="977"/>
      <c r="K175" s="977"/>
      <c r="L175" s="977"/>
      <c r="M175" s="977"/>
      <c r="N175" s="977"/>
      <c r="O175" s="977"/>
      <c r="P175" s="977"/>
      <c r="Q175" s="977"/>
      <c r="R175" s="977"/>
      <c r="S175" s="977"/>
    </row>
    <row r="176" spans="1:19" x14ac:dyDescent="0.35">
      <c r="A176" s="689"/>
      <c r="B176" s="641" t="s">
        <v>727</v>
      </c>
      <c r="C176" s="642"/>
      <c r="D176" s="642"/>
      <c r="E176" s="642"/>
      <c r="F176" s="642"/>
      <c r="G176" s="646"/>
      <c r="H176" s="977"/>
      <c r="I176" s="977"/>
      <c r="J176" s="977"/>
      <c r="K176" s="977"/>
      <c r="L176" s="977"/>
      <c r="M176" s="977"/>
      <c r="N176" s="977"/>
      <c r="O176" s="977"/>
      <c r="P176" s="977"/>
      <c r="Q176" s="977"/>
      <c r="R176" s="977"/>
      <c r="S176" s="977"/>
    </row>
    <row r="177" spans="1:19" x14ac:dyDescent="0.35">
      <c r="A177" s="689"/>
      <c r="B177" s="641" t="s">
        <v>728</v>
      </c>
      <c r="C177" s="642"/>
      <c r="D177" s="642"/>
      <c r="E177" s="642"/>
      <c r="F177" s="642"/>
      <c r="G177" s="646"/>
      <c r="H177" s="977"/>
      <c r="I177" s="977"/>
      <c r="J177" s="977"/>
      <c r="K177" s="977"/>
      <c r="L177" s="977"/>
      <c r="M177" s="977"/>
      <c r="N177" s="977"/>
      <c r="O177" s="977"/>
      <c r="P177" s="977"/>
      <c r="Q177" s="977"/>
      <c r="R177" s="977"/>
      <c r="S177" s="977"/>
    </row>
    <row r="178" spans="1:19" x14ac:dyDescent="0.35">
      <c r="A178" s="689"/>
      <c r="B178" s="641" t="s">
        <v>729</v>
      </c>
      <c r="C178" s="642"/>
      <c r="D178" s="642"/>
      <c r="E178" s="642"/>
      <c r="F178" s="642"/>
      <c r="G178" s="646"/>
      <c r="H178" s="977"/>
      <c r="I178" s="977"/>
      <c r="J178" s="977"/>
      <c r="K178" s="977"/>
      <c r="L178" s="977"/>
      <c r="M178" s="977"/>
      <c r="N178" s="977"/>
      <c r="O178" s="977"/>
      <c r="P178" s="977"/>
      <c r="Q178" s="977"/>
      <c r="R178" s="977"/>
      <c r="S178" s="977"/>
    </row>
    <row r="179" spans="1:19" x14ac:dyDescent="0.35">
      <c r="A179" s="978"/>
      <c r="B179" s="939"/>
      <c r="C179" s="940"/>
      <c r="D179" s="940"/>
      <c r="E179" s="940"/>
      <c r="F179" s="940"/>
      <c r="G179" s="1039"/>
      <c r="H179" s="981"/>
      <c r="I179" s="981"/>
      <c r="J179" s="981"/>
      <c r="K179" s="981"/>
      <c r="L179" s="981"/>
      <c r="M179" s="981"/>
      <c r="N179" s="981"/>
      <c r="O179" s="981"/>
      <c r="P179" s="981"/>
      <c r="Q179" s="981"/>
      <c r="R179" s="981"/>
      <c r="S179" s="981"/>
    </row>
    <row r="180" spans="1:19" x14ac:dyDescent="0.35">
      <c r="A180" s="7" t="s">
        <v>730</v>
      </c>
      <c r="B180" s="8"/>
      <c r="C180" s="12"/>
      <c r="D180" s="12"/>
      <c r="E180" s="12"/>
      <c r="F180" s="12"/>
      <c r="G180" s="13"/>
      <c r="H180" s="21"/>
      <c r="I180" s="21"/>
      <c r="J180" s="21"/>
      <c r="K180" s="21"/>
      <c r="L180" s="21"/>
      <c r="M180" s="21"/>
      <c r="N180" s="21"/>
      <c r="O180" s="21"/>
      <c r="P180" s="21"/>
      <c r="Q180" s="21"/>
      <c r="R180" s="21"/>
      <c r="S180" s="21"/>
    </row>
    <row r="181" spans="1:19" x14ac:dyDescent="0.35">
      <c r="A181" s="1382"/>
      <c r="B181" s="1388" t="s">
        <v>731</v>
      </c>
      <c r="C181" s="1383"/>
      <c r="D181" s="1383"/>
      <c r="E181" s="1383"/>
      <c r="F181" s="1383"/>
      <c r="G181" s="1384"/>
      <c r="H181" s="1389"/>
      <c r="I181" s="1389"/>
      <c r="J181" s="1389"/>
      <c r="K181" s="1389"/>
      <c r="L181" s="1389"/>
      <c r="M181" s="1389"/>
      <c r="N181" s="1389"/>
      <c r="O181" s="1389"/>
      <c r="P181" s="1389"/>
      <c r="Q181" s="1389"/>
      <c r="R181" s="1389"/>
      <c r="S181" s="1389"/>
    </row>
    <row r="182" spans="1:19" x14ac:dyDescent="0.35">
      <c r="A182" s="689"/>
      <c r="B182" s="641" t="s">
        <v>732</v>
      </c>
      <c r="C182" s="642"/>
      <c r="D182" s="642"/>
      <c r="E182" s="642"/>
      <c r="F182" s="642"/>
      <c r="G182" s="646"/>
      <c r="H182" s="984"/>
      <c r="I182" s="984"/>
      <c r="J182" s="984"/>
      <c r="K182" s="984"/>
      <c r="L182" s="984"/>
      <c r="M182" s="984"/>
      <c r="N182" s="984"/>
      <c r="O182" s="984"/>
      <c r="P182" s="984"/>
      <c r="Q182" s="984"/>
      <c r="R182" s="984"/>
      <c r="S182" s="984"/>
    </row>
    <row r="183" spans="1:19" x14ac:dyDescent="0.35">
      <c r="A183" s="985"/>
      <c r="B183" s="986" t="s">
        <v>733</v>
      </c>
      <c r="C183" s="987"/>
      <c r="D183" s="987"/>
      <c r="E183" s="987"/>
      <c r="F183" s="987"/>
      <c r="G183" s="1040"/>
      <c r="H183" s="990"/>
      <c r="I183" s="990"/>
      <c r="J183" s="990"/>
      <c r="K183" s="990"/>
      <c r="L183" s="990"/>
      <c r="M183" s="990"/>
      <c r="N183" s="990"/>
      <c r="O183" s="990"/>
      <c r="P183" s="990"/>
      <c r="Q183" s="990"/>
      <c r="R183" s="990"/>
      <c r="S183" s="990"/>
    </row>
    <row r="184" spans="1:19" x14ac:dyDescent="0.35">
      <c r="A184"/>
      <c r="B184" s="1"/>
      <c r="C184" s="2"/>
      <c r="D184" s="2"/>
      <c r="E184" s="2"/>
      <c r="F184" s="2"/>
      <c r="G184" s="2"/>
      <c r="H184" s="2"/>
      <c r="I184" s="2"/>
      <c r="J184" s="2"/>
      <c r="K184" s="2"/>
      <c r="L184" s="2"/>
      <c r="M184" s="2"/>
      <c r="N184" s="2"/>
      <c r="O184" s="2"/>
      <c r="P184" s="2"/>
      <c r="Q184" s="2"/>
      <c r="R184" s="2"/>
      <c r="S184" s="2"/>
    </row>
    <row r="185" spans="1:19" x14ac:dyDescent="0.35">
      <c r="A185" s="78" t="s">
        <v>734</v>
      </c>
      <c r="B185" s="80"/>
      <c r="C185" s="2"/>
      <c r="D185" s="2"/>
      <c r="E185" s="2"/>
      <c r="F185" s="2"/>
      <c r="G185" s="2"/>
      <c r="H185" s="2"/>
      <c r="I185" s="2"/>
      <c r="J185" s="2"/>
      <c r="K185" s="2"/>
      <c r="L185" s="2"/>
      <c r="M185" s="2"/>
      <c r="N185" s="2"/>
      <c r="O185" s="2"/>
      <c r="P185" s="2"/>
      <c r="Q185" s="2"/>
      <c r="R185" s="2"/>
      <c r="S185" s="2"/>
    </row>
    <row r="186" spans="1:19" x14ac:dyDescent="0.35">
      <c r="A186" s="79" t="s">
        <v>632</v>
      </c>
      <c r="B186" s="991" t="str">
        <f>H4</f>
        <v>Borgzinner</v>
      </c>
      <c r="C186" s="2"/>
      <c r="D186" s="2"/>
      <c r="E186" s="2"/>
      <c r="F186" s="2"/>
      <c r="G186" s="2"/>
      <c r="H186" s="2"/>
      <c r="I186" s="2"/>
      <c r="J186" s="2"/>
      <c r="K186" s="2"/>
      <c r="L186" s="2"/>
      <c r="M186" s="2"/>
      <c r="N186" s="2"/>
      <c r="O186" s="2"/>
      <c r="P186" s="2"/>
      <c r="Q186" s="2"/>
      <c r="R186" s="2"/>
      <c r="S186" s="2"/>
    </row>
    <row r="187" spans="1:19" x14ac:dyDescent="0.35">
      <c r="A187" s="687" t="s">
        <v>636</v>
      </c>
      <c r="B187" s="991" t="str">
        <f>H5</f>
        <v>Ken Stevens</v>
      </c>
      <c r="C187" s="2"/>
      <c r="D187" s="2"/>
      <c r="E187" s="2"/>
      <c r="F187" s="2"/>
      <c r="G187" s="2"/>
      <c r="H187" s="2"/>
      <c r="I187" s="2"/>
      <c r="J187" s="2"/>
      <c r="K187" s="2"/>
      <c r="L187" s="2"/>
      <c r="M187" s="2"/>
      <c r="N187" s="2"/>
      <c r="O187" s="2"/>
      <c r="P187" s="2"/>
      <c r="Q187" s="2"/>
      <c r="R187" s="2"/>
      <c r="S187" s="2"/>
    </row>
    <row r="188" spans="1:19" x14ac:dyDescent="0.35">
      <c r="A188" s="992" t="s">
        <v>639</v>
      </c>
      <c r="B188" s="993" t="str">
        <f>H6</f>
        <v xml:space="preserve">561-827-6626 </v>
      </c>
      <c r="C188" s="2"/>
      <c r="D188" s="2"/>
      <c r="E188" s="2"/>
      <c r="F188" s="2"/>
      <c r="G188" s="2"/>
      <c r="H188" s="2"/>
      <c r="I188" s="2"/>
      <c r="J188" s="2"/>
      <c r="K188" s="2"/>
      <c r="L188" s="2"/>
      <c r="M188" s="2"/>
      <c r="N188" s="2"/>
      <c r="O188" s="2"/>
      <c r="P188" s="2"/>
      <c r="Q188" s="2"/>
      <c r="R188" s="2"/>
      <c r="S188" s="2"/>
    </row>
    <row r="189" spans="1:19" x14ac:dyDescent="0.35">
      <c r="A189" s="992" t="s">
        <v>642</v>
      </c>
      <c r="B189" s="994" t="str">
        <f>H7</f>
        <v>sales@borgzinner.com</v>
      </c>
      <c r="C189" s="2" t="s">
        <v>747</v>
      </c>
      <c r="D189" s="2" t="s">
        <v>80</v>
      </c>
      <c r="E189" s="2" t="s">
        <v>429</v>
      </c>
      <c r="F189" s="2" t="s">
        <v>746</v>
      </c>
      <c r="G189" s="2"/>
      <c r="H189" s="2"/>
      <c r="I189" s="2"/>
      <c r="J189" s="2"/>
      <c r="K189" s="2"/>
      <c r="L189" s="2"/>
      <c r="M189" s="2"/>
      <c r="N189" s="2"/>
      <c r="O189" s="2"/>
      <c r="P189" s="2"/>
      <c r="Q189" s="2"/>
      <c r="R189" s="2"/>
      <c r="S189" s="2"/>
    </row>
    <row r="190" spans="1:19" x14ac:dyDescent="0.35">
      <c r="A190" s="995" t="s">
        <v>735</v>
      </c>
      <c r="B190" s="996">
        <f>H8</f>
        <v>697916.55</v>
      </c>
      <c r="C190" s="325">
        <f>B190-D190-E190-F190</f>
        <v>0</v>
      </c>
      <c r="D190" s="325">
        <f>H8</f>
        <v>697916.55</v>
      </c>
      <c r="E190" s="2"/>
      <c r="F190" s="2"/>
      <c r="G190" s="2"/>
      <c r="H190" s="2"/>
      <c r="I190" s="2"/>
      <c r="J190" s="2"/>
      <c r="K190" s="2"/>
      <c r="L190" s="2"/>
      <c r="M190" s="2"/>
      <c r="N190" s="2"/>
      <c r="O190" s="2"/>
      <c r="P190" s="2"/>
      <c r="Q190" s="2"/>
      <c r="R190" s="2"/>
      <c r="S190" s="2"/>
    </row>
    <row r="191" spans="1:19" x14ac:dyDescent="0.35">
      <c r="A191"/>
      <c r="B191" s="1"/>
      <c r="C191" s="2"/>
      <c r="D191" s="2"/>
      <c r="E191" s="2"/>
      <c r="F191" s="2"/>
      <c r="G191" s="2"/>
      <c r="H191" s="2"/>
      <c r="I191" s="2"/>
      <c r="J191" s="2"/>
      <c r="K191" s="2"/>
      <c r="L191" s="2"/>
      <c r="M191" s="2"/>
      <c r="N191" s="2"/>
      <c r="O191" s="2"/>
      <c r="P191" s="2"/>
      <c r="Q191" s="2"/>
      <c r="R191" s="2"/>
      <c r="S191" s="2"/>
    </row>
    <row r="192" spans="1:19" x14ac:dyDescent="0.35">
      <c r="A192" s="81"/>
      <c r="B192" s="1" t="s">
        <v>736</v>
      </c>
      <c r="C192" s="2"/>
      <c r="D192" s="2"/>
      <c r="E192" s="2"/>
      <c r="F192" s="2"/>
      <c r="G192" s="2"/>
      <c r="H192" s="2"/>
      <c r="I192" s="2"/>
      <c r="J192" s="2"/>
      <c r="K192" s="2"/>
      <c r="L192" s="2"/>
      <c r="M192" s="2"/>
      <c r="N192" s="2"/>
      <c r="O192" s="2"/>
      <c r="P192" s="2"/>
      <c r="Q192" s="2"/>
      <c r="R192" s="2"/>
      <c r="S192" s="2"/>
    </row>
    <row r="193" spans="1:19" x14ac:dyDescent="0.35">
      <c r="A193" s="82"/>
      <c r="B193" s="1" t="s">
        <v>737</v>
      </c>
      <c r="C193" s="2"/>
      <c r="D193" s="2"/>
      <c r="E193" s="2"/>
      <c r="F193" s="2"/>
      <c r="G193" s="2"/>
      <c r="H193" s="2"/>
      <c r="I193" s="2"/>
      <c r="J193" s="2"/>
      <c r="K193" s="2"/>
      <c r="L193" s="2"/>
      <c r="M193" s="2"/>
      <c r="N193" s="2"/>
      <c r="O193" s="2"/>
      <c r="P193" s="2"/>
      <c r="Q193" s="2"/>
      <c r="R193" s="2"/>
      <c r="S193" s="2"/>
    </row>
  </sheetData>
  <mergeCells count="49">
    <mergeCell ref="A158:B158"/>
    <mergeCell ref="A162:B162"/>
    <mergeCell ref="A166:B166"/>
    <mergeCell ref="A170:B170"/>
    <mergeCell ref="A174:B174"/>
    <mergeCell ref="J8:K8"/>
    <mergeCell ref="L4:M4"/>
    <mergeCell ref="L5:M5"/>
    <mergeCell ref="L6:M6"/>
    <mergeCell ref="L7:M7"/>
    <mergeCell ref="L8:M8"/>
    <mergeCell ref="J4:K4"/>
    <mergeCell ref="J5:K5"/>
    <mergeCell ref="J6:K6"/>
    <mergeCell ref="J7:K7"/>
    <mergeCell ref="H8:I8"/>
    <mergeCell ref="H4:I4"/>
    <mergeCell ref="H5:I5"/>
    <mergeCell ref="H6:I6"/>
    <mergeCell ref="H7:I7"/>
    <mergeCell ref="R6:S6"/>
    <mergeCell ref="R7:S7"/>
    <mergeCell ref="R8:S8"/>
    <mergeCell ref="P7:Q7"/>
    <mergeCell ref="P8:Q8"/>
    <mergeCell ref="N7:O7"/>
    <mergeCell ref="N8:O8"/>
    <mergeCell ref="R3:S3"/>
    <mergeCell ref="H2:I2"/>
    <mergeCell ref="J2:K2"/>
    <mergeCell ref="L2:M2"/>
    <mergeCell ref="N2:O2"/>
    <mergeCell ref="R2:S2"/>
    <mergeCell ref="H3:I3"/>
    <mergeCell ref="J3:K3"/>
    <mergeCell ref="L3:M3"/>
    <mergeCell ref="N3:O3"/>
    <mergeCell ref="P2:Q2"/>
    <mergeCell ref="P3:Q3"/>
    <mergeCell ref="R4:S4"/>
    <mergeCell ref="R5:S5"/>
    <mergeCell ref="J1:K1"/>
    <mergeCell ref="N1:O1"/>
    <mergeCell ref="P4:Q4"/>
    <mergeCell ref="P5:Q5"/>
    <mergeCell ref="P6:Q6"/>
    <mergeCell ref="N4:O4"/>
    <mergeCell ref="N5:O5"/>
    <mergeCell ref="N6:O6"/>
  </mergeCells>
  <conditionalFormatting sqref="H22:H34">
    <cfRule type="cellIs" dxfId="2333" priority="23" operator="equal">
      <formula>"X"</formula>
    </cfRule>
    <cfRule type="cellIs" dxfId="2332" priority="24" operator="equal">
      <formula>"I"</formula>
    </cfRule>
  </conditionalFormatting>
  <conditionalFormatting sqref="H36:H149 J36:J149 L36:L149 N36:N149 R36:R149 P36:P149">
    <cfRule type="cellIs" dxfId="2331" priority="31" operator="equal">
      <formula>"X"</formula>
    </cfRule>
    <cfRule type="cellIs" dxfId="2330" priority="32" operator="equal">
      <formula>"I"</formula>
    </cfRule>
  </conditionalFormatting>
  <conditionalFormatting sqref="J22:J34">
    <cfRule type="cellIs" dxfId="2329" priority="3" operator="equal">
      <formula>"X"</formula>
    </cfRule>
    <cfRule type="cellIs" dxfId="2328" priority="4" operator="equal">
      <formula>"I"</formula>
    </cfRule>
  </conditionalFormatting>
  <conditionalFormatting sqref="L22:L34">
    <cfRule type="cellIs" dxfId="2327" priority="19" operator="equal">
      <formula>"X"</formula>
    </cfRule>
    <cfRule type="cellIs" dxfId="2326" priority="20" operator="equal">
      <formula>"I"</formula>
    </cfRule>
  </conditionalFormatting>
  <conditionalFormatting sqref="N22:N34">
    <cfRule type="cellIs" dxfId="2325" priority="15" operator="equal">
      <formula>"X"</formula>
    </cfRule>
    <cfRule type="cellIs" dxfId="2324" priority="16" operator="equal">
      <formula>"I"</formula>
    </cfRule>
  </conditionalFormatting>
  <conditionalFormatting sqref="P22:P24 P34">
    <cfRule type="cellIs" dxfId="2323" priority="47" operator="equal">
      <formula>"X"</formula>
    </cfRule>
    <cfRule type="cellIs" dxfId="2322" priority="48" operator="equal">
      <formula>"I"</formula>
    </cfRule>
  </conditionalFormatting>
  <conditionalFormatting sqref="R22:R34">
    <cfRule type="cellIs" dxfId="2321" priority="51" operator="equal">
      <formula>"X"</formula>
    </cfRule>
    <cfRule type="cellIs" dxfId="2320" priority="52" operator="equal">
      <formula>"I"</formula>
    </cfRule>
  </conditionalFormatting>
  <conditionalFormatting sqref="P25:P33">
    <cfRule type="cellIs" dxfId="2319" priority="1" operator="equal">
      <formula>"X"</formula>
    </cfRule>
    <cfRule type="cellIs" dxfId="2318" priority="2" operator="equal">
      <formula>"I"</formula>
    </cfRule>
  </conditionalFormatting>
  <hyperlinks>
    <hyperlink ref="B3" location="'Cost Summary'!A1" display="BACK TO SUMMARY SHEET" xr:uid="{9F9A9977-A147-4E1D-8D08-10F4755EBCC1}"/>
    <hyperlink ref="H7:I7" r:id="rId1" display="sales@borgzinner.com" xr:uid="{A35E7970-CDC7-4609-83AF-F5B9023B2550}"/>
    <hyperlink ref="J7:K7" r:id="rId2" display="john@cflmillwork.com" xr:uid="{B38137DA-A54A-4FE4-9AA1-91A84E868B1E}"/>
    <hyperlink ref="L7:M7" r:id="rId3" display="dmaddux@advancedmillwork.net" xr:uid="{8783B512-6306-4C5B-A4CE-96B191115C63}"/>
  </hyperlinks>
  <pageMargins left="0.7" right="0.7" top="0.75" bottom="0.75" header="0.3" footer="0.3"/>
  <pageSetup scale="63" orientation="portrait" r:id="rId4"/>
  <legacy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4833-A035-4289-8D41-223CF31060E3}">
  <sheetPr>
    <tabColor rgb="FF92D050"/>
  </sheetPr>
  <dimension ref="A1:S103"/>
  <sheetViews>
    <sheetView zoomScale="95" zoomScaleNormal="95" workbookViewId="0">
      <pane xSplit="2" ySplit="19" topLeftCell="C33" activePane="bottomRight" state="frozen"/>
      <selection pane="topRight" activeCell="C1" sqref="C1"/>
      <selection pane="bottomLeft" activeCell="A20" sqref="A20"/>
      <selection pane="bottomRight" activeCell="B33" sqref="B3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5.5429687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89"/>
      <c r="I2" s="3789"/>
      <c r="J2" s="3751"/>
      <c r="K2" s="3751"/>
      <c r="L2" s="3789"/>
      <c r="M2" s="3789"/>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688" t="s">
        <v>634</v>
      </c>
      <c r="B5" s="641" t="s">
        <v>1527</v>
      </c>
      <c r="C5" s="642"/>
      <c r="D5" s="642"/>
      <c r="E5" s="642"/>
      <c r="F5" s="642"/>
      <c r="G5" s="643" t="s">
        <v>636</v>
      </c>
      <c r="H5" s="3849"/>
      <c r="I5" s="3850"/>
      <c r="J5" s="3849"/>
      <c r="K5" s="3850"/>
      <c r="L5" s="3849"/>
      <c r="M5" s="3850"/>
      <c r="N5" s="3849"/>
      <c r="O5" s="3850"/>
      <c r="P5" s="3849"/>
      <c r="Q5" s="3850"/>
      <c r="R5" s="3849"/>
      <c r="S5" s="3850"/>
    </row>
    <row r="6" spans="1:19" x14ac:dyDescent="0.35">
      <c r="A6" s="688" t="s">
        <v>638</v>
      </c>
      <c r="B6" s="644" t="s">
        <v>1528</v>
      </c>
      <c r="C6" s="642"/>
      <c r="D6" s="642"/>
      <c r="E6" s="642"/>
      <c r="F6" s="642"/>
      <c r="G6" s="643" t="s">
        <v>639</v>
      </c>
      <c r="H6" s="3756"/>
      <c r="I6" s="3757"/>
      <c r="J6" s="3756"/>
      <c r="K6" s="3757"/>
      <c r="L6" s="3756"/>
      <c r="M6" s="3757"/>
      <c r="N6" s="3756"/>
      <c r="O6" s="3757"/>
      <c r="P6" s="3756"/>
      <c r="Q6" s="3757"/>
      <c r="R6" s="3756"/>
      <c r="S6" s="3757"/>
    </row>
    <row r="7" spans="1:19" x14ac:dyDescent="0.35">
      <c r="A7" s="688" t="s">
        <v>641</v>
      </c>
      <c r="B7" s="645"/>
      <c r="C7" s="642"/>
      <c r="D7" s="642"/>
      <c r="E7" s="642"/>
      <c r="F7" s="642"/>
      <c r="G7" s="643" t="s">
        <v>642</v>
      </c>
      <c r="H7" s="3786"/>
      <c r="I7" s="3757"/>
      <c r="J7" s="3790"/>
      <c r="K7" s="3791"/>
      <c r="L7" s="3790"/>
      <c r="M7" s="3792"/>
      <c r="N7" s="3790"/>
      <c r="O7" s="3792"/>
      <c r="P7" s="3790"/>
      <c r="Q7" s="3791"/>
      <c r="R7" s="3786"/>
      <c r="S7" s="3757"/>
    </row>
    <row r="8" spans="1:19" x14ac:dyDescent="0.35">
      <c r="A8" s="938" t="s">
        <v>644</v>
      </c>
      <c r="B8" s="939"/>
      <c r="C8" s="940"/>
      <c r="D8" s="940"/>
      <c r="E8" s="940"/>
      <c r="F8" s="940"/>
      <c r="G8" s="1024" t="s">
        <v>644</v>
      </c>
      <c r="H8" s="3760">
        <f>I64</f>
        <v>0</v>
      </c>
      <c r="I8" s="3761"/>
      <c r="J8" s="3760">
        <f>K64</f>
        <v>0</v>
      </c>
      <c r="K8" s="3761"/>
      <c r="L8" s="3760">
        <f>M64</f>
        <v>0</v>
      </c>
      <c r="M8" s="3761"/>
      <c r="N8" s="3760">
        <f>O64</f>
        <v>0</v>
      </c>
      <c r="O8" s="3761"/>
      <c r="P8" s="3760">
        <f>Q64</f>
        <v>0</v>
      </c>
      <c r="Q8" s="3761"/>
      <c r="R8" s="3760">
        <f>S64</f>
        <v>0</v>
      </c>
      <c r="S8" s="3761"/>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689"/>
      <c r="B10" s="1390" t="s">
        <v>653</v>
      </c>
      <c r="C10" s="642"/>
      <c r="D10" s="642"/>
      <c r="E10" s="642"/>
      <c r="F10" s="642"/>
      <c r="G10" s="646"/>
      <c r="H10" s="942"/>
      <c r="I10" s="942"/>
      <c r="J10" s="942"/>
      <c r="K10" s="942"/>
      <c r="L10" s="942"/>
      <c r="M10" s="942"/>
      <c r="N10" s="942"/>
      <c r="O10" s="942"/>
      <c r="P10" s="942"/>
      <c r="Q10" s="942"/>
      <c r="R10" s="942"/>
      <c r="S10" s="942"/>
    </row>
    <row r="11" spans="1:19" hidden="1" x14ac:dyDescent="0.35">
      <c r="A11" s="689"/>
      <c r="B11" s="641" t="e">
        <f>#REF!</f>
        <v>#REF!</v>
      </c>
      <c r="C11" s="647" t="s">
        <v>654</v>
      </c>
      <c r="D11" s="642"/>
      <c r="E11" s="642"/>
      <c r="F11" s="642"/>
      <c r="G11" s="646"/>
      <c r="H11" s="942"/>
      <c r="I11" s="942"/>
      <c r="J11" s="942"/>
      <c r="K11" s="942"/>
      <c r="L11" s="942"/>
      <c r="M11" s="942"/>
      <c r="N11" s="942"/>
      <c r="O11" s="942"/>
      <c r="P11" s="942"/>
      <c r="Q11" s="942"/>
      <c r="R11" s="942"/>
      <c r="S11" s="942"/>
    </row>
    <row r="12" spans="1:19" hidden="1" x14ac:dyDescent="0.35">
      <c r="A12" s="689"/>
      <c r="B12" s="641" t="e">
        <f>#REF!</f>
        <v>#REF!</v>
      </c>
      <c r="C12" s="647" t="s">
        <v>654</v>
      </c>
      <c r="D12" s="642"/>
      <c r="E12" s="642"/>
      <c r="F12" s="642"/>
      <c r="G12" s="646"/>
      <c r="H12" s="942"/>
      <c r="I12" s="942"/>
      <c r="J12" s="942"/>
      <c r="K12" s="942"/>
      <c r="L12" s="942"/>
      <c r="M12" s="942"/>
      <c r="N12" s="942"/>
      <c r="O12" s="942"/>
      <c r="P12" s="942"/>
      <c r="Q12" s="942"/>
      <c r="R12" s="942"/>
      <c r="S12" s="942"/>
    </row>
    <row r="13" spans="1:19" hidden="1" x14ac:dyDescent="0.35">
      <c r="A13" s="689"/>
      <c r="B13" s="641" t="e">
        <f>#REF!</f>
        <v>#REF!</v>
      </c>
      <c r="C13" s="647" t="s">
        <v>654</v>
      </c>
      <c r="D13" s="642"/>
      <c r="E13" s="642"/>
      <c r="F13" s="642"/>
      <c r="G13" s="646"/>
      <c r="H13" s="942"/>
      <c r="I13" s="942"/>
      <c r="J13" s="942"/>
      <c r="K13" s="942"/>
      <c r="L13" s="942"/>
      <c r="M13" s="942"/>
      <c r="N13" s="942"/>
      <c r="O13" s="942"/>
      <c r="P13" s="942"/>
      <c r="Q13" s="942"/>
      <c r="R13" s="942"/>
      <c r="S13" s="942"/>
    </row>
    <row r="14" spans="1:19" hidden="1" x14ac:dyDescent="0.35">
      <c r="A14" s="689"/>
      <c r="B14" s="641" t="e">
        <f>#REF!</f>
        <v>#REF!</v>
      </c>
      <c r="C14" s="647" t="s">
        <v>654</v>
      </c>
      <c r="D14" s="642"/>
      <c r="E14" s="642"/>
      <c r="F14" s="642"/>
      <c r="G14" s="646"/>
      <c r="H14" s="942"/>
      <c r="I14" s="942"/>
      <c r="J14" s="942"/>
      <c r="K14" s="942"/>
      <c r="L14" s="942"/>
      <c r="M14" s="942"/>
      <c r="N14" s="942"/>
      <c r="O14" s="942"/>
      <c r="P14" s="942"/>
      <c r="Q14" s="942"/>
      <c r="R14" s="942"/>
      <c r="S14" s="942"/>
    </row>
    <row r="15" spans="1:19" hidden="1" x14ac:dyDescent="0.35">
      <c r="A15" s="689"/>
      <c r="B15" s="641" t="e">
        <f>#REF!</f>
        <v>#REF!</v>
      </c>
      <c r="C15" s="647" t="s">
        <v>654</v>
      </c>
      <c r="D15" s="642"/>
      <c r="E15" s="642"/>
      <c r="F15" s="642"/>
      <c r="G15" s="646"/>
      <c r="H15" s="942"/>
      <c r="I15" s="942"/>
      <c r="J15" s="942"/>
      <c r="K15" s="942"/>
      <c r="L15" s="942"/>
      <c r="M15" s="942"/>
      <c r="N15" s="942"/>
      <c r="O15" s="942"/>
      <c r="P15" s="942"/>
      <c r="Q15" s="942"/>
      <c r="R15" s="942"/>
      <c r="S15" s="942"/>
    </row>
    <row r="16" spans="1:19" hidden="1" x14ac:dyDescent="0.35">
      <c r="A16" s="689"/>
      <c r="B16" s="641" t="e">
        <f>#REF!</f>
        <v>#REF!</v>
      </c>
      <c r="C16" s="647" t="s">
        <v>654</v>
      </c>
      <c r="D16" s="642"/>
      <c r="E16" s="642"/>
      <c r="F16" s="642"/>
      <c r="G16" s="646"/>
      <c r="H16" s="942"/>
      <c r="I16" s="942"/>
      <c r="J16" s="942"/>
      <c r="K16" s="942"/>
      <c r="L16" s="942"/>
      <c r="M16" s="942"/>
      <c r="N16" s="942"/>
      <c r="O16" s="942"/>
      <c r="P16" s="942"/>
      <c r="Q16" s="942"/>
      <c r="R16" s="942"/>
      <c r="S16" s="942"/>
    </row>
    <row r="17" spans="1:19" hidden="1" x14ac:dyDescent="0.35">
      <c r="A17" s="689"/>
      <c r="B17" s="641" t="e">
        <f>#REF!</f>
        <v>#REF!</v>
      </c>
      <c r="C17" s="647" t="s">
        <v>654</v>
      </c>
      <c r="D17" s="642"/>
      <c r="E17" s="642"/>
      <c r="F17" s="642"/>
      <c r="G17" s="646"/>
      <c r="H17" s="942"/>
      <c r="I17" s="942"/>
      <c r="J17" s="942"/>
      <c r="K17" s="942"/>
      <c r="L17" s="942"/>
      <c r="M17" s="942"/>
      <c r="N17" s="942"/>
      <c r="O17" s="942"/>
      <c r="P17" s="942"/>
      <c r="Q17" s="942"/>
      <c r="R17" s="942"/>
      <c r="S17" s="942"/>
    </row>
    <row r="18" spans="1:19" hidden="1" x14ac:dyDescent="0.35">
      <c r="A18" s="689"/>
      <c r="B18" s="641" t="e">
        <f>#REF!</f>
        <v>#REF!</v>
      </c>
      <c r="C18" s="647" t="s">
        <v>654</v>
      </c>
      <c r="D18" s="642"/>
      <c r="E18" s="642"/>
      <c r="F18" s="642"/>
      <c r="G18" s="646"/>
      <c r="H18" s="942"/>
      <c r="I18" s="942"/>
      <c r="J18" s="942"/>
      <c r="K18" s="942"/>
      <c r="L18" s="942"/>
      <c r="M18" s="942"/>
      <c r="N18" s="942"/>
      <c r="O18" s="942"/>
      <c r="P18" s="942"/>
      <c r="Q18" s="942"/>
      <c r="R18" s="942"/>
      <c r="S18" s="942"/>
    </row>
    <row r="19" spans="1:19" hidden="1" x14ac:dyDescent="0.35">
      <c r="A19" s="689"/>
      <c r="B19" s="641" t="e">
        <f>#REF!</f>
        <v>#REF!</v>
      </c>
      <c r="C19" s="647" t="s">
        <v>654</v>
      </c>
      <c r="D19" s="642"/>
      <c r="E19" s="642"/>
      <c r="F19" s="642"/>
      <c r="G19" s="646"/>
      <c r="H19" s="942"/>
      <c r="I19" s="942"/>
      <c r="J19" s="942"/>
      <c r="K19" s="942"/>
      <c r="L19" s="942"/>
      <c r="M19" s="942"/>
      <c r="N19" s="942"/>
      <c r="O19" s="942"/>
      <c r="P19" s="942"/>
      <c r="Q19" s="942"/>
      <c r="R19" s="942"/>
      <c r="S19" s="942"/>
    </row>
    <row r="20" spans="1:19" x14ac:dyDescent="0.35">
      <c r="A20" s="689"/>
      <c r="B20" s="641"/>
      <c r="C20" s="647"/>
      <c r="D20" s="642"/>
      <c r="E20" s="642"/>
      <c r="F20" s="642"/>
      <c r="G20" s="646"/>
      <c r="H20" s="943"/>
      <c r="I20" s="942"/>
      <c r="J20" s="943"/>
      <c r="K20" s="942"/>
      <c r="L20" s="943"/>
      <c r="M20" s="942"/>
      <c r="N20" s="943"/>
      <c r="O20" s="942"/>
      <c r="P20" s="943"/>
      <c r="Q20" s="942"/>
      <c r="R20" s="943"/>
      <c r="S20" s="942"/>
    </row>
    <row r="21" spans="1:19" x14ac:dyDescent="0.35">
      <c r="A21" s="689"/>
      <c r="B21" s="648" t="s">
        <v>1527</v>
      </c>
      <c r="C21" s="647"/>
      <c r="D21" s="642"/>
      <c r="E21" s="642"/>
      <c r="F21" s="642"/>
      <c r="G21" s="646"/>
      <c r="H21" s="943"/>
      <c r="I21" s="942"/>
      <c r="J21" s="943"/>
      <c r="K21" s="942"/>
      <c r="L21" s="943"/>
      <c r="M21" s="942"/>
      <c r="N21" s="943"/>
      <c r="O21" s="942"/>
      <c r="P21" s="943"/>
      <c r="Q21" s="942"/>
      <c r="R21" s="943"/>
      <c r="S21" s="942"/>
    </row>
    <row r="22" spans="1:19" x14ac:dyDescent="0.35">
      <c r="A22" s="1391"/>
      <c r="B22" s="604" t="s">
        <v>657</v>
      </c>
      <c r="C22" s="647"/>
      <c r="D22" s="642"/>
      <c r="E22" s="642"/>
      <c r="F22" s="642"/>
      <c r="G22" s="646"/>
      <c r="H22" s="943"/>
      <c r="I22" s="1392"/>
      <c r="J22" s="943"/>
      <c r="K22" s="1392"/>
      <c r="L22" s="943"/>
      <c r="M22" s="1392"/>
      <c r="N22" s="943"/>
      <c r="O22" s="1392"/>
      <c r="P22" s="943"/>
      <c r="Q22" s="1392"/>
      <c r="R22" s="943"/>
      <c r="S22" s="1392"/>
    </row>
    <row r="23" spans="1:19" x14ac:dyDescent="0.35">
      <c r="A23" s="1391"/>
      <c r="B23" s="607" t="s">
        <v>658</v>
      </c>
      <c r="C23" s="647"/>
      <c r="D23" s="642"/>
      <c r="E23" s="642"/>
      <c r="F23" s="642"/>
      <c r="G23" s="646"/>
      <c r="H23" s="943"/>
      <c r="I23" s="1392"/>
      <c r="J23" s="943"/>
      <c r="K23" s="1392"/>
      <c r="L23" s="943"/>
      <c r="M23" s="1392"/>
      <c r="N23" s="943"/>
      <c r="O23" s="1392"/>
      <c r="P23" s="943"/>
      <c r="Q23" s="1393"/>
      <c r="R23" s="943"/>
      <c r="S23" s="1393"/>
    </row>
    <row r="24" spans="1:19" x14ac:dyDescent="0.35">
      <c r="A24" s="683"/>
      <c r="B24" s="1394" t="s">
        <v>659</v>
      </c>
      <c r="C24" s="642"/>
      <c r="D24" s="642"/>
      <c r="E24" s="642"/>
      <c r="F24" s="642"/>
      <c r="G24" s="646"/>
      <c r="H24" s="943"/>
      <c r="I24" s="1393"/>
      <c r="J24" s="943"/>
      <c r="K24" s="1393"/>
      <c r="L24" s="943"/>
      <c r="M24" s="1393"/>
      <c r="N24" s="943"/>
      <c r="O24" s="1392"/>
      <c r="P24" s="943"/>
      <c r="Q24" s="1392"/>
      <c r="R24" s="943"/>
      <c r="S24" s="1392"/>
    </row>
    <row r="25" spans="1:19" x14ac:dyDescent="0.35">
      <c r="A25" s="1391"/>
      <c r="B25" s="1395" t="s">
        <v>660</v>
      </c>
      <c r="C25" s="642"/>
      <c r="D25" s="642"/>
      <c r="E25" s="642"/>
      <c r="F25" s="642"/>
      <c r="G25" s="646"/>
      <c r="H25" s="943"/>
      <c r="I25" s="1393"/>
      <c r="J25" s="943"/>
      <c r="K25" s="1393"/>
      <c r="L25" s="943"/>
      <c r="M25" s="1393"/>
      <c r="N25" s="943"/>
      <c r="O25" s="1392"/>
      <c r="P25" s="943"/>
      <c r="Q25" s="1392"/>
      <c r="R25" s="943"/>
      <c r="S25" s="1392"/>
    </row>
    <row r="26" spans="1:19" x14ac:dyDescent="0.35">
      <c r="A26" s="683"/>
      <c r="B26" s="1395" t="s">
        <v>661</v>
      </c>
      <c r="C26" s="642"/>
      <c r="D26" s="642"/>
      <c r="E26" s="642"/>
      <c r="F26" s="642"/>
      <c r="G26" s="646"/>
      <c r="H26" s="943"/>
      <c r="I26" s="1393"/>
      <c r="J26" s="943"/>
      <c r="K26" s="1393"/>
      <c r="L26" s="943"/>
      <c r="M26" s="1393"/>
      <c r="N26" s="943"/>
      <c r="O26" s="1392"/>
      <c r="P26" s="943"/>
      <c r="Q26" s="1392"/>
      <c r="R26" s="943"/>
      <c r="S26" s="1392"/>
    </row>
    <row r="27" spans="1:19" x14ac:dyDescent="0.35">
      <c r="A27" s="1391"/>
      <c r="B27" s="1395" t="s">
        <v>662</v>
      </c>
      <c r="C27" s="642"/>
      <c r="D27" s="642"/>
      <c r="E27" s="642"/>
      <c r="F27" s="642"/>
      <c r="G27" s="646"/>
      <c r="H27" s="943"/>
      <c r="I27" s="1393"/>
      <c r="J27" s="943"/>
      <c r="K27" s="1393"/>
      <c r="L27" s="943"/>
      <c r="M27" s="1393"/>
      <c r="N27" s="943"/>
      <c r="O27" s="1392"/>
      <c r="P27" s="943"/>
      <c r="Q27" s="1392"/>
      <c r="R27" s="943"/>
      <c r="S27" s="1392"/>
    </row>
    <row r="28" spans="1:19" x14ac:dyDescent="0.35">
      <c r="A28" s="1391"/>
      <c r="B28" s="1395" t="s">
        <v>663</v>
      </c>
      <c r="C28" s="642"/>
      <c r="D28" s="642"/>
      <c r="E28" s="642"/>
      <c r="F28" s="642"/>
      <c r="G28" s="646"/>
      <c r="H28" s="943"/>
      <c r="I28" s="1393"/>
      <c r="J28" s="943"/>
      <c r="K28" s="1393"/>
      <c r="L28" s="943"/>
      <c r="M28" s="1393"/>
      <c r="N28" s="943"/>
      <c r="O28" s="1392"/>
      <c r="P28" s="943"/>
      <c r="Q28" s="1392"/>
      <c r="R28" s="943"/>
      <c r="S28" s="1392"/>
    </row>
    <row r="29" spans="1:19" x14ac:dyDescent="0.35">
      <c r="A29" s="1391"/>
      <c r="B29" s="1395" t="s">
        <v>742</v>
      </c>
      <c r="C29" s="642"/>
      <c r="D29" s="642"/>
      <c r="E29" s="642"/>
      <c r="F29" s="642"/>
      <c r="G29" s="646"/>
      <c r="H29" s="943"/>
      <c r="I29" s="1393"/>
      <c r="J29" s="943"/>
      <c r="K29" s="1393"/>
      <c r="L29" s="943"/>
      <c r="M29" s="1393"/>
      <c r="N29" s="943"/>
      <c r="O29" s="1392"/>
      <c r="P29" s="943"/>
      <c r="Q29" s="1392"/>
      <c r="R29" s="943"/>
      <c r="S29" s="1392"/>
    </row>
    <row r="30" spans="1:19" x14ac:dyDescent="0.35">
      <c r="A30" s="1391"/>
      <c r="B30" s="1396" t="s">
        <v>664</v>
      </c>
      <c r="C30" s="642"/>
      <c r="D30" s="642"/>
      <c r="E30" s="642"/>
      <c r="F30" s="642"/>
      <c r="G30" s="646"/>
      <c r="H30" s="943"/>
      <c r="I30" s="1393"/>
      <c r="J30" s="943"/>
      <c r="K30" s="1393"/>
      <c r="L30" s="943"/>
      <c r="M30" s="1393"/>
      <c r="N30" s="943"/>
      <c r="O30" s="1392"/>
      <c r="P30" s="943"/>
      <c r="Q30" s="1392"/>
      <c r="R30" s="943"/>
      <c r="S30" s="1392"/>
    </row>
    <row r="31" spans="1:19" x14ac:dyDescent="0.35">
      <c r="A31" s="1391"/>
      <c r="B31" s="1397" t="s">
        <v>665</v>
      </c>
      <c r="C31" s="650"/>
      <c r="D31" s="650"/>
      <c r="E31" s="650"/>
      <c r="F31" s="650"/>
      <c r="G31" s="651"/>
      <c r="H31" s="636"/>
      <c r="I31" s="1398"/>
      <c r="J31" s="636"/>
      <c r="K31" s="1398"/>
      <c r="L31" s="636"/>
      <c r="M31" s="1398"/>
      <c r="N31" s="636"/>
      <c r="O31" s="1399"/>
      <c r="P31" s="636"/>
      <c r="Q31" s="1399"/>
      <c r="R31" s="636"/>
      <c r="S31" s="1399"/>
    </row>
    <row r="32" spans="1:19" x14ac:dyDescent="0.35">
      <c r="A32" s="1391"/>
      <c r="B32" s="1377"/>
      <c r="C32" s="642"/>
      <c r="D32" s="642"/>
      <c r="E32" s="642"/>
      <c r="F32" s="654"/>
      <c r="G32" s="646"/>
      <c r="H32" s="943"/>
      <c r="I32" s="1393"/>
      <c r="J32" s="943"/>
      <c r="K32" s="1393"/>
      <c r="L32" s="943"/>
      <c r="M32" s="1393"/>
      <c r="N32" s="943"/>
      <c r="O32" s="1392"/>
      <c r="P32" s="943"/>
      <c r="Q32" s="1392"/>
      <c r="R32" s="943"/>
      <c r="S32" s="1392"/>
    </row>
    <row r="33" spans="1:19" x14ac:dyDescent="0.35">
      <c r="A33" s="1391"/>
      <c r="B33" s="1400"/>
      <c r="C33" s="642"/>
      <c r="D33" s="642"/>
      <c r="E33" s="642"/>
      <c r="F33" s="642"/>
      <c r="G33" s="646"/>
      <c r="H33" s="943"/>
      <c r="I33" s="1393"/>
      <c r="J33" s="943"/>
      <c r="K33" s="1393"/>
      <c r="L33" s="943"/>
      <c r="M33" s="1393"/>
      <c r="N33" s="943"/>
      <c r="O33" s="1392"/>
      <c r="P33" s="943"/>
      <c r="Q33" s="1392"/>
      <c r="R33" s="943"/>
      <c r="S33" s="1392"/>
    </row>
    <row r="34" spans="1:19" x14ac:dyDescent="0.35">
      <c r="A34" s="1391"/>
      <c r="B34" s="1192" t="s">
        <v>1529</v>
      </c>
      <c r="C34" s="642"/>
      <c r="D34" s="642"/>
      <c r="E34" s="642"/>
      <c r="F34" s="642"/>
      <c r="G34" s="646"/>
      <c r="H34" s="943"/>
      <c r="I34" s="1393"/>
      <c r="J34" s="943"/>
      <c r="K34" s="1393"/>
      <c r="L34" s="943"/>
      <c r="M34" s="1393"/>
      <c r="N34" s="943"/>
      <c r="O34" s="1392"/>
      <c r="P34" s="943"/>
      <c r="Q34" s="1392"/>
      <c r="R34" s="943"/>
      <c r="S34" s="1392"/>
    </row>
    <row r="35" spans="1:19" x14ac:dyDescent="0.35">
      <c r="A35" s="1391"/>
      <c r="B35" s="1193" t="s">
        <v>1530</v>
      </c>
      <c r="C35" s="642"/>
      <c r="D35" s="642"/>
      <c r="E35" s="642"/>
      <c r="F35" s="642"/>
      <c r="G35" s="646"/>
      <c r="H35" s="943"/>
      <c r="I35" s="1393"/>
      <c r="J35" s="943"/>
      <c r="K35" s="1393"/>
      <c r="L35" s="943"/>
      <c r="M35" s="1393"/>
      <c r="N35" s="943"/>
      <c r="O35" s="1392"/>
      <c r="P35" s="943"/>
      <c r="Q35" s="1392"/>
      <c r="R35" s="943"/>
      <c r="S35" s="1392"/>
    </row>
    <row r="36" spans="1:19" x14ac:dyDescent="0.35">
      <c r="A36" s="1391"/>
      <c r="B36" s="1193" t="s">
        <v>1531</v>
      </c>
      <c r="C36" s="642"/>
      <c r="D36" s="642"/>
      <c r="E36" s="642"/>
      <c r="F36" s="642"/>
      <c r="G36" s="646"/>
      <c r="H36" s="943"/>
      <c r="I36" s="1393"/>
      <c r="J36" s="943"/>
      <c r="K36" s="1393"/>
      <c r="L36" s="943"/>
      <c r="M36" s="1393"/>
      <c r="N36" s="943"/>
      <c r="O36" s="1392"/>
      <c r="P36" s="943"/>
      <c r="Q36" s="1392"/>
      <c r="R36" s="943"/>
      <c r="S36" s="1392"/>
    </row>
    <row r="37" spans="1:19" x14ac:dyDescent="0.35">
      <c r="A37" s="1391"/>
      <c r="B37" s="1193" t="s">
        <v>1532</v>
      </c>
      <c r="C37" s="642"/>
      <c r="D37" s="642"/>
      <c r="E37" s="642"/>
      <c r="F37" s="642"/>
      <c r="G37" s="646"/>
      <c r="H37" s="943"/>
      <c r="I37" s="1393"/>
      <c r="J37" s="943" t="s">
        <v>669</v>
      </c>
      <c r="K37" s="1393"/>
      <c r="L37" s="943"/>
      <c r="M37" s="1393"/>
      <c r="N37" s="943"/>
      <c r="O37" s="1392"/>
      <c r="P37" s="943"/>
      <c r="Q37" s="1392"/>
      <c r="R37" s="943"/>
      <c r="S37" s="1392"/>
    </row>
    <row r="38" spans="1:19" x14ac:dyDescent="0.35">
      <c r="A38" s="1391"/>
      <c r="B38" s="1193"/>
      <c r="C38" s="642"/>
      <c r="D38" s="642"/>
      <c r="E38" s="642"/>
      <c r="F38" s="642"/>
      <c r="G38" s="646"/>
      <c r="H38" s="943"/>
      <c r="I38" s="1393"/>
      <c r="J38" s="943"/>
      <c r="K38" s="1393"/>
      <c r="L38" s="943"/>
      <c r="M38" s="1393"/>
      <c r="N38" s="943"/>
      <c r="O38" s="1392"/>
      <c r="P38" s="943"/>
      <c r="Q38" s="1392"/>
      <c r="R38" s="943"/>
      <c r="S38" s="1392"/>
    </row>
    <row r="39" spans="1:19" x14ac:dyDescent="0.35">
      <c r="A39" s="1391"/>
      <c r="B39" s="1193" t="s">
        <v>1533</v>
      </c>
      <c r="C39" s="642"/>
      <c r="D39" s="642"/>
      <c r="E39" s="642"/>
      <c r="F39" s="642"/>
      <c r="G39" s="646"/>
      <c r="H39" s="943"/>
      <c r="I39" s="1393"/>
      <c r="J39" s="943"/>
      <c r="K39" s="1393"/>
      <c r="L39" s="943"/>
      <c r="M39" s="1393"/>
      <c r="N39" s="943"/>
      <c r="O39" s="1392"/>
      <c r="P39" s="943"/>
      <c r="Q39" s="1392"/>
      <c r="R39" s="943"/>
      <c r="S39" s="1392"/>
    </row>
    <row r="40" spans="1:19" x14ac:dyDescent="0.35">
      <c r="A40" s="1391"/>
      <c r="B40" s="1193" t="s">
        <v>1531</v>
      </c>
      <c r="C40" s="642"/>
      <c r="D40" s="642"/>
      <c r="E40" s="642"/>
      <c r="F40" s="642"/>
      <c r="G40" s="646"/>
      <c r="H40" s="943"/>
      <c r="I40" s="1393"/>
      <c r="J40" s="943"/>
      <c r="K40" s="1393"/>
      <c r="L40" s="943"/>
      <c r="M40" s="1393"/>
      <c r="N40" s="943"/>
      <c r="O40" s="1392"/>
      <c r="P40" s="943"/>
      <c r="Q40" s="1392"/>
      <c r="R40" s="943"/>
      <c r="S40" s="1392"/>
    </row>
    <row r="41" spans="1:19" x14ac:dyDescent="0.35">
      <c r="A41" s="1391"/>
      <c r="B41" s="1193" t="s">
        <v>1532</v>
      </c>
      <c r="C41" s="642"/>
      <c r="D41" s="642"/>
      <c r="E41" s="642"/>
      <c r="F41" s="642"/>
      <c r="G41" s="646"/>
      <c r="H41" s="943"/>
      <c r="I41" s="1393"/>
      <c r="J41" s="943"/>
      <c r="K41" s="1393"/>
      <c r="L41" s="943"/>
      <c r="M41" s="1393"/>
      <c r="N41" s="943"/>
      <c r="O41" s="1392"/>
      <c r="P41" s="943"/>
      <c r="Q41" s="1392"/>
      <c r="R41" s="943"/>
      <c r="S41" s="1392"/>
    </row>
    <row r="42" spans="1:19" x14ac:dyDescent="0.35">
      <c r="A42" s="1391"/>
      <c r="B42" s="1193"/>
      <c r="C42" s="642"/>
      <c r="D42" s="642"/>
      <c r="E42" s="642"/>
      <c r="F42" s="642"/>
      <c r="G42" s="646"/>
      <c r="H42" s="943"/>
      <c r="I42" s="1393"/>
      <c r="J42" s="943"/>
      <c r="K42" s="1393"/>
      <c r="L42" s="943"/>
      <c r="M42" s="1393"/>
      <c r="N42" s="943"/>
      <c r="O42" s="1392"/>
      <c r="P42" s="943"/>
      <c r="Q42" s="1392"/>
      <c r="R42" s="943"/>
      <c r="S42" s="1392"/>
    </row>
    <row r="43" spans="1:19" x14ac:dyDescent="0.35">
      <c r="A43" s="1391"/>
      <c r="B43" s="1192" t="s">
        <v>1534</v>
      </c>
      <c r="C43" s="642"/>
      <c r="D43" s="642"/>
      <c r="E43" s="642"/>
      <c r="F43" s="642"/>
      <c r="G43" s="646"/>
      <c r="H43" s="943"/>
      <c r="I43" s="1393"/>
      <c r="J43" s="943"/>
      <c r="K43" s="1393"/>
      <c r="L43" s="943"/>
      <c r="M43" s="1393"/>
      <c r="N43" s="943"/>
      <c r="O43" s="1392"/>
      <c r="P43" s="943"/>
      <c r="Q43" s="1392"/>
      <c r="R43" s="943"/>
      <c r="S43" s="1392"/>
    </row>
    <row r="44" spans="1:19" x14ac:dyDescent="0.35">
      <c r="A44" s="1391"/>
      <c r="B44" s="1193" t="s">
        <v>1535</v>
      </c>
      <c r="C44" s="642"/>
      <c r="D44" s="642"/>
      <c r="E44" s="642"/>
      <c r="F44" s="642"/>
      <c r="G44" s="646"/>
      <c r="H44" s="943"/>
      <c r="I44" s="1393"/>
      <c r="J44" s="943"/>
      <c r="K44" s="1393"/>
      <c r="L44" s="943"/>
      <c r="M44" s="1393"/>
      <c r="N44" s="943"/>
      <c r="O44" s="1392"/>
      <c r="P44" s="943"/>
      <c r="Q44" s="1392"/>
      <c r="R44" s="943"/>
      <c r="S44" s="1392"/>
    </row>
    <row r="45" spans="1:19" x14ac:dyDescent="0.35">
      <c r="A45" s="1391"/>
      <c r="B45" s="1193" t="s">
        <v>1536</v>
      </c>
      <c r="C45" s="642"/>
      <c r="D45" s="642"/>
      <c r="E45" s="642"/>
      <c r="F45" s="642"/>
      <c r="G45" s="646"/>
      <c r="H45" s="943"/>
      <c r="I45" s="1393"/>
      <c r="J45" s="943"/>
      <c r="K45" s="1393"/>
      <c r="L45" s="943"/>
      <c r="M45" s="1393"/>
      <c r="N45" s="943"/>
      <c r="O45" s="1392"/>
      <c r="P45" s="943"/>
      <c r="Q45" s="1392"/>
      <c r="R45" s="943"/>
      <c r="S45" s="1392"/>
    </row>
    <row r="46" spans="1:19" x14ac:dyDescent="0.35">
      <c r="A46" s="1391"/>
      <c r="B46" s="1193"/>
      <c r="C46" s="642"/>
      <c r="D46" s="642"/>
      <c r="E46" s="642"/>
      <c r="F46" s="642"/>
      <c r="G46" s="646"/>
      <c r="H46" s="943"/>
      <c r="I46" s="1393"/>
      <c r="J46" s="943"/>
      <c r="K46" s="1393"/>
      <c r="L46" s="943"/>
      <c r="M46" s="1393"/>
      <c r="N46" s="943"/>
      <c r="O46" s="1392"/>
      <c r="P46" s="943"/>
      <c r="Q46" s="1392"/>
      <c r="R46" s="943"/>
      <c r="S46" s="1392"/>
    </row>
    <row r="47" spans="1:19" x14ac:dyDescent="0.35">
      <c r="A47" s="1391"/>
      <c r="B47" s="1192" t="s">
        <v>1537</v>
      </c>
      <c r="C47" s="642"/>
      <c r="D47" s="642"/>
      <c r="E47" s="642"/>
      <c r="F47" s="642"/>
      <c r="G47" s="646"/>
      <c r="H47" s="943"/>
      <c r="I47" s="1393"/>
      <c r="J47" s="943"/>
      <c r="K47" s="1393"/>
      <c r="L47" s="943"/>
      <c r="M47" s="1393"/>
      <c r="N47" s="943"/>
      <c r="O47" s="1392"/>
      <c r="P47" s="943"/>
      <c r="Q47" s="1392"/>
      <c r="R47" s="943"/>
      <c r="S47" s="1392"/>
    </row>
    <row r="48" spans="1:19" x14ac:dyDescent="0.35">
      <c r="A48" s="1391"/>
      <c r="B48" s="1193" t="s">
        <v>1538</v>
      </c>
      <c r="C48" s="642"/>
      <c r="D48" s="642"/>
      <c r="E48" s="642"/>
      <c r="F48" s="642"/>
      <c r="G48" s="646"/>
      <c r="H48" s="943"/>
      <c r="I48" s="1393"/>
      <c r="J48" s="943"/>
      <c r="K48" s="1393"/>
      <c r="L48" s="943"/>
      <c r="M48" s="1393"/>
      <c r="N48" s="943"/>
      <c r="O48" s="1392"/>
      <c r="P48" s="943"/>
      <c r="Q48" s="1392"/>
      <c r="R48" s="943"/>
      <c r="S48" s="1392"/>
    </row>
    <row r="49" spans="1:19" x14ac:dyDescent="0.35">
      <c r="A49" s="1391"/>
      <c r="B49" s="1193" t="s">
        <v>1539</v>
      </c>
      <c r="C49" s="642"/>
      <c r="D49" s="642"/>
      <c r="E49" s="642"/>
      <c r="F49" s="642"/>
      <c r="G49" s="646"/>
      <c r="H49" s="943"/>
      <c r="I49" s="1393"/>
      <c r="J49" s="943"/>
      <c r="K49" s="1393"/>
      <c r="L49" s="943"/>
      <c r="M49" s="1393"/>
      <c r="N49" s="943"/>
      <c r="O49" s="1392"/>
      <c r="P49" s="943"/>
      <c r="Q49" s="1392"/>
      <c r="R49" s="943"/>
      <c r="S49" s="1392"/>
    </row>
    <row r="50" spans="1:19" x14ac:dyDescent="0.35">
      <c r="A50" s="1391"/>
      <c r="B50" s="1193"/>
      <c r="C50" s="642"/>
      <c r="D50" s="642"/>
      <c r="E50" s="642"/>
      <c r="F50" s="642"/>
      <c r="G50" s="646"/>
      <c r="H50" s="943"/>
      <c r="I50" s="1393"/>
      <c r="J50" s="943"/>
      <c r="K50" s="1393"/>
      <c r="L50" s="943"/>
      <c r="M50" s="1393"/>
      <c r="N50" s="943"/>
      <c r="O50" s="1392"/>
      <c r="P50" s="943"/>
      <c r="Q50" s="1392"/>
      <c r="R50" s="943"/>
      <c r="S50" s="1392"/>
    </row>
    <row r="51" spans="1:19" x14ac:dyDescent="0.35">
      <c r="A51" s="1391"/>
      <c r="B51" s="1192" t="s">
        <v>1540</v>
      </c>
      <c r="C51" s="642"/>
      <c r="D51" s="642"/>
      <c r="E51" s="642"/>
      <c r="F51" s="642"/>
      <c r="G51" s="646"/>
      <c r="H51" s="943"/>
      <c r="I51" s="1393"/>
      <c r="J51" s="943"/>
      <c r="K51" s="1393"/>
      <c r="L51" s="943"/>
      <c r="M51" s="1393"/>
      <c r="N51" s="943"/>
      <c r="O51" s="1392"/>
      <c r="P51" s="943"/>
      <c r="Q51" s="1392"/>
      <c r="R51" s="943"/>
      <c r="S51" s="1392"/>
    </row>
    <row r="52" spans="1:19" x14ac:dyDescent="0.35">
      <c r="A52" s="1391"/>
      <c r="B52" s="1193" t="s">
        <v>1541</v>
      </c>
      <c r="C52" s="642"/>
      <c r="D52" s="642"/>
      <c r="E52" s="642"/>
      <c r="F52" s="642"/>
      <c r="G52" s="646"/>
      <c r="H52" s="943"/>
      <c r="I52" s="1393"/>
      <c r="J52" s="943"/>
      <c r="K52" s="1393"/>
      <c r="L52" s="943"/>
      <c r="M52" s="1393"/>
      <c r="N52" s="943"/>
      <c r="O52" s="1392"/>
      <c r="P52" s="943"/>
      <c r="Q52" s="1392"/>
      <c r="R52" s="943"/>
      <c r="S52" s="1392"/>
    </row>
    <row r="53" spans="1:19" x14ac:dyDescent="0.35">
      <c r="A53" s="1391"/>
      <c r="B53" s="1193" t="s">
        <v>1542</v>
      </c>
      <c r="C53" s="642"/>
      <c r="D53" s="642"/>
      <c r="E53" s="642"/>
      <c r="F53" s="642"/>
      <c r="G53" s="646"/>
      <c r="H53" s="943"/>
      <c r="I53" s="1393"/>
      <c r="J53" s="943"/>
      <c r="K53" s="1393"/>
      <c r="L53" s="943"/>
      <c r="M53" s="1393"/>
      <c r="N53" s="943"/>
      <c r="O53" s="1392"/>
      <c r="P53" s="943"/>
      <c r="Q53" s="1392"/>
      <c r="R53" s="943"/>
      <c r="S53" s="1392"/>
    </row>
    <row r="54" spans="1:19" x14ac:dyDescent="0.35">
      <c r="A54" s="1391"/>
      <c r="B54" s="1193" t="s">
        <v>1543</v>
      </c>
      <c r="C54" s="642"/>
      <c r="D54" s="642"/>
      <c r="E54" s="642"/>
      <c r="F54" s="642"/>
      <c r="G54" s="646"/>
      <c r="H54" s="943"/>
      <c r="I54" s="1393"/>
      <c r="J54" s="943"/>
      <c r="K54" s="1393"/>
      <c r="L54" s="943"/>
      <c r="M54" s="1393"/>
      <c r="N54" s="943"/>
      <c r="O54" s="1392"/>
      <c r="P54" s="943"/>
      <c r="Q54" s="1392"/>
      <c r="R54" s="943"/>
      <c r="S54" s="1392"/>
    </row>
    <row r="55" spans="1:19" x14ac:dyDescent="0.35">
      <c r="A55" s="1391"/>
      <c r="B55" s="1193"/>
      <c r="C55" s="642"/>
      <c r="D55" s="642"/>
      <c r="E55" s="642"/>
      <c r="F55" s="642"/>
      <c r="G55" s="646"/>
      <c r="H55" s="943"/>
      <c r="I55" s="1393"/>
      <c r="J55" s="943"/>
      <c r="K55" s="1393"/>
      <c r="L55" s="943"/>
      <c r="M55" s="1393"/>
      <c r="N55" s="943"/>
      <c r="O55" s="1392"/>
      <c r="P55" s="943"/>
      <c r="Q55" s="1392"/>
      <c r="R55" s="943"/>
      <c r="S55" s="1392"/>
    </row>
    <row r="56" spans="1:19" x14ac:dyDescent="0.35">
      <c r="A56" s="1391"/>
      <c r="B56" s="1193"/>
      <c r="C56" s="642"/>
      <c r="D56" s="642"/>
      <c r="E56" s="642"/>
      <c r="F56" s="642"/>
      <c r="G56" s="646"/>
      <c r="H56" s="943"/>
      <c r="I56" s="1393"/>
      <c r="J56" s="943"/>
      <c r="K56" s="1393"/>
      <c r="L56" s="943"/>
      <c r="M56" s="1393"/>
      <c r="N56" s="943"/>
      <c r="O56" s="1392"/>
      <c r="P56" s="943"/>
      <c r="Q56" s="1392"/>
      <c r="R56" s="943"/>
      <c r="S56" s="1392"/>
    </row>
    <row r="57" spans="1:19" x14ac:dyDescent="0.35">
      <c r="A57" s="1391"/>
      <c r="B57" s="1193"/>
      <c r="C57" s="642"/>
      <c r="D57" s="642"/>
      <c r="E57" s="642"/>
      <c r="F57" s="642"/>
      <c r="G57" s="646"/>
      <c r="H57" s="943"/>
      <c r="I57" s="1393"/>
      <c r="J57" s="943"/>
      <c r="K57" s="1393"/>
      <c r="L57" s="943"/>
      <c r="M57" s="1393"/>
      <c r="N57" s="943"/>
      <c r="O57" s="1392"/>
      <c r="P57" s="943"/>
      <c r="Q57" s="1392"/>
      <c r="R57" s="943"/>
      <c r="S57" s="1392"/>
    </row>
    <row r="58" spans="1:19" x14ac:dyDescent="0.35">
      <c r="A58" s="1391"/>
      <c r="B58" s="1193"/>
      <c r="C58" s="642"/>
      <c r="D58" s="642"/>
      <c r="E58" s="642"/>
      <c r="F58" s="642"/>
      <c r="G58" s="646"/>
      <c r="H58" s="943"/>
      <c r="I58" s="1393"/>
      <c r="J58" s="943"/>
      <c r="K58" s="1393"/>
      <c r="L58" s="943"/>
      <c r="M58" s="1393"/>
      <c r="N58" s="943"/>
      <c r="O58" s="1392"/>
      <c r="P58" s="943"/>
      <c r="Q58" s="1392"/>
      <c r="R58" s="943"/>
      <c r="S58" s="1392"/>
    </row>
    <row r="59" spans="1:19" x14ac:dyDescent="0.35">
      <c r="A59" s="1391"/>
      <c r="B59" s="1193"/>
      <c r="C59" s="642"/>
      <c r="D59" s="642"/>
      <c r="E59" s="642"/>
      <c r="F59" s="642"/>
      <c r="G59" s="646"/>
      <c r="H59" s="943"/>
      <c r="I59" s="1393"/>
      <c r="J59" s="943"/>
      <c r="K59" s="1393"/>
      <c r="L59" s="943"/>
      <c r="M59" s="1393"/>
      <c r="N59" s="943"/>
      <c r="O59" s="1392"/>
      <c r="P59" s="943"/>
      <c r="Q59" s="1392"/>
      <c r="R59" s="943"/>
      <c r="S59" s="1392"/>
    </row>
    <row r="60" spans="1:19" x14ac:dyDescent="0.35">
      <c r="A60" s="14"/>
      <c r="B60" s="15"/>
      <c r="C60" s="16"/>
      <c r="D60" s="16"/>
      <c r="E60" s="17"/>
      <c r="F60" s="18" t="s">
        <v>715</v>
      </c>
      <c r="G60" s="19"/>
      <c r="H60" s="20"/>
      <c r="I60" s="50">
        <f>SUM(I23:I59)</f>
        <v>0</v>
      </c>
      <c r="J60" s="20"/>
      <c r="K60" s="50">
        <f>SUM(K23:K59)</f>
        <v>0</v>
      </c>
      <c r="L60" s="20"/>
      <c r="M60" s="50">
        <f>SUM(M22:M59)</f>
        <v>0</v>
      </c>
      <c r="N60" s="20"/>
      <c r="O60" s="50">
        <f>SUM(O22:O59)</f>
        <v>0</v>
      </c>
      <c r="P60" s="20"/>
      <c r="Q60" s="50">
        <f>SUM(Q23:Q59)</f>
        <v>0</v>
      </c>
      <c r="R60" s="20"/>
      <c r="S60" s="50">
        <f>SUM(S23:S59)</f>
        <v>0</v>
      </c>
    </row>
    <row r="61" spans="1:19" x14ac:dyDescent="0.35">
      <c r="A61" s="684"/>
      <c r="B61" s="655"/>
      <c r="C61" s="656"/>
      <c r="D61" s="656"/>
      <c r="E61" s="657"/>
      <c r="F61" s="658" t="s">
        <v>716</v>
      </c>
      <c r="G61" s="659"/>
      <c r="H61" s="1401">
        <v>0</v>
      </c>
      <c r="I61" s="1402"/>
      <c r="J61" s="1401">
        <v>0</v>
      </c>
      <c r="K61" s="1402"/>
      <c r="L61" s="1401">
        <v>0</v>
      </c>
      <c r="M61" s="1402"/>
      <c r="N61" s="1401">
        <v>0</v>
      </c>
      <c r="O61" s="1402"/>
      <c r="P61" s="1401">
        <v>0</v>
      </c>
      <c r="Q61" s="1402"/>
      <c r="R61" s="1401">
        <v>0</v>
      </c>
      <c r="S61" s="1402"/>
    </row>
    <row r="62" spans="1:19" x14ac:dyDescent="0.35">
      <c r="A62" s="684"/>
      <c r="B62" s="655"/>
      <c r="C62" s="656"/>
      <c r="D62" s="656"/>
      <c r="E62" s="657"/>
      <c r="F62" s="658" t="s">
        <v>717</v>
      </c>
      <c r="G62" s="659"/>
      <c r="H62" s="1403"/>
      <c r="I62" s="1404">
        <f>H61*$I$60</f>
        <v>0</v>
      </c>
      <c r="J62" s="1403"/>
      <c r="K62" s="1404">
        <f>J61*$K$60</f>
        <v>0</v>
      </c>
      <c r="L62" s="1403"/>
      <c r="M62" s="1404">
        <f>L61*$M$60</f>
        <v>0</v>
      </c>
      <c r="N62" s="1403"/>
      <c r="O62" s="1404">
        <f>N61*$O$60</f>
        <v>0</v>
      </c>
      <c r="P62" s="1403"/>
      <c r="Q62" s="1404">
        <f>P61*$Q$60</f>
        <v>0</v>
      </c>
      <c r="R62" s="1403"/>
      <c r="S62" s="1404">
        <f>R61*S60</f>
        <v>0</v>
      </c>
    </row>
    <row r="63" spans="1:19" x14ac:dyDescent="0.35">
      <c r="A63" s="684"/>
      <c r="B63" s="655"/>
      <c r="C63" s="656"/>
      <c r="D63" s="656"/>
      <c r="E63" s="657"/>
      <c r="F63" s="658"/>
      <c r="G63" s="659"/>
      <c r="H63" s="1405"/>
      <c r="I63" s="1406"/>
      <c r="J63" s="1403"/>
      <c r="K63" s="1407"/>
      <c r="L63" s="1403"/>
      <c r="M63" s="1407"/>
      <c r="N63" s="1403"/>
      <c r="O63" s="1407"/>
      <c r="P63" s="1403"/>
      <c r="Q63" s="1407"/>
      <c r="R63" s="1403"/>
      <c r="S63" s="1407"/>
    </row>
    <row r="64" spans="1:19" x14ac:dyDescent="0.35">
      <c r="A64" s="684"/>
      <c r="B64" s="655"/>
      <c r="C64" s="656"/>
      <c r="D64" s="656"/>
      <c r="E64" s="657"/>
      <c r="F64" s="658" t="s">
        <v>718</v>
      </c>
      <c r="G64" s="659"/>
      <c r="H64" s="1408"/>
      <c r="I64" s="1406">
        <f>SUM(I60:I63)</f>
        <v>0</v>
      </c>
      <c r="J64" s="1408"/>
      <c r="K64" s="1406">
        <f>SUM(K60:K62)</f>
        <v>0</v>
      </c>
      <c r="L64" s="1408"/>
      <c r="M64" s="1406">
        <f>SUM(M60:M62)</f>
        <v>0</v>
      </c>
      <c r="N64" s="1408"/>
      <c r="O64" s="1406">
        <f>SUM(O60:O62)</f>
        <v>0</v>
      </c>
      <c r="P64" s="1408"/>
      <c r="Q64" s="1406">
        <f>SUM(Q60:Q62)</f>
        <v>0</v>
      </c>
      <c r="R64" s="1408"/>
      <c r="S64" s="1406">
        <f>SUM(S60:S62)</f>
        <v>0</v>
      </c>
    </row>
    <row r="65" spans="1:19" x14ac:dyDescent="0.35">
      <c r="A65" s="684"/>
      <c r="B65" s="655"/>
      <c r="C65" s="656"/>
      <c r="D65" s="656"/>
      <c r="E65" s="657"/>
      <c r="F65" s="1409" t="s">
        <v>719</v>
      </c>
      <c r="G65" s="661"/>
      <c r="H65" s="1410"/>
      <c r="I65" s="1411" t="e">
        <f>I64/#REF!</f>
        <v>#REF!</v>
      </c>
      <c r="J65" s="1410"/>
      <c r="K65" s="1411" t="e">
        <f>K64/#REF!</f>
        <v>#REF!</v>
      </c>
      <c r="L65" s="1410"/>
      <c r="M65" s="1411" t="e">
        <f>M64/#REF!</f>
        <v>#REF!</v>
      </c>
      <c r="N65" s="1410"/>
      <c r="O65" s="1411" t="e">
        <f>O64/#REF!</f>
        <v>#REF!</v>
      </c>
      <c r="P65" s="1410"/>
      <c r="Q65" s="1411" t="e">
        <f>Q64/#REF!</f>
        <v>#REF!</v>
      </c>
      <c r="R65" s="1410"/>
      <c r="S65" s="1411" t="e">
        <f>S64/#REF!</f>
        <v>#REF!</v>
      </c>
    </row>
    <row r="66" spans="1:19" x14ac:dyDescent="0.35">
      <c r="A66" s="684"/>
      <c r="B66" s="655"/>
      <c r="C66" s="656"/>
      <c r="D66" s="656"/>
      <c r="E66" s="657"/>
      <c r="F66" s="1409" t="s">
        <v>720</v>
      </c>
      <c r="G66" s="662"/>
      <c r="H66" s="1410"/>
      <c r="I66" s="1411" t="e">
        <f>I64/#REF!</f>
        <v>#REF!</v>
      </c>
      <c r="J66" s="1410"/>
      <c r="K66" s="1411" t="e">
        <f>K64/#REF!</f>
        <v>#REF!</v>
      </c>
      <c r="L66" s="1410"/>
      <c r="M66" s="1411" t="e">
        <f>M64/#REF!</f>
        <v>#REF!</v>
      </c>
      <c r="N66" s="1410"/>
      <c r="O66" s="1411" t="e">
        <f>O64/#REF!</f>
        <v>#REF!</v>
      </c>
      <c r="P66" s="1410"/>
      <c r="Q66" s="1411" t="e">
        <f>Q64/#REF!</f>
        <v>#REF!</v>
      </c>
      <c r="R66" s="1410"/>
      <c r="S66" s="1411" t="e">
        <f>S64/#REF!</f>
        <v>#REF!</v>
      </c>
    </row>
    <row r="67" spans="1:19" x14ac:dyDescent="0.35">
      <c r="A67" s="684"/>
      <c r="B67" s="655"/>
      <c r="C67" s="656"/>
      <c r="D67" s="656"/>
      <c r="E67" s="657"/>
      <c r="F67" s="658"/>
      <c r="G67" s="663"/>
      <c r="H67" s="1412"/>
      <c r="I67" s="1413"/>
      <c r="J67" s="1414"/>
      <c r="K67" s="1414"/>
      <c r="L67" s="1414"/>
      <c r="M67" s="1414"/>
      <c r="N67" s="1414"/>
      <c r="O67" s="1414"/>
      <c r="P67" s="1414"/>
      <c r="Q67" s="1414"/>
      <c r="R67" s="1414"/>
      <c r="S67" s="1414"/>
    </row>
    <row r="68" spans="1:19" x14ac:dyDescent="0.35">
      <c r="A68" s="3764" t="s">
        <v>721</v>
      </c>
      <c r="B68" s="3765"/>
      <c r="C68" s="12"/>
      <c r="D68" s="12"/>
      <c r="E68" s="12"/>
      <c r="F68" s="12"/>
      <c r="G68" s="13"/>
      <c r="H68" s="21"/>
      <c r="I68" s="21"/>
      <c r="J68" s="21"/>
      <c r="K68" s="21"/>
      <c r="L68" s="21"/>
      <c r="M68" s="21"/>
      <c r="N68" s="21"/>
      <c r="O68" s="21"/>
      <c r="P68" s="21"/>
      <c r="Q68" s="21"/>
      <c r="R68" s="21"/>
      <c r="S68" s="21"/>
    </row>
    <row r="69" spans="1:19" x14ac:dyDescent="0.35">
      <c r="A69" s="1382"/>
      <c r="B69" s="641"/>
      <c r="C69" s="1383"/>
      <c r="D69" s="1383"/>
      <c r="E69" s="1383"/>
      <c r="F69" s="1383"/>
      <c r="G69" s="1384"/>
      <c r="H69" s="1385"/>
      <c r="I69" s="1385"/>
      <c r="J69" s="1385"/>
      <c r="K69" s="1385"/>
      <c r="L69" s="1385"/>
      <c r="M69" s="1385"/>
      <c r="N69" s="1385"/>
      <c r="O69" s="1385"/>
      <c r="P69" s="1385"/>
      <c r="Q69" s="1385"/>
      <c r="R69" s="1385"/>
      <c r="S69" s="1385"/>
    </row>
    <row r="70" spans="1:19" x14ac:dyDescent="0.35">
      <c r="A70" s="1382"/>
      <c r="B70" s="641"/>
      <c r="C70" s="1383"/>
      <c r="D70" s="1383"/>
      <c r="E70" s="1383"/>
      <c r="F70" s="1383"/>
      <c r="G70" s="1384"/>
      <c r="H70" s="1385"/>
      <c r="I70" s="1385"/>
      <c r="J70" s="1385"/>
      <c r="K70" s="1385"/>
      <c r="L70" s="1385"/>
      <c r="M70" s="1385"/>
      <c r="N70" s="1385"/>
      <c r="O70" s="1385"/>
      <c r="P70" s="1385"/>
      <c r="Q70" s="1385"/>
      <c r="R70" s="1385"/>
      <c r="S70" s="1385"/>
    </row>
    <row r="71" spans="1:19" x14ac:dyDescent="0.35">
      <c r="A71" s="1382"/>
      <c r="B71" s="641"/>
      <c r="C71" s="1383"/>
      <c r="D71" s="1383"/>
      <c r="E71" s="1383"/>
      <c r="F71" s="1383"/>
      <c r="G71" s="1384"/>
      <c r="H71" s="1385"/>
      <c r="I71" s="1385"/>
      <c r="J71" s="1385"/>
      <c r="K71" s="1385"/>
      <c r="L71" s="1385"/>
      <c r="M71" s="1385"/>
      <c r="N71" s="1385"/>
      <c r="O71" s="1385"/>
      <c r="P71" s="1385"/>
      <c r="Q71" s="1385"/>
      <c r="R71" s="1385"/>
      <c r="S71" s="1385"/>
    </row>
    <row r="72" spans="1:19" s="2" customFormat="1" x14ac:dyDescent="0.35">
      <c r="A72" s="3764" t="s">
        <v>722</v>
      </c>
      <c r="B72" s="3765"/>
      <c r="C72" s="12"/>
      <c r="D72" s="12"/>
      <c r="E72" s="12"/>
      <c r="F72" s="12"/>
      <c r="G72" s="13"/>
      <c r="H72" s="21"/>
      <c r="I72" s="21"/>
      <c r="J72" s="21"/>
      <c r="K72" s="21"/>
      <c r="L72" s="21"/>
      <c r="M72" s="21"/>
      <c r="N72" s="21"/>
      <c r="O72" s="21"/>
      <c r="P72" s="21"/>
      <c r="Q72" s="21"/>
      <c r="R72" s="21"/>
      <c r="S72" s="21"/>
    </row>
    <row r="73" spans="1:19" s="2" customFormat="1" x14ac:dyDescent="0.35">
      <c r="A73" s="1382"/>
      <c r="B73" s="641"/>
      <c r="C73" s="1383"/>
      <c r="D73" s="1383"/>
      <c r="E73" s="1383"/>
      <c r="F73" s="1383"/>
      <c r="G73" s="1384"/>
      <c r="H73" s="1385"/>
      <c r="I73" s="1385"/>
      <c r="J73" s="1385"/>
      <c r="K73" s="1385"/>
      <c r="L73" s="1385"/>
      <c r="M73" s="1385"/>
      <c r="N73" s="1385"/>
      <c r="O73" s="1385"/>
      <c r="P73" s="1385"/>
      <c r="Q73" s="1385"/>
      <c r="R73" s="1385"/>
      <c r="S73" s="1385"/>
    </row>
    <row r="74" spans="1:19" s="2" customFormat="1" x14ac:dyDescent="0.35">
      <c r="A74" s="1382"/>
      <c r="B74" s="641"/>
      <c r="C74" s="1383"/>
      <c r="D74" s="1383"/>
      <c r="E74" s="1383"/>
      <c r="F74" s="1383"/>
      <c r="G74" s="1384"/>
      <c r="H74" s="1385"/>
      <c r="I74" s="1385"/>
      <c r="J74" s="1385"/>
      <c r="K74" s="1385"/>
      <c r="L74" s="1385"/>
      <c r="M74" s="1385"/>
      <c r="N74" s="1385"/>
      <c r="O74" s="1385"/>
      <c r="P74" s="1385"/>
      <c r="Q74" s="1385"/>
      <c r="R74" s="1385"/>
      <c r="S74" s="1385"/>
    </row>
    <row r="75" spans="1:19" x14ac:dyDescent="0.35">
      <c r="A75" s="1382"/>
      <c r="B75" s="641"/>
      <c r="C75" s="1383"/>
      <c r="D75" s="1383"/>
      <c r="E75" s="1383"/>
      <c r="F75" s="1383"/>
      <c r="G75" s="1384"/>
      <c r="H75" s="1385"/>
      <c r="I75" s="1385"/>
      <c r="J75" s="1385"/>
      <c r="K75" s="1385"/>
      <c r="L75" s="1385"/>
      <c r="M75" s="1385"/>
      <c r="N75" s="1385"/>
      <c r="O75" s="1385"/>
      <c r="P75" s="1385"/>
      <c r="Q75" s="1385"/>
      <c r="R75" s="1385"/>
      <c r="S75" s="1385"/>
    </row>
    <row r="76" spans="1:19" s="2" customFormat="1" x14ac:dyDescent="0.35">
      <c r="A76" s="3764" t="s">
        <v>723</v>
      </c>
      <c r="B76" s="3765"/>
      <c r="C76" s="12"/>
      <c r="D76" s="12"/>
      <c r="E76" s="12"/>
      <c r="F76" s="12"/>
      <c r="G76" s="13"/>
      <c r="H76" s="21"/>
      <c r="I76" s="21"/>
      <c r="J76" s="21"/>
      <c r="K76" s="21"/>
      <c r="L76" s="21"/>
      <c r="M76" s="21"/>
      <c r="N76" s="21"/>
      <c r="O76" s="21"/>
      <c r="P76" s="21"/>
      <c r="Q76" s="21"/>
      <c r="R76" s="21"/>
      <c r="S76" s="21"/>
    </row>
    <row r="77" spans="1:19" s="2" customFormat="1" x14ac:dyDescent="0.35">
      <c r="A77" s="1382"/>
      <c r="B77" s="641"/>
      <c r="C77" s="1383"/>
      <c r="D77" s="1383"/>
      <c r="E77" s="1383"/>
      <c r="F77" s="1383"/>
      <c r="G77" s="1384"/>
      <c r="H77" s="1385"/>
      <c r="I77" s="1385"/>
      <c r="J77" s="1385"/>
      <c r="K77" s="1385"/>
      <c r="L77" s="1385"/>
      <c r="M77" s="1385"/>
      <c r="N77" s="1385"/>
      <c r="O77" s="1385"/>
      <c r="P77" s="1385"/>
      <c r="Q77" s="1385"/>
      <c r="R77" s="1385"/>
      <c r="S77" s="1385"/>
    </row>
    <row r="78" spans="1:19" s="2" customFormat="1" x14ac:dyDescent="0.35">
      <c r="A78" s="689"/>
      <c r="B78" s="641"/>
      <c r="C78" s="642"/>
      <c r="D78" s="642"/>
      <c r="E78" s="642"/>
      <c r="F78" s="642"/>
      <c r="G78" s="646"/>
      <c r="H78" s="1415"/>
      <c r="I78" s="1415"/>
      <c r="J78" s="1415"/>
      <c r="K78" s="1415"/>
      <c r="L78" s="1415"/>
      <c r="M78" s="1415"/>
      <c r="N78" s="1415"/>
      <c r="O78" s="1415"/>
      <c r="P78" s="1415"/>
      <c r="Q78" s="1415"/>
      <c r="R78" s="1415"/>
      <c r="S78" s="1415"/>
    </row>
    <row r="79" spans="1:19" s="2" customFormat="1" x14ac:dyDescent="0.35">
      <c r="A79" s="1416"/>
      <c r="B79" s="1417"/>
      <c r="C79" s="642"/>
      <c r="D79" s="642"/>
      <c r="E79" s="642"/>
      <c r="F79" s="642"/>
      <c r="G79" s="646"/>
      <c r="H79" s="1418"/>
      <c r="I79" s="1418"/>
      <c r="J79" s="1418"/>
      <c r="K79" s="1418"/>
      <c r="L79" s="1418"/>
      <c r="M79" s="1418"/>
      <c r="N79" s="1418"/>
      <c r="O79" s="1418"/>
      <c r="P79" s="1418"/>
      <c r="Q79" s="1418"/>
      <c r="R79" s="1418"/>
      <c r="S79" s="1418"/>
    </row>
    <row r="80" spans="1:19" s="2" customFormat="1" x14ac:dyDescent="0.35">
      <c r="A80" s="3764" t="s">
        <v>724</v>
      </c>
      <c r="B80" s="3765"/>
      <c r="C80" s="12"/>
      <c r="D80" s="12"/>
      <c r="E80" s="12"/>
      <c r="F80" s="12"/>
      <c r="G80" s="13"/>
      <c r="H80" s="21"/>
      <c r="I80" s="21"/>
      <c r="J80" s="21"/>
      <c r="K80" s="21"/>
      <c r="L80" s="21"/>
      <c r="M80" s="21"/>
      <c r="N80" s="21"/>
      <c r="O80" s="21"/>
      <c r="P80" s="21"/>
      <c r="Q80" s="21"/>
      <c r="R80" s="21"/>
      <c r="S80" s="21"/>
    </row>
    <row r="81" spans="1:19" x14ac:dyDescent="0.35">
      <c r="A81" s="1386"/>
      <c r="B81" s="1387"/>
      <c r="C81" s="1383"/>
      <c r="D81" s="1383"/>
      <c r="E81" s="1383"/>
      <c r="F81" s="1383"/>
      <c r="G81" s="1384"/>
      <c r="H81" s="1385"/>
      <c r="I81" s="1385"/>
      <c r="J81" s="1385"/>
      <c r="K81" s="1385"/>
      <c r="L81" s="1385"/>
      <c r="M81" s="1385"/>
      <c r="N81" s="1385"/>
      <c r="O81" s="1385"/>
      <c r="P81" s="1385"/>
      <c r="Q81" s="1385"/>
      <c r="R81" s="1385"/>
      <c r="S81" s="1385"/>
    </row>
    <row r="82" spans="1:19" x14ac:dyDescent="0.35">
      <c r="A82" s="1416"/>
      <c r="B82" s="1417"/>
      <c r="C82" s="642"/>
      <c r="D82" s="642"/>
      <c r="E82" s="642"/>
      <c r="F82" s="642"/>
      <c r="G82" s="646"/>
      <c r="H82" s="1419"/>
      <c r="I82" s="1419"/>
      <c r="J82" s="1419"/>
      <c r="K82" s="1419"/>
      <c r="L82" s="1419"/>
      <c r="M82" s="1419"/>
      <c r="N82" s="1419"/>
      <c r="O82" s="1419"/>
      <c r="P82" s="1419"/>
      <c r="Q82" s="1419"/>
      <c r="R82" s="1419"/>
      <c r="S82" s="1419"/>
    </row>
    <row r="83" spans="1:19" x14ac:dyDescent="0.35">
      <c r="A83" s="1416"/>
      <c r="B83" s="1417"/>
      <c r="C83" s="642"/>
      <c r="D83" s="642"/>
      <c r="E83" s="642"/>
      <c r="F83" s="642"/>
      <c r="G83" s="646"/>
      <c r="H83" s="1419"/>
      <c r="I83" s="1419"/>
      <c r="J83" s="1419"/>
      <c r="K83" s="1419"/>
      <c r="L83" s="1419"/>
      <c r="M83" s="1419"/>
      <c r="N83" s="1419"/>
      <c r="O83" s="1419"/>
      <c r="P83" s="1419"/>
      <c r="Q83" s="1419"/>
      <c r="R83" s="1419"/>
      <c r="S83" s="1419"/>
    </row>
    <row r="84" spans="1:19" x14ac:dyDescent="0.35">
      <c r="A84" s="3764" t="s">
        <v>725</v>
      </c>
      <c r="B84" s="3765"/>
      <c r="C84" s="12"/>
      <c r="D84" s="12"/>
      <c r="E84" s="12"/>
      <c r="F84" s="12"/>
      <c r="G84" s="13"/>
      <c r="H84" s="21"/>
      <c r="I84" s="21"/>
      <c r="J84" s="21"/>
      <c r="K84" s="21"/>
      <c r="L84" s="21"/>
      <c r="M84" s="21"/>
      <c r="N84" s="21"/>
      <c r="O84" s="21"/>
      <c r="P84" s="21"/>
      <c r="Q84" s="21"/>
      <c r="R84" s="21"/>
      <c r="S84" s="21"/>
    </row>
    <row r="85" spans="1:19" x14ac:dyDescent="0.35">
      <c r="A85" s="689"/>
      <c r="B85" s="641" t="s">
        <v>726</v>
      </c>
      <c r="C85" s="642"/>
      <c r="D85" s="642"/>
      <c r="E85" s="642"/>
      <c r="F85" s="642"/>
      <c r="G85" s="646"/>
      <c r="H85" s="1419"/>
      <c r="I85" s="1419"/>
      <c r="J85" s="1419"/>
      <c r="K85" s="1419"/>
      <c r="L85" s="1419"/>
      <c r="M85" s="1419"/>
      <c r="N85" s="1419"/>
      <c r="O85" s="1419"/>
      <c r="P85" s="1419"/>
      <c r="Q85" s="1419"/>
      <c r="R85" s="1419"/>
      <c r="S85" s="1419"/>
    </row>
    <row r="86" spans="1:19" x14ac:dyDescent="0.35">
      <c r="A86" s="689"/>
      <c r="B86" s="641" t="s">
        <v>727</v>
      </c>
      <c r="C86" s="642"/>
      <c r="D86" s="642"/>
      <c r="E86" s="642"/>
      <c r="F86" s="642"/>
      <c r="G86" s="646"/>
      <c r="H86" s="1419"/>
      <c r="I86" s="1419"/>
      <c r="J86" s="1419"/>
      <c r="K86" s="1419"/>
      <c r="L86" s="1419"/>
      <c r="M86" s="1419"/>
      <c r="N86" s="1419"/>
      <c r="O86" s="1419"/>
      <c r="P86" s="1419"/>
      <c r="Q86" s="1419"/>
      <c r="R86" s="1419"/>
      <c r="S86" s="1419"/>
    </row>
    <row r="87" spans="1:19" x14ac:dyDescent="0.35">
      <c r="A87" s="689"/>
      <c r="B87" s="641" t="s">
        <v>728</v>
      </c>
      <c r="C87" s="642"/>
      <c r="D87" s="642"/>
      <c r="E87" s="642"/>
      <c r="F87" s="642"/>
      <c r="G87" s="646"/>
      <c r="H87" s="1419"/>
      <c r="I87" s="1419"/>
      <c r="J87" s="1419"/>
      <c r="K87" s="1419"/>
      <c r="L87" s="1419"/>
      <c r="M87" s="1419"/>
      <c r="N87" s="1419"/>
      <c r="O87" s="1419"/>
      <c r="P87" s="1419"/>
      <c r="Q87" s="1419"/>
      <c r="R87" s="1419"/>
      <c r="S87" s="1419"/>
    </row>
    <row r="88" spans="1:19" x14ac:dyDescent="0.35">
      <c r="A88" s="689"/>
      <c r="B88" s="641" t="s">
        <v>729</v>
      </c>
      <c r="C88" s="642"/>
      <c r="D88" s="642"/>
      <c r="E88" s="642"/>
      <c r="F88" s="642"/>
      <c r="G88" s="646"/>
      <c r="H88" s="1419"/>
      <c r="I88" s="1419"/>
      <c r="J88" s="1419"/>
      <c r="K88" s="1419"/>
      <c r="L88" s="1419"/>
      <c r="M88" s="1419"/>
      <c r="N88" s="1419"/>
      <c r="O88" s="1419"/>
      <c r="P88" s="1419"/>
      <c r="Q88" s="1419"/>
      <c r="R88" s="1419"/>
      <c r="S88" s="1419"/>
    </row>
    <row r="89" spans="1:19" x14ac:dyDescent="0.35">
      <c r="A89" s="978"/>
      <c r="B89" s="939"/>
      <c r="C89" s="940"/>
      <c r="D89" s="940"/>
      <c r="E89" s="940"/>
      <c r="F89" s="940"/>
      <c r="G89" s="1039"/>
      <c r="H89" s="981"/>
      <c r="I89" s="981"/>
      <c r="J89" s="981"/>
      <c r="K89" s="981"/>
      <c r="L89" s="981"/>
      <c r="M89" s="981"/>
      <c r="N89" s="981"/>
      <c r="O89" s="981"/>
      <c r="P89" s="981"/>
      <c r="Q89" s="981"/>
      <c r="R89" s="981"/>
      <c r="S89" s="981"/>
    </row>
    <row r="90" spans="1:19" x14ac:dyDescent="0.35">
      <c r="A90" s="7" t="s">
        <v>730</v>
      </c>
      <c r="B90" s="8"/>
      <c r="C90" s="12"/>
      <c r="D90" s="12"/>
      <c r="E90" s="12"/>
      <c r="F90" s="12"/>
      <c r="G90" s="13"/>
      <c r="H90" s="21"/>
      <c r="I90" s="21"/>
      <c r="J90" s="21"/>
      <c r="K90" s="21"/>
      <c r="L90" s="21"/>
      <c r="M90" s="21"/>
      <c r="N90" s="21"/>
      <c r="O90" s="21"/>
      <c r="P90" s="21"/>
      <c r="Q90" s="21"/>
      <c r="R90" s="21"/>
      <c r="S90" s="21"/>
    </row>
    <row r="91" spans="1:19" x14ac:dyDescent="0.35">
      <c r="A91" s="1382"/>
      <c r="B91" s="1388" t="s">
        <v>731</v>
      </c>
      <c r="C91" s="1383"/>
      <c r="D91" s="1383"/>
      <c r="E91" s="1383"/>
      <c r="F91" s="1383"/>
      <c r="G91" s="1384"/>
      <c r="H91" s="1389"/>
      <c r="I91" s="1389"/>
      <c r="J91" s="1389"/>
      <c r="K91" s="1389"/>
      <c r="L91" s="1389"/>
      <c r="M91" s="1389"/>
      <c r="N91" s="1389"/>
      <c r="O91" s="1389"/>
      <c r="P91" s="1389"/>
      <c r="Q91" s="1389"/>
      <c r="R91" s="1389"/>
      <c r="S91" s="1389"/>
    </row>
    <row r="92" spans="1:19" x14ac:dyDescent="0.35">
      <c r="A92" s="689"/>
      <c r="B92" s="641" t="s">
        <v>732</v>
      </c>
      <c r="C92" s="642"/>
      <c r="D92" s="642"/>
      <c r="E92" s="642"/>
      <c r="F92" s="642"/>
      <c r="G92" s="646"/>
      <c r="H92" s="1420"/>
      <c r="I92" s="1420"/>
      <c r="J92" s="1420"/>
      <c r="K92" s="1420"/>
      <c r="L92" s="1420"/>
      <c r="M92" s="1420"/>
      <c r="N92" s="1420"/>
      <c r="O92" s="1420"/>
      <c r="P92" s="1420"/>
      <c r="Q92" s="1420"/>
      <c r="R92" s="1420"/>
      <c r="S92" s="1420"/>
    </row>
    <row r="93" spans="1:19" x14ac:dyDescent="0.35">
      <c r="A93" s="985"/>
      <c r="B93" s="986" t="s">
        <v>733</v>
      </c>
      <c r="C93" s="987"/>
      <c r="D93" s="987"/>
      <c r="E93" s="987"/>
      <c r="F93" s="987"/>
      <c r="G93" s="1040"/>
      <c r="H93" s="990"/>
      <c r="I93" s="990"/>
      <c r="J93" s="990"/>
      <c r="K93" s="990"/>
      <c r="L93" s="990"/>
      <c r="M93" s="990"/>
      <c r="N93" s="990"/>
      <c r="O93" s="990"/>
      <c r="P93" s="990"/>
      <c r="Q93" s="990"/>
      <c r="R93" s="990"/>
      <c r="S93" s="990"/>
    </row>
    <row r="95" spans="1:19" x14ac:dyDescent="0.35">
      <c r="A95" s="78" t="s">
        <v>734</v>
      </c>
      <c r="B95" s="80"/>
    </row>
    <row r="96" spans="1:19" x14ac:dyDescent="0.35">
      <c r="A96" s="79" t="s">
        <v>632</v>
      </c>
      <c r="B96" s="991"/>
    </row>
    <row r="97" spans="1:2" x14ac:dyDescent="0.35">
      <c r="A97" s="687" t="s">
        <v>636</v>
      </c>
      <c r="B97" s="991"/>
    </row>
    <row r="98" spans="1:2" x14ac:dyDescent="0.35">
      <c r="A98" s="992" t="s">
        <v>639</v>
      </c>
      <c r="B98" s="993"/>
    </row>
    <row r="99" spans="1:2" x14ac:dyDescent="0.35">
      <c r="A99" s="992" t="s">
        <v>642</v>
      </c>
      <c r="B99" s="994"/>
    </row>
    <row r="100" spans="1:2" x14ac:dyDescent="0.35">
      <c r="A100" s="995" t="s">
        <v>735</v>
      </c>
      <c r="B100" s="996"/>
    </row>
    <row r="102" spans="1:2" x14ac:dyDescent="0.35">
      <c r="A102" s="81"/>
      <c r="B102" s="1" t="s">
        <v>736</v>
      </c>
    </row>
    <row r="103" spans="1:2" x14ac:dyDescent="0.35">
      <c r="A103" s="82"/>
      <c r="B103" s="1" t="s">
        <v>737</v>
      </c>
    </row>
  </sheetData>
  <mergeCells count="47">
    <mergeCell ref="A68:B68"/>
    <mergeCell ref="A72:B72"/>
    <mergeCell ref="A76:B76"/>
    <mergeCell ref="A80:B80"/>
    <mergeCell ref="A84:B8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317" priority="13" operator="equal">
      <formula>"X"</formula>
    </cfRule>
    <cfRule type="cellIs" dxfId="2316" priority="14" operator="equal">
      <formula>"I"</formula>
    </cfRule>
  </conditionalFormatting>
  <conditionalFormatting sqref="H32:H59">
    <cfRule type="cellIs" dxfId="2315" priority="1" operator="equal">
      <formula>"X"</formula>
    </cfRule>
    <cfRule type="cellIs" dxfId="2314" priority="2" operator="equal">
      <formula>"I"</formula>
    </cfRule>
  </conditionalFormatting>
  <conditionalFormatting sqref="J20:J30">
    <cfRule type="cellIs" dxfId="2313" priority="15" operator="equal">
      <formula>"X"</formula>
    </cfRule>
    <cfRule type="cellIs" dxfId="2312" priority="16" operator="equal">
      <formula>"I"</formula>
    </cfRule>
  </conditionalFormatting>
  <conditionalFormatting sqref="J32:J59">
    <cfRule type="cellIs" dxfId="2311" priority="3" operator="equal">
      <formula>"X"</formula>
    </cfRule>
    <cfRule type="cellIs" dxfId="2310" priority="4" operator="equal">
      <formula>"I"</formula>
    </cfRule>
  </conditionalFormatting>
  <conditionalFormatting sqref="L20:L30">
    <cfRule type="cellIs" dxfId="2309" priority="17" operator="equal">
      <formula>"X"</formula>
    </cfRule>
    <cfRule type="cellIs" dxfId="2308" priority="18" operator="equal">
      <formula>"I"</formula>
    </cfRule>
  </conditionalFormatting>
  <conditionalFormatting sqref="L32:L59">
    <cfRule type="cellIs" dxfId="2307" priority="5" operator="equal">
      <formula>"X"</formula>
    </cfRule>
    <cfRule type="cellIs" dxfId="2306" priority="6" operator="equal">
      <formula>"I"</formula>
    </cfRule>
  </conditionalFormatting>
  <conditionalFormatting sqref="N20:N30">
    <cfRule type="cellIs" dxfId="2305" priority="19" operator="equal">
      <formula>"X"</formula>
    </cfRule>
    <cfRule type="cellIs" dxfId="2304" priority="20" operator="equal">
      <formula>"I"</formula>
    </cfRule>
  </conditionalFormatting>
  <conditionalFormatting sqref="N32:N59">
    <cfRule type="cellIs" dxfId="2303" priority="7" operator="equal">
      <formula>"X"</formula>
    </cfRule>
    <cfRule type="cellIs" dxfId="2302" priority="8" operator="equal">
      <formula>"I"</formula>
    </cfRule>
  </conditionalFormatting>
  <conditionalFormatting sqref="P20:P30">
    <cfRule type="cellIs" dxfId="2301" priority="21" operator="equal">
      <formula>"X"</formula>
    </cfRule>
    <cfRule type="cellIs" dxfId="2300" priority="22" operator="equal">
      <formula>"I"</formula>
    </cfRule>
  </conditionalFormatting>
  <conditionalFormatting sqref="P32:P59">
    <cfRule type="cellIs" dxfId="2299" priority="9" operator="equal">
      <formula>"X"</formula>
    </cfRule>
    <cfRule type="cellIs" dxfId="2298" priority="10" operator="equal">
      <formula>"I"</formula>
    </cfRule>
  </conditionalFormatting>
  <conditionalFormatting sqref="R20:R30">
    <cfRule type="cellIs" dxfId="2297" priority="23" operator="equal">
      <formula>"X"</formula>
    </cfRule>
    <cfRule type="cellIs" dxfId="2296" priority="24" operator="equal">
      <formula>"I"</formula>
    </cfRule>
  </conditionalFormatting>
  <conditionalFormatting sqref="R32:R59">
    <cfRule type="cellIs" dxfId="2295" priority="11" operator="equal">
      <formula>"X"</formula>
    </cfRule>
    <cfRule type="cellIs" dxfId="2294" priority="12" operator="equal">
      <formula>"I"</formula>
    </cfRule>
  </conditionalFormatting>
  <hyperlinks>
    <hyperlink ref="B3" location="'Cost Summary'!A1" display="BACK TO SUMMARY SHEET" xr:uid="{55756451-1042-4668-84A8-9910BE922AFD}"/>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2A26-B747-4CD3-B440-51657DE4153D}">
  <sheetPr>
    <tabColor rgb="FFFFC000"/>
  </sheetPr>
  <dimension ref="A1:AR128"/>
  <sheetViews>
    <sheetView zoomScale="112" zoomScaleNormal="112" workbookViewId="0">
      <pane xSplit="2" ySplit="23" topLeftCell="D46" activePane="bottomRight" state="frozen"/>
      <selection pane="topRight" activeCell="C1" sqref="C1"/>
      <selection pane="bottomLeft" activeCell="A11" sqref="A11"/>
      <selection pane="bottomRight" activeCell="I32" sqref="I32"/>
    </sheetView>
  </sheetViews>
  <sheetFormatPr defaultRowHeight="15" customHeight="1" x14ac:dyDescent="0.35"/>
  <cols>
    <col min="1" max="1" width="11" customWidth="1"/>
    <col min="2" max="2" width="72.453125" style="1" customWidth="1"/>
    <col min="3" max="3" width="12.81640625" style="2" customWidth="1"/>
    <col min="4" max="4" width="12" style="2" customWidth="1"/>
    <col min="5" max="5" width="7.54296875" style="2" customWidth="1"/>
    <col min="6" max="6" width="7.7265625" style="2" customWidth="1"/>
    <col min="7" max="7" width="12.26953125" style="2" customWidth="1"/>
    <col min="8" max="8" width="7.453125" style="2" bestFit="1" customWidth="1"/>
    <col min="9" max="9" width="14.81640625" style="2" customWidth="1"/>
    <col min="10" max="10" width="6.453125" style="2" customWidth="1"/>
    <col min="11" max="11" width="16.26953125" style="2" customWidth="1"/>
    <col min="12" max="12" width="7.453125" style="2" bestFit="1" customWidth="1"/>
    <col min="13" max="13" width="14" style="2" customWidth="1"/>
    <col min="14" max="14" width="7.453125" style="2" bestFit="1" customWidth="1"/>
    <col min="15" max="15" width="16.1796875" style="2" customWidth="1"/>
    <col min="16" max="16" width="7.453125" style="2" bestFit="1" customWidth="1"/>
    <col min="17" max="17" width="16.26953125" style="2" customWidth="1"/>
    <col min="18" max="18" width="7.453125" style="2" bestFit="1" customWidth="1"/>
    <col min="19" max="19" width="14.81640625" style="2" customWidth="1"/>
    <col min="20" max="20" width="7.453125" style="2" bestFit="1" customWidth="1"/>
    <col min="21" max="21" width="14.81640625" style="2" customWidth="1"/>
    <col min="22" max="22" width="6.54296875" customWidth="1"/>
    <col min="23" max="23" width="15.1796875" customWidth="1"/>
    <col min="34" max="34" width="34.81640625" hidden="1" customWidth="1"/>
    <col min="35" max="35" width="15.1796875" hidden="1" customWidth="1"/>
    <col min="36" max="36" width="13.26953125" hidden="1" customWidth="1"/>
    <col min="37" max="37" width="14.81640625" hidden="1" customWidth="1"/>
    <col min="38" max="38" width="14.7265625" hidden="1" customWidth="1"/>
    <col min="39" max="39" width="15.1796875" hidden="1" customWidth="1"/>
    <col min="40" max="40" width="18.7265625" hidden="1" customWidth="1"/>
    <col min="41" max="43" width="0" hidden="1" customWidth="1"/>
  </cols>
  <sheetData>
    <row r="1" spans="1:23" ht="14.5" x14ac:dyDescent="0.35">
      <c r="E1" s="152"/>
      <c r="F1" s="125"/>
      <c r="G1" s="123" t="s">
        <v>621</v>
      </c>
      <c r="H1" s="3785" t="s">
        <v>1544</v>
      </c>
      <c r="I1" s="3785"/>
      <c r="V1" s="3785" t="s">
        <v>1545</v>
      </c>
      <c r="W1" s="3785"/>
    </row>
    <row r="2" spans="1:23" ht="14.5" x14ac:dyDescent="0.35">
      <c r="E2" s="152"/>
      <c r="F2" s="122" t="s">
        <v>622</v>
      </c>
      <c r="G2" s="123" t="s">
        <v>451</v>
      </c>
      <c r="H2" s="3751"/>
      <c r="I2" s="3751"/>
      <c r="J2" s="3751" t="s">
        <v>1546</v>
      </c>
      <c r="K2" s="3751"/>
      <c r="L2" s="3751"/>
      <c r="M2" s="3751"/>
      <c r="N2" s="3751" t="s">
        <v>1547</v>
      </c>
      <c r="O2" s="3751"/>
      <c r="P2" s="3751" t="s">
        <v>1548</v>
      </c>
      <c r="Q2" s="3751"/>
      <c r="R2" s="3751"/>
      <c r="S2" s="3751"/>
      <c r="T2" s="3751"/>
      <c r="U2" s="3751"/>
      <c r="V2" s="3751" t="s">
        <v>1549</v>
      </c>
      <c r="W2" s="3751"/>
    </row>
    <row r="3" spans="1:23" ht="19.5" x14ac:dyDescent="0.35">
      <c r="B3" s="137" t="s">
        <v>623</v>
      </c>
      <c r="E3" s="152"/>
      <c r="F3" s="124" t="s">
        <v>624</v>
      </c>
      <c r="G3" s="123" t="s">
        <v>557</v>
      </c>
      <c r="H3" s="3797" t="s">
        <v>625</v>
      </c>
      <c r="I3" s="3798"/>
      <c r="J3" s="3754" t="s">
        <v>626</v>
      </c>
      <c r="K3" s="3755"/>
      <c r="L3" s="3754" t="s">
        <v>626</v>
      </c>
      <c r="M3" s="3755"/>
      <c r="N3" s="3754" t="s">
        <v>626</v>
      </c>
      <c r="O3" s="3755"/>
      <c r="P3" s="3754" t="s">
        <v>627</v>
      </c>
      <c r="Q3" s="3755"/>
      <c r="R3" s="3754" t="s">
        <v>773</v>
      </c>
      <c r="S3" s="3755"/>
      <c r="T3" s="3754" t="s">
        <v>773</v>
      </c>
      <c r="U3" s="3755"/>
      <c r="V3" s="3754" t="s">
        <v>1550</v>
      </c>
      <c r="W3" s="3755"/>
    </row>
    <row r="4" spans="1:23" ht="15.75" customHeight="1" x14ac:dyDescent="0.35">
      <c r="A4" s="3" t="s">
        <v>631</v>
      </c>
      <c r="B4" s="4" t="str">
        <f>'AREA CALC''s'!B4</f>
        <v>Alton Hilltop Gardens</v>
      </c>
      <c r="C4" s="5"/>
      <c r="D4" s="5"/>
      <c r="E4" s="5"/>
      <c r="F4" s="5"/>
      <c r="G4" s="6" t="s">
        <v>632</v>
      </c>
      <c r="H4" s="3752" t="s">
        <v>1551</v>
      </c>
      <c r="I4" s="3753"/>
      <c r="J4" s="3752" t="s">
        <v>1552</v>
      </c>
      <c r="K4" s="3753"/>
      <c r="L4" s="3752" t="s">
        <v>1553</v>
      </c>
      <c r="M4" s="3753"/>
      <c r="N4" s="3752" t="s">
        <v>1554</v>
      </c>
      <c r="O4" s="3753"/>
      <c r="P4" s="3752" t="s">
        <v>1555</v>
      </c>
      <c r="Q4" s="3753"/>
      <c r="R4" s="3752" t="s">
        <v>1556</v>
      </c>
      <c r="S4" s="3753"/>
      <c r="T4" s="3752" t="s">
        <v>1557</v>
      </c>
      <c r="U4" s="3753"/>
      <c r="V4" s="3752" t="s">
        <v>1558</v>
      </c>
      <c r="W4" s="3753"/>
    </row>
    <row r="5" spans="1:23" ht="14.5" x14ac:dyDescent="0.35">
      <c r="A5" s="1421" t="s">
        <v>634</v>
      </c>
      <c r="B5" s="1422" t="s">
        <v>1559</v>
      </c>
      <c r="C5" s="1423"/>
      <c r="D5" s="1423"/>
      <c r="E5" s="1423"/>
      <c r="F5" s="1423"/>
      <c r="G5" s="643" t="s">
        <v>636</v>
      </c>
      <c r="H5" s="3851" t="s">
        <v>1560</v>
      </c>
      <c r="I5" s="3759"/>
      <c r="J5" s="3851" t="s">
        <v>1561</v>
      </c>
      <c r="K5" s="3759"/>
      <c r="L5" s="3851" t="s">
        <v>1562</v>
      </c>
      <c r="M5" s="3759"/>
      <c r="N5" s="3851" t="s">
        <v>1563</v>
      </c>
      <c r="O5" s="3759"/>
      <c r="P5" s="3851" t="s">
        <v>1564</v>
      </c>
      <c r="Q5" s="3759"/>
      <c r="R5" s="3851" t="s">
        <v>1565</v>
      </c>
      <c r="S5" s="3759"/>
      <c r="T5" s="3851" t="s">
        <v>1565</v>
      </c>
      <c r="U5" s="3759"/>
      <c r="V5" s="3851" t="s">
        <v>1566</v>
      </c>
      <c r="W5" s="3759"/>
    </row>
    <row r="6" spans="1:23" ht="14.5" x14ac:dyDescent="0.35">
      <c r="A6" s="1421" t="s">
        <v>638</v>
      </c>
      <c r="B6" s="1424" t="s">
        <v>487</v>
      </c>
      <c r="C6" s="1423"/>
      <c r="D6" s="1423"/>
      <c r="E6" s="1423"/>
      <c r="F6" s="1423"/>
      <c r="G6" s="643" t="s">
        <v>639</v>
      </c>
      <c r="H6" s="3852" t="s">
        <v>1567</v>
      </c>
      <c r="I6" s="3757"/>
      <c r="J6" s="3852" t="s">
        <v>1568</v>
      </c>
      <c r="K6" s="3757"/>
      <c r="L6" s="3852"/>
      <c r="M6" s="3757"/>
      <c r="N6" s="3852" t="s">
        <v>1569</v>
      </c>
      <c r="O6" s="3757"/>
      <c r="P6" s="3852" t="s">
        <v>1570</v>
      </c>
      <c r="Q6" s="3757"/>
      <c r="R6" s="3852" t="s">
        <v>1571</v>
      </c>
      <c r="S6" s="3757"/>
      <c r="T6" s="3852" t="s">
        <v>1571</v>
      </c>
      <c r="U6" s="3757"/>
      <c r="V6" s="3852" t="s">
        <v>1572</v>
      </c>
      <c r="W6" s="3757"/>
    </row>
    <row r="7" spans="1:23" ht="14.5" x14ac:dyDescent="0.35">
      <c r="A7" s="1421" t="s">
        <v>641</v>
      </c>
      <c r="B7" s="1425"/>
      <c r="C7" s="1423"/>
      <c r="D7" s="1423"/>
      <c r="E7" s="1423"/>
      <c r="F7" s="1423"/>
      <c r="G7" s="643" t="s">
        <v>642</v>
      </c>
      <c r="H7" s="3855" t="s">
        <v>1573</v>
      </c>
      <c r="I7" s="3820"/>
      <c r="J7" s="3853" t="s">
        <v>1574</v>
      </c>
      <c r="K7" s="3854"/>
      <c r="L7" s="3853" t="s">
        <v>1575</v>
      </c>
      <c r="M7" s="3854"/>
      <c r="N7" s="3855" t="s">
        <v>1576</v>
      </c>
      <c r="O7" s="3820"/>
      <c r="P7" s="3853" t="s">
        <v>1577</v>
      </c>
      <c r="Q7" s="3854"/>
      <c r="R7" s="3855" t="s">
        <v>1578</v>
      </c>
      <c r="S7" s="3759"/>
      <c r="T7" s="3855" t="s">
        <v>1578</v>
      </c>
      <c r="U7" s="3759"/>
      <c r="V7" s="3853" t="s">
        <v>1579</v>
      </c>
      <c r="W7" s="3854"/>
    </row>
    <row r="8" spans="1:23" ht="14.5" x14ac:dyDescent="0.35">
      <c r="A8" s="938" t="s">
        <v>644</v>
      </c>
      <c r="B8" s="939"/>
      <c r="C8" s="940"/>
      <c r="D8" s="940"/>
      <c r="E8" s="940"/>
      <c r="F8" s="940"/>
      <c r="G8" s="1024" t="s">
        <v>644</v>
      </c>
      <c r="H8" s="3760">
        <f>I83</f>
        <v>325845</v>
      </c>
      <c r="I8" s="3761"/>
      <c r="J8" s="3760">
        <f>K83</f>
        <v>345227</v>
      </c>
      <c r="K8" s="3761"/>
      <c r="L8" s="3760">
        <f>M83</f>
        <v>367360</v>
      </c>
      <c r="M8" s="3761"/>
      <c r="N8" s="3760">
        <f>O83</f>
        <v>212019</v>
      </c>
      <c r="O8" s="3761"/>
      <c r="P8" s="3760">
        <f>Q83</f>
        <v>274369</v>
      </c>
      <c r="Q8" s="3761"/>
      <c r="R8" s="3760">
        <f>S83</f>
        <v>464826</v>
      </c>
      <c r="S8" s="3761"/>
      <c r="T8" s="3760">
        <f>U83</f>
        <v>464826</v>
      </c>
      <c r="U8" s="3761"/>
      <c r="V8" s="3760">
        <f>W83</f>
        <v>1120136</v>
      </c>
      <c r="W8" s="3761"/>
    </row>
    <row r="9" spans="1:23" ht="29" x14ac:dyDescent="0.35">
      <c r="A9" s="7" t="s">
        <v>645</v>
      </c>
      <c r="B9" s="8"/>
      <c r="C9" s="9" t="s">
        <v>646</v>
      </c>
      <c r="D9" s="9" t="s">
        <v>647</v>
      </c>
      <c r="E9" s="9" t="s">
        <v>648</v>
      </c>
      <c r="F9" s="9" t="s">
        <v>649</v>
      </c>
      <c r="G9" s="10" t="s">
        <v>650</v>
      </c>
      <c r="H9" s="11" t="s">
        <v>651</v>
      </c>
      <c r="I9" s="11" t="s">
        <v>652</v>
      </c>
      <c r="J9" s="11"/>
      <c r="K9" s="11"/>
      <c r="L9" s="11" t="s">
        <v>651</v>
      </c>
      <c r="M9" s="11" t="s">
        <v>652</v>
      </c>
      <c r="N9" s="11" t="s">
        <v>651</v>
      </c>
      <c r="O9" s="11" t="s">
        <v>652</v>
      </c>
      <c r="P9" s="11" t="s">
        <v>651</v>
      </c>
      <c r="Q9" s="11" t="s">
        <v>652</v>
      </c>
      <c r="R9" s="11" t="s">
        <v>651</v>
      </c>
      <c r="S9" s="11" t="s">
        <v>652</v>
      </c>
      <c r="T9" s="11" t="s">
        <v>651</v>
      </c>
      <c r="U9" s="11" t="s">
        <v>652</v>
      </c>
      <c r="V9" s="11" t="s">
        <v>651</v>
      </c>
      <c r="W9" s="11" t="s">
        <v>652</v>
      </c>
    </row>
    <row r="10" spans="1:23" ht="14.5" hidden="1" x14ac:dyDescent="0.35">
      <c r="A10" s="1426"/>
      <c r="B10" s="1390" t="s">
        <v>653</v>
      </c>
      <c r="C10" s="1423"/>
      <c r="D10" s="1423"/>
      <c r="E10" s="1423"/>
      <c r="F10" s="1423"/>
      <c r="G10" s="646"/>
      <c r="H10" s="942"/>
      <c r="I10" s="942"/>
      <c r="J10" s="942"/>
      <c r="K10" s="942"/>
      <c r="L10" s="942"/>
      <c r="M10" s="942"/>
      <c r="N10" s="942"/>
      <c r="O10" s="942"/>
      <c r="P10" s="942"/>
      <c r="Q10" s="942"/>
      <c r="R10" s="942"/>
      <c r="S10" s="942"/>
      <c r="T10" s="942"/>
      <c r="U10" s="942"/>
      <c r="V10" s="942"/>
      <c r="W10" s="942"/>
    </row>
    <row r="11" spans="1:23" ht="14.5" hidden="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c r="T11" s="942"/>
      <c r="U11" s="942"/>
      <c r="V11" s="942"/>
      <c r="W11" s="942"/>
    </row>
    <row r="12" spans="1:23" ht="14.5" hidden="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c r="T12" s="942"/>
      <c r="U12" s="942"/>
      <c r="V12" s="942"/>
      <c r="W12" s="942"/>
    </row>
    <row r="13" spans="1:23" ht="14.5" hidden="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c r="T13" s="942"/>
      <c r="U13" s="942"/>
      <c r="V13" s="942"/>
      <c r="W13" s="942"/>
    </row>
    <row r="14" spans="1:23" ht="14.5" hidden="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c r="T14" s="942"/>
      <c r="U14" s="942"/>
      <c r="V14" s="942"/>
      <c r="W14" s="942"/>
    </row>
    <row r="15" spans="1:23" ht="14.5" hidden="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c r="T15" s="942"/>
      <c r="U15" s="942"/>
      <c r="V15" s="942"/>
      <c r="W15" s="942"/>
    </row>
    <row r="16" spans="1:23" ht="14.5" hidden="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c r="T16" s="942"/>
      <c r="U16" s="942"/>
      <c r="V16" s="942"/>
      <c r="W16" s="942"/>
    </row>
    <row r="17" spans="1:23" ht="14.5" hidden="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c r="T17" s="942"/>
      <c r="U17" s="942"/>
      <c r="V17" s="942"/>
      <c r="W17" s="942"/>
    </row>
    <row r="18" spans="1:23" ht="14.5" hidden="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c r="T18" s="942"/>
      <c r="U18" s="942"/>
      <c r="V18" s="942"/>
      <c r="W18" s="942"/>
    </row>
    <row r="19" spans="1:23" ht="14.5" hidden="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c r="T19" s="942"/>
      <c r="U19" s="942"/>
      <c r="V19" s="942"/>
      <c r="W19" s="942"/>
    </row>
    <row r="20" spans="1:23" ht="14.5" hidden="1" x14ac:dyDescent="0.35">
      <c r="A20" s="1426"/>
      <c r="B20" s="1422" t="e">
        <f>#REF!</f>
        <v>#REF!</v>
      </c>
      <c r="C20" s="1427" t="s">
        <v>654</v>
      </c>
      <c r="D20" s="1423"/>
      <c r="E20" s="1423"/>
      <c r="F20" s="1423"/>
      <c r="G20" s="646"/>
      <c r="H20" s="942"/>
      <c r="I20" s="942"/>
      <c r="J20" s="942"/>
      <c r="K20" s="942"/>
      <c r="L20" s="942"/>
      <c r="M20" s="942"/>
      <c r="N20" s="942"/>
      <c r="O20" s="942"/>
      <c r="P20" s="942"/>
      <c r="Q20" s="942"/>
      <c r="R20" s="942"/>
      <c r="S20" s="942"/>
      <c r="T20" s="942"/>
      <c r="U20" s="942"/>
      <c r="V20" s="942"/>
      <c r="W20" s="942"/>
    </row>
    <row r="21" spans="1:23" ht="14.5" hidden="1" x14ac:dyDescent="0.35">
      <c r="A21" s="1426"/>
      <c r="B21" s="1422" t="e">
        <f>#REF!</f>
        <v>#REF!</v>
      </c>
      <c r="C21" s="1427" t="s">
        <v>654</v>
      </c>
      <c r="D21" s="1423"/>
      <c r="E21" s="1423"/>
      <c r="F21" s="1423"/>
      <c r="G21" s="646"/>
      <c r="H21" s="942"/>
      <c r="I21" s="942"/>
      <c r="J21" s="942"/>
      <c r="K21" s="942"/>
      <c r="L21" s="942"/>
      <c r="M21" s="942"/>
      <c r="N21" s="942"/>
      <c r="O21" s="942"/>
      <c r="P21" s="942"/>
      <c r="Q21" s="942"/>
      <c r="R21" s="942"/>
      <c r="S21" s="942"/>
      <c r="T21" s="942"/>
      <c r="U21" s="942"/>
      <c r="V21" s="942"/>
      <c r="W21" s="942"/>
    </row>
    <row r="22" spans="1:23" ht="14.5" hidden="1" x14ac:dyDescent="0.35">
      <c r="A22" s="1426"/>
      <c r="B22" s="1422" t="e">
        <f>#REF!</f>
        <v>#REF!</v>
      </c>
      <c r="C22" s="1427" t="s">
        <v>654</v>
      </c>
      <c r="D22" s="1423"/>
      <c r="E22" s="1423"/>
      <c r="F22" s="1423"/>
      <c r="G22" s="646"/>
      <c r="H22" s="942"/>
      <c r="I22" s="942"/>
      <c r="J22" s="942"/>
      <c r="K22" s="942"/>
      <c r="L22" s="942"/>
      <c r="M22" s="942"/>
      <c r="N22" s="942"/>
      <c r="O22" s="942"/>
      <c r="P22" s="942"/>
      <c r="Q22" s="942"/>
      <c r="R22" s="942"/>
      <c r="S22" s="942"/>
      <c r="T22" s="942"/>
      <c r="U22" s="942"/>
      <c r="V22" s="942"/>
      <c r="W22" s="942"/>
    </row>
    <row r="23" spans="1:23" ht="14.5" hidden="1" x14ac:dyDescent="0.35">
      <c r="A23" s="1426"/>
      <c r="B23" s="1422" t="e">
        <f>#REF!</f>
        <v>#REF!</v>
      </c>
      <c r="C23" s="1427" t="s">
        <v>654</v>
      </c>
      <c r="D23" s="1423"/>
      <c r="E23" s="1423"/>
      <c r="F23" s="1423"/>
      <c r="G23" s="646"/>
      <c r="H23" s="942"/>
      <c r="I23" s="942"/>
      <c r="J23" s="942"/>
      <c r="K23" s="942"/>
      <c r="L23" s="942"/>
      <c r="M23" s="942"/>
      <c r="N23" s="942"/>
      <c r="O23" s="942"/>
      <c r="P23" s="942"/>
      <c r="Q23" s="942"/>
      <c r="R23" s="942"/>
      <c r="S23" s="942"/>
      <c r="T23" s="942"/>
      <c r="U23" s="942"/>
      <c r="V23" s="942"/>
      <c r="W23" s="942"/>
    </row>
    <row r="24" spans="1:23" ht="14.5" x14ac:dyDescent="0.35">
      <c r="A24" s="1426"/>
      <c r="B24" s="1422"/>
      <c r="C24" s="1427"/>
      <c r="D24" s="1423"/>
      <c r="E24" s="1423"/>
      <c r="F24" s="1423"/>
      <c r="G24" s="646"/>
      <c r="H24" s="943"/>
      <c r="I24" s="942"/>
      <c r="J24" s="942"/>
      <c r="K24" s="942"/>
      <c r="L24" s="943"/>
      <c r="M24" s="942"/>
      <c r="N24" s="943"/>
      <c r="O24" s="942"/>
      <c r="P24" s="943"/>
      <c r="Q24" s="942"/>
      <c r="R24" s="943"/>
      <c r="S24" s="942"/>
      <c r="T24" s="943"/>
      <c r="U24" s="942"/>
      <c r="V24" s="943"/>
      <c r="W24" s="942"/>
    </row>
    <row r="25" spans="1:23" ht="14.5" x14ac:dyDescent="0.35">
      <c r="A25" s="1426"/>
      <c r="B25" s="1428" t="s">
        <v>1559</v>
      </c>
      <c r="C25" s="1427"/>
      <c r="D25" s="1423"/>
      <c r="E25" s="1423"/>
      <c r="F25" s="1423"/>
      <c r="G25" s="646"/>
      <c r="H25" s="943"/>
      <c r="I25" s="942"/>
      <c r="J25" s="942"/>
      <c r="K25" s="942"/>
      <c r="L25" s="943"/>
      <c r="M25" s="942"/>
      <c r="N25" s="943"/>
      <c r="O25" s="942"/>
      <c r="P25" s="943"/>
      <c r="Q25" s="942"/>
      <c r="R25" s="943"/>
      <c r="S25" s="942"/>
      <c r="T25" s="943"/>
      <c r="U25" s="942"/>
      <c r="V25" s="943"/>
      <c r="W25" s="942"/>
    </row>
    <row r="26" spans="1:23" ht="14.5" x14ac:dyDescent="0.35">
      <c r="A26" s="1391"/>
      <c r="B26" s="604" t="s">
        <v>657</v>
      </c>
      <c r="C26" s="1427"/>
      <c r="D26" s="1423"/>
      <c r="E26" s="1423"/>
      <c r="F26" s="1423"/>
      <c r="G26" s="646"/>
      <c r="H26" s="943"/>
      <c r="I26" s="1392"/>
      <c r="J26" s="1392"/>
      <c r="K26" s="1392"/>
      <c r="L26" s="943"/>
      <c r="M26" s="1392"/>
      <c r="N26" s="943"/>
      <c r="O26" s="1392"/>
      <c r="P26" s="943"/>
      <c r="Q26" s="1392"/>
      <c r="R26" s="943"/>
      <c r="S26" s="1392"/>
      <c r="T26" s="943"/>
      <c r="U26" s="1392"/>
      <c r="V26" s="943"/>
      <c r="W26" s="1392"/>
    </row>
    <row r="27" spans="1:23" ht="14.5" x14ac:dyDescent="0.35">
      <c r="A27" s="1391"/>
      <c r="B27" s="607" t="s">
        <v>658</v>
      </c>
      <c r="C27" s="646"/>
      <c r="D27" s="1423"/>
      <c r="E27" s="1423"/>
      <c r="F27" s="1423"/>
      <c r="G27" s="646"/>
      <c r="H27" s="943" t="s">
        <v>669</v>
      </c>
      <c r="I27" s="1392"/>
      <c r="J27" s="943" t="s">
        <v>669</v>
      </c>
      <c r="K27" s="1392"/>
      <c r="L27" s="943" t="s">
        <v>669</v>
      </c>
      <c r="M27" s="1392"/>
      <c r="N27" s="943" t="s">
        <v>669</v>
      </c>
      <c r="O27" s="1392"/>
      <c r="P27" s="943" t="s">
        <v>669</v>
      </c>
      <c r="Q27" s="1392"/>
      <c r="R27" s="943" t="s">
        <v>669</v>
      </c>
      <c r="S27" s="1393"/>
      <c r="T27" s="943" t="s">
        <v>669</v>
      </c>
      <c r="U27" s="1393"/>
      <c r="V27" s="943" t="s">
        <v>669</v>
      </c>
      <c r="W27" s="1392"/>
    </row>
    <row r="28" spans="1:23" ht="14.5" x14ac:dyDescent="0.35">
      <c r="A28" s="1391"/>
      <c r="B28" s="1394" t="s">
        <v>659</v>
      </c>
      <c r="C28" s="646"/>
      <c r="D28" s="1423"/>
      <c r="E28" s="1423"/>
      <c r="F28" s="1423"/>
      <c r="G28" s="646"/>
      <c r="H28" s="943" t="s">
        <v>669</v>
      </c>
      <c r="I28" s="1392"/>
      <c r="J28" s="943" t="s">
        <v>669</v>
      </c>
      <c r="K28" s="1392"/>
      <c r="L28" s="943" t="s">
        <v>669</v>
      </c>
      <c r="M28" s="1392"/>
      <c r="N28" s="943" t="s">
        <v>669</v>
      </c>
      <c r="O28" s="1392"/>
      <c r="P28" s="943" t="s">
        <v>669</v>
      </c>
      <c r="Q28" s="1392"/>
      <c r="R28" s="943" t="s">
        <v>669</v>
      </c>
      <c r="S28" s="1393"/>
      <c r="T28" s="943" t="s">
        <v>669</v>
      </c>
      <c r="U28" s="1393"/>
      <c r="V28" s="943" t="s">
        <v>669</v>
      </c>
      <c r="W28" s="1392"/>
    </row>
    <row r="29" spans="1:23" ht="14.5" x14ac:dyDescent="0.35">
      <c r="A29" s="1391"/>
      <c r="B29" s="1395" t="s">
        <v>660</v>
      </c>
      <c r="C29" s="646"/>
      <c r="D29" s="1423"/>
      <c r="E29" s="1423"/>
      <c r="F29" s="1423"/>
      <c r="G29" s="646"/>
      <c r="H29" s="943" t="s">
        <v>671</v>
      </c>
      <c r="I29" s="1392"/>
      <c r="J29" s="943" t="s">
        <v>671</v>
      </c>
      <c r="K29" s="1392"/>
      <c r="L29" s="943" t="s">
        <v>671</v>
      </c>
      <c r="M29" s="1392"/>
      <c r="N29" s="943" t="s">
        <v>671</v>
      </c>
      <c r="O29" s="1392"/>
      <c r="P29" s="943" t="s">
        <v>671</v>
      </c>
      <c r="Q29" s="1392"/>
      <c r="R29" s="943" t="s">
        <v>671</v>
      </c>
      <c r="S29" s="1393"/>
      <c r="T29" s="943" t="s">
        <v>671</v>
      </c>
      <c r="U29" s="1393"/>
      <c r="V29" s="943" t="s">
        <v>671</v>
      </c>
      <c r="W29" s="1392"/>
    </row>
    <row r="30" spans="1:23" ht="14.5" x14ac:dyDescent="0.35">
      <c r="A30" s="1391"/>
      <c r="B30" s="1395" t="s">
        <v>661</v>
      </c>
      <c r="C30" s="646"/>
      <c r="D30" s="1423"/>
      <c r="E30" s="1423"/>
      <c r="F30" s="1423"/>
      <c r="G30" s="646"/>
      <c r="H30" s="943" t="s">
        <v>669</v>
      </c>
      <c r="I30" s="1392"/>
      <c r="J30" s="943" t="s">
        <v>669</v>
      </c>
      <c r="K30" s="1392"/>
      <c r="L30" s="943" t="s">
        <v>669</v>
      </c>
      <c r="M30" s="1392"/>
      <c r="N30" s="943" t="s">
        <v>669</v>
      </c>
      <c r="O30" s="1392"/>
      <c r="P30" s="943" t="s">
        <v>669</v>
      </c>
      <c r="Q30" s="1392"/>
      <c r="R30" s="943" t="s">
        <v>669</v>
      </c>
      <c r="S30" s="1393"/>
      <c r="T30" s="943" t="s">
        <v>669</v>
      </c>
      <c r="U30" s="1393"/>
      <c r="V30" s="943" t="s">
        <v>669</v>
      </c>
      <c r="W30" s="1392"/>
    </row>
    <row r="31" spans="1:23" ht="14.5" x14ac:dyDescent="0.35">
      <c r="A31" s="1391"/>
      <c r="B31" s="1395" t="s">
        <v>662</v>
      </c>
      <c r="C31" s="646"/>
      <c r="D31" s="1423"/>
      <c r="E31" s="1423"/>
      <c r="F31" s="1423"/>
      <c r="G31" s="646"/>
      <c r="H31" s="943" t="s">
        <v>669</v>
      </c>
      <c r="I31" s="1392"/>
      <c r="J31" s="943" t="s">
        <v>669</v>
      </c>
      <c r="K31" s="1392"/>
      <c r="L31" s="943" t="s">
        <v>669</v>
      </c>
      <c r="M31" s="1392"/>
      <c r="N31" s="943" t="s">
        <v>669</v>
      </c>
      <c r="O31" s="1392"/>
      <c r="P31" s="943" t="s">
        <v>669</v>
      </c>
      <c r="Q31" s="1392"/>
      <c r="R31" s="943" t="s">
        <v>669</v>
      </c>
      <c r="S31" s="1393"/>
      <c r="T31" s="943" t="s">
        <v>669</v>
      </c>
      <c r="U31" s="1393"/>
      <c r="V31" s="943" t="s">
        <v>669</v>
      </c>
      <c r="W31" s="1392"/>
    </row>
    <row r="32" spans="1:23" ht="14.5" x14ac:dyDescent="0.35">
      <c r="A32" s="1391"/>
      <c r="B32" s="1395" t="s">
        <v>663</v>
      </c>
      <c r="C32" s="646"/>
      <c r="D32" s="1423"/>
      <c r="E32" s="1423"/>
      <c r="F32" s="1423"/>
      <c r="G32" s="646"/>
      <c r="H32" s="943" t="s">
        <v>669</v>
      </c>
      <c r="I32" s="1392"/>
      <c r="J32" s="943" t="s">
        <v>669</v>
      </c>
      <c r="K32" s="1392"/>
      <c r="L32" s="943" t="s">
        <v>669</v>
      </c>
      <c r="M32" s="1392"/>
      <c r="N32" s="943" t="s">
        <v>669</v>
      </c>
      <c r="O32" s="1392"/>
      <c r="P32" s="943" t="s">
        <v>669</v>
      </c>
      <c r="Q32" s="1392"/>
      <c r="R32" s="943" t="s">
        <v>669</v>
      </c>
      <c r="S32" s="1393"/>
      <c r="T32" s="943" t="s">
        <v>669</v>
      </c>
      <c r="U32" s="1393"/>
      <c r="V32" s="943" t="s">
        <v>669</v>
      </c>
      <c r="W32" s="1392"/>
    </row>
    <row r="33" spans="1:44" ht="14.5" x14ac:dyDescent="0.35">
      <c r="A33" s="1376"/>
      <c r="B33" s="1429" t="s">
        <v>789</v>
      </c>
      <c r="C33" s="646"/>
      <c r="D33" s="1423"/>
      <c r="E33" s="1423"/>
      <c r="F33" s="1423"/>
      <c r="G33" s="646"/>
      <c r="H33" s="943" t="s">
        <v>669</v>
      </c>
      <c r="I33" s="1392"/>
      <c r="J33" s="943" t="s">
        <v>669</v>
      </c>
      <c r="K33" s="1392"/>
      <c r="L33" s="943" t="s">
        <v>669</v>
      </c>
      <c r="M33" s="1392"/>
      <c r="N33" s="943" t="s">
        <v>669</v>
      </c>
      <c r="O33" s="1392"/>
      <c r="P33" s="943" t="s">
        <v>669</v>
      </c>
      <c r="Q33" s="1392"/>
      <c r="R33" s="943" t="s">
        <v>669</v>
      </c>
      <c r="S33" s="1393"/>
      <c r="T33" s="943" t="s">
        <v>669</v>
      </c>
      <c r="U33" s="1393"/>
      <c r="V33" s="943" t="s">
        <v>669</v>
      </c>
      <c r="W33" s="1392"/>
    </row>
    <row r="34" spans="1:44" ht="14.5" x14ac:dyDescent="0.35">
      <c r="A34" s="1391"/>
      <c r="B34" s="1429" t="s">
        <v>790</v>
      </c>
      <c r="C34" s="646"/>
      <c r="D34" s="1423"/>
      <c r="E34" s="1423"/>
      <c r="F34" s="1423"/>
      <c r="G34" s="646"/>
      <c r="H34" s="943" t="s">
        <v>669</v>
      </c>
      <c r="I34" s="1392" t="s">
        <v>1580</v>
      </c>
      <c r="J34" s="943" t="s">
        <v>671</v>
      </c>
      <c r="K34" s="1392" t="s">
        <v>966</v>
      </c>
      <c r="L34" s="943" t="s">
        <v>669</v>
      </c>
      <c r="M34" s="1392" t="s">
        <v>1581</v>
      </c>
      <c r="N34" s="943" t="s">
        <v>669</v>
      </c>
      <c r="O34" s="1392" t="s">
        <v>1580</v>
      </c>
      <c r="P34" s="943" t="s">
        <v>671</v>
      </c>
      <c r="Q34" s="1392" t="s">
        <v>966</v>
      </c>
      <c r="R34" s="943" t="s">
        <v>671</v>
      </c>
      <c r="S34" s="1392" t="s">
        <v>1008</v>
      </c>
      <c r="T34" s="943" t="s">
        <v>671</v>
      </c>
      <c r="U34" s="1392" t="s">
        <v>1008</v>
      </c>
      <c r="V34" s="943" t="s">
        <v>671</v>
      </c>
      <c r="W34" s="1392" t="s">
        <v>1008</v>
      </c>
    </row>
    <row r="35" spans="1:44" ht="14.5" x14ac:dyDescent="0.35">
      <c r="A35" s="1391"/>
      <c r="B35" s="1429" t="s">
        <v>791</v>
      </c>
      <c r="C35" s="646"/>
      <c r="D35" s="1423"/>
      <c r="E35" s="1423"/>
      <c r="F35" s="1423"/>
      <c r="G35" s="646"/>
      <c r="H35" s="943" t="s">
        <v>669</v>
      </c>
      <c r="I35" s="1392" t="s">
        <v>968</v>
      </c>
      <c r="J35" s="943" t="s">
        <v>671</v>
      </c>
      <c r="K35" s="1392"/>
      <c r="L35" s="943" t="s">
        <v>669</v>
      </c>
      <c r="M35" s="1392" t="s">
        <v>1582</v>
      </c>
      <c r="N35" s="943" t="s">
        <v>669</v>
      </c>
      <c r="O35" s="1392" t="s">
        <v>1582</v>
      </c>
      <c r="P35" s="943" t="s">
        <v>671</v>
      </c>
      <c r="Q35" s="1392"/>
      <c r="R35" s="943" t="s">
        <v>671</v>
      </c>
      <c r="S35" s="1392" t="s">
        <v>968</v>
      </c>
      <c r="T35" s="943" t="s">
        <v>671</v>
      </c>
      <c r="U35" s="1392" t="s">
        <v>968</v>
      </c>
      <c r="V35" s="943" t="s">
        <v>671</v>
      </c>
      <c r="W35" s="1392"/>
    </row>
    <row r="36" spans="1:44" ht="14.5" x14ac:dyDescent="0.35">
      <c r="A36" s="1391"/>
      <c r="B36" s="1396" t="s">
        <v>664</v>
      </c>
      <c r="C36" s="646"/>
      <c r="D36" s="1423"/>
      <c r="E36" s="1423"/>
      <c r="F36" s="1423"/>
      <c r="G36" s="646"/>
      <c r="H36" s="943" t="s">
        <v>669</v>
      </c>
      <c r="I36" s="1392" t="s">
        <v>1583</v>
      </c>
      <c r="J36" s="943" t="s">
        <v>671</v>
      </c>
      <c r="K36" s="1392"/>
      <c r="L36" s="943" t="s">
        <v>669</v>
      </c>
      <c r="M36" s="1430" t="s">
        <v>1584</v>
      </c>
      <c r="N36" s="943" t="s">
        <v>669</v>
      </c>
      <c r="O36" s="1392" t="s">
        <v>1585</v>
      </c>
      <c r="P36" s="943" t="s">
        <v>671</v>
      </c>
      <c r="Q36" s="1392"/>
      <c r="R36" s="943" t="s">
        <v>671</v>
      </c>
      <c r="S36" s="1393"/>
      <c r="T36" s="943" t="s">
        <v>671</v>
      </c>
      <c r="U36" s="1393"/>
      <c r="V36" s="943" t="s">
        <v>671</v>
      </c>
      <c r="W36" s="1430"/>
    </row>
    <row r="37" spans="1:44" ht="14.5" x14ac:dyDescent="0.35">
      <c r="A37" s="1391"/>
      <c r="B37" s="1397" t="s">
        <v>665</v>
      </c>
      <c r="C37" s="952"/>
      <c r="D37" s="1431"/>
      <c r="E37" s="1431"/>
      <c r="F37" s="1431"/>
      <c r="G37" s="952"/>
      <c r="H37" s="636"/>
      <c r="I37" s="1432">
        <f>274445+2500+3450</f>
        <v>280395</v>
      </c>
      <c r="J37" s="1399"/>
      <c r="K37" s="1432">
        <f>(41900+4304)*3+(51800+6261)*2+(31500+3131)</f>
        <v>289365</v>
      </c>
      <c r="L37" s="636"/>
      <c r="M37" s="1432"/>
      <c r="N37" s="636"/>
      <c r="O37" s="1432">
        <f>198500+11000</f>
        <v>209500</v>
      </c>
      <c r="P37" s="636"/>
      <c r="Q37" s="1432">
        <v>263207</v>
      </c>
      <c r="R37" s="636"/>
      <c r="S37" s="1398"/>
      <c r="T37" s="636"/>
      <c r="U37" s="1398"/>
      <c r="V37" s="636"/>
      <c r="W37" s="1433"/>
    </row>
    <row r="38" spans="1:44" ht="14.5" x14ac:dyDescent="0.35">
      <c r="A38" s="1391"/>
      <c r="B38" s="1434" t="s">
        <v>874</v>
      </c>
      <c r="C38" s="646"/>
      <c r="D38" s="1423"/>
      <c r="E38" s="1423"/>
      <c r="F38" s="1423"/>
      <c r="G38" s="646"/>
      <c r="H38" s="943"/>
      <c r="I38" s="1392"/>
      <c r="J38" s="1392"/>
      <c r="K38" s="1392"/>
      <c r="L38" s="943"/>
      <c r="M38" s="1392"/>
      <c r="N38" s="943"/>
      <c r="O38" s="1392"/>
      <c r="P38" s="943"/>
      <c r="Q38" s="1392"/>
      <c r="R38" s="943"/>
      <c r="S38" s="1393"/>
      <c r="T38" s="943"/>
      <c r="U38" s="1393"/>
      <c r="V38" s="943"/>
      <c r="W38" s="1435"/>
    </row>
    <row r="39" spans="1:44" ht="14.5" x14ac:dyDescent="0.35">
      <c r="A39" s="1391"/>
      <c r="B39" s="1434"/>
      <c r="C39" s="646"/>
      <c r="D39" s="1423"/>
      <c r="E39" s="1423"/>
      <c r="F39" s="1423"/>
      <c r="G39" s="646"/>
      <c r="H39" s="943"/>
      <c r="I39" s="1392"/>
      <c r="J39" s="1392"/>
      <c r="K39" s="1392"/>
      <c r="L39" s="943"/>
      <c r="M39" s="1392"/>
      <c r="N39" s="943"/>
      <c r="O39" s="1392"/>
      <c r="P39" s="943"/>
      <c r="Q39" s="1392"/>
      <c r="R39" s="943"/>
      <c r="S39" s="1393"/>
      <c r="T39" s="943"/>
      <c r="U39" s="1393"/>
      <c r="V39" s="943"/>
      <c r="W39" s="1435"/>
    </row>
    <row r="40" spans="1:44" ht="14.5" x14ac:dyDescent="0.35">
      <c r="A40" s="1391"/>
      <c r="B40" s="1434" t="s">
        <v>793</v>
      </c>
      <c r="C40" s="646"/>
      <c r="D40" s="1423"/>
      <c r="E40" s="1423"/>
      <c r="F40" s="1423"/>
      <c r="G40" s="646"/>
      <c r="H40" s="943" t="s">
        <v>669</v>
      </c>
      <c r="I40" s="1392"/>
      <c r="J40" s="943" t="s">
        <v>669</v>
      </c>
      <c r="K40" s="1436"/>
      <c r="L40" s="943" t="s">
        <v>669</v>
      </c>
      <c r="M40" s="1437">
        <v>513182</v>
      </c>
      <c r="N40" s="943" t="s">
        <v>669</v>
      </c>
      <c r="O40" s="1392"/>
      <c r="P40" s="943" t="s">
        <v>669</v>
      </c>
      <c r="Q40" s="1392"/>
      <c r="R40" s="943" t="s">
        <v>669</v>
      </c>
      <c r="S40" s="1436">
        <f>198520+266306</f>
        <v>464826</v>
      </c>
      <c r="T40" s="943" t="s">
        <v>669</v>
      </c>
      <c r="U40" s="1436">
        <f>198520+266306</f>
        <v>464826</v>
      </c>
      <c r="V40" s="943" t="s">
        <v>669</v>
      </c>
      <c r="W40" s="1436">
        <f>97412+109125+81212+123575+81212+123575+48625+112150+48625+112150+48625+112150</f>
        <v>1098436</v>
      </c>
    </row>
    <row r="41" spans="1:44" ht="14.5" x14ac:dyDescent="0.35">
      <c r="A41" s="1391"/>
      <c r="B41" s="1434" t="s">
        <v>1586</v>
      </c>
      <c r="C41" s="646"/>
      <c r="D41" s="1423"/>
      <c r="E41" s="1423"/>
      <c r="F41" s="1423"/>
      <c r="G41" s="646"/>
      <c r="H41" s="943" t="s">
        <v>669</v>
      </c>
      <c r="I41" s="1392"/>
      <c r="J41" s="943" t="s">
        <v>669</v>
      </c>
      <c r="K41" s="1438"/>
      <c r="L41" s="943" t="s">
        <v>669</v>
      </c>
      <c r="M41" s="1392"/>
      <c r="N41" s="943" t="s">
        <v>669</v>
      </c>
      <c r="O41" s="1392"/>
      <c r="P41" s="943" t="s">
        <v>669</v>
      </c>
      <c r="Q41" s="1438"/>
      <c r="R41" s="943" t="s">
        <v>669</v>
      </c>
      <c r="S41" s="1393"/>
      <c r="T41" s="943" t="s">
        <v>669</v>
      </c>
      <c r="U41" s="1393"/>
      <c r="V41" s="943" t="s">
        <v>669</v>
      </c>
      <c r="W41" s="1436"/>
      <c r="AH41" s="257"/>
      <c r="AI41" s="257"/>
      <c r="AJ41" s="257"/>
      <c r="AK41" s="257"/>
      <c r="AL41" s="257"/>
      <c r="AM41" s="257"/>
      <c r="AN41" s="257"/>
      <c r="AO41" s="257"/>
      <c r="AP41" s="257"/>
      <c r="AQ41" s="257"/>
      <c r="AR41" s="257"/>
    </row>
    <row r="42" spans="1:44" ht="14.5" x14ac:dyDescent="0.35">
      <c r="A42" s="1391"/>
      <c r="B42" s="1439" t="s">
        <v>1587</v>
      </c>
      <c r="C42" s="646" t="s">
        <v>1588</v>
      </c>
      <c r="D42" s="1423"/>
      <c r="E42" s="1423"/>
      <c r="F42" s="1423"/>
      <c r="G42" s="646"/>
      <c r="H42" s="943" t="s">
        <v>669</v>
      </c>
      <c r="I42" s="1392"/>
      <c r="J42" s="943" t="s">
        <v>669</v>
      </c>
      <c r="K42" s="1392"/>
      <c r="L42" s="943" t="s">
        <v>669</v>
      </c>
      <c r="M42" s="1392"/>
      <c r="N42" s="943" t="s">
        <v>669</v>
      </c>
      <c r="O42" s="1392"/>
      <c r="P42" s="943" t="s">
        <v>669</v>
      </c>
      <c r="Q42" s="1392"/>
      <c r="R42" s="943" t="s">
        <v>669</v>
      </c>
      <c r="S42" s="1393"/>
      <c r="T42" s="943" t="s">
        <v>669</v>
      </c>
      <c r="U42" s="1393"/>
      <c r="V42" s="943" t="s">
        <v>669</v>
      </c>
      <c r="W42" s="1435"/>
      <c r="AH42" s="257"/>
      <c r="AI42" s="257"/>
      <c r="AJ42" s="257"/>
      <c r="AK42" s="257"/>
      <c r="AL42" s="257"/>
      <c r="AM42" s="257"/>
      <c r="AN42" s="257"/>
      <c r="AO42" s="257"/>
      <c r="AP42" s="257"/>
      <c r="AQ42" s="257"/>
      <c r="AR42" s="257"/>
    </row>
    <row r="43" spans="1:44" ht="14.5" x14ac:dyDescent="0.35">
      <c r="A43" s="1391" t="s">
        <v>1589</v>
      </c>
      <c r="B43" s="1440" t="s">
        <v>1590</v>
      </c>
      <c r="C43" s="646" t="s">
        <v>1591</v>
      </c>
      <c r="D43" s="1423"/>
      <c r="E43" s="1423"/>
      <c r="F43" s="1423"/>
      <c r="G43" s="646"/>
      <c r="H43" s="943" t="s">
        <v>671</v>
      </c>
      <c r="I43" s="1392"/>
      <c r="J43" s="943" t="s">
        <v>671</v>
      </c>
      <c r="K43" s="1392"/>
      <c r="L43" s="943" t="s">
        <v>671</v>
      </c>
      <c r="M43" s="1392"/>
      <c r="N43" s="943" t="s">
        <v>671</v>
      </c>
      <c r="O43" s="1441"/>
      <c r="P43" s="943" t="s">
        <v>671</v>
      </c>
      <c r="Q43" s="1392"/>
      <c r="R43" s="943" t="s">
        <v>671</v>
      </c>
      <c r="S43" s="1393"/>
      <c r="T43" s="943" t="s">
        <v>671</v>
      </c>
      <c r="U43" s="1393"/>
      <c r="V43" s="943" t="s">
        <v>671</v>
      </c>
      <c r="W43" s="1435"/>
      <c r="AH43" s="257"/>
      <c r="AI43" s="257"/>
      <c r="AJ43" s="257"/>
      <c r="AK43" s="257"/>
      <c r="AL43" s="257"/>
      <c r="AM43" s="257"/>
      <c r="AN43" s="257"/>
      <c r="AO43" s="257"/>
      <c r="AP43" s="257"/>
      <c r="AQ43" s="257"/>
      <c r="AR43" s="257"/>
    </row>
    <row r="44" spans="1:44" ht="14.5" x14ac:dyDescent="0.35">
      <c r="A44" s="1391" t="s">
        <v>1592</v>
      </c>
      <c r="B44" s="1439" t="s">
        <v>1593</v>
      </c>
      <c r="C44" s="646" t="s">
        <v>1591</v>
      </c>
      <c r="D44" s="1423"/>
      <c r="E44" s="1423"/>
      <c r="F44" s="1423"/>
      <c r="G44" s="646"/>
      <c r="H44" s="943" t="s">
        <v>669</v>
      </c>
      <c r="I44" s="1392"/>
      <c r="J44" s="943" t="s">
        <v>669</v>
      </c>
      <c r="K44" s="1441"/>
      <c r="L44" s="943" t="s">
        <v>669</v>
      </c>
      <c r="M44" s="1392"/>
      <c r="N44" s="943" t="s">
        <v>669</v>
      </c>
      <c r="O44" s="1392"/>
      <c r="P44" s="943" t="s">
        <v>669</v>
      </c>
      <c r="Q44" s="1441"/>
      <c r="R44" s="943" t="s">
        <v>669</v>
      </c>
      <c r="S44" s="1393"/>
      <c r="T44" s="943" t="s">
        <v>669</v>
      </c>
      <c r="U44" s="1393"/>
      <c r="V44" s="943" t="s">
        <v>669</v>
      </c>
      <c r="W44" s="1435"/>
      <c r="AH44" s="257"/>
      <c r="AI44" s="316">
        <v>351222</v>
      </c>
      <c r="AJ44" s="316">
        <v>209500</v>
      </c>
      <c r="AK44" s="316">
        <v>263207</v>
      </c>
      <c r="AL44" s="316">
        <v>289365</v>
      </c>
      <c r="AM44" s="316">
        <v>322395</v>
      </c>
      <c r="AN44" s="316">
        <v>464826</v>
      </c>
      <c r="AO44" s="257"/>
      <c r="AP44" s="257"/>
      <c r="AQ44" s="257"/>
      <c r="AR44" s="257"/>
    </row>
    <row r="45" spans="1:44" ht="43.5" x14ac:dyDescent="0.35">
      <c r="A45" s="1391"/>
      <c r="B45" s="1439" t="s">
        <v>1594</v>
      </c>
      <c r="C45" s="646" t="s">
        <v>1591</v>
      </c>
      <c r="D45" s="1423"/>
      <c r="E45" s="1423"/>
      <c r="F45" s="1423"/>
      <c r="G45" s="646"/>
      <c r="H45" s="943" t="s">
        <v>669</v>
      </c>
      <c r="I45" s="1438">
        <v>42000</v>
      </c>
      <c r="J45" s="1101" t="s">
        <v>654</v>
      </c>
      <c r="K45" s="1442">
        <f>I45</f>
        <v>42000</v>
      </c>
      <c r="L45" s="943" t="s">
        <v>669</v>
      </c>
      <c r="M45" s="1392"/>
      <c r="N45" s="943" t="s">
        <v>669</v>
      </c>
      <c r="O45" s="1441"/>
      <c r="P45" s="943" t="s">
        <v>669</v>
      </c>
      <c r="Q45" s="1392"/>
      <c r="R45" s="943" t="s">
        <v>669</v>
      </c>
      <c r="S45" s="1441" t="s">
        <v>1595</v>
      </c>
      <c r="T45" s="943" t="s">
        <v>669</v>
      </c>
      <c r="U45" s="1441" t="s">
        <v>1595</v>
      </c>
      <c r="V45" s="943" t="s">
        <v>669</v>
      </c>
      <c r="W45" s="1435"/>
      <c r="AH45" s="257"/>
      <c r="AI45" s="257"/>
      <c r="AJ45" s="257"/>
      <c r="AK45" s="257"/>
      <c r="AL45" s="257"/>
      <c r="AM45" s="257"/>
      <c r="AN45" s="257"/>
      <c r="AO45" s="257"/>
      <c r="AP45" s="257"/>
      <c r="AQ45" s="257"/>
      <c r="AR45" s="257"/>
    </row>
    <row r="46" spans="1:44" ht="36" customHeight="1" x14ac:dyDescent="0.35">
      <c r="A46" s="1391"/>
      <c r="B46" s="1439" t="s">
        <v>1596</v>
      </c>
      <c r="C46" s="646"/>
      <c r="D46" s="1423"/>
      <c r="E46" s="1423"/>
      <c r="F46" s="1423"/>
      <c r="G46" s="646"/>
      <c r="H46" s="943" t="s">
        <v>671</v>
      </c>
      <c r="I46" s="1392"/>
      <c r="J46" s="943" t="s">
        <v>671</v>
      </c>
      <c r="K46" s="1392"/>
      <c r="L46" s="943" t="s">
        <v>671</v>
      </c>
      <c r="M46" s="1443">
        <f>-42880-14525</f>
        <v>-57405</v>
      </c>
      <c r="N46" s="943" t="s">
        <v>671</v>
      </c>
      <c r="O46" s="1441"/>
      <c r="P46" s="943" t="s">
        <v>671</v>
      </c>
      <c r="Q46" s="1392"/>
      <c r="R46" s="943" t="s">
        <v>671</v>
      </c>
      <c r="S46" s="1392"/>
      <c r="T46" s="943" t="s">
        <v>671</v>
      </c>
      <c r="U46" s="1392"/>
      <c r="V46" s="943" t="s">
        <v>671</v>
      </c>
      <c r="W46" s="1435"/>
      <c r="AH46" s="257"/>
      <c r="AI46" s="259" t="s">
        <v>1553</v>
      </c>
      <c r="AJ46" s="259" t="s">
        <v>1554</v>
      </c>
      <c r="AK46" s="259" t="s">
        <v>1555</v>
      </c>
      <c r="AL46" s="259" t="s">
        <v>1552</v>
      </c>
      <c r="AM46" s="259" t="s">
        <v>1551</v>
      </c>
      <c r="AN46" s="259" t="s">
        <v>1556</v>
      </c>
      <c r="AO46" s="259" t="s">
        <v>1558</v>
      </c>
      <c r="AP46" s="257"/>
      <c r="AQ46" s="257"/>
      <c r="AR46" s="257"/>
    </row>
    <row r="47" spans="1:44" ht="14.5" x14ac:dyDescent="0.35">
      <c r="A47" s="1391"/>
      <c r="B47" s="1434" t="s">
        <v>1597</v>
      </c>
      <c r="C47" s="646"/>
      <c r="D47" s="1423"/>
      <c r="E47" s="1423"/>
      <c r="F47" s="1423"/>
      <c r="G47" s="646"/>
      <c r="H47" s="943" t="s">
        <v>669</v>
      </c>
      <c r="I47" s="1392"/>
      <c r="J47" s="943" t="s">
        <v>669</v>
      </c>
      <c r="K47" s="1392"/>
      <c r="L47" s="943" t="s">
        <v>671</v>
      </c>
      <c r="M47" s="1443">
        <v>-104555</v>
      </c>
      <c r="N47" s="943" t="s">
        <v>671</v>
      </c>
      <c r="O47" s="1441"/>
      <c r="P47" s="1101" t="s">
        <v>671</v>
      </c>
      <c r="Q47" s="1392"/>
      <c r="R47" s="1101" t="s">
        <v>671</v>
      </c>
      <c r="S47" s="1392"/>
      <c r="T47" s="1101" t="s">
        <v>671</v>
      </c>
      <c r="U47" s="1392"/>
      <c r="V47" s="943" t="s">
        <v>669</v>
      </c>
      <c r="W47" s="1435"/>
      <c r="AH47" s="257" t="s">
        <v>1598</v>
      </c>
      <c r="AI47" s="257" t="s">
        <v>1599</v>
      </c>
      <c r="AJ47" s="257" t="s">
        <v>1600</v>
      </c>
      <c r="AK47" s="257" t="s">
        <v>1600</v>
      </c>
      <c r="AL47" s="257" t="s">
        <v>1601</v>
      </c>
      <c r="AM47" s="257" t="s">
        <v>1600</v>
      </c>
      <c r="AN47" s="257" t="s">
        <v>1602</v>
      </c>
      <c r="AO47" s="257"/>
      <c r="AP47" s="257"/>
      <c r="AQ47" s="257"/>
      <c r="AR47" s="257"/>
    </row>
    <row r="48" spans="1:44" ht="29" x14ac:dyDescent="0.35">
      <c r="A48" s="1391"/>
      <c r="B48" s="1439" t="s">
        <v>1603</v>
      </c>
      <c r="C48" s="1444" t="s">
        <v>1604</v>
      </c>
      <c r="D48" s="1445">
        <v>50000</v>
      </c>
      <c r="E48" s="1423" t="s">
        <v>28</v>
      </c>
      <c r="F48" s="1446">
        <v>5.5</v>
      </c>
      <c r="G48" s="690">
        <f t="shared" ref="G48:G50" si="0">F48*D48</f>
        <v>275000</v>
      </c>
      <c r="H48" s="943" t="s">
        <v>671</v>
      </c>
      <c r="I48" s="1392"/>
      <c r="J48" s="943" t="s">
        <v>671</v>
      </c>
      <c r="K48" s="1392"/>
      <c r="L48" s="943" t="s">
        <v>669</v>
      </c>
      <c r="M48" s="1392"/>
      <c r="N48" s="943" t="s">
        <v>669</v>
      </c>
      <c r="O48" s="1441"/>
      <c r="P48" s="943" t="s">
        <v>669</v>
      </c>
      <c r="Q48" s="1392"/>
      <c r="R48" s="943" t="s">
        <v>669</v>
      </c>
      <c r="S48" s="1392"/>
      <c r="T48" s="943" t="s">
        <v>669</v>
      </c>
      <c r="U48" s="1392"/>
      <c r="V48" s="943" t="s">
        <v>669</v>
      </c>
      <c r="W48" s="1435"/>
      <c r="AH48" s="257" t="s">
        <v>1605</v>
      </c>
      <c r="AI48" s="257"/>
      <c r="AJ48" s="257"/>
      <c r="AK48" s="257"/>
      <c r="AL48" s="257"/>
      <c r="AM48" s="257"/>
      <c r="AN48" s="257" t="s">
        <v>1602</v>
      </c>
      <c r="AO48" s="257"/>
      <c r="AP48" s="257"/>
      <c r="AQ48" s="257"/>
      <c r="AR48" s="257"/>
    </row>
    <row r="49" spans="1:44" ht="14.5" x14ac:dyDescent="0.35">
      <c r="A49" s="1391"/>
      <c r="B49" s="1439" t="s">
        <v>1606</v>
      </c>
      <c r="C49" s="646" t="s">
        <v>1607</v>
      </c>
      <c r="D49" s="1445">
        <f>109*1.1</f>
        <v>119.9</v>
      </c>
      <c r="E49" s="1423" t="s">
        <v>28</v>
      </c>
      <c r="F49" s="1446">
        <v>5.5</v>
      </c>
      <c r="G49" s="690">
        <f t="shared" si="0"/>
        <v>659.45</v>
      </c>
      <c r="H49" s="943" t="s">
        <v>669</v>
      </c>
      <c r="I49" s="1392"/>
      <c r="J49" s="943" t="s">
        <v>669</v>
      </c>
      <c r="K49" s="1392"/>
      <c r="L49" s="943" t="s">
        <v>669</v>
      </c>
      <c r="M49" s="1392"/>
      <c r="N49" s="943" t="s">
        <v>669</v>
      </c>
      <c r="O49" s="1441"/>
      <c r="P49" s="943" t="s">
        <v>669</v>
      </c>
      <c r="Q49" s="1392"/>
      <c r="R49" s="943" t="s">
        <v>669</v>
      </c>
      <c r="S49" s="1392"/>
      <c r="T49" s="943" t="s">
        <v>669</v>
      </c>
      <c r="U49" s="1392"/>
      <c r="V49" s="943" t="s">
        <v>669</v>
      </c>
      <c r="W49" s="1435"/>
      <c r="AH49" s="257" t="s">
        <v>1608</v>
      </c>
      <c r="AI49" s="257"/>
      <c r="AJ49" s="257"/>
      <c r="AK49" s="257"/>
      <c r="AL49" s="257"/>
      <c r="AM49" s="257"/>
      <c r="AN49" s="257"/>
      <c r="AO49" s="257"/>
      <c r="AP49" s="257"/>
      <c r="AQ49" s="257"/>
      <c r="AR49" s="257"/>
    </row>
    <row r="50" spans="1:44" ht="14.5" x14ac:dyDescent="0.35">
      <c r="A50" s="1391"/>
      <c r="B50" s="1439" t="s">
        <v>1609</v>
      </c>
      <c r="C50" s="646" t="s">
        <v>1610</v>
      </c>
      <c r="D50" s="1423">
        <v>240</v>
      </c>
      <c r="E50" s="1423" t="s">
        <v>28</v>
      </c>
      <c r="F50" s="1446">
        <v>5.5</v>
      </c>
      <c r="G50" s="690">
        <f t="shared" si="0"/>
        <v>1320</v>
      </c>
      <c r="H50" s="943" t="s">
        <v>669</v>
      </c>
      <c r="I50" s="1392"/>
      <c r="J50" s="943" t="s">
        <v>669</v>
      </c>
      <c r="K50" s="1392"/>
      <c r="L50" s="943" t="s">
        <v>669</v>
      </c>
      <c r="M50" s="1392"/>
      <c r="N50" s="943" t="s">
        <v>669</v>
      </c>
      <c r="O50" s="1392"/>
      <c r="P50" s="943" t="s">
        <v>669</v>
      </c>
      <c r="Q50" s="1392"/>
      <c r="R50" s="943" t="s">
        <v>669</v>
      </c>
      <c r="S50" s="1392"/>
      <c r="T50" s="943" t="s">
        <v>669</v>
      </c>
      <c r="U50" s="1392"/>
      <c r="V50" s="943" t="s">
        <v>669</v>
      </c>
      <c r="W50" s="1435"/>
      <c r="AH50" s="257" t="s">
        <v>1611</v>
      </c>
      <c r="AI50" s="257" t="s">
        <v>1612</v>
      </c>
      <c r="AJ50" s="537" t="s">
        <v>671</v>
      </c>
      <c r="AK50" s="257" t="s">
        <v>1613</v>
      </c>
      <c r="AL50" s="537" t="s">
        <v>671</v>
      </c>
      <c r="AM50" s="257" t="s">
        <v>1614</v>
      </c>
      <c r="AN50" s="257" t="s">
        <v>1615</v>
      </c>
      <c r="AO50" s="257"/>
      <c r="AP50" s="257"/>
      <c r="AQ50" s="257"/>
      <c r="AR50" s="257"/>
    </row>
    <row r="51" spans="1:44" ht="14.5" x14ac:dyDescent="0.35">
      <c r="A51" s="1391"/>
      <c r="B51" s="1434" t="s">
        <v>80</v>
      </c>
      <c r="C51" s="646"/>
      <c r="D51" s="1423"/>
      <c r="E51" s="1423"/>
      <c r="F51" s="1423"/>
      <c r="G51" s="646"/>
      <c r="H51" s="943" t="s">
        <v>669</v>
      </c>
      <c r="I51" s="1392"/>
      <c r="J51" s="943" t="s">
        <v>669</v>
      </c>
      <c r="K51" s="1437">
        <f>8600+1083</f>
        <v>9683</v>
      </c>
      <c r="L51" s="943" t="s">
        <v>669</v>
      </c>
      <c r="M51" s="1437">
        <f>12035+1584</f>
        <v>13619</v>
      </c>
      <c r="N51" s="943" t="s">
        <v>669</v>
      </c>
      <c r="O51" s="1392"/>
      <c r="P51" s="943" t="s">
        <v>669</v>
      </c>
      <c r="Q51" s="1437">
        <v>10459</v>
      </c>
      <c r="R51" s="943" t="s">
        <v>669</v>
      </c>
      <c r="S51" s="1393"/>
      <c r="T51" s="943" t="s">
        <v>669</v>
      </c>
      <c r="U51" s="1393"/>
      <c r="V51" s="943" t="s">
        <v>669</v>
      </c>
      <c r="W51" s="1438">
        <f>21700</f>
        <v>21700</v>
      </c>
      <c r="AH51" s="257" t="s">
        <v>1616</v>
      </c>
      <c r="AI51" s="257"/>
      <c r="AJ51" s="257"/>
      <c r="AK51" s="257"/>
      <c r="AL51" s="257"/>
      <c r="AM51" s="257"/>
      <c r="AN51" s="257" t="s">
        <v>1617</v>
      </c>
      <c r="AO51" s="257"/>
      <c r="AP51" s="257"/>
      <c r="AQ51" s="257"/>
      <c r="AR51" s="257"/>
    </row>
    <row r="52" spans="1:44" ht="14.5" x14ac:dyDescent="0.35">
      <c r="A52" s="1391"/>
      <c r="B52" s="1434" t="s">
        <v>1586</v>
      </c>
      <c r="C52" s="646"/>
      <c r="D52" s="1423"/>
      <c r="E52" s="1423"/>
      <c r="F52" s="1423"/>
      <c r="G52" s="646"/>
      <c r="H52" s="943" t="s">
        <v>669</v>
      </c>
      <c r="I52" s="1392"/>
      <c r="J52" s="943" t="s">
        <v>669</v>
      </c>
      <c r="K52" s="1392"/>
      <c r="L52" s="943" t="s">
        <v>669</v>
      </c>
      <c r="M52" s="1392"/>
      <c r="N52" s="943" t="s">
        <v>669</v>
      </c>
      <c r="O52" s="1392"/>
      <c r="P52" s="943" t="s">
        <v>669</v>
      </c>
      <c r="Q52" s="1392"/>
      <c r="R52" s="943" t="s">
        <v>669</v>
      </c>
      <c r="S52" s="1393"/>
      <c r="T52" s="943" t="s">
        <v>669</v>
      </c>
      <c r="U52" s="1393"/>
      <c r="V52" s="943" t="s">
        <v>669</v>
      </c>
      <c r="W52" s="1438"/>
      <c r="AH52" s="257" t="s">
        <v>1618</v>
      </c>
      <c r="AI52" s="257"/>
      <c r="AJ52" s="257"/>
      <c r="AK52" s="257"/>
      <c r="AL52" s="257"/>
      <c r="AM52" s="257"/>
      <c r="AN52" s="257" t="s">
        <v>1617</v>
      </c>
      <c r="AO52" s="257"/>
      <c r="AP52" s="257"/>
      <c r="AQ52" s="257"/>
      <c r="AR52" s="257"/>
    </row>
    <row r="53" spans="1:44" ht="29" x14ac:dyDescent="0.35">
      <c r="A53" s="1391"/>
      <c r="B53" s="1439" t="s">
        <v>1619</v>
      </c>
      <c r="C53" s="646" t="s">
        <v>1620</v>
      </c>
      <c r="D53" s="1423"/>
      <c r="E53" s="1423"/>
      <c r="F53" s="1423"/>
      <c r="G53" s="646"/>
      <c r="H53" s="943" t="s">
        <v>669</v>
      </c>
      <c r="I53" s="1441"/>
      <c r="J53" s="943" t="s">
        <v>669</v>
      </c>
      <c r="K53" s="1392"/>
      <c r="L53" s="943" t="s">
        <v>669</v>
      </c>
      <c r="M53" s="1392"/>
      <c r="N53" s="943" t="s">
        <v>669</v>
      </c>
      <c r="O53" s="1392"/>
      <c r="P53" s="943" t="s">
        <v>669</v>
      </c>
      <c r="Q53" s="1392"/>
      <c r="R53" s="943" t="s">
        <v>669</v>
      </c>
      <c r="S53" s="1441" t="s">
        <v>1621</v>
      </c>
      <c r="T53" s="943" t="s">
        <v>669</v>
      </c>
      <c r="U53" s="1441" t="s">
        <v>1621</v>
      </c>
      <c r="V53" s="943" t="s">
        <v>669</v>
      </c>
      <c r="W53" s="1435"/>
      <c r="AH53" s="257" t="s">
        <v>1622</v>
      </c>
      <c r="AI53" s="257"/>
      <c r="AJ53" s="257"/>
      <c r="AK53" s="257"/>
      <c r="AL53" s="257"/>
      <c r="AM53" s="257"/>
      <c r="AN53" s="257" t="s">
        <v>1617</v>
      </c>
      <c r="AO53" s="257"/>
      <c r="AP53" s="257"/>
      <c r="AQ53" s="257"/>
      <c r="AR53" s="257"/>
    </row>
    <row r="54" spans="1:44" ht="14.5" x14ac:dyDescent="0.35">
      <c r="A54" s="1391"/>
      <c r="B54" s="1439" t="s">
        <v>1594</v>
      </c>
      <c r="C54" s="646" t="s">
        <v>1591</v>
      </c>
      <c r="D54" s="1423"/>
      <c r="E54" s="1423"/>
      <c r="F54" s="1423"/>
      <c r="G54" s="646"/>
      <c r="H54" s="943" t="s">
        <v>669</v>
      </c>
      <c r="I54" s="1437">
        <v>3450</v>
      </c>
      <c r="J54" s="1101" t="s">
        <v>654</v>
      </c>
      <c r="K54" s="1442">
        <f>I54</f>
        <v>3450</v>
      </c>
      <c r="L54" s="943" t="s">
        <v>669</v>
      </c>
      <c r="M54" s="1392"/>
      <c r="N54" s="943" t="s">
        <v>669</v>
      </c>
      <c r="O54" s="1392"/>
      <c r="P54" s="943" t="s">
        <v>669</v>
      </c>
      <c r="Q54" s="1392"/>
      <c r="R54" s="943" t="s">
        <v>669</v>
      </c>
      <c r="S54" s="1393"/>
      <c r="T54" s="943" t="s">
        <v>669</v>
      </c>
      <c r="U54" s="1393"/>
      <c r="V54" s="943" t="s">
        <v>669</v>
      </c>
      <c r="W54" s="1435"/>
      <c r="AH54" s="257" t="s">
        <v>1623</v>
      </c>
      <c r="AI54" s="257"/>
      <c r="AJ54" s="257"/>
      <c r="AK54" s="257"/>
      <c r="AL54" s="257"/>
      <c r="AM54" s="257"/>
      <c r="AN54" s="257" t="s">
        <v>1617</v>
      </c>
      <c r="AO54" s="257"/>
      <c r="AP54" s="257"/>
      <c r="AQ54" s="257"/>
      <c r="AR54" s="257"/>
    </row>
    <row r="55" spans="1:44" ht="14.5" x14ac:dyDescent="0.35">
      <c r="A55" s="1391"/>
      <c r="B55" s="1434" t="s">
        <v>1597</v>
      </c>
      <c r="C55" s="646"/>
      <c r="D55" s="1423"/>
      <c r="E55" s="1423"/>
      <c r="F55" s="1423"/>
      <c r="G55" s="646"/>
      <c r="H55" s="943" t="s">
        <v>669</v>
      </c>
      <c r="I55" s="1392"/>
      <c r="J55" s="943" t="s">
        <v>669</v>
      </c>
      <c r="K55" s="1392"/>
      <c r="L55" s="943" t="s">
        <v>669</v>
      </c>
      <c r="M55" s="1392"/>
      <c r="N55" s="943" t="s">
        <v>669</v>
      </c>
      <c r="O55" s="1392"/>
      <c r="P55" s="1101" t="s">
        <v>671</v>
      </c>
      <c r="Q55" s="1392"/>
      <c r="R55" s="1101" t="s">
        <v>671</v>
      </c>
      <c r="S55" s="1392"/>
      <c r="T55" s="1101" t="s">
        <v>671</v>
      </c>
      <c r="U55" s="1392"/>
      <c r="V55" s="1101" t="s">
        <v>671</v>
      </c>
      <c r="W55" s="1392"/>
      <c r="AH55" s="257"/>
      <c r="AI55" s="257"/>
      <c r="AJ55" s="257"/>
      <c r="AK55" s="257"/>
      <c r="AL55" s="257"/>
      <c r="AM55" s="257"/>
      <c r="AN55" s="257"/>
      <c r="AO55" s="257"/>
      <c r="AP55" s="257"/>
      <c r="AQ55" s="257"/>
      <c r="AR55" s="257"/>
    </row>
    <row r="56" spans="1:44" ht="14.5" x14ac:dyDescent="0.35">
      <c r="A56" s="1391"/>
      <c r="B56" s="1439" t="s">
        <v>1624</v>
      </c>
      <c r="C56" s="646" t="s">
        <v>1591</v>
      </c>
      <c r="D56" s="1423"/>
      <c r="E56" s="1423"/>
      <c r="F56" s="1423"/>
      <c r="G56" s="646"/>
      <c r="H56" s="943" t="s">
        <v>669</v>
      </c>
      <c r="I56" s="1392"/>
      <c r="J56" s="943" t="s">
        <v>669</v>
      </c>
      <c r="K56" s="1392"/>
      <c r="L56" s="943" t="s">
        <v>669</v>
      </c>
      <c r="M56" s="1392"/>
      <c r="N56" s="943" t="s">
        <v>669</v>
      </c>
      <c r="O56" s="1392"/>
      <c r="P56" s="1101" t="s">
        <v>671</v>
      </c>
      <c r="Q56" s="1392"/>
      <c r="R56" s="1101" t="s">
        <v>671</v>
      </c>
      <c r="S56" s="1392"/>
      <c r="T56" s="1101" t="s">
        <v>671</v>
      </c>
      <c r="U56" s="1392"/>
      <c r="V56" s="1101" t="s">
        <v>671</v>
      </c>
      <c r="W56" s="1392"/>
      <c r="AH56" s="257"/>
      <c r="AI56" s="257"/>
      <c r="AJ56" s="257"/>
      <c r="AK56" s="257"/>
      <c r="AL56" s="257"/>
      <c r="AM56" s="257"/>
      <c r="AN56" s="257"/>
      <c r="AO56" s="257"/>
      <c r="AP56" s="257"/>
      <c r="AQ56" s="257"/>
      <c r="AR56" s="257"/>
    </row>
    <row r="57" spans="1:44" ht="14.5" x14ac:dyDescent="0.35">
      <c r="A57" s="1391"/>
      <c r="B57" s="1439" t="s">
        <v>1609</v>
      </c>
      <c r="C57" s="646"/>
      <c r="D57" s="1423"/>
      <c r="E57" s="1423"/>
      <c r="F57" s="1423"/>
      <c r="G57" s="646"/>
      <c r="H57" s="943" t="s">
        <v>669</v>
      </c>
      <c r="I57" s="1392"/>
      <c r="J57" s="943" t="s">
        <v>669</v>
      </c>
      <c r="K57" s="1392"/>
      <c r="L57" s="943" t="s">
        <v>669</v>
      </c>
      <c r="M57" s="1392"/>
      <c r="N57" s="943" t="s">
        <v>669</v>
      </c>
      <c r="O57" s="1392"/>
      <c r="P57" s="1101" t="s">
        <v>671</v>
      </c>
      <c r="Q57" s="1392"/>
      <c r="R57" s="1101" t="s">
        <v>671</v>
      </c>
      <c r="S57" s="1392"/>
      <c r="T57" s="1101" t="s">
        <v>671</v>
      </c>
      <c r="U57" s="1392"/>
      <c r="V57" s="1101" t="s">
        <v>671</v>
      </c>
      <c r="W57" s="1392"/>
    </row>
    <row r="58" spans="1:44" ht="14.5" x14ac:dyDescent="0.35">
      <c r="A58" s="1391"/>
      <c r="B58" s="1439"/>
      <c r="C58" s="646"/>
      <c r="D58" s="1423"/>
      <c r="E58" s="1423"/>
      <c r="F58" s="1423"/>
      <c r="G58" s="646"/>
      <c r="H58" s="943"/>
      <c r="I58" s="1392"/>
      <c r="J58" s="1392"/>
      <c r="K58" s="1392"/>
      <c r="L58" s="943"/>
      <c r="M58" s="1392"/>
      <c r="N58" s="943"/>
      <c r="O58" s="1392"/>
      <c r="P58" s="943"/>
      <c r="Q58" s="1392"/>
      <c r="R58" s="943"/>
      <c r="S58" s="1393"/>
      <c r="T58" s="943"/>
      <c r="U58" s="1393"/>
      <c r="V58" s="943"/>
      <c r="W58" s="1435"/>
    </row>
    <row r="59" spans="1:44" ht="14.5" x14ac:dyDescent="0.35">
      <c r="A59" s="1391"/>
      <c r="B59" s="1434" t="s">
        <v>795</v>
      </c>
      <c r="C59" s="646"/>
      <c r="D59" s="1423"/>
      <c r="E59" s="1423"/>
      <c r="F59" s="1423"/>
      <c r="G59" s="646"/>
      <c r="H59" s="943" t="s">
        <v>669</v>
      </c>
      <c r="I59" s="1392"/>
      <c r="J59" s="943" t="s">
        <v>669</v>
      </c>
      <c r="K59" s="1437">
        <v>729</v>
      </c>
      <c r="L59" s="943" t="s">
        <v>669</v>
      </c>
      <c r="M59" s="1437">
        <v>2519</v>
      </c>
      <c r="N59" s="1101" t="s">
        <v>654</v>
      </c>
      <c r="O59" s="1442">
        <f>M59</f>
        <v>2519</v>
      </c>
      <c r="P59" s="943" t="s">
        <v>669</v>
      </c>
      <c r="Q59" s="1437">
        <v>703</v>
      </c>
      <c r="R59" s="943" t="s">
        <v>669</v>
      </c>
      <c r="S59" s="1393"/>
      <c r="T59" s="943" t="s">
        <v>669</v>
      </c>
      <c r="U59" s="1393"/>
      <c r="V59" s="943" t="s">
        <v>671</v>
      </c>
      <c r="W59" s="1435"/>
    </row>
    <row r="60" spans="1:44" ht="14.5" x14ac:dyDescent="0.35">
      <c r="A60" s="1391" t="s">
        <v>1589</v>
      </c>
      <c r="B60" s="1439" t="s">
        <v>1594</v>
      </c>
      <c r="C60" s="646"/>
      <c r="D60" s="1423"/>
      <c r="E60" s="1423"/>
      <c r="F60" s="1423"/>
      <c r="G60" s="646"/>
      <c r="H60" s="943" t="s">
        <v>669</v>
      </c>
      <c r="I60" s="1392"/>
      <c r="J60" s="943" t="s">
        <v>669</v>
      </c>
      <c r="K60" s="1392"/>
      <c r="L60" s="943" t="s">
        <v>669</v>
      </c>
      <c r="M60" s="1392"/>
      <c r="N60" s="1101" t="s">
        <v>654</v>
      </c>
      <c r="O60" s="1392"/>
      <c r="P60" s="943" t="s">
        <v>671</v>
      </c>
      <c r="Q60" s="1392"/>
      <c r="R60" s="943" t="s">
        <v>669</v>
      </c>
      <c r="S60" s="1393"/>
      <c r="T60" s="943" t="s">
        <v>669</v>
      </c>
      <c r="U60" s="1393"/>
      <c r="V60" s="943" t="s">
        <v>671</v>
      </c>
      <c r="W60" s="1435"/>
    </row>
    <row r="61" spans="1:44" ht="14.5" x14ac:dyDescent="0.35">
      <c r="A61" s="1391"/>
      <c r="B61" s="1434"/>
      <c r="C61" s="646"/>
      <c r="D61" s="1423"/>
      <c r="E61" s="1423"/>
      <c r="F61" s="1423"/>
      <c r="G61" s="646"/>
      <c r="H61" s="943"/>
      <c r="I61" s="1392"/>
      <c r="J61" s="1392"/>
      <c r="K61" s="1392"/>
      <c r="L61" s="943"/>
      <c r="M61" s="1392"/>
      <c r="N61" s="943"/>
      <c r="O61" s="1392"/>
      <c r="P61" s="943"/>
      <c r="Q61" s="1392"/>
      <c r="R61" s="943"/>
      <c r="S61" s="1393"/>
      <c r="T61" s="943"/>
      <c r="U61" s="1393"/>
      <c r="V61" s="943"/>
      <c r="W61" s="1435"/>
    </row>
    <row r="62" spans="1:44" ht="14.5" hidden="1" x14ac:dyDescent="0.35">
      <c r="A62" s="1391"/>
      <c r="B62" s="1447" t="s">
        <v>1317</v>
      </c>
      <c r="C62" s="646"/>
      <c r="D62" s="1445">
        <f>6111*1.1</f>
        <v>6722.1</v>
      </c>
      <c r="E62" s="1423" t="s">
        <v>28</v>
      </c>
      <c r="F62" s="1423">
        <v>5.5</v>
      </c>
      <c r="G62" s="646">
        <f>F62*D62</f>
        <v>36971.550000000003</v>
      </c>
      <c r="H62" s="943"/>
      <c r="I62" s="1392"/>
      <c r="J62" s="1392"/>
      <c r="K62" s="1392"/>
      <c r="L62" s="943"/>
      <c r="M62" s="1393"/>
      <c r="N62" s="943"/>
      <c r="O62" s="1448"/>
      <c r="P62" s="943"/>
      <c r="Q62" s="1392"/>
      <c r="R62" s="943"/>
      <c r="S62" s="1393"/>
      <c r="T62" s="943"/>
      <c r="U62" s="1393"/>
      <c r="V62" s="943"/>
      <c r="W62" s="1436"/>
    </row>
    <row r="63" spans="1:44" ht="14.5" hidden="1" x14ac:dyDescent="0.35">
      <c r="A63" s="1391"/>
      <c r="B63" s="1447" t="s">
        <v>1318</v>
      </c>
      <c r="C63" s="646"/>
      <c r="D63" s="1445">
        <f>7842*1.1</f>
        <v>8626.2000000000007</v>
      </c>
      <c r="E63" s="1423" t="s">
        <v>28</v>
      </c>
      <c r="F63" s="1423">
        <v>5.5</v>
      </c>
      <c r="G63" s="646">
        <f t="shared" ref="G63:G67" si="1">F63*D63</f>
        <v>47444.100000000006</v>
      </c>
      <c r="H63" s="943"/>
      <c r="I63" s="1392"/>
      <c r="J63" s="1392"/>
      <c r="K63" s="1392"/>
      <c r="L63" s="943"/>
      <c r="M63" s="1393"/>
      <c r="N63" s="943"/>
      <c r="O63" s="1448"/>
      <c r="P63" s="943"/>
      <c r="Q63" s="1392"/>
      <c r="R63" s="943"/>
      <c r="S63" s="1393"/>
      <c r="T63" s="943"/>
      <c r="U63" s="1393"/>
      <c r="V63" s="943"/>
      <c r="W63" s="1436"/>
    </row>
    <row r="64" spans="1:44" ht="14.5" hidden="1" x14ac:dyDescent="0.35">
      <c r="A64" s="1391"/>
      <c r="B64" s="1447" t="s">
        <v>1319</v>
      </c>
      <c r="C64" s="646"/>
      <c r="D64" s="1445">
        <f>7842*1.1</f>
        <v>8626.2000000000007</v>
      </c>
      <c r="E64" s="1423" t="s">
        <v>28</v>
      </c>
      <c r="F64" s="1423">
        <v>5.5</v>
      </c>
      <c r="G64" s="646">
        <f t="shared" si="1"/>
        <v>47444.100000000006</v>
      </c>
      <c r="H64" s="943"/>
      <c r="I64" s="1392"/>
      <c r="J64" s="1392"/>
      <c r="K64" s="1392"/>
      <c r="L64" s="943"/>
      <c r="M64" s="1393"/>
      <c r="N64" s="943"/>
      <c r="O64" s="1448"/>
      <c r="P64" s="943"/>
      <c r="Q64" s="1392"/>
      <c r="R64" s="943"/>
      <c r="S64" s="1393"/>
      <c r="T64" s="943"/>
      <c r="U64" s="1393"/>
      <c r="V64" s="943"/>
      <c r="W64" s="1436"/>
    </row>
    <row r="65" spans="1:23" ht="14.5" hidden="1" x14ac:dyDescent="0.35">
      <c r="A65" s="1391"/>
      <c r="B65" s="1447" t="s">
        <v>1320</v>
      </c>
      <c r="C65" s="646"/>
      <c r="D65" s="1445">
        <f>7800*1.1</f>
        <v>8580</v>
      </c>
      <c r="E65" s="1423" t="s">
        <v>28</v>
      </c>
      <c r="F65" s="1423">
        <v>5.5</v>
      </c>
      <c r="G65" s="646">
        <f t="shared" si="1"/>
        <v>47190</v>
      </c>
      <c r="H65" s="943"/>
      <c r="I65" s="1392"/>
      <c r="J65" s="1392"/>
      <c r="K65" s="1392"/>
      <c r="L65" s="943"/>
      <c r="M65" s="1393"/>
      <c r="N65" s="943"/>
      <c r="O65" s="1448"/>
      <c r="P65" s="943"/>
      <c r="Q65" s="1392"/>
      <c r="R65" s="943"/>
      <c r="S65" s="1393"/>
      <c r="T65" s="943"/>
      <c r="U65" s="1393"/>
      <c r="V65" s="943"/>
      <c r="W65" s="1436"/>
    </row>
    <row r="66" spans="1:23" ht="14.5" hidden="1" x14ac:dyDescent="0.35">
      <c r="A66" s="1391"/>
      <c r="B66" s="1447" t="s">
        <v>1321</v>
      </c>
      <c r="C66" s="646"/>
      <c r="D66" s="1445">
        <f>7800*1.1</f>
        <v>8580</v>
      </c>
      <c r="E66" s="1423" t="s">
        <v>28</v>
      </c>
      <c r="F66" s="1423">
        <v>5.5</v>
      </c>
      <c r="G66" s="646">
        <f t="shared" si="1"/>
        <v>47190</v>
      </c>
      <c r="H66" s="943"/>
      <c r="I66" s="1392"/>
      <c r="J66" s="1392"/>
      <c r="K66" s="1392"/>
      <c r="L66" s="943"/>
      <c r="M66" s="1393"/>
      <c r="N66" s="943"/>
      <c r="O66" s="1448"/>
      <c r="P66" s="943"/>
      <c r="Q66" s="1392"/>
      <c r="R66" s="943"/>
      <c r="S66" s="1393"/>
      <c r="T66" s="943"/>
      <c r="U66" s="1393"/>
      <c r="V66" s="943"/>
      <c r="W66" s="1436"/>
    </row>
    <row r="67" spans="1:23" ht="14.5" hidden="1" x14ac:dyDescent="0.35">
      <c r="A67" s="1391"/>
      <c r="B67" s="1447" t="s">
        <v>1322</v>
      </c>
      <c r="C67" s="646"/>
      <c r="D67" s="1445">
        <f>7800*1.1</f>
        <v>8580</v>
      </c>
      <c r="E67" s="1423" t="s">
        <v>28</v>
      </c>
      <c r="F67" s="1423">
        <v>5.5</v>
      </c>
      <c r="G67" s="646">
        <f t="shared" si="1"/>
        <v>47190</v>
      </c>
      <c r="H67" s="943"/>
      <c r="I67" s="1392"/>
      <c r="J67" s="1392"/>
      <c r="K67" s="1392"/>
      <c r="L67" s="943"/>
      <c r="M67" s="1393"/>
      <c r="N67" s="943"/>
      <c r="O67" s="1448"/>
      <c r="P67" s="943"/>
      <c r="Q67" s="1392"/>
      <c r="R67" s="943"/>
      <c r="S67" s="1393"/>
      <c r="T67" s="943"/>
      <c r="U67" s="1393"/>
      <c r="V67" s="943"/>
      <c r="W67" s="1436"/>
    </row>
    <row r="68" spans="1:23" ht="14.5" hidden="1" x14ac:dyDescent="0.35">
      <c r="A68" s="1391"/>
      <c r="B68" s="1447" t="s">
        <v>191</v>
      </c>
      <c r="C68" s="646"/>
      <c r="D68" s="1423"/>
      <c r="E68" s="1423"/>
      <c r="F68" s="1423"/>
      <c r="G68" s="646"/>
      <c r="H68" s="943"/>
      <c r="I68" s="1392"/>
      <c r="J68" s="1392"/>
      <c r="K68" s="1392"/>
      <c r="L68" s="943"/>
      <c r="M68" s="1393"/>
      <c r="N68" s="943"/>
      <c r="O68" s="1448"/>
      <c r="P68" s="943"/>
      <c r="Q68" s="1392"/>
      <c r="R68" s="943"/>
      <c r="S68" s="1393"/>
      <c r="T68" s="943"/>
      <c r="U68" s="1393"/>
      <c r="V68" s="943"/>
      <c r="W68" s="1435"/>
    </row>
    <row r="69" spans="1:23" ht="14.5" hidden="1" x14ac:dyDescent="0.35">
      <c r="A69" s="1391"/>
      <c r="B69" s="1449" t="s">
        <v>80</v>
      </c>
      <c r="C69" s="646"/>
      <c r="D69" s="1423"/>
      <c r="E69" s="1423"/>
      <c r="F69" s="1423"/>
      <c r="G69" s="646"/>
      <c r="H69" s="943"/>
      <c r="I69" s="1392"/>
      <c r="J69" s="1392"/>
      <c r="K69" s="1392"/>
      <c r="L69" s="943"/>
      <c r="M69" s="1393"/>
      <c r="N69" s="943"/>
      <c r="O69" s="1392"/>
      <c r="P69" s="943"/>
      <c r="Q69" s="1392"/>
      <c r="R69" s="943"/>
      <c r="S69" s="1393"/>
      <c r="T69" s="943"/>
      <c r="U69" s="1393"/>
      <c r="V69" s="943"/>
      <c r="W69" s="1435"/>
    </row>
    <row r="70" spans="1:23" ht="14.5" hidden="1" x14ac:dyDescent="0.35">
      <c r="A70" s="1391"/>
      <c r="B70" s="1447" t="s">
        <v>1625</v>
      </c>
      <c r="C70" s="646" t="s">
        <v>1620</v>
      </c>
      <c r="D70" s="1423">
        <f>8715*1.1</f>
        <v>9586.5</v>
      </c>
      <c r="E70" s="1423" t="s">
        <v>28</v>
      </c>
      <c r="F70" s="1423">
        <v>5.5</v>
      </c>
      <c r="G70" s="646">
        <f t="shared" ref="G70" si="2">F70*D70</f>
        <v>52725.75</v>
      </c>
      <c r="H70" s="943"/>
      <c r="I70" s="1392"/>
      <c r="J70" s="1393"/>
      <c r="K70" s="1393"/>
      <c r="L70" s="943"/>
      <c r="M70" s="1393"/>
      <c r="N70" s="943"/>
      <c r="O70" s="1393"/>
      <c r="P70" s="943"/>
      <c r="Q70" s="1393"/>
      <c r="R70" s="943"/>
      <c r="S70" s="1393"/>
      <c r="T70" s="943"/>
      <c r="U70" s="1393"/>
      <c r="V70" s="943"/>
      <c r="W70" s="1436"/>
    </row>
    <row r="71" spans="1:23" ht="14.5" x14ac:dyDescent="0.35">
      <c r="A71" s="1391"/>
      <c r="B71" s="1447" t="s">
        <v>1626</v>
      </c>
      <c r="C71" s="646"/>
      <c r="D71" s="1423"/>
      <c r="E71" s="1423"/>
      <c r="F71" s="1423"/>
      <c r="G71" s="646"/>
      <c r="H71" s="943" t="s">
        <v>669</v>
      </c>
      <c r="I71" s="1392"/>
      <c r="J71" s="943" t="s">
        <v>669</v>
      </c>
      <c r="K71" s="1393"/>
      <c r="L71" s="943" t="s">
        <v>669</v>
      </c>
      <c r="M71" s="1393"/>
      <c r="N71" s="943" t="s">
        <v>669</v>
      </c>
      <c r="O71" s="1393"/>
      <c r="P71" s="943" t="s">
        <v>669</v>
      </c>
      <c r="Q71" s="1393"/>
      <c r="R71" s="943" t="s">
        <v>669</v>
      </c>
      <c r="S71" s="1393"/>
      <c r="T71" s="943" t="s">
        <v>669</v>
      </c>
      <c r="U71" s="1393"/>
      <c r="V71" s="943" t="s">
        <v>669</v>
      </c>
      <c r="W71" s="1435"/>
    </row>
    <row r="72" spans="1:23" ht="14.5" x14ac:dyDescent="0.35">
      <c r="A72" s="1391"/>
      <c r="B72" s="1447"/>
      <c r="C72" s="646"/>
      <c r="D72" s="1423"/>
      <c r="E72" s="1423"/>
      <c r="F72" s="1423"/>
      <c r="G72" s="646"/>
      <c r="H72" s="943"/>
      <c r="I72" s="1393"/>
      <c r="J72" s="1393"/>
      <c r="K72" s="1393"/>
      <c r="L72" s="943"/>
      <c r="M72" s="1393"/>
      <c r="N72" s="943"/>
      <c r="O72" s="1393"/>
      <c r="P72" s="943"/>
      <c r="Q72" s="1393"/>
      <c r="R72" s="943"/>
      <c r="S72" s="1393"/>
      <c r="T72" s="943"/>
      <c r="U72" s="1393"/>
      <c r="V72" s="943"/>
      <c r="W72" s="1393"/>
    </row>
    <row r="73" spans="1:23" ht="14.5" x14ac:dyDescent="0.35">
      <c r="A73" s="1391"/>
      <c r="B73" s="1447"/>
      <c r="C73" s="646"/>
      <c r="D73" s="1423"/>
      <c r="E73" s="1423"/>
      <c r="F73" s="1423"/>
      <c r="G73" s="646"/>
      <c r="H73" s="943"/>
      <c r="I73" s="1393"/>
      <c r="J73" s="1393"/>
      <c r="K73" s="1393"/>
      <c r="L73" s="943"/>
      <c r="M73" s="1393"/>
      <c r="N73" s="943"/>
      <c r="O73" s="1393"/>
      <c r="P73" s="943"/>
      <c r="Q73" s="1393"/>
      <c r="R73" s="943"/>
      <c r="S73" s="1393"/>
      <c r="T73" s="943"/>
      <c r="U73" s="1393"/>
      <c r="V73" s="943"/>
      <c r="W73" s="1393"/>
    </row>
    <row r="74" spans="1:23" ht="14.5" x14ac:dyDescent="0.35">
      <c r="A74" s="1391"/>
      <c r="B74" s="1447"/>
      <c r="C74" s="646"/>
      <c r="D74" s="1423"/>
      <c r="E74" s="1423"/>
      <c r="F74" s="1423"/>
      <c r="G74" s="646"/>
      <c r="H74" s="943"/>
      <c r="I74" s="1393"/>
      <c r="J74" s="1393"/>
      <c r="K74" s="1393"/>
      <c r="L74" s="943"/>
      <c r="M74" s="1393"/>
      <c r="N74" s="943"/>
      <c r="O74" s="1393"/>
      <c r="P74" s="943"/>
      <c r="Q74" s="1393"/>
      <c r="R74" s="943"/>
      <c r="S74" s="1393"/>
      <c r="T74" s="943"/>
      <c r="U74" s="1393"/>
      <c r="V74" s="943"/>
      <c r="W74" s="1393"/>
    </row>
    <row r="75" spans="1:23" ht="14.5" x14ac:dyDescent="0.35">
      <c r="A75" s="1391"/>
      <c r="B75" s="1447"/>
      <c r="C75" s="646"/>
      <c r="D75" s="1423"/>
      <c r="E75" s="1423"/>
      <c r="F75" s="1423"/>
      <c r="G75" s="646"/>
      <c r="H75" s="943"/>
      <c r="I75" s="1393"/>
      <c r="J75" s="1393"/>
      <c r="K75" s="1393"/>
      <c r="L75" s="943"/>
      <c r="M75" s="1393"/>
      <c r="N75" s="943"/>
      <c r="O75" s="1393"/>
      <c r="P75" s="943"/>
      <c r="Q75" s="1393"/>
      <c r="R75" s="943"/>
      <c r="S75" s="1393"/>
      <c r="T75" s="943"/>
      <c r="U75" s="1393"/>
      <c r="V75" s="943"/>
      <c r="W75" s="1393"/>
    </row>
    <row r="76" spans="1:23" ht="14.5" x14ac:dyDescent="0.35">
      <c r="A76" s="1391"/>
      <c r="B76" s="1447"/>
      <c r="C76" s="646"/>
      <c r="D76" s="1423"/>
      <c r="E76" s="1423"/>
      <c r="F76" s="1423"/>
      <c r="G76" s="646"/>
      <c r="H76" s="943"/>
      <c r="I76" s="1393"/>
      <c r="J76" s="1393"/>
      <c r="K76" s="1393"/>
      <c r="L76" s="943"/>
      <c r="M76" s="1393"/>
      <c r="N76" s="943"/>
      <c r="O76" s="1393"/>
      <c r="P76" s="943"/>
      <c r="Q76" s="1393"/>
      <c r="R76" s="943"/>
      <c r="S76" s="1393"/>
      <c r="T76" s="943"/>
      <c r="U76" s="1393"/>
      <c r="V76" s="943"/>
      <c r="W76" s="1393"/>
    </row>
    <row r="77" spans="1:23" ht="14.5" x14ac:dyDescent="0.35">
      <c r="A77" s="1391"/>
      <c r="B77" s="1447"/>
      <c r="C77" s="646"/>
      <c r="D77" s="1423"/>
      <c r="E77" s="1423"/>
      <c r="F77" s="1423"/>
      <c r="G77" s="646"/>
      <c r="H77" s="943"/>
      <c r="I77" s="1393"/>
      <c r="J77" s="1393"/>
      <c r="K77" s="1393"/>
      <c r="L77" s="943"/>
      <c r="M77" s="1393"/>
      <c r="N77" s="943"/>
      <c r="O77" s="1393"/>
      <c r="P77" s="943"/>
      <c r="Q77" s="1393"/>
      <c r="R77" s="943"/>
      <c r="S77" s="1393"/>
      <c r="T77" s="943"/>
      <c r="U77" s="1393"/>
      <c r="V77" s="943"/>
      <c r="W77" s="1393"/>
    </row>
    <row r="78" spans="1:23" ht="14.5" x14ac:dyDescent="0.35">
      <c r="A78" s="1450"/>
      <c r="B78" s="1451"/>
      <c r="C78" s="1427"/>
      <c r="D78" s="1423"/>
      <c r="E78" s="1423"/>
      <c r="F78" s="1423"/>
      <c r="G78" s="646"/>
      <c r="H78" s="943"/>
      <c r="I78" s="1392"/>
      <c r="J78" s="1392"/>
      <c r="K78" s="1392"/>
      <c r="L78" s="943"/>
      <c r="M78" s="1392"/>
      <c r="N78" s="943"/>
      <c r="O78" s="1392"/>
      <c r="P78" s="943"/>
      <c r="Q78" s="1392"/>
      <c r="R78" s="943"/>
      <c r="S78" s="1392"/>
      <c r="T78" s="943"/>
      <c r="U78" s="1392"/>
      <c r="V78" s="943"/>
      <c r="W78" s="1435"/>
    </row>
    <row r="79" spans="1:23" ht="14.5" x14ac:dyDescent="0.35">
      <c r="A79" s="14"/>
      <c r="B79" s="15"/>
      <c r="C79" s="16"/>
      <c r="D79" s="16"/>
      <c r="E79" s="17"/>
      <c r="F79" s="18" t="s">
        <v>715</v>
      </c>
      <c r="G79" s="19"/>
      <c r="H79" s="20"/>
      <c r="I79" s="50">
        <f>SUM(I26:I78)</f>
        <v>325845</v>
      </c>
      <c r="J79" s="20"/>
      <c r="K79" s="50">
        <f>SUM(K26:K78)</f>
        <v>345227</v>
      </c>
      <c r="L79" s="20"/>
      <c r="M79" s="50">
        <f>SUM(M26:M78)</f>
        <v>367360</v>
      </c>
      <c r="N79" s="20"/>
      <c r="O79" s="50">
        <f>SUM(O26:O78)</f>
        <v>212019</v>
      </c>
      <c r="P79" s="20"/>
      <c r="Q79" s="50">
        <f>SUM(Q26:Q78)</f>
        <v>274369</v>
      </c>
      <c r="R79" s="20"/>
      <c r="S79" s="50">
        <f>SUM(S26:S78)</f>
        <v>464826</v>
      </c>
      <c r="T79" s="20"/>
      <c r="U79" s="50">
        <f>SUM(U26:U78)</f>
        <v>464826</v>
      </c>
      <c r="V79" s="20"/>
      <c r="W79" s="50">
        <f>SUM(W26:W78)</f>
        <v>1120136</v>
      </c>
    </row>
    <row r="80" spans="1:23" ht="14.5" x14ac:dyDescent="0.35">
      <c r="A80" s="1452"/>
      <c r="B80" s="1453"/>
      <c r="C80" s="1454"/>
      <c r="D80" s="1454"/>
      <c r="E80" s="1455"/>
      <c r="F80" s="1456" t="s">
        <v>716</v>
      </c>
      <c r="G80" s="659"/>
      <c r="H80" s="1153">
        <v>0</v>
      </c>
      <c r="I80" s="959"/>
      <c r="J80" s="1153">
        <v>0</v>
      </c>
      <c r="K80" s="959"/>
      <c r="L80" s="959">
        <v>0</v>
      </c>
      <c r="M80" s="959"/>
      <c r="N80" s="959">
        <v>0</v>
      </c>
      <c r="O80" s="959"/>
      <c r="P80" s="1153">
        <v>0</v>
      </c>
      <c r="Q80" s="959"/>
      <c r="R80" s="959">
        <v>0</v>
      </c>
      <c r="S80" s="959"/>
      <c r="T80" s="959">
        <v>0</v>
      </c>
      <c r="U80" s="959"/>
      <c r="V80" s="959">
        <v>0</v>
      </c>
      <c r="W80" s="959"/>
    </row>
    <row r="81" spans="1:23" ht="14.5" x14ac:dyDescent="0.35">
      <c r="A81" s="1452"/>
      <c r="B81" s="1453"/>
      <c r="C81" s="1454"/>
      <c r="D81" s="1454"/>
      <c r="E81" s="1455"/>
      <c r="F81" s="1456" t="s">
        <v>717</v>
      </c>
      <c r="G81" s="659"/>
      <c r="H81" s="961"/>
      <c r="I81" s="962">
        <f>I79*H80</f>
        <v>0</v>
      </c>
      <c r="J81" s="961"/>
      <c r="K81" s="962">
        <f>K79*J80</f>
        <v>0</v>
      </c>
      <c r="L81" s="961"/>
      <c r="M81" s="962">
        <f>M79*L80</f>
        <v>0</v>
      </c>
      <c r="N81" s="961"/>
      <c r="O81" s="962">
        <f>O79*N80</f>
        <v>0</v>
      </c>
      <c r="P81" s="961"/>
      <c r="Q81" s="962">
        <f>Q79*P80</f>
        <v>0</v>
      </c>
      <c r="R81" s="961"/>
      <c r="S81" s="962">
        <f>S79*R80</f>
        <v>0</v>
      </c>
      <c r="T81" s="961"/>
      <c r="U81" s="962">
        <f>U79*T80</f>
        <v>0</v>
      </c>
      <c r="V81" s="961"/>
      <c r="W81" s="962">
        <f>W79*V80</f>
        <v>0</v>
      </c>
    </row>
    <row r="82" spans="1:23" ht="14.5" x14ac:dyDescent="0.35">
      <c r="A82" s="1452"/>
      <c r="B82" s="1453"/>
      <c r="C82" s="1454"/>
      <c r="D82" s="1454"/>
      <c r="E82" s="1455"/>
      <c r="F82" s="1456"/>
      <c r="G82" s="659"/>
      <c r="H82" s="961"/>
      <c r="I82" s="961"/>
      <c r="J82" s="961"/>
      <c r="K82" s="961"/>
      <c r="L82" s="961"/>
      <c r="M82" s="961"/>
      <c r="N82" s="961"/>
      <c r="O82" s="961"/>
      <c r="P82" s="961"/>
      <c r="Q82" s="961"/>
      <c r="R82" s="961"/>
      <c r="S82" s="961"/>
      <c r="T82" s="961"/>
      <c r="U82" s="961"/>
      <c r="V82" s="961"/>
      <c r="W82" s="961"/>
    </row>
    <row r="83" spans="1:23" ht="14.5" x14ac:dyDescent="0.35">
      <c r="A83" s="1452"/>
      <c r="B83" s="1453"/>
      <c r="C83" s="1454"/>
      <c r="D83" s="1454"/>
      <c r="E83" s="1455"/>
      <c r="F83" s="1456" t="s">
        <v>718</v>
      </c>
      <c r="G83" s="659"/>
      <c r="H83" s="964"/>
      <c r="I83" s="962">
        <f>SUM(I79:I81)</f>
        <v>325845</v>
      </c>
      <c r="J83" s="964"/>
      <c r="K83" s="962">
        <f>SUM(K79:K81)</f>
        <v>345227</v>
      </c>
      <c r="L83" s="964"/>
      <c r="M83" s="962">
        <f>SUM(M79:M81)</f>
        <v>367360</v>
      </c>
      <c r="N83" s="964"/>
      <c r="O83" s="962">
        <f>SUM(O79:O81)</f>
        <v>212019</v>
      </c>
      <c r="P83" s="964"/>
      <c r="Q83" s="962">
        <f>SUM(Q79:Q81)</f>
        <v>274369</v>
      </c>
      <c r="R83" s="964"/>
      <c r="S83" s="962">
        <f>SUM(S79:S81)</f>
        <v>464826</v>
      </c>
      <c r="T83" s="964"/>
      <c r="U83" s="962">
        <f>SUM(U79:U81)</f>
        <v>464826</v>
      </c>
      <c r="V83" s="964"/>
      <c r="W83" s="962">
        <f>SUM(W79:W81)</f>
        <v>1120136</v>
      </c>
    </row>
    <row r="84" spans="1:23" ht="14.5" x14ac:dyDescent="0.35">
      <c r="A84" s="1452"/>
      <c r="B84" s="1453"/>
      <c r="C84" s="1454"/>
      <c r="D84" s="1454"/>
      <c r="E84" s="1455"/>
      <c r="F84" s="1409" t="s">
        <v>719</v>
      </c>
      <c r="G84" s="661"/>
      <c r="H84" s="965"/>
      <c r="I84" s="966" t="e">
        <f>I83/#REF!</f>
        <v>#REF!</v>
      </c>
      <c r="J84" s="965"/>
      <c r="K84" s="966" t="e">
        <f>K83/#REF!</f>
        <v>#REF!</v>
      </c>
      <c r="L84" s="965"/>
      <c r="M84" s="966" t="e">
        <f>M83/#REF!</f>
        <v>#REF!</v>
      </c>
      <c r="N84" s="965"/>
      <c r="O84" s="966" t="e">
        <f>O83/#REF!</f>
        <v>#REF!</v>
      </c>
      <c r="P84" s="965"/>
      <c r="Q84" s="966" t="e">
        <f>Q83/#REF!</f>
        <v>#REF!</v>
      </c>
      <c r="R84" s="965"/>
      <c r="S84" s="966" t="e">
        <f>S83/#REF!</f>
        <v>#REF!</v>
      </c>
      <c r="T84" s="965"/>
      <c r="U84" s="966" t="e">
        <f>U83/#REF!</f>
        <v>#REF!</v>
      </c>
      <c r="V84" s="965"/>
      <c r="W84" s="966" t="e">
        <f>W83/#REF!</f>
        <v>#REF!</v>
      </c>
    </row>
    <row r="85" spans="1:23" ht="14.5" x14ac:dyDescent="0.35">
      <c r="A85" s="1452"/>
      <c r="B85" s="1453"/>
      <c r="C85" s="1454"/>
      <c r="D85" s="1454"/>
      <c r="E85" s="1455"/>
      <c r="F85" s="1409" t="s">
        <v>720</v>
      </c>
      <c r="G85" s="662"/>
      <c r="H85" s="965"/>
      <c r="I85" s="966" t="e">
        <f>I83/#REF!</f>
        <v>#REF!</v>
      </c>
      <c r="J85" s="965"/>
      <c r="K85" s="966" t="e">
        <f>K83/#REF!</f>
        <v>#REF!</v>
      </c>
      <c r="L85" s="965"/>
      <c r="M85" s="966" t="e">
        <f>M83/#REF!</f>
        <v>#REF!</v>
      </c>
      <c r="N85" s="965"/>
      <c r="O85" s="966" t="e">
        <f>O83/#REF!</f>
        <v>#REF!</v>
      </c>
      <c r="P85" s="965"/>
      <c r="Q85" s="966" t="e">
        <f>Q83/#REF!</f>
        <v>#REF!</v>
      </c>
      <c r="R85" s="965"/>
      <c r="S85" s="966" t="e">
        <f>S83/#REF!</f>
        <v>#REF!</v>
      </c>
      <c r="T85" s="965"/>
      <c r="U85" s="966" t="e">
        <f>U83/#REF!</f>
        <v>#REF!</v>
      </c>
      <c r="V85" s="965"/>
      <c r="W85" s="966" t="e">
        <f>W83/#REF!</f>
        <v>#REF!</v>
      </c>
    </row>
    <row r="86" spans="1:23" ht="14.5" x14ac:dyDescent="0.35">
      <c r="A86" s="1452"/>
      <c r="B86" s="1453"/>
      <c r="C86" s="1454"/>
      <c r="D86" s="1454"/>
      <c r="E86" s="1455"/>
      <c r="F86" s="1456"/>
      <c r="G86" s="663"/>
      <c r="H86" s="967"/>
      <c r="I86" s="967"/>
      <c r="J86" s="967"/>
      <c r="K86" s="967"/>
      <c r="L86" s="967"/>
      <c r="M86" s="967"/>
      <c r="N86" s="967"/>
      <c r="O86" s="967"/>
      <c r="P86" s="967"/>
      <c r="Q86" s="967"/>
      <c r="R86" s="967"/>
      <c r="S86" s="967"/>
      <c r="T86" s="967"/>
      <c r="U86" s="967"/>
      <c r="V86" s="1168"/>
      <c r="W86" s="1169"/>
    </row>
    <row r="87" spans="1:23" ht="14.5" x14ac:dyDescent="0.35">
      <c r="A87" s="3764" t="s">
        <v>721</v>
      </c>
      <c r="B87" s="3765"/>
      <c r="C87" s="12"/>
      <c r="D87" s="12"/>
      <c r="E87" s="12"/>
      <c r="F87" s="12"/>
      <c r="G87" s="13"/>
      <c r="H87" s="21"/>
      <c r="I87" s="21"/>
      <c r="J87" s="21"/>
      <c r="K87" s="21"/>
      <c r="L87" s="21"/>
      <c r="M87" s="21"/>
      <c r="N87" s="21"/>
      <c r="O87" s="21"/>
      <c r="P87" s="21"/>
      <c r="Q87" s="21"/>
      <c r="R87" s="21"/>
      <c r="S87" s="21"/>
      <c r="T87" s="21"/>
      <c r="U87" s="21"/>
      <c r="V87" s="21"/>
      <c r="W87" s="21"/>
    </row>
    <row r="88" spans="1:23" ht="14.5" x14ac:dyDescent="0.35">
      <c r="A88" s="1457"/>
      <c r="B88" s="1422"/>
      <c r="C88" s="1458"/>
      <c r="D88" s="1458"/>
      <c r="E88" s="1458"/>
      <c r="F88" s="1458"/>
      <c r="G88" s="1459"/>
      <c r="H88" s="1460"/>
      <c r="I88" s="1460"/>
      <c r="J88" s="1460"/>
      <c r="K88" s="1460"/>
      <c r="L88" s="1460"/>
      <c r="M88" s="1460"/>
      <c r="N88" s="1460"/>
      <c r="O88" s="1460"/>
      <c r="P88" s="1460"/>
      <c r="Q88" s="1460"/>
      <c r="R88" s="1460"/>
      <c r="S88" s="1460"/>
      <c r="T88" s="1460"/>
      <c r="U88" s="1460"/>
      <c r="V88" s="1460"/>
      <c r="W88" s="1460"/>
    </row>
    <row r="89" spans="1:23" ht="14.5" x14ac:dyDescent="0.35">
      <c r="A89" s="1457"/>
      <c r="B89" s="1422"/>
      <c r="C89" s="1458"/>
      <c r="D89" s="1458"/>
      <c r="E89" s="1458"/>
      <c r="F89" s="1458"/>
      <c r="G89" s="1459"/>
      <c r="H89" s="1460"/>
      <c r="I89" s="1460"/>
      <c r="J89" s="1460"/>
      <c r="K89" s="1460"/>
      <c r="L89" s="1460"/>
      <c r="M89" s="1460"/>
      <c r="N89" s="1460"/>
      <c r="O89" s="1460"/>
      <c r="P89" s="1460"/>
      <c r="Q89" s="1460"/>
      <c r="R89" s="1460"/>
      <c r="S89" s="1460"/>
      <c r="T89" s="1460"/>
      <c r="U89" s="1460"/>
      <c r="V89" s="1460"/>
      <c r="W89" s="1460"/>
    </row>
    <row r="90" spans="1:23" ht="14.5" x14ac:dyDescent="0.35">
      <c r="A90" s="1457"/>
      <c r="B90" s="1422"/>
      <c r="C90" s="1458"/>
      <c r="D90" s="1458"/>
      <c r="E90" s="1458"/>
      <c r="F90" s="1458"/>
      <c r="G90" s="1459"/>
      <c r="H90" s="1460"/>
      <c r="I90" s="1460"/>
      <c r="J90" s="1460"/>
      <c r="K90" s="1460"/>
      <c r="L90" s="1460"/>
      <c r="M90" s="1460"/>
      <c r="N90" s="1460"/>
      <c r="O90" s="1460"/>
      <c r="P90" s="1460"/>
      <c r="Q90" s="1460"/>
      <c r="R90" s="1460"/>
      <c r="S90" s="1460"/>
      <c r="T90" s="1460"/>
      <c r="U90" s="1460"/>
      <c r="V90" s="1460"/>
      <c r="W90" s="1460"/>
    </row>
    <row r="91" spans="1:23" s="2" customFormat="1" ht="14.5" x14ac:dyDescent="0.35">
      <c r="A91" s="3764" t="s">
        <v>722</v>
      </c>
      <c r="B91" s="3765"/>
      <c r="C91" s="12"/>
      <c r="D91" s="12"/>
      <c r="E91" s="12"/>
      <c r="F91" s="12"/>
      <c r="G91" s="13"/>
      <c r="H91" s="21"/>
      <c r="I91" s="21"/>
      <c r="J91" s="21"/>
      <c r="K91" s="21"/>
      <c r="L91" s="21"/>
      <c r="M91" s="21"/>
      <c r="N91" s="21"/>
      <c r="O91" s="21"/>
      <c r="P91" s="21"/>
      <c r="Q91" s="21"/>
      <c r="R91" s="21"/>
      <c r="S91" s="21"/>
      <c r="T91" s="21"/>
      <c r="U91" s="21"/>
      <c r="V91" s="21"/>
      <c r="W91" s="21"/>
    </row>
    <row r="92" spans="1:23" s="2" customFormat="1" ht="14.5" x14ac:dyDescent="0.35">
      <c r="A92" s="1457"/>
      <c r="B92" s="1422"/>
      <c r="C92" s="1458"/>
      <c r="D92" s="1458"/>
      <c r="E92" s="1458"/>
      <c r="F92" s="1458"/>
      <c r="G92" s="1459"/>
      <c r="H92" s="1460"/>
      <c r="I92" s="1460"/>
      <c r="J92" s="1460"/>
      <c r="K92" s="1460"/>
      <c r="L92" s="1460"/>
      <c r="M92" s="1460"/>
      <c r="N92" s="1460"/>
      <c r="O92" s="1460"/>
      <c r="P92" s="1460"/>
      <c r="Q92" s="1460"/>
      <c r="R92" s="1460"/>
      <c r="S92" s="1460"/>
      <c r="T92" s="1460"/>
      <c r="U92" s="1460"/>
      <c r="V92" s="1460"/>
      <c r="W92" s="1460"/>
    </row>
    <row r="93" spans="1:23" s="2" customFormat="1" ht="14.5" x14ac:dyDescent="0.35">
      <c r="A93" s="1457"/>
      <c r="B93" s="1422"/>
      <c r="C93" s="1458"/>
      <c r="D93" s="1458"/>
      <c r="E93" s="1458"/>
      <c r="F93" s="1458"/>
      <c r="G93" s="1459"/>
      <c r="H93" s="1460"/>
      <c r="I93" s="1460"/>
      <c r="J93" s="1460"/>
      <c r="K93" s="1460"/>
      <c r="L93" s="1460"/>
      <c r="M93" s="1460"/>
      <c r="N93" s="1460"/>
      <c r="O93" s="1460"/>
      <c r="P93" s="1460"/>
      <c r="Q93" s="1460"/>
      <c r="R93" s="1460"/>
      <c r="S93" s="1460"/>
      <c r="T93" s="1460"/>
      <c r="U93" s="1460"/>
      <c r="V93" s="1460"/>
      <c r="W93" s="1460"/>
    </row>
    <row r="94" spans="1:23" ht="14.5" x14ac:dyDescent="0.35">
      <c r="A94" s="1457"/>
      <c r="B94" s="1422"/>
      <c r="C94" s="1458"/>
      <c r="D94" s="1458"/>
      <c r="E94" s="1458"/>
      <c r="F94" s="1458"/>
      <c r="G94" s="1459"/>
      <c r="H94" s="1460"/>
      <c r="I94" s="1460"/>
      <c r="J94" s="1460"/>
      <c r="K94" s="1460"/>
      <c r="L94" s="1460"/>
      <c r="M94" s="1460"/>
      <c r="N94" s="1460"/>
      <c r="O94" s="1460"/>
      <c r="P94" s="1460"/>
      <c r="Q94" s="1460"/>
      <c r="R94" s="1460"/>
      <c r="S94" s="1460"/>
      <c r="T94" s="1460"/>
      <c r="U94" s="1460"/>
      <c r="V94" s="1460"/>
      <c r="W94" s="1460"/>
    </row>
    <row r="95" spans="1:23" s="2" customFormat="1" ht="14.5" x14ac:dyDescent="0.35">
      <c r="A95" s="3764" t="s">
        <v>723</v>
      </c>
      <c r="B95" s="3765"/>
      <c r="C95" s="12"/>
      <c r="D95" s="12"/>
      <c r="E95" s="12"/>
      <c r="F95" s="12"/>
      <c r="G95" s="13"/>
      <c r="H95" s="21"/>
      <c r="I95" s="21"/>
      <c r="J95" s="21"/>
      <c r="K95" s="21"/>
      <c r="L95" s="21"/>
      <c r="M95" s="21"/>
      <c r="N95" s="21"/>
      <c r="O95" s="21"/>
      <c r="P95" s="21"/>
      <c r="Q95" s="21"/>
      <c r="R95" s="21"/>
      <c r="S95" s="21"/>
      <c r="T95" s="21"/>
      <c r="U95" s="21"/>
      <c r="V95" s="21"/>
      <c r="W95" s="21"/>
    </row>
    <row r="96" spans="1:23" s="2" customFormat="1" ht="14.5" x14ac:dyDescent="0.35">
      <c r="A96" s="1457"/>
      <c r="B96" s="1417" t="s">
        <v>1627</v>
      </c>
      <c r="C96" s="1458"/>
      <c r="D96" s="1458"/>
      <c r="E96" s="1458"/>
      <c r="F96" s="1458"/>
      <c r="G96" s="1459"/>
      <c r="H96" s="943" t="s">
        <v>669</v>
      </c>
      <c r="I96" s="977">
        <f>85000-I40</f>
        <v>85000</v>
      </c>
      <c r="J96" s="1460"/>
      <c r="K96" s="1460"/>
      <c r="L96" s="1460"/>
      <c r="M96" s="1460"/>
      <c r="N96" s="1460"/>
      <c r="O96" s="1460"/>
      <c r="P96" s="1460"/>
      <c r="Q96" s="1460"/>
      <c r="R96" s="1460"/>
      <c r="S96" s="1460"/>
      <c r="T96" s="1460"/>
      <c r="U96" s="1460"/>
      <c r="V96" s="1460"/>
      <c r="W96" s="1460"/>
    </row>
    <row r="97" spans="1:23" s="2" customFormat="1" ht="14.5" x14ac:dyDescent="0.35">
      <c r="A97" s="1426"/>
      <c r="B97" s="1417" t="s">
        <v>1628</v>
      </c>
      <c r="C97" s="1423"/>
      <c r="D97" s="1423"/>
      <c r="E97" s="1423"/>
      <c r="F97" s="1423"/>
      <c r="G97" s="646"/>
      <c r="H97" s="943" t="s">
        <v>669</v>
      </c>
      <c r="I97" s="977">
        <f>142500-I40</f>
        <v>142500</v>
      </c>
      <c r="J97" s="973"/>
      <c r="K97" s="973"/>
      <c r="L97" s="973"/>
      <c r="M97" s="973"/>
      <c r="N97" s="973"/>
      <c r="O97" s="973"/>
      <c r="P97" s="973"/>
      <c r="Q97" s="973"/>
      <c r="R97" s="973"/>
      <c r="S97" s="973"/>
      <c r="T97" s="973"/>
      <c r="U97" s="973"/>
      <c r="V97" s="973"/>
      <c r="W97" s="973"/>
    </row>
    <row r="98" spans="1:23" s="2" customFormat="1" ht="14.5" x14ac:dyDescent="0.35">
      <c r="A98" s="1416"/>
      <c r="B98" s="1417"/>
      <c r="C98" s="1423"/>
      <c r="D98" s="1423"/>
      <c r="E98" s="1423"/>
      <c r="F98" s="1423"/>
      <c r="G98" s="646"/>
      <c r="H98" s="974"/>
      <c r="I98" s="974"/>
      <c r="J98" s="974"/>
      <c r="K98" s="974"/>
      <c r="L98" s="974"/>
      <c r="M98" s="974"/>
      <c r="N98" s="974"/>
      <c r="O98" s="974"/>
      <c r="P98" s="974"/>
      <c r="Q98" s="974"/>
      <c r="R98" s="974"/>
      <c r="S98" s="974"/>
      <c r="T98" s="974"/>
      <c r="U98" s="974"/>
      <c r="V98" s="974"/>
      <c r="W98" s="974"/>
    </row>
    <row r="99" spans="1:23" s="2" customFormat="1" ht="14.5" x14ac:dyDescent="0.35">
      <c r="A99" s="3764" t="s">
        <v>724</v>
      </c>
      <c r="B99" s="3765"/>
      <c r="C99" s="12"/>
      <c r="D99" s="12"/>
      <c r="E99" s="12"/>
      <c r="F99" s="12"/>
      <c r="G99" s="13"/>
      <c r="H99" s="21"/>
      <c r="I99" s="21"/>
      <c r="J99" s="21"/>
      <c r="K99" s="21"/>
      <c r="L99" s="21"/>
      <c r="M99" s="21"/>
      <c r="N99" s="21"/>
      <c r="O99" s="21"/>
      <c r="P99" s="21"/>
      <c r="Q99" s="21"/>
      <c r="R99" s="21"/>
      <c r="S99" s="21"/>
      <c r="T99" s="21"/>
      <c r="U99" s="21"/>
      <c r="V99" s="21"/>
      <c r="W99" s="21"/>
    </row>
    <row r="100" spans="1:23" ht="14.5" x14ac:dyDescent="0.35">
      <c r="A100" s="1461"/>
      <c r="B100" s="1462" t="s">
        <v>1629</v>
      </c>
      <c r="C100" s="1458"/>
      <c r="D100" s="1458"/>
      <c r="E100" s="1458"/>
      <c r="F100" s="1458"/>
      <c r="G100" s="1459"/>
      <c r="H100" s="943" t="s">
        <v>669</v>
      </c>
      <c r="I100" s="1460">
        <v>-4500</v>
      </c>
      <c r="J100" s="1460"/>
      <c r="K100" s="1460"/>
      <c r="L100" s="1460"/>
      <c r="M100" s="1460"/>
      <c r="N100" s="1460"/>
      <c r="O100" s="1460"/>
      <c r="P100" s="1460"/>
      <c r="Q100" s="1460"/>
      <c r="R100" s="1460"/>
      <c r="S100" s="1460"/>
      <c r="T100" s="1460"/>
      <c r="U100" s="1460"/>
      <c r="V100" s="943"/>
      <c r="W100" s="1460"/>
    </row>
    <row r="101" spans="1:23" ht="14.5" x14ac:dyDescent="0.35">
      <c r="A101" s="1416"/>
      <c r="B101" s="1417" t="s">
        <v>1630</v>
      </c>
      <c r="C101" s="1423"/>
      <c r="D101" s="1423"/>
      <c r="E101" s="1423"/>
      <c r="F101" s="1423"/>
      <c r="G101" s="646"/>
      <c r="H101" s="943" t="s">
        <v>669</v>
      </c>
      <c r="I101" s="977">
        <f>-42000</f>
        <v>-42000</v>
      </c>
      <c r="J101" s="977"/>
      <c r="K101" s="977"/>
      <c r="L101" s="977"/>
      <c r="M101" s="977"/>
      <c r="N101" s="977"/>
      <c r="O101" s="977"/>
      <c r="P101" s="977"/>
      <c r="Q101" s="977"/>
      <c r="R101" s="977"/>
      <c r="S101" s="977"/>
      <c r="T101" s="977"/>
      <c r="U101" s="977"/>
      <c r="V101" s="943"/>
      <c r="W101" s="977"/>
    </row>
    <row r="102" spans="1:23" ht="14.5" x14ac:dyDescent="0.35">
      <c r="A102" s="1416"/>
      <c r="B102" s="1417" t="s">
        <v>1631</v>
      </c>
      <c r="C102" s="1423"/>
      <c r="D102" s="1423"/>
      <c r="E102" s="1423"/>
      <c r="F102" s="1423"/>
      <c r="G102" s="646"/>
      <c r="H102" s="943" t="s">
        <v>669</v>
      </c>
      <c r="I102" s="977">
        <v>-3450</v>
      </c>
      <c r="J102" s="977"/>
      <c r="K102" s="977"/>
      <c r="L102" s="943"/>
      <c r="M102" s="977"/>
      <c r="N102" s="977"/>
      <c r="O102" s="977"/>
      <c r="P102" s="977"/>
      <c r="Q102" s="977"/>
      <c r="R102" s="977"/>
      <c r="S102" s="977"/>
      <c r="T102" s="977"/>
      <c r="U102" s="977"/>
      <c r="V102" s="977"/>
      <c r="W102" s="977"/>
    </row>
    <row r="103" spans="1:23" ht="14.5" x14ac:dyDescent="0.35">
      <c r="A103" s="1416"/>
      <c r="B103" s="1417"/>
      <c r="C103" s="1423"/>
      <c r="D103" s="1423"/>
      <c r="E103" s="1423"/>
      <c r="F103" s="1423"/>
      <c r="G103" s="646"/>
      <c r="H103" s="943"/>
      <c r="I103" s="977"/>
      <c r="J103" s="977"/>
      <c r="K103" s="977"/>
      <c r="L103" s="943"/>
      <c r="M103" s="977"/>
      <c r="N103" s="977"/>
      <c r="O103" s="977"/>
      <c r="P103" s="977"/>
      <c r="Q103" s="977"/>
      <c r="R103" s="977"/>
      <c r="S103" s="977"/>
      <c r="T103" s="977"/>
      <c r="U103" s="977"/>
      <c r="V103" s="977"/>
      <c r="W103" s="977"/>
    </row>
    <row r="104" spans="1:23" ht="14.5" x14ac:dyDescent="0.35">
      <c r="A104" s="1416"/>
      <c r="B104" s="1417"/>
      <c r="C104" s="1423"/>
      <c r="D104" s="1423"/>
      <c r="E104" s="1423"/>
      <c r="F104" s="1423"/>
      <c r="G104" s="646"/>
      <c r="H104" s="943"/>
      <c r="I104" s="977"/>
      <c r="J104" s="977"/>
      <c r="K104" s="977"/>
      <c r="L104" s="943"/>
      <c r="M104" s="977"/>
      <c r="N104" s="977"/>
      <c r="O104" s="977"/>
      <c r="P104" s="977"/>
      <c r="Q104" s="977"/>
      <c r="R104" s="977"/>
      <c r="S104" s="977"/>
      <c r="T104" s="977"/>
      <c r="U104" s="977"/>
      <c r="V104" s="977"/>
      <c r="W104" s="977"/>
    </row>
    <row r="105" spans="1:23" ht="14.5" x14ac:dyDescent="0.35">
      <c r="A105" s="1416"/>
      <c r="B105" s="1417"/>
      <c r="C105" s="1423"/>
      <c r="D105" s="1423"/>
      <c r="E105" s="1423"/>
      <c r="F105" s="1423"/>
      <c r="G105" s="646"/>
      <c r="H105" s="943"/>
      <c r="I105" s="977"/>
      <c r="J105" s="977"/>
      <c r="K105" s="977"/>
      <c r="L105" s="943"/>
      <c r="M105" s="977"/>
      <c r="N105" s="977"/>
      <c r="O105" s="977"/>
      <c r="P105" s="977"/>
      <c r="Q105" s="977"/>
      <c r="R105" s="977"/>
      <c r="S105" s="977"/>
      <c r="T105" s="977"/>
      <c r="U105" s="977"/>
      <c r="V105" s="977"/>
      <c r="W105" s="977"/>
    </row>
    <row r="106" spans="1:23" ht="14.5" x14ac:dyDescent="0.35">
      <c r="A106" s="1416"/>
      <c r="B106" s="1417"/>
      <c r="C106" s="1423"/>
      <c r="D106" s="1423"/>
      <c r="E106" s="1423"/>
      <c r="F106" s="1423"/>
      <c r="G106" s="646"/>
      <c r="H106" s="977"/>
      <c r="I106" s="977"/>
      <c r="J106" s="977"/>
      <c r="K106" s="977"/>
      <c r="L106" s="977"/>
      <c r="M106" s="977"/>
      <c r="N106" s="977"/>
      <c r="O106" s="977"/>
      <c r="P106" s="977"/>
      <c r="Q106" s="977"/>
      <c r="R106" s="977"/>
      <c r="S106" s="977"/>
      <c r="T106" s="977"/>
      <c r="U106" s="977"/>
      <c r="V106" s="977"/>
      <c r="W106" s="977"/>
    </row>
    <row r="107" spans="1:23" ht="14.5" x14ac:dyDescent="0.35">
      <c r="A107" s="3764" t="s">
        <v>725</v>
      </c>
      <c r="B107" s="3765"/>
      <c r="C107" s="12"/>
      <c r="D107" s="12"/>
      <c r="E107" s="12"/>
      <c r="F107" s="12"/>
      <c r="G107" s="13"/>
      <c r="H107" s="21"/>
      <c r="I107" s="21"/>
      <c r="J107" s="21"/>
      <c r="K107" s="21"/>
      <c r="L107" s="21"/>
      <c r="M107" s="21"/>
      <c r="N107" s="21"/>
      <c r="O107" s="21"/>
      <c r="P107" s="21"/>
      <c r="Q107" s="21"/>
      <c r="R107" s="21"/>
      <c r="S107" s="21"/>
      <c r="T107" s="21"/>
      <c r="U107" s="21"/>
      <c r="V107" s="21"/>
      <c r="W107" s="21"/>
    </row>
    <row r="108" spans="1:23" ht="14.5" x14ac:dyDescent="0.35">
      <c r="A108" s="1426"/>
      <c r="B108" s="1422" t="s">
        <v>726</v>
      </c>
      <c r="C108" s="1423"/>
      <c r="D108" s="1423"/>
      <c r="E108" s="1423"/>
      <c r="F108" s="1423"/>
      <c r="G108" s="646"/>
      <c r="H108" s="977"/>
      <c r="I108" s="977"/>
      <c r="J108" s="977"/>
      <c r="K108" s="977"/>
      <c r="L108" s="977"/>
      <c r="M108" s="977"/>
      <c r="N108" s="977"/>
      <c r="O108" s="977"/>
      <c r="P108" s="977"/>
      <c r="Q108" s="977"/>
      <c r="R108" s="977"/>
      <c r="S108" s="977"/>
      <c r="T108" s="977"/>
      <c r="U108" s="977"/>
      <c r="V108" s="977"/>
      <c r="W108" s="977"/>
    </row>
    <row r="109" spans="1:23" ht="14.5" x14ac:dyDescent="0.35">
      <c r="A109" s="1426"/>
      <c r="B109" s="1422" t="s">
        <v>727</v>
      </c>
      <c r="C109" s="1423"/>
      <c r="D109" s="1423"/>
      <c r="E109" s="1423"/>
      <c r="F109" s="1423"/>
      <c r="G109" s="646"/>
      <c r="H109" s="977"/>
      <c r="I109" s="977"/>
      <c r="J109" s="977"/>
      <c r="K109" s="977"/>
      <c r="L109" s="977"/>
      <c r="M109" s="977"/>
      <c r="N109" s="977"/>
      <c r="O109" s="977"/>
      <c r="P109" s="977"/>
      <c r="Q109" s="977"/>
      <c r="R109" s="977"/>
      <c r="S109" s="977"/>
      <c r="T109" s="977"/>
      <c r="U109" s="977"/>
      <c r="V109" s="977"/>
      <c r="W109" s="977"/>
    </row>
    <row r="110" spans="1:23" ht="14.5" x14ac:dyDescent="0.35">
      <c r="A110" s="1426"/>
      <c r="B110" s="1422" t="s">
        <v>728</v>
      </c>
      <c r="C110" s="1423"/>
      <c r="D110" s="1423"/>
      <c r="E110" s="1423"/>
      <c r="F110" s="1423"/>
      <c r="G110" s="646"/>
      <c r="H110" s="977"/>
      <c r="I110" s="977"/>
      <c r="J110" s="977"/>
      <c r="K110" s="977"/>
      <c r="L110" s="977"/>
      <c r="M110" s="977"/>
      <c r="N110" s="977"/>
      <c r="O110" s="977"/>
      <c r="P110" s="977"/>
      <c r="Q110" s="977"/>
      <c r="R110" s="977"/>
      <c r="S110" s="977"/>
      <c r="T110" s="977"/>
      <c r="U110" s="977"/>
      <c r="V110" s="977"/>
      <c r="W110" s="977"/>
    </row>
    <row r="111" spans="1:23" ht="14.5" x14ac:dyDescent="0.35">
      <c r="A111" s="1426"/>
      <c r="B111" s="1422" t="s">
        <v>729</v>
      </c>
      <c r="C111" s="1423"/>
      <c r="D111" s="1423"/>
      <c r="E111" s="1423"/>
      <c r="F111" s="1423"/>
      <c r="G111" s="646"/>
      <c r="H111" s="977"/>
      <c r="I111" s="977"/>
      <c r="J111" s="977"/>
      <c r="K111" s="977"/>
      <c r="L111" s="977"/>
      <c r="M111" s="977"/>
      <c r="N111" s="977"/>
      <c r="O111" s="977"/>
      <c r="P111" s="977"/>
      <c r="Q111" s="977"/>
      <c r="R111" s="977"/>
      <c r="S111" s="977"/>
      <c r="T111" s="977"/>
      <c r="U111" s="977"/>
      <c r="V111" s="977"/>
      <c r="W111" s="977"/>
    </row>
    <row r="112" spans="1:23" ht="14.5" x14ac:dyDescent="0.35">
      <c r="A112" s="978"/>
      <c r="B112" s="939"/>
      <c r="C112" s="940"/>
      <c r="D112" s="940"/>
      <c r="E112" s="940"/>
      <c r="F112" s="940"/>
      <c r="G112" s="1039"/>
      <c r="H112" s="981"/>
      <c r="I112" s="981"/>
      <c r="J112" s="981"/>
      <c r="K112" s="981"/>
      <c r="L112" s="981"/>
      <c r="M112" s="981"/>
      <c r="N112" s="981"/>
      <c r="O112" s="981"/>
      <c r="P112" s="981"/>
      <c r="Q112" s="981"/>
      <c r="R112" s="981"/>
      <c r="S112" s="981"/>
      <c r="T112" s="981"/>
      <c r="U112" s="981"/>
      <c r="V112" s="981"/>
      <c r="W112" s="981"/>
    </row>
    <row r="113" spans="1:23" ht="14.5" x14ac:dyDescent="0.35">
      <c r="A113" s="7" t="s">
        <v>730</v>
      </c>
      <c r="B113" s="8"/>
      <c r="C113" s="12"/>
      <c r="D113" s="12"/>
      <c r="E113" s="12"/>
      <c r="F113" s="12"/>
      <c r="G113" s="13"/>
      <c r="H113" s="21"/>
      <c r="I113" s="21"/>
      <c r="J113" s="21"/>
      <c r="K113" s="21"/>
      <c r="L113" s="21"/>
      <c r="M113" s="21"/>
      <c r="N113" s="21"/>
      <c r="O113" s="21"/>
      <c r="P113" s="21"/>
      <c r="Q113" s="21"/>
      <c r="R113" s="21"/>
      <c r="S113" s="21"/>
      <c r="T113" s="21"/>
      <c r="U113" s="21"/>
      <c r="V113" s="21"/>
      <c r="W113" s="21"/>
    </row>
    <row r="114" spans="1:23" ht="14.5" x14ac:dyDescent="0.35">
      <c r="A114" s="1457"/>
      <c r="B114" s="1463" t="s">
        <v>731</v>
      </c>
      <c r="C114" s="1458"/>
      <c r="D114" s="1458"/>
      <c r="E114" s="1458"/>
      <c r="F114" s="1458"/>
      <c r="G114" s="1459"/>
      <c r="H114" s="1464"/>
      <c r="I114" s="1464"/>
      <c r="J114" s="1464"/>
      <c r="K114" s="1464"/>
      <c r="L114" s="1464"/>
      <c r="M114" s="1464"/>
      <c r="N114" s="1464"/>
      <c r="O114" s="1464"/>
      <c r="P114" s="1464"/>
      <c r="Q114" s="1464"/>
      <c r="R114" s="1464"/>
      <c r="S114" s="1464"/>
      <c r="T114" s="1464"/>
      <c r="U114" s="1464"/>
      <c r="V114" s="1464"/>
      <c r="W114" s="1464"/>
    </row>
    <row r="115" spans="1:23" ht="14.5" x14ac:dyDescent="0.35">
      <c r="A115" s="1426"/>
      <c r="B115" s="1422" t="s">
        <v>732</v>
      </c>
      <c r="C115" s="1423"/>
      <c r="D115" s="1423"/>
      <c r="E115" s="1423"/>
      <c r="F115" s="1423"/>
      <c r="G115" s="646"/>
      <c r="H115" s="984"/>
      <c r="I115" s="984"/>
      <c r="J115" s="984"/>
      <c r="K115" s="984"/>
      <c r="L115" s="984"/>
      <c r="M115" s="984"/>
      <c r="N115" s="984"/>
      <c r="O115" s="984"/>
      <c r="P115" s="984"/>
      <c r="Q115" s="984"/>
      <c r="R115" s="984"/>
      <c r="S115" s="984"/>
      <c r="T115" s="984"/>
      <c r="U115" s="984"/>
      <c r="V115" s="984"/>
      <c r="W115" s="984"/>
    </row>
    <row r="116" spans="1:23" ht="14.5" x14ac:dyDescent="0.35">
      <c r="A116" s="985"/>
      <c r="B116" s="986" t="s">
        <v>733</v>
      </c>
      <c r="C116" s="987"/>
      <c r="D116" s="987"/>
      <c r="E116" s="987"/>
      <c r="F116" s="987"/>
      <c r="G116" s="1040"/>
      <c r="H116" s="990"/>
      <c r="I116" s="990"/>
      <c r="J116" s="990"/>
      <c r="K116" s="990"/>
      <c r="L116" s="990"/>
      <c r="M116" s="990"/>
      <c r="N116" s="990"/>
      <c r="O116" s="990"/>
      <c r="P116" s="990"/>
      <c r="Q116" s="990"/>
      <c r="R116" s="990"/>
      <c r="S116" s="990"/>
      <c r="T116" s="990"/>
      <c r="U116" s="990"/>
      <c r="V116" s="990"/>
      <c r="W116" s="990"/>
    </row>
    <row r="117" spans="1:23" ht="14.5" x14ac:dyDescent="0.35">
      <c r="V117" s="2"/>
      <c r="W117" s="2"/>
    </row>
    <row r="118" spans="1:23" ht="14.5" x14ac:dyDescent="0.35">
      <c r="A118" s="78" t="s">
        <v>734</v>
      </c>
      <c r="B118" s="80"/>
      <c r="V118" s="2"/>
      <c r="W118" s="2"/>
    </row>
    <row r="119" spans="1:23" ht="14.5" x14ac:dyDescent="0.35">
      <c r="A119" s="79" t="s">
        <v>632</v>
      </c>
      <c r="B119" s="991" t="str">
        <f>H4</f>
        <v>Synergy Foam</v>
      </c>
      <c r="V119" s="2"/>
      <c r="W119" s="2"/>
    </row>
    <row r="120" spans="1:23" ht="14.5" x14ac:dyDescent="0.35">
      <c r="A120" s="1465" t="s">
        <v>636</v>
      </c>
      <c r="B120" s="991" t="str">
        <f>H5</f>
        <v>Horacio Hoyos</v>
      </c>
      <c r="V120" s="2"/>
      <c r="W120" s="2"/>
    </row>
    <row r="121" spans="1:23" ht="14.5" x14ac:dyDescent="0.35">
      <c r="A121" s="992" t="s">
        <v>639</v>
      </c>
      <c r="B121" s="993" t="str">
        <f>H6</f>
        <v>407-849-3665</v>
      </c>
      <c r="V121" s="2"/>
      <c r="W121" s="2"/>
    </row>
    <row r="122" spans="1:23" ht="14.5" x14ac:dyDescent="0.35">
      <c r="A122" s="992" t="s">
        <v>642</v>
      </c>
      <c r="B122" s="994" t="str">
        <f>H7</f>
        <v>hh@synergyfoam.com</v>
      </c>
      <c r="C122" s="2" t="s">
        <v>747</v>
      </c>
      <c r="D122" s="2" t="s">
        <v>80</v>
      </c>
      <c r="E122" s="2" t="s">
        <v>429</v>
      </c>
      <c r="F122" s="2" t="s">
        <v>746</v>
      </c>
      <c r="V122" s="2"/>
      <c r="W122" s="2"/>
    </row>
    <row r="123" spans="1:23" ht="14.5" x14ac:dyDescent="0.35">
      <c r="A123" s="995" t="s">
        <v>735</v>
      </c>
      <c r="B123" s="996">
        <f>H8</f>
        <v>325845</v>
      </c>
      <c r="C123" s="332"/>
      <c r="D123" s="332"/>
      <c r="V123" s="2"/>
      <c r="W123" s="2"/>
    </row>
    <row r="124" spans="1:23" ht="14.5" x14ac:dyDescent="0.35">
      <c r="V124" s="2"/>
      <c r="W124" s="2"/>
    </row>
    <row r="125" spans="1:23" ht="14.5" x14ac:dyDescent="0.35">
      <c r="A125" s="81"/>
      <c r="B125" s="1" t="s">
        <v>736</v>
      </c>
      <c r="V125" s="2"/>
      <c r="W125" s="2"/>
    </row>
    <row r="126" spans="1:23" ht="14.5" x14ac:dyDescent="0.35">
      <c r="A126" s="82"/>
      <c r="B126" s="1" t="s">
        <v>737</v>
      </c>
      <c r="V126" s="2"/>
      <c r="W126" s="2"/>
    </row>
    <row r="127" spans="1:23" ht="14.5" x14ac:dyDescent="0.35">
      <c r="V127" s="2"/>
      <c r="W127" s="2"/>
    </row>
    <row r="128" spans="1:23" ht="14.5" x14ac:dyDescent="0.35">
      <c r="V128" s="2"/>
      <c r="W128" s="2"/>
    </row>
  </sheetData>
  <mergeCells count="63">
    <mergeCell ref="H1:I1"/>
    <mergeCell ref="P2:Q2"/>
    <mergeCell ref="P6:Q6"/>
    <mergeCell ref="V5:W5"/>
    <mergeCell ref="R5:S5"/>
    <mergeCell ref="V6:W6"/>
    <mergeCell ref="R6:S6"/>
    <mergeCell ref="N6:O6"/>
    <mergeCell ref="H6:I6"/>
    <mergeCell ref="J6:K6"/>
    <mergeCell ref="P5:Q5"/>
    <mergeCell ref="J2:K2"/>
    <mergeCell ref="L6:M6"/>
    <mergeCell ref="V1:W1"/>
    <mergeCell ref="L2:M2"/>
    <mergeCell ref="N2:O2"/>
    <mergeCell ref="H2:I2"/>
    <mergeCell ref="L5:M5"/>
    <mergeCell ref="N5:O5"/>
    <mergeCell ref="H5:I5"/>
    <mergeCell ref="L4:M4"/>
    <mergeCell ref="N4:O4"/>
    <mergeCell ref="H4:I4"/>
    <mergeCell ref="J3:K3"/>
    <mergeCell ref="J4:K4"/>
    <mergeCell ref="J5:K5"/>
    <mergeCell ref="A107:B107"/>
    <mergeCell ref="V2:W2"/>
    <mergeCell ref="R2:S2"/>
    <mergeCell ref="J7:K7"/>
    <mergeCell ref="J8:K8"/>
    <mergeCell ref="P4:Q4"/>
    <mergeCell ref="V3:W3"/>
    <mergeCell ref="R3:S3"/>
    <mergeCell ref="L3:M3"/>
    <mergeCell ref="N3:O3"/>
    <mergeCell ref="H3:I3"/>
    <mergeCell ref="P3:Q3"/>
    <mergeCell ref="V4:W4"/>
    <mergeCell ref="R4:S4"/>
    <mergeCell ref="A95:B95"/>
    <mergeCell ref="A99:B99"/>
    <mergeCell ref="L7:M7"/>
    <mergeCell ref="L8:M8"/>
    <mergeCell ref="A91:B91"/>
    <mergeCell ref="P7:Q7"/>
    <mergeCell ref="V8:W8"/>
    <mergeCell ref="R8:S8"/>
    <mergeCell ref="H8:I8"/>
    <mergeCell ref="P8:Q8"/>
    <mergeCell ref="V7:W7"/>
    <mergeCell ref="R7:S7"/>
    <mergeCell ref="N7:O7"/>
    <mergeCell ref="A87:B87"/>
    <mergeCell ref="N8:O8"/>
    <mergeCell ref="H7:I7"/>
    <mergeCell ref="T7:U7"/>
    <mergeCell ref="T8:U8"/>
    <mergeCell ref="T2:U2"/>
    <mergeCell ref="T3:U3"/>
    <mergeCell ref="T4:U4"/>
    <mergeCell ref="T5:U5"/>
    <mergeCell ref="T6:U6"/>
  </mergeCells>
  <conditionalFormatting sqref="H24:H36">
    <cfRule type="cellIs" dxfId="2293" priority="105" operator="equal">
      <formula>"X"</formula>
    </cfRule>
    <cfRule type="cellIs" dxfId="2292" priority="106" operator="equal">
      <formula>"I"</formula>
    </cfRule>
  </conditionalFormatting>
  <conditionalFormatting sqref="H38:H78">
    <cfRule type="cellIs" dxfId="2291" priority="15" operator="equal">
      <formula>"X"</formula>
    </cfRule>
    <cfRule type="cellIs" dxfId="2290" priority="16" operator="equal">
      <formula>"I"</formula>
    </cfRule>
  </conditionalFormatting>
  <conditionalFormatting sqref="H96:H97">
    <cfRule type="cellIs" dxfId="2289" priority="9" operator="equal">
      <formula>"X"</formula>
    </cfRule>
    <cfRule type="cellIs" dxfId="2288" priority="10" operator="equal">
      <formula>"I"</formula>
    </cfRule>
  </conditionalFormatting>
  <conditionalFormatting sqref="H100:H105">
    <cfRule type="cellIs" dxfId="2287" priority="7" operator="equal">
      <formula>"X"</formula>
    </cfRule>
    <cfRule type="cellIs" dxfId="2286" priority="8" operator="equal">
      <formula>"I"</formula>
    </cfRule>
  </conditionalFormatting>
  <conditionalFormatting sqref="J27:J36">
    <cfRule type="cellIs" dxfId="2285" priority="65" operator="equal">
      <formula>"X"</formula>
    </cfRule>
    <cfRule type="cellIs" dxfId="2284" priority="66" operator="equal">
      <formula>"I"</formula>
    </cfRule>
  </conditionalFormatting>
  <conditionalFormatting sqref="J40:J57">
    <cfRule type="cellIs" dxfId="2283" priority="17" operator="equal">
      <formula>"X"</formula>
    </cfRule>
    <cfRule type="cellIs" dxfId="2282" priority="18" operator="equal">
      <formula>"I"</formula>
    </cfRule>
  </conditionalFormatting>
  <conditionalFormatting sqref="J59:J60">
    <cfRule type="cellIs" dxfId="2281" priority="11" operator="equal">
      <formula>"X"</formula>
    </cfRule>
    <cfRule type="cellIs" dxfId="2280" priority="12" operator="equal">
      <formula>"I"</formula>
    </cfRule>
  </conditionalFormatting>
  <conditionalFormatting sqref="J71">
    <cfRule type="cellIs" dxfId="2279" priority="31" operator="equal">
      <formula>"X"</formula>
    </cfRule>
    <cfRule type="cellIs" dxfId="2278" priority="32" operator="equal">
      <formula>"I"</formula>
    </cfRule>
  </conditionalFormatting>
  <conditionalFormatting sqref="L24:L36">
    <cfRule type="cellIs" dxfId="2277" priority="111" operator="equal">
      <formula>"X"</formula>
    </cfRule>
    <cfRule type="cellIs" dxfId="2276" priority="112" operator="equal">
      <formula>"I"</formula>
    </cfRule>
  </conditionalFormatting>
  <conditionalFormatting sqref="L38:L78">
    <cfRule type="cellIs" dxfId="2275" priority="23" operator="equal">
      <formula>"X"</formula>
    </cfRule>
    <cfRule type="cellIs" dxfId="2274" priority="24" operator="equal">
      <formula>"I"</formula>
    </cfRule>
  </conditionalFormatting>
  <conditionalFormatting sqref="L102:L105">
    <cfRule type="cellIs" dxfId="2273" priority="75" operator="equal">
      <formula>"X"</formula>
    </cfRule>
    <cfRule type="cellIs" dxfId="2272" priority="76" operator="equal">
      <formula>"I"</formula>
    </cfRule>
  </conditionalFormatting>
  <conditionalFormatting sqref="N24:N36">
    <cfRule type="cellIs" dxfId="2271" priority="109" operator="equal">
      <formula>"X"</formula>
    </cfRule>
    <cfRule type="cellIs" dxfId="2270" priority="110" operator="equal">
      <formula>"I"</formula>
    </cfRule>
  </conditionalFormatting>
  <conditionalFormatting sqref="N38:N78">
    <cfRule type="cellIs" dxfId="2269" priority="5" operator="equal">
      <formula>"X"</formula>
    </cfRule>
    <cfRule type="cellIs" dxfId="2268" priority="6" operator="equal">
      <formula>"I"</formula>
    </cfRule>
  </conditionalFormatting>
  <conditionalFormatting sqref="P24:P36">
    <cfRule type="cellIs" dxfId="2267" priority="101" operator="equal">
      <formula>"X"</formula>
    </cfRule>
    <cfRule type="cellIs" dxfId="2266" priority="102" operator="equal">
      <formula>"I"</formula>
    </cfRule>
  </conditionalFormatting>
  <conditionalFormatting sqref="P38:P78">
    <cfRule type="cellIs" dxfId="2265" priority="19" operator="equal">
      <formula>"X"</formula>
    </cfRule>
    <cfRule type="cellIs" dxfId="2264" priority="20" operator="equal">
      <formula>"I"</formula>
    </cfRule>
  </conditionalFormatting>
  <conditionalFormatting sqref="R24:R36">
    <cfRule type="cellIs" dxfId="2263" priority="137" operator="equal">
      <formula>"X"</formula>
    </cfRule>
    <cfRule type="cellIs" dxfId="2262" priority="138" operator="equal">
      <formula>"I"</formula>
    </cfRule>
  </conditionalFormatting>
  <conditionalFormatting sqref="R38:R78">
    <cfRule type="cellIs" dxfId="2261" priority="13" operator="equal">
      <formula>"X"</formula>
    </cfRule>
    <cfRule type="cellIs" dxfId="2260" priority="14" operator="equal">
      <formula>"I"</formula>
    </cfRule>
  </conditionalFormatting>
  <conditionalFormatting sqref="T24:T36">
    <cfRule type="cellIs" dxfId="2259" priority="3" operator="equal">
      <formula>"X"</formula>
    </cfRule>
    <cfRule type="cellIs" dxfId="2258" priority="4" operator="equal">
      <formula>"I"</formula>
    </cfRule>
  </conditionalFormatting>
  <conditionalFormatting sqref="T38:T78">
    <cfRule type="cellIs" dxfId="2257" priority="1" operator="equal">
      <formula>"X"</formula>
    </cfRule>
    <cfRule type="cellIs" dxfId="2256" priority="2" operator="equal">
      <formula>"I"</formula>
    </cfRule>
  </conditionalFormatting>
  <conditionalFormatting sqref="V24:V36">
    <cfRule type="cellIs" dxfId="2255" priority="103" operator="equal">
      <formula>"X"</formula>
    </cfRule>
    <cfRule type="cellIs" dxfId="2254" priority="104" operator="equal">
      <formula>"I"</formula>
    </cfRule>
  </conditionalFormatting>
  <conditionalFormatting sqref="V38:V78">
    <cfRule type="cellIs" dxfId="2253" priority="25" operator="equal">
      <formula>"X"</formula>
    </cfRule>
    <cfRule type="cellIs" dxfId="2252" priority="26" operator="equal">
      <formula>"I"</formula>
    </cfRule>
  </conditionalFormatting>
  <conditionalFormatting sqref="V100:V101">
    <cfRule type="cellIs" dxfId="2251" priority="129" operator="equal">
      <formula>"X"</formula>
    </cfRule>
    <cfRule type="cellIs" dxfId="2250" priority="130" operator="equal">
      <formula>"I"</formula>
    </cfRule>
  </conditionalFormatting>
  <hyperlinks>
    <hyperlink ref="B3" location="'Cost Summary'!A1" display="BACK TO SUMMARY SHEET" xr:uid="{A2C60B1A-E3BD-423E-9D74-DF3A959D6861}"/>
    <hyperlink ref="L7:M7" r:id="rId1" display="estimating@dennaouiinc.com" xr:uid="{0C1888EB-34AC-4C40-B3E9-AABA96A9CF5B}"/>
    <hyperlink ref="N7:O7" r:id="rId2" display="k.garris@cqinsulation.com" xr:uid="{073D455F-DF02-47B3-AFC8-73C2D46A125C}"/>
    <hyperlink ref="H7:I7" r:id="rId3" display="hh@synergyfoam.com" xr:uid="{29A31BB6-00BD-4FB2-83AD-0B6AEAD27DB7}"/>
    <hyperlink ref="V7" r:id="rId4" xr:uid="{E243A31E-4B31-41F9-8404-D2826BD45B71}"/>
    <hyperlink ref="P7:Q7" r:id="rId5" display="mac@leedinsulation.net" xr:uid="{2ADAC6FC-FB78-45D8-B25C-7B5A62720EA2}"/>
    <hyperlink ref="J7:K7" r:id="rId6" display="endy.samaniego@truteam.com" xr:uid="{86DC8501-FBF4-4B33-B272-26A78E23B11B}"/>
  </hyperlinks>
  <pageMargins left="0.7" right="0.7" top="0.75" bottom="0.75" header="0.3" footer="0.3"/>
  <pageSetup orientation="portrait"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AFB4-5E1C-4A92-AF09-AB93C3307F9D}">
  <sheetPr>
    <tabColor rgb="FFFFC000"/>
  </sheetPr>
  <dimension ref="A1:S89"/>
  <sheetViews>
    <sheetView zoomScale="78" zoomScaleNormal="78" workbookViewId="0">
      <pane xSplit="2" ySplit="9" topLeftCell="E26" activePane="bottomRight" state="frozen"/>
      <selection pane="topRight" activeCell="C1" sqref="C1"/>
      <selection pane="bottomLeft" activeCell="A10" sqref="A10"/>
      <selection pane="bottomRight" activeCell="S41" sqref="S41"/>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9.7265625" style="2" customWidth="1"/>
    <col min="7" max="7" width="13.1796875" style="2" bestFit="1"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t="s">
        <v>1632</v>
      </c>
      <c r="I2" s="3751"/>
      <c r="J2" s="3751"/>
      <c r="K2" s="3751"/>
      <c r="L2" s="3751"/>
      <c r="M2" s="3751"/>
      <c r="N2" s="3751"/>
      <c r="O2" s="3751"/>
      <c r="P2" s="3751" t="s">
        <v>1633</v>
      </c>
      <c r="Q2" s="3751"/>
      <c r="R2" s="3751"/>
      <c r="S2" s="3751"/>
    </row>
    <row r="3" spans="1:19" ht="19.5" x14ac:dyDescent="0.35">
      <c r="B3" s="137" t="s">
        <v>623</v>
      </c>
      <c r="E3" s="152"/>
      <c r="F3" s="124" t="s">
        <v>624</v>
      </c>
      <c r="G3" s="123" t="s">
        <v>557</v>
      </c>
      <c r="H3" s="3754" t="s">
        <v>625</v>
      </c>
      <c r="I3" s="3755"/>
      <c r="J3" s="3754" t="s">
        <v>626</v>
      </c>
      <c r="K3" s="3755"/>
      <c r="L3" s="3772" t="s">
        <v>627</v>
      </c>
      <c r="M3" s="3773"/>
      <c r="N3" s="3754" t="s">
        <v>628</v>
      </c>
      <c r="O3" s="3755"/>
      <c r="P3" s="3754" t="s">
        <v>628</v>
      </c>
      <c r="Q3" s="3755"/>
      <c r="R3" s="3754" t="s">
        <v>629</v>
      </c>
      <c r="S3" s="3755"/>
    </row>
    <row r="4" spans="1:19" ht="15.75" customHeight="1" x14ac:dyDescent="0.35">
      <c r="A4" s="3" t="s">
        <v>631</v>
      </c>
      <c r="B4" s="4" t="str">
        <f>'AREA CALC''s'!B4</f>
        <v>Alton Hilltop Gardens</v>
      </c>
      <c r="C4" s="5"/>
      <c r="D4" s="5"/>
      <c r="E4" s="5"/>
      <c r="F4" s="5"/>
      <c r="G4" s="6" t="s">
        <v>632</v>
      </c>
      <c r="H4" s="3752" t="s">
        <v>1553</v>
      </c>
      <c r="I4" s="3753"/>
      <c r="J4" s="3752" t="s">
        <v>1634</v>
      </c>
      <c r="K4" s="3753"/>
      <c r="L4" s="3752" t="s">
        <v>1635</v>
      </c>
      <c r="M4" s="3753"/>
      <c r="N4" s="3752" t="s">
        <v>1636</v>
      </c>
      <c r="O4" s="3753"/>
      <c r="P4" s="3752" t="s">
        <v>1558</v>
      </c>
      <c r="Q4" s="3753"/>
      <c r="R4" s="3752" t="s">
        <v>1637</v>
      </c>
      <c r="S4" s="3753"/>
    </row>
    <row r="5" spans="1:19" x14ac:dyDescent="0.35">
      <c r="A5" s="1421" t="s">
        <v>634</v>
      </c>
      <c r="B5" s="1422" t="s">
        <v>490</v>
      </c>
      <c r="C5" s="1423"/>
      <c r="D5" s="1423"/>
      <c r="E5" s="1423"/>
      <c r="F5" s="1423"/>
      <c r="G5" s="643" t="s">
        <v>636</v>
      </c>
      <c r="H5" s="3851" t="s">
        <v>1562</v>
      </c>
      <c r="I5" s="3759"/>
      <c r="J5" s="3856" t="s">
        <v>1638</v>
      </c>
      <c r="K5" s="3759"/>
      <c r="L5" s="3851" t="s">
        <v>1639</v>
      </c>
      <c r="M5" s="3759"/>
      <c r="N5" s="3851" t="s">
        <v>1640</v>
      </c>
      <c r="O5" s="3759"/>
      <c r="P5" s="3851" t="s">
        <v>1566</v>
      </c>
      <c r="Q5" s="3759"/>
      <c r="R5" s="3851" t="s">
        <v>1641</v>
      </c>
      <c r="S5" s="3759"/>
    </row>
    <row r="6" spans="1:19" x14ac:dyDescent="0.35">
      <c r="A6" s="1421" t="s">
        <v>638</v>
      </c>
      <c r="B6" s="1424" t="s">
        <v>489</v>
      </c>
      <c r="C6" s="1423"/>
      <c r="D6" s="1423"/>
      <c r="E6" s="1423"/>
      <c r="F6" s="1423"/>
      <c r="G6" s="643" t="s">
        <v>639</v>
      </c>
      <c r="H6" s="3852" t="s">
        <v>1642</v>
      </c>
      <c r="I6" s="3757"/>
      <c r="J6" s="3852" t="s">
        <v>1643</v>
      </c>
      <c r="K6" s="3757"/>
      <c r="L6" s="3852" t="s">
        <v>1644</v>
      </c>
      <c r="M6" s="3757"/>
      <c r="N6" s="3852" t="s">
        <v>1645</v>
      </c>
      <c r="O6" s="3757"/>
      <c r="P6" s="3852" t="s">
        <v>1572</v>
      </c>
      <c r="Q6" s="3757"/>
      <c r="R6" s="3852" t="s">
        <v>1646</v>
      </c>
      <c r="S6" s="3757"/>
    </row>
    <row r="7" spans="1:19" x14ac:dyDescent="0.35">
      <c r="A7" s="1421" t="s">
        <v>641</v>
      </c>
      <c r="B7" s="1425"/>
      <c r="C7" s="1423"/>
      <c r="D7" s="1423"/>
      <c r="E7" s="1423"/>
      <c r="F7" s="1423"/>
      <c r="G7" s="643" t="s">
        <v>642</v>
      </c>
      <c r="H7" s="3853" t="s">
        <v>1575</v>
      </c>
      <c r="I7" s="3854"/>
      <c r="J7" s="3853" t="s">
        <v>1647</v>
      </c>
      <c r="K7" s="3854"/>
      <c r="L7" s="3855" t="s">
        <v>1648</v>
      </c>
      <c r="M7" s="3820"/>
      <c r="N7" s="3853" t="s">
        <v>1649</v>
      </c>
      <c r="O7" s="3854"/>
      <c r="P7" s="3853" t="s">
        <v>1579</v>
      </c>
      <c r="Q7" s="3854"/>
      <c r="R7" s="3853" t="s">
        <v>1650</v>
      </c>
      <c r="S7" s="3854"/>
    </row>
    <row r="8" spans="1:19" x14ac:dyDescent="0.35">
      <c r="A8" s="938" t="s">
        <v>644</v>
      </c>
      <c r="B8" s="939"/>
      <c r="C8" s="940"/>
      <c r="D8" s="940"/>
      <c r="E8" s="940"/>
      <c r="F8" s="940"/>
      <c r="G8" s="1024" t="s">
        <v>644</v>
      </c>
      <c r="H8" s="3760">
        <f>I50</f>
        <v>29485</v>
      </c>
      <c r="I8" s="3761"/>
      <c r="J8" s="3760">
        <f>K50</f>
        <v>35150</v>
      </c>
      <c r="K8" s="3761"/>
      <c r="L8" s="3760">
        <f>M50</f>
        <v>227000</v>
      </c>
      <c r="M8" s="3761"/>
      <c r="N8" s="3760">
        <f>O50</f>
        <v>227561</v>
      </c>
      <c r="O8" s="3761"/>
      <c r="P8" s="3760">
        <f>Q50</f>
        <v>75000</v>
      </c>
      <c r="Q8" s="3761"/>
      <c r="R8" s="3760">
        <f>S50</f>
        <v>81425</v>
      </c>
      <c r="S8" s="3761"/>
    </row>
    <row r="9" spans="1:19" ht="30" customHeight="1"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customHeight="1" x14ac:dyDescent="0.35">
      <c r="A10" s="1426"/>
      <c r="B10" s="1466" t="s">
        <v>653</v>
      </c>
      <c r="C10" s="1423"/>
      <c r="D10" s="1423"/>
      <c r="E10" s="1423"/>
      <c r="F10" s="1423"/>
      <c r="G10" s="646"/>
      <c r="H10" s="942"/>
      <c r="I10" s="942"/>
      <c r="J10" s="942"/>
      <c r="K10" s="942"/>
      <c r="L10" s="942"/>
      <c r="M10" s="942"/>
      <c r="N10" s="942"/>
      <c r="O10" s="942"/>
      <c r="P10" s="942"/>
      <c r="Q10" s="942"/>
      <c r="R10" s="942"/>
      <c r="S10" s="942"/>
    </row>
    <row r="11" spans="1:19" ht="15" hidden="1" customHeight="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row>
    <row r="12" spans="1:19" ht="15" hidden="1" customHeight="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row>
    <row r="13" spans="1:19" ht="15" hidden="1" customHeight="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row>
    <row r="14" spans="1:19" ht="15" hidden="1" customHeight="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row>
    <row r="15" spans="1:19" ht="15" hidden="1" customHeight="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row>
    <row r="16" spans="1:19" ht="15" hidden="1" customHeight="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row>
    <row r="17" spans="1:19" ht="15" hidden="1" customHeight="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row>
    <row r="18" spans="1:19" ht="15" hidden="1" customHeight="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row>
    <row r="19" spans="1:19" x14ac:dyDescent="0.35">
      <c r="A19" s="1426"/>
      <c r="B19" s="1422"/>
      <c r="C19" s="1427"/>
      <c r="D19" s="1423"/>
      <c r="E19" s="1423"/>
      <c r="F19" s="1423"/>
      <c r="G19" s="646"/>
      <c r="H19" s="943"/>
      <c r="I19" s="942"/>
      <c r="J19" s="943"/>
      <c r="K19" s="942"/>
      <c r="L19" s="943"/>
      <c r="M19" s="942"/>
      <c r="N19" s="943"/>
      <c r="O19" s="942"/>
      <c r="P19" s="943"/>
      <c r="Q19" s="942"/>
      <c r="R19" s="943"/>
      <c r="S19" s="942"/>
    </row>
    <row r="20" spans="1:19" x14ac:dyDescent="0.35">
      <c r="A20" s="1426"/>
      <c r="B20" s="1428" t="s">
        <v>490</v>
      </c>
      <c r="C20" s="1427"/>
      <c r="D20" s="1423"/>
      <c r="E20" s="1423"/>
      <c r="F20" s="1423"/>
      <c r="G20" s="646"/>
      <c r="H20" s="943"/>
      <c r="I20" s="942"/>
      <c r="J20" s="943"/>
      <c r="K20" s="942"/>
      <c r="L20" s="943"/>
      <c r="M20" s="942"/>
      <c r="N20" s="943"/>
      <c r="O20" s="942"/>
      <c r="P20" s="943"/>
      <c r="Q20" s="942"/>
      <c r="R20" s="943"/>
      <c r="S20" s="942"/>
    </row>
    <row r="21" spans="1:19" x14ac:dyDescent="0.35">
      <c r="A21" s="1467"/>
      <c r="B21" s="604" t="s">
        <v>657</v>
      </c>
      <c r="C21" s="1468"/>
      <c r="D21" s="1469"/>
      <c r="E21" s="1469"/>
      <c r="F21" s="1469"/>
      <c r="G21" s="692"/>
      <c r="H21" s="943"/>
      <c r="I21" s="1470"/>
      <c r="J21" s="943"/>
      <c r="K21" s="1470"/>
      <c r="L21" s="943"/>
      <c r="M21" s="1470"/>
      <c r="N21" s="943"/>
      <c r="O21" s="1470"/>
      <c r="P21" s="943"/>
      <c r="Q21" s="1470"/>
      <c r="R21" s="943"/>
      <c r="S21" s="1470"/>
    </row>
    <row r="22" spans="1:19" x14ac:dyDescent="0.35">
      <c r="A22" s="1376"/>
      <c r="B22" s="607" t="s">
        <v>658</v>
      </c>
      <c r="C22" s="1427"/>
      <c r="D22" s="1423"/>
      <c r="E22" s="1423"/>
      <c r="F22" s="1423"/>
      <c r="G22" s="646"/>
      <c r="H22" s="943" t="s">
        <v>669</v>
      </c>
      <c r="I22" s="1470"/>
      <c r="J22" s="943" t="s">
        <v>669</v>
      </c>
      <c r="K22" s="1470"/>
      <c r="L22" s="943" t="s">
        <v>669</v>
      </c>
      <c r="M22" s="1471"/>
      <c r="N22" s="943" t="s">
        <v>669</v>
      </c>
      <c r="O22" s="1470"/>
      <c r="P22" s="943" t="s">
        <v>669</v>
      </c>
      <c r="Q22" s="1471"/>
      <c r="R22" s="943" t="s">
        <v>669</v>
      </c>
      <c r="S22" s="1470"/>
    </row>
    <row r="23" spans="1:19" x14ac:dyDescent="0.35">
      <c r="A23" s="1376"/>
      <c r="B23" s="1472" t="s">
        <v>659</v>
      </c>
      <c r="C23" s="1427"/>
      <c r="D23" s="1423"/>
      <c r="E23" s="1423"/>
      <c r="F23" s="1423"/>
      <c r="G23" s="646"/>
      <c r="H23" s="943" t="s">
        <v>669</v>
      </c>
      <c r="I23" s="1470"/>
      <c r="J23" s="943" t="s">
        <v>669</v>
      </c>
      <c r="K23" s="1470"/>
      <c r="L23" s="943" t="s">
        <v>669</v>
      </c>
      <c r="M23" s="1471"/>
      <c r="N23" s="943" t="s">
        <v>669</v>
      </c>
      <c r="O23" s="1470"/>
      <c r="P23" s="943" t="s">
        <v>669</v>
      </c>
      <c r="Q23" s="1471"/>
      <c r="R23" s="943" t="s">
        <v>669</v>
      </c>
      <c r="S23" s="1470"/>
    </row>
    <row r="24" spans="1:19" x14ac:dyDescent="0.35">
      <c r="A24" s="1376"/>
      <c r="B24" s="1473" t="s">
        <v>660</v>
      </c>
      <c r="C24" s="1427"/>
      <c r="D24" s="1423"/>
      <c r="E24" s="1423"/>
      <c r="F24" s="1423"/>
      <c r="G24" s="646"/>
      <c r="H24" s="943" t="s">
        <v>671</v>
      </c>
      <c r="I24" s="1470"/>
      <c r="J24" s="943" t="s">
        <v>671</v>
      </c>
      <c r="K24" s="1470"/>
      <c r="L24" s="943" t="s">
        <v>671</v>
      </c>
      <c r="M24" s="1471"/>
      <c r="N24" s="943" t="s">
        <v>671</v>
      </c>
      <c r="O24" s="1470"/>
      <c r="P24" s="943" t="s">
        <v>671</v>
      </c>
      <c r="Q24" s="1474"/>
      <c r="R24" s="943" t="s">
        <v>671</v>
      </c>
      <c r="S24" s="1470"/>
    </row>
    <row r="25" spans="1:19" x14ac:dyDescent="0.35">
      <c r="A25" s="1376"/>
      <c r="B25" s="1473" t="s">
        <v>661</v>
      </c>
      <c r="C25" s="1427"/>
      <c r="D25" s="1423"/>
      <c r="E25" s="1423"/>
      <c r="F25" s="1423"/>
      <c r="G25" s="646"/>
      <c r="H25" s="943" t="s">
        <v>669</v>
      </c>
      <c r="I25" s="1470"/>
      <c r="J25" s="943" t="s">
        <v>669</v>
      </c>
      <c r="K25" s="1470"/>
      <c r="L25" s="943" t="s">
        <v>669</v>
      </c>
      <c r="M25" s="1471"/>
      <c r="N25" s="943" t="s">
        <v>669</v>
      </c>
      <c r="O25" s="1470"/>
      <c r="P25" s="943" t="s">
        <v>669</v>
      </c>
      <c r="Q25" s="1474"/>
      <c r="R25" s="943" t="s">
        <v>669</v>
      </c>
      <c r="S25" s="1470"/>
    </row>
    <row r="26" spans="1:19" x14ac:dyDescent="0.35">
      <c r="A26" s="1376"/>
      <c r="B26" s="1473" t="s">
        <v>662</v>
      </c>
      <c r="C26" s="1427"/>
      <c r="D26" s="1423"/>
      <c r="E26" s="1423"/>
      <c r="F26" s="1423"/>
      <c r="G26" s="646"/>
      <c r="H26" s="943" t="s">
        <v>669</v>
      </c>
      <c r="I26" s="1470"/>
      <c r="J26" s="943" t="s">
        <v>669</v>
      </c>
      <c r="K26" s="1470"/>
      <c r="L26" s="943" t="s">
        <v>669</v>
      </c>
      <c r="M26" s="1471"/>
      <c r="N26" s="943" t="s">
        <v>669</v>
      </c>
      <c r="O26" s="1470"/>
      <c r="P26" s="943" t="s">
        <v>669</v>
      </c>
      <c r="Q26" s="1474"/>
      <c r="R26" s="943" t="s">
        <v>669</v>
      </c>
      <c r="S26" s="1470"/>
    </row>
    <row r="27" spans="1:19" x14ac:dyDescent="0.35">
      <c r="A27" s="1376"/>
      <c r="B27" s="1473" t="s">
        <v>663</v>
      </c>
      <c r="C27" s="1427"/>
      <c r="D27" s="1423"/>
      <c r="E27" s="1423"/>
      <c r="F27" s="1423"/>
      <c r="G27" s="646"/>
      <c r="H27" s="943" t="s">
        <v>669</v>
      </c>
      <c r="I27" s="1470"/>
      <c r="J27" s="943" t="s">
        <v>669</v>
      </c>
      <c r="K27" s="1470"/>
      <c r="L27" s="943" t="s">
        <v>669</v>
      </c>
      <c r="M27" s="1471"/>
      <c r="N27" s="943" t="s">
        <v>669</v>
      </c>
      <c r="O27" s="1470"/>
      <c r="P27" s="943" t="s">
        <v>669</v>
      </c>
      <c r="Q27" s="1474"/>
      <c r="R27" s="943" t="s">
        <v>669</v>
      </c>
      <c r="S27" s="1470"/>
    </row>
    <row r="28" spans="1:19" x14ac:dyDescent="0.35">
      <c r="A28" s="1376"/>
      <c r="B28" s="1475" t="s">
        <v>789</v>
      </c>
      <c r="C28" s="1427"/>
      <c r="D28" s="1423"/>
      <c r="E28" s="1423"/>
      <c r="F28" s="1423"/>
      <c r="G28" s="646"/>
      <c r="H28" s="943" t="s">
        <v>671</v>
      </c>
      <c r="I28" s="1470"/>
      <c r="J28" s="943" t="s">
        <v>671</v>
      </c>
      <c r="K28" s="1470"/>
      <c r="L28" s="943" t="s">
        <v>671</v>
      </c>
      <c r="M28" s="1471"/>
      <c r="N28" s="943" t="s">
        <v>671</v>
      </c>
      <c r="O28" s="1470"/>
      <c r="P28" s="943" t="s">
        <v>671</v>
      </c>
      <c r="Q28" s="1474"/>
      <c r="R28" s="943" t="s">
        <v>671</v>
      </c>
      <c r="S28" s="1470"/>
    </row>
    <row r="29" spans="1:19" x14ac:dyDescent="0.35">
      <c r="A29" s="1372"/>
      <c r="B29" s="1475" t="s">
        <v>790</v>
      </c>
      <c r="C29" s="1427"/>
      <c r="D29" s="1423"/>
      <c r="E29" s="1423"/>
      <c r="F29" s="1423"/>
      <c r="G29" s="646"/>
      <c r="H29" s="943" t="s">
        <v>671</v>
      </c>
      <c r="I29" s="1470"/>
      <c r="J29" s="943" t="s">
        <v>671</v>
      </c>
      <c r="K29" s="1470"/>
      <c r="L29" s="943" t="s">
        <v>671</v>
      </c>
      <c r="M29" s="1471"/>
      <c r="N29" s="943" t="s">
        <v>671</v>
      </c>
      <c r="O29" s="1470"/>
      <c r="P29" s="943" t="s">
        <v>671</v>
      </c>
      <c r="Q29" s="1476"/>
      <c r="R29" s="943" t="s">
        <v>671</v>
      </c>
      <c r="S29" s="1470"/>
    </row>
    <row r="30" spans="1:19" x14ac:dyDescent="0.35">
      <c r="A30" s="1376"/>
      <c r="B30" s="1475" t="s">
        <v>791</v>
      </c>
      <c r="C30" s="1427"/>
      <c r="D30" s="1423"/>
      <c r="E30" s="1423"/>
      <c r="F30" s="1423"/>
      <c r="G30" s="646"/>
      <c r="H30" s="943" t="s">
        <v>671</v>
      </c>
      <c r="I30" s="1470"/>
      <c r="J30" s="943" t="s">
        <v>671</v>
      </c>
      <c r="K30" s="1470"/>
      <c r="L30" s="943" t="s">
        <v>671</v>
      </c>
      <c r="M30" s="1471"/>
      <c r="N30" s="943" t="s">
        <v>671</v>
      </c>
      <c r="O30" s="1470"/>
      <c r="P30" s="943" t="s">
        <v>671</v>
      </c>
      <c r="Q30" s="1476"/>
      <c r="R30" s="943" t="s">
        <v>671</v>
      </c>
      <c r="S30" s="1470"/>
    </row>
    <row r="31" spans="1:19" x14ac:dyDescent="0.35">
      <c r="A31" s="1376"/>
      <c r="B31" s="1477" t="s">
        <v>664</v>
      </c>
      <c r="C31" s="1427"/>
      <c r="D31" s="1423"/>
      <c r="E31" s="1423"/>
      <c r="F31" s="1423"/>
      <c r="G31" s="646"/>
      <c r="H31" s="943"/>
      <c r="I31" s="1470"/>
      <c r="J31" s="943"/>
      <c r="K31" s="1470"/>
      <c r="L31" s="943"/>
      <c r="M31" s="1471"/>
      <c r="N31" s="943"/>
      <c r="O31" s="1470"/>
      <c r="P31" s="943"/>
      <c r="Q31" s="1474"/>
      <c r="R31" s="943"/>
      <c r="S31" s="1470"/>
    </row>
    <row r="32" spans="1:19" x14ac:dyDescent="0.35">
      <c r="A32" s="1376"/>
      <c r="B32" s="1478" t="s">
        <v>665</v>
      </c>
      <c r="C32" s="1479"/>
      <c r="D32" s="1431"/>
      <c r="E32" s="1431"/>
      <c r="F32" s="1431"/>
      <c r="G32" s="952"/>
      <c r="H32" s="636"/>
      <c r="I32" s="1480"/>
      <c r="J32" s="636"/>
      <c r="K32" s="1188"/>
      <c r="L32" s="636"/>
      <c r="M32" s="1188"/>
      <c r="N32" s="636"/>
      <c r="O32" s="1189"/>
      <c r="P32" s="636"/>
      <c r="Q32" s="1481"/>
      <c r="R32" s="636"/>
      <c r="S32" s="1189"/>
    </row>
    <row r="33" spans="1:19" x14ac:dyDescent="0.35">
      <c r="A33" s="1376"/>
      <c r="B33" s="1482" t="s">
        <v>874</v>
      </c>
      <c r="C33" s="1427"/>
      <c r="D33" s="1423"/>
      <c r="E33" s="1423"/>
      <c r="F33" s="1423"/>
      <c r="G33" s="646"/>
      <c r="H33" s="943"/>
      <c r="I33" s="1470"/>
      <c r="J33" s="943"/>
      <c r="K33" s="1470"/>
      <c r="L33" s="943"/>
      <c r="M33" s="1471"/>
      <c r="N33" s="943"/>
      <c r="O33" s="1470"/>
      <c r="P33" s="943"/>
      <c r="Q33" s="1474"/>
      <c r="R33" s="943"/>
      <c r="S33" s="1470"/>
    </row>
    <row r="34" spans="1:19" x14ac:dyDescent="0.35">
      <c r="A34" s="1376"/>
      <c r="B34" s="1369"/>
      <c r="C34" s="1427"/>
      <c r="D34" s="1423"/>
      <c r="E34" s="1423"/>
      <c r="F34" s="1423"/>
      <c r="G34" s="646"/>
      <c r="H34" s="943"/>
      <c r="I34" s="1470"/>
      <c r="J34" s="943"/>
      <c r="K34" s="1470"/>
      <c r="L34" s="943"/>
      <c r="M34" s="1471"/>
      <c r="N34" s="943"/>
      <c r="O34" s="1470"/>
      <c r="P34" s="943"/>
      <c r="Q34" s="1474"/>
      <c r="R34" s="943"/>
      <c r="S34" s="1470"/>
    </row>
    <row r="35" spans="1:19" x14ac:dyDescent="0.35">
      <c r="A35" s="1376"/>
      <c r="B35" s="1483" t="s">
        <v>1651</v>
      </c>
      <c r="C35" s="1427"/>
      <c r="D35" s="1423"/>
      <c r="E35" s="1423"/>
      <c r="F35" s="1484"/>
      <c r="G35" s="652"/>
      <c r="H35" s="943"/>
      <c r="I35" s="1470"/>
      <c r="J35" s="943"/>
      <c r="K35" s="1470"/>
      <c r="L35" s="943"/>
      <c r="M35" s="1471"/>
      <c r="N35" s="943"/>
      <c r="O35" s="1470"/>
      <c r="P35" s="943"/>
      <c r="Q35" s="1485"/>
      <c r="R35" s="943"/>
      <c r="S35" s="1470"/>
    </row>
    <row r="36" spans="1:19" x14ac:dyDescent="0.35">
      <c r="A36" s="1376"/>
      <c r="B36" s="1369" t="s">
        <v>1652</v>
      </c>
      <c r="C36" s="1427"/>
      <c r="D36" s="1423">
        <v>6</v>
      </c>
      <c r="E36" s="1423" t="s">
        <v>666</v>
      </c>
      <c r="F36" s="1446">
        <v>8000</v>
      </c>
      <c r="G36" s="690">
        <f>F36*D36</f>
        <v>48000</v>
      </c>
      <c r="H36" s="943" t="s">
        <v>671</v>
      </c>
      <c r="I36" s="1470"/>
      <c r="J36" s="943" t="s">
        <v>671</v>
      </c>
      <c r="K36" s="1470"/>
      <c r="L36" s="943" t="s">
        <v>671</v>
      </c>
      <c r="M36" s="1471"/>
      <c r="N36" s="943" t="s">
        <v>671</v>
      </c>
      <c r="O36" s="1470"/>
      <c r="P36" s="943" t="s">
        <v>671</v>
      </c>
      <c r="Q36" s="1474"/>
      <c r="R36" s="943" t="s">
        <v>671</v>
      </c>
      <c r="S36" s="1470"/>
    </row>
    <row r="37" spans="1:19" x14ac:dyDescent="0.35">
      <c r="A37" s="1376"/>
      <c r="B37" s="1369" t="s">
        <v>1653</v>
      </c>
      <c r="C37" s="1427"/>
      <c r="D37" s="1423">
        <v>1</v>
      </c>
      <c r="E37" s="1423" t="s">
        <v>666</v>
      </c>
      <c r="F37" s="1446">
        <v>7000</v>
      </c>
      <c r="G37" s="690">
        <f t="shared" ref="G37" si="0">F37*D37</f>
        <v>7000</v>
      </c>
      <c r="H37" s="943" t="s">
        <v>671</v>
      </c>
      <c r="I37" s="1470"/>
      <c r="J37" s="943" t="s">
        <v>671</v>
      </c>
      <c r="K37" s="1470"/>
      <c r="L37" s="943" t="s">
        <v>671</v>
      </c>
      <c r="M37" s="1471"/>
      <c r="N37" s="943" t="s">
        <v>671</v>
      </c>
      <c r="O37" s="1470"/>
      <c r="P37" s="943" t="s">
        <v>671</v>
      </c>
      <c r="Q37" s="1474"/>
      <c r="R37" s="943" t="s">
        <v>671</v>
      </c>
      <c r="S37" s="1470"/>
    </row>
    <row r="38" spans="1:19" x14ac:dyDescent="0.35">
      <c r="A38" s="1376"/>
      <c r="B38" s="1369"/>
      <c r="C38" s="1427"/>
      <c r="D38" s="1423"/>
      <c r="E38" s="1423"/>
      <c r="F38" s="1423"/>
      <c r="G38" s="646"/>
      <c r="H38" s="943"/>
      <c r="I38" s="1470"/>
      <c r="J38" s="943"/>
      <c r="K38" s="1470"/>
      <c r="L38" s="943"/>
      <c r="M38" s="1471"/>
      <c r="N38" s="943"/>
      <c r="O38" s="1470"/>
      <c r="P38" s="943"/>
      <c r="Q38" s="1474"/>
      <c r="R38" s="943"/>
      <c r="S38" s="1470"/>
    </row>
    <row r="39" spans="1:19" x14ac:dyDescent="0.35">
      <c r="A39" s="1376"/>
      <c r="B39" s="1369" t="s">
        <v>1654</v>
      </c>
      <c r="C39" s="1486" t="s">
        <v>1655</v>
      </c>
      <c r="D39" s="1423"/>
      <c r="E39" s="1423"/>
      <c r="F39" s="1423"/>
      <c r="G39" s="646"/>
      <c r="H39" s="943" t="s">
        <v>671</v>
      </c>
      <c r="I39" s="1470"/>
      <c r="J39" s="943" t="s">
        <v>671</v>
      </c>
      <c r="K39" s="1470"/>
      <c r="L39" s="943" t="s">
        <v>671</v>
      </c>
      <c r="M39" s="1471"/>
      <c r="N39" s="943" t="s">
        <v>671</v>
      </c>
      <c r="O39" s="1470"/>
      <c r="P39" s="943" t="s">
        <v>671</v>
      </c>
      <c r="Q39" s="1474"/>
      <c r="R39" s="943" t="s">
        <v>671</v>
      </c>
      <c r="S39" s="1470"/>
    </row>
    <row r="40" spans="1:19" x14ac:dyDescent="0.35">
      <c r="A40" s="1376"/>
      <c r="B40" s="1369"/>
      <c r="C40" s="1427"/>
      <c r="D40" s="1423"/>
      <c r="E40" s="1423"/>
      <c r="F40" s="1423"/>
      <c r="G40" s="646"/>
      <c r="H40" s="943"/>
      <c r="I40" s="1470"/>
      <c r="J40" s="943"/>
      <c r="K40" s="1470"/>
      <c r="L40" s="943"/>
      <c r="M40" s="1471"/>
      <c r="N40" s="943"/>
      <c r="O40" s="1487"/>
      <c r="P40" s="943"/>
      <c r="Q40" s="1474"/>
      <c r="R40" s="943"/>
      <c r="S40" s="1487"/>
    </row>
    <row r="41" spans="1:19" x14ac:dyDescent="0.35">
      <c r="A41" s="1376"/>
      <c r="B41" s="1369" t="s">
        <v>1656</v>
      </c>
      <c r="C41" s="1486" t="s">
        <v>1657</v>
      </c>
      <c r="D41" s="1423"/>
      <c r="E41" s="1423"/>
      <c r="F41" s="1423"/>
      <c r="G41" s="646"/>
      <c r="H41" s="943" t="s">
        <v>669</v>
      </c>
      <c r="I41" s="1487">
        <v>29485</v>
      </c>
      <c r="J41" s="943" t="s">
        <v>669</v>
      </c>
      <c r="K41" s="1487">
        <v>35150</v>
      </c>
      <c r="L41" s="943" t="s">
        <v>669</v>
      </c>
      <c r="M41" s="1487">
        <v>39000</v>
      </c>
      <c r="N41" s="1101" t="s">
        <v>654</v>
      </c>
      <c r="O41" s="1488">
        <f>M41</f>
        <v>39000</v>
      </c>
      <c r="P41" s="943" t="s">
        <v>669</v>
      </c>
      <c r="Q41" s="1487">
        <f>12500*6</f>
        <v>75000</v>
      </c>
      <c r="R41" s="943" t="s">
        <v>669</v>
      </c>
      <c r="S41" s="1487">
        <f>74875+6550</f>
        <v>81425</v>
      </c>
    </row>
    <row r="42" spans="1:19" x14ac:dyDescent="0.35">
      <c r="A42" s="1376"/>
      <c r="B42" s="1369" t="s">
        <v>1658</v>
      </c>
      <c r="C42" s="1427"/>
      <c r="D42" s="1423"/>
      <c r="E42" s="1423"/>
      <c r="F42" s="1423"/>
      <c r="G42" s="646"/>
      <c r="H42" s="943" t="s">
        <v>1659</v>
      </c>
      <c r="I42" s="1471"/>
      <c r="J42" s="943" t="s">
        <v>671</v>
      </c>
      <c r="K42" s="1471"/>
      <c r="L42" s="943" t="s">
        <v>669</v>
      </c>
      <c r="M42" s="1487">
        <v>188000</v>
      </c>
      <c r="N42" s="943" t="s">
        <v>669</v>
      </c>
      <c r="O42" s="1487">
        <v>188561</v>
      </c>
      <c r="P42" s="943" t="s">
        <v>671</v>
      </c>
      <c r="Q42" s="1471"/>
      <c r="R42" s="943" t="s">
        <v>671</v>
      </c>
      <c r="S42" s="1470"/>
    </row>
    <row r="43" spans="1:19" x14ac:dyDescent="0.35">
      <c r="A43" s="1372"/>
      <c r="B43" s="1369"/>
      <c r="C43" s="1427"/>
      <c r="D43" s="1423"/>
      <c r="E43" s="1423"/>
      <c r="F43" s="1423"/>
      <c r="G43" s="646"/>
      <c r="H43" s="943"/>
      <c r="I43" s="1471"/>
      <c r="J43" s="1489"/>
      <c r="K43" s="1471"/>
      <c r="L43" s="1490"/>
      <c r="M43" s="1471"/>
      <c r="N43" s="1489"/>
      <c r="O43" s="1470"/>
      <c r="P43" s="1490"/>
      <c r="Q43" s="1471"/>
      <c r="R43" s="1489"/>
      <c r="S43" s="1470"/>
    </row>
    <row r="44" spans="1:19" x14ac:dyDescent="0.35">
      <c r="A44" s="1376"/>
      <c r="B44" s="1377"/>
      <c r="C44" s="1427"/>
      <c r="D44" s="1423"/>
      <c r="E44" s="1423"/>
      <c r="F44" s="1423"/>
      <c r="G44" s="646"/>
      <c r="H44" s="943"/>
      <c r="I44" s="1393"/>
      <c r="J44" s="1491"/>
      <c r="K44" s="1393"/>
      <c r="L44" s="1492"/>
      <c r="M44" s="1393"/>
      <c r="N44" s="1491"/>
      <c r="O44" s="1392"/>
      <c r="P44" s="1492"/>
      <c r="Q44" s="1393"/>
      <c r="R44" s="1491"/>
      <c r="S44" s="1392"/>
    </row>
    <row r="45" spans="1:19" x14ac:dyDescent="0.35">
      <c r="A45" s="1376"/>
      <c r="B45" s="1369"/>
      <c r="C45" s="1427"/>
      <c r="D45" s="1423"/>
      <c r="E45" s="1423"/>
      <c r="F45" s="1423"/>
      <c r="G45" s="646"/>
      <c r="H45" s="943"/>
      <c r="I45" s="1471"/>
      <c r="J45" s="1471"/>
      <c r="K45" s="1471"/>
      <c r="L45" s="1389"/>
      <c r="M45" s="1471"/>
      <c r="N45" s="1471"/>
      <c r="O45" s="1471"/>
      <c r="P45" s="1389"/>
      <c r="Q45" s="1474"/>
      <c r="R45" s="1471"/>
      <c r="S45" s="1471"/>
    </row>
    <row r="46" spans="1:19" x14ac:dyDescent="0.35">
      <c r="A46" s="14"/>
      <c r="B46" s="15"/>
      <c r="C46" s="16"/>
      <c r="D46" s="16"/>
      <c r="E46" s="17"/>
      <c r="F46" s="18" t="s">
        <v>715</v>
      </c>
      <c r="G46" s="19"/>
      <c r="H46" s="20"/>
      <c r="I46" s="50">
        <f>SUM(I21:I45)</f>
        <v>29485</v>
      </c>
      <c r="J46" s="20"/>
      <c r="K46" s="50">
        <f>SUM(K21:K45)</f>
        <v>35150</v>
      </c>
      <c r="L46" s="20"/>
      <c r="M46" s="50">
        <f>SUM(M21:M45)</f>
        <v>227000</v>
      </c>
      <c r="N46" s="20"/>
      <c r="O46" s="50">
        <f>SUM(O21:O45)</f>
        <v>227561</v>
      </c>
      <c r="P46" s="20"/>
      <c r="Q46" s="50">
        <f>SUM(Q21:Q45)</f>
        <v>75000</v>
      </c>
      <c r="R46" s="20"/>
      <c r="S46" s="50">
        <f>SUM(S21:S45)</f>
        <v>81425</v>
      </c>
    </row>
    <row r="47" spans="1:19" x14ac:dyDescent="0.35">
      <c r="A47" s="1452"/>
      <c r="B47" s="1453"/>
      <c r="C47" s="1454"/>
      <c r="D47" s="1454"/>
      <c r="E47" s="1455"/>
      <c r="F47" s="1456" t="s">
        <v>716</v>
      </c>
      <c r="G47" s="659"/>
      <c r="H47" s="959">
        <v>0</v>
      </c>
      <c r="I47" s="959"/>
      <c r="J47" s="959">
        <v>0</v>
      </c>
      <c r="K47" s="959"/>
      <c r="L47" s="959">
        <v>0</v>
      </c>
      <c r="M47" s="959"/>
      <c r="N47" s="1153">
        <v>0</v>
      </c>
      <c r="O47" s="959"/>
      <c r="P47" s="959">
        <v>0</v>
      </c>
      <c r="Q47" s="960"/>
      <c r="R47" s="1153">
        <v>0</v>
      </c>
      <c r="S47" s="959"/>
    </row>
    <row r="48" spans="1:19" x14ac:dyDescent="0.35">
      <c r="A48" s="1452"/>
      <c r="B48" s="1453"/>
      <c r="C48" s="1454"/>
      <c r="D48" s="1454"/>
      <c r="E48" s="1455"/>
      <c r="F48" s="1456" t="s">
        <v>717</v>
      </c>
      <c r="G48" s="659"/>
      <c r="H48" s="961"/>
      <c r="I48" s="962">
        <f>I46*H47</f>
        <v>0</v>
      </c>
      <c r="J48" s="961"/>
      <c r="K48" s="962">
        <f>K46*J47</f>
        <v>0</v>
      </c>
      <c r="L48" s="961"/>
      <c r="M48" s="962">
        <f>M46*L47</f>
        <v>0</v>
      </c>
      <c r="N48" s="961"/>
      <c r="O48" s="962">
        <f>O46*N47</f>
        <v>0</v>
      </c>
      <c r="P48" s="961"/>
      <c r="Q48" s="962">
        <f>Q46*P47</f>
        <v>0</v>
      </c>
      <c r="R48" s="961"/>
      <c r="S48" s="962">
        <f>S46*R47</f>
        <v>0</v>
      </c>
    </row>
    <row r="49" spans="1:19" x14ac:dyDescent="0.35">
      <c r="A49" s="1452"/>
      <c r="B49" s="1453"/>
      <c r="C49" s="1454"/>
      <c r="D49" s="1454"/>
      <c r="E49" s="1455"/>
      <c r="F49" s="1456" t="s">
        <v>1660</v>
      </c>
      <c r="G49" s="659"/>
      <c r="H49" s="961"/>
      <c r="I49" s="961"/>
      <c r="J49" s="961"/>
      <c r="K49" s="961"/>
      <c r="L49" s="961"/>
      <c r="M49" s="961"/>
      <c r="N49" s="961"/>
      <c r="O49" s="961"/>
      <c r="P49" s="1123">
        <v>0</v>
      </c>
      <c r="Q49" s="962">
        <f>Q46*P49</f>
        <v>0</v>
      </c>
      <c r="R49" s="961"/>
      <c r="S49" s="961"/>
    </row>
    <row r="50" spans="1:19" x14ac:dyDescent="0.35">
      <c r="A50" s="1452"/>
      <c r="B50" s="1453"/>
      <c r="C50" s="1454"/>
      <c r="D50" s="1454"/>
      <c r="E50" s="1455"/>
      <c r="F50" s="1456" t="s">
        <v>718</v>
      </c>
      <c r="G50" s="659"/>
      <c r="H50" s="964"/>
      <c r="I50" s="962">
        <f>SUM(I46:I48)</f>
        <v>29485</v>
      </c>
      <c r="J50" s="964"/>
      <c r="K50" s="962">
        <f>SUM(K46:K48)</f>
        <v>35150</v>
      </c>
      <c r="L50" s="964"/>
      <c r="M50" s="962">
        <f>SUM(M46:M48)</f>
        <v>227000</v>
      </c>
      <c r="N50" s="964"/>
      <c r="O50" s="962">
        <f>SUM(O46:O48)</f>
        <v>227561</v>
      </c>
      <c r="P50" s="964"/>
      <c r="Q50" s="962">
        <f>SUM(Q46:Q49)</f>
        <v>75000</v>
      </c>
      <c r="R50" s="964"/>
      <c r="S50" s="962">
        <f>SUM(S46:S48)</f>
        <v>81425</v>
      </c>
    </row>
    <row r="51" spans="1:19" x14ac:dyDescent="0.35">
      <c r="A51" s="1452"/>
      <c r="B51" s="1453"/>
      <c r="C51" s="1454"/>
      <c r="D51" s="1454"/>
      <c r="E51" s="1455"/>
      <c r="F51" s="1409" t="s">
        <v>719</v>
      </c>
      <c r="G51" s="661"/>
      <c r="H51" s="965"/>
      <c r="I51" s="966" t="e">
        <f>I50/#REF!</f>
        <v>#REF!</v>
      </c>
      <c r="J51" s="965"/>
      <c r="K51" s="966" t="e">
        <f>K50/#REF!</f>
        <v>#REF!</v>
      </c>
      <c r="L51" s="965"/>
      <c r="M51" s="966" t="e">
        <f>M50/#REF!</f>
        <v>#REF!</v>
      </c>
      <c r="N51" s="966"/>
      <c r="O51" s="966" t="e">
        <f>O50/#REF!</f>
        <v>#REF!</v>
      </c>
      <c r="P51" s="965"/>
      <c r="Q51" s="966" t="e">
        <f>Q50/#REF!</f>
        <v>#REF!</v>
      </c>
      <c r="R51" s="966"/>
      <c r="S51" s="966" t="e">
        <f>S50/#REF!</f>
        <v>#REF!</v>
      </c>
    </row>
    <row r="52" spans="1:19" x14ac:dyDescent="0.35">
      <c r="A52" s="1452"/>
      <c r="B52" s="1453"/>
      <c r="C52" s="1454"/>
      <c r="D52" s="1454"/>
      <c r="E52" s="1455"/>
      <c r="F52" s="1409" t="s">
        <v>720</v>
      </c>
      <c r="G52" s="662"/>
      <c r="H52" s="965"/>
      <c r="I52" s="966" t="e">
        <f>I50/#REF!</f>
        <v>#REF!</v>
      </c>
      <c r="J52" s="965"/>
      <c r="K52" s="966" t="e">
        <f>K50/#REF!</f>
        <v>#REF!</v>
      </c>
      <c r="L52" s="965"/>
      <c r="M52" s="966" t="e">
        <f>M50/#REF!</f>
        <v>#REF!</v>
      </c>
      <c r="N52" s="966"/>
      <c r="O52" s="966" t="e">
        <f>O50/#REF!</f>
        <v>#REF!</v>
      </c>
      <c r="P52" s="965"/>
      <c r="Q52" s="966" t="e">
        <f>Q50/#REF!</f>
        <v>#REF!</v>
      </c>
      <c r="R52" s="966"/>
      <c r="S52" s="966" t="e">
        <f>S50/#REF!</f>
        <v>#REF!</v>
      </c>
    </row>
    <row r="53" spans="1:19" x14ac:dyDescent="0.35">
      <c r="A53" s="1452"/>
      <c r="B53" s="1453"/>
      <c r="C53" s="1454"/>
      <c r="D53" s="1454"/>
      <c r="E53" s="1455"/>
      <c r="F53" s="1456"/>
      <c r="G53" s="663"/>
      <c r="H53" s="967"/>
      <c r="I53" s="967"/>
      <c r="J53" s="967"/>
      <c r="K53" s="967"/>
      <c r="L53" s="967"/>
      <c r="M53" s="967"/>
      <c r="N53" s="967"/>
      <c r="O53" s="967"/>
      <c r="P53" s="1168"/>
      <c r="Q53" s="1169"/>
      <c r="R53" s="967"/>
      <c r="S53" s="967"/>
    </row>
    <row r="54" spans="1:19" x14ac:dyDescent="0.35">
      <c r="A54" s="3764" t="s">
        <v>721</v>
      </c>
      <c r="B54" s="3765"/>
      <c r="C54" s="12"/>
      <c r="D54" s="12"/>
      <c r="E54" s="12"/>
      <c r="F54" s="12"/>
      <c r="G54" s="13"/>
      <c r="H54" s="21"/>
      <c r="I54" s="21"/>
      <c r="J54" s="21"/>
      <c r="K54" s="21"/>
      <c r="L54" s="21"/>
      <c r="M54" s="21"/>
      <c r="N54" s="21"/>
      <c r="O54" s="21"/>
      <c r="P54" s="21"/>
      <c r="Q54" s="21"/>
      <c r="R54" s="21"/>
      <c r="S54" s="21"/>
    </row>
    <row r="55" spans="1:19" x14ac:dyDescent="0.35">
      <c r="A55" s="1382"/>
      <c r="B55" s="1422" t="s">
        <v>1661</v>
      </c>
      <c r="C55" s="1383"/>
      <c r="D55" s="1383"/>
      <c r="E55" s="1383"/>
      <c r="F55" s="1383"/>
      <c r="G55" s="1384"/>
      <c r="H55" s="1385"/>
      <c r="I55" s="1385"/>
      <c r="J55" s="1385"/>
      <c r="K55" s="1385"/>
      <c r="L55" s="1385"/>
      <c r="M55" s="1385"/>
      <c r="N55" s="1385"/>
      <c r="O55" s="1385"/>
      <c r="P55" s="1385"/>
      <c r="Q55" s="1385"/>
      <c r="R55" s="1385"/>
      <c r="S55" s="1385"/>
    </row>
    <row r="56" spans="1:19" x14ac:dyDescent="0.35">
      <c r="A56" s="1382"/>
      <c r="B56" s="1422"/>
      <c r="C56" s="1383"/>
      <c r="D56" s="1383"/>
      <c r="E56" s="1383"/>
      <c r="F56" s="1383"/>
      <c r="G56" s="1384"/>
      <c r="H56" s="1385"/>
      <c r="I56" s="1385"/>
      <c r="J56" s="1385"/>
      <c r="K56" s="1385"/>
      <c r="L56" s="1385"/>
      <c r="M56" s="1385"/>
      <c r="N56" s="1385"/>
      <c r="O56" s="1385"/>
      <c r="P56" s="1385"/>
      <c r="Q56" s="1385"/>
      <c r="R56" s="1385"/>
      <c r="S56" s="1385"/>
    </row>
    <row r="57" spans="1:19" x14ac:dyDescent="0.35">
      <c r="A57" s="1382"/>
      <c r="B57" s="1422"/>
      <c r="C57" s="1383"/>
      <c r="D57" s="1383"/>
      <c r="E57" s="1383"/>
      <c r="F57" s="1383"/>
      <c r="G57" s="1384"/>
      <c r="H57" s="1385"/>
      <c r="I57" s="1385"/>
      <c r="J57" s="1385"/>
      <c r="K57" s="1385"/>
      <c r="L57" s="1385"/>
      <c r="M57" s="1385"/>
      <c r="N57" s="1385"/>
      <c r="O57" s="1385"/>
      <c r="P57" s="1385"/>
      <c r="Q57" s="1385"/>
      <c r="R57" s="1385"/>
      <c r="S57" s="1385"/>
    </row>
    <row r="58" spans="1:19" s="2" customFormat="1" x14ac:dyDescent="0.35">
      <c r="A58" s="3764" t="s">
        <v>722</v>
      </c>
      <c r="B58" s="3765"/>
      <c r="C58" s="12"/>
      <c r="D58" s="12"/>
      <c r="E58" s="12"/>
      <c r="F58" s="12"/>
      <c r="G58" s="13"/>
      <c r="H58" s="21"/>
      <c r="I58" s="21"/>
      <c r="J58" s="21"/>
      <c r="K58" s="21"/>
      <c r="L58" s="21"/>
      <c r="M58" s="21"/>
      <c r="N58" s="21"/>
      <c r="O58" s="21"/>
      <c r="P58" s="21"/>
      <c r="Q58" s="21"/>
      <c r="R58" s="21"/>
      <c r="S58" s="21"/>
    </row>
    <row r="59" spans="1:19" s="2" customFormat="1" x14ac:dyDescent="0.35">
      <c r="A59" s="1382"/>
      <c r="B59" s="1422"/>
      <c r="C59" s="1383"/>
      <c r="D59" s="1383"/>
      <c r="E59" s="1383"/>
      <c r="F59" s="1383"/>
      <c r="G59" s="1384"/>
      <c r="H59" s="1385"/>
      <c r="I59" s="1385"/>
      <c r="J59" s="1385"/>
      <c r="K59" s="1385"/>
      <c r="L59" s="1385"/>
      <c r="M59" s="1385"/>
      <c r="N59" s="1385"/>
      <c r="O59" s="1385"/>
      <c r="P59" s="1385"/>
      <c r="Q59" s="1385"/>
      <c r="R59" s="1385"/>
      <c r="S59" s="1385"/>
    </row>
    <row r="60" spans="1:19" s="2" customFormat="1" x14ac:dyDescent="0.35">
      <c r="A60" s="1382"/>
      <c r="B60" s="1422"/>
      <c r="C60" s="1383"/>
      <c r="D60" s="1383"/>
      <c r="E60" s="1383"/>
      <c r="F60" s="1383"/>
      <c r="G60" s="1384"/>
      <c r="H60" s="1385"/>
      <c r="I60" s="1385"/>
      <c r="J60" s="1385"/>
      <c r="K60" s="1385"/>
      <c r="L60" s="1385"/>
      <c r="M60" s="1385"/>
      <c r="N60" s="1385"/>
      <c r="O60" s="1385"/>
      <c r="P60" s="1385"/>
      <c r="Q60" s="1385"/>
      <c r="R60" s="1385"/>
      <c r="S60" s="1385"/>
    </row>
    <row r="61" spans="1:19" x14ac:dyDescent="0.35">
      <c r="A61" s="1382"/>
      <c r="B61" s="1422"/>
      <c r="C61" s="1383"/>
      <c r="D61" s="1383"/>
      <c r="E61" s="1383"/>
      <c r="F61" s="1383"/>
      <c r="G61" s="1384"/>
      <c r="H61" s="1385"/>
      <c r="I61" s="1385"/>
      <c r="J61" s="1385"/>
      <c r="K61" s="1385"/>
      <c r="L61" s="1385"/>
      <c r="M61" s="1385"/>
      <c r="N61" s="1385"/>
      <c r="O61" s="1385"/>
      <c r="P61" s="1385"/>
      <c r="Q61" s="1385"/>
      <c r="R61" s="1385"/>
      <c r="S61" s="1385"/>
    </row>
    <row r="62" spans="1:19" s="2" customFormat="1" x14ac:dyDescent="0.35">
      <c r="A62" s="3764" t="s">
        <v>723</v>
      </c>
      <c r="B62" s="3765"/>
      <c r="C62" s="12"/>
      <c r="D62" s="12"/>
      <c r="E62" s="12"/>
      <c r="F62" s="12"/>
      <c r="G62" s="13"/>
      <c r="H62" s="21"/>
      <c r="I62" s="21"/>
      <c r="J62" s="21"/>
      <c r="K62" s="21"/>
      <c r="L62" s="21"/>
      <c r="M62" s="21"/>
      <c r="N62" s="21"/>
      <c r="O62" s="21"/>
      <c r="P62" s="21"/>
      <c r="Q62" s="21"/>
      <c r="R62" s="21"/>
      <c r="S62" s="21"/>
    </row>
    <row r="63" spans="1:19" s="2" customFormat="1" x14ac:dyDescent="0.35">
      <c r="A63" s="1382"/>
      <c r="B63" s="1422" t="s">
        <v>1662</v>
      </c>
      <c r="C63" s="1383"/>
      <c r="D63" s="1383"/>
      <c r="E63" s="1383"/>
      <c r="F63" s="1383"/>
      <c r="G63" s="1384"/>
      <c r="H63" s="943" t="s">
        <v>669</v>
      </c>
      <c r="I63" s="1385">
        <v>168846</v>
      </c>
      <c r="J63" s="1385"/>
      <c r="K63" s="1385"/>
      <c r="L63" s="1385"/>
      <c r="M63" s="1385"/>
      <c r="N63" s="943" t="s">
        <v>669</v>
      </c>
      <c r="O63" s="1385">
        <f>212975+15756</f>
        <v>228731</v>
      </c>
      <c r="P63" s="1385"/>
      <c r="Q63" s="1385"/>
      <c r="R63" s="943" t="s">
        <v>669</v>
      </c>
      <c r="S63" s="1385">
        <f>212975+15756</f>
        <v>228731</v>
      </c>
    </row>
    <row r="64" spans="1:19" s="2" customFormat="1" x14ac:dyDescent="0.35">
      <c r="A64" s="1426"/>
      <c r="B64" s="1422" t="s">
        <v>1663</v>
      </c>
      <c r="C64" s="1423"/>
      <c r="D64" s="1423"/>
      <c r="E64" s="1423"/>
      <c r="F64" s="1423"/>
      <c r="G64" s="646"/>
      <c r="H64" s="973"/>
      <c r="I64" s="973"/>
      <c r="J64" s="973"/>
      <c r="K64" s="973"/>
      <c r="L64" s="973"/>
      <c r="M64" s="973"/>
      <c r="N64" s="943" t="s">
        <v>669</v>
      </c>
      <c r="O64" s="973">
        <v>61797</v>
      </c>
      <c r="P64" s="973"/>
      <c r="Q64" s="973"/>
      <c r="R64" s="973"/>
      <c r="S64" s="973"/>
    </row>
    <row r="65" spans="1:19" s="2" customFormat="1" x14ac:dyDescent="0.35">
      <c r="A65" s="1416"/>
      <c r="B65" s="1417"/>
      <c r="C65" s="1423"/>
      <c r="D65" s="1423"/>
      <c r="E65" s="1423"/>
      <c r="F65" s="1423"/>
      <c r="G65" s="646"/>
      <c r="H65" s="974"/>
      <c r="I65" s="974"/>
      <c r="J65" s="974"/>
      <c r="K65" s="974"/>
      <c r="L65" s="974"/>
      <c r="M65" s="974"/>
      <c r="N65" s="974"/>
      <c r="O65" s="974"/>
      <c r="P65" s="974"/>
      <c r="Q65" s="974"/>
      <c r="R65" s="974"/>
      <c r="S65" s="974"/>
    </row>
    <row r="66" spans="1:19" s="2" customFormat="1" x14ac:dyDescent="0.35">
      <c r="A66" s="3764" t="s">
        <v>724</v>
      </c>
      <c r="B66" s="3765"/>
      <c r="C66" s="12"/>
      <c r="D66" s="12"/>
      <c r="E66" s="12"/>
      <c r="F66" s="12"/>
      <c r="G66" s="13"/>
      <c r="H66" s="21"/>
      <c r="I66" s="21"/>
      <c r="J66" s="21"/>
      <c r="K66" s="21"/>
      <c r="L66" s="21"/>
      <c r="M66" s="21"/>
      <c r="N66" s="21"/>
      <c r="O66" s="21"/>
      <c r="P66" s="21"/>
      <c r="Q66" s="21"/>
      <c r="R66" s="21"/>
      <c r="S66" s="21"/>
    </row>
    <row r="67" spans="1:19" x14ac:dyDescent="0.35">
      <c r="A67" s="1386"/>
      <c r="B67" s="1387"/>
      <c r="C67" s="1383"/>
      <c r="D67" s="1383"/>
      <c r="E67" s="1383"/>
      <c r="F67" s="1383"/>
      <c r="G67" s="1384"/>
      <c r="H67" s="1385"/>
      <c r="I67" s="1385"/>
      <c r="J67" s="1385"/>
      <c r="K67" s="1385"/>
      <c r="L67" s="1385"/>
      <c r="M67" s="1385"/>
      <c r="N67" s="1385"/>
      <c r="O67" s="1385"/>
      <c r="P67" s="1385"/>
      <c r="Q67" s="1385"/>
      <c r="R67" s="1385"/>
      <c r="S67" s="1385"/>
    </row>
    <row r="68" spans="1:19" x14ac:dyDescent="0.35">
      <c r="A68" s="1416"/>
      <c r="B68" s="1417"/>
      <c r="C68" s="1423"/>
      <c r="D68" s="1423"/>
      <c r="E68" s="1423"/>
      <c r="F68" s="1423"/>
      <c r="G68" s="646"/>
      <c r="H68" s="977"/>
      <c r="I68" s="977"/>
      <c r="J68" s="977"/>
      <c r="K68" s="977"/>
      <c r="L68" s="977"/>
      <c r="M68" s="977"/>
      <c r="N68" s="977"/>
      <c r="O68" s="977"/>
      <c r="P68" s="977"/>
      <c r="Q68" s="977"/>
      <c r="R68" s="977"/>
      <c r="S68" s="977"/>
    </row>
    <row r="69" spans="1:19" x14ac:dyDescent="0.35">
      <c r="A69" s="1416"/>
      <c r="B69" s="1417"/>
      <c r="C69" s="1423"/>
      <c r="D69" s="1423"/>
      <c r="E69" s="1423"/>
      <c r="F69" s="1423"/>
      <c r="G69" s="646"/>
      <c r="H69" s="977"/>
      <c r="I69" s="977"/>
      <c r="J69" s="977"/>
      <c r="K69" s="977"/>
      <c r="L69" s="977"/>
      <c r="M69" s="977"/>
      <c r="N69" s="977"/>
      <c r="O69" s="977"/>
      <c r="P69" s="977"/>
      <c r="Q69" s="977"/>
      <c r="R69" s="977"/>
      <c r="S69" s="977"/>
    </row>
    <row r="70" spans="1:19" x14ac:dyDescent="0.35">
      <c r="A70" s="3764" t="s">
        <v>725</v>
      </c>
      <c r="B70" s="3765"/>
      <c r="C70" s="12"/>
      <c r="D70" s="12"/>
      <c r="E70" s="12"/>
      <c r="F70" s="12"/>
      <c r="G70" s="13"/>
      <c r="H70" s="21"/>
      <c r="I70" s="21"/>
      <c r="J70" s="21"/>
      <c r="K70" s="21"/>
      <c r="L70" s="21"/>
      <c r="M70" s="21"/>
      <c r="N70" s="21"/>
      <c r="O70" s="21"/>
      <c r="P70" s="21"/>
      <c r="Q70" s="21"/>
      <c r="R70" s="21"/>
      <c r="S70" s="21"/>
    </row>
    <row r="71" spans="1:19" x14ac:dyDescent="0.35">
      <c r="A71" s="1426"/>
      <c r="B71" s="1422" t="s">
        <v>726</v>
      </c>
      <c r="C71" s="1423"/>
      <c r="D71" s="1423"/>
      <c r="E71" s="1423"/>
      <c r="F71" s="1423"/>
      <c r="G71" s="646"/>
      <c r="H71" s="977"/>
      <c r="I71" s="977"/>
      <c r="J71" s="977"/>
      <c r="K71" s="977"/>
      <c r="L71" s="977"/>
      <c r="M71" s="977"/>
      <c r="N71" s="977"/>
      <c r="O71" s="977"/>
      <c r="P71" s="977"/>
      <c r="Q71" s="977"/>
      <c r="R71" s="977"/>
      <c r="S71" s="977"/>
    </row>
    <row r="72" spans="1:19" x14ac:dyDescent="0.35">
      <c r="A72" s="1426"/>
      <c r="B72" s="1422" t="s">
        <v>727</v>
      </c>
      <c r="C72" s="1423"/>
      <c r="D72" s="1423"/>
      <c r="E72" s="1423"/>
      <c r="F72" s="1423"/>
      <c r="G72" s="646"/>
      <c r="H72" s="977"/>
      <c r="I72" s="977"/>
      <c r="J72" s="977"/>
      <c r="K72" s="977"/>
      <c r="L72" s="977"/>
      <c r="M72" s="977"/>
      <c r="N72" s="977"/>
      <c r="O72" s="977"/>
      <c r="P72" s="977"/>
      <c r="Q72" s="977"/>
      <c r="R72" s="977"/>
      <c r="S72" s="977"/>
    </row>
    <row r="73" spans="1:19" x14ac:dyDescent="0.35">
      <c r="A73" s="1426"/>
      <c r="B73" s="1422" t="s">
        <v>728</v>
      </c>
      <c r="C73" s="1423"/>
      <c r="D73" s="1423"/>
      <c r="E73" s="1423"/>
      <c r="F73" s="1423"/>
      <c r="G73" s="646"/>
      <c r="H73" s="977"/>
      <c r="I73" s="977"/>
      <c r="J73" s="977"/>
      <c r="K73" s="977"/>
      <c r="L73" s="977"/>
      <c r="M73" s="977"/>
      <c r="N73" s="977"/>
      <c r="O73" s="977"/>
      <c r="P73" s="977"/>
      <c r="Q73" s="977"/>
      <c r="R73" s="977"/>
      <c r="S73" s="977"/>
    </row>
    <row r="74" spans="1:19" x14ac:dyDescent="0.35">
      <c r="A74" s="1426"/>
      <c r="B74" s="1422" t="s">
        <v>729</v>
      </c>
      <c r="C74" s="1423"/>
      <c r="D74" s="1423"/>
      <c r="E74" s="1423"/>
      <c r="F74" s="1423"/>
      <c r="G74" s="646"/>
      <c r="H74" s="977"/>
      <c r="I74" s="977"/>
      <c r="J74" s="977"/>
      <c r="K74" s="977"/>
      <c r="L74" s="977"/>
      <c r="M74" s="977"/>
      <c r="N74" s="977"/>
      <c r="O74" s="977"/>
      <c r="P74" s="977"/>
      <c r="Q74" s="977"/>
      <c r="R74" s="977"/>
      <c r="S74" s="977"/>
    </row>
    <row r="75" spans="1:19" x14ac:dyDescent="0.35">
      <c r="A75" s="978"/>
      <c r="B75" s="939"/>
      <c r="C75" s="940"/>
      <c r="D75" s="940"/>
      <c r="E75" s="940"/>
      <c r="F75" s="940"/>
      <c r="G75" s="1039"/>
      <c r="H75" s="981"/>
      <c r="I75" s="981"/>
      <c r="J75" s="981"/>
      <c r="K75" s="981"/>
      <c r="L75" s="981"/>
      <c r="M75" s="981"/>
      <c r="N75" s="981"/>
      <c r="O75" s="981"/>
      <c r="P75" s="981"/>
      <c r="Q75" s="981"/>
      <c r="R75" s="981"/>
      <c r="S75" s="981"/>
    </row>
    <row r="76" spans="1:19" x14ac:dyDescent="0.35">
      <c r="A76" s="7" t="s">
        <v>730</v>
      </c>
      <c r="B76" s="8"/>
      <c r="C76" s="12"/>
      <c r="D76" s="12"/>
      <c r="E76" s="12"/>
      <c r="F76" s="12"/>
      <c r="G76" s="13"/>
      <c r="H76" s="21"/>
      <c r="I76" s="21"/>
      <c r="J76" s="21"/>
      <c r="K76" s="21"/>
      <c r="L76" s="21"/>
      <c r="M76" s="21"/>
      <c r="N76" s="21"/>
      <c r="O76" s="21"/>
      <c r="P76" s="21"/>
      <c r="Q76" s="21"/>
      <c r="R76" s="21"/>
      <c r="S76" s="21"/>
    </row>
    <row r="77" spans="1:19" x14ac:dyDescent="0.35">
      <c r="A77" s="1382"/>
      <c r="B77" s="1388" t="s">
        <v>731</v>
      </c>
      <c r="C77" s="1383"/>
      <c r="D77" s="1383"/>
      <c r="E77" s="1383"/>
      <c r="F77" s="1383"/>
      <c r="G77" s="1384"/>
      <c r="H77" s="1389"/>
      <c r="I77" s="1389"/>
      <c r="J77" s="1389"/>
      <c r="K77" s="1389"/>
      <c r="L77" s="1389"/>
      <c r="M77" s="1389"/>
      <c r="N77" s="1389"/>
      <c r="O77" s="1389"/>
      <c r="P77" s="1389"/>
      <c r="Q77" s="1389"/>
      <c r="R77" s="1389"/>
      <c r="S77" s="1389"/>
    </row>
    <row r="78" spans="1:19" x14ac:dyDescent="0.35">
      <c r="A78" s="1426"/>
      <c r="B78" s="1422" t="s">
        <v>732</v>
      </c>
      <c r="C78" s="1423"/>
      <c r="D78" s="1423"/>
      <c r="E78" s="1423"/>
      <c r="F78" s="1423"/>
      <c r="G78" s="646"/>
      <c r="H78" s="984"/>
      <c r="I78" s="984"/>
      <c r="J78" s="984"/>
      <c r="K78" s="984"/>
      <c r="L78" s="984"/>
      <c r="M78" s="984"/>
      <c r="N78" s="984"/>
      <c r="O78" s="984"/>
      <c r="P78" s="984"/>
      <c r="Q78" s="984"/>
      <c r="R78" s="984"/>
      <c r="S78" s="984"/>
    </row>
    <row r="79" spans="1:19" x14ac:dyDescent="0.35">
      <c r="A79" s="985"/>
      <c r="B79" s="986" t="s">
        <v>733</v>
      </c>
      <c r="C79" s="987"/>
      <c r="D79" s="987"/>
      <c r="E79" s="987"/>
      <c r="F79" s="987"/>
      <c r="G79" s="1040"/>
      <c r="H79" s="990"/>
      <c r="I79" s="990"/>
      <c r="J79" s="990"/>
      <c r="K79" s="990"/>
      <c r="L79" s="990"/>
      <c r="M79" s="990"/>
      <c r="N79" s="990"/>
      <c r="O79" s="990"/>
      <c r="P79" s="990"/>
      <c r="Q79" s="990"/>
      <c r="R79" s="990"/>
      <c r="S79" s="990"/>
    </row>
    <row r="81" spans="1:2" x14ac:dyDescent="0.35">
      <c r="A81" s="78" t="s">
        <v>734</v>
      </c>
      <c r="B81" s="80"/>
    </row>
    <row r="82" spans="1:2" x14ac:dyDescent="0.35">
      <c r="A82" s="79" t="s">
        <v>632</v>
      </c>
      <c r="B82" s="991" t="str">
        <f>L4</f>
        <v>State Line</v>
      </c>
    </row>
    <row r="83" spans="1:2" x14ac:dyDescent="0.35">
      <c r="A83" s="1465" t="s">
        <v>636</v>
      </c>
      <c r="B83" s="991" t="str">
        <f>L5</f>
        <v>Robert Becker</v>
      </c>
    </row>
    <row r="84" spans="1:2" x14ac:dyDescent="0.35">
      <c r="A84" s="992" t="s">
        <v>639</v>
      </c>
      <c r="B84" s="993" t="str">
        <f>L6</f>
        <v>954-971-0791</v>
      </c>
    </row>
    <row r="85" spans="1:2" x14ac:dyDescent="0.35">
      <c r="A85" s="992" t="s">
        <v>642</v>
      </c>
      <c r="B85" s="994" t="str">
        <f>L7</f>
        <v>rbecker@statelinefire.com</v>
      </c>
    </row>
    <row r="86" spans="1:2" x14ac:dyDescent="0.35">
      <c r="A86" s="995" t="s">
        <v>735</v>
      </c>
      <c r="B86" s="996">
        <f>L8</f>
        <v>227000</v>
      </c>
    </row>
    <row r="88" spans="1:2" x14ac:dyDescent="0.35">
      <c r="A88" s="81"/>
      <c r="B88" s="1" t="s">
        <v>736</v>
      </c>
    </row>
    <row r="89" spans="1:2" x14ac:dyDescent="0.35">
      <c r="A89" s="82"/>
      <c r="B89" s="1" t="s">
        <v>737</v>
      </c>
    </row>
  </sheetData>
  <mergeCells count="47">
    <mergeCell ref="J4:K4"/>
    <mergeCell ref="P3:Q3"/>
    <mergeCell ref="L3:M3"/>
    <mergeCell ref="J3:K3"/>
    <mergeCell ref="A70:B70"/>
    <mergeCell ref="H6:I6"/>
    <mergeCell ref="H8:I8"/>
    <mergeCell ref="P8:Q8"/>
    <mergeCell ref="L8:M8"/>
    <mergeCell ref="J8:K8"/>
    <mergeCell ref="R2:S2"/>
    <mergeCell ref="A54:B54"/>
    <mergeCell ref="A58:B58"/>
    <mergeCell ref="A62:B62"/>
    <mergeCell ref="A66:B66"/>
    <mergeCell ref="N2:O2"/>
    <mergeCell ref="P2:Q2"/>
    <mergeCell ref="L2:M2"/>
    <mergeCell ref="J2:K2"/>
    <mergeCell ref="H2:I2"/>
    <mergeCell ref="R3:S3"/>
    <mergeCell ref="N3:O3"/>
    <mergeCell ref="H3:I3"/>
    <mergeCell ref="H4:I4"/>
    <mergeCell ref="R5:S5"/>
    <mergeCell ref="H5:I5"/>
    <mergeCell ref="R4:S4"/>
    <mergeCell ref="N4:O4"/>
    <mergeCell ref="H7:I7"/>
    <mergeCell ref="N5:O5"/>
    <mergeCell ref="P6:Q6"/>
    <mergeCell ref="L6:M6"/>
    <mergeCell ref="J6:K6"/>
    <mergeCell ref="R6:S6"/>
    <mergeCell ref="N6:O6"/>
    <mergeCell ref="P5:Q5"/>
    <mergeCell ref="L5:M5"/>
    <mergeCell ref="J5:K5"/>
    <mergeCell ref="P4:Q4"/>
    <mergeCell ref="L4:M4"/>
    <mergeCell ref="R7:S7"/>
    <mergeCell ref="N7:O7"/>
    <mergeCell ref="R8:S8"/>
    <mergeCell ref="N8:O8"/>
    <mergeCell ref="P7:Q7"/>
    <mergeCell ref="L7:M7"/>
    <mergeCell ref="J7:K7"/>
  </mergeCells>
  <conditionalFormatting sqref="H19:H31">
    <cfRule type="cellIs" dxfId="2249" priority="13" operator="equal">
      <formula>"X"</formula>
    </cfRule>
    <cfRule type="cellIs" dxfId="2248" priority="14" operator="equal">
      <formula>"I"</formula>
    </cfRule>
  </conditionalFormatting>
  <conditionalFormatting sqref="H63">
    <cfRule type="cellIs" dxfId="2247" priority="11" operator="equal">
      <formula>"X"</formula>
    </cfRule>
    <cfRule type="cellIs" dxfId="2246" priority="12" operator="equal">
      <formula>"I"</formula>
    </cfRule>
  </conditionalFormatting>
  <conditionalFormatting sqref="J19:J31">
    <cfRule type="cellIs" dxfId="2245" priority="17" operator="equal">
      <formula>"X"</formula>
    </cfRule>
    <cfRule type="cellIs" dxfId="2244" priority="18" operator="equal">
      <formula>"I"</formula>
    </cfRule>
  </conditionalFormatting>
  <conditionalFormatting sqref="J33:J44 L33:L44 N33:N44 P33:P44 R33:R44 H33:H45">
    <cfRule type="cellIs" dxfId="2243" priority="23" operator="equal">
      <formula>"X"</formula>
    </cfRule>
    <cfRule type="cellIs" dxfId="2242" priority="24" operator="equal">
      <formula>"I"</formula>
    </cfRule>
  </conditionalFormatting>
  <conditionalFormatting sqref="L19:L31">
    <cfRule type="cellIs" dxfId="2241" priority="19" operator="equal">
      <formula>"X"</formula>
    </cfRule>
    <cfRule type="cellIs" dxfId="2240" priority="20" operator="equal">
      <formula>"I"</formula>
    </cfRule>
  </conditionalFormatting>
  <conditionalFormatting sqref="N19:N31">
    <cfRule type="cellIs" dxfId="2239" priority="1" operator="equal">
      <formula>"X"</formula>
    </cfRule>
    <cfRule type="cellIs" dxfId="2238" priority="2" operator="equal">
      <formula>"I"</formula>
    </cfRule>
  </conditionalFormatting>
  <conditionalFormatting sqref="N63:N64">
    <cfRule type="cellIs" dxfId="2237" priority="5" operator="equal">
      <formula>"X"</formula>
    </cfRule>
    <cfRule type="cellIs" dxfId="2236" priority="6" operator="equal">
      <formula>"I"</formula>
    </cfRule>
  </conditionalFormatting>
  <conditionalFormatting sqref="P19:P31">
    <cfRule type="cellIs" dxfId="2235" priority="15" operator="equal">
      <formula>"X"</formula>
    </cfRule>
    <cfRule type="cellIs" dxfId="2234" priority="16" operator="equal">
      <formula>"I"</formula>
    </cfRule>
  </conditionalFormatting>
  <conditionalFormatting sqref="R19:R31">
    <cfRule type="cellIs" dxfId="2233" priority="3" operator="equal">
      <formula>"X"</formula>
    </cfRule>
    <cfRule type="cellIs" dxfId="2232" priority="4" operator="equal">
      <formula>"I"</formula>
    </cfRule>
  </conditionalFormatting>
  <conditionalFormatting sqref="R63">
    <cfRule type="cellIs" dxfId="2231" priority="9" operator="equal">
      <formula>"X"</formula>
    </cfRule>
    <cfRule type="cellIs" dxfId="2230" priority="10" operator="equal">
      <formula>"I"</formula>
    </cfRule>
  </conditionalFormatting>
  <hyperlinks>
    <hyperlink ref="B3" location="'Cost Summary'!A1" display="BACK TO SUMMARY SHEET" xr:uid="{C6DBB709-A651-4A68-92AE-2475C2E73A6E}"/>
    <hyperlink ref="L7:M7" r:id="rId1" display="rbecker@statelinefire.com" xr:uid="{97D6E5D7-D395-4231-8B45-285BC090346E}"/>
    <hyperlink ref="J7:K7" r:id="rId2" display="estimating@tropicfirepro.com" xr:uid="{36C2F382-2A72-4AA1-B1FD-2117EAFE1212}"/>
    <hyperlink ref="P7" r:id="rId3" xr:uid="{275A4D72-E778-4476-8E24-4E287D764020}"/>
    <hyperlink ref="H7:I7" r:id="rId4" display="estimating@dennaouiinc.com" xr:uid="{5D255324-BD2D-4707-9671-21450BA0F7CA}"/>
    <hyperlink ref="N7:O7" r:id="rId5" display="jgreco@thermaseal.net" xr:uid="{4552B72E-31A4-4EEC-B026-877CD955D42D}"/>
  </hyperlinks>
  <pageMargins left="0.7" right="0.7" top="0.75" bottom="0.75" header="0.3" footer="0.3"/>
  <pageSetup orientation="portrait" r:id="rId6"/>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923-EBE4-47A1-895F-CEC69C55CC7B}">
  <sheetPr>
    <tabColor rgb="FFFFC000"/>
  </sheetPr>
  <dimension ref="A1:AQ133"/>
  <sheetViews>
    <sheetView zoomScale="98" zoomScaleNormal="98" workbookViewId="0">
      <pane xSplit="2" ySplit="9" topLeftCell="E75" activePane="bottomRight" state="frozen"/>
      <selection pane="topRight" activeCell="C1" sqref="C1"/>
      <selection pane="bottomLeft" activeCell="A10" sqref="A10"/>
      <selection pane="bottomRight" activeCell="K50" sqref="K50"/>
    </sheetView>
  </sheetViews>
  <sheetFormatPr defaultColWidth="9.1796875" defaultRowHeight="14.5" x14ac:dyDescent="0.35"/>
  <cols>
    <col min="1" max="1" width="11" customWidth="1"/>
    <col min="2" max="2" width="75.54296875" style="1" customWidth="1"/>
    <col min="3" max="3" width="11.81640625" style="2" bestFit="1" customWidth="1"/>
    <col min="4" max="4" width="17" style="2" customWidth="1"/>
    <col min="5" max="5" width="7.54296875" style="2" customWidth="1"/>
    <col min="6" max="6" width="16.54296875" style="2" bestFit="1" customWidth="1"/>
    <col min="7" max="7" width="12.26953125" style="2" customWidth="1"/>
    <col min="8" max="8" width="7" style="2" hidden="1" customWidth="1"/>
    <col min="9" max="9" width="14.81640625" style="2" hidden="1" customWidth="1"/>
    <col min="10" max="10" width="6.54296875" style="2" customWidth="1"/>
    <col min="11" max="11" width="14.81640625" style="2" customWidth="1"/>
    <col min="12" max="12" width="6.453125" style="2" customWidth="1"/>
    <col min="13" max="13" width="14.81640625" style="2" customWidth="1"/>
    <col min="14" max="14" width="7" style="2" customWidth="1"/>
    <col min="15" max="15" width="14.81640625" style="2" customWidth="1"/>
    <col min="16" max="16" width="5.1796875" style="2" customWidth="1"/>
    <col min="17" max="17" width="14.453125" style="2" customWidth="1"/>
    <col min="18" max="18" width="6.453125" style="2" customWidth="1"/>
    <col min="19" max="19" width="14.81640625" style="2" customWidth="1"/>
    <col min="20" max="20" width="7.26953125" style="2" customWidth="1"/>
    <col min="21" max="21" width="14.81640625" style="2" customWidth="1"/>
    <col min="22" max="22" width="7.26953125" style="2" customWidth="1"/>
    <col min="23" max="23" width="14.81640625" style="2" customWidth="1"/>
    <col min="24" max="24" width="6.453125" style="2" customWidth="1"/>
    <col min="25" max="25" width="14.81640625" style="2" customWidth="1"/>
    <col min="26" max="26" width="7.54296875" style="2" customWidth="1"/>
    <col min="27" max="27" width="17.26953125" style="2" customWidth="1"/>
    <col min="28" max="28" width="6.26953125" style="2" customWidth="1"/>
    <col min="29" max="29" width="14.81640625" style="2" customWidth="1"/>
    <col min="30" max="30" width="7.54296875" style="2" customWidth="1"/>
    <col min="31" max="31" width="13.26953125" style="2" customWidth="1"/>
    <col min="32" max="32" width="6.453125" style="2" customWidth="1"/>
    <col min="33" max="33" width="14.81640625" style="2" customWidth="1"/>
    <col min="34" max="34" width="7.453125" style="2" customWidth="1"/>
    <col min="35" max="35" width="14.81640625" style="2" customWidth="1"/>
    <col min="36" max="36" width="7.453125" style="2" customWidth="1"/>
    <col min="37" max="37" width="14.81640625" style="2" customWidth="1"/>
    <col min="38" max="38" width="6.453125" style="2" customWidth="1"/>
    <col min="39" max="39" width="14.81640625" style="2" customWidth="1"/>
    <col min="40" max="40" width="6.453125" customWidth="1"/>
    <col min="41" max="41" width="18.453125" customWidth="1"/>
    <col min="42" max="42" width="6.7265625" customWidth="1"/>
    <col min="43" max="43" width="16.453125" customWidth="1"/>
    <col min="44" max="44" width="9.1796875" customWidth="1"/>
  </cols>
  <sheetData>
    <row r="1" spans="1:43" x14ac:dyDescent="0.35">
      <c r="C1" s="548"/>
      <c r="D1" s="2" t="s">
        <v>1664</v>
      </c>
      <c r="E1" s="152"/>
      <c r="F1" s="125"/>
      <c r="G1" s="123" t="s">
        <v>621</v>
      </c>
      <c r="I1" s="325"/>
      <c r="J1" s="3785" t="s">
        <v>1665</v>
      </c>
      <c r="K1" s="3785"/>
      <c r="L1" s="3785" t="s">
        <v>1666</v>
      </c>
      <c r="M1" s="3785"/>
      <c r="N1" s="3785" t="s">
        <v>1666</v>
      </c>
      <c r="O1" s="3785"/>
      <c r="Q1" s="325"/>
      <c r="S1" s="325"/>
      <c r="Z1" s="3785"/>
      <c r="AA1" s="3785"/>
      <c r="AB1" s="130"/>
      <c r="AC1" s="130"/>
      <c r="AD1" s="3785" t="s">
        <v>1667</v>
      </c>
      <c r="AE1" s="3785"/>
      <c r="AL1" s="3785"/>
      <c r="AM1" s="3785"/>
      <c r="AN1" s="2"/>
      <c r="AO1" s="2"/>
      <c r="AP1" s="2"/>
      <c r="AQ1" s="2"/>
    </row>
    <row r="2" spans="1:43" x14ac:dyDescent="0.35">
      <c r="C2" s="549"/>
      <c r="D2" s="2" t="s">
        <v>1668</v>
      </c>
      <c r="E2" s="152"/>
      <c r="F2" s="122" t="s">
        <v>622</v>
      </c>
      <c r="G2" s="123" t="s">
        <v>451</v>
      </c>
      <c r="H2" s="3858" t="s">
        <v>1669</v>
      </c>
      <c r="I2" s="3858"/>
      <c r="J2" s="3751" t="s">
        <v>1670</v>
      </c>
      <c r="K2" s="3751"/>
      <c r="L2" s="3858" t="s">
        <v>1671</v>
      </c>
      <c r="M2" s="3858"/>
      <c r="N2" s="3858" t="s">
        <v>1672</v>
      </c>
      <c r="O2" s="3858"/>
      <c r="P2" s="3858" t="s">
        <v>1673</v>
      </c>
      <c r="Q2" s="3858"/>
      <c r="R2" s="3858" t="s">
        <v>1289</v>
      </c>
      <c r="S2" s="3858"/>
      <c r="T2" s="3751"/>
      <c r="U2" s="3751"/>
      <c r="V2" s="3751"/>
      <c r="W2" s="3751"/>
      <c r="X2" s="3751" t="s">
        <v>1674</v>
      </c>
      <c r="Y2" s="3751"/>
      <c r="Z2" s="3751" t="s">
        <v>1675</v>
      </c>
      <c r="AA2" s="3751"/>
      <c r="AB2" s="514"/>
      <c r="AC2" s="514"/>
      <c r="AD2" s="3857" t="s">
        <v>1676</v>
      </c>
      <c r="AE2" s="3857"/>
      <c r="AF2" s="3751"/>
      <c r="AG2" s="3751"/>
      <c r="AH2" s="3857" t="s">
        <v>1676</v>
      </c>
      <c r="AI2" s="3857"/>
      <c r="AJ2" s="3857" t="s">
        <v>1676</v>
      </c>
      <c r="AK2" s="3857"/>
      <c r="AL2" s="3857" t="s">
        <v>1676</v>
      </c>
      <c r="AM2" s="3857"/>
      <c r="AN2" s="3751" t="s">
        <v>1677</v>
      </c>
      <c r="AO2" s="3751"/>
      <c r="AP2" s="3751" t="s">
        <v>1677</v>
      </c>
      <c r="AQ2" s="3751"/>
    </row>
    <row r="3" spans="1:43" ht="19.5" x14ac:dyDescent="0.35">
      <c r="B3" s="137" t="s">
        <v>623</v>
      </c>
      <c r="E3" s="152"/>
      <c r="F3" s="124" t="s">
        <v>624</v>
      </c>
      <c r="G3" s="123" t="s">
        <v>557</v>
      </c>
      <c r="H3" s="3754" t="s">
        <v>625</v>
      </c>
      <c r="I3" s="3755"/>
      <c r="J3" s="3778" t="s">
        <v>625</v>
      </c>
      <c r="K3" s="3779"/>
      <c r="L3" s="3778" t="s">
        <v>626</v>
      </c>
      <c r="M3" s="3779"/>
      <c r="N3" s="3778" t="s">
        <v>627</v>
      </c>
      <c r="O3" s="3779"/>
      <c r="P3" s="3772" t="s">
        <v>626</v>
      </c>
      <c r="Q3" s="3773"/>
      <c r="R3" s="3754" t="s">
        <v>626</v>
      </c>
      <c r="S3" s="3755"/>
      <c r="T3" s="3754" t="s">
        <v>628</v>
      </c>
      <c r="U3" s="3755"/>
      <c r="V3" s="3754" t="s">
        <v>628</v>
      </c>
      <c r="W3" s="3755"/>
      <c r="X3" s="3754" t="s">
        <v>627</v>
      </c>
      <c r="Y3" s="3755"/>
      <c r="Z3" s="3754" t="s">
        <v>627</v>
      </c>
      <c r="AA3" s="3755"/>
      <c r="AB3" s="3754" t="s">
        <v>628</v>
      </c>
      <c r="AC3" s="3755"/>
      <c r="AD3" s="3754" t="s">
        <v>772</v>
      </c>
      <c r="AE3" s="3755"/>
      <c r="AF3" s="3754" t="s">
        <v>773</v>
      </c>
      <c r="AG3" s="3755"/>
      <c r="AH3" s="3754" t="s">
        <v>1550</v>
      </c>
      <c r="AI3" s="3755"/>
      <c r="AJ3" s="3754" t="s">
        <v>1678</v>
      </c>
      <c r="AK3" s="3755"/>
      <c r="AL3" s="3754" t="s">
        <v>1679</v>
      </c>
      <c r="AM3" s="3755"/>
      <c r="AN3" s="3754" t="s">
        <v>773</v>
      </c>
      <c r="AO3" s="3755"/>
      <c r="AP3" s="3754" t="s">
        <v>1550</v>
      </c>
      <c r="AQ3" s="3755"/>
    </row>
    <row r="4" spans="1:43" ht="15.75" customHeight="1" x14ac:dyDescent="0.35">
      <c r="A4" s="3" t="s">
        <v>631</v>
      </c>
      <c r="B4" s="4" t="str">
        <f>'AREA CALC''s'!B4</f>
        <v>Alton Hilltop Gardens</v>
      </c>
      <c r="C4" s="5"/>
      <c r="D4" s="5"/>
      <c r="E4" s="5"/>
      <c r="F4" s="5"/>
      <c r="G4" s="6" t="s">
        <v>632</v>
      </c>
      <c r="H4" s="3752" t="s">
        <v>1680</v>
      </c>
      <c r="I4" s="3753"/>
      <c r="J4" s="3752" t="s">
        <v>1681</v>
      </c>
      <c r="K4" s="3753"/>
      <c r="L4" s="3752" t="s">
        <v>1682</v>
      </c>
      <c r="M4" s="3753"/>
      <c r="N4" s="3752" t="s">
        <v>1680</v>
      </c>
      <c r="O4" s="3753"/>
      <c r="P4" s="3752" t="s">
        <v>1683</v>
      </c>
      <c r="Q4" s="3753"/>
      <c r="R4" s="3752" t="s">
        <v>1684</v>
      </c>
      <c r="S4" s="3753"/>
      <c r="T4" s="3752" t="s">
        <v>1685</v>
      </c>
      <c r="U4" s="3753"/>
      <c r="V4" s="3752" t="s">
        <v>1686</v>
      </c>
      <c r="W4" s="3753"/>
      <c r="X4" s="3752" t="s">
        <v>1681</v>
      </c>
      <c r="Y4" s="3753"/>
      <c r="Z4" s="3752" t="s">
        <v>1687</v>
      </c>
      <c r="AA4" s="3753"/>
      <c r="AB4" s="3752" t="s">
        <v>1688</v>
      </c>
      <c r="AC4" s="3753"/>
      <c r="AD4" s="3752" t="s">
        <v>1689</v>
      </c>
      <c r="AE4" s="3753"/>
      <c r="AF4" s="3752" t="s">
        <v>1690</v>
      </c>
      <c r="AG4" s="3753"/>
      <c r="AH4" s="3752" t="s">
        <v>1691</v>
      </c>
      <c r="AI4" s="3753"/>
      <c r="AJ4" s="3752" t="s">
        <v>1692</v>
      </c>
      <c r="AK4" s="3753"/>
      <c r="AL4" s="3752" t="s">
        <v>1693</v>
      </c>
      <c r="AM4" s="3753"/>
      <c r="AN4" s="3752" t="s">
        <v>1694</v>
      </c>
      <c r="AO4" s="3753"/>
      <c r="AP4" s="3752" t="s">
        <v>1554</v>
      </c>
      <c r="AQ4" s="3753"/>
    </row>
    <row r="5" spans="1:43" x14ac:dyDescent="0.35">
      <c r="A5" s="1421" t="s">
        <v>634</v>
      </c>
      <c r="B5" s="1422" t="s">
        <v>492</v>
      </c>
      <c r="C5" s="1423"/>
      <c r="D5" s="1423"/>
      <c r="E5" s="1423"/>
      <c r="F5" s="1423"/>
      <c r="G5" s="643" t="s">
        <v>636</v>
      </c>
      <c r="H5" s="3851" t="s">
        <v>1695</v>
      </c>
      <c r="I5" s="3759"/>
      <c r="J5" s="3851" t="s">
        <v>1696</v>
      </c>
      <c r="K5" s="3759"/>
      <c r="L5" s="3851" t="s">
        <v>1697</v>
      </c>
      <c r="M5" s="3759"/>
      <c r="N5" s="3851" t="s">
        <v>1695</v>
      </c>
      <c r="O5" s="3759"/>
      <c r="P5" s="3851" t="s">
        <v>1697</v>
      </c>
      <c r="Q5" s="3759"/>
      <c r="R5" s="3851" t="s">
        <v>1697</v>
      </c>
      <c r="S5" s="3759"/>
      <c r="T5" s="3851"/>
      <c r="U5" s="3759"/>
      <c r="V5" s="3851" t="s">
        <v>1696</v>
      </c>
      <c r="W5" s="3759"/>
      <c r="X5" s="3851" t="s">
        <v>1696</v>
      </c>
      <c r="Y5" s="3759"/>
      <c r="Z5" s="3851" t="s">
        <v>1698</v>
      </c>
      <c r="AA5" s="3759"/>
      <c r="AB5" s="3851" t="s">
        <v>1699</v>
      </c>
      <c r="AC5" s="3759"/>
      <c r="AD5" s="3851" t="s">
        <v>1700</v>
      </c>
      <c r="AE5" s="3759"/>
      <c r="AF5" s="3851" t="s">
        <v>1701</v>
      </c>
      <c r="AG5" s="3759"/>
      <c r="AH5" s="3851" t="s">
        <v>1702</v>
      </c>
      <c r="AI5" s="3759"/>
      <c r="AJ5" s="3851" t="s">
        <v>1703</v>
      </c>
      <c r="AK5" s="3759"/>
      <c r="AL5" s="3851" t="s">
        <v>1704</v>
      </c>
      <c r="AM5" s="3759"/>
      <c r="AN5" s="3851" t="s">
        <v>1705</v>
      </c>
      <c r="AO5" s="3759"/>
      <c r="AP5" s="3851" t="s">
        <v>1706</v>
      </c>
      <c r="AQ5" s="3759"/>
    </row>
    <row r="6" spans="1:43" x14ac:dyDescent="0.35">
      <c r="A6" s="1421" t="s">
        <v>638</v>
      </c>
      <c r="B6" s="1424" t="s">
        <v>491</v>
      </c>
      <c r="C6" s="1423"/>
      <c r="D6" s="1423"/>
      <c r="E6" s="1423"/>
      <c r="F6" s="1423"/>
      <c r="G6" s="643" t="s">
        <v>639</v>
      </c>
      <c r="H6" s="3852" t="s">
        <v>1707</v>
      </c>
      <c r="I6" s="3757"/>
      <c r="J6" s="3852" t="s">
        <v>1708</v>
      </c>
      <c r="K6" s="3757"/>
      <c r="L6" s="3852" t="s">
        <v>1709</v>
      </c>
      <c r="M6" s="3757"/>
      <c r="N6" s="3852" t="s">
        <v>1707</v>
      </c>
      <c r="O6" s="3757"/>
      <c r="P6" s="3852" t="s">
        <v>1709</v>
      </c>
      <c r="Q6" s="3757"/>
      <c r="R6" s="3852" t="s">
        <v>1709</v>
      </c>
      <c r="S6" s="3757"/>
      <c r="T6" s="3852"/>
      <c r="U6" s="3757"/>
      <c r="V6" s="3852" t="s">
        <v>1708</v>
      </c>
      <c r="W6" s="3757"/>
      <c r="X6" s="3852" t="s">
        <v>1708</v>
      </c>
      <c r="Y6" s="3757"/>
      <c r="Z6" s="3852" t="s">
        <v>1710</v>
      </c>
      <c r="AA6" s="3757"/>
      <c r="AB6" s="3852" t="s">
        <v>1711</v>
      </c>
      <c r="AC6" s="3757"/>
      <c r="AD6" s="3852" t="s">
        <v>1712</v>
      </c>
      <c r="AE6" s="3757"/>
      <c r="AF6" s="3852" t="s">
        <v>1713</v>
      </c>
      <c r="AG6" s="3757"/>
      <c r="AH6" s="3852" t="s">
        <v>1714</v>
      </c>
      <c r="AI6" s="3757"/>
      <c r="AJ6" s="3852" t="s">
        <v>1715</v>
      </c>
      <c r="AK6" s="3757"/>
      <c r="AL6" s="3852" t="s">
        <v>1716</v>
      </c>
      <c r="AM6" s="3757"/>
      <c r="AN6" s="3852" t="s">
        <v>1717</v>
      </c>
      <c r="AO6" s="3757"/>
      <c r="AP6" s="3852" t="s">
        <v>1718</v>
      </c>
      <c r="AQ6" s="3757"/>
    </row>
    <row r="7" spans="1:43" ht="15" customHeight="1" x14ac:dyDescent="0.35">
      <c r="A7" s="1421" t="s">
        <v>641</v>
      </c>
      <c r="B7" s="1425"/>
      <c r="C7" s="1423"/>
      <c r="D7" s="1423"/>
      <c r="E7" s="1423"/>
      <c r="F7" s="1423"/>
      <c r="G7" s="643" t="s">
        <v>642</v>
      </c>
      <c r="H7" s="3859" t="s">
        <v>1719</v>
      </c>
      <c r="I7" s="3820"/>
      <c r="J7" s="3855" t="s">
        <v>1720</v>
      </c>
      <c r="K7" s="3820"/>
      <c r="L7" s="3853" t="s">
        <v>1721</v>
      </c>
      <c r="M7" s="3854"/>
      <c r="N7" s="3859" t="s">
        <v>1719</v>
      </c>
      <c r="O7" s="3820"/>
      <c r="P7" s="3853" t="s">
        <v>1721</v>
      </c>
      <c r="Q7" s="3854"/>
      <c r="R7" s="3853" t="s">
        <v>1721</v>
      </c>
      <c r="S7" s="3854"/>
      <c r="T7" s="3855"/>
      <c r="U7" s="3820"/>
      <c r="V7" s="3855" t="s">
        <v>1720</v>
      </c>
      <c r="W7" s="3820"/>
      <c r="X7" s="3855" t="s">
        <v>1720</v>
      </c>
      <c r="Y7" s="3820"/>
      <c r="Z7" s="3853" t="s">
        <v>1722</v>
      </c>
      <c r="AA7" s="3854"/>
      <c r="AB7" s="3855" t="s">
        <v>1723</v>
      </c>
      <c r="AC7" s="3820"/>
      <c r="AD7" s="3853" t="s">
        <v>1724</v>
      </c>
      <c r="AE7" s="3854"/>
      <c r="AF7" s="3855" t="s">
        <v>1725</v>
      </c>
      <c r="AG7" s="3820"/>
      <c r="AH7" s="3855" t="s">
        <v>1726</v>
      </c>
      <c r="AI7" s="3820"/>
      <c r="AJ7" s="3853" t="s">
        <v>1727</v>
      </c>
      <c r="AK7" s="3854"/>
      <c r="AL7" s="3855" t="s">
        <v>1728</v>
      </c>
      <c r="AM7" s="3820"/>
      <c r="AN7" s="3853" t="s">
        <v>1729</v>
      </c>
      <c r="AO7" s="3854"/>
      <c r="AP7" s="3853" t="s">
        <v>1730</v>
      </c>
      <c r="AQ7" s="3854"/>
    </row>
    <row r="8" spans="1:43" x14ac:dyDescent="0.35">
      <c r="A8" s="938" t="s">
        <v>644</v>
      </c>
      <c r="B8" s="939"/>
      <c r="C8" s="940"/>
      <c r="D8" s="940"/>
      <c r="E8" s="940"/>
      <c r="F8" s="940"/>
      <c r="G8" s="1024" t="s">
        <v>644</v>
      </c>
      <c r="H8" s="3760">
        <f>I80</f>
        <v>2222030</v>
      </c>
      <c r="I8" s="3761"/>
      <c r="J8" s="3760">
        <f>K80</f>
        <v>1944000</v>
      </c>
      <c r="K8" s="3761"/>
      <c r="L8" s="3760">
        <f>M80</f>
        <v>2049900</v>
      </c>
      <c r="M8" s="3761"/>
      <c r="N8" s="3760">
        <f>O80</f>
        <v>2026190</v>
      </c>
      <c r="O8" s="3761"/>
      <c r="P8" s="3760">
        <f>Q80</f>
        <v>2231910</v>
      </c>
      <c r="Q8" s="3761"/>
      <c r="R8" s="3760">
        <f>S80</f>
        <v>2273600</v>
      </c>
      <c r="S8" s="3761"/>
      <c r="T8" s="3760">
        <f>U80</f>
        <v>2236901</v>
      </c>
      <c r="U8" s="3761"/>
      <c r="V8" s="3760">
        <f>W80</f>
        <v>2450805</v>
      </c>
      <c r="W8" s="3761"/>
      <c r="X8" s="3760">
        <f>Y80</f>
        <v>2066340</v>
      </c>
      <c r="Y8" s="3761"/>
      <c r="Z8" s="3760">
        <f xml:space="preserve"> AA80</f>
        <v>2125000</v>
      </c>
      <c r="AA8" s="3761"/>
      <c r="AB8" s="3760">
        <f>AC80</f>
        <v>2412433</v>
      </c>
      <c r="AC8" s="3761"/>
      <c r="AD8" s="3760">
        <f xml:space="preserve"> AE80</f>
        <v>2618745</v>
      </c>
      <c r="AE8" s="3761"/>
      <c r="AF8" s="3760">
        <f>AG80</f>
        <v>2867436.11</v>
      </c>
      <c r="AG8" s="3761"/>
      <c r="AH8" s="3760">
        <f xml:space="preserve"> AI80</f>
        <v>2875583</v>
      </c>
      <c r="AI8" s="3761"/>
      <c r="AJ8" s="3760">
        <f>AK80</f>
        <v>2990000</v>
      </c>
      <c r="AK8" s="3761"/>
      <c r="AL8" s="3760">
        <f>AM80</f>
        <v>3131354.88</v>
      </c>
      <c r="AM8" s="3761"/>
      <c r="AN8" s="3760">
        <f>AO80</f>
        <v>107806</v>
      </c>
      <c r="AO8" s="3761"/>
      <c r="AP8" s="3760">
        <f>AQ80</f>
        <v>155200</v>
      </c>
      <c r="AQ8" s="3761"/>
    </row>
    <row r="9" spans="1:43" ht="29" x14ac:dyDescent="0.35">
      <c r="A9" s="7" t="s">
        <v>645</v>
      </c>
      <c r="B9" s="8"/>
      <c r="C9" s="9" t="s">
        <v>646</v>
      </c>
      <c r="D9" s="9" t="s">
        <v>647</v>
      </c>
      <c r="E9" s="9" t="s">
        <v>648</v>
      </c>
      <c r="F9" s="9" t="s">
        <v>649</v>
      </c>
      <c r="G9" s="10" t="s">
        <v>650</v>
      </c>
      <c r="H9" s="11" t="s">
        <v>651</v>
      </c>
      <c r="I9" s="11" t="s">
        <v>652</v>
      </c>
      <c r="J9" s="11"/>
      <c r="K9" s="11"/>
      <c r="L9" s="11" t="s">
        <v>651</v>
      </c>
      <c r="M9" s="11" t="s">
        <v>652</v>
      </c>
      <c r="N9" s="11" t="s">
        <v>651</v>
      </c>
      <c r="O9" s="11" t="s">
        <v>652</v>
      </c>
      <c r="P9" s="11" t="s">
        <v>651</v>
      </c>
      <c r="Q9" s="11" t="s">
        <v>652</v>
      </c>
      <c r="R9" s="11" t="s">
        <v>651</v>
      </c>
      <c r="S9" s="11" t="s">
        <v>652</v>
      </c>
      <c r="T9" s="11"/>
      <c r="U9" s="11"/>
      <c r="V9" s="11"/>
      <c r="W9" s="11"/>
      <c r="X9" s="11"/>
      <c r="Y9" s="11"/>
      <c r="Z9" s="11" t="s">
        <v>651</v>
      </c>
      <c r="AA9" s="11" t="s">
        <v>652</v>
      </c>
      <c r="AB9" s="11"/>
      <c r="AC9" s="11"/>
      <c r="AD9" s="11" t="s">
        <v>651</v>
      </c>
      <c r="AE9" s="11" t="s">
        <v>652</v>
      </c>
      <c r="AF9" s="11" t="s">
        <v>651</v>
      </c>
      <c r="AG9" s="11" t="s">
        <v>652</v>
      </c>
      <c r="AH9" s="11" t="s">
        <v>651</v>
      </c>
      <c r="AI9" s="11" t="s">
        <v>652</v>
      </c>
      <c r="AJ9" s="11" t="s">
        <v>651</v>
      </c>
      <c r="AK9" s="11" t="s">
        <v>652</v>
      </c>
      <c r="AL9" s="11" t="s">
        <v>651</v>
      </c>
      <c r="AM9" s="11" t="s">
        <v>652</v>
      </c>
      <c r="AN9" s="11" t="s">
        <v>651</v>
      </c>
      <c r="AO9" s="11" t="s">
        <v>652</v>
      </c>
      <c r="AP9" s="11" t="s">
        <v>651</v>
      </c>
      <c r="AQ9" s="11" t="s">
        <v>652</v>
      </c>
    </row>
    <row r="10" spans="1:43" hidden="1" x14ac:dyDescent="0.35">
      <c r="A10" s="1426"/>
      <c r="B10" s="1390" t="s">
        <v>653</v>
      </c>
      <c r="C10" s="1423"/>
      <c r="D10" s="1423"/>
      <c r="E10" s="1423"/>
      <c r="F10" s="1423"/>
      <c r="G10" s="646"/>
      <c r="H10" s="942"/>
      <c r="I10" s="942"/>
      <c r="J10" s="942"/>
      <c r="K10" s="942"/>
      <c r="L10" s="942"/>
      <c r="M10" s="942"/>
      <c r="N10" s="942"/>
      <c r="O10" s="942"/>
      <c r="P10" s="942"/>
      <c r="Q10" s="942"/>
      <c r="R10" s="942"/>
      <c r="S10" s="942"/>
      <c r="T10" s="942"/>
      <c r="U10" s="942"/>
      <c r="V10" s="942"/>
      <c r="W10" s="942"/>
      <c r="X10" s="942"/>
      <c r="Y10" s="942"/>
      <c r="Z10" s="942"/>
      <c r="AA10" s="942"/>
      <c r="AB10" s="942"/>
      <c r="AC10" s="942"/>
      <c r="AD10" s="942"/>
      <c r="AE10" s="942"/>
      <c r="AF10" s="942"/>
      <c r="AG10" s="942"/>
      <c r="AH10" s="942"/>
      <c r="AI10" s="942"/>
      <c r="AJ10" s="942"/>
      <c r="AK10" s="942"/>
      <c r="AL10" s="942"/>
      <c r="AM10" s="942"/>
      <c r="AN10" s="942"/>
      <c r="AO10" s="942"/>
      <c r="AP10" s="942"/>
      <c r="AQ10" s="942"/>
    </row>
    <row r="11" spans="1:43" hidden="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c r="T11" s="942"/>
      <c r="U11" s="942"/>
      <c r="V11" s="942"/>
      <c r="W11" s="942"/>
      <c r="X11" s="942"/>
      <c r="Y11" s="942"/>
      <c r="Z11" s="942"/>
      <c r="AA11" s="942"/>
      <c r="AB11" s="942"/>
      <c r="AC11" s="942"/>
      <c r="AD11" s="942"/>
      <c r="AE11" s="942"/>
      <c r="AF11" s="942"/>
      <c r="AG11" s="942"/>
      <c r="AH11" s="942"/>
      <c r="AI11" s="942"/>
      <c r="AJ11" s="942"/>
      <c r="AK11" s="942"/>
      <c r="AL11" s="942"/>
      <c r="AM11" s="942"/>
      <c r="AN11" s="942"/>
      <c r="AO11" s="942"/>
      <c r="AP11" s="942"/>
      <c r="AQ11" s="942"/>
    </row>
    <row r="12" spans="1:43" hidden="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c r="T12" s="942"/>
      <c r="U12" s="942"/>
      <c r="V12" s="942"/>
      <c r="W12" s="942"/>
      <c r="X12" s="942"/>
      <c r="Y12" s="942"/>
      <c r="Z12" s="942"/>
      <c r="AA12" s="942"/>
      <c r="AB12" s="942"/>
      <c r="AC12" s="942"/>
      <c r="AD12" s="942"/>
      <c r="AE12" s="942"/>
      <c r="AF12" s="942"/>
      <c r="AG12" s="942"/>
      <c r="AH12" s="942"/>
      <c r="AI12" s="942"/>
      <c r="AJ12" s="942"/>
      <c r="AK12" s="942"/>
      <c r="AL12" s="942"/>
      <c r="AM12" s="942"/>
      <c r="AN12" s="942"/>
      <c r="AO12" s="942"/>
      <c r="AP12" s="942"/>
      <c r="AQ12" s="942"/>
    </row>
    <row r="13" spans="1:43" hidden="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c r="T13" s="942"/>
      <c r="U13" s="942"/>
      <c r="V13" s="942"/>
      <c r="W13" s="942"/>
      <c r="X13" s="942"/>
      <c r="Y13" s="942"/>
      <c r="Z13" s="942"/>
      <c r="AA13" s="942"/>
      <c r="AB13" s="942"/>
      <c r="AC13" s="942"/>
      <c r="AD13" s="942"/>
      <c r="AE13" s="942"/>
      <c r="AF13" s="942"/>
      <c r="AG13" s="942"/>
      <c r="AH13" s="942"/>
      <c r="AI13" s="942"/>
      <c r="AJ13" s="942"/>
      <c r="AK13" s="942"/>
      <c r="AL13" s="942"/>
      <c r="AM13" s="942"/>
      <c r="AN13" s="942"/>
      <c r="AO13" s="942"/>
      <c r="AP13" s="942"/>
      <c r="AQ13" s="942"/>
    </row>
    <row r="14" spans="1:43" hidden="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c r="T14" s="942"/>
      <c r="U14" s="942"/>
      <c r="V14" s="942"/>
      <c r="W14" s="942"/>
      <c r="X14" s="942"/>
      <c r="Y14" s="942"/>
      <c r="Z14" s="942"/>
      <c r="AA14" s="942"/>
      <c r="AB14" s="942"/>
      <c r="AC14" s="942"/>
      <c r="AD14" s="942"/>
      <c r="AE14" s="942"/>
      <c r="AF14" s="942"/>
      <c r="AG14" s="942"/>
      <c r="AH14" s="942"/>
      <c r="AI14" s="942"/>
      <c r="AJ14" s="942"/>
      <c r="AK14" s="942"/>
      <c r="AL14" s="942"/>
      <c r="AM14" s="942"/>
      <c r="AN14" s="942"/>
      <c r="AO14" s="942"/>
      <c r="AP14" s="942"/>
      <c r="AQ14" s="942"/>
    </row>
    <row r="15" spans="1:43" hidden="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c r="T15" s="942"/>
      <c r="U15" s="942"/>
      <c r="V15" s="942"/>
      <c r="W15" s="942"/>
      <c r="X15" s="942"/>
      <c r="Y15" s="942"/>
      <c r="Z15" s="942"/>
      <c r="AA15" s="942"/>
      <c r="AB15" s="942"/>
      <c r="AC15" s="942"/>
      <c r="AD15" s="942"/>
      <c r="AE15" s="942"/>
      <c r="AF15" s="942"/>
      <c r="AG15" s="942"/>
      <c r="AH15" s="942"/>
      <c r="AI15" s="942"/>
      <c r="AJ15" s="942"/>
      <c r="AK15" s="942"/>
      <c r="AL15" s="942"/>
      <c r="AM15" s="942"/>
      <c r="AN15" s="942"/>
      <c r="AO15" s="942"/>
      <c r="AP15" s="942"/>
      <c r="AQ15" s="942"/>
    </row>
    <row r="16" spans="1:43" hidden="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c r="T16" s="942"/>
      <c r="U16" s="942"/>
      <c r="V16" s="942"/>
      <c r="W16" s="942"/>
      <c r="X16" s="942"/>
      <c r="Y16" s="942"/>
      <c r="Z16" s="942"/>
      <c r="AA16" s="942"/>
      <c r="AB16" s="942"/>
      <c r="AC16" s="942"/>
      <c r="AD16" s="942"/>
      <c r="AE16" s="942"/>
      <c r="AF16" s="942"/>
      <c r="AG16" s="942"/>
      <c r="AH16" s="942"/>
      <c r="AI16" s="942"/>
      <c r="AJ16" s="942"/>
      <c r="AK16" s="942"/>
      <c r="AL16" s="942"/>
      <c r="AM16" s="942"/>
      <c r="AN16" s="942"/>
      <c r="AO16" s="942"/>
      <c r="AP16" s="942"/>
      <c r="AQ16" s="942"/>
    </row>
    <row r="17" spans="1:43" hidden="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row>
    <row r="18" spans="1:43" hidden="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row>
    <row r="19" spans="1:43" hidden="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row>
    <row r="20" spans="1:43" x14ac:dyDescent="0.35">
      <c r="A20" s="1382"/>
      <c r="B20" s="1422"/>
      <c r="C20" s="1427"/>
      <c r="D20" s="1423"/>
      <c r="E20" s="1423"/>
      <c r="F20" s="1423"/>
      <c r="G20" s="1493"/>
      <c r="H20" s="943"/>
      <c r="I20" s="1493"/>
      <c r="J20" s="943"/>
      <c r="K20" s="1493"/>
      <c r="L20" s="943"/>
      <c r="M20" s="1493"/>
      <c r="N20" s="943"/>
      <c r="O20" s="1493"/>
      <c r="P20" s="943"/>
      <c r="Q20" s="1493"/>
      <c r="R20" s="943"/>
      <c r="S20" s="1493"/>
      <c r="T20" s="1493"/>
      <c r="U20" s="1493"/>
      <c r="V20" s="1493"/>
      <c r="W20" s="1493"/>
      <c r="X20" s="1493"/>
      <c r="Y20" s="1493"/>
      <c r="Z20" s="943"/>
      <c r="AA20" s="1493"/>
      <c r="AB20" s="1493"/>
      <c r="AC20" s="1493"/>
      <c r="AD20" s="943"/>
      <c r="AE20" s="1493"/>
      <c r="AF20" s="943"/>
      <c r="AG20" s="1493"/>
      <c r="AH20" s="943"/>
      <c r="AI20" s="1493"/>
      <c r="AJ20" s="943"/>
      <c r="AK20" s="1493"/>
      <c r="AL20" s="943"/>
      <c r="AM20" s="1493"/>
      <c r="AN20" s="943"/>
      <c r="AO20" s="1493"/>
      <c r="AP20" s="943"/>
      <c r="AQ20" s="1493"/>
    </row>
    <row r="21" spans="1:43" x14ac:dyDescent="0.35">
      <c r="A21" s="1391"/>
      <c r="B21" s="1428" t="s">
        <v>492</v>
      </c>
      <c r="C21" s="1427"/>
      <c r="D21" s="1423"/>
      <c r="E21" s="1423"/>
      <c r="F21" s="1423"/>
      <c r="G21" s="1392"/>
      <c r="H21" s="943"/>
      <c r="I21" s="1392"/>
      <c r="J21" s="943"/>
      <c r="K21" s="1392"/>
      <c r="L21" s="943"/>
      <c r="M21" s="1392"/>
      <c r="N21" s="943"/>
      <c r="O21" s="1392"/>
      <c r="P21" s="943"/>
      <c r="Q21" s="1392"/>
      <c r="R21" s="943"/>
      <c r="S21" s="1392"/>
      <c r="T21" s="1392"/>
      <c r="U21" s="1392"/>
      <c r="V21" s="1392"/>
      <c r="W21" s="1392"/>
      <c r="X21" s="1392"/>
      <c r="Y21" s="1392"/>
      <c r="Z21" s="943"/>
      <c r="AA21" s="1392"/>
      <c r="AB21" s="1392"/>
      <c r="AC21" s="1392"/>
      <c r="AD21" s="943"/>
      <c r="AE21" s="1392"/>
      <c r="AF21" s="943"/>
      <c r="AG21" s="1392"/>
      <c r="AH21" s="943"/>
      <c r="AI21" s="1392"/>
      <c r="AJ21" s="943"/>
      <c r="AK21" s="1392"/>
      <c r="AL21" s="943"/>
      <c r="AM21" s="1392"/>
      <c r="AN21" s="943"/>
      <c r="AO21" s="1392"/>
      <c r="AP21" s="943"/>
      <c r="AQ21" s="1392"/>
    </row>
    <row r="22" spans="1:43" x14ac:dyDescent="0.35">
      <c r="A22" s="1391"/>
      <c r="B22" s="604" t="s">
        <v>657</v>
      </c>
      <c r="C22" s="1427"/>
      <c r="D22" s="1423"/>
      <c r="E22" s="1423"/>
      <c r="F22" s="1423"/>
      <c r="G22" s="1392"/>
      <c r="H22" s="943"/>
      <c r="I22" s="1392"/>
      <c r="J22" s="943"/>
      <c r="K22" s="1392"/>
      <c r="L22" s="943"/>
      <c r="M22" s="1435"/>
      <c r="N22" s="943"/>
      <c r="O22" s="1392"/>
      <c r="P22" s="943"/>
      <c r="Q22" s="1435"/>
      <c r="R22" s="943"/>
      <c r="S22" s="1435"/>
      <c r="T22" s="943"/>
      <c r="U22" s="1392"/>
      <c r="V22" s="943"/>
      <c r="W22" s="1392"/>
      <c r="X22" s="943"/>
      <c r="Y22" s="1392"/>
      <c r="Z22" s="943"/>
      <c r="AA22" s="1435"/>
      <c r="AB22" s="1392"/>
      <c r="AC22" s="1392"/>
      <c r="AD22" s="943"/>
      <c r="AE22" s="1435"/>
      <c r="AF22" s="943"/>
      <c r="AG22" s="1392"/>
      <c r="AH22" s="943"/>
      <c r="AI22" s="1435"/>
      <c r="AJ22" s="943"/>
      <c r="AK22" s="1392"/>
      <c r="AL22" s="943"/>
      <c r="AM22" s="1392"/>
      <c r="AN22" s="943"/>
      <c r="AO22" s="1392"/>
      <c r="AP22" s="943"/>
      <c r="AQ22" s="1392"/>
    </row>
    <row r="23" spans="1:43" x14ac:dyDescent="0.35">
      <c r="A23" s="1391"/>
      <c r="B23" s="607" t="s">
        <v>658</v>
      </c>
      <c r="C23" s="1494"/>
      <c r="D23" s="1423"/>
      <c r="E23" s="1423"/>
      <c r="F23" s="1423"/>
      <c r="G23" s="646"/>
      <c r="H23" s="943" t="s">
        <v>669</v>
      </c>
      <c r="I23" s="984"/>
      <c r="J23" s="943" t="s">
        <v>669</v>
      </c>
      <c r="K23" s="1393"/>
      <c r="L23" s="943" t="s">
        <v>669</v>
      </c>
      <c r="M23" s="1393"/>
      <c r="N23" s="943" t="s">
        <v>669</v>
      </c>
      <c r="O23" s="984"/>
      <c r="P23" s="943" t="s">
        <v>669</v>
      </c>
      <c r="Q23" s="1393"/>
      <c r="R23" s="943" t="s">
        <v>669</v>
      </c>
      <c r="S23" s="1393"/>
      <c r="T23" s="943" t="s">
        <v>669</v>
      </c>
      <c r="U23" s="1393"/>
      <c r="V23" s="943" t="s">
        <v>669</v>
      </c>
      <c r="W23" s="1393"/>
      <c r="X23" s="943" t="s">
        <v>669</v>
      </c>
      <c r="Y23" s="1393"/>
      <c r="Z23" s="943" t="s">
        <v>669</v>
      </c>
      <c r="AA23" s="1435"/>
      <c r="AB23" s="943" t="s">
        <v>669</v>
      </c>
      <c r="AC23" s="1392"/>
      <c r="AD23" s="943" t="s">
        <v>669</v>
      </c>
      <c r="AE23" s="1435"/>
      <c r="AF23" s="943" t="s">
        <v>669</v>
      </c>
      <c r="AG23" s="1393"/>
      <c r="AH23" s="943" t="s">
        <v>669</v>
      </c>
      <c r="AI23" s="1435"/>
      <c r="AJ23" s="943" t="s">
        <v>669</v>
      </c>
      <c r="AK23" s="984"/>
      <c r="AL23" s="943" t="s">
        <v>669</v>
      </c>
      <c r="AM23" s="1392"/>
      <c r="AN23" s="943" t="s">
        <v>669</v>
      </c>
      <c r="AO23" s="1392"/>
      <c r="AP23" s="943" t="s">
        <v>669</v>
      </c>
      <c r="AQ23" s="1392"/>
    </row>
    <row r="24" spans="1:43" x14ac:dyDescent="0.35">
      <c r="A24" s="1391"/>
      <c r="B24" s="1394" t="s">
        <v>659</v>
      </c>
      <c r="C24" s="1494"/>
      <c r="D24" s="1423"/>
      <c r="E24" s="1423"/>
      <c r="F24" s="1423"/>
      <c r="G24" s="646"/>
      <c r="H24" s="943" t="s">
        <v>669</v>
      </c>
      <c r="I24" s="984"/>
      <c r="J24" s="943" t="s">
        <v>669</v>
      </c>
      <c r="K24" s="1393"/>
      <c r="L24" s="943" t="s">
        <v>669</v>
      </c>
      <c r="M24" s="1435"/>
      <c r="N24" s="943" t="s">
        <v>669</v>
      </c>
      <c r="O24" s="984"/>
      <c r="P24" s="943" t="s">
        <v>669</v>
      </c>
      <c r="Q24" s="1435"/>
      <c r="R24" s="943" t="s">
        <v>669</v>
      </c>
      <c r="S24" s="1435"/>
      <c r="T24" s="943" t="s">
        <v>669</v>
      </c>
      <c r="U24" s="1393"/>
      <c r="V24" s="943" t="s">
        <v>669</v>
      </c>
      <c r="W24" s="1393"/>
      <c r="X24" s="943" t="s">
        <v>669</v>
      </c>
      <c r="Y24" s="1393"/>
      <c r="Z24" s="943" t="s">
        <v>669</v>
      </c>
      <c r="AA24" s="1435"/>
      <c r="AB24" s="943" t="s">
        <v>669</v>
      </c>
      <c r="AC24" s="1392"/>
      <c r="AD24" s="943" t="s">
        <v>669</v>
      </c>
      <c r="AE24" s="1435"/>
      <c r="AF24" s="943" t="s">
        <v>669</v>
      </c>
      <c r="AG24" s="1393"/>
      <c r="AH24" s="943" t="s">
        <v>669</v>
      </c>
      <c r="AI24" s="1435"/>
      <c r="AJ24" s="943" t="s">
        <v>669</v>
      </c>
      <c r="AK24" s="984"/>
      <c r="AL24" s="943" t="s">
        <v>669</v>
      </c>
      <c r="AM24" s="1392"/>
      <c r="AN24" s="943" t="s">
        <v>669</v>
      </c>
      <c r="AO24" s="1392"/>
      <c r="AP24" s="943" t="s">
        <v>669</v>
      </c>
      <c r="AQ24" s="1392"/>
    </row>
    <row r="25" spans="1:43" x14ac:dyDescent="0.35">
      <c r="A25" s="1391"/>
      <c r="B25" s="1395" t="s">
        <v>660</v>
      </c>
      <c r="C25" s="1494"/>
      <c r="D25" s="1423"/>
      <c r="E25" s="1423"/>
      <c r="F25" s="1423"/>
      <c r="G25" s="646"/>
      <c r="H25" s="943" t="s">
        <v>671</v>
      </c>
      <c r="I25" s="984"/>
      <c r="J25" s="943" t="s">
        <v>671</v>
      </c>
      <c r="K25" s="1393"/>
      <c r="L25" s="943" t="s">
        <v>671</v>
      </c>
      <c r="M25" s="1435"/>
      <c r="N25" s="943" t="s">
        <v>671</v>
      </c>
      <c r="O25" s="984"/>
      <c r="P25" s="943" t="s">
        <v>671</v>
      </c>
      <c r="Q25" s="1435"/>
      <c r="R25" s="943" t="s">
        <v>671</v>
      </c>
      <c r="S25" s="1435"/>
      <c r="T25" s="943" t="s">
        <v>671</v>
      </c>
      <c r="U25" s="1393"/>
      <c r="V25" s="943" t="s">
        <v>671</v>
      </c>
      <c r="W25" s="1393"/>
      <c r="X25" s="943" t="s">
        <v>671</v>
      </c>
      <c r="Y25" s="1393"/>
      <c r="Z25" s="943" t="s">
        <v>671</v>
      </c>
      <c r="AA25" s="1495"/>
      <c r="AB25" s="943" t="s">
        <v>671</v>
      </c>
      <c r="AC25" s="1392" t="s">
        <v>1731</v>
      </c>
      <c r="AD25" s="943" t="s">
        <v>671</v>
      </c>
      <c r="AE25" s="1495"/>
      <c r="AF25" s="943" t="s">
        <v>671</v>
      </c>
      <c r="AG25" s="1393"/>
      <c r="AH25" s="943" t="s">
        <v>671</v>
      </c>
      <c r="AI25" s="1495"/>
      <c r="AJ25" s="943" t="s">
        <v>671</v>
      </c>
      <c r="AK25" s="984"/>
      <c r="AL25" s="943" t="s">
        <v>671</v>
      </c>
      <c r="AM25" s="1392" t="s">
        <v>1732</v>
      </c>
      <c r="AN25" s="943" t="s">
        <v>671</v>
      </c>
      <c r="AO25" s="1392" t="s">
        <v>1732</v>
      </c>
      <c r="AP25" s="943" t="s">
        <v>671</v>
      </c>
      <c r="AQ25" s="1392" t="s">
        <v>1732</v>
      </c>
    </row>
    <row r="26" spans="1:43" x14ac:dyDescent="0.35">
      <c r="A26" s="1391"/>
      <c r="B26" s="1395" t="s">
        <v>661</v>
      </c>
      <c r="C26" s="1494"/>
      <c r="D26" s="1423"/>
      <c r="E26" s="1423"/>
      <c r="F26" s="1423"/>
      <c r="G26" s="646"/>
      <c r="H26" s="943" t="s">
        <v>669</v>
      </c>
      <c r="I26" s="984"/>
      <c r="J26" s="943" t="s">
        <v>669</v>
      </c>
      <c r="K26" s="1393"/>
      <c r="L26" s="943" t="s">
        <v>669</v>
      </c>
      <c r="M26" s="1435"/>
      <c r="N26" s="943" t="s">
        <v>669</v>
      </c>
      <c r="O26" s="984"/>
      <c r="P26" s="943" t="s">
        <v>669</v>
      </c>
      <c r="Q26" s="1435"/>
      <c r="R26" s="943" t="s">
        <v>669</v>
      </c>
      <c r="S26" s="1435"/>
      <c r="T26" s="943" t="s">
        <v>669</v>
      </c>
      <c r="U26" s="1393"/>
      <c r="V26" s="943" t="s">
        <v>669</v>
      </c>
      <c r="W26" s="1393"/>
      <c r="X26" s="943" t="s">
        <v>669</v>
      </c>
      <c r="Y26" s="1393"/>
      <c r="Z26" s="943" t="s">
        <v>669</v>
      </c>
      <c r="AA26" s="984"/>
      <c r="AB26" s="943" t="s">
        <v>669</v>
      </c>
      <c r="AC26" s="1392"/>
      <c r="AD26" s="943" t="s">
        <v>669</v>
      </c>
      <c r="AE26" s="984"/>
      <c r="AF26" s="943" t="s">
        <v>669</v>
      </c>
      <c r="AG26" s="1393"/>
      <c r="AH26" s="943" t="s">
        <v>669</v>
      </c>
      <c r="AI26" s="984"/>
      <c r="AJ26" s="943" t="s">
        <v>669</v>
      </c>
      <c r="AK26" s="984"/>
      <c r="AL26" s="943" t="s">
        <v>669</v>
      </c>
      <c r="AM26" s="1392"/>
      <c r="AN26" s="943" t="s">
        <v>669</v>
      </c>
      <c r="AO26" s="1392"/>
      <c r="AP26" s="943" t="s">
        <v>669</v>
      </c>
      <c r="AQ26" s="1392"/>
    </row>
    <row r="27" spans="1:43" x14ac:dyDescent="0.35">
      <c r="A27" s="1391"/>
      <c r="B27" s="1395" t="s">
        <v>662</v>
      </c>
      <c r="C27" s="1496"/>
      <c r="D27" s="1423"/>
      <c r="E27" s="1423"/>
      <c r="F27" s="1423"/>
      <c r="G27" s="646"/>
      <c r="H27" s="943" t="s">
        <v>669</v>
      </c>
      <c r="I27" s="984"/>
      <c r="J27" s="943" t="s">
        <v>669</v>
      </c>
      <c r="K27" s="1393"/>
      <c r="L27" s="943" t="s">
        <v>669</v>
      </c>
      <c r="M27" s="1435"/>
      <c r="N27" s="943" t="s">
        <v>669</v>
      </c>
      <c r="O27" s="984"/>
      <c r="P27" s="943" t="s">
        <v>669</v>
      </c>
      <c r="Q27" s="1435"/>
      <c r="R27" s="943" t="s">
        <v>669</v>
      </c>
      <c r="S27" s="1435"/>
      <c r="T27" s="943" t="s">
        <v>669</v>
      </c>
      <c r="U27" s="1393"/>
      <c r="V27" s="943" t="s">
        <v>669</v>
      </c>
      <c r="W27" s="1393"/>
      <c r="X27" s="943" t="s">
        <v>669</v>
      </c>
      <c r="Y27" s="1393"/>
      <c r="Z27" s="943" t="s">
        <v>669</v>
      </c>
      <c r="AA27" s="984"/>
      <c r="AB27" s="943" t="s">
        <v>669</v>
      </c>
      <c r="AC27" s="1393"/>
      <c r="AD27" s="943" t="s">
        <v>669</v>
      </c>
      <c r="AE27" s="984"/>
      <c r="AF27" s="943" t="s">
        <v>669</v>
      </c>
      <c r="AG27" s="1393"/>
      <c r="AH27" s="943" t="s">
        <v>669</v>
      </c>
      <c r="AI27" s="984"/>
      <c r="AJ27" s="943" t="s">
        <v>669</v>
      </c>
      <c r="AK27" s="984"/>
      <c r="AL27" s="943" t="s">
        <v>669</v>
      </c>
      <c r="AM27" s="1393"/>
      <c r="AN27" s="943" t="s">
        <v>669</v>
      </c>
      <c r="AO27" s="1393"/>
      <c r="AP27" s="943" t="s">
        <v>669</v>
      </c>
      <c r="AQ27" s="1393"/>
    </row>
    <row r="28" spans="1:43" x14ac:dyDescent="0.35">
      <c r="A28" s="1391"/>
      <c r="B28" s="1395" t="s">
        <v>663</v>
      </c>
      <c r="C28" s="1496"/>
      <c r="D28" s="1423"/>
      <c r="E28" s="1423"/>
      <c r="F28" s="1423"/>
      <c r="G28" s="646"/>
      <c r="H28" s="943" t="s">
        <v>669</v>
      </c>
      <c r="I28" s="984"/>
      <c r="J28" s="943" t="s">
        <v>669</v>
      </c>
      <c r="K28" s="1393"/>
      <c r="L28" s="943" t="s">
        <v>669</v>
      </c>
      <c r="M28" s="1393"/>
      <c r="N28" s="943" t="s">
        <v>669</v>
      </c>
      <c r="O28" s="984"/>
      <c r="P28" s="943" t="s">
        <v>669</v>
      </c>
      <c r="Q28" s="1393"/>
      <c r="R28" s="943" t="s">
        <v>669</v>
      </c>
      <c r="S28" s="1393"/>
      <c r="T28" s="943" t="s">
        <v>669</v>
      </c>
      <c r="U28" s="1393"/>
      <c r="V28" s="943" t="s">
        <v>669</v>
      </c>
      <c r="W28" s="1393"/>
      <c r="X28" s="943" t="s">
        <v>669</v>
      </c>
      <c r="Y28" s="1393"/>
      <c r="Z28" s="943" t="s">
        <v>669</v>
      </c>
      <c r="AA28" s="984"/>
      <c r="AB28" s="943" t="s">
        <v>669</v>
      </c>
      <c r="AC28" s="1393"/>
      <c r="AD28" s="943" t="s">
        <v>669</v>
      </c>
      <c r="AE28" s="984"/>
      <c r="AF28" s="943" t="s">
        <v>669</v>
      </c>
      <c r="AG28" s="1393"/>
      <c r="AH28" s="943" t="s">
        <v>669</v>
      </c>
      <c r="AI28" s="984"/>
      <c r="AJ28" s="943" t="s">
        <v>669</v>
      </c>
      <c r="AK28" s="984"/>
      <c r="AL28" s="943" t="s">
        <v>669</v>
      </c>
      <c r="AM28" s="1393"/>
      <c r="AN28" s="943" t="s">
        <v>669</v>
      </c>
      <c r="AO28" s="1393"/>
      <c r="AP28" s="943" t="s">
        <v>669</v>
      </c>
      <c r="AQ28" s="1393"/>
    </row>
    <row r="29" spans="1:43" x14ac:dyDescent="0.35">
      <c r="A29" s="1391"/>
      <c r="B29" s="1497" t="s">
        <v>789</v>
      </c>
      <c r="C29" s="1496"/>
      <c r="D29" s="1423"/>
      <c r="E29" s="1423"/>
      <c r="F29" s="1423"/>
      <c r="G29" s="646"/>
      <c r="H29" s="943" t="s">
        <v>669</v>
      </c>
      <c r="I29" s="1392" t="s">
        <v>1099</v>
      </c>
      <c r="J29" s="943" t="s">
        <v>669</v>
      </c>
      <c r="K29" s="1393"/>
      <c r="L29" s="943" t="s">
        <v>669</v>
      </c>
      <c r="M29" s="1393" t="s">
        <v>1733</v>
      </c>
      <c r="N29" s="943" t="s">
        <v>669</v>
      </c>
      <c r="O29" s="1392" t="s">
        <v>1099</v>
      </c>
      <c r="P29" s="943" t="s">
        <v>669</v>
      </c>
      <c r="Q29" s="1393" t="s">
        <v>1733</v>
      </c>
      <c r="R29" s="943" t="s">
        <v>669</v>
      </c>
      <c r="S29" s="1393" t="s">
        <v>1733</v>
      </c>
      <c r="T29" s="943" t="s">
        <v>669</v>
      </c>
      <c r="U29" s="1393"/>
      <c r="V29" s="943" t="s">
        <v>669</v>
      </c>
      <c r="W29" s="1393"/>
      <c r="X29" s="943" t="s">
        <v>669</v>
      </c>
      <c r="Y29" s="1393"/>
      <c r="Z29" s="943" t="s">
        <v>671</v>
      </c>
      <c r="AA29" s="1392" t="s">
        <v>1008</v>
      </c>
      <c r="AB29" s="943" t="s">
        <v>669</v>
      </c>
      <c r="AC29" s="1392" t="s">
        <v>1733</v>
      </c>
      <c r="AD29" s="943" t="s">
        <v>671</v>
      </c>
      <c r="AE29" s="1392" t="s">
        <v>1008</v>
      </c>
      <c r="AF29" s="943" t="s">
        <v>671</v>
      </c>
      <c r="AG29" s="1392"/>
      <c r="AH29" s="943" t="s">
        <v>671</v>
      </c>
      <c r="AI29" s="1392" t="s">
        <v>1008</v>
      </c>
      <c r="AJ29" s="943" t="s">
        <v>671</v>
      </c>
      <c r="AK29" s="1392" t="s">
        <v>1008</v>
      </c>
      <c r="AL29" s="943" t="s">
        <v>671</v>
      </c>
      <c r="AM29" s="1392" t="s">
        <v>1008</v>
      </c>
      <c r="AN29" s="943" t="s">
        <v>671</v>
      </c>
      <c r="AO29" s="1392"/>
      <c r="AP29" s="943" t="s">
        <v>671</v>
      </c>
      <c r="AQ29" s="1392"/>
    </row>
    <row r="30" spans="1:43" x14ac:dyDescent="0.35">
      <c r="A30" s="1391"/>
      <c r="B30" s="1497" t="s">
        <v>790</v>
      </c>
      <c r="C30" s="1496"/>
      <c r="D30" s="1423"/>
      <c r="E30" s="1423"/>
      <c r="F30" s="1423"/>
      <c r="G30" s="646"/>
      <c r="H30" s="943" t="s">
        <v>669</v>
      </c>
      <c r="I30" s="1392" t="s">
        <v>1393</v>
      </c>
      <c r="J30" s="943" t="s">
        <v>669</v>
      </c>
      <c r="K30" s="1392" t="s">
        <v>1734</v>
      </c>
      <c r="L30" s="943" t="s">
        <v>671</v>
      </c>
      <c r="M30" s="1392" t="s">
        <v>968</v>
      </c>
      <c r="N30" s="943" t="s">
        <v>669</v>
      </c>
      <c r="O30" s="1392" t="s">
        <v>1393</v>
      </c>
      <c r="P30" s="943" t="s">
        <v>671</v>
      </c>
      <c r="Q30" s="1392" t="s">
        <v>968</v>
      </c>
      <c r="R30" s="943" t="s">
        <v>671</v>
      </c>
      <c r="S30" s="1392" t="s">
        <v>968</v>
      </c>
      <c r="T30" s="943" t="s">
        <v>671</v>
      </c>
      <c r="U30" s="1392"/>
      <c r="V30" s="943" t="s">
        <v>669</v>
      </c>
      <c r="W30" s="1392" t="s">
        <v>1734</v>
      </c>
      <c r="X30" s="943" t="s">
        <v>669</v>
      </c>
      <c r="Y30" s="1392" t="s">
        <v>1734</v>
      </c>
      <c r="Z30" s="943" t="s">
        <v>671</v>
      </c>
      <c r="AA30" s="1392" t="s">
        <v>1735</v>
      </c>
      <c r="AB30" s="943" t="s">
        <v>669</v>
      </c>
      <c r="AC30" s="1392" t="s">
        <v>1736</v>
      </c>
      <c r="AD30" s="943" t="s">
        <v>671</v>
      </c>
      <c r="AE30" s="1392" t="s">
        <v>1735</v>
      </c>
      <c r="AF30" s="943" t="s">
        <v>671</v>
      </c>
      <c r="AG30" s="1393"/>
      <c r="AH30" s="943" t="s">
        <v>671</v>
      </c>
      <c r="AI30" s="1392" t="s">
        <v>1735</v>
      </c>
      <c r="AJ30" s="943" t="s">
        <v>671</v>
      </c>
      <c r="AK30" s="1392" t="s">
        <v>1737</v>
      </c>
      <c r="AL30" s="943" t="s">
        <v>671</v>
      </c>
      <c r="AM30" s="1392" t="s">
        <v>968</v>
      </c>
      <c r="AN30" s="943" t="s">
        <v>671</v>
      </c>
      <c r="AO30" s="1392"/>
      <c r="AP30" s="943" t="s">
        <v>671</v>
      </c>
      <c r="AQ30" s="1392"/>
    </row>
    <row r="31" spans="1:43" x14ac:dyDescent="0.35">
      <c r="A31" s="1391"/>
      <c r="B31" s="1497" t="s">
        <v>791</v>
      </c>
      <c r="C31" s="1496"/>
      <c r="D31" s="1423"/>
      <c r="E31" s="1423"/>
      <c r="F31" s="1423"/>
      <c r="G31" s="646"/>
      <c r="H31" s="943" t="s">
        <v>669</v>
      </c>
      <c r="I31" s="1393" t="s">
        <v>1102</v>
      </c>
      <c r="J31" s="943" t="s">
        <v>669</v>
      </c>
      <c r="K31" s="1393" t="s">
        <v>1738</v>
      </c>
      <c r="L31" s="943" t="s">
        <v>671</v>
      </c>
      <c r="M31" s="1393" t="s">
        <v>1739</v>
      </c>
      <c r="N31" s="943" t="s">
        <v>669</v>
      </c>
      <c r="O31" s="1393" t="s">
        <v>1102</v>
      </c>
      <c r="P31" s="943" t="s">
        <v>671</v>
      </c>
      <c r="Q31" s="1393" t="s">
        <v>1739</v>
      </c>
      <c r="R31" s="943" t="s">
        <v>671</v>
      </c>
      <c r="S31" s="1393" t="s">
        <v>1739</v>
      </c>
      <c r="T31" s="943" t="s">
        <v>671</v>
      </c>
      <c r="U31" s="1393"/>
      <c r="V31" s="943" t="s">
        <v>669</v>
      </c>
      <c r="W31" s="1393" t="s">
        <v>1738</v>
      </c>
      <c r="X31" s="943" t="s">
        <v>669</v>
      </c>
      <c r="Y31" s="1393" t="s">
        <v>1738</v>
      </c>
      <c r="Z31" s="943" t="s">
        <v>671</v>
      </c>
      <c r="AA31" s="1393"/>
      <c r="AB31" s="943" t="s">
        <v>669</v>
      </c>
      <c r="AC31" s="1393" t="s">
        <v>1740</v>
      </c>
      <c r="AD31" s="943" t="s">
        <v>671</v>
      </c>
      <c r="AE31" s="1393"/>
      <c r="AF31" s="943" t="s">
        <v>671</v>
      </c>
      <c r="AG31" s="1393"/>
      <c r="AH31" s="943" t="s">
        <v>671</v>
      </c>
      <c r="AI31" s="1393"/>
      <c r="AJ31" s="943" t="s">
        <v>671</v>
      </c>
      <c r="AK31" s="1392"/>
      <c r="AL31" s="943" t="s">
        <v>671</v>
      </c>
      <c r="AM31" s="1393"/>
      <c r="AN31" s="943" t="s">
        <v>671</v>
      </c>
      <c r="AO31" s="1392"/>
      <c r="AP31" s="943" t="s">
        <v>671</v>
      </c>
      <c r="AQ31" s="1392"/>
    </row>
    <row r="32" spans="1:43" x14ac:dyDescent="0.35">
      <c r="A32" s="1391"/>
      <c r="B32" s="1497" t="s">
        <v>1741</v>
      </c>
      <c r="C32" s="1496"/>
      <c r="D32" s="1423"/>
      <c r="E32" s="1423"/>
      <c r="F32" s="1423"/>
      <c r="G32" s="646"/>
      <c r="H32" s="943" t="s">
        <v>671</v>
      </c>
      <c r="I32" s="1393"/>
      <c r="J32" s="943" t="s">
        <v>671</v>
      </c>
      <c r="K32" s="1393"/>
      <c r="L32" s="943" t="s">
        <v>671</v>
      </c>
      <c r="M32" s="1393"/>
      <c r="N32" s="943" t="s">
        <v>671</v>
      </c>
      <c r="O32" s="1393"/>
      <c r="P32" s="943" t="s">
        <v>671</v>
      </c>
      <c r="Q32" s="1393"/>
      <c r="R32" s="943" t="s">
        <v>671</v>
      </c>
      <c r="S32" s="1393"/>
      <c r="T32" s="943" t="s">
        <v>671</v>
      </c>
      <c r="U32" s="1393"/>
      <c r="V32" s="943" t="s">
        <v>671</v>
      </c>
      <c r="W32" s="1393"/>
      <c r="X32" s="943" t="s">
        <v>671</v>
      </c>
      <c r="Y32" s="1393"/>
      <c r="Z32" s="943" t="s">
        <v>671</v>
      </c>
      <c r="AA32" s="1393"/>
      <c r="AB32" s="943" t="s">
        <v>669</v>
      </c>
      <c r="AC32" s="1393" t="s">
        <v>1742</v>
      </c>
      <c r="AD32" s="943" t="s">
        <v>671</v>
      </c>
      <c r="AE32" s="1393"/>
      <c r="AF32" s="943"/>
      <c r="AG32" s="1393"/>
      <c r="AH32" s="943" t="s">
        <v>671</v>
      </c>
      <c r="AI32" s="1393"/>
      <c r="AJ32" s="943" t="s">
        <v>671</v>
      </c>
      <c r="AK32" s="1392"/>
      <c r="AL32" s="943" t="s">
        <v>671</v>
      </c>
      <c r="AM32" s="1393"/>
      <c r="AN32" s="943"/>
      <c r="AO32" s="1392"/>
      <c r="AP32" s="943"/>
      <c r="AQ32" s="1392"/>
    </row>
    <row r="33" spans="1:43" x14ac:dyDescent="0.35">
      <c r="A33" s="1391"/>
      <c r="B33" s="1498" t="s">
        <v>664</v>
      </c>
      <c r="C33" s="1496"/>
      <c r="D33" s="1423"/>
      <c r="E33" s="1423"/>
      <c r="F33" s="1423"/>
      <c r="G33" s="646"/>
      <c r="H33" s="943"/>
      <c r="I33" s="1393"/>
      <c r="J33" s="943"/>
      <c r="K33" s="1393"/>
      <c r="L33" s="943"/>
      <c r="M33" s="1393"/>
      <c r="N33" s="943"/>
      <c r="O33" s="1393"/>
      <c r="P33" s="943"/>
      <c r="Q33" s="1393"/>
      <c r="R33" s="943"/>
      <c r="S33" s="1393"/>
      <c r="T33" s="943"/>
      <c r="U33" s="1393"/>
      <c r="V33" s="943"/>
      <c r="W33" s="1393"/>
      <c r="X33" s="943"/>
      <c r="Y33" s="1393"/>
      <c r="Z33" s="943"/>
      <c r="AA33" s="1393"/>
      <c r="AB33" s="943"/>
      <c r="AC33" s="1393"/>
      <c r="AD33" s="943"/>
      <c r="AE33" s="1393"/>
      <c r="AF33" s="943"/>
      <c r="AG33" s="1393"/>
      <c r="AH33" s="943"/>
      <c r="AI33" s="1393"/>
      <c r="AJ33" s="943"/>
      <c r="AK33" s="1392"/>
      <c r="AL33" s="943"/>
      <c r="AM33" s="1393"/>
      <c r="AN33" s="943"/>
      <c r="AO33" s="1392"/>
      <c r="AP33" s="943"/>
      <c r="AQ33" s="1392"/>
    </row>
    <row r="34" spans="1:43" x14ac:dyDescent="0.35">
      <c r="A34" s="1391"/>
      <c r="B34" s="1499" t="s">
        <v>665</v>
      </c>
      <c r="C34" s="1500"/>
      <c r="D34" s="1431"/>
      <c r="E34" s="1431"/>
      <c r="F34" s="1501"/>
      <c r="G34" s="651"/>
      <c r="H34" s="636"/>
      <c r="I34" s="1502">
        <f>247817+284602+284602+241208+226844+241208+75749+47240+30231+28193+28193+6503+7500</f>
        <v>1749890</v>
      </c>
      <c r="J34" s="1502"/>
      <c r="K34" s="1502"/>
      <c r="L34" s="1503"/>
      <c r="M34" s="1502">
        <v>2049900</v>
      </c>
      <c r="N34" s="636"/>
      <c r="O34" s="1502">
        <v>1779730</v>
      </c>
      <c r="P34" s="1503"/>
      <c r="Q34" s="1502"/>
      <c r="R34" s="1503"/>
      <c r="S34" s="1502"/>
      <c r="T34" s="1502"/>
      <c r="U34" s="1502">
        <f>1854687+382214</f>
        <v>2236901</v>
      </c>
      <c r="V34" s="1502"/>
      <c r="W34" s="1502"/>
      <c r="X34" s="1502"/>
      <c r="Y34" s="1502"/>
      <c r="Z34" s="636"/>
      <c r="AA34" s="1502">
        <v>2020000</v>
      </c>
      <c r="AB34" s="1502"/>
      <c r="AC34" s="1502">
        <v>2328343</v>
      </c>
      <c r="AD34" s="636"/>
      <c r="AE34" s="1502">
        <f>1762390</f>
        <v>1762390</v>
      </c>
      <c r="AF34" s="636"/>
      <c r="AG34" s="1502">
        <v>2867436.11</v>
      </c>
      <c r="AH34" s="636"/>
      <c r="AI34" s="1502"/>
      <c r="AJ34" s="1399"/>
      <c r="AK34" s="1502">
        <v>2990000</v>
      </c>
      <c r="AL34" s="636"/>
      <c r="AM34" s="1502">
        <v>2467736</v>
      </c>
      <c r="AN34" s="1399"/>
      <c r="AO34" s="1432">
        <v>107806</v>
      </c>
      <c r="AP34" s="1399"/>
      <c r="AQ34" s="1432">
        <v>155200</v>
      </c>
    </row>
    <row r="35" spans="1:43" x14ac:dyDescent="0.35">
      <c r="A35" s="1391"/>
      <c r="B35" s="1434" t="s">
        <v>874</v>
      </c>
      <c r="C35" s="1496"/>
      <c r="D35" s="1423"/>
      <c r="E35" s="1423"/>
      <c r="F35" s="1484"/>
      <c r="G35" s="1393"/>
      <c r="H35" s="943"/>
      <c r="I35" s="1393"/>
      <c r="J35" s="943"/>
      <c r="K35" s="1393"/>
      <c r="L35" s="943"/>
      <c r="M35" s="1393"/>
      <c r="N35" s="943"/>
      <c r="O35" s="1393"/>
      <c r="P35" s="943"/>
      <c r="Q35" s="1393"/>
      <c r="R35" s="943"/>
      <c r="S35" s="1393"/>
      <c r="T35" s="1393"/>
      <c r="U35" s="1393"/>
      <c r="V35" s="1393"/>
      <c r="W35" s="1393"/>
      <c r="X35" s="1393"/>
      <c r="Y35" s="1393"/>
      <c r="Z35" s="943"/>
      <c r="AA35" s="1393"/>
      <c r="AB35" s="1393"/>
      <c r="AC35" s="1393"/>
      <c r="AD35" s="943"/>
      <c r="AE35" s="1393"/>
      <c r="AF35" s="943"/>
      <c r="AG35" s="1393"/>
      <c r="AH35" s="943"/>
      <c r="AI35" s="1393"/>
      <c r="AJ35" s="943"/>
      <c r="AK35" s="1392"/>
      <c r="AL35" s="943"/>
      <c r="AM35" s="1393"/>
      <c r="AN35" s="943"/>
      <c r="AO35" s="1392"/>
      <c r="AP35" s="943"/>
      <c r="AQ35" s="1392"/>
    </row>
    <row r="36" spans="1:43" x14ac:dyDescent="0.35">
      <c r="A36" s="1391"/>
      <c r="B36" s="1434"/>
      <c r="C36" s="646"/>
      <c r="D36" s="1423"/>
      <c r="E36" s="1423"/>
      <c r="F36" s="1484"/>
      <c r="G36" s="1392"/>
      <c r="H36" s="943"/>
      <c r="I36" s="1392"/>
      <c r="J36" s="943"/>
      <c r="K36" s="1392"/>
      <c r="L36" s="943"/>
      <c r="M36" s="1435"/>
      <c r="N36" s="943"/>
      <c r="O36" s="1393"/>
      <c r="P36" s="943"/>
      <c r="Q36" s="1435"/>
      <c r="R36" s="943"/>
      <c r="S36" s="1435"/>
      <c r="T36" s="1392"/>
      <c r="U36" s="1392"/>
      <c r="V36" s="1392"/>
      <c r="W36" s="1392"/>
      <c r="X36" s="1392"/>
      <c r="Y36" s="1392"/>
      <c r="Z36" s="943"/>
      <c r="AA36" s="1393"/>
      <c r="AB36" s="1448"/>
      <c r="AC36" s="1448"/>
      <c r="AD36" s="943"/>
      <c r="AE36" s="1393"/>
      <c r="AF36" s="943"/>
      <c r="AG36" s="1392"/>
      <c r="AH36" s="943"/>
      <c r="AI36" s="1393"/>
      <c r="AJ36" s="943"/>
      <c r="AK36" s="1392"/>
      <c r="AL36" s="943"/>
      <c r="AM36" s="1448"/>
      <c r="AN36" s="943"/>
      <c r="AO36" s="1392"/>
      <c r="AP36" s="943"/>
      <c r="AQ36" s="1392"/>
    </row>
    <row r="37" spans="1:43" s="77" customFormat="1" x14ac:dyDescent="0.35">
      <c r="A37" s="1504"/>
      <c r="B37" s="1505" t="s">
        <v>1743</v>
      </c>
      <c r="C37" s="1506"/>
      <c r="D37" s="1507"/>
      <c r="E37" s="1507"/>
      <c r="F37" s="1507"/>
      <c r="G37" s="1508"/>
      <c r="H37" s="943" t="s">
        <v>669</v>
      </c>
      <c r="I37" s="1509"/>
      <c r="J37" s="943" t="s">
        <v>669</v>
      </c>
      <c r="K37" s="1509"/>
      <c r="L37" s="943" t="s">
        <v>669</v>
      </c>
      <c r="M37" s="1393"/>
      <c r="N37" s="943" t="s">
        <v>669</v>
      </c>
      <c r="O37" s="1509"/>
      <c r="P37" s="943" t="s">
        <v>669</v>
      </c>
      <c r="Q37" s="1393"/>
      <c r="R37" s="943" t="s">
        <v>669</v>
      </c>
      <c r="S37" s="1393"/>
      <c r="T37" s="943" t="s">
        <v>669</v>
      </c>
      <c r="U37" s="1509"/>
      <c r="V37" s="1510" t="s">
        <v>671</v>
      </c>
      <c r="W37" s="1509"/>
      <c r="X37" s="943" t="s">
        <v>669</v>
      </c>
      <c r="Y37" s="1509"/>
      <c r="Z37" s="1511" t="s">
        <v>671</v>
      </c>
      <c r="AA37" s="1509"/>
      <c r="AB37" s="943" t="s">
        <v>669</v>
      </c>
      <c r="AC37" s="1509"/>
      <c r="AD37" s="1510" t="s">
        <v>671</v>
      </c>
      <c r="AE37" s="1509"/>
      <c r="AF37" s="943" t="s">
        <v>671</v>
      </c>
      <c r="AG37" s="1509"/>
      <c r="AH37" s="1511" t="s">
        <v>671</v>
      </c>
      <c r="AI37" s="1509"/>
      <c r="AJ37" s="943" t="s">
        <v>671</v>
      </c>
      <c r="AK37" s="1509"/>
      <c r="AL37" s="943" t="s">
        <v>671</v>
      </c>
      <c r="AM37" s="1509"/>
      <c r="AN37" s="943" t="s">
        <v>671</v>
      </c>
      <c r="AO37" s="1509"/>
      <c r="AP37" s="943" t="s">
        <v>671</v>
      </c>
      <c r="AQ37" s="1509"/>
    </row>
    <row r="38" spans="1:43" s="77" customFormat="1" x14ac:dyDescent="0.35">
      <c r="A38" s="1504"/>
      <c r="B38" s="1505" t="s">
        <v>1744</v>
      </c>
      <c r="C38" s="1506"/>
      <c r="D38" s="1507"/>
      <c r="E38" s="1507"/>
      <c r="F38" s="1507"/>
      <c r="G38" s="1508"/>
      <c r="H38" s="943" t="s">
        <v>669</v>
      </c>
      <c r="I38" s="1509"/>
      <c r="J38" s="943" t="s">
        <v>669</v>
      </c>
      <c r="K38" s="1509"/>
      <c r="L38" s="943" t="s">
        <v>669</v>
      </c>
      <c r="M38" s="1393"/>
      <c r="N38" s="943" t="s">
        <v>669</v>
      </c>
      <c r="O38" s="1509"/>
      <c r="P38" s="943" t="s">
        <v>669</v>
      </c>
      <c r="Q38" s="1393"/>
      <c r="R38" s="943" t="s">
        <v>669</v>
      </c>
      <c r="S38" s="1393"/>
      <c r="T38" s="943" t="s">
        <v>669</v>
      </c>
      <c r="U38" s="1509"/>
      <c r="V38" s="1510" t="s">
        <v>671</v>
      </c>
      <c r="W38" s="1509"/>
      <c r="X38" s="943" t="s">
        <v>669</v>
      </c>
      <c r="Y38" s="1509"/>
      <c r="Z38" s="1511" t="s">
        <v>671</v>
      </c>
      <c r="AA38" s="1509"/>
      <c r="AB38" s="943" t="s">
        <v>669</v>
      </c>
      <c r="AC38" s="1509"/>
      <c r="AD38" s="1510" t="s">
        <v>671</v>
      </c>
      <c r="AE38" s="1509"/>
      <c r="AF38" s="943" t="s">
        <v>671</v>
      </c>
      <c r="AG38" s="1509"/>
      <c r="AH38" s="1511" t="s">
        <v>671</v>
      </c>
      <c r="AI38" s="1509"/>
      <c r="AJ38" s="943" t="s">
        <v>671</v>
      </c>
      <c r="AK38" s="1509"/>
      <c r="AL38" s="943" t="s">
        <v>671</v>
      </c>
      <c r="AM38" s="1509"/>
      <c r="AN38" s="943" t="s">
        <v>671</v>
      </c>
      <c r="AO38" s="1509"/>
      <c r="AP38" s="943" t="s">
        <v>671</v>
      </c>
      <c r="AQ38" s="1509"/>
    </row>
    <row r="39" spans="1:43" s="77" customFormat="1" x14ac:dyDescent="0.35">
      <c r="A39" s="1504"/>
      <c r="B39" s="1505"/>
      <c r="C39" s="1512"/>
      <c r="D39" s="1508"/>
      <c r="E39" s="1507"/>
      <c r="F39" s="1507"/>
      <c r="G39" s="1392"/>
      <c r="H39" s="943"/>
      <c r="I39" s="1392"/>
      <c r="J39" s="943"/>
      <c r="K39" s="1509"/>
      <c r="L39" s="1213"/>
      <c r="M39" s="1393"/>
      <c r="N39" s="943"/>
      <c r="O39" s="1509"/>
      <c r="P39" s="1213"/>
      <c r="Q39" s="1393"/>
      <c r="R39" s="1213"/>
      <c r="S39" s="1393"/>
      <c r="T39" s="1509"/>
      <c r="U39" s="1509"/>
      <c r="V39" s="1509"/>
      <c r="W39" s="1509"/>
      <c r="X39" s="1509"/>
      <c r="Y39" s="1509"/>
      <c r="Z39" s="1513"/>
      <c r="AA39" s="1509"/>
      <c r="AB39" s="1509"/>
      <c r="AC39" s="1509"/>
      <c r="AD39" s="1513"/>
      <c r="AE39" s="1509"/>
      <c r="AF39" s="943"/>
      <c r="AG39" s="1509"/>
      <c r="AH39" s="1513"/>
      <c r="AI39" s="1509"/>
      <c r="AJ39" s="943"/>
      <c r="AK39" s="1509"/>
      <c r="AL39" s="943"/>
      <c r="AM39" s="1509"/>
      <c r="AN39" s="943"/>
      <c r="AO39" s="1509"/>
      <c r="AP39" s="943"/>
      <c r="AQ39" s="1509"/>
    </row>
    <row r="40" spans="1:43" x14ac:dyDescent="0.35">
      <c r="A40" s="1391"/>
      <c r="B40" s="1434" t="s">
        <v>1745</v>
      </c>
      <c r="C40" s="1384"/>
      <c r="D40" s="646"/>
      <c r="E40" s="1423"/>
      <c r="F40" s="1484"/>
      <c r="G40" s="652"/>
      <c r="H40" s="943" t="s">
        <v>669</v>
      </c>
      <c r="I40" s="1393"/>
      <c r="J40" s="943" t="s">
        <v>669</v>
      </c>
      <c r="K40" s="1509">
        <v>1944000</v>
      </c>
      <c r="L40" s="943" t="s">
        <v>669</v>
      </c>
      <c r="M40" s="1436"/>
      <c r="N40" s="943" t="s">
        <v>669</v>
      </c>
      <c r="O40" s="1393"/>
      <c r="P40" s="943" t="s">
        <v>669</v>
      </c>
      <c r="Q40" s="1436">
        <f>190160+219440+226870+204110+181030+202550</f>
        <v>1224160</v>
      </c>
      <c r="R40" s="943" t="s">
        <v>669</v>
      </c>
      <c r="S40" s="1436">
        <f>190160+219440+226870+204110+181030+202550</f>
        <v>1224160</v>
      </c>
      <c r="T40" s="943" t="s">
        <v>669</v>
      </c>
      <c r="U40" s="1509"/>
      <c r="V40" s="943" t="s">
        <v>669</v>
      </c>
      <c r="W40" s="1509">
        <v>2161885</v>
      </c>
      <c r="X40" s="943" t="s">
        <v>669</v>
      </c>
      <c r="Y40" s="1509">
        <f>2024115</f>
        <v>2024115</v>
      </c>
      <c r="Z40" s="943" t="s">
        <v>669</v>
      </c>
      <c r="AA40" s="1509"/>
      <c r="AB40" s="943" t="s">
        <v>669</v>
      </c>
      <c r="AC40" s="1448"/>
      <c r="AD40" s="943" t="s">
        <v>669</v>
      </c>
      <c r="AE40" s="1393"/>
      <c r="AF40" s="943" t="s">
        <v>669</v>
      </c>
      <c r="AG40" s="1392" t="s">
        <v>602</v>
      </c>
      <c r="AH40" s="943" t="s">
        <v>669</v>
      </c>
      <c r="AI40" s="1436">
        <f>413815*2+432610+474692*2+418335</f>
        <v>2627959</v>
      </c>
      <c r="AJ40" s="943" t="s">
        <v>669</v>
      </c>
      <c r="AK40" s="1392"/>
      <c r="AL40" s="943" t="s">
        <v>669</v>
      </c>
      <c r="AM40" s="1448"/>
      <c r="AN40" s="943" t="s">
        <v>671</v>
      </c>
      <c r="AO40" s="1392"/>
      <c r="AP40" s="943" t="s">
        <v>671</v>
      </c>
      <c r="AQ40" s="1392"/>
    </row>
    <row r="41" spans="1:43" x14ac:dyDescent="0.35">
      <c r="A41" s="1391"/>
      <c r="B41" s="1434" t="s">
        <v>1746</v>
      </c>
      <c r="C41" s="1384"/>
      <c r="D41" s="646"/>
      <c r="E41" s="1423"/>
      <c r="F41" s="1484"/>
      <c r="G41" s="652"/>
      <c r="H41" s="943" t="s">
        <v>669</v>
      </c>
      <c r="I41" s="1393"/>
      <c r="J41" s="943" t="s">
        <v>669</v>
      </c>
      <c r="K41" s="1436"/>
      <c r="L41" s="943" t="s">
        <v>669</v>
      </c>
      <c r="M41" s="1436"/>
      <c r="N41" s="943" t="s">
        <v>669</v>
      </c>
      <c r="O41" s="1393"/>
      <c r="P41" s="943" t="s">
        <v>669</v>
      </c>
      <c r="Q41" s="1436"/>
      <c r="R41" s="943" t="s">
        <v>669</v>
      </c>
      <c r="S41" s="1436"/>
      <c r="T41" s="943" t="s">
        <v>669</v>
      </c>
      <c r="U41" s="1436"/>
      <c r="V41" s="943" t="s">
        <v>669</v>
      </c>
      <c r="W41" s="1436"/>
      <c r="X41" s="943" t="s">
        <v>669</v>
      </c>
      <c r="Y41" s="1436"/>
      <c r="Z41" s="943" t="s">
        <v>669</v>
      </c>
      <c r="AA41" s="1393"/>
      <c r="AB41" s="943" t="s">
        <v>669</v>
      </c>
      <c r="AC41" s="1436"/>
      <c r="AD41" s="943" t="s">
        <v>669</v>
      </c>
      <c r="AE41" s="1393"/>
      <c r="AF41" s="943" t="s">
        <v>669</v>
      </c>
      <c r="AG41" s="1392"/>
      <c r="AH41" s="943" t="s">
        <v>669</v>
      </c>
      <c r="AI41" s="1436"/>
      <c r="AJ41" s="943" t="s">
        <v>669</v>
      </c>
      <c r="AK41" s="1392"/>
      <c r="AL41" s="943" t="s">
        <v>669</v>
      </c>
      <c r="AM41" s="1448"/>
      <c r="AN41" s="943" t="s">
        <v>671</v>
      </c>
      <c r="AO41" s="1392"/>
      <c r="AP41" s="943" t="s">
        <v>671</v>
      </c>
      <c r="AQ41" s="1392"/>
    </row>
    <row r="42" spans="1:43" x14ac:dyDescent="0.35">
      <c r="A42" s="1391"/>
      <c r="B42" s="1434" t="s">
        <v>1747</v>
      </c>
      <c r="C42" s="1384"/>
      <c r="D42" s="646"/>
      <c r="E42" s="1423"/>
      <c r="F42" s="1484"/>
      <c r="G42" s="652"/>
      <c r="H42" s="943" t="s">
        <v>669</v>
      </c>
      <c r="I42" s="1393"/>
      <c r="J42" s="943" t="s">
        <v>669</v>
      </c>
      <c r="K42" s="1436"/>
      <c r="L42" s="943" t="s">
        <v>669</v>
      </c>
      <c r="M42" s="1436"/>
      <c r="N42" s="943" t="s">
        <v>669</v>
      </c>
      <c r="O42" s="1393"/>
      <c r="P42" s="943" t="s">
        <v>669</v>
      </c>
      <c r="Q42" s="1436">
        <f>79640+88620+88620+72870+79820+72870</f>
        <v>482440</v>
      </c>
      <c r="R42" s="943" t="s">
        <v>669</v>
      </c>
      <c r="S42" s="1436">
        <f>79640+88620+88620+72870+79820+72870</f>
        <v>482440</v>
      </c>
      <c r="T42" s="943" t="s">
        <v>669</v>
      </c>
      <c r="U42" s="1436"/>
      <c r="V42" s="943" t="s">
        <v>669</v>
      </c>
      <c r="W42" s="1436"/>
      <c r="X42" s="943" t="s">
        <v>669</v>
      </c>
      <c r="Y42" s="1436"/>
      <c r="Z42" s="943" t="s">
        <v>669</v>
      </c>
      <c r="AA42" s="1393"/>
      <c r="AB42" s="943" t="s">
        <v>669</v>
      </c>
      <c r="AC42" s="1436"/>
      <c r="AD42" s="1101" t="s">
        <v>654</v>
      </c>
      <c r="AE42" s="1514">
        <f>Q42</f>
        <v>482440</v>
      </c>
      <c r="AF42" s="943" t="s">
        <v>669</v>
      </c>
      <c r="AG42" s="1392"/>
      <c r="AH42" s="943" t="s">
        <v>669</v>
      </c>
      <c r="AI42" s="1436"/>
      <c r="AJ42" s="943" t="s">
        <v>669</v>
      </c>
      <c r="AK42" s="1392"/>
      <c r="AL42" s="1101" t="s">
        <v>654</v>
      </c>
      <c r="AM42" s="1515">
        <f>Q42</f>
        <v>482440</v>
      </c>
      <c r="AN42" s="943"/>
      <c r="AO42" s="1392"/>
      <c r="AP42" s="943"/>
      <c r="AQ42" s="1392"/>
    </row>
    <row r="43" spans="1:43" x14ac:dyDescent="0.35">
      <c r="A43" s="1391"/>
      <c r="B43" s="1434" t="s">
        <v>1748</v>
      </c>
      <c r="C43" s="1384"/>
      <c r="D43" s="646"/>
      <c r="E43" s="1423"/>
      <c r="F43" s="1484"/>
      <c r="G43" s="652"/>
      <c r="H43" s="943" t="s">
        <v>669</v>
      </c>
      <c r="I43" s="1393"/>
      <c r="J43" s="943" t="s">
        <v>669</v>
      </c>
      <c r="K43" s="1436"/>
      <c r="L43" s="943" t="s">
        <v>669</v>
      </c>
      <c r="M43" s="1436"/>
      <c r="N43" s="943" t="s">
        <v>669</v>
      </c>
      <c r="O43" s="1393"/>
      <c r="P43" s="943" t="s">
        <v>669</v>
      </c>
      <c r="Q43" s="1436">
        <f>96760</f>
        <v>96760</v>
      </c>
      <c r="R43" s="943" t="s">
        <v>669</v>
      </c>
      <c r="S43" s="1436">
        <f>96760</f>
        <v>96760</v>
      </c>
      <c r="T43" s="943" t="s">
        <v>669</v>
      </c>
      <c r="U43" s="1436"/>
      <c r="V43" s="943" t="s">
        <v>669</v>
      </c>
      <c r="W43" s="1436">
        <v>103000</v>
      </c>
      <c r="X43" s="943" t="s">
        <v>669</v>
      </c>
      <c r="Y43" s="1436"/>
      <c r="Z43" s="943" t="s">
        <v>669</v>
      </c>
      <c r="AA43" s="1436"/>
      <c r="AB43" s="943" t="s">
        <v>669</v>
      </c>
      <c r="AC43" s="1448"/>
      <c r="AD43" s="943" t="s">
        <v>669</v>
      </c>
      <c r="AE43" s="1436">
        <v>87450</v>
      </c>
      <c r="AF43" s="943" t="s">
        <v>669</v>
      </c>
      <c r="AG43" s="1392"/>
      <c r="AH43" s="943" t="s">
        <v>669</v>
      </c>
      <c r="AI43" s="1436">
        <f>121125</f>
        <v>121125</v>
      </c>
      <c r="AJ43" s="943" t="s">
        <v>669</v>
      </c>
      <c r="AK43" s="1392"/>
      <c r="AL43" s="943" t="s">
        <v>669</v>
      </c>
      <c r="AM43" s="1448"/>
      <c r="AN43" s="943" t="s">
        <v>671</v>
      </c>
      <c r="AO43" s="1392"/>
      <c r="AP43" s="943" t="s">
        <v>671</v>
      </c>
      <c r="AQ43" s="1392"/>
    </row>
    <row r="44" spans="1:43" x14ac:dyDescent="0.35">
      <c r="A44" s="1391"/>
      <c r="B44" s="1434" t="s">
        <v>1749</v>
      </c>
      <c r="C44" s="1384"/>
      <c r="D44" s="646"/>
      <c r="E44" s="1423"/>
      <c r="F44" s="1484"/>
      <c r="G44" s="652"/>
      <c r="H44" s="943" t="s">
        <v>669</v>
      </c>
      <c r="I44" s="1393"/>
      <c r="J44" s="943" t="s">
        <v>669</v>
      </c>
      <c r="K44" s="1436"/>
      <c r="L44" s="943" t="s">
        <v>669</v>
      </c>
      <c r="M44" s="1436"/>
      <c r="N44" s="943" t="s">
        <v>669</v>
      </c>
      <c r="O44" s="1393"/>
      <c r="P44" s="943" t="s">
        <v>669</v>
      </c>
      <c r="Q44" s="1436">
        <f>39930+37190+37190</f>
        <v>114310</v>
      </c>
      <c r="R44" s="943" t="s">
        <v>669</v>
      </c>
      <c r="S44" s="1436">
        <f>39930+37190+37190</f>
        <v>114310</v>
      </c>
      <c r="T44" s="943" t="s">
        <v>669</v>
      </c>
      <c r="U44" s="1436"/>
      <c r="V44" s="943" t="s">
        <v>669</v>
      </c>
      <c r="W44" s="1436">
        <f>40000+36500+36500</f>
        <v>113000</v>
      </c>
      <c r="X44" s="943" t="s">
        <v>669</v>
      </c>
      <c r="Y44" s="1436"/>
      <c r="Z44" s="943" t="s">
        <v>669</v>
      </c>
      <c r="AA44" s="1436"/>
      <c r="AB44" s="943" t="s">
        <v>669</v>
      </c>
      <c r="AC44" s="1448"/>
      <c r="AD44" s="943" t="s">
        <v>669</v>
      </c>
      <c r="AE44" s="1436">
        <v>103875</v>
      </c>
      <c r="AF44" s="943" t="s">
        <v>669</v>
      </c>
      <c r="AG44" s="1392"/>
      <c r="AH44" s="943" t="s">
        <v>669</v>
      </c>
      <c r="AI44" s="1436">
        <f>47822*3</f>
        <v>143466</v>
      </c>
      <c r="AJ44" s="943" t="s">
        <v>669</v>
      </c>
      <c r="AK44" s="1392"/>
      <c r="AL44" s="943" t="s">
        <v>669</v>
      </c>
      <c r="AM44" s="1448"/>
      <c r="AN44" s="943" t="s">
        <v>671</v>
      </c>
      <c r="AO44" s="1392"/>
      <c r="AP44" s="943" t="s">
        <v>671</v>
      </c>
      <c r="AQ44" s="1392"/>
    </row>
    <row r="45" spans="1:43" x14ac:dyDescent="0.35">
      <c r="A45" s="1391"/>
      <c r="B45" s="1434" t="s">
        <v>1750</v>
      </c>
      <c r="C45" s="1384"/>
      <c r="D45" s="646"/>
      <c r="E45" s="1423"/>
      <c r="F45" s="1484"/>
      <c r="G45" s="652"/>
      <c r="H45" s="943" t="s">
        <v>669</v>
      </c>
      <c r="I45" s="1393"/>
      <c r="J45" s="943" t="s">
        <v>669</v>
      </c>
      <c r="K45" s="1436"/>
      <c r="L45" s="943" t="s">
        <v>669</v>
      </c>
      <c r="M45" s="1436"/>
      <c r="N45" s="943" t="s">
        <v>669</v>
      </c>
      <c r="O45" s="1393"/>
      <c r="P45" s="943" t="s">
        <v>669</v>
      </c>
      <c r="Q45" s="1436">
        <f>8650</f>
        <v>8650</v>
      </c>
      <c r="R45" s="943" t="s">
        <v>669</v>
      </c>
      <c r="S45" s="1436">
        <f>8650</f>
        <v>8650</v>
      </c>
      <c r="T45" s="943" t="s">
        <v>669</v>
      </c>
      <c r="U45" s="1436"/>
      <c r="V45" s="943" t="s">
        <v>669</v>
      </c>
      <c r="W45" s="1436">
        <v>11000</v>
      </c>
      <c r="X45" s="943" t="s">
        <v>669</v>
      </c>
      <c r="Y45" s="1436"/>
      <c r="Z45" s="943" t="s">
        <v>669</v>
      </c>
      <c r="AA45" s="1436"/>
      <c r="AB45" s="943" t="s">
        <v>669</v>
      </c>
      <c r="AC45" s="1448"/>
      <c r="AD45" s="943" t="s">
        <v>669</v>
      </c>
      <c r="AE45" s="1436">
        <v>9160</v>
      </c>
      <c r="AF45" s="943" t="s">
        <v>669</v>
      </c>
      <c r="AG45" s="1392"/>
      <c r="AH45" s="943" t="s">
        <v>669</v>
      </c>
      <c r="AI45" s="1436">
        <f>11461</f>
        <v>11461</v>
      </c>
      <c r="AJ45" s="943" t="s">
        <v>669</v>
      </c>
      <c r="AK45" s="1392"/>
      <c r="AL45" s="943" t="s">
        <v>669</v>
      </c>
      <c r="AM45" s="1448"/>
      <c r="AN45" s="943" t="s">
        <v>671</v>
      </c>
      <c r="AO45" s="1392"/>
      <c r="AP45" s="943" t="s">
        <v>671</v>
      </c>
      <c r="AQ45" s="1392"/>
    </row>
    <row r="46" spans="1:43" x14ac:dyDescent="0.35">
      <c r="A46" s="1391"/>
      <c r="B46" s="1434" t="s">
        <v>1751</v>
      </c>
      <c r="C46" s="1384"/>
      <c r="D46" s="646">
        <v>1532</v>
      </c>
      <c r="E46" s="1423" t="s">
        <v>28</v>
      </c>
      <c r="F46" s="1484">
        <v>40</v>
      </c>
      <c r="G46" s="652">
        <f>F46*D46</f>
        <v>61280</v>
      </c>
      <c r="H46" s="943" t="s">
        <v>669</v>
      </c>
      <c r="I46" s="1393"/>
      <c r="J46" s="943" t="s">
        <v>669</v>
      </c>
      <c r="K46" s="1436"/>
      <c r="L46" s="943" t="s">
        <v>669</v>
      </c>
      <c r="M46" s="1436"/>
      <c r="N46" s="943" t="s">
        <v>669</v>
      </c>
      <c r="O46" s="1393"/>
      <c r="P46" s="943" t="s">
        <v>669</v>
      </c>
      <c r="Q46" s="1436">
        <v>26710</v>
      </c>
      <c r="R46" s="943" t="s">
        <v>669</v>
      </c>
      <c r="S46" s="1436">
        <v>26710</v>
      </c>
      <c r="T46" s="943" t="s">
        <v>669</v>
      </c>
      <c r="U46" s="1436"/>
      <c r="V46" s="943" t="s">
        <v>669</v>
      </c>
      <c r="W46" s="1436">
        <v>32500</v>
      </c>
      <c r="X46" s="943" t="s">
        <v>669</v>
      </c>
      <c r="Y46" s="1436"/>
      <c r="Z46" s="943" t="s">
        <v>669</v>
      </c>
      <c r="AA46" s="1436"/>
      <c r="AB46" s="943" t="s">
        <v>669</v>
      </c>
      <c r="AC46" s="1448"/>
      <c r="AD46" s="943" t="s">
        <v>669</v>
      </c>
      <c r="AE46" s="1436">
        <v>23840</v>
      </c>
      <c r="AF46" s="943" t="s">
        <v>669</v>
      </c>
      <c r="AG46" s="1392"/>
      <c r="AH46" s="943" t="s">
        <v>669</v>
      </c>
      <c r="AI46" s="1436">
        <f>29811</f>
        <v>29811</v>
      </c>
      <c r="AJ46" s="943" t="s">
        <v>669</v>
      </c>
      <c r="AK46" s="1392"/>
      <c r="AL46" s="943" t="s">
        <v>669</v>
      </c>
      <c r="AM46" s="1448"/>
      <c r="AN46" s="943" t="s">
        <v>671</v>
      </c>
      <c r="AO46" s="1392"/>
      <c r="AP46" s="943" t="s">
        <v>671</v>
      </c>
      <c r="AQ46" s="1392"/>
    </row>
    <row r="47" spans="1:43" x14ac:dyDescent="0.35">
      <c r="A47" s="1391"/>
      <c r="B47" s="1434"/>
      <c r="C47" s="1384"/>
      <c r="D47" s="646"/>
      <c r="E47" s="1423"/>
      <c r="F47" s="1484"/>
      <c r="G47" s="1392"/>
      <c r="H47" s="943"/>
      <c r="I47" s="1392"/>
      <c r="J47" s="943"/>
      <c r="K47" s="1392"/>
      <c r="L47" s="943"/>
      <c r="M47" s="1435"/>
      <c r="N47" s="943"/>
      <c r="O47" s="1393"/>
      <c r="P47" s="943"/>
      <c r="Q47" s="1435"/>
      <c r="R47" s="943"/>
      <c r="S47" s="1435"/>
      <c r="T47" s="1392"/>
      <c r="U47" s="1392"/>
      <c r="V47" s="1392"/>
      <c r="W47" s="1392"/>
      <c r="X47" s="1392"/>
      <c r="Y47" s="1392"/>
      <c r="Z47" s="943"/>
      <c r="AA47" s="1393"/>
      <c r="AB47" s="1448"/>
      <c r="AC47" s="1448"/>
      <c r="AD47" s="943"/>
      <c r="AE47" s="1393"/>
      <c r="AF47" s="943"/>
      <c r="AG47" s="1392"/>
      <c r="AH47" s="943"/>
      <c r="AI47" s="1393"/>
      <c r="AJ47" s="943"/>
      <c r="AK47" s="1392"/>
      <c r="AL47" s="943"/>
      <c r="AM47" s="1448"/>
      <c r="AN47" s="943"/>
      <c r="AO47" s="1392"/>
      <c r="AP47" s="943"/>
      <c r="AQ47" s="1392"/>
    </row>
    <row r="48" spans="1:43" x14ac:dyDescent="0.35">
      <c r="A48" s="1391"/>
      <c r="B48" s="1434" t="s">
        <v>1752</v>
      </c>
      <c r="C48" s="1384"/>
      <c r="D48" s="646"/>
      <c r="E48" s="1423"/>
      <c r="F48" s="1484"/>
      <c r="G48" s="652"/>
      <c r="H48" s="943" t="s">
        <v>669</v>
      </c>
      <c r="I48" s="1393"/>
      <c r="J48" s="943" t="s">
        <v>669</v>
      </c>
      <c r="K48" s="1392"/>
      <c r="L48" s="943" t="s">
        <v>669</v>
      </c>
      <c r="M48" s="1436"/>
      <c r="N48" s="943" t="s">
        <v>669</v>
      </c>
      <c r="O48" s="1393"/>
      <c r="P48" s="943" t="s">
        <v>669</v>
      </c>
      <c r="Q48" s="1436"/>
      <c r="R48" s="943" t="s">
        <v>669</v>
      </c>
      <c r="S48" s="1436"/>
      <c r="T48" s="943" t="s">
        <v>669</v>
      </c>
      <c r="U48" s="1392"/>
      <c r="V48" s="943" t="s">
        <v>669</v>
      </c>
      <c r="W48" s="1392"/>
      <c r="X48" s="943" t="s">
        <v>669</v>
      </c>
      <c r="Y48" s="1392"/>
      <c r="Z48" s="943" t="s">
        <v>669</v>
      </c>
      <c r="AA48" s="1393"/>
      <c r="AB48" s="943" t="s">
        <v>669</v>
      </c>
      <c r="AC48" s="1448"/>
      <c r="AD48" s="943" t="s">
        <v>669</v>
      </c>
      <c r="AE48" s="1393"/>
      <c r="AF48" s="943" t="s">
        <v>669</v>
      </c>
      <c r="AG48" s="1392"/>
      <c r="AH48" s="943" t="s">
        <v>669</v>
      </c>
      <c r="AI48" s="1393"/>
      <c r="AJ48" s="943" t="s">
        <v>669</v>
      </c>
      <c r="AK48" s="1392"/>
      <c r="AL48" s="943" t="s">
        <v>669</v>
      </c>
      <c r="AM48" s="1448"/>
      <c r="AN48" s="943" t="s">
        <v>671</v>
      </c>
      <c r="AO48" s="1392"/>
      <c r="AP48" s="943" t="s">
        <v>671</v>
      </c>
      <c r="AQ48" s="1392"/>
    </row>
    <row r="49" spans="1:43" ht="32.25" customHeight="1" x14ac:dyDescent="0.35">
      <c r="A49" s="1391"/>
      <c r="B49" s="1516" t="s">
        <v>1753</v>
      </c>
      <c r="C49" s="1384"/>
      <c r="D49" s="646"/>
      <c r="E49" s="1423"/>
      <c r="F49" s="1484"/>
      <c r="G49" s="652"/>
      <c r="H49" s="943" t="s">
        <v>669</v>
      </c>
      <c r="I49" s="1393"/>
      <c r="J49" s="943" t="s">
        <v>669</v>
      </c>
      <c r="K49" s="1392"/>
      <c r="L49" s="943" t="s">
        <v>669</v>
      </c>
      <c r="M49" s="1436"/>
      <c r="N49" s="943" t="s">
        <v>669</v>
      </c>
      <c r="O49" s="1393"/>
      <c r="P49" s="943" t="s">
        <v>669</v>
      </c>
      <c r="Q49" s="1436"/>
      <c r="R49" s="943" t="s">
        <v>669</v>
      </c>
      <c r="S49" s="1436"/>
      <c r="T49" s="943" t="s">
        <v>669</v>
      </c>
      <c r="U49" s="1392"/>
      <c r="V49" s="943" t="s">
        <v>669</v>
      </c>
      <c r="W49" s="1392"/>
      <c r="X49" s="943" t="s">
        <v>669</v>
      </c>
      <c r="Y49" s="1392"/>
      <c r="Z49" s="943" t="s">
        <v>669</v>
      </c>
      <c r="AA49" s="1517"/>
      <c r="AB49" s="943" t="s">
        <v>669</v>
      </c>
      <c r="AC49" s="1435"/>
      <c r="AD49" s="943" t="s">
        <v>671</v>
      </c>
      <c r="AE49" s="1517" t="s">
        <v>1754</v>
      </c>
      <c r="AF49" s="943" t="s">
        <v>669</v>
      </c>
      <c r="AG49" s="1392"/>
      <c r="AH49" s="943" t="s">
        <v>669</v>
      </c>
      <c r="AI49" s="1393"/>
      <c r="AJ49" s="943" t="s">
        <v>669</v>
      </c>
      <c r="AK49" s="1392"/>
      <c r="AL49" s="943" t="s">
        <v>669</v>
      </c>
      <c r="AM49" s="1435"/>
      <c r="AN49" s="943" t="s">
        <v>671</v>
      </c>
      <c r="AO49" s="1392"/>
      <c r="AP49" s="943" t="s">
        <v>671</v>
      </c>
      <c r="AQ49" s="1392"/>
    </row>
    <row r="50" spans="1:43" ht="32.25" customHeight="1" x14ac:dyDescent="0.35">
      <c r="A50" s="1391"/>
      <c r="B50" s="1516" t="s">
        <v>1755</v>
      </c>
      <c r="C50" s="1384"/>
      <c r="D50" s="646"/>
      <c r="E50" s="1423"/>
      <c r="F50" s="1484"/>
      <c r="G50" s="652"/>
      <c r="H50" s="943" t="s">
        <v>669</v>
      </c>
      <c r="I50" s="1518">
        <f>35780</f>
        <v>35780</v>
      </c>
      <c r="J50" s="1101" t="s">
        <v>669</v>
      </c>
      <c r="K50" s="1519"/>
      <c r="L50" s="943" t="s">
        <v>669</v>
      </c>
      <c r="M50" s="1436"/>
      <c r="N50" s="943" t="s">
        <v>669</v>
      </c>
      <c r="O50" s="1518">
        <f>35780</f>
        <v>35780</v>
      </c>
      <c r="P50" s="943" t="s">
        <v>669</v>
      </c>
      <c r="Q50" s="1436"/>
      <c r="R50" s="943" t="s">
        <v>669</v>
      </c>
      <c r="S50" s="1436"/>
      <c r="T50" s="943" t="s">
        <v>669</v>
      </c>
      <c r="U50" s="1392"/>
      <c r="V50" s="943" t="s">
        <v>669</v>
      </c>
      <c r="W50" s="1392"/>
      <c r="X50" s="1101" t="s">
        <v>669</v>
      </c>
      <c r="Y50" s="1519"/>
      <c r="Z50" s="943" t="s">
        <v>669</v>
      </c>
      <c r="AA50" s="1517"/>
      <c r="AB50" s="1101" t="s">
        <v>654</v>
      </c>
      <c r="AC50" s="1520">
        <f>$I$50</f>
        <v>35780</v>
      </c>
      <c r="AD50" s="943" t="s">
        <v>669</v>
      </c>
      <c r="AE50" s="1517"/>
      <c r="AF50" s="943" t="s">
        <v>1613</v>
      </c>
      <c r="AG50" s="1392"/>
      <c r="AH50" s="943" t="s">
        <v>669</v>
      </c>
      <c r="AI50" s="1393"/>
      <c r="AJ50" s="943" t="s">
        <v>669</v>
      </c>
      <c r="AK50" s="1392"/>
      <c r="AL50" s="943" t="s">
        <v>669</v>
      </c>
      <c r="AM50" s="1435"/>
      <c r="AN50" s="943"/>
      <c r="AO50" s="1392"/>
      <c r="AP50" s="943"/>
      <c r="AQ50" s="1392"/>
    </row>
    <row r="51" spans="1:43" ht="20.25" customHeight="1" x14ac:dyDescent="0.35">
      <c r="A51" s="1391"/>
      <c r="B51" s="1439" t="s">
        <v>1756</v>
      </c>
      <c r="C51" s="1384"/>
      <c r="D51" s="646"/>
      <c r="E51" s="1423"/>
      <c r="F51" s="1484"/>
      <c r="G51" s="652"/>
      <c r="H51" s="943" t="s">
        <v>669</v>
      </c>
      <c r="I51" s="1393"/>
      <c r="J51" s="943" t="s">
        <v>669</v>
      </c>
      <c r="K51" s="1392"/>
      <c r="L51" s="943" t="s">
        <v>669</v>
      </c>
      <c r="M51" s="1436"/>
      <c r="N51" s="943" t="s">
        <v>669</v>
      </c>
      <c r="O51" s="1393"/>
      <c r="P51" s="943" t="s">
        <v>669</v>
      </c>
      <c r="Q51" s="1436"/>
      <c r="R51" s="943" t="s">
        <v>669</v>
      </c>
      <c r="S51" s="1436"/>
      <c r="T51" s="943" t="s">
        <v>669</v>
      </c>
      <c r="U51" s="1392"/>
      <c r="V51" s="943" t="s">
        <v>669</v>
      </c>
      <c r="W51" s="1392"/>
      <c r="X51" s="943" t="s">
        <v>669</v>
      </c>
      <c r="Y51" s="1392"/>
      <c r="Z51" s="943" t="s">
        <v>669</v>
      </c>
      <c r="AA51" s="1393"/>
      <c r="AB51" s="943" t="s">
        <v>669</v>
      </c>
      <c r="AC51" s="1435" t="s">
        <v>1757</v>
      </c>
      <c r="AD51" s="943" t="s">
        <v>669</v>
      </c>
      <c r="AE51" s="1393"/>
      <c r="AF51" s="943" t="s">
        <v>669</v>
      </c>
      <c r="AG51" s="1392"/>
      <c r="AH51" s="943" t="s">
        <v>669</v>
      </c>
      <c r="AI51" s="1393"/>
      <c r="AJ51" s="943" t="s">
        <v>669</v>
      </c>
      <c r="AK51" s="1392"/>
      <c r="AL51" s="943" t="s">
        <v>669</v>
      </c>
      <c r="AM51" s="1436"/>
      <c r="AN51" s="943" t="s">
        <v>671</v>
      </c>
      <c r="AO51" s="1392"/>
      <c r="AP51" s="943" t="s">
        <v>671</v>
      </c>
      <c r="AQ51" s="1392"/>
    </row>
    <row r="52" spans="1:43" ht="20.25" customHeight="1" x14ac:dyDescent="0.35">
      <c r="A52" s="1391"/>
      <c r="B52" s="1516" t="s">
        <v>1758</v>
      </c>
      <c r="C52" s="1384"/>
      <c r="D52" s="646"/>
      <c r="E52" s="1423"/>
      <c r="F52" s="1484"/>
      <c r="G52" s="652"/>
      <c r="H52" s="1101" t="s">
        <v>669</v>
      </c>
      <c r="I52" s="1436">
        <v>372725</v>
      </c>
      <c r="J52" s="943" t="s">
        <v>669</v>
      </c>
      <c r="K52" s="1392"/>
      <c r="L52" s="943" t="s">
        <v>669</v>
      </c>
      <c r="M52" s="1436"/>
      <c r="N52" s="1101" t="s">
        <v>669</v>
      </c>
      <c r="O52" s="1436">
        <v>176550</v>
      </c>
      <c r="P52" s="943" t="s">
        <v>669</v>
      </c>
      <c r="Q52" s="1436">
        <v>149590</v>
      </c>
      <c r="R52" s="943" t="s">
        <v>669</v>
      </c>
      <c r="S52" s="1436">
        <v>149590</v>
      </c>
      <c r="T52" s="943" t="s">
        <v>669</v>
      </c>
      <c r="U52" s="1392"/>
      <c r="V52" s="943" t="s">
        <v>669</v>
      </c>
      <c r="W52" s="1392"/>
      <c r="X52" s="943" t="s">
        <v>669</v>
      </c>
      <c r="Y52" s="1392"/>
      <c r="Z52" s="943" t="s">
        <v>669</v>
      </c>
      <c r="AA52" s="1517"/>
      <c r="AB52" s="943" t="s">
        <v>669</v>
      </c>
      <c r="AC52" s="1436"/>
      <c r="AD52" s="1101" t="s">
        <v>654</v>
      </c>
      <c r="AE52" s="1514">
        <f>Q52</f>
        <v>149590</v>
      </c>
      <c r="AF52" s="943" t="s">
        <v>669</v>
      </c>
      <c r="AG52" s="1392"/>
      <c r="AH52" s="943" t="s">
        <v>669</v>
      </c>
      <c r="AI52" s="1393"/>
      <c r="AJ52" s="943" t="s">
        <v>669</v>
      </c>
      <c r="AK52" s="1392"/>
      <c r="AL52" s="943" t="s">
        <v>669</v>
      </c>
      <c r="AM52" s="1436">
        <v>165600</v>
      </c>
      <c r="AN52" s="943" t="s">
        <v>669</v>
      </c>
      <c r="AO52" s="1392"/>
      <c r="AP52" s="943" t="s">
        <v>669</v>
      </c>
      <c r="AQ52" s="1392"/>
    </row>
    <row r="53" spans="1:43" x14ac:dyDescent="0.35">
      <c r="A53" s="1391"/>
      <c r="B53" s="1439" t="s">
        <v>1759</v>
      </c>
      <c r="C53" s="1384"/>
      <c r="D53" s="646"/>
      <c r="E53" s="1423"/>
      <c r="F53" s="1484"/>
      <c r="G53" s="652"/>
      <c r="H53" s="1101" t="s">
        <v>669</v>
      </c>
      <c r="I53" s="1435"/>
      <c r="J53" s="943" t="s">
        <v>669</v>
      </c>
      <c r="K53" s="1436"/>
      <c r="L53" s="943" t="s">
        <v>669</v>
      </c>
      <c r="M53" s="1436"/>
      <c r="N53" s="1101" t="s">
        <v>669</v>
      </c>
      <c r="O53" s="1435"/>
      <c r="P53" s="943" t="s">
        <v>669</v>
      </c>
      <c r="Q53" s="1436"/>
      <c r="R53" s="943" t="s">
        <v>669</v>
      </c>
      <c r="S53" s="1436"/>
      <c r="T53" s="943" t="s">
        <v>669</v>
      </c>
      <c r="U53" s="1436"/>
      <c r="V53" s="943" t="s">
        <v>669</v>
      </c>
      <c r="W53" s="1436"/>
      <c r="X53" s="943" t="s">
        <v>669</v>
      </c>
      <c r="Y53" s="1436"/>
      <c r="Z53" s="943" t="s">
        <v>669</v>
      </c>
      <c r="AA53" s="1435"/>
      <c r="AB53" s="943" t="s">
        <v>669</v>
      </c>
      <c r="AC53" s="1435"/>
      <c r="AD53" s="1101" t="s">
        <v>654</v>
      </c>
      <c r="AE53" s="1435"/>
      <c r="AF53" s="943" t="s">
        <v>669</v>
      </c>
      <c r="AG53" s="1436"/>
      <c r="AH53" s="943" t="s">
        <v>669</v>
      </c>
      <c r="AI53" s="1393"/>
      <c r="AJ53" s="943" t="s">
        <v>669</v>
      </c>
      <c r="AK53" s="1392"/>
      <c r="AL53" s="943" t="s">
        <v>669</v>
      </c>
      <c r="AM53" s="1435"/>
      <c r="AN53" s="943" t="s">
        <v>669</v>
      </c>
      <c r="AO53" s="1392"/>
      <c r="AP53" s="943" t="s">
        <v>669</v>
      </c>
      <c r="AQ53" s="1392"/>
    </row>
    <row r="54" spans="1:43" x14ac:dyDescent="0.35">
      <c r="A54" s="1391"/>
      <c r="B54" s="1439" t="s">
        <v>1760</v>
      </c>
      <c r="C54" s="1384"/>
      <c r="D54" s="646"/>
      <c r="E54" s="1423"/>
      <c r="F54" s="1484"/>
      <c r="G54" s="652"/>
      <c r="H54" s="943" t="s">
        <v>669</v>
      </c>
      <c r="I54" s="1393"/>
      <c r="J54" s="943" t="s">
        <v>669</v>
      </c>
      <c r="K54" s="1392"/>
      <c r="L54" s="943" t="s">
        <v>669</v>
      </c>
      <c r="M54" s="1436"/>
      <c r="N54" s="943" t="s">
        <v>669</v>
      </c>
      <c r="O54" s="1393"/>
      <c r="P54" s="943" t="s">
        <v>669</v>
      </c>
      <c r="Q54" s="1436"/>
      <c r="R54" s="943" t="s">
        <v>669</v>
      </c>
      <c r="S54" s="1436"/>
      <c r="T54" s="943" t="s">
        <v>669</v>
      </c>
      <c r="U54" s="1392"/>
      <c r="V54" s="943" t="s">
        <v>669</v>
      </c>
      <c r="W54" s="1392"/>
      <c r="X54" s="943" t="s">
        <v>669</v>
      </c>
      <c r="Y54" s="1392"/>
      <c r="Z54" s="943" t="s">
        <v>669</v>
      </c>
      <c r="AA54" s="1393"/>
      <c r="AB54" s="943" t="s">
        <v>669</v>
      </c>
      <c r="AC54" s="1435"/>
      <c r="AD54" s="943" t="s">
        <v>669</v>
      </c>
      <c r="AE54" s="1393"/>
      <c r="AF54" s="943" t="s">
        <v>669</v>
      </c>
      <c r="AG54" s="1392"/>
      <c r="AH54" s="943" t="s">
        <v>669</v>
      </c>
      <c r="AI54" s="1393"/>
      <c r="AJ54" s="943" t="s">
        <v>669</v>
      </c>
      <c r="AK54" s="1392"/>
      <c r="AL54" s="943" t="s">
        <v>669</v>
      </c>
      <c r="AM54" s="1435"/>
      <c r="AN54" s="943" t="s">
        <v>671</v>
      </c>
      <c r="AO54" s="1392"/>
      <c r="AP54" s="943" t="s">
        <v>671</v>
      </c>
      <c r="AQ54" s="1392"/>
    </row>
    <row r="55" spans="1:43" x14ac:dyDescent="0.35">
      <c r="A55" s="1391"/>
      <c r="B55" s="1439" t="s">
        <v>1761</v>
      </c>
      <c r="C55" s="1384"/>
      <c r="D55" s="646"/>
      <c r="E55" s="1423"/>
      <c r="F55" s="1484"/>
      <c r="G55" s="652"/>
      <c r="H55" s="943" t="s">
        <v>669</v>
      </c>
      <c r="I55" s="1393"/>
      <c r="J55" s="943" t="s">
        <v>669</v>
      </c>
      <c r="K55" s="1392"/>
      <c r="L55" s="943" t="s">
        <v>669</v>
      </c>
      <c r="M55" s="1436"/>
      <c r="N55" s="943" t="s">
        <v>669</v>
      </c>
      <c r="O55" s="1393"/>
      <c r="P55" s="943" t="s">
        <v>669</v>
      </c>
      <c r="Q55" s="1436"/>
      <c r="R55" s="943" t="s">
        <v>669</v>
      </c>
      <c r="S55" s="1436"/>
      <c r="T55" s="943" t="s">
        <v>669</v>
      </c>
      <c r="U55" s="1392"/>
      <c r="V55" s="943" t="s">
        <v>669</v>
      </c>
      <c r="W55" s="1392"/>
      <c r="X55" s="943" t="s">
        <v>669</v>
      </c>
      <c r="Y55" s="1392"/>
      <c r="Z55" s="943" t="s">
        <v>669</v>
      </c>
      <c r="AA55" s="1393"/>
      <c r="AB55" s="943" t="s">
        <v>669</v>
      </c>
      <c r="AC55" s="1435"/>
      <c r="AD55" s="943" t="s">
        <v>669</v>
      </c>
      <c r="AE55" s="1393"/>
      <c r="AF55" s="943" t="s">
        <v>669</v>
      </c>
      <c r="AG55" s="1392"/>
      <c r="AH55" s="943" t="s">
        <v>669</v>
      </c>
      <c r="AI55" s="1393"/>
      <c r="AJ55" s="943" t="s">
        <v>669</v>
      </c>
      <c r="AK55" s="1392"/>
      <c r="AL55" s="943" t="s">
        <v>669</v>
      </c>
      <c r="AM55" s="1435"/>
      <c r="AN55" s="943" t="s">
        <v>671</v>
      </c>
      <c r="AO55" s="1392"/>
      <c r="AP55" s="943" t="s">
        <v>671</v>
      </c>
      <c r="AQ55" s="1392"/>
    </row>
    <row r="56" spans="1:43" x14ac:dyDescent="0.35">
      <c r="A56" s="1391"/>
      <c r="B56" s="1439" t="s">
        <v>1762</v>
      </c>
      <c r="C56" s="1384"/>
      <c r="D56" s="646"/>
      <c r="E56" s="1423"/>
      <c r="F56" s="1484"/>
      <c r="G56" s="652"/>
      <c r="H56" s="943" t="s">
        <v>669</v>
      </c>
      <c r="I56" s="1393"/>
      <c r="J56" s="943" t="s">
        <v>669</v>
      </c>
      <c r="K56" s="1392"/>
      <c r="L56" s="943" t="s">
        <v>669</v>
      </c>
      <c r="M56" s="1436"/>
      <c r="N56" s="943" t="s">
        <v>669</v>
      </c>
      <c r="O56" s="1393"/>
      <c r="P56" s="943" t="s">
        <v>669</v>
      </c>
      <c r="Q56" s="1436"/>
      <c r="R56" s="943" t="s">
        <v>669</v>
      </c>
      <c r="S56" s="1436"/>
      <c r="T56" s="943" t="s">
        <v>669</v>
      </c>
      <c r="U56" s="1392"/>
      <c r="V56" s="943" t="s">
        <v>669</v>
      </c>
      <c r="W56" s="1392"/>
      <c r="X56" s="943" t="s">
        <v>669</v>
      </c>
      <c r="Y56" s="1392"/>
      <c r="Z56" s="943" t="s">
        <v>669</v>
      </c>
      <c r="AA56" s="1393"/>
      <c r="AB56" s="943" t="s">
        <v>669</v>
      </c>
      <c r="AC56" s="1435"/>
      <c r="AD56" s="943" t="s">
        <v>669</v>
      </c>
      <c r="AE56" s="1393"/>
      <c r="AF56" s="943" t="s">
        <v>669</v>
      </c>
      <c r="AG56" s="1392"/>
      <c r="AH56" s="943" t="s">
        <v>669</v>
      </c>
      <c r="AI56" s="1393"/>
      <c r="AJ56" s="943" t="s">
        <v>669</v>
      </c>
      <c r="AK56" s="1392"/>
      <c r="AL56" s="943" t="s">
        <v>669</v>
      </c>
      <c r="AM56" s="1435"/>
      <c r="AN56" s="943" t="s">
        <v>671</v>
      </c>
      <c r="AO56" s="1392"/>
      <c r="AP56" s="943" t="s">
        <v>671</v>
      </c>
      <c r="AQ56" s="1392"/>
    </row>
    <row r="57" spans="1:43" x14ac:dyDescent="0.35">
      <c r="A57" s="1391"/>
      <c r="B57" s="1439" t="s">
        <v>1763</v>
      </c>
      <c r="C57" s="1384"/>
      <c r="D57" s="646"/>
      <c r="E57" s="1423"/>
      <c r="F57" s="1484"/>
      <c r="G57" s="652"/>
      <c r="H57" s="943" t="s">
        <v>669</v>
      </c>
      <c r="I57" s="1393"/>
      <c r="J57" s="943" t="s">
        <v>669</v>
      </c>
      <c r="K57" s="1392"/>
      <c r="L57" s="943" t="s">
        <v>669</v>
      </c>
      <c r="M57" s="1436"/>
      <c r="N57" s="943" t="s">
        <v>669</v>
      </c>
      <c r="O57" s="1393"/>
      <c r="P57" s="943" t="s">
        <v>669</v>
      </c>
      <c r="Q57" s="1436"/>
      <c r="R57" s="943" t="s">
        <v>669</v>
      </c>
      <c r="S57" s="1436"/>
      <c r="T57" s="943" t="s">
        <v>669</v>
      </c>
      <c r="U57" s="1392"/>
      <c r="V57" s="943" t="s">
        <v>669</v>
      </c>
      <c r="W57" s="1392"/>
      <c r="X57" s="943" t="s">
        <v>669</v>
      </c>
      <c r="Y57" s="1392"/>
      <c r="Z57" s="943" t="s">
        <v>669</v>
      </c>
      <c r="AA57" s="1393"/>
      <c r="AB57" s="943" t="s">
        <v>669</v>
      </c>
      <c r="AC57" s="1435"/>
      <c r="AD57" s="943" t="s">
        <v>669</v>
      </c>
      <c r="AE57" s="1393"/>
      <c r="AF57" s="943" t="s">
        <v>669</v>
      </c>
      <c r="AG57" s="1392"/>
      <c r="AH57" s="943" t="s">
        <v>669</v>
      </c>
      <c r="AI57" s="1393"/>
      <c r="AJ57" s="943" t="s">
        <v>671</v>
      </c>
      <c r="AK57" s="1392" t="s">
        <v>1764</v>
      </c>
      <c r="AL57" s="943" t="s">
        <v>669</v>
      </c>
      <c r="AM57" s="1435"/>
      <c r="AN57" s="943" t="s">
        <v>671</v>
      </c>
      <c r="AO57" s="1392"/>
      <c r="AP57" s="943" t="s">
        <v>671</v>
      </c>
      <c r="AQ57" s="1392"/>
    </row>
    <row r="58" spans="1:43" x14ac:dyDescent="0.35">
      <c r="A58" s="1391"/>
      <c r="B58" s="1434" t="s">
        <v>1765</v>
      </c>
      <c r="C58" s="1384"/>
      <c r="D58" s="646"/>
      <c r="E58" s="1423"/>
      <c r="F58" s="1484"/>
      <c r="G58" s="652"/>
      <c r="H58" s="943" t="s">
        <v>669</v>
      </c>
      <c r="I58" s="1393"/>
      <c r="J58" s="943" t="s">
        <v>669</v>
      </c>
      <c r="K58" s="1392"/>
      <c r="L58" s="943" t="s">
        <v>669</v>
      </c>
      <c r="M58" s="1436"/>
      <c r="N58" s="943" t="s">
        <v>669</v>
      </c>
      <c r="O58" s="1393"/>
      <c r="P58" s="943" t="s">
        <v>669</v>
      </c>
      <c r="Q58" s="1436"/>
      <c r="R58" s="943" t="s">
        <v>669</v>
      </c>
      <c r="S58" s="1436"/>
      <c r="T58" s="943" t="s">
        <v>669</v>
      </c>
      <c r="U58" s="1392"/>
      <c r="V58" s="943" t="s">
        <v>669</v>
      </c>
      <c r="W58" s="1392"/>
      <c r="X58" s="943" t="s">
        <v>669</v>
      </c>
      <c r="Y58" s="1392"/>
      <c r="Z58" s="943" t="s">
        <v>669</v>
      </c>
      <c r="AA58" s="1393"/>
      <c r="AB58" s="943" t="s">
        <v>669</v>
      </c>
      <c r="AC58" s="1435"/>
      <c r="AD58" s="943" t="s">
        <v>669</v>
      </c>
      <c r="AE58" s="1393" t="s">
        <v>1766</v>
      </c>
      <c r="AF58" s="943" t="s">
        <v>669</v>
      </c>
      <c r="AG58" s="1392"/>
      <c r="AH58" s="943" t="s">
        <v>669</v>
      </c>
      <c r="AI58" s="1393"/>
      <c r="AJ58" s="943" t="s">
        <v>669</v>
      </c>
      <c r="AK58" s="1392"/>
      <c r="AL58" s="943" t="s">
        <v>669</v>
      </c>
      <c r="AM58" s="1435"/>
      <c r="AN58" s="943" t="s">
        <v>671</v>
      </c>
      <c r="AO58" s="1392"/>
      <c r="AP58" s="943" t="s">
        <v>671</v>
      </c>
      <c r="AQ58" s="1392"/>
    </row>
    <row r="59" spans="1:43" x14ac:dyDescent="0.35">
      <c r="A59" s="1391"/>
      <c r="B59" s="1516" t="s">
        <v>1767</v>
      </c>
      <c r="C59" s="1384" t="s">
        <v>1768</v>
      </c>
      <c r="D59" s="646"/>
      <c r="E59" s="1423"/>
      <c r="F59" s="1484"/>
      <c r="G59" s="652"/>
      <c r="H59" s="943" t="s">
        <v>669</v>
      </c>
      <c r="I59" s="1393"/>
      <c r="J59" s="943" t="s">
        <v>669</v>
      </c>
      <c r="K59" s="1392"/>
      <c r="L59" s="943" t="s">
        <v>669</v>
      </c>
      <c r="M59" s="1436"/>
      <c r="N59" s="943" t="s">
        <v>669</v>
      </c>
      <c r="O59" s="1393"/>
      <c r="P59" s="943" t="s">
        <v>669</v>
      </c>
      <c r="Q59" s="1436"/>
      <c r="R59" s="943" t="s">
        <v>669</v>
      </c>
      <c r="S59" s="1436"/>
      <c r="T59" s="943" t="s">
        <v>669</v>
      </c>
      <c r="U59" s="1392"/>
      <c r="V59" s="943" t="s">
        <v>669</v>
      </c>
      <c r="W59" s="1392"/>
      <c r="X59" s="943" t="s">
        <v>669</v>
      </c>
      <c r="Y59" s="1392"/>
      <c r="Z59" s="943" t="s">
        <v>669</v>
      </c>
      <c r="AA59" s="1393"/>
      <c r="AB59" s="943" t="s">
        <v>669</v>
      </c>
      <c r="AC59" s="1435" t="s">
        <v>1769</v>
      </c>
      <c r="AD59" s="943" t="s">
        <v>671</v>
      </c>
      <c r="AE59" s="1393" t="s">
        <v>1770</v>
      </c>
      <c r="AF59" s="943" t="s">
        <v>669</v>
      </c>
      <c r="AG59" s="1392"/>
      <c r="AH59" s="943" t="s">
        <v>669</v>
      </c>
      <c r="AI59" s="1393"/>
      <c r="AJ59" s="943" t="s">
        <v>669</v>
      </c>
      <c r="AK59" s="1392"/>
      <c r="AL59" s="943" t="s">
        <v>669</v>
      </c>
      <c r="AM59" s="1435"/>
      <c r="AN59" s="943" t="s">
        <v>671</v>
      </c>
      <c r="AO59" s="1392"/>
      <c r="AP59" s="943" t="s">
        <v>671</v>
      </c>
      <c r="AQ59" s="1392"/>
    </row>
    <row r="60" spans="1:43" x14ac:dyDescent="0.35">
      <c r="A60" s="1391"/>
      <c r="B60" s="1439" t="s">
        <v>1771</v>
      </c>
      <c r="C60" s="1384"/>
      <c r="D60" s="646"/>
      <c r="E60" s="1423"/>
      <c r="F60" s="1484"/>
      <c r="G60" s="652"/>
      <c r="H60" s="943" t="s">
        <v>669</v>
      </c>
      <c r="I60" s="1393"/>
      <c r="J60" s="943" t="s">
        <v>669</v>
      </c>
      <c r="K60" s="1392"/>
      <c r="L60" s="943" t="s">
        <v>669</v>
      </c>
      <c r="M60" s="1436"/>
      <c r="N60" s="943" t="s">
        <v>669</v>
      </c>
      <c r="O60" s="1393"/>
      <c r="P60" s="943" t="s">
        <v>669</v>
      </c>
      <c r="Q60" s="1436"/>
      <c r="R60" s="943" t="s">
        <v>669</v>
      </c>
      <c r="S60" s="1436"/>
      <c r="T60" s="943" t="s">
        <v>669</v>
      </c>
      <c r="U60" s="1392"/>
      <c r="V60" s="943" t="s">
        <v>669</v>
      </c>
      <c r="W60" s="1392"/>
      <c r="X60" s="943" t="s">
        <v>669</v>
      </c>
      <c r="Y60" s="1392"/>
      <c r="Z60" s="943" t="s">
        <v>669</v>
      </c>
      <c r="AA60" s="1393"/>
      <c r="AB60" s="943" t="s">
        <v>669</v>
      </c>
      <c r="AC60" s="1521"/>
      <c r="AD60" s="943" t="s">
        <v>669</v>
      </c>
      <c r="AE60" s="1393"/>
      <c r="AF60" s="943" t="s">
        <v>1613</v>
      </c>
      <c r="AG60" s="1392"/>
      <c r="AH60" s="943" t="s">
        <v>669</v>
      </c>
      <c r="AI60" s="1393"/>
      <c r="AJ60" s="943" t="s">
        <v>669</v>
      </c>
      <c r="AK60" s="1392"/>
      <c r="AL60" s="1101" t="s">
        <v>654</v>
      </c>
      <c r="AM60" s="1521"/>
      <c r="AN60" s="943" t="s">
        <v>671</v>
      </c>
      <c r="AO60" s="1392"/>
      <c r="AP60" s="943" t="s">
        <v>671</v>
      </c>
      <c r="AQ60" s="1392"/>
    </row>
    <row r="61" spans="1:43" x14ac:dyDescent="0.35">
      <c r="A61" s="1391"/>
      <c r="B61" s="1439" t="s">
        <v>1772</v>
      </c>
      <c r="C61" s="1384"/>
      <c r="D61" s="646"/>
      <c r="E61" s="1423"/>
      <c r="F61" s="1484"/>
      <c r="G61" s="652"/>
      <c r="H61" s="943" t="s">
        <v>669</v>
      </c>
      <c r="I61" s="1393"/>
      <c r="J61" s="943" t="s">
        <v>669</v>
      </c>
      <c r="K61" s="1392"/>
      <c r="L61" s="943" t="s">
        <v>669</v>
      </c>
      <c r="M61" s="1436"/>
      <c r="N61" s="943" t="s">
        <v>669</v>
      </c>
      <c r="O61" s="1393"/>
      <c r="P61" s="943" t="s">
        <v>669</v>
      </c>
      <c r="Q61" s="1436"/>
      <c r="R61" s="943" t="s">
        <v>669</v>
      </c>
      <c r="S61" s="1436"/>
      <c r="T61" s="943" t="s">
        <v>669</v>
      </c>
      <c r="U61" s="1392"/>
      <c r="V61" s="943" t="s">
        <v>669</v>
      </c>
      <c r="W61" s="1392"/>
      <c r="X61" s="943" t="s">
        <v>669</v>
      </c>
      <c r="Y61" s="1392"/>
      <c r="Z61" s="943" t="s">
        <v>669</v>
      </c>
      <c r="AA61" s="1393"/>
      <c r="AB61" s="943" t="s">
        <v>669</v>
      </c>
      <c r="AC61" s="1435"/>
      <c r="AD61" s="943" t="s">
        <v>669</v>
      </c>
      <c r="AE61" s="1393"/>
      <c r="AF61" s="943" t="s">
        <v>669</v>
      </c>
      <c r="AG61" s="1392"/>
      <c r="AH61" s="943" t="s">
        <v>669</v>
      </c>
      <c r="AI61" s="1393"/>
      <c r="AJ61" s="943" t="s">
        <v>669</v>
      </c>
      <c r="AK61" s="1392"/>
      <c r="AL61" s="943" t="s">
        <v>669</v>
      </c>
      <c r="AM61" s="1435"/>
      <c r="AN61" s="943" t="s">
        <v>671</v>
      </c>
      <c r="AO61" s="1392"/>
      <c r="AP61" s="943" t="s">
        <v>671</v>
      </c>
      <c r="AQ61" s="1392"/>
    </row>
    <row r="62" spans="1:43" ht="25" x14ac:dyDescent="0.35">
      <c r="A62" s="1391"/>
      <c r="B62" s="1516" t="s">
        <v>1773</v>
      </c>
      <c r="C62" s="1384" t="s">
        <v>1774</v>
      </c>
      <c r="D62" s="646"/>
      <c r="E62" s="1423"/>
      <c r="F62" s="1484"/>
      <c r="G62" s="652"/>
      <c r="H62" s="943" t="s">
        <v>669</v>
      </c>
      <c r="I62" s="1393"/>
      <c r="J62" s="943" t="s">
        <v>669</v>
      </c>
      <c r="K62" s="1392"/>
      <c r="L62" s="943" t="s">
        <v>669</v>
      </c>
      <c r="M62" s="1436"/>
      <c r="N62" s="943" t="s">
        <v>669</v>
      </c>
      <c r="O62" s="1393"/>
      <c r="P62" s="943" t="s">
        <v>669</v>
      </c>
      <c r="Q62" s="1436"/>
      <c r="R62" s="943" t="s">
        <v>669</v>
      </c>
      <c r="S62" s="1436"/>
      <c r="T62" s="943" t="s">
        <v>669</v>
      </c>
      <c r="U62" s="1392"/>
      <c r="V62" s="943" t="s">
        <v>669</v>
      </c>
      <c r="W62" s="1392"/>
      <c r="X62" s="943" t="s">
        <v>669</v>
      </c>
      <c r="Y62" s="1392"/>
      <c r="Z62" s="943" t="s">
        <v>669</v>
      </c>
      <c r="AA62" s="1435"/>
      <c r="AB62" s="943" t="s">
        <v>669</v>
      </c>
      <c r="AC62" s="1435"/>
      <c r="AD62" s="943" t="s">
        <v>671</v>
      </c>
      <c r="AE62" s="1435" t="s">
        <v>1775</v>
      </c>
      <c r="AF62" s="943" t="s">
        <v>1613</v>
      </c>
      <c r="AG62" s="1392"/>
      <c r="AH62" s="943" t="s">
        <v>669</v>
      </c>
      <c r="AI62" s="1393"/>
      <c r="AJ62" s="943" t="s">
        <v>671</v>
      </c>
      <c r="AK62" s="1392"/>
      <c r="AL62" s="943" t="s">
        <v>671</v>
      </c>
      <c r="AM62" s="1435" t="s">
        <v>1775</v>
      </c>
      <c r="AN62" s="943" t="s">
        <v>671</v>
      </c>
      <c r="AO62" s="1392"/>
      <c r="AP62" s="943" t="s">
        <v>671</v>
      </c>
      <c r="AQ62" s="1392"/>
    </row>
    <row r="63" spans="1:43" x14ac:dyDescent="0.35">
      <c r="A63" s="1391"/>
      <c r="B63" s="1439" t="s">
        <v>1776</v>
      </c>
      <c r="C63" s="1384" t="s">
        <v>1777</v>
      </c>
      <c r="D63" s="646"/>
      <c r="E63" s="1423"/>
      <c r="F63" s="1484"/>
      <c r="G63" s="652"/>
      <c r="H63" s="943" t="s">
        <v>671</v>
      </c>
      <c r="I63" s="1518"/>
      <c r="J63" s="943" t="s">
        <v>669</v>
      </c>
      <c r="K63" s="1392"/>
      <c r="L63" s="943" t="s">
        <v>669</v>
      </c>
      <c r="M63" s="1435"/>
      <c r="N63" s="943" t="s">
        <v>671</v>
      </c>
      <c r="O63" s="1393"/>
      <c r="P63" s="943" t="s">
        <v>669</v>
      </c>
      <c r="Q63" s="1435"/>
      <c r="R63" s="943" t="s">
        <v>669</v>
      </c>
      <c r="S63" s="1435"/>
      <c r="T63" s="943" t="s">
        <v>671</v>
      </c>
      <c r="U63" s="1392"/>
      <c r="V63" s="943" t="s">
        <v>671</v>
      </c>
      <c r="W63" s="1392"/>
      <c r="X63" s="943" t="s">
        <v>669</v>
      </c>
      <c r="Y63" s="1392"/>
      <c r="Z63" s="943" t="s">
        <v>669</v>
      </c>
      <c r="AA63" s="1393"/>
      <c r="AB63" s="943" t="s">
        <v>669</v>
      </c>
      <c r="AC63" s="1435"/>
      <c r="AD63" s="943" t="s">
        <v>669</v>
      </c>
      <c r="AE63" s="1393"/>
      <c r="AF63" s="943" t="s">
        <v>1613</v>
      </c>
      <c r="AG63" s="1392"/>
      <c r="AH63" s="943" t="s">
        <v>669</v>
      </c>
      <c r="AI63" s="1393"/>
      <c r="AJ63" s="943" t="s">
        <v>671</v>
      </c>
      <c r="AK63" s="1392"/>
      <c r="AL63" s="943" t="s">
        <v>671</v>
      </c>
      <c r="AM63" s="1435"/>
      <c r="AN63" s="943" t="s">
        <v>671</v>
      </c>
      <c r="AO63" s="1392"/>
      <c r="AP63" s="943" t="s">
        <v>671</v>
      </c>
      <c r="AQ63" s="1392"/>
    </row>
    <row r="64" spans="1:43" ht="25" x14ac:dyDescent="0.35">
      <c r="A64" s="1391"/>
      <c r="B64" s="1439" t="s">
        <v>1778</v>
      </c>
      <c r="C64" s="1384"/>
      <c r="D64" s="646"/>
      <c r="E64" s="1423"/>
      <c r="F64" s="1484"/>
      <c r="G64" s="652"/>
      <c r="H64" s="943" t="s">
        <v>669</v>
      </c>
      <c r="I64" s="1518">
        <v>15325</v>
      </c>
      <c r="J64" s="1101" t="s">
        <v>671</v>
      </c>
      <c r="K64" s="1392"/>
      <c r="L64" s="943" t="s">
        <v>671</v>
      </c>
      <c r="M64" s="1435"/>
      <c r="N64" s="943" t="s">
        <v>669</v>
      </c>
      <c r="O64" s="1518">
        <v>-14180</v>
      </c>
      <c r="P64" s="943" t="s">
        <v>669</v>
      </c>
      <c r="Q64" s="1435"/>
      <c r="R64" s="943" t="s">
        <v>669</v>
      </c>
      <c r="S64" s="1435"/>
      <c r="T64" s="943" t="s">
        <v>1613</v>
      </c>
      <c r="U64" s="1392"/>
      <c r="V64" s="943" t="s">
        <v>1613</v>
      </c>
      <c r="W64" s="1392"/>
      <c r="X64" s="1101" t="s">
        <v>654</v>
      </c>
      <c r="Y64" s="1515">
        <f>I64</f>
        <v>15325</v>
      </c>
      <c r="Z64" s="943" t="s">
        <v>669</v>
      </c>
      <c r="AA64" s="1435"/>
      <c r="AB64" s="943" t="s">
        <v>671</v>
      </c>
      <c r="AC64" s="1435"/>
      <c r="AD64" s="943"/>
      <c r="AE64" s="1393"/>
      <c r="AF64" s="943"/>
      <c r="AG64" s="1392"/>
      <c r="AH64" s="943"/>
      <c r="AI64" s="1393"/>
      <c r="AJ64" s="943"/>
      <c r="AK64" s="1392"/>
      <c r="AL64" s="943"/>
      <c r="AM64" s="1435"/>
      <c r="AN64" s="943"/>
      <c r="AO64" s="1392"/>
      <c r="AP64" s="943"/>
      <c r="AQ64" s="1392"/>
    </row>
    <row r="65" spans="1:43" x14ac:dyDescent="0.35">
      <c r="A65" s="1391"/>
      <c r="B65" s="1439" t="s">
        <v>1761</v>
      </c>
      <c r="C65" s="1384"/>
      <c r="D65" s="646"/>
      <c r="E65" s="1423"/>
      <c r="F65" s="1484"/>
      <c r="G65" s="652"/>
      <c r="H65" s="943" t="s">
        <v>669</v>
      </c>
      <c r="I65" s="1393"/>
      <c r="J65" s="943" t="s">
        <v>669</v>
      </c>
      <c r="K65" s="1392"/>
      <c r="L65" s="943" t="s">
        <v>669</v>
      </c>
      <c r="M65" s="1435"/>
      <c r="N65" s="943" t="s">
        <v>669</v>
      </c>
      <c r="O65" s="1393"/>
      <c r="P65" s="943" t="s">
        <v>669</v>
      </c>
      <c r="Q65" s="1435"/>
      <c r="R65" s="943" t="s">
        <v>669</v>
      </c>
      <c r="S65" s="1435"/>
      <c r="T65" s="943" t="s">
        <v>669</v>
      </c>
      <c r="U65" s="1392"/>
      <c r="V65" s="943" t="s">
        <v>669</v>
      </c>
      <c r="W65" s="1392"/>
      <c r="X65" s="943" t="s">
        <v>669</v>
      </c>
      <c r="Y65" s="1392"/>
      <c r="Z65" s="943" t="s">
        <v>669</v>
      </c>
      <c r="AA65" s="1393"/>
      <c r="AB65" s="943" t="s">
        <v>669</v>
      </c>
      <c r="AC65" s="1435"/>
      <c r="AD65" s="943" t="s">
        <v>669</v>
      </c>
      <c r="AE65" s="1393"/>
      <c r="AF65" s="943" t="s">
        <v>669</v>
      </c>
      <c r="AG65" s="1392"/>
      <c r="AH65" s="943" t="s">
        <v>669</v>
      </c>
      <c r="AI65" s="1393"/>
      <c r="AJ65" s="943" t="s">
        <v>669</v>
      </c>
      <c r="AK65" s="1392"/>
      <c r="AL65" s="943" t="s">
        <v>669</v>
      </c>
      <c r="AM65" s="1435"/>
      <c r="AN65" s="943" t="s">
        <v>671</v>
      </c>
      <c r="AO65" s="1392"/>
      <c r="AP65" s="943" t="s">
        <v>671</v>
      </c>
      <c r="AQ65" s="1392"/>
    </row>
    <row r="66" spans="1:43" x14ac:dyDescent="0.35">
      <c r="A66" s="1391"/>
      <c r="B66" s="1439" t="s">
        <v>1779</v>
      </c>
      <c r="C66" s="1384"/>
      <c r="D66" s="646"/>
      <c r="E66" s="1423"/>
      <c r="F66" s="1484"/>
      <c r="G66" s="652"/>
      <c r="H66" s="943" t="s">
        <v>669</v>
      </c>
      <c r="I66" s="1393"/>
      <c r="J66" s="943" t="s">
        <v>669</v>
      </c>
      <c r="K66" s="1392"/>
      <c r="L66" s="943" t="s">
        <v>669</v>
      </c>
      <c r="M66" s="1435"/>
      <c r="N66" s="943" t="s">
        <v>669</v>
      </c>
      <c r="O66" s="1393"/>
      <c r="P66" s="943" t="s">
        <v>669</v>
      </c>
      <c r="Q66" s="1435"/>
      <c r="R66" s="943" t="s">
        <v>669</v>
      </c>
      <c r="S66" s="1435"/>
      <c r="T66" s="943" t="s">
        <v>669</v>
      </c>
      <c r="U66" s="1392"/>
      <c r="V66" s="943" t="s">
        <v>669</v>
      </c>
      <c r="W66" s="1392"/>
      <c r="X66" s="943" t="s">
        <v>669</v>
      </c>
      <c r="Y66" s="1392"/>
      <c r="Z66" s="943" t="s">
        <v>669</v>
      </c>
      <c r="AA66" s="1393"/>
      <c r="AB66" s="943" t="s">
        <v>669</v>
      </c>
      <c r="AC66" s="1435"/>
      <c r="AD66" s="943" t="s">
        <v>669</v>
      </c>
      <c r="AE66" s="1393"/>
      <c r="AF66" s="943" t="s">
        <v>669</v>
      </c>
      <c r="AG66" s="1392"/>
      <c r="AH66" s="943" t="s">
        <v>669</v>
      </c>
      <c r="AI66" s="1393"/>
      <c r="AJ66" s="943" t="s">
        <v>669</v>
      </c>
      <c r="AK66" s="1392"/>
      <c r="AL66" s="943" t="s">
        <v>669</v>
      </c>
      <c r="AM66" s="1435"/>
      <c r="AN66" s="943" t="s">
        <v>671</v>
      </c>
      <c r="AO66" s="1392"/>
      <c r="AP66" s="943" t="s">
        <v>671</v>
      </c>
      <c r="AQ66" s="1392"/>
    </row>
    <row r="67" spans="1:43" x14ac:dyDescent="0.35">
      <c r="A67" s="1391"/>
      <c r="B67" s="1439" t="s">
        <v>1780</v>
      </c>
      <c r="C67" s="1384"/>
      <c r="D67" s="646"/>
      <c r="E67" s="1423"/>
      <c r="F67" s="1484"/>
      <c r="G67" s="652"/>
      <c r="H67" s="943" t="s">
        <v>669</v>
      </c>
      <c r="I67" s="1393"/>
      <c r="J67" s="943" t="s">
        <v>669</v>
      </c>
      <c r="K67" s="1392"/>
      <c r="L67" s="943" t="s">
        <v>669</v>
      </c>
      <c r="M67" s="1435"/>
      <c r="N67" s="943" t="s">
        <v>669</v>
      </c>
      <c r="O67" s="1393"/>
      <c r="P67" s="943" t="s">
        <v>669</v>
      </c>
      <c r="Q67" s="1435"/>
      <c r="R67" s="943" t="s">
        <v>669</v>
      </c>
      <c r="S67" s="1435"/>
      <c r="T67" s="943" t="s">
        <v>669</v>
      </c>
      <c r="U67" s="1392"/>
      <c r="V67" s="943" t="s">
        <v>669</v>
      </c>
      <c r="W67" s="1392"/>
      <c r="X67" s="943" t="s">
        <v>669</v>
      </c>
      <c r="Y67" s="1392"/>
      <c r="Z67" s="943" t="s">
        <v>669</v>
      </c>
      <c r="AA67" s="1435"/>
      <c r="AB67" s="943" t="s">
        <v>669</v>
      </c>
      <c r="AC67" s="1435"/>
      <c r="AD67" s="943" t="s">
        <v>671</v>
      </c>
      <c r="AE67" s="1435" t="s">
        <v>1775</v>
      </c>
      <c r="AF67" s="943" t="s">
        <v>669</v>
      </c>
      <c r="AG67" s="1392"/>
      <c r="AH67" s="943" t="s">
        <v>669</v>
      </c>
      <c r="AI67" s="1393"/>
      <c r="AJ67" s="943" t="s">
        <v>669</v>
      </c>
      <c r="AK67" s="1392"/>
      <c r="AL67" s="943" t="s">
        <v>669</v>
      </c>
      <c r="AM67" s="1435"/>
      <c r="AN67" s="943" t="s">
        <v>671</v>
      </c>
      <c r="AO67" s="1392"/>
      <c r="AP67" s="943" t="s">
        <v>200</v>
      </c>
      <c r="AQ67" s="1392"/>
    </row>
    <row r="68" spans="1:43" x14ac:dyDescent="0.35">
      <c r="A68" s="1391"/>
      <c r="B68" s="1439" t="s">
        <v>1781</v>
      </c>
      <c r="C68" s="1384"/>
      <c r="D68" s="646"/>
      <c r="E68" s="1423"/>
      <c r="F68" s="1484"/>
      <c r="G68" s="652"/>
      <c r="H68" s="943" t="s">
        <v>669</v>
      </c>
      <c r="I68" s="1393"/>
      <c r="J68" s="943" t="s">
        <v>669</v>
      </c>
      <c r="K68" s="1392"/>
      <c r="L68" s="943" t="s">
        <v>669</v>
      </c>
      <c r="M68" s="1435"/>
      <c r="N68" s="943" t="s">
        <v>669</v>
      </c>
      <c r="O68" s="1393"/>
      <c r="P68" s="943" t="s">
        <v>669</v>
      </c>
      <c r="Q68" s="1435"/>
      <c r="R68" s="943" t="s">
        <v>669</v>
      </c>
      <c r="S68" s="1435"/>
      <c r="T68" s="943" t="s">
        <v>669</v>
      </c>
      <c r="U68" s="1392"/>
      <c r="V68" s="943" t="s">
        <v>669</v>
      </c>
      <c r="W68" s="1392"/>
      <c r="X68" s="943" t="s">
        <v>669</v>
      </c>
      <c r="Y68" s="1392"/>
      <c r="Z68" s="943" t="s">
        <v>669</v>
      </c>
      <c r="AA68" s="1435"/>
      <c r="AB68" s="943" t="s">
        <v>669</v>
      </c>
      <c r="AC68" s="1435"/>
      <c r="AD68" s="943" t="s">
        <v>671</v>
      </c>
      <c r="AE68" s="1435" t="s">
        <v>1775</v>
      </c>
      <c r="AF68" s="943" t="s">
        <v>669</v>
      </c>
      <c r="AG68" s="1392"/>
      <c r="AH68" s="943" t="s">
        <v>669</v>
      </c>
      <c r="AI68" s="1393"/>
      <c r="AJ68" s="943" t="s">
        <v>669</v>
      </c>
      <c r="AK68" s="1392"/>
      <c r="AL68" s="943" t="s">
        <v>669</v>
      </c>
      <c r="AM68" s="1435"/>
      <c r="AN68" s="943" t="s">
        <v>671</v>
      </c>
      <c r="AO68" s="1392"/>
      <c r="AP68" s="943" t="s">
        <v>671</v>
      </c>
      <c r="AQ68" s="1392"/>
    </row>
    <row r="69" spans="1:43" x14ac:dyDescent="0.35">
      <c r="A69" s="1391"/>
      <c r="B69" s="1439" t="s">
        <v>1782</v>
      </c>
      <c r="C69" s="1384"/>
      <c r="D69" s="646"/>
      <c r="E69" s="1423"/>
      <c r="F69" s="1484"/>
      <c r="G69" s="652"/>
      <c r="H69" s="943" t="s">
        <v>669</v>
      </c>
      <c r="I69" s="1393"/>
      <c r="J69" s="943" t="s">
        <v>669</v>
      </c>
      <c r="K69" s="1392"/>
      <c r="L69" s="943" t="s">
        <v>669</v>
      </c>
      <c r="M69" s="1435"/>
      <c r="N69" s="943" t="s">
        <v>669</v>
      </c>
      <c r="O69" s="1393"/>
      <c r="P69" s="943" t="s">
        <v>669</v>
      </c>
      <c r="Q69" s="1435"/>
      <c r="R69" s="943" t="s">
        <v>669</v>
      </c>
      <c r="S69" s="1435"/>
      <c r="T69" s="943" t="s">
        <v>669</v>
      </c>
      <c r="U69" s="1392"/>
      <c r="V69" s="943" t="s">
        <v>669</v>
      </c>
      <c r="W69" s="1392"/>
      <c r="X69" s="943" t="s">
        <v>669</v>
      </c>
      <c r="Y69" s="1392"/>
      <c r="Z69" s="943" t="s">
        <v>669</v>
      </c>
      <c r="AA69" s="1393"/>
      <c r="AB69" s="943" t="s">
        <v>669</v>
      </c>
      <c r="AC69" s="1435"/>
      <c r="AD69" s="943" t="s">
        <v>669</v>
      </c>
      <c r="AE69" s="1393"/>
      <c r="AF69" s="943" t="s">
        <v>669</v>
      </c>
      <c r="AG69" s="1392"/>
      <c r="AH69" s="943" t="s">
        <v>669</v>
      </c>
      <c r="AI69" s="1393"/>
      <c r="AJ69" s="943" t="s">
        <v>669</v>
      </c>
      <c r="AK69" s="1392"/>
      <c r="AL69" s="943" t="s">
        <v>669</v>
      </c>
      <c r="AM69" s="1435"/>
      <c r="AN69" s="943" t="s">
        <v>671</v>
      </c>
      <c r="AO69" s="1392"/>
      <c r="AP69" s="943" t="s">
        <v>671</v>
      </c>
      <c r="AQ69" s="1392"/>
    </row>
    <row r="70" spans="1:43" x14ac:dyDescent="0.35">
      <c r="A70" s="1391"/>
      <c r="B70" s="1439" t="s">
        <v>1783</v>
      </c>
      <c r="C70" s="1384"/>
      <c r="D70" s="646"/>
      <c r="E70" s="1423"/>
      <c r="F70" s="1484"/>
      <c r="G70" s="652"/>
      <c r="H70" s="943" t="s">
        <v>669</v>
      </c>
      <c r="I70" s="1393"/>
      <c r="J70" s="943" t="s">
        <v>669</v>
      </c>
      <c r="K70" s="1392"/>
      <c r="L70" s="943" t="s">
        <v>669</v>
      </c>
      <c r="M70" s="1436"/>
      <c r="N70" s="943" t="s">
        <v>669</v>
      </c>
      <c r="O70" s="1393"/>
      <c r="P70" s="943" t="s">
        <v>669</v>
      </c>
      <c r="Q70" s="1436">
        <v>78460</v>
      </c>
      <c r="R70" s="943" t="s">
        <v>669</v>
      </c>
      <c r="S70" s="1436">
        <v>78460</v>
      </c>
      <c r="T70" s="943" t="s">
        <v>669</v>
      </c>
      <c r="U70" s="1392"/>
      <c r="V70" s="943" t="s">
        <v>669</v>
      </c>
      <c r="W70" s="1392"/>
      <c r="X70" s="943" t="s">
        <v>669</v>
      </c>
      <c r="Y70" s="1392"/>
      <c r="Z70" s="943" t="s">
        <v>669</v>
      </c>
      <c r="AA70" s="1393"/>
      <c r="AB70" s="943" t="s">
        <v>669</v>
      </c>
      <c r="AC70" s="1435"/>
      <c r="AD70" s="943" t="s">
        <v>669</v>
      </c>
      <c r="AE70" s="1393"/>
      <c r="AF70" s="943" t="s">
        <v>669</v>
      </c>
      <c r="AG70" s="1392"/>
      <c r="AH70" s="943" t="s">
        <v>669</v>
      </c>
      <c r="AI70" s="1393"/>
      <c r="AJ70" s="943" t="s">
        <v>669</v>
      </c>
      <c r="AK70" s="1392"/>
      <c r="AL70" s="943" t="s">
        <v>669</v>
      </c>
      <c r="AM70" s="1435"/>
      <c r="AN70" s="943" t="s">
        <v>671</v>
      </c>
      <c r="AO70" s="1392"/>
      <c r="AP70" s="943" t="s">
        <v>671</v>
      </c>
      <c r="AQ70" s="1392"/>
    </row>
    <row r="71" spans="1:43" x14ac:dyDescent="0.35">
      <c r="A71" s="1391"/>
      <c r="B71" s="1439" t="s">
        <v>1784</v>
      </c>
      <c r="C71" s="1384" t="s">
        <v>1785</v>
      </c>
      <c r="D71" s="646"/>
      <c r="E71" s="1423"/>
      <c r="F71" s="1484"/>
      <c r="G71" s="652"/>
      <c r="H71" s="943" t="s">
        <v>669</v>
      </c>
      <c r="I71" s="1518">
        <v>48310</v>
      </c>
      <c r="J71" s="943" t="s">
        <v>669</v>
      </c>
      <c r="K71" s="1392"/>
      <c r="L71" s="943" t="s">
        <v>669</v>
      </c>
      <c r="M71" s="1436"/>
      <c r="N71" s="943" t="s">
        <v>669</v>
      </c>
      <c r="O71" s="1518">
        <v>48310</v>
      </c>
      <c r="P71" s="1101" t="s">
        <v>654</v>
      </c>
      <c r="Q71" s="1514">
        <f>I71</f>
        <v>48310</v>
      </c>
      <c r="R71" s="943" t="s">
        <v>669</v>
      </c>
      <c r="S71" s="1436">
        <v>90000</v>
      </c>
      <c r="T71" s="943" t="s">
        <v>669</v>
      </c>
      <c r="U71" s="1392"/>
      <c r="V71" s="943" t="s">
        <v>669</v>
      </c>
      <c r="W71" s="1437">
        <v>26900</v>
      </c>
      <c r="X71" s="943" t="s">
        <v>669</v>
      </c>
      <c r="Y71" s="1437">
        <v>26900</v>
      </c>
      <c r="Z71" s="943" t="s">
        <v>669</v>
      </c>
      <c r="AA71" s="1518">
        <v>105000</v>
      </c>
      <c r="AB71" s="1101" t="s">
        <v>654</v>
      </c>
      <c r="AC71" s="1514">
        <f>Q71</f>
        <v>48310</v>
      </c>
      <c r="AD71" s="943" t="s">
        <v>671</v>
      </c>
      <c r="AE71" s="1393" t="s">
        <v>1775</v>
      </c>
      <c r="AF71" s="943" t="s">
        <v>671</v>
      </c>
      <c r="AG71" s="1392"/>
      <c r="AH71" s="943" t="s">
        <v>671</v>
      </c>
      <c r="AI71" s="1522">
        <f>-12058-14680-15082-16419</f>
        <v>-58239</v>
      </c>
      <c r="AJ71" s="943" t="s">
        <v>671</v>
      </c>
      <c r="AK71" s="1393" t="s">
        <v>1775</v>
      </c>
      <c r="AL71" s="943" t="s">
        <v>671</v>
      </c>
      <c r="AM71" s="1393" t="s">
        <v>1775</v>
      </c>
      <c r="AN71" s="943" t="s">
        <v>671</v>
      </c>
      <c r="AO71" s="1392"/>
      <c r="AP71" s="943" t="s">
        <v>671</v>
      </c>
      <c r="AQ71" s="1392"/>
    </row>
    <row r="72" spans="1:43" x14ac:dyDescent="0.35">
      <c r="A72" s="1391"/>
      <c r="B72" s="1439" t="s">
        <v>1786</v>
      </c>
      <c r="C72" s="1384"/>
      <c r="D72" s="646"/>
      <c r="E72" s="1423"/>
      <c r="F72" s="1484"/>
      <c r="G72" s="652"/>
      <c r="H72" s="943" t="s">
        <v>669</v>
      </c>
      <c r="I72" s="1393"/>
      <c r="J72" s="943" t="s">
        <v>669</v>
      </c>
      <c r="K72" s="1392"/>
      <c r="L72" s="943" t="s">
        <v>669</v>
      </c>
      <c r="M72" s="1436"/>
      <c r="N72" s="943" t="s">
        <v>669</v>
      </c>
      <c r="O72" s="1393"/>
      <c r="P72" s="943" t="s">
        <v>669</v>
      </c>
      <c r="Q72" s="1436">
        <v>2520</v>
      </c>
      <c r="R72" s="943" t="s">
        <v>669</v>
      </c>
      <c r="S72" s="1436">
        <v>2520</v>
      </c>
      <c r="T72" s="943" t="s">
        <v>669</v>
      </c>
      <c r="U72" s="1392"/>
      <c r="V72" s="1101" t="s">
        <v>654</v>
      </c>
      <c r="W72" s="1442">
        <f>Q72</f>
        <v>2520</v>
      </c>
      <c r="X72" s="943" t="s">
        <v>669</v>
      </c>
      <c r="Y72" s="1392"/>
      <c r="Z72" s="943" t="s">
        <v>669</v>
      </c>
      <c r="AA72" s="1518"/>
      <c r="AB72" s="943" t="s">
        <v>669</v>
      </c>
      <c r="AC72" s="1393"/>
      <c r="AD72" s="943" t="s">
        <v>671</v>
      </c>
      <c r="AE72" s="1393" t="s">
        <v>1775</v>
      </c>
      <c r="AF72" s="943" t="s">
        <v>669</v>
      </c>
      <c r="AG72" s="1392"/>
      <c r="AH72" s="943" t="s">
        <v>669</v>
      </c>
      <c r="AI72" s="1393"/>
      <c r="AJ72" s="943" t="s">
        <v>671</v>
      </c>
      <c r="AK72" s="1393" t="s">
        <v>1775</v>
      </c>
      <c r="AL72" s="943" t="s">
        <v>671</v>
      </c>
      <c r="AM72" s="1393" t="s">
        <v>1775</v>
      </c>
      <c r="AN72" s="943" t="s">
        <v>671</v>
      </c>
      <c r="AO72" s="1392"/>
      <c r="AP72" s="943" t="s">
        <v>671</v>
      </c>
      <c r="AQ72" s="1392"/>
    </row>
    <row r="73" spans="1:43" x14ac:dyDescent="0.35">
      <c r="A73" s="1391"/>
      <c r="B73" s="1439" t="s">
        <v>1787</v>
      </c>
      <c r="C73" s="1384"/>
      <c r="D73" s="646"/>
      <c r="E73" s="1423"/>
      <c r="F73" s="1484"/>
      <c r="G73" s="652"/>
      <c r="H73" s="943" t="s">
        <v>669</v>
      </c>
      <c r="I73" s="1393"/>
      <c r="J73" s="943" t="s">
        <v>669</v>
      </c>
      <c r="K73" s="1392"/>
      <c r="L73" s="943" t="s">
        <v>669</v>
      </c>
      <c r="M73" s="1435"/>
      <c r="N73" s="943" t="s">
        <v>669</v>
      </c>
      <c r="O73" s="1393"/>
      <c r="P73" s="943" t="s">
        <v>669</v>
      </c>
      <c r="Q73" s="1435"/>
      <c r="R73" s="943" t="s">
        <v>669</v>
      </c>
      <c r="S73" s="1435"/>
      <c r="T73" s="943" t="s">
        <v>669</v>
      </c>
      <c r="U73" s="1392"/>
      <c r="V73" s="943" t="s">
        <v>669</v>
      </c>
      <c r="W73" s="1392"/>
      <c r="X73" s="943" t="s">
        <v>669</v>
      </c>
      <c r="Y73" s="1392"/>
      <c r="Z73" s="943" t="s">
        <v>669</v>
      </c>
      <c r="AA73" s="1393"/>
      <c r="AB73" s="943" t="s">
        <v>669</v>
      </c>
      <c r="AC73" s="1435"/>
      <c r="AD73" s="943" t="s">
        <v>671</v>
      </c>
      <c r="AE73" s="1393" t="s">
        <v>1775</v>
      </c>
      <c r="AF73" s="943" t="s">
        <v>669</v>
      </c>
      <c r="AG73" s="1392"/>
      <c r="AH73" s="943" t="s">
        <v>669</v>
      </c>
      <c r="AI73" s="1393"/>
      <c r="AJ73" s="943" t="s">
        <v>669</v>
      </c>
      <c r="AK73" s="1392"/>
      <c r="AL73" s="943" t="s">
        <v>669</v>
      </c>
      <c r="AM73" s="1435"/>
      <c r="AN73" s="943" t="s">
        <v>671</v>
      </c>
      <c r="AO73" s="1392"/>
      <c r="AP73" s="943" t="s">
        <v>671</v>
      </c>
      <c r="AQ73" s="1392"/>
    </row>
    <row r="74" spans="1:43" x14ac:dyDescent="0.35">
      <c r="A74" s="1391"/>
      <c r="B74" s="1439" t="s">
        <v>1788</v>
      </c>
      <c r="C74" s="1384"/>
      <c r="D74" s="646"/>
      <c r="E74" s="1423"/>
      <c r="F74" s="1484"/>
      <c r="G74" s="652"/>
      <c r="H74" s="943"/>
      <c r="I74" s="1393"/>
      <c r="J74" s="943"/>
      <c r="K74" s="1392"/>
      <c r="L74" s="943"/>
      <c r="M74" s="1435"/>
      <c r="N74" s="943"/>
      <c r="O74" s="1393"/>
      <c r="P74" s="943"/>
      <c r="Q74" s="1435"/>
      <c r="R74" s="943"/>
      <c r="S74" s="1435"/>
      <c r="T74" s="1392"/>
      <c r="U74" s="1392"/>
      <c r="V74" s="1392"/>
      <c r="W74" s="1392"/>
      <c r="X74" s="1392"/>
      <c r="Y74" s="1392"/>
      <c r="Z74" s="943"/>
      <c r="AA74" s="1393"/>
      <c r="AB74" s="943" t="s">
        <v>669</v>
      </c>
      <c r="AC74" s="1435"/>
      <c r="AD74" s="943"/>
      <c r="AE74" s="1393"/>
      <c r="AF74" s="943" t="s">
        <v>669</v>
      </c>
      <c r="AG74" s="1392"/>
      <c r="AH74" s="943"/>
      <c r="AI74" s="1393"/>
      <c r="AJ74" s="943"/>
      <c r="AK74" s="1392"/>
      <c r="AL74" s="943"/>
      <c r="AM74" s="1435"/>
      <c r="AN74" s="943"/>
      <c r="AO74" s="1392"/>
      <c r="AP74" s="943"/>
      <c r="AQ74" s="1392"/>
    </row>
    <row r="75" spans="1:43" x14ac:dyDescent="0.35">
      <c r="A75" s="1391"/>
      <c r="B75" s="395" t="s">
        <v>1789</v>
      </c>
      <c r="C75" s="1384"/>
      <c r="D75" s="1384"/>
      <c r="E75" s="1383"/>
      <c r="F75" s="1523"/>
      <c r="G75" s="1524"/>
      <c r="H75" s="1492"/>
      <c r="I75" s="1393"/>
      <c r="J75" s="1392"/>
      <c r="K75" s="1392"/>
      <c r="L75" s="1492"/>
      <c r="M75" s="1435"/>
      <c r="N75" s="1492"/>
      <c r="O75" s="1525"/>
      <c r="P75" s="1492"/>
      <c r="Q75" s="1435"/>
      <c r="R75" s="1492"/>
      <c r="S75" s="1435"/>
      <c r="T75" s="1392"/>
      <c r="U75" s="1392"/>
      <c r="V75" s="1392"/>
      <c r="W75" s="1392"/>
      <c r="X75" s="1392"/>
      <c r="Y75" s="1392"/>
      <c r="Z75" s="1492"/>
      <c r="AA75" s="1393"/>
      <c r="AB75" s="1492"/>
      <c r="AC75" s="1435"/>
      <c r="AD75" s="1492"/>
      <c r="AE75" s="1393"/>
      <c r="AF75" s="1492"/>
      <c r="AG75" s="1392"/>
      <c r="AH75" s="1492"/>
      <c r="AI75" s="1393"/>
      <c r="AJ75" s="1492"/>
      <c r="AK75" s="1392"/>
      <c r="AL75" s="1492"/>
      <c r="AM75" s="1435"/>
      <c r="AN75" s="1492"/>
      <c r="AO75" s="1392"/>
      <c r="AP75" s="1492"/>
      <c r="AQ75" s="1392"/>
    </row>
    <row r="76" spans="1:43" x14ac:dyDescent="0.35">
      <c r="A76" s="14"/>
      <c r="B76" s="15"/>
      <c r="C76" s="16"/>
      <c r="D76" s="16"/>
      <c r="E76" s="17"/>
      <c r="F76" s="18" t="s">
        <v>715</v>
      </c>
      <c r="G76" s="19"/>
      <c r="H76" s="20"/>
      <c r="I76" s="50">
        <f>SUM(I21:I74)</f>
        <v>2222030</v>
      </c>
      <c r="J76" s="20"/>
      <c r="K76" s="50">
        <f>SUM(K21:K74)</f>
        <v>1944000</v>
      </c>
      <c r="L76" s="20"/>
      <c r="M76" s="50">
        <f>SUM(M21:M74)</f>
        <v>2049900</v>
      </c>
      <c r="N76" s="20"/>
      <c r="O76" s="50">
        <f>SUM(O21:O75)</f>
        <v>2026190</v>
      </c>
      <c r="P76" s="20"/>
      <c r="Q76" s="50">
        <f>SUM(Q21:Q74)</f>
        <v>2231910</v>
      </c>
      <c r="R76" s="20"/>
      <c r="S76" s="50">
        <f>SUM(S21:S74)</f>
        <v>2273600</v>
      </c>
      <c r="T76" s="20"/>
      <c r="U76" s="50">
        <f>SUM(U21:U74)</f>
        <v>2236901</v>
      </c>
      <c r="V76" s="20"/>
      <c r="W76" s="50">
        <f>SUM(W21:W74)</f>
        <v>2450805</v>
      </c>
      <c r="X76" s="20"/>
      <c r="Y76" s="50">
        <f>SUM(Y21:Y74)</f>
        <v>2066340</v>
      </c>
      <c r="Z76" s="20"/>
      <c r="AA76" s="50">
        <f>SUM(AA21:AA74)</f>
        <v>2125000</v>
      </c>
      <c r="AB76" s="20"/>
      <c r="AC76" s="50">
        <f>SUM(AC21:AC74)</f>
        <v>2412433</v>
      </c>
      <c r="AD76" s="20"/>
      <c r="AE76" s="50">
        <f>SUM(AE21:AE74)</f>
        <v>2618745</v>
      </c>
      <c r="AF76" s="20"/>
      <c r="AG76" s="50">
        <f>SUM(AG21:AG74)</f>
        <v>2867436.11</v>
      </c>
      <c r="AH76" s="20"/>
      <c r="AI76" s="50">
        <f>SUM(AI21:AI74)</f>
        <v>2875583</v>
      </c>
      <c r="AJ76" s="20"/>
      <c r="AK76" s="50">
        <f>SUM(AK21:AK74)</f>
        <v>2990000</v>
      </c>
      <c r="AL76" s="20"/>
      <c r="AM76" s="50">
        <f>SUM(AM21:AM74)</f>
        <v>3115776</v>
      </c>
      <c r="AN76" s="20"/>
      <c r="AO76" s="50">
        <f>SUM(AO21:AO74)</f>
        <v>107806</v>
      </c>
      <c r="AP76" s="20"/>
      <c r="AQ76" s="50">
        <f>SUM(AQ21:AQ74)</f>
        <v>155200</v>
      </c>
    </row>
    <row r="77" spans="1:43" x14ac:dyDescent="0.35">
      <c r="A77" s="1452"/>
      <c r="B77" s="1453"/>
      <c r="C77" s="1454"/>
      <c r="D77" s="1454"/>
      <c r="E77" s="1455"/>
      <c r="F77" s="1456" t="s">
        <v>716</v>
      </c>
      <c r="G77" s="659"/>
      <c r="H77" s="959">
        <v>0</v>
      </c>
      <c r="I77" s="959"/>
      <c r="J77" s="959">
        <v>0</v>
      </c>
      <c r="K77" s="960"/>
      <c r="L77" s="959">
        <v>0</v>
      </c>
      <c r="M77" s="960"/>
      <c r="N77" s="959">
        <v>0</v>
      </c>
      <c r="O77" s="959"/>
      <c r="P77" s="959">
        <v>0</v>
      </c>
      <c r="Q77" s="960"/>
      <c r="R77" s="959">
        <v>0</v>
      </c>
      <c r="S77" s="960"/>
      <c r="T77" s="959">
        <v>0</v>
      </c>
      <c r="U77" s="960"/>
      <c r="V77" s="959">
        <v>0</v>
      </c>
      <c r="W77" s="960"/>
      <c r="X77" s="959">
        <v>0</v>
      </c>
      <c r="Y77" s="960"/>
      <c r="Z77" s="959">
        <v>0</v>
      </c>
      <c r="AA77" s="959"/>
      <c r="AB77" s="1252">
        <v>0</v>
      </c>
      <c r="AC77" s="959"/>
      <c r="AD77" s="959">
        <v>0</v>
      </c>
      <c r="AE77" s="959"/>
      <c r="AF77" s="959">
        <v>0</v>
      </c>
      <c r="AG77" s="959"/>
      <c r="AH77" s="959">
        <v>0</v>
      </c>
      <c r="AI77" s="959"/>
      <c r="AJ77" s="959">
        <v>0</v>
      </c>
      <c r="AK77" s="959"/>
      <c r="AL77" s="1252">
        <v>5.0000000000000001E-3</v>
      </c>
      <c r="AM77" s="959"/>
      <c r="AN77" s="959">
        <v>0</v>
      </c>
      <c r="AO77" s="959"/>
      <c r="AP77" s="959">
        <v>0</v>
      </c>
      <c r="AQ77" s="959"/>
    </row>
    <row r="78" spans="1:43" x14ac:dyDescent="0.35">
      <c r="A78" s="1452"/>
      <c r="B78" s="1453"/>
      <c r="C78" s="1454"/>
      <c r="D78" s="1454"/>
      <c r="E78" s="1455"/>
      <c r="F78" s="1456" t="s">
        <v>717</v>
      </c>
      <c r="G78" s="659"/>
      <c r="H78" s="961"/>
      <c r="I78" s="962">
        <f>I76*H77</f>
        <v>0</v>
      </c>
      <c r="J78" s="961"/>
      <c r="K78" s="962">
        <f>K76*J77</f>
        <v>0</v>
      </c>
      <c r="L78" s="961"/>
      <c r="M78" s="962">
        <f>M76*L77</f>
        <v>0</v>
      </c>
      <c r="N78" s="961"/>
      <c r="O78" s="962">
        <f>O76*N77</f>
        <v>0</v>
      </c>
      <c r="P78" s="961"/>
      <c r="Q78" s="962">
        <f>Q76*P77</f>
        <v>0</v>
      </c>
      <c r="R78" s="961"/>
      <c r="S78" s="962">
        <f>S76*R77</f>
        <v>0</v>
      </c>
      <c r="T78" s="961"/>
      <c r="U78" s="962">
        <f>U76*T77</f>
        <v>0</v>
      </c>
      <c r="V78" s="961"/>
      <c r="W78" s="962">
        <f>W76*V77</f>
        <v>0</v>
      </c>
      <c r="X78" s="961"/>
      <c r="Y78" s="962">
        <f>Y76*X77</f>
        <v>0</v>
      </c>
      <c r="Z78" s="961"/>
      <c r="AA78" s="962">
        <f>AA76*Z77</f>
        <v>0</v>
      </c>
      <c r="AB78" s="961"/>
      <c r="AC78" s="962">
        <f>AC76*AB77</f>
        <v>0</v>
      </c>
      <c r="AD78" s="961"/>
      <c r="AE78" s="962">
        <f>AE76*AD77</f>
        <v>0</v>
      </c>
      <c r="AF78" s="961"/>
      <c r="AG78" s="962">
        <f>AG76*AF77</f>
        <v>0</v>
      </c>
      <c r="AH78" s="961"/>
      <c r="AI78" s="962">
        <f>AI76*AH77</f>
        <v>0</v>
      </c>
      <c r="AJ78" s="961"/>
      <c r="AK78" s="962">
        <f>AK76*AJ77</f>
        <v>0</v>
      </c>
      <c r="AL78" s="961"/>
      <c r="AM78" s="962">
        <f>AM76*AL77</f>
        <v>15578.880000000001</v>
      </c>
      <c r="AN78" s="961"/>
      <c r="AO78" s="962">
        <f>AO76*AN77</f>
        <v>0</v>
      </c>
      <c r="AP78" s="961"/>
      <c r="AQ78" s="962">
        <f>AQ76*AP77</f>
        <v>0</v>
      </c>
    </row>
    <row r="79" spans="1:43" x14ac:dyDescent="0.35">
      <c r="A79" s="1452"/>
      <c r="B79" s="1453"/>
      <c r="C79" s="1454"/>
      <c r="D79" s="1454"/>
      <c r="E79" s="1455"/>
      <c r="F79" s="1456"/>
      <c r="G79" s="659"/>
      <c r="H79" s="961"/>
      <c r="I79" s="961"/>
      <c r="J79" s="1123"/>
      <c r="K79" s="962"/>
      <c r="L79" s="1123"/>
      <c r="M79" s="962"/>
      <c r="N79" s="961"/>
      <c r="O79" s="961"/>
      <c r="P79" s="1123"/>
      <c r="Q79" s="962"/>
      <c r="R79" s="1123"/>
      <c r="S79" s="962"/>
      <c r="T79" s="1123"/>
      <c r="U79" s="962"/>
      <c r="V79" s="1123"/>
      <c r="W79" s="962"/>
      <c r="X79" s="1123"/>
      <c r="Y79" s="962"/>
      <c r="Z79" s="1123"/>
      <c r="AA79" s="962"/>
      <c r="AB79" s="961"/>
      <c r="AC79" s="961"/>
      <c r="AD79" s="1123"/>
      <c r="AE79" s="962"/>
      <c r="AF79" s="961"/>
      <c r="AG79" s="961"/>
      <c r="AH79" s="1123"/>
      <c r="AI79" s="962"/>
      <c r="AJ79" s="961"/>
      <c r="AK79" s="961"/>
      <c r="AL79" s="961"/>
      <c r="AM79" s="961"/>
      <c r="AN79" s="961"/>
      <c r="AO79" s="961"/>
      <c r="AP79" s="961"/>
      <c r="AQ79" s="961"/>
    </row>
    <row r="80" spans="1:43" x14ac:dyDescent="0.35">
      <c r="A80" s="1452"/>
      <c r="B80" s="1453"/>
      <c r="C80" s="1454"/>
      <c r="D80" s="1454"/>
      <c r="E80" s="1455"/>
      <c r="F80" s="1456" t="s">
        <v>718</v>
      </c>
      <c r="G80" s="659"/>
      <c r="H80" s="964"/>
      <c r="I80" s="962">
        <f>SUM(I76:I78)</f>
        <v>2222030</v>
      </c>
      <c r="J80" s="964"/>
      <c r="K80" s="962">
        <f>SUM(K76:K79)</f>
        <v>1944000</v>
      </c>
      <c r="L80" s="964"/>
      <c r="M80" s="962">
        <f>SUM(M76:M79)</f>
        <v>2049900</v>
      </c>
      <c r="N80" s="964"/>
      <c r="O80" s="962">
        <f>SUM(O76:O78)</f>
        <v>2026190</v>
      </c>
      <c r="P80" s="964"/>
      <c r="Q80" s="962">
        <f>SUM(Q76:Q79)</f>
        <v>2231910</v>
      </c>
      <c r="R80" s="964"/>
      <c r="S80" s="962">
        <f>SUM(S76:S79)</f>
        <v>2273600</v>
      </c>
      <c r="T80" s="964"/>
      <c r="U80" s="962">
        <f>SUM(U76:U79)</f>
        <v>2236901</v>
      </c>
      <c r="V80" s="964"/>
      <c r="W80" s="962">
        <f>SUM(W76:W79)</f>
        <v>2450805</v>
      </c>
      <c r="X80" s="964"/>
      <c r="Y80" s="962">
        <f>SUM(Y76:Y79)</f>
        <v>2066340</v>
      </c>
      <c r="Z80" s="964"/>
      <c r="AA80" s="962">
        <f>SUM(AA76:AA79)</f>
        <v>2125000</v>
      </c>
      <c r="AB80" s="964"/>
      <c r="AC80" s="962">
        <f>SUM(AC76:AC78)</f>
        <v>2412433</v>
      </c>
      <c r="AD80" s="964"/>
      <c r="AE80" s="962">
        <f>SUM(AE76:AE79)</f>
        <v>2618745</v>
      </c>
      <c r="AF80" s="964"/>
      <c r="AG80" s="962">
        <f>SUM(AG76:AG78)</f>
        <v>2867436.11</v>
      </c>
      <c r="AH80" s="964"/>
      <c r="AI80" s="962">
        <f>SUM(AI76:AI79)</f>
        <v>2875583</v>
      </c>
      <c r="AJ80" s="964"/>
      <c r="AK80" s="962">
        <f>SUM(AK76:AK78)</f>
        <v>2990000</v>
      </c>
      <c r="AL80" s="964"/>
      <c r="AM80" s="962">
        <f>SUM(AM76:AM78)</f>
        <v>3131354.88</v>
      </c>
      <c r="AN80" s="964"/>
      <c r="AO80" s="962">
        <f>SUM(AO76:AO78)</f>
        <v>107806</v>
      </c>
      <c r="AP80" s="964"/>
      <c r="AQ80" s="962">
        <f>SUM(AQ76:AQ78)</f>
        <v>155200</v>
      </c>
    </row>
    <row r="81" spans="1:43" x14ac:dyDescent="0.35">
      <c r="A81" s="1452"/>
      <c r="B81" s="1453"/>
      <c r="C81" s="1454"/>
      <c r="D81" s="1454"/>
      <c r="E81" s="1455"/>
      <c r="F81" s="1409" t="s">
        <v>719</v>
      </c>
      <c r="G81" s="661"/>
      <c r="H81" s="965"/>
      <c r="I81" s="966" t="e">
        <f>I80/#REF!</f>
        <v>#REF!</v>
      </c>
      <c r="J81" s="965"/>
      <c r="K81" s="966" t="e">
        <f>K80/#REF!</f>
        <v>#REF!</v>
      </c>
      <c r="L81" s="965"/>
      <c r="M81" s="966" t="e">
        <f>M80/#REF!</f>
        <v>#REF!</v>
      </c>
      <c r="N81" s="965"/>
      <c r="O81" s="966" t="e">
        <f>O80/#REF!</f>
        <v>#REF!</v>
      </c>
      <c r="P81" s="965"/>
      <c r="Q81" s="966" t="e">
        <f>Q80/#REF!</f>
        <v>#REF!</v>
      </c>
      <c r="R81" s="965"/>
      <c r="S81" s="966" t="e">
        <f>S80/#REF!</f>
        <v>#REF!</v>
      </c>
      <c r="T81" s="965"/>
      <c r="U81" s="966" t="e">
        <f>U80/#REF!</f>
        <v>#REF!</v>
      </c>
      <c r="V81" s="965"/>
      <c r="W81" s="966" t="e">
        <f>W80/#REF!</f>
        <v>#REF!</v>
      </c>
      <c r="X81" s="965"/>
      <c r="Y81" s="966" t="e">
        <f>Y80/#REF!</f>
        <v>#REF!</v>
      </c>
      <c r="Z81" s="965"/>
      <c r="AA81" s="966" t="e">
        <f>AA80/#REF!</f>
        <v>#REF!</v>
      </c>
      <c r="AB81" s="965"/>
      <c r="AC81" s="966" t="e">
        <f>AC80/#REF!</f>
        <v>#REF!</v>
      </c>
      <c r="AD81" s="965"/>
      <c r="AE81" s="966" t="e">
        <f>AE80/#REF!</f>
        <v>#REF!</v>
      </c>
      <c r="AF81" s="965"/>
      <c r="AG81" s="966" t="e">
        <f>AG80/#REF!</f>
        <v>#REF!</v>
      </c>
      <c r="AH81" s="965"/>
      <c r="AI81" s="966" t="e">
        <f>AI80/#REF!</f>
        <v>#REF!</v>
      </c>
      <c r="AJ81" s="965"/>
      <c r="AK81" s="966" t="e">
        <f>AK80/#REF!</f>
        <v>#REF!</v>
      </c>
      <c r="AL81" s="965"/>
      <c r="AM81" s="966" t="e">
        <f>AM80/#REF!</f>
        <v>#REF!</v>
      </c>
      <c r="AN81" s="965"/>
      <c r="AO81" s="966" t="e">
        <f>AO80/#REF!</f>
        <v>#REF!</v>
      </c>
      <c r="AP81" s="965"/>
      <c r="AQ81" s="966" t="e">
        <f>AQ80/#REF!</f>
        <v>#REF!</v>
      </c>
    </row>
    <row r="82" spans="1:43" x14ac:dyDescent="0.35">
      <c r="A82" s="1452"/>
      <c r="B82" s="1453"/>
      <c r="C82" s="1454"/>
      <c r="D82" s="1454"/>
      <c r="E82" s="1455"/>
      <c r="F82" s="1409" t="s">
        <v>720</v>
      </c>
      <c r="G82" s="662"/>
      <c r="H82" s="965"/>
      <c r="I82" s="966" t="e">
        <f>I80/#REF!</f>
        <v>#REF!</v>
      </c>
      <c r="J82" s="965"/>
      <c r="K82" s="966" t="e">
        <f>K80/#REF!</f>
        <v>#REF!</v>
      </c>
      <c r="L82" s="965"/>
      <c r="M82" s="966" t="e">
        <f>M80/#REF!</f>
        <v>#REF!</v>
      </c>
      <c r="N82" s="965"/>
      <c r="O82" s="966" t="e">
        <f>O80/#REF!</f>
        <v>#REF!</v>
      </c>
      <c r="P82" s="965"/>
      <c r="Q82" s="966" t="e">
        <f>Q80/#REF!</f>
        <v>#REF!</v>
      </c>
      <c r="R82" s="965"/>
      <c r="S82" s="966" t="e">
        <f>S80/#REF!</f>
        <v>#REF!</v>
      </c>
      <c r="T82" s="965"/>
      <c r="U82" s="966" t="e">
        <f>U80/#REF!</f>
        <v>#REF!</v>
      </c>
      <c r="V82" s="965"/>
      <c r="W82" s="966" t="e">
        <f>W80/#REF!</f>
        <v>#REF!</v>
      </c>
      <c r="X82" s="965"/>
      <c r="Y82" s="966" t="e">
        <f>Y80/#REF!</f>
        <v>#REF!</v>
      </c>
      <c r="Z82" s="965"/>
      <c r="AA82" s="966" t="e">
        <f>AA80/#REF!</f>
        <v>#REF!</v>
      </c>
      <c r="AB82" s="965"/>
      <c r="AC82" s="966" t="e">
        <f>AC80/#REF!</f>
        <v>#REF!</v>
      </c>
      <c r="AD82" s="965"/>
      <c r="AE82" s="966" t="e">
        <f>AE80/#REF!</f>
        <v>#REF!</v>
      </c>
      <c r="AF82" s="965"/>
      <c r="AG82" s="966" t="e">
        <f>AG80/#REF!</f>
        <v>#REF!</v>
      </c>
      <c r="AH82" s="965"/>
      <c r="AI82" s="966" t="e">
        <f>AI80/#REF!</f>
        <v>#REF!</v>
      </c>
      <c r="AJ82" s="965"/>
      <c r="AK82" s="966" t="e">
        <f>AK80/#REF!</f>
        <v>#REF!</v>
      </c>
      <c r="AL82" s="965"/>
      <c r="AM82" s="966" t="e">
        <f>AM80/#REF!</f>
        <v>#REF!</v>
      </c>
      <c r="AN82" s="965"/>
      <c r="AO82" s="966" t="e">
        <f>AO80/#REF!</f>
        <v>#REF!</v>
      </c>
      <c r="AP82" s="965"/>
      <c r="AQ82" s="966" t="e">
        <f>AQ80/#REF!</f>
        <v>#REF!</v>
      </c>
    </row>
    <row r="83" spans="1:43" x14ac:dyDescent="0.35">
      <c r="A83" s="1452"/>
      <c r="B83" s="1453"/>
      <c r="C83" s="1454"/>
      <c r="D83" s="1454"/>
      <c r="E83" s="1455"/>
      <c r="F83" s="1456"/>
      <c r="G83" s="663"/>
      <c r="H83" s="967"/>
      <c r="I83" s="967"/>
      <c r="J83" s="1168"/>
      <c r="K83" s="1169"/>
      <c r="L83" s="1168"/>
      <c r="M83" s="1169"/>
      <c r="N83" s="967"/>
      <c r="O83" s="967"/>
      <c r="P83" s="1168"/>
      <c r="Q83" s="1169"/>
      <c r="R83" s="1168"/>
      <c r="S83" s="1169"/>
      <c r="T83" s="1168"/>
      <c r="U83" s="1169"/>
      <c r="V83" s="1168"/>
      <c r="W83" s="1169"/>
      <c r="X83" s="1168"/>
      <c r="Y83" s="1169"/>
      <c r="Z83" s="967"/>
      <c r="AA83" s="967"/>
      <c r="AB83" s="967"/>
      <c r="AC83" s="967"/>
      <c r="AD83" s="967"/>
      <c r="AE83" s="967"/>
      <c r="AF83" s="967"/>
      <c r="AG83" s="967"/>
      <c r="AH83" s="967"/>
      <c r="AI83" s="967"/>
      <c r="AJ83" s="967"/>
      <c r="AK83" s="967"/>
      <c r="AL83" s="967"/>
      <c r="AM83" s="967"/>
      <c r="AN83" s="967"/>
      <c r="AO83" s="967"/>
      <c r="AP83" s="967"/>
      <c r="AQ83" s="967"/>
    </row>
    <row r="84" spans="1:43" x14ac:dyDescent="0.35">
      <c r="A84" s="3764" t="s">
        <v>721</v>
      </c>
      <c r="B84" s="3765"/>
      <c r="C84" s="12"/>
      <c r="D84" s="12"/>
      <c r="E84" s="12"/>
      <c r="F84" s="12"/>
      <c r="G84" s="13"/>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row>
    <row r="85" spans="1:43" x14ac:dyDescent="0.35">
      <c r="A85" s="1382"/>
      <c r="B85" s="1422" t="s">
        <v>1790</v>
      </c>
      <c r="C85" s="1383"/>
      <c r="D85" s="1383"/>
      <c r="E85" s="1383"/>
      <c r="F85" s="1383"/>
      <c r="G85" s="1384"/>
      <c r="H85" s="1385"/>
      <c r="I85" s="1385"/>
      <c r="J85" s="1385"/>
      <c r="K85" s="1385"/>
      <c r="L85" s="1385"/>
      <c r="M85" s="1385"/>
      <c r="N85" s="1385"/>
      <c r="O85" s="1385"/>
      <c r="P85" s="1385"/>
      <c r="Q85" s="1385"/>
      <c r="R85" s="1385"/>
      <c r="S85" s="1385"/>
      <c r="T85" s="1385"/>
      <c r="U85" s="1385"/>
      <c r="V85" s="1385"/>
      <c r="W85" s="1385"/>
      <c r="X85" s="1385"/>
      <c r="Y85" s="1385"/>
      <c r="Z85" s="1385"/>
      <c r="AA85" s="1385"/>
      <c r="AB85" s="1385"/>
      <c r="AC85" s="1385"/>
      <c r="AD85" s="1385"/>
      <c r="AE85" s="1385"/>
      <c r="AF85" s="1385"/>
      <c r="AG85" s="1385"/>
      <c r="AH85" s="1385"/>
      <c r="AI85" s="1385"/>
      <c r="AJ85" s="1385"/>
      <c r="AK85" s="1385"/>
      <c r="AL85" s="1385"/>
      <c r="AM85" s="1385"/>
      <c r="AN85" s="1385"/>
      <c r="AO85" s="1385"/>
      <c r="AP85" s="1385"/>
      <c r="AQ85" s="1385"/>
    </row>
    <row r="86" spans="1:43" x14ac:dyDescent="0.35">
      <c r="A86" s="1382"/>
      <c r="B86" s="1422" t="s">
        <v>1791</v>
      </c>
      <c r="C86" s="1383"/>
      <c r="D86" s="1383"/>
      <c r="E86" s="1383"/>
      <c r="F86" s="1383"/>
      <c r="G86" s="1384"/>
      <c r="H86" s="1385"/>
      <c r="I86" s="1385"/>
      <c r="J86" s="1385"/>
      <c r="K86" s="1385"/>
      <c r="L86" s="1385"/>
      <c r="M86" s="1385"/>
      <c r="N86" s="1385"/>
      <c r="O86" s="1385"/>
      <c r="P86" s="1385"/>
      <c r="Q86" s="1385"/>
      <c r="R86" s="1385"/>
      <c r="S86" s="1385"/>
      <c r="T86" s="1385"/>
      <c r="U86" s="1385"/>
      <c r="V86" s="1385"/>
      <c r="W86" s="1385"/>
      <c r="X86" s="1385"/>
      <c r="Y86" s="1385"/>
      <c r="Z86" s="1385"/>
      <c r="AA86" s="1385"/>
      <c r="AB86" s="1385"/>
      <c r="AC86" s="1385"/>
      <c r="AD86" s="1385"/>
      <c r="AE86" s="1385"/>
      <c r="AF86" s="1385"/>
      <c r="AG86" s="1385"/>
      <c r="AH86" s="1385"/>
      <c r="AI86" s="1385"/>
      <c r="AJ86" s="1385"/>
      <c r="AK86" s="1385"/>
      <c r="AL86" s="1385"/>
      <c r="AM86" s="1385"/>
      <c r="AN86" s="1385"/>
      <c r="AO86" s="1385"/>
      <c r="AP86" s="1385"/>
      <c r="AQ86" s="1385"/>
    </row>
    <row r="87" spans="1:43" x14ac:dyDescent="0.35">
      <c r="A87" s="1382"/>
      <c r="B87" s="1422" t="s">
        <v>1792</v>
      </c>
      <c r="C87" s="1383"/>
      <c r="D87" s="1383"/>
      <c r="E87" s="1383"/>
      <c r="F87" s="1383"/>
      <c r="G87" s="1384"/>
      <c r="H87" s="1385"/>
      <c r="I87" s="1385"/>
      <c r="J87" s="1385"/>
      <c r="K87" s="1385"/>
      <c r="L87" s="1385"/>
      <c r="M87" s="1385"/>
      <c r="N87" s="1385"/>
      <c r="O87" s="1385"/>
      <c r="P87" s="1385"/>
      <c r="Q87" s="1385"/>
      <c r="R87" s="1385"/>
      <c r="S87" s="1385"/>
      <c r="T87" s="1385"/>
      <c r="U87" s="1385"/>
      <c r="V87" s="1385"/>
      <c r="W87" s="1385"/>
      <c r="X87" s="1385"/>
      <c r="Y87" s="1385"/>
      <c r="Z87" s="1385"/>
      <c r="AA87" s="1385"/>
      <c r="AB87" s="1385"/>
      <c r="AC87" s="1385"/>
      <c r="AD87" s="1385"/>
      <c r="AE87" s="1385"/>
      <c r="AF87" s="1385"/>
      <c r="AG87" s="1385"/>
      <c r="AH87" s="1385"/>
      <c r="AI87" s="1385"/>
      <c r="AJ87" s="1385"/>
      <c r="AK87" s="1385"/>
      <c r="AL87" s="1385"/>
      <c r="AM87" s="1385"/>
      <c r="AN87" s="1385"/>
      <c r="AO87" s="1385"/>
      <c r="AP87" s="1385"/>
      <c r="AQ87" s="1385"/>
    </row>
    <row r="88" spans="1:43" s="2" customFormat="1" x14ac:dyDescent="0.35">
      <c r="A88" s="3764" t="s">
        <v>722</v>
      </c>
      <c r="B88" s="3765"/>
      <c r="C88" s="12"/>
      <c r="D88" s="12"/>
      <c r="E88" s="12"/>
      <c r="F88" s="12"/>
      <c r="G88" s="13"/>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row>
    <row r="89" spans="1:43" s="2" customFormat="1" x14ac:dyDescent="0.35">
      <c r="A89" s="1382"/>
      <c r="B89" s="1422"/>
      <c r="C89" s="1383"/>
      <c r="D89" s="1383"/>
      <c r="E89" s="1383"/>
      <c r="F89" s="1383"/>
      <c r="G89" s="1384"/>
      <c r="H89" s="1385"/>
      <c r="I89" s="1385"/>
      <c r="J89" s="1385"/>
      <c r="K89" s="1385"/>
      <c r="L89" s="1385"/>
      <c r="M89" s="1385"/>
      <c r="N89" s="1385"/>
      <c r="O89" s="1385"/>
      <c r="P89" s="1385"/>
      <c r="Q89" s="1385"/>
      <c r="R89" s="1385"/>
      <c r="S89" s="1385"/>
      <c r="T89" s="1385"/>
      <c r="U89" s="1385"/>
      <c r="V89" s="1385"/>
      <c r="W89" s="1385"/>
      <c r="X89" s="1385"/>
      <c r="Y89" s="1385"/>
      <c r="Z89" s="1385"/>
      <c r="AA89" s="1385"/>
      <c r="AB89" s="1385"/>
      <c r="AC89" s="1385"/>
      <c r="AD89" s="1385"/>
      <c r="AE89" s="1385"/>
      <c r="AF89" s="1385"/>
      <c r="AG89" s="1385"/>
      <c r="AH89" s="1385"/>
      <c r="AI89" s="1385"/>
      <c r="AJ89" s="1385"/>
      <c r="AK89" s="1385"/>
      <c r="AL89" s="1385"/>
      <c r="AM89" s="1385"/>
      <c r="AN89" s="1385"/>
      <c r="AO89" s="1385"/>
      <c r="AP89" s="1385"/>
      <c r="AQ89" s="1385"/>
    </row>
    <row r="90" spans="1:43" s="2" customFormat="1" x14ac:dyDescent="0.35">
      <c r="A90" s="1382"/>
      <c r="B90" s="1422"/>
      <c r="C90" s="1383"/>
      <c r="D90" s="1383"/>
      <c r="E90" s="1383"/>
      <c r="F90" s="1383"/>
      <c r="G90" s="1384"/>
      <c r="H90" s="1385"/>
      <c r="I90" s="1385"/>
      <c r="J90" s="1385"/>
      <c r="K90" s="1385"/>
      <c r="L90" s="1385"/>
      <c r="M90" s="1385"/>
      <c r="N90" s="1385"/>
      <c r="O90" s="1385"/>
      <c r="P90" s="1385"/>
      <c r="Q90" s="1385"/>
      <c r="R90" s="1385"/>
      <c r="S90" s="1385"/>
      <c r="T90" s="1385"/>
      <c r="U90" s="1385"/>
      <c r="V90" s="1385"/>
      <c r="W90" s="1385"/>
      <c r="X90" s="1385"/>
      <c r="Y90" s="1385"/>
      <c r="Z90" s="1385"/>
      <c r="AA90" s="1385"/>
      <c r="AB90" s="1385"/>
      <c r="AC90" s="1385"/>
      <c r="AD90" s="1385"/>
      <c r="AE90" s="1385"/>
      <c r="AF90" s="1385"/>
      <c r="AG90" s="1385"/>
      <c r="AH90" s="1385"/>
      <c r="AI90" s="1385"/>
      <c r="AJ90" s="1385"/>
      <c r="AK90" s="1385"/>
      <c r="AL90" s="1385"/>
      <c r="AM90" s="1385"/>
      <c r="AN90" s="1385"/>
      <c r="AO90" s="1385"/>
      <c r="AP90" s="1385"/>
      <c r="AQ90" s="1385"/>
    </row>
    <row r="91" spans="1:43" x14ac:dyDescent="0.35">
      <c r="A91" s="1382"/>
      <c r="B91" s="1422"/>
      <c r="C91" s="1383"/>
      <c r="D91" s="1383"/>
      <c r="E91" s="1383"/>
      <c r="F91" s="1383"/>
      <c r="G91" s="1384"/>
      <c r="H91" s="1385"/>
      <c r="I91" s="1385"/>
      <c r="J91" s="1385"/>
      <c r="K91" s="1385"/>
      <c r="L91" s="1385"/>
      <c r="M91" s="1385"/>
      <c r="N91" s="1385"/>
      <c r="O91" s="1385"/>
      <c r="P91" s="1385"/>
      <c r="Q91" s="1385"/>
      <c r="R91" s="1385"/>
      <c r="S91" s="1385"/>
      <c r="T91" s="1385"/>
      <c r="U91" s="1385"/>
      <c r="V91" s="1385"/>
      <c r="W91" s="1385"/>
      <c r="X91" s="1385"/>
      <c r="Y91" s="1385"/>
      <c r="Z91" s="1385"/>
      <c r="AA91" s="1385"/>
      <c r="AB91" s="1385"/>
      <c r="AC91" s="1385"/>
      <c r="AD91" s="1385"/>
      <c r="AE91" s="1385"/>
      <c r="AF91" s="1385"/>
      <c r="AG91" s="1385"/>
      <c r="AH91" s="1385"/>
      <c r="AI91" s="1385"/>
      <c r="AJ91" s="1385"/>
      <c r="AK91" s="1385"/>
      <c r="AL91" s="1385"/>
      <c r="AM91" s="1385"/>
      <c r="AN91" s="1385"/>
      <c r="AO91" s="1385"/>
      <c r="AP91" s="1385"/>
      <c r="AQ91" s="1385"/>
    </row>
    <row r="92" spans="1:43" s="2" customFormat="1" x14ac:dyDescent="0.35">
      <c r="A92" s="3764" t="s">
        <v>723</v>
      </c>
      <c r="B92" s="3765"/>
      <c r="C92" s="12"/>
      <c r="D92" s="12"/>
      <c r="E92" s="12"/>
      <c r="F92" s="12"/>
      <c r="G92" s="13"/>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row>
    <row r="93" spans="1:43" s="2" customFormat="1" x14ac:dyDescent="0.35">
      <c r="A93" s="1382"/>
      <c r="B93" s="1422"/>
      <c r="C93" s="1383"/>
      <c r="D93" s="1383"/>
      <c r="E93" s="1383"/>
      <c r="F93" s="1383"/>
      <c r="G93" s="1384"/>
      <c r="H93" s="1385"/>
      <c r="I93" s="1385"/>
      <c r="J93" s="1385"/>
      <c r="K93" s="1385"/>
      <c r="L93" s="1385"/>
      <c r="M93" s="1385"/>
      <c r="N93" s="1385"/>
      <c r="O93" s="1385"/>
      <c r="P93" s="1385"/>
      <c r="Q93" s="1385"/>
      <c r="R93" s="1385"/>
      <c r="S93" s="1385"/>
      <c r="T93" s="1385"/>
      <c r="U93" s="1385"/>
      <c r="V93" s="1385"/>
      <c r="W93" s="1385"/>
      <c r="X93" s="1385"/>
      <c r="Y93" s="1385"/>
      <c r="Z93" s="1385"/>
      <c r="AA93" s="1385"/>
      <c r="AB93" s="1385"/>
      <c r="AC93" s="1385"/>
      <c r="AD93" s="1385"/>
      <c r="AE93" s="1385"/>
      <c r="AF93" s="1385"/>
      <c r="AG93" s="1385"/>
      <c r="AH93" s="1385"/>
      <c r="AI93" s="1385"/>
      <c r="AJ93" s="1385"/>
      <c r="AK93" s="1385"/>
      <c r="AL93" s="1385"/>
      <c r="AM93" s="1385"/>
      <c r="AN93" s="1385"/>
      <c r="AO93" s="1385"/>
      <c r="AP93" s="1385"/>
      <c r="AQ93" s="1385"/>
    </row>
    <row r="94" spans="1:43" s="2" customFormat="1" x14ac:dyDescent="0.35">
      <c r="A94" s="1426"/>
      <c r="B94" s="1422"/>
      <c r="C94" s="1423"/>
      <c r="D94" s="1423"/>
      <c r="E94" s="1423"/>
      <c r="F94" s="1423"/>
      <c r="G94" s="646"/>
      <c r="H94" s="973"/>
      <c r="I94" s="973"/>
      <c r="J94" s="973"/>
      <c r="K94" s="973"/>
      <c r="L94" s="973"/>
      <c r="M94" s="973"/>
      <c r="N94" s="973"/>
      <c r="O94" s="973"/>
      <c r="P94" s="973"/>
      <c r="Q94" s="973"/>
      <c r="R94" s="973"/>
      <c r="S94" s="973"/>
      <c r="T94" s="973"/>
      <c r="U94" s="973"/>
      <c r="V94" s="973"/>
      <c r="W94" s="973"/>
      <c r="X94" s="973"/>
      <c r="Y94" s="973"/>
      <c r="Z94" s="973"/>
      <c r="AA94" s="973"/>
      <c r="AB94" s="973"/>
      <c r="AC94" s="973"/>
      <c r="AD94" s="973"/>
      <c r="AE94" s="973"/>
      <c r="AF94" s="973"/>
      <c r="AG94" s="973"/>
      <c r="AH94" s="973"/>
      <c r="AI94" s="973"/>
      <c r="AJ94" s="973"/>
      <c r="AK94" s="973"/>
      <c r="AL94" s="973"/>
      <c r="AM94" s="973"/>
      <c r="AN94" s="973"/>
      <c r="AO94" s="973"/>
      <c r="AP94" s="973"/>
      <c r="AQ94" s="973"/>
    </row>
    <row r="95" spans="1:43" s="2" customFormat="1" x14ac:dyDescent="0.35">
      <c r="A95" s="1416"/>
      <c r="B95" s="1417"/>
      <c r="C95" s="1423"/>
      <c r="D95" s="1423"/>
      <c r="E95" s="1423"/>
      <c r="F95" s="1423"/>
      <c r="G95" s="646"/>
      <c r="H95" s="974"/>
      <c r="I95" s="974"/>
      <c r="J95" s="974"/>
      <c r="K95" s="974"/>
      <c r="L95" s="974"/>
      <c r="M95" s="974"/>
      <c r="N95" s="974"/>
      <c r="O95" s="974"/>
      <c r="P95" s="974"/>
      <c r="Q95" s="974"/>
      <c r="R95" s="974"/>
      <c r="S95" s="974"/>
      <c r="T95" s="974"/>
      <c r="U95" s="974"/>
      <c r="V95" s="974"/>
      <c r="W95" s="974"/>
      <c r="X95" s="974"/>
      <c r="Y95" s="974"/>
      <c r="Z95" s="974"/>
      <c r="AA95" s="974"/>
      <c r="AB95" s="974"/>
      <c r="AC95" s="974"/>
      <c r="AD95" s="974"/>
      <c r="AE95" s="974"/>
      <c r="AF95" s="974"/>
      <c r="AG95" s="974"/>
      <c r="AH95" s="974"/>
      <c r="AI95" s="974"/>
      <c r="AJ95" s="974"/>
      <c r="AK95" s="974"/>
      <c r="AL95" s="974"/>
      <c r="AM95" s="974"/>
      <c r="AN95" s="974"/>
      <c r="AO95" s="974"/>
      <c r="AP95" s="974"/>
      <c r="AQ95" s="974"/>
    </row>
    <row r="96" spans="1:43" s="2" customFormat="1" x14ac:dyDescent="0.35">
      <c r="A96" s="3764" t="s">
        <v>724</v>
      </c>
      <c r="B96" s="3765"/>
      <c r="C96" s="12"/>
      <c r="D96" s="12"/>
      <c r="E96" s="12"/>
      <c r="F96" s="12"/>
      <c r="G96" s="13"/>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row>
    <row r="97" spans="1:43" x14ac:dyDescent="0.35">
      <c r="A97" s="1386"/>
      <c r="B97" s="1387" t="s">
        <v>1793</v>
      </c>
      <c r="C97" s="1383"/>
      <c r="D97" s="1383"/>
      <c r="E97" s="1383"/>
      <c r="F97" s="1383"/>
      <c r="G97" s="1384"/>
      <c r="H97" s="1385"/>
      <c r="I97" s="1385"/>
      <c r="J97" s="1385"/>
      <c r="K97" s="1385"/>
      <c r="L97" s="943" t="s">
        <v>669</v>
      </c>
      <c r="M97" s="1385">
        <f>-93510</f>
        <v>-93510</v>
      </c>
      <c r="N97" s="1385"/>
      <c r="O97" s="1385"/>
      <c r="P97" s="943" t="s">
        <v>669</v>
      </c>
      <c r="Q97" s="1385">
        <f>-93510</f>
        <v>-93510</v>
      </c>
      <c r="R97" s="943" t="s">
        <v>669</v>
      </c>
      <c r="S97" s="1385">
        <f>-93510</f>
        <v>-93510</v>
      </c>
      <c r="T97" s="1385"/>
      <c r="U97" s="1385"/>
      <c r="V97" s="1385"/>
      <c r="W97" s="1385"/>
      <c r="X97" s="1385"/>
      <c r="Y97" s="1385"/>
      <c r="Z97" s="1385"/>
      <c r="AA97" s="1385"/>
      <c r="AB97" s="1385"/>
      <c r="AC97" s="1385"/>
      <c r="AD97" s="1385"/>
      <c r="AE97" s="1385"/>
      <c r="AF97" s="1385"/>
      <c r="AG97" s="1385"/>
      <c r="AH97" s="1385"/>
      <c r="AI97" s="1385"/>
      <c r="AJ97" s="1385"/>
      <c r="AK97" s="1385"/>
      <c r="AL97" s="1385"/>
      <c r="AM97" s="1385"/>
      <c r="AN97" s="1385"/>
      <c r="AO97" s="1385"/>
      <c r="AP97" s="1385"/>
      <c r="AQ97" s="1385"/>
    </row>
    <row r="98" spans="1:43" x14ac:dyDescent="0.35">
      <c r="A98" s="1416"/>
      <c r="B98" s="1387" t="s">
        <v>1794</v>
      </c>
      <c r="C98" s="1423"/>
      <c r="D98" s="1423"/>
      <c r="E98" s="1423"/>
      <c r="F98" s="1423"/>
      <c r="G98" s="646"/>
      <c r="H98" s="977"/>
      <c r="I98" s="977"/>
      <c r="J98" s="943" t="s">
        <v>669</v>
      </c>
      <c r="K98" s="977">
        <v>-5600</v>
      </c>
      <c r="L98" s="977"/>
      <c r="M98" s="977" t="s">
        <v>1475</v>
      </c>
      <c r="N98" s="977"/>
      <c r="O98" s="977"/>
      <c r="P98" s="977"/>
      <c r="Q98" s="977"/>
      <c r="R98" s="977"/>
      <c r="S98" s="977"/>
      <c r="T98" s="977"/>
      <c r="U98" s="977"/>
      <c r="V98" s="977"/>
      <c r="W98" s="977"/>
      <c r="X98" s="977"/>
      <c r="Y98" s="977"/>
      <c r="Z98" s="977"/>
      <c r="AA98" s="977"/>
      <c r="AB98" s="977"/>
      <c r="AC98" s="977"/>
      <c r="AD98" s="977"/>
      <c r="AE98" s="977"/>
      <c r="AF98" s="977"/>
      <c r="AG98" s="977"/>
      <c r="AH98" s="977"/>
      <c r="AI98" s="977"/>
      <c r="AJ98" s="977"/>
      <c r="AK98" s="977"/>
      <c r="AL98" s="977"/>
      <c r="AM98" s="977"/>
      <c r="AN98" s="977"/>
      <c r="AO98" s="977"/>
      <c r="AP98" s="977"/>
      <c r="AQ98" s="977"/>
    </row>
    <row r="99" spans="1:43" x14ac:dyDescent="0.35">
      <c r="A99" s="1416"/>
      <c r="B99" s="1417"/>
      <c r="C99" s="1423"/>
      <c r="D99" s="1423"/>
      <c r="E99" s="1423"/>
      <c r="F99" s="1423"/>
      <c r="G99" s="646"/>
      <c r="H99" s="977"/>
      <c r="I99" s="977"/>
      <c r="J99" s="977"/>
      <c r="K99" s="977"/>
      <c r="L99" s="977"/>
      <c r="M99" s="977"/>
      <c r="N99" s="977"/>
      <c r="O99" s="977"/>
      <c r="P99" s="977"/>
      <c r="Q99" s="977"/>
      <c r="R99" s="977"/>
      <c r="S99" s="977"/>
      <c r="T99" s="977"/>
      <c r="U99" s="977"/>
      <c r="V99" s="977"/>
      <c r="W99" s="977"/>
      <c r="X99" s="977"/>
      <c r="Y99" s="977"/>
      <c r="Z99" s="977"/>
      <c r="AA99" s="977"/>
      <c r="AB99" s="977"/>
      <c r="AC99" s="977"/>
      <c r="AD99" s="977"/>
      <c r="AE99" s="977"/>
      <c r="AF99" s="977"/>
      <c r="AG99" s="977"/>
      <c r="AH99" s="977"/>
      <c r="AI99" s="977"/>
      <c r="AJ99" s="977"/>
      <c r="AK99" s="977"/>
      <c r="AL99" s="977"/>
      <c r="AM99" s="977"/>
      <c r="AN99" s="977"/>
      <c r="AO99" s="977"/>
      <c r="AP99" s="977"/>
      <c r="AQ99" s="977"/>
    </row>
    <row r="100" spans="1:43" x14ac:dyDescent="0.35">
      <c r="A100" s="3764" t="s">
        <v>725</v>
      </c>
      <c r="B100" s="3765"/>
      <c r="C100" s="12"/>
      <c r="D100" s="12"/>
      <c r="E100" s="12"/>
      <c r="F100" s="12"/>
      <c r="G100" s="13"/>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row>
    <row r="101" spans="1:43" x14ac:dyDescent="0.35">
      <c r="A101" s="1426"/>
      <c r="B101" s="1422" t="s">
        <v>726</v>
      </c>
      <c r="C101" s="1423"/>
      <c r="D101" s="1423"/>
      <c r="E101" s="1423"/>
      <c r="F101" s="1423"/>
      <c r="G101" s="646"/>
      <c r="H101" s="977"/>
      <c r="I101" s="977"/>
      <c r="J101" s="977"/>
      <c r="K101" s="977"/>
      <c r="L101" s="977"/>
      <c r="M101" s="977"/>
      <c r="N101" s="977"/>
      <c r="O101" s="977"/>
      <c r="P101" s="977"/>
      <c r="Q101" s="977"/>
      <c r="R101" s="977"/>
      <c r="S101" s="977"/>
      <c r="T101" s="977"/>
      <c r="U101" s="977"/>
      <c r="V101" s="977"/>
      <c r="W101" s="977"/>
      <c r="X101" s="977"/>
      <c r="Y101" s="977"/>
      <c r="Z101" s="977"/>
      <c r="AA101" s="977"/>
      <c r="AB101" s="977"/>
      <c r="AC101" s="977"/>
      <c r="AD101" s="977"/>
      <c r="AE101" s="977"/>
      <c r="AF101" s="977"/>
      <c r="AG101" s="977"/>
      <c r="AH101" s="977"/>
      <c r="AI101" s="977"/>
      <c r="AJ101" s="977"/>
      <c r="AK101" s="977"/>
      <c r="AL101" s="977"/>
      <c r="AM101" s="977"/>
      <c r="AN101" s="977"/>
      <c r="AO101" s="977"/>
      <c r="AP101" s="977"/>
      <c r="AQ101" s="977"/>
    </row>
    <row r="102" spans="1:43" x14ac:dyDescent="0.35">
      <c r="A102" s="1426"/>
      <c r="B102" s="1422" t="s">
        <v>727</v>
      </c>
      <c r="C102" s="1423"/>
      <c r="D102" s="1423"/>
      <c r="E102" s="1423"/>
      <c r="F102" s="1423"/>
      <c r="G102" s="646"/>
      <c r="H102" s="977"/>
      <c r="I102" s="977"/>
      <c r="J102" s="977"/>
      <c r="K102" s="977"/>
      <c r="L102" s="977"/>
      <c r="M102" s="977"/>
      <c r="N102" s="977"/>
      <c r="O102" s="977"/>
      <c r="P102" s="977"/>
      <c r="Q102" s="977"/>
      <c r="R102" s="977"/>
      <c r="S102" s="977"/>
      <c r="T102" s="977"/>
      <c r="U102" s="977"/>
      <c r="V102" s="977"/>
      <c r="W102" s="977"/>
      <c r="X102" s="977"/>
      <c r="Y102" s="977"/>
      <c r="Z102" s="977"/>
      <c r="AA102" s="977"/>
      <c r="AB102" s="977"/>
      <c r="AC102" s="977"/>
      <c r="AD102" s="977"/>
      <c r="AE102" s="977"/>
      <c r="AF102" s="977"/>
      <c r="AG102" s="977"/>
      <c r="AH102" s="977"/>
      <c r="AI102" s="977"/>
      <c r="AJ102" s="977"/>
      <c r="AK102" s="977"/>
      <c r="AL102" s="977"/>
      <c r="AM102" s="977"/>
      <c r="AN102" s="977"/>
      <c r="AO102" s="977"/>
      <c r="AP102" s="977"/>
      <c r="AQ102" s="977"/>
    </row>
    <row r="103" spans="1:43" x14ac:dyDescent="0.35">
      <c r="A103" s="1426"/>
      <c r="B103" s="1422" t="s">
        <v>728</v>
      </c>
      <c r="C103" s="1423"/>
      <c r="D103" s="1423"/>
      <c r="E103" s="1423"/>
      <c r="F103" s="1423"/>
      <c r="G103" s="646"/>
      <c r="H103" s="977"/>
      <c r="I103" s="977"/>
      <c r="J103" s="977"/>
      <c r="K103" s="977"/>
      <c r="L103" s="977"/>
      <c r="M103" s="977"/>
      <c r="N103" s="977"/>
      <c r="O103" s="977"/>
      <c r="P103" s="977"/>
      <c r="Q103" s="977"/>
      <c r="R103" s="977"/>
      <c r="S103" s="977"/>
      <c r="T103" s="977"/>
      <c r="U103" s="977"/>
      <c r="V103" s="977"/>
      <c r="W103" s="977"/>
      <c r="X103" s="977"/>
      <c r="Y103" s="977"/>
      <c r="Z103" s="977"/>
      <c r="AA103" s="977"/>
      <c r="AB103" s="977"/>
      <c r="AC103" s="977"/>
      <c r="AD103" s="977"/>
      <c r="AE103" s="977"/>
      <c r="AF103" s="977"/>
      <c r="AG103" s="977"/>
      <c r="AH103" s="977"/>
      <c r="AI103" s="977"/>
      <c r="AJ103" s="977"/>
      <c r="AK103" s="977"/>
      <c r="AL103" s="977"/>
      <c r="AM103" s="977"/>
      <c r="AN103" s="977"/>
      <c r="AO103" s="977"/>
      <c r="AP103" s="977"/>
      <c r="AQ103" s="977"/>
    </row>
    <row r="104" spans="1:43" x14ac:dyDescent="0.35">
      <c r="A104" s="1426"/>
      <c r="B104" s="1422" t="s">
        <v>729</v>
      </c>
      <c r="C104" s="1423"/>
      <c r="D104" s="1423"/>
      <c r="E104" s="1423"/>
      <c r="F104" s="1423"/>
      <c r="G104" s="646"/>
      <c r="H104" s="977"/>
      <c r="I104" s="977"/>
      <c r="J104" s="977"/>
      <c r="K104" s="977"/>
      <c r="L104" s="977"/>
      <c r="M104" s="977"/>
      <c r="N104" s="977"/>
      <c r="O104" s="977"/>
      <c r="P104" s="977"/>
      <c r="Q104" s="977"/>
      <c r="R104" s="977"/>
      <c r="S104" s="977"/>
      <c r="T104" s="977"/>
      <c r="U104" s="977"/>
      <c r="V104" s="977"/>
      <c r="W104" s="977"/>
      <c r="X104" s="977"/>
      <c r="Y104" s="977"/>
      <c r="Z104" s="977"/>
      <c r="AA104" s="977"/>
      <c r="AB104" s="977"/>
      <c r="AC104" s="977"/>
      <c r="AD104" s="977"/>
      <c r="AE104" s="977"/>
      <c r="AF104" s="977"/>
      <c r="AG104" s="977"/>
      <c r="AH104" s="977"/>
      <c r="AI104" s="977"/>
      <c r="AJ104" s="977"/>
      <c r="AK104" s="977"/>
      <c r="AL104" s="977"/>
      <c r="AM104" s="977"/>
      <c r="AN104" s="977"/>
      <c r="AO104" s="977"/>
      <c r="AP104" s="977"/>
      <c r="AQ104" s="977"/>
    </row>
    <row r="105" spans="1:43" x14ac:dyDescent="0.35">
      <c r="A105" s="978"/>
      <c r="B105" s="939"/>
      <c r="C105" s="940"/>
      <c r="D105" s="940"/>
      <c r="E105" s="940"/>
      <c r="F105" s="940"/>
      <c r="G105" s="1039"/>
      <c r="H105" s="981"/>
      <c r="I105" s="981"/>
      <c r="J105" s="981"/>
      <c r="K105" s="981"/>
      <c r="L105" s="981"/>
      <c r="M105" s="981"/>
      <c r="N105" s="981"/>
      <c r="O105" s="981"/>
      <c r="P105" s="981"/>
      <c r="Q105" s="981"/>
      <c r="R105" s="981"/>
      <c r="S105" s="981"/>
      <c r="T105" s="981"/>
      <c r="U105" s="981"/>
      <c r="V105" s="981"/>
      <c r="W105" s="981"/>
      <c r="X105" s="981"/>
      <c r="Y105" s="981"/>
      <c r="Z105" s="981"/>
      <c r="AA105" s="981"/>
      <c r="AB105" s="981"/>
      <c r="AC105" s="981"/>
      <c r="AD105" s="981"/>
      <c r="AE105" s="981"/>
      <c r="AF105" s="981"/>
      <c r="AG105" s="981"/>
      <c r="AH105" s="981"/>
      <c r="AI105" s="981"/>
      <c r="AJ105" s="981"/>
      <c r="AK105" s="981"/>
      <c r="AL105" s="981"/>
      <c r="AM105" s="981"/>
      <c r="AN105" s="981"/>
      <c r="AO105" s="981"/>
      <c r="AP105" s="981"/>
      <c r="AQ105" s="981"/>
    </row>
    <row r="106" spans="1:43" x14ac:dyDescent="0.35">
      <c r="A106" s="7" t="s">
        <v>730</v>
      </c>
      <c r="B106" s="8"/>
      <c r="C106" s="12"/>
      <c r="D106" s="12"/>
      <c r="E106" s="12"/>
      <c r="F106" s="12"/>
      <c r="G106" s="13"/>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row>
    <row r="107" spans="1:43" x14ac:dyDescent="0.35">
      <c r="A107" s="1382"/>
      <c r="B107" s="1388" t="s">
        <v>731</v>
      </c>
      <c r="C107" s="1383"/>
      <c r="D107" s="1383"/>
      <c r="E107" s="1383"/>
      <c r="F107" s="1383"/>
      <c r="G107" s="1384"/>
      <c r="H107" s="1389"/>
      <c r="I107" s="1389"/>
      <c r="J107" s="1389"/>
      <c r="K107" s="1389"/>
      <c r="L107" s="1389"/>
      <c r="M107" s="1389"/>
      <c r="N107" s="1389"/>
      <c r="O107" s="1389"/>
      <c r="P107" s="1389"/>
      <c r="Q107" s="1389"/>
      <c r="R107" s="1389"/>
      <c r="S107" s="1389"/>
      <c r="T107" s="1389"/>
      <c r="U107" s="1389"/>
      <c r="V107" s="1389"/>
      <c r="W107" s="1389"/>
      <c r="X107" s="1389"/>
      <c r="Y107" s="1389"/>
      <c r="Z107" s="1389"/>
      <c r="AA107" s="1389"/>
      <c r="AB107" s="1389"/>
      <c r="AC107" s="1389"/>
      <c r="AD107" s="1389"/>
      <c r="AE107" s="1389"/>
      <c r="AF107" s="1389"/>
      <c r="AG107" s="1389"/>
      <c r="AH107" s="1389"/>
      <c r="AI107" s="1389"/>
      <c r="AJ107" s="1389"/>
      <c r="AK107" s="1389"/>
      <c r="AL107" s="1389"/>
      <c r="AM107" s="1389"/>
      <c r="AN107" s="1389"/>
      <c r="AO107" s="1389"/>
      <c r="AP107" s="1389"/>
      <c r="AQ107" s="1389"/>
    </row>
    <row r="108" spans="1:43" x14ac:dyDescent="0.35">
      <c r="A108" s="1426"/>
      <c r="B108" s="1422" t="s">
        <v>732</v>
      </c>
      <c r="C108" s="1423"/>
      <c r="D108" s="1423"/>
      <c r="E108" s="1423"/>
      <c r="F108" s="1423"/>
      <c r="G108" s="646"/>
      <c r="H108" s="984"/>
      <c r="I108" s="984"/>
      <c r="J108" s="984"/>
      <c r="K108" s="984"/>
      <c r="L108" s="984"/>
      <c r="M108" s="984"/>
      <c r="N108" s="984"/>
      <c r="O108" s="984"/>
      <c r="P108" s="984"/>
      <c r="Q108" s="984"/>
      <c r="R108" s="984"/>
      <c r="S108" s="984"/>
      <c r="T108" s="984"/>
      <c r="U108" s="984"/>
      <c r="V108" s="984"/>
      <c r="W108" s="984"/>
      <c r="X108" s="984"/>
      <c r="Y108" s="984"/>
      <c r="Z108" s="984"/>
      <c r="AA108" s="984"/>
      <c r="AB108" s="984"/>
      <c r="AC108" s="984"/>
      <c r="AD108" s="984"/>
      <c r="AE108" s="984"/>
      <c r="AF108" s="984"/>
      <c r="AG108" s="984"/>
      <c r="AH108" s="984"/>
      <c r="AI108" s="984"/>
      <c r="AJ108" s="984"/>
      <c r="AK108" s="984"/>
      <c r="AL108" s="984"/>
      <c r="AM108" s="984"/>
      <c r="AN108" s="984"/>
      <c r="AO108" s="984"/>
      <c r="AP108" s="984"/>
      <c r="AQ108" s="984"/>
    </row>
    <row r="109" spans="1:43" x14ac:dyDescent="0.35">
      <c r="A109" s="985"/>
      <c r="B109" s="986" t="s">
        <v>733</v>
      </c>
      <c r="C109" s="987"/>
      <c r="D109" s="987"/>
      <c r="E109" s="987"/>
      <c r="F109" s="987"/>
      <c r="G109" s="1040"/>
      <c r="H109" s="990"/>
      <c r="I109" s="990"/>
      <c r="J109" s="990"/>
      <c r="K109" s="990"/>
      <c r="L109" s="990"/>
      <c r="M109" s="990"/>
      <c r="N109" s="990"/>
      <c r="O109" s="990"/>
      <c r="P109" s="990"/>
      <c r="Q109" s="990"/>
      <c r="R109" s="990"/>
      <c r="S109" s="990"/>
      <c r="T109" s="990"/>
      <c r="U109" s="990"/>
      <c r="V109" s="990"/>
      <c r="W109" s="990"/>
      <c r="X109" s="990"/>
      <c r="Y109" s="990"/>
      <c r="Z109" s="990"/>
      <c r="AA109" s="990"/>
      <c r="AB109" s="990"/>
      <c r="AC109" s="990"/>
      <c r="AD109" s="990"/>
      <c r="AE109" s="990"/>
      <c r="AF109" s="990"/>
      <c r="AG109" s="990"/>
      <c r="AH109" s="990"/>
      <c r="AI109" s="990"/>
      <c r="AJ109" s="990"/>
      <c r="AK109" s="990"/>
      <c r="AL109" s="990"/>
      <c r="AM109" s="990"/>
      <c r="AN109" s="990"/>
      <c r="AO109" s="990"/>
      <c r="AP109" s="990"/>
      <c r="AQ109" s="990"/>
    </row>
    <row r="110" spans="1:43" x14ac:dyDescent="0.35">
      <c r="AN110" s="2"/>
      <c r="AO110" s="2"/>
      <c r="AP110" s="2"/>
      <c r="AQ110" s="2"/>
    </row>
    <row r="111" spans="1:43" x14ac:dyDescent="0.35">
      <c r="A111" s="78" t="s">
        <v>734</v>
      </c>
      <c r="B111" s="80"/>
      <c r="C111" s="2" t="s">
        <v>20</v>
      </c>
      <c r="D111" s="2" t="s">
        <v>794</v>
      </c>
      <c r="E111" s="2" t="s">
        <v>746</v>
      </c>
      <c r="AN111" s="2"/>
      <c r="AO111" s="2"/>
      <c r="AP111" s="2"/>
      <c r="AQ111" s="2"/>
    </row>
    <row r="112" spans="1:43" x14ac:dyDescent="0.35">
      <c r="A112" s="79" t="s">
        <v>632</v>
      </c>
      <c r="B112" s="993" t="str">
        <f>P4</f>
        <v xml:space="preserve"> Assurance R1</v>
      </c>
      <c r="AN112" s="2"/>
      <c r="AO112" s="2"/>
      <c r="AP112" s="2"/>
      <c r="AQ112" s="2"/>
    </row>
    <row r="113" spans="1:43" x14ac:dyDescent="0.35">
      <c r="A113" s="1465" t="s">
        <v>636</v>
      </c>
      <c r="B113" s="991" t="str">
        <f>P5</f>
        <v>Felipe Torres</v>
      </c>
      <c r="AN113" s="2"/>
      <c r="AO113" s="2"/>
      <c r="AP113" s="2"/>
      <c r="AQ113" s="2"/>
    </row>
    <row r="114" spans="1:43" x14ac:dyDescent="0.35">
      <c r="A114" s="992" t="s">
        <v>639</v>
      </c>
      <c r="B114" s="993" t="str">
        <f>P6</f>
        <v>305-826-2960</v>
      </c>
      <c r="AN114" s="2"/>
      <c r="AO114" s="2"/>
      <c r="AP114" s="2"/>
      <c r="AQ114" s="2"/>
    </row>
    <row r="115" spans="1:43" x14ac:dyDescent="0.35">
      <c r="A115" s="992" t="s">
        <v>642</v>
      </c>
      <c r="B115" s="1286" t="str">
        <f>P7</f>
        <v>estimating@cellucrete.com</v>
      </c>
      <c r="K115" s="397"/>
      <c r="Y115" s="397"/>
      <c r="AN115" s="2"/>
      <c r="AO115" s="2"/>
      <c r="AP115" s="2"/>
      <c r="AQ115" s="2"/>
    </row>
    <row r="116" spans="1:43" x14ac:dyDescent="0.35">
      <c r="A116" s="995" t="s">
        <v>735</v>
      </c>
      <c r="B116" s="996">
        <f>P8-C116-D116-E116</f>
        <v>2020840</v>
      </c>
      <c r="C116" s="332">
        <f>Q43</f>
        <v>96760</v>
      </c>
      <c r="D116" s="332">
        <f>Q44</f>
        <v>114310</v>
      </c>
      <c r="E116" s="332">
        <v>0</v>
      </c>
      <c r="K116" s="397"/>
      <c r="Y116" s="397"/>
      <c r="AN116" s="2"/>
      <c r="AO116" s="2"/>
      <c r="AP116" s="2"/>
      <c r="AQ116" s="2"/>
    </row>
    <row r="117" spans="1:43" x14ac:dyDescent="0.35">
      <c r="B117" s="173"/>
      <c r="K117" s="397"/>
      <c r="Y117" s="397"/>
      <c r="AN117" s="2"/>
      <c r="AO117" s="2"/>
      <c r="AP117" s="2"/>
      <c r="AQ117" s="2"/>
    </row>
    <row r="118" spans="1:43" x14ac:dyDescent="0.35">
      <c r="A118" s="81"/>
      <c r="B118" s="1" t="s">
        <v>736</v>
      </c>
      <c r="K118" s="397"/>
      <c r="Y118" s="397"/>
      <c r="AN118" s="2"/>
      <c r="AO118" s="2"/>
      <c r="AP118" s="2"/>
      <c r="AQ118" s="2"/>
    </row>
    <row r="119" spans="1:43" x14ac:dyDescent="0.35">
      <c r="A119" s="82"/>
      <c r="B119" s="1" t="s">
        <v>737</v>
      </c>
      <c r="K119" s="397"/>
      <c r="Y119" s="397"/>
    </row>
    <row r="120" spans="1:43" x14ac:dyDescent="0.35">
      <c r="K120" s="397"/>
      <c r="Y120" s="397"/>
    </row>
    <row r="121" spans="1:43" x14ac:dyDescent="0.35">
      <c r="K121" s="397"/>
      <c r="Y121" s="397"/>
    </row>
    <row r="122" spans="1:43" x14ac:dyDescent="0.35">
      <c r="K122" s="174"/>
      <c r="Y122" s="174"/>
    </row>
    <row r="123" spans="1:43" x14ac:dyDescent="0.35">
      <c r="K123" s="174"/>
      <c r="Y123" s="174"/>
    </row>
    <row r="124" spans="1:43" x14ac:dyDescent="0.35">
      <c r="K124" s="174"/>
      <c r="Y124" s="174"/>
    </row>
    <row r="125" spans="1:43" x14ac:dyDescent="0.35">
      <c r="K125" s="174"/>
      <c r="Y125" s="174"/>
    </row>
    <row r="126" spans="1:43" x14ac:dyDescent="0.35">
      <c r="K126" s="174"/>
      <c r="Y126" s="174"/>
    </row>
    <row r="127" spans="1:43" x14ac:dyDescent="0.35">
      <c r="K127" s="174"/>
      <c r="Y127" s="174"/>
    </row>
    <row r="128" spans="1:43" x14ac:dyDescent="0.35">
      <c r="K128" s="174"/>
      <c r="Y128" s="174"/>
    </row>
    <row r="129" spans="11:25" x14ac:dyDescent="0.35">
      <c r="K129" s="174"/>
      <c r="Y129" s="174"/>
    </row>
    <row r="130" spans="11:25" x14ac:dyDescent="0.35">
      <c r="K130" s="174"/>
      <c r="Y130" s="174"/>
    </row>
    <row r="131" spans="11:25" x14ac:dyDescent="0.35">
      <c r="K131" s="174"/>
      <c r="Y131" s="174"/>
    </row>
    <row r="132" spans="11:25" x14ac:dyDescent="0.35">
      <c r="K132" s="174"/>
      <c r="Y132" s="174"/>
    </row>
    <row r="133" spans="11:25" x14ac:dyDescent="0.35">
      <c r="K133" s="397"/>
      <c r="Y133" s="397"/>
    </row>
  </sheetData>
  <mergeCells count="136">
    <mergeCell ref="Z1:AA1"/>
    <mergeCell ref="Z2:AA2"/>
    <mergeCell ref="Z3:AA3"/>
    <mergeCell ref="Z4:AA4"/>
    <mergeCell ref="Z5:AA5"/>
    <mergeCell ref="Z6:AA6"/>
    <mergeCell ref="Z7:AA7"/>
    <mergeCell ref="Z8:AA8"/>
    <mergeCell ref="A100:B100"/>
    <mergeCell ref="X2:Y2"/>
    <mergeCell ref="X3:Y3"/>
    <mergeCell ref="R2:S2"/>
    <mergeCell ref="H4:I4"/>
    <mergeCell ref="P7:Q7"/>
    <mergeCell ref="N7:O7"/>
    <mergeCell ref="N8:O8"/>
    <mergeCell ref="J7:K7"/>
    <mergeCell ref="J8:K8"/>
    <mergeCell ref="J1:K1"/>
    <mergeCell ref="L7:M7"/>
    <mergeCell ref="L8:M8"/>
    <mergeCell ref="L1:M1"/>
    <mergeCell ref="N1:O1"/>
    <mergeCell ref="T7:U7"/>
    <mergeCell ref="AP7:AQ7"/>
    <mergeCell ref="AP8:AQ8"/>
    <mergeCell ref="AD8:AE8"/>
    <mergeCell ref="AF8:AG8"/>
    <mergeCell ref="A88:B88"/>
    <mergeCell ref="A84:B84"/>
    <mergeCell ref="A92:B92"/>
    <mergeCell ref="A96:B96"/>
    <mergeCell ref="AF7:AG7"/>
    <mergeCell ref="X7:Y7"/>
    <mergeCell ref="X8:Y8"/>
    <mergeCell ref="AH8:AI8"/>
    <mergeCell ref="AL8:AM8"/>
    <mergeCell ref="AD7:AE7"/>
    <mergeCell ref="H8:I8"/>
    <mergeCell ref="AB7:AC7"/>
    <mergeCell ref="AB8:AC8"/>
    <mergeCell ref="P8:Q8"/>
    <mergeCell ref="V8:W8"/>
    <mergeCell ref="V7:W7"/>
    <mergeCell ref="R7:S7"/>
    <mergeCell ref="R8:S8"/>
    <mergeCell ref="AH7:AI7"/>
    <mergeCell ref="H7:I7"/>
    <mergeCell ref="AP4:AQ4"/>
    <mergeCell ref="AP5:AQ5"/>
    <mergeCell ref="AP6:AQ6"/>
    <mergeCell ref="AL5:AM5"/>
    <mergeCell ref="AL3:AM3"/>
    <mergeCell ref="AJ3:AK3"/>
    <mergeCell ref="H3:I3"/>
    <mergeCell ref="V4:W4"/>
    <mergeCell ref="V5:W5"/>
    <mergeCell ref="AB4:AC4"/>
    <mergeCell ref="AB5:AC5"/>
    <mergeCell ref="AB6:AC6"/>
    <mergeCell ref="V6:W6"/>
    <mergeCell ref="R3:S3"/>
    <mergeCell ref="R4:S4"/>
    <mergeCell ref="R5:S5"/>
    <mergeCell ref="X4:Y4"/>
    <mergeCell ref="X5:Y5"/>
    <mergeCell ref="X6:Y6"/>
    <mergeCell ref="AF4:AG4"/>
    <mergeCell ref="AF5:AG5"/>
    <mergeCell ref="AF6:AG6"/>
    <mergeCell ref="R6:S6"/>
    <mergeCell ref="P3:Q3"/>
    <mergeCell ref="AP2:AQ2"/>
    <mergeCell ref="AP3:AQ3"/>
    <mergeCell ref="H2:I2"/>
    <mergeCell ref="AL2:AM2"/>
    <mergeCell ref="P2:Q2"/>
    <mergeCell ref="AH2:AI2"/>
    <mergeCell ref="V2:W2"/>
    <mergeCell ref="V3:W3"/>
    <mergeCell ref="AB3:AC3"/>
    <mergeCell ref="N2:O2"/>
    <mergeCell ref="N3:O3"/>
    <mergeCell ref="J2:K2"/>
    <mergeCell ref="J3:K3"/>
    <mergeCell ref="L2:M2"/>
    <mergeCell ref="L3:M3"/>
    <mergeCell ref="T2:U2"/>
    <mergeCell ref="T3:U3"/>
    <mergeCell ref="AH4:AI4"/>
    <mergeCell ref="AH6:AI6"/>
    <mergeCell ref="P6:Q6"/>
    <mergeCell ref="H5:I5"/>
    <mergeCell ref="P4:Q4"/>
    <mergeCell ref="P5:Q5"/>
    <mergeCell ref="H6:I6"/>
    <mergeCell ref="AL6:AM6"/>
    <mergeCell ref="AD4:AE4"/>
    <mergeCell ref="AD5:AE5"/>
    <mergeCell ref="AD6:AE6"/>
    <mergeCell ref="N4:O4"/>
    <mergeCell ref="N5:O5"/>
    <mergeCell ref="N6:O6"/>
    <mergeCell ref="J4:K4"/>
    <mergeCell ref="J5:K5"/>
    <mergeCell ref="J6:K6"/>
    <mergeCell ref="L4:M4"/>
    <mergeCell ref="L5:M5"/>
    <mergeCell ref="L6:M6"/>
    <mergeCell ref="T4:U4"/>
    <mergeCell ref="T5:U5"/>
    <mergeCell ref="T6:U6"/>
    <mergeCell ref="T8:U8"/>
    <mergeCell ref="AD1:AE1"/>
    <mergeCell ref="AN7:AO7"/>
    <mergeCell ref="AN8:AO8"/>
    <mergeCell ref="AN2:AO2"/>
    <mergeCell ref="AN3:AO3"/>
    <mergeCell ref="AN4:AO4"/>
    <mergeCell ref="AN5:AO5"/>
    <mergeCell ref="AN6:AO6"/>
    <mergeCell ref="AL1:AM1"/>
    <mergeCell ref="AJ2:AK2"/>
    <mergeCell ref="AH5:AI5"/>
    <mergeCell ref="AJ4:AK4"/>
    <mergeCell ref="AJ5:AK5"/>
    <mergeCell ref="AJ6:AK6"/>
    <mergeCell ref="AJ7:AK7"/>
    <mergeCell ref="AJ8:AK8"/>
    <mergeCell ref="AF2:AG2"/>
    <mergeCell ref="AF3:AG3"/>
    <mergeCell ref="AL7:AM7"/>
    <mergeCell ref="AH3:AI3"/>
    <mergeCell ref="AD2:AE2"/>
    <mergeCell ref="AD3:AE3"/>
    <mergeCell ref="AL4:AM4"/>
  </mergeCells>
  <conditionalFormatting sqref="H20:H33 J20:J33">
    <cfRule type="cellIs" dxfId="2229" priority="11" operator="equal">
      <formula>"X"</formula>
    </cfRule>
    <cfRule type="cellIs" dxfId="2228" priority="12" operator="equal">
      <formula>"I"</formula>
    </cfRule>
  </conditionalFormatting>
  <conditionalFormatting sqref="J35:J46 H35:H46 H48:H75">
    <cfRule type="cellIs" dxfId="2227" priority="13" operator="equal">
      <formula>"X"</formula>
    </cfRule>
    <cfRule type="cellIs" dxfId="2226" priority="14" operator="equal">
      <formula>"I"</formula>
    </cfRule>
  </conditionalFormatting>
  <conditionalFormatting sqref="J48:J74">
    <cfRule type="cellIs" dxfId="2225" priority="37" operator="equal">
      <formula>"X"</formula>
    </cfRule>
    <cfRule type="cellIs" dxfId="2224" priority="38" operator="equal">
      <formula>"I"</formula>
    </cfRule>
  </conditionalFormatting>
  <conditionalFormatting sqref="J98">
    <cfRule type="cellIs" dxfId="2223" priority="17" operator="equal">
      <formula>"X"</formula>
    </cfRule>
    <cfRule type="cellIs" dxfId="2222" priority="18" operator="equal">
      <formula>"I"</formula>
    </cfRule>
  </conditionalFormatting>
  <conditionalFormatting sqref="L20:L33">
    <cfRule type="cellIs" dxfId="2221" priority="25" operator="equal">
      <formula>"X"</formula>
    </cfRule>
    <cfRule type="cellIs" dxfId="2220" priority="26" operator="equal">
      <formula>"I"</formula>
    </cfRule>
  </conditionalFormatting>
  <conditionalFormatting sqref="L35:L38">
    <cfRule type="cellIs" dxfId="2219" priority="21" operator="equal">
      <formula>"X"</formula>
    </cfRule>
    <cfRule type="cellIs" dxfId="2218" priority="22" operator="equal">
      <formula>"I"</formula>
    </cfRule>
  </conditionalFormatting>
  <conditionalFormatting sqref="L40:L75">
    <cfRule type="cellIs" dxfId="2217" priority="27" operator="equal">
      <formula>"X"</formula>
    </cfRule>
    <cfRule type="cellIs" dxfId="2216" priority="28" operator="equal">
      <formula>"I"</formula>
    </cfRule>
  </conditionalFormatting>
  <conditionalFormatting sqref="L97">
    <cfRule type="cellIs" dxfId="2215" priority="23" operator="equal">
      <formula>"X"</formula>
    </cfRule>
    <cfRule type="cellIs" dxfId="2214" priority="24" operator="equal">
      <formula>"I"</formula>
    </cfRule>
  </conditionalFormatting>
  <conditionalFormatting sqref="N20:N33 N35:N75">
    <cfRule type="cellIs" dxfId="2213" priority="39" operator="equal">
      <formula>"X"</formula>
    </cfRule>
    <cfRule type="cellIs" dxfId="2212" priority="40" operator="equal">
      <formula>"I"</formula>
    </cfRule>
  </conditionalFormatting>
  <conditionalFormatting sqref="P20:P33">
    <cfRule type="cellIs" dxfId="2211" priority="273" operator="equal">
      <formula>"X"</formula>
    </cfRule>
    <cfRule type="cellIs" dxfId="2210" priority="274" operator="equal">
      <formula>"I"</formula>
    </cfRule>
  </conditionalFormatting>
  <conditionalFormatting sqref="P35:P38">
    <cfRule type="cellIs" dxfId="2209" priority="105" operator="equal">
      <formula>"X"</formula>
    </cfRule>
    <cfRule type="cellIs" dxfId="2208" priority="106" operator="equal">
      <formula>"I"</formula>
    </cfRule>
  </conditionalFormatting>
  <conditionalFormatting sqref="P97">
    <cfRule type="cellIs" dxfId="2207" priority="271" operator="equal">
      <formula>"X"</formula>
    </cfRule>
    <cfRule type="cellIs" dxfId="2206" priority="272" operator="equal">
      <formula>"I"</formula>
    </cfRule>
  </conditionalFormatting>
  <conditionalFormatting sqref="R20:R33">
    <cfRule type="cellIs" dxfId="2205" priority="91" operator="equal">
      <formula>"X"</formula>
    </cfRule>
    <cfRule type="cellIs" dxfId="2204" priority="92" operator="equal">
      <formula>"I"</formula>
    </cfRule>
  </conditionalFormatting>
  <conditionalFormatting sqref="R35:R38">
    <cfRule type="cellIs" dxfId="2203" priority="85" operator="equal">
      <formula>"X"</formula>
    </cfRule>
    <cfRule type="cellIs" dxfId="2202" priority="86" operator="equal">
      <formula>"I"</formula>
    </cfRule>
  </conditionalFormatting>
  <conditionalFormatting sqref="R97">
    <cfRule type="cellIs" dxfId="2201" priority="89" operator="equal">
      <formula>"X"</formula>
    </cfRule>
    <cfRule type="cellIs" dxfId="2200" priority="90" operator="equal">
      <formula>"I"</formula>
    </cfRule>
  </conditionalFormatting>
  <conditionalFormatting sqref="T22:T33">
    <cfRule type="cellIs" dxfId="2199" priority="5" operator="equal">
      <formula>"X"</formula>
    </cfRule>
    <cfRule type="cellIs" dxfId="2198" priority="6" operator="equal">
      <formula>"I"</formula>
    </cfRule>
  </conditionalFormatting>
  <conditionalFormatting sqref="T37:T38">
    <cfRule type="cellIs" dxfId="2197" priority="3" operator="equal">
      <formula>"X"</formula>
    </cfRule>
    <cfRule type="cellIs" dxfId="2196" priority="4" operator="equal">
      <formula>"I"</formula>
    </cfRule>
  </conditionalFormatting>
  <conditionalFormatting sqref="T40:T46">
    <cfRule type="cellIs" dxfId="2195" priority="7" operator="equal">
      <formula>"X"</formula>
    </cfRule>
    <cfRule type="cellIs" dxfId="2194" priority="8" operator="equal">
      <formula>"I"</formula>
    </cfRule>
  </conditionalFormatting>
  <conditionalFormatting sqref="T48:T73">
    <cfRule type="cellIs" dxfId="2193" priority="9" operator="equal">
      <formula>"X"</formula>
    </cfRule>
    <cfRule type="cellIs" dxfId="2192" priority="10" operator="equal">
      <formula>"I"</formula>
    </cfRule>
  </conditionalFormatting>
  <conditionalFormatting sqref="V22:V33">
    <cfRule type="cellIs" dxfId="2191" priority="209" operator="equal">
      <formula>"X"</formula>
    </cfRule>
    <cfRule type="cellIs" dxfId="2190" priority="210" operator="equal">
      <formula>"I"</formula>
    </cfRule>
  </conditionalFormatting>
  <conditionalFormatting sqref="V40:V46">
    <cfRule type="cellIs" dxfId="2189" priority="237" operator="equal">
      <formula>"X"</formula>
    </cfRule>
    <cfRule type="cellIs" dxfId="2188" priority="238" operator="equal">
      <formula>"I"</formula>
    </cfRule>
  </conditionalFormatting>
  <conditionalFormatting sqref="X22:X33">
    <cfRule type="cellIs" dxfId="2187" priority="93" operator="equal">
      <formula>"X"</formula>
    </cfRule>
    <cfRule type="cellIs" dxfId="2186" priority="94" operator="equal">
      <formula>"I"</formula>
    </cfRule>
  </conditionalFormatting>
  <conditionalFormatting sqref="X37:X38">
    <cfRule type="cellIs" dxfId="2185" priority="31" operator="equal">
      <formula>"X"</formula>
    </cfRule>
    <cfRule type="cellIs" dxfId="2184" priority="32" operator="equal">
      <formula>"I"</formula>
    </cfRule>
  </conditionalFormatting>
  <conditionalFormatting sqref="X40:X46">
    <cfRule type="cellIs" dxfId="2183" priority="99" operator="equal">
      <formula>"X"</formula>
    </cfRule>
    <cfRule type="cellIs" dxfId="2182" priority="100" operator="equal">
      <formula>"I"</formula>
    </cfRule>
  </conditionalFormatting>
  <conditionalFormatting sqref="Z20:Z33">
    <cfRule type="cellIs" dxfId="2181" priority="81" operator="equal">
      <formula>"X"</formula>
    </cfRule>
    <cfRule type="cellIs" dxfId="2180" priority="82" operator="equal">
      <formula>"I"</formula>
    </cfRule>
  </conditionalFormatting>
  <conditionalFormatting sqref="Z35:Z36">
    <cfRule type="cellIs" dxfId="2179" priority="83" operator="equal">
      <formula>"X"</formula>
    </cfRule>
    <cfRule type="cellIs" dxfId="2178" priority="84" operator="equal">
      <formula>"I"</formula>
    </cfRule>
  </conditionalFormatting>
  <conditionalFormatting sqref="Z40:Z75">
    <cfRule type="cellIs" dxfId="2177" priority="41" operator="equal">
      <formula>"X"</formula>
    </cfRule>
    <cfRule type="cellIs" dxfId="2176" priority="42" operator="equal">
      <formula>"I"</formula>
    </cfRule>
  </conditionalFormatting>
  <conditionalFormatting sqref="AB23:AB33">
    <cfRule type="cellIs" dxfId="2175" priority="207" operator="equal">
      <formula>"X"</formula>
    </cfRule>
    <cfRule type="cellIs" dxfId="2174" priority="208" operator="equal">
      <formula>"I"</formula>
    </cfRule>
  </conditionalFormatting>
  <conditionalFormatting sqref="AB37:AB38">
    <cfRule type="cellIs" dxfId="2173" priority="203" operator="equal">
      <formula>"X"</formula>
    </cfRule>
    <cfRule type="cellIs" dxfId="2172" priority="204" operator="equal">
      <formula>"I"</formula>
    </cfRule>
  </conditionalFormatting>
  <conditionalFormatting sqref="AB40:AB46">
    <cfRule type="cellIs" dxfId="2171" priority="175" operator="equal">
      <formula>"X"</formula>
    </cfRule>
    <cfRule type="cellIs" dxfId="2170" priority="176" operator="equal">
      <formula>"I"</formula>
    </cfRule>
  </conditionalFormatting>
  <conditionalFormatting sqref="AD20:AD33">
    <cfRule type="cellIs" dxfId="2169" priority="277" operator="equal">
      <formula>"X"</formula>
    </cfRule>
    <cfRule type="cellIs" dxfId="2168" priority="278" operator="equal">
      <formula>"I"</formula>
    </cfRule>
  </conditionalFormatting>
  <conditionalFormatting sqref="AD35:AD36">
    <cfRule type="cellIs" dxfId="2167" priority="301" operator="equal">
      <formula>"X"</formula>
    </cfRule>
    <cfRule type="cellIs" dxfId="2166" priority="302" operator="equal">
      <formula>"I"</formula>
    </cfRule>
  </conditionalFormatting>
  <conditionalFormatting sqref="AF20:AF33">
    <cfRule type="cellIs" dxfId="2165" priority="145" operator="equal">
      <formula>"X"</formula>
    </cfRule>
    <cfRule type="cellIs" dxfId="2164" priority="146" operator="equal">
      <formula>"I"</formula>
    </cfRule>
  </conditionalFormatting>
  <conditionalFormatting sqref="AF35:AF75 AJ35:AJ75 AL35:AL75 AN35:AN75 AP35:AP75 P40:P75 R40:R75 AD40:AD75 AH40:AH75 V48:V73 X48:X73 AB48:AB75">
    <cfRule type="cellIs" dxfId="2163" priority="267" operator="equal">
      <formula>"X"</formula>
    </cfRule>
    <cfRule type="cellIs" dxfId="2162" priority="268" operator="equal">
      <formula>"I"</formula>
    </cfRule>
  </conditionalFormatting>
  <conditionalFormatting sqref="AH20:AH33">
    <cfRule type="cellIs" dxfId="2161" priority="251" operator="equal">
      <formula>"X"</formula>
    </cfRule>
    <cfRule type="cellIs" dxfId="2160" priority="252" operator="equal">
      <formula>"I"</formula>
    </cfRule>
  </conditionalFormatting>
  <conditionalFormatting sqref="AH35:AH36">
    <cfRule type="cellIs" dxfId="2159" priority="361" operator="equal">
      <formula>"X"</formula>
    </cfRule>
    <cfRule type="cellIs" dxfId="2158" priority="362" operator="equal">
      <formula>"I"</formula>
    </cfRule>
  </conditionalFormatting>
  <conditionalFormatting sqref="AJ20:AJ33">
    <cfRule type="cellIs" dxfId="2157" priority="259" operator="equal">
      <formula>"X"</formula>
    </cfRule>
    <cfRule type="cellIs" dxfId="2156" priority="260" operator="equal">
      <formula>"I"</formula>
    </cfRule>
  </conditionalFormatting>
  <conditionalFormatting sqref="AL20:AL33">
    <cfRule type="cellIs" dxfId="2155" priority="367" operator="equal">
      <formula>"X"</formula>
    </cfRule>
    <cfRule type="cellIs" dxfId="2154" priority="368" operator="equal">
      <formula>"I"</formula>
    </cfRule>
  </conditionalFormatting>
  <conditionalFormatting sqref="AN20:AN33">
    <cfRule type="cellIs" dxfId="2153" priority="321" operator="equal">
      <formula>"X"</formula>
    </cfRule>
    <cfRule type="cellIs" dxfId="2152" priority="322" operator="equal">
      <formula>"I"</formula>
    </cfRule>
  </conditionalFormatting>
  <conditionalFormatting sqref="AP20:AP33">
    <cfRule type="cellIs" dxfId="2151" priority="309" operator="equal">
      <formula>"X"</formula>
    </cfRule>
    <cfRule type="cellIs" dxfId="2150" priority="310" operator="equal">
      <formula>"I"</formula>
    </cfRule>
  </conditionalFormatting>
  <conditionalFormatting sqref="H47 J47">
    <cfRule type="cellIs" dxfId="2149" priority="1" operator="equal">
      <formula>"X"</formula>
    </cfRule>
    <cfRule type="cellIs" dxfId="2148" priority="2" operator="equal">
      <formula>"I"</formula>
    </cfRule>
  </conditionalFormatting>
  <hyperlinks>
    <hyperlink ref="B3" location="'Cost Summary'!A1" display="BACK TO SUMMARY SHEET" xr:uid="{D409B23B-B740-4147-907A-7898DC0A8480}"/>
    <hyperlink ref="P7:Q7" r:id="rId1" display="estimating@cellucrete.com" xr:uid="{71CE2F49-2604-4D87-8E71-DA023F26934D}"/>
    <hyperlink ref="AH7:AI7" r:id="rId2" display="scottrell@verobeachroofing.com&gt; " xr:uid="{870EC610-B75A-48B7-BE4E-E9718FAA7253}"/>
    <hyperlink ref="AL7:AM7" r:id="rId3" display="andrew.yusko@campanyroofing.com" xr:uid="{F0E2CE5F-DDA6-4D13-8C57-EA264733D3D7}"/>
    <hyperlink ref="AN7:AO7" r:id="rId4" display="jeff.thomas@truteam.com" xr:uid="{0C809A68-98FF-43B1-8071-CAE2E4C64E19}"/>
    <hyperlink ref="AP7:AQ7" r:id="rId5" display="jeff.thomas@truteam.com" xr:uid="{B89FC11D-F7FA-4806-ABC7-DC7D1C9B1406}"/>
    <hyperlink ref="AD7:AE7" r:id="rId6" display="jessica@evansroof.com" xr:uid="{78DA7E9F-9DC9-4B79-B4F2-BF3DB32536EB}"/>
    <hyperlink ref="AJ7:AK7" r:id="rId7" display="rwalker@apexroofing.net  " xr:uid="{ECE6E874-66F8-4FA2-AF7B-189EEFA99B3E}"/>
    <hyperlink ref="V7:W7" r:id="rId8" display="&lt;Matt@wolverineroofers.com&gt;" xr:uid="{027A6AD2-0B43-4C95-8460-8001ADBBDEC4}"/>
    <hyperlink ref="AB7:AC7" r:id="rId9" display="lpetrunti@pa-roofing.com" xr:uid="{500ECD82-29EC-4F7C-8E50-F62A18707547}"/>
    <hyperlink ref="AF7:AG7" r:id="rId10" display="sam@walshrooﬁng.com" xr:uid="{224BCC17-9818-426E-8269-915F924C92F2}"/>
    <hyperlink ref="X7:Y7" r:id="rId11" display="&lt;Matt@wolverineroofers.com&gt;" xr:uid="{85CE2EDF-5A4A-4601-9DA1-6520140ADACE}"/>
    <hyperlink ref="R7:S7" r:id="rId12" display="estimating@cellucrete.com" xr:uid="{0AAC2A2C-F7BA-4EE4-AE60-D3B2AB6655ED}"/>
    <hyperlink ref="Z7:AA7" r:id="rId13" display="zrrofllc@gmail.com" xr:uid="{6F049211-7E89-49F6-B302-F2D6A6BB4530}"/>
    <hyperlink ref="J7:K7" r:id="rId14" display="&lt;Matt@wolverineroofers.com&gt;" xr:uid="{476F28B9-7DC4-46C8-BF99-8C2B0E7B23A8}"/>
    <hyperlink ref="L7:M7" r:id="rId15" display="estimating@cellucrete.com" xr:uid="{7FACEEAE-6A74-4351-AD1E-74864CA02E99}"/>
  </hyperlinks>
  <pageMargins left="0.7" right="0.7" top="0.75" bottom="0.75" header="0.3" footer="0.3"/>
  <pageSetup scale="60" orientation="portrait" horizontalDpi="1200" verticalDpi="1200" r:id="rId16"/>
  <rowBreaks count="1" manualBreakCount="1">
    <brk id="75" max="6" man="1"/>
  </rowBreaks>
  <legacyDrawing r:id="rId17"/>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2775-A828-4BDD-8172-4E1531FFE3C1}">
  <sheetPr>
    <tabColor rgb="FFFFC000"/>
  </sheetPr>
  <dimension ref="A1:W134"/>
  <sheetViews>
    <sheetView zoomScale="80" zoomScaleNormal="80" workbookViewId="0">
      <pane xSplit="2" ySplit="9" topLeftCell="C66" activePane="bottomRight" state="frozen"/>
      <selection pane="topRight" activeCell="C1" sqref="C1"/>
      <selection pane="bottomLeft" activeCell="A10" sqref="A10"/>
      <selection pane="bottomRight" activeCell="B55" sqref="B55"/>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54296875" style="2" customWidth="1"/>
    <col min="7" max="7" width="13.1796875" style="2" bestFit="1" customWidth="1"/>
    <col min="8" max="8" width="6.453125" style="2" customWidth="1"/>
    <col min="9" max="9" width="14.81640625" style="2" customWidth="1"/>
    <col min="10" max="10" width="6.453125" style="2" customWidth="1"/>
    <col min="11" max="11" width="14.81640625" style="2" customWidth="1"/>
    <col min="12" max="12" width="6" style="2" customWidth="1"/>
    <col min="13" max="13" width="14.81640625" style="2" customWidth="1"/>
    <col min="14" max="14" width="6.26953125" style="2" customWidth="1"/>
    <col min="15" max="15" width="14.81640625" style="2" customWidth="1"/>
    <col min="16" max="16" width="6.81640625" style="2" customWidth="1"/>
    <col min="17" max="17" width="14.81640625" style="2" customWidth="1"/>
    <col min="18" max="18" width="6.453125" style="2" customWidth="1"/>
    <col min="19" max="19" width="17.453125" style="2" customWidth="1"/>
    <col min="20" max="20" width="7.453125" style="2" bestFit="1" customWidth="1"/>
    <col min="21" max="21" width="16" style="2" customWidth="1"/>
    <col min="22" max="22" width="5.7265625" style="2" customWidth="1"/>
    <col min="23" max="23" width="14.81640625" style="2" customWidth="1"/>
  </cols>
  <sheetData>
    <row r="1" spans="1:23" x14ac:dyDescent="0.35">
      <c r="E1" s="152"/>
      <c r="F1" s="125"/>
      <c r="G1" s="123" t="s">
        <v>621</v>
      </c>
      <c r="R1" s="3785" t="s">
        <v>1795</v>
      </c>
      <c r="S1" s="3785"/>
    </row>
    <row r="2" spans="1:23" x14ac:dyDescent="0.35">
      <c r="E2" s="152"/>
      <c r="F2" s="122" t="s">
        <v>622</v>
      </c>
      <c r="G2" s="123" t="s">
        <v>451</v>
      </c>
      <c r="H2" s="3776"/>
      <c r="I2" s="3776"/>
      <c r="J2" s="3751" t="s">
        <v>1288</v>
      </c>
      <c r="K2" s="3751"/>
      <c r="L2" s="3751" t="s">
        <v>1796</v>
      </c>
      <c r="M2" s="3751"/>
      <c r="N2" s="3804" t="s">
        <v>983</v>
      </c>
      <c r="O2" s="3804"/>
      <c r="P2" s="3751"/>
      <c r="Q2" s="3751"/>
      <c r="R2" s="3776" t="s">
        <v>1797</v>
      </c>
      <c r="S2" s="3776"/>
      <c r="T2" s="3776" t="s">
        <v>1798</v>
      </c>
      <c r="U2" s="3776"/>
      <c r="V2" s="3751"/>
      <c r="W2" s="3751"/>
    </row>
    <row r="3" spans="1:23" ht="19.5" x14ac:dyDescent="0.35">
      <c r="B3" s="137" t="s">
        <v>623</v>
      </c>
      <c r="E3" s="152"/>
      <c r="F3" s="124" t="s">
        <v>624</v>
      </c>
      <c r="G3" s="123" t="s">
        <v>557</v>
      </c>
      <c r="H3" s="3754" t="s">
        <v>625</v>
      </c>
      <c r="I3" s="3755"/>
      <c r="J3" s="3823" t="s">
        <v>1799</v>
      </c>
      <c r="K3" s="3824"/>
      <c r="L3" s="3754" t="s">
        <v>626</v>
      </c>
      <c r="M3" s="3755"/>
      <c r="N3" s="3754" t="s">
        <v>627</v>
      </c>
      <c r="O3" s="3755"/>
      <c r="P3" s="3754" t="s">
        <v>628</v>
      </c>
      <c r="Q3" s="3755"/>
      <c r="R3" s="3754" t="s">
        <v>628</v>
      </c>
      <c r="S3" s="3755"/>
      <c r="T3" s="3754" t="s">
        <v>772</v>
      </c>
      <c r="U3" s="3755"/>
      <c r="V3" s="3754" t="s">
        <v>772</v>
      </c>
      <c r="W3" s="3755"/>
    </row>
    <row r="4" spans="1:23" x14ac:dyDescent="0.35">
      <c r="A4" s="3" t="s">
        <v>631</v>
      </c>
      <c r="B4" s="4" t="str">
        <f>'AREA CALC''s'!B4</f>
        <v>Alton Hilltop Gardens</v>
      </c>
      <c r="C4" s="5"/>
      <c r="D4" s="5"/>
      <c r="E4" s="5"/>
      <c r="F4" s="5"/>
      <c r="G4" s="6" t="s">
        <v>632</v>
      </c>
      <c r="H4" s="3752" t="s">
        <v>1800</v>
      </c>
      <c r="I4" s="3753"/>
      <c r="J4" s="3752" t="s">
        <v>1800</v>
      </c>
      <c r="K4" s="3753"/>
      <c r="L4" s="3752" t="s">
        <v>1553</v>
      </c>
      <c r="M4" s="3753"/>
      <c r="N4" s="3752" t="s">
        <v>1801</v>
      </c>
      <c r="O4" s="3753"/>
      <c r="P4" s="3752" t="s">
        <v>1802</v>
      </c>
      <c r="Q4" s="3753"/>
      <c r="R4" s="3752" t="s">
        <v>1803</v>
      </c>
      <c r="S4" s="3753"/>
      <c r="T4" s="3752" t="s">
        <v>1558</v>
      </c>
      <c r="U4" s="3753"/>
      <c r="V4" s="3752" t="s">
        <v>1804</v>
      </c>
      <c r="W4" s="3753"/>
    </row>
    <row r="5" spans="1:23" x14ac:dyDescent="0.35">
      <c r="A5" s="1421" t="s">
        <v>634</v>
      </c>
      <c r="B5" s="1422" t="s">
        <v>494</v>
      </c>
      <c r="C5" s="1423"/>
      <c r="D5" s="1423"/>
      <c r="E5" s="1423"/>
      <c r="F5" s="1423"/>
      <c r="G5" s="643" t="s">
        <v>636</v>
      </c>
      <c r="H5" s="3851" t="s">
        <v>1805</v>
      </c>
      <c r="I5" s="3759"/>
      <c r="J5" s="3851" t="s">
        <v>1805</v>
      </c>
      <c r="K5" s="3759"/>
      <c r="L5" s="3851" t="s">
        <v>1806</v>
      </c>
      <c r="M5" s="3759"/>
      <c r="N5" s="3851" t="s">
        <v>1807</v>
      </c>
      <c r="O5" s="3759"/>
      <c r="P5" s="3851" t="s">
        <v>1808</v>
      </c>
      <c r="Q5" s="3759"/>
      <c r="R5" s="3851" t="s">
        <v>1809</v>
      </c>
      <c r="S5" s="3759"/>
      <c r="T5" s="3851" t="s">
        <v>1566</v>
      </c>
      <c r="U5" s="3759"/>
      <c r="V5" s="3851" t="s">
        <v>1810</v>
      </c>
      <c r="W5" s="3759"/>
    </row>
    <row r="6" spans="1:23" x14ac:dyDescent="0.35">
      <c r="A6" s="1421" t="s">
        <v>638</v>
      </c>
      <c r="B6" s="1424" t="s">
        <v>493</v>
      </c>
      <c r="C6" s="1423"/>
      <c r="D6" s="1423"/>
      <c r="E6" s="1423"/>
      <c r="F6" s="1423"/>
      <c r="G6" s="643" t="s">
        <v>639</v>
      </c>
      <c r="H6" s="3852" t="s">
        <v>1811</v>
      </c>
      <c r="I6" s="3757"/>
      <c r="J6" s="3852" t="s">
        <v>1811</v>
      </c>
      <c r="K6" s="3757"/>
      <c r="L6" s="3852" t="s">
        <v>1642</v>
      </c>
      <c r="M6" s="3757"/>
      <c r="N6" s="3852" t="s">
        <v>1812</v>
      </c>
      <c r="O6" s="3757"/>
      <c r="P6" s="3852" t="s">
        <v>1813</v>
      </c>
      <c r="Q6" s="3757"/>
      <c r="R6" s="3852" t="s">
        <v>1814</v>
      </c>
      <c r="S6" s="3757"/>
      <c r="T6" s="3852" t="s">
        <v>1572</v>
      </c>
      <c r="U6" s="3757"/>
      <c r="V6" s="3852" t="s">
        <v>1815</v>
      </c>
      <c r="W6" s="3757"/>
    </row>
    <row r="7" spans="1:23" x14ac:dyDescent="0.35">
      <c r="A7" s="1421" t="s">
        <v>641</v>
      </c>
      <c r="B7" s="1425"/>
      <c r="C7" s="1423"/>
      <c r="D7" s="1423"/>
      <c r="E7" s="1423"/>
      <c r="F7" s="1423"/>
      <c r="G7" s="643" t="s">
        <v>642</v>
      </c>
      <c r="H7" s="3860" t="s">
        <v>1816</v>
      </c>
      <c r="I7" s="3763"/>
      <c r="J7" s="3860" t="s">
        <v>1816</v>
      </c>
      <c r="K7" s="3763"/>
      <c r="L7" s="3853" t="s">
        <v>1575</v>
      </c>
      <c r="M7" s="3854"/>
      <c r="N7" s="3860" t="s">
        <v>1817</v>
      </c>
      <c r="O7" s="3763"/>
      <c r="P7" s="3860" t="s">
        <v>1818</v>
      </c>
      <c r="Q7" s="3763"/>
      <c r="R7" s="3860" t="s">
        <v>1819</v>
      </c>
      <c r="S7" s="3763"/>
      <c r="T7" s="3853" t="s">
        <v>1579</v>
      </c>
      <c r="U7" s="3854"/>
      <c r="V7" s="3853" t="s">
        <v>1820</v>
      </c>
      <c r="W7" s="3854"/>
    </row>
    <row r="8" spans="1:23" x14ac:dyDescent="0.35">
      <c r="A8" s="938" t="s">
        <v>644</v>
      </c>
      <c r="B8" s="939"/>
      <c r="C8" s="940"/>
      <c r="D8" s="940"/>
      <c r="E8" s="940"/>
      <c r="F8" s="940"/>
      <c r="G8" s="1024" t="s">
        <v>644</v>
      </c>
      <c r="H8" s="3760">
        <f>I92</f>
        <v>800871.78999999992</v>
      </c>
      <c r="I8" s="3761"/>
      <c r="J8" s="3760">
        <f>K92</f>
        <v>893620.86</v>
      </c>
      <c r="K8" s="3761"/>
      <c r="L8" s="3760">
        <f>M92</f>
        <v>992735</v>
      </c>
      <c r="M8" s="3761"/>
      <c r="N8" s="3760">
        <f>O92</f>
        <v>858402.5</v>
      </c>
      <c r="O8" s="3761"/>
      <c r="P8" s="3760">
        <f>Q92</f>
        <v>0</v>
      </c>
      <c r="Q8" s="3761"/>
      <c r="R8" s="3760">
        <f>S92</f>
        <v>1176743.04</v>
      </c>
      <c r="S8" s="3761"/>
      <c r="T8" s="3760">
        <f>U92</f>
        <v>918881.5</v>
      </c>
      <c r="U8" s="3761"/>
      <c r="V8" s="3760">
        <f>W92</f>
        <v>496863</v>
      </c>
      <c r="W8" s="3761"/>
    </row>
    <row r="9" spans="1:23" ht="29" x14ac:dyDescent="0.35">
      <c r="A9" s="7" t="s">
        <v>645</v>
      </c>
      <c r="B9" s="8"/>
      <c r="C9" s="9" t="s">
        <v>646</v>
      </c>
      <c r="D9" s="9" t="s">
        <v>647</v>
      </c>
      <c r="E9" s="9" t="s">
        <v>648</v>
      </c>
      <c r="F9" s="9" t="s">
        <v>649</v>
      </c>
      <c r="G9" s="10" t="s">
        <v>650</v>
      </c>
      <c r="H9" s="11" t="s">
        <v>651</v>
      </c>
      <c r="I9" s="11" t="s">
        <v>652</v>
      </c>
      <c r="J9" s="11" t="s">
        <v>651</v>
      </c>
      <c r="K9" s="11" t="s">
        <v>652</v>
      </c>
      <c r="L9" s="11"/>
      <c r="M9" s="11"/>
      <c r="N9" s="11"/>
      <c r="O9" s="11"/>
      <c r="P9" s="11" t="s">
        <v>651</v>
      </c>
      <c r="Q9" s="11" t="s">
        <v>652</v>
      </c>
      <c r="R9" s="11" t="s">
        <v>651</v>
      </c>
      <c r="S9" s="11" t="s">
        <v>652</v>
      </c>
      <c r="T9" s="11" t="s">
        <v>651</v>
      </c>
      <c r="U9" s="11" t="s">
        <v>652</v>
      </c>
      <c r="V9" s="11" t="s">
        <v>651</v>
      </c>
      <c r="W9" s="11" t="s">
        <v>652</v>
      </c>
    </row>
    <row r="10" spans="1:23" hidden="1" x14ac:dyDescent="0.35">
      <c r="A10" s="1426"/>
      <c r="B10" s="1390" t="s">
        <v>653</v>
      </c>
      <c r="C10" s="1423"/>
      <c r="D10" s="1423"/>
      <c r="E10" s="1423"/>
      <c r="F10" s="1423"/>
      <c r="G10" s="646"/>
      <c r="H10" s="942"/>
      <c r="I10" s="942"/>
      <c r="J10" s="942"/>
      <c r="K10" s="942"/>
      <c r="L10" s="942"/>
      <c r="M10" s="942"/>
      <c r="N10" s="942"/>
      <c r="O10" s="942"/>
      <c r="P10" s="942"/>
      <c r="Q10" s="942"/>
      <c r="R10" s="942"/>
      <c r="S10" s="942"/>
      <c r="T10" s="942"/>
      <c r="U10" s="942"/>
      <c r="V10" s="942"/>
      <c r="W10" s="942"/>
    </row>
    <row r="11" spans="1:23" hidden="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c r="T11" s="942"/>
      <c r="U11" s="942"/>
      <c r="V11" s="942"/>
      <c r="W11" s="942"/>
    </row>
    <row r="12" spans="1:23" hidden="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c r="T12" s="942"/>
      <c r="U12" s="942"/>
      <c r="V12" s="942"/>
      <c r="W12" s="942"/>
    </row>
    <row r="13" spans="1:23" hidden="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c r="T13" s="942"/>
      <c r="U13" s="942"/>
      <c r="V13" s="942"/>
      <c r="W13" s="942"/>
    </row>
    <row r="14" spans="1:23" hidden="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c r="T14" s="942"/>
      <c r="U14" s="942"/>
      <c r="V14" s="942"/>
      <c r="W14" s="942"/>
    </row>
    <row r="15" spans="1:23" hidden="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c r="T15" s="942"/>
      <c r="U15" s="942"/>
      <c r="V15" s="942"/>
      <c r="W15" s="942"/>
    </row>
    <row r="16" spans="1:23" hidden="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c r="T16" s="942"/>
      <c r="U16" s="942"/>
      <c r="V16" s="942"/>
      <c r="W16" s="942"/>
    </row>
    <row r="17" spans="1:23" hidden="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c r="T17" s="942"/>
      <c r="U17" s="942"/>
      <c r="V17" s="942"/>
      <c r="W17" s="942"/>
    </row>
    <row r="18" spans="1:23" hidden="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c r="T18" s="942"/>
      <c r="U18" s="942"/>
      <c r="V18" s="942"/>
      <c r="W18" s="942"/>
    </row>
    <row r="19" spans="1:23" hidden="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c r="T19" s="942"/>
      <c r="U19" s="942"/>
      <c r="V19" s="942"/>
      <c r="W19" s="942"/>
    </row>
    <row r="20" spans="1:23" hidden="1" x14ac:dyDescent="0.35">
      <c r="A20" s="1426"/>
      <c r="B20" s="1422" t="e">
        <f>#REF!</f>
        <v>#REF!</v>
      </c>
      <c r="C20" s="1427" t="s">
        <v>654</v>
      </c>
      <c r="D20" s="1423"/>
      <c r="E20" s="1423"/>
      <c r="F20" s="1423"/>
      <c r="G20" s="646"/>
      <c r="H20" s="942"/>
      <c r="I20" s="942"/>
      <c r="J20" s="942"/>
      <c r="K20" s="942"/>
      <c r="L20" s="942"/>
      <c r="M20" s="942"/>
      <c r="N20" s="942"/>
      <c r="O20" s="942"/>
      <c r="P20" s="942"/>
      <c r="Q20" s="942"/>
      <c r="R20" s="942"/>
      <c r="S20" s="942"/>
      <c r="T20" s="942"/>
      <c r="U20" s="942"/>
      <c r="V20" s="942"/>
      <c r="W20" s="942"/>
    </row>
    <row r="21" spans="1:23" hidden="1" x14ac:dyDescent="0.35">
      <c r="A21" s="1426"/>
      <c r="B21" s="1422" t="e">
        <f>#REF!</f>
        <v>#REF!</v>
      </c>
      <c r="C21" s="1427" t="s">
        <v>654</v>
      </c>
      <c r="D21" s="1423"/>
      <c r="E21" s="1423"/>
      <c r="F21" s="1423"/>
      <c r="G21" s="646"/>
      <c r="H21" s="942"/>
      <c r="I21" s="942"/>
      <c r="J21" s="942"/>
      <c r="K21" s="942"/>
      <c r="L21" s="942"/>
      <c r="M21" s="942"/>
      <c r="N21" s="942"/>
      <c r="O21" s="942"/>
      <c r="P21" s="942"/>
      <c r="Q21" s="942"/>
      <c r="R21" s="942"/>
      <c r="S21" s="942"/>
      <c r="T21" s="942"/>
      <c r="U21" s="942"/>
      <c r="V21" s="942"/>
      <c r="W21" s="942"/>
    </row>
    <row r="22" spans="1:23" hidden="1" x14ac:dyDescent="0.35">
      <c r="A22" s="1426"/>
      <c r="B22" s="1422" t="e">
        <f>#REF!</f>
        <v>#REF!</v>
      </c>
      <c r="C22" s="1427" t="s">
        <v>654</v>
      </c>
      <c r="D22" s="1423"/>
      <c r="E22" s="1423"/>
      <c r="F22" s="1423"/>
      <c r="G22" s="646"/>
      <c r="H22" s="942"/>
      <c r="I22" s="942"/>
      <c r="J22" s="942"/>
      <c r="K22" s="942"/>
      <c r="L22" s="942"/>
      <c r="M22" s="942"/>
      <c r="N22" s="942"/>
      <c r="O22" s="942"/>
      <c r="P22" s="942"/>
      <c r="Q22" s="942"/>
      <c r="R22" s="942"/>
      <c r="S22" s="942"/>
      <c r="T22" s="942"/>
      <c r="U22" s="942"/>
      <c r="V22" s="942"/>
      <c r="W22" s="942"/>
    </row>
    <row r="23" spans="1:23" hidden="1" x14ac:dyDescent="0.35">
      <c r="A23" s="1426"/>
      <c r="B23" s="1422" t="e">
        <f>#REF!</f>
        <v>#REF!</v>
      </c>
      <c r="C23" s="1427" t="s">
        <v>654</v>
      </c>
      <c r="D23" s="1423"/>
      <c r="E23" s="1423"/>
      <c r="F23" s="1423"/>
      <c r="G23" s="646"/>
      <c r="H23" s="942"/>
      <c r="I23" s="942"/>
      <c r="J23" s="942"/>
      <c r="K23" s="942"/>
      <c r="L23" s="942"/>
      <c r="M23" s="942"/>
      <c r="N23" s="942"/>
      <c r="O23" s="942"/>
      <c r="P23" s="942"/>
      <c r="Q23" s="942"/>
      <c r="R23" s="942"/>
      <c r="S23" s="942"/>
      <c r="T23" s="942"/>
      <c r="U23" s="942"/>
      <c r="V23" s="942"/>
      <c r="W23" s="942"/>
    </row>
    <row r="24" spans="1:23" x14ac:dyDescent="0.35">
      <c r="A24" s="1426"/>
      <c r="B24" s="1422"/>
      <c r="C24" s="1427"/>
      <c r="D24" s="1423"/>
      <c r="E24" s="1423"/>
      <c r="F24" s="1423"/>
      <c r="G24" s="646"/>
      <c r="H24" s="943"/>
      <c r="I24" s="942"/>
      <c r="J24" s="943"/>
      <c r="K24" s="942"/>
      <c r="L24" s="942"/>
      <c r="M24" s="942"/>
      <c r="N24" s="942"/>
      <c r="O24" s="942"/>
      <c r="P24" s="943"/>
      <c r="Q24" s="942"/>
      <c r="R24" s="943"/>
      <c r="S24" s="942"/>
      <c r="T24" s="943"/>
      <c r="U24" s="942"/>
      <c r="V24" s="943"/>
      <c r="W24" s="942"/>
    </row>
    <row r="25" spans="1:23" x14ac:dyDescent="0.35">
      <c r="A25" s="1426"/>
      <c r="B25" s="1428" t="s">
        <v>494</v>
      </c>
      <c r="C25" s="1427"/>
      <c r="D25" s="1423"/>
      <c r="E25" s="1423"/>
      <c r="F25" s="1423"/>
      <c r="G25" s="646"/>
      <c r="H25" s="943"/>
      <c r="I25" s="942"/>
      <c r="J25" s="943"/>
      <c r="K25" s="942"/>
      <c r="L25" s="942"/>
      <c r="M25" s="942"/>
      <c r="N25" s="942"/>
      <c r="O25" s="942"/>
      <c r="P25" s="943"/>
      <c r="Q25" s="942"/>
      <c r="R25" s="943"/>
      <c r="S25" s="942"/>
      <c r="T25" s="943"/>
      <c r="U25" s="942"/>
      <c r="V25" s="943"/>
      <c r="W25" s="942"/>
    </row>
    <row r="26" spans="1:23" x14ac:dyDescent="0.35">
      <c r="A26" s="1391"/>
      <c r="B26" s="604" t="s">
        <v>657</v>
      </c>
      <c r="C26" s="1427"/>
      <c r="D26" s="1423"/>
      <c r="E26" s="1423"/>
      <c r="F26" s="1423"/>
      <c r="G26" s="646"/>
      <c r="H26" s="943"/>
      <c r="I26" s="1392"/>
      <c r="J26" s="943"/>
      <c r="K26" s="1392"/>
      <c r="L26" s="1392"/>
      <c r="M26" s="1392"/>
      <c r="N26" s="1392"/>
      <c r="O26" s="1392"/>
      <c r="P26" s="943"/>
      <c r="Q26" s="1392"/>
      <c r="R26" s="943"/>
      <c r="S26" s="1392"/>
      <c r="T26" s="943"/>
      <c r="U26" s="1392"/>
      <c r="V26" s="943"/>
      <c r="W26" s="1392"/>
    </row>
    <row r="27" spans="1:23" x14ac:dyDescent="0.35">
      <c r="A27" s="1391"/>
      <c r="B27" s="607" t="s">
        <v>658</v>
      </c>
      <c r="C27" s="1427"/>
      <c r="D27" s="1423"/>
      <c r="E27" s="1423"/>
      <c r="F27" s="1423"/>
      <c r="G27" s="646"/>
      <c r="H27" s="943" t="s">
        <v>669</v>
      </c>
      <c r="I27" s="1392"/>
      <c r="J27" s="943" t="s">
        <v>669</v>
      </c>
      <c r="K27" s="1392"/>
      <c r="L27" s="943" t="s">
        <v>669</v>
      </c>
      <c r="M27" s="1392"/>
      <c r="N27" s="943" t="s">
        <v>669</v>
      </c>
      <c r="O27" s="1392"/>
      <c r="P27" s="943" t="s">
        <v>669</v>
      </c>
      <c r="Q27" s="1392"/>
      <c r="R27" s="943" t="s">
        <v>669</v>
      </c>
      <c r="S27" s="1392"/>
      <c r="T27" s="943" t="s">
        <v>669</v>
      </c>
      <c r="U27" s="1392"/>
      <c r="V27" s="943" t="s">
        <v>669</v>
      </c>
      <c r="W27" s="1392"/>
    </row>
    <row r="28" spans="1:23" x14ac:dyDescent="0.35">
      <c r="A28" s="1391"/>
      <c r="B28" s="1394" t="s">
        <v>659</v>
      </c>
      <c r="C28" s="1427"/>
      <c r="D28" s="1423"/>
      <c r="E28" s="1423"/>
      <c r="F28" s="1423"/>
      <c r="G28" s="646"/>
      <c r="H28" s="943" t="s">
        <v>669</v>
      </c>
      <c r="I28" s="1392"/>
      <c r="J28" s="943" t="s">
        <v>669</v>
      </c>
      <c r="K28" s="1392"/>
      <c r="L28" s="943" t="s">
        <v>669</v>
      </c>
      <c r="M28" s="1392"/>
      <c r="N28" s="943" t="s">
        <v>669</v>
      </c>
      <c r="O28" s="1392"/>
      <c r="P28" s="943" t="s">
        <v>669</v>
      </c>
      <c r="Q28" s="1392"/>
      <c r="R28" s="943" t="s">
        <v>669</v>
      </c>
      <c r="S28" s="1393"/>
      <c r="T28" s="943" t="s">
        <v>669</v>
      </c>
      <c r="U28" s="1392"/>
      <c r="V28" s="943" t="s">
        <v>669</v>
      </c>
      <c r="W28" s="1392"/>
    </row>
    <row r="29" spans="1:23" x14ac:dyDescent="0.35">
      <c r="A29" s="1391"/>
      <c r="B29" s="1395" t="s">
        <v>660</v>
      </c>
      <c r="C29" s="1427"/>
      <c r="D29" s="1423"/>
      <c r="E29" s="1423"/>
      <c r="F29" s="1423"/>
      <c r="G29" s="646"/>
      <c r="H29" s="943" t="s">
        <v>671</v>
      </c>
      <c r="I29" s="1392" t="s">
        <v>1821</v>
      </c>
      <c r="J29" s="943" t="s">
        <v>671</v>
      </c>
      <c r="K29" s="1392" t="s">
        <v>1821</v>
      </c>
      <c r="L29" s="943" t="s">
        <v>671</v>
      </c>
      <c r="M29" s="1392"/>
      <c r="N29" s="943" t="s">
        <v>671</v>
      </c>
      <c r="O29" s="1392" t="s">
        <v>1822</v>
      </c>
      <c r="P29" s="943" t="s">
        <v>671</v>
      </c>
      <c r="Q29" s="1526" t="s">
        <v>1732</v>
      </c>
      <c r="R29" s="943" t="s">
        <v>671</v>
      </c>
      <c r="S29" s="1526" t="s">
        <v>1732</v>
      </c>
      <c r="T29" s="943" t="s">
        <v>671</v>
      </c>
      <c r="U29" s="1526" t="s">
        <v>1732</v>
      </c>
      <c r="V29" s="943" t="s">
        <v>671</v>
      </c>
      <c r="W29" s="1526" t="s">
        <v>1732</v>
      </c>
    </row>
    <row r="30" spans="1:23" x14ac:dyDescent="0.35">
      <c r="A30" s="1391"/>
      <c r="B30" s="1395" t="s">
        <v>661</v>
      </c>
      <c r="C30" s="1427"/>
      <c r="D30" s="1423"/>
      <c r="E30" s="1423"/>
      <c r="F30" s="1423"/>
      <c r="G30" s="646"/>
      <c r="H30" s="943" t="s">
        <v>669</v>
      </c>
      <c r="I30" s="1392"/>
      <c r="J30" s="943" t="s">
        <v>669</v>
      </c>
      <c r="K30" s="1392"/>
      <c r="L30" s="943" t="s">
        <v>669</v>
      </c>
      <c r="M30" s="1392"/>
      <c r="N30" s="943" t="s">
        <v>669</v>
      </c>
      <c r="O30" s="1392"/>
      <c r="P30" s="943" t="s">
        <v>669</v>
      </c>
      <c r="Q30" s="1392"/>
      <c r="R30" s="943" t="s">
        <v>669</v>
      </c>
      <c r="S30" s="1393"/>
      <c r="T30" s="943" t="s">
        <v>669</v>
      </c>
      <c r="U30" s="1392"/>
      <c r="V30" s="943" t="s">
        <v>669</v>
      </c>
      <c r="W30" s="1392"/>
    </row>
    <row r="31" spans="1:23" x14ac:dyDescent="0.35">
      <c r="A31" s="1391"/>
      <c r="B31" s="1395" t="s">
        <v>662</v>
      </c>
      <c r="C31" s="1427"/>
      <c r="D31" s="1423"/>
      <c r="E31" s="1423"/>
      <c r="F31" s="1423"/>
      <c r="G31" s="646"/>
      <c r="H31" s="943" t="s">
        <v>669</v>
      </c>
      <c r="I31" s="1392"/>
      <c r="J31" s="943" t="s">
        <v>669</v>
      </c>
      <c r="K31" s="1392"/>
      <c r="L31" s="943" t="s">
        <v>669</v>
      </c>
      <c r="M31" s="1392"/>
      <c r="N31" s="943" t="s">
        <v>669</v>
      </c>
      <c r="O31" s="1392"/>
      <c r="P31" s="943" t="s">
        <v>669</v>
      </c>
      <c r="Q31" s="1392"/>
      <c r="R31" s="943" t="s">
        <v>669</v>
      </c>
      <c r="S31" s="1393"/>
      <c r="T31" s="943" t="s">
        <v>669</v>
      </c>
      <c r="U31" s="1392"/>
      <c r="V31" s="943" t="s">
        <v>669</v>
      </c>
      <c r="W31" s="1392"/>
    </row>
    <row r="32" spans="1:23" x14ac:dyDescent="0.35">
      <c r="A32" s="1391"/>
      <c r="B32" s="1395" t="s">
        <v>663</v>
      </c>
      <c r="C32" s="1427"/>
      <c r="D32" s="1423"/>
      <c r="E32" s="1423"/>
      <c r="F32" s="1423"/>
      <c r="G32" s="646"/>
      <c r="H32" s="943" t="s">
        <v>669</v>
      </c>
      <c r="I32" s="1392"/>
      <c r="J32" s="943" t="s">
        <v>669</v>
      </c>
      <c r="K32" s="1392"/>
      <c r="L32" s="943" t="s">
        <v>669</v>
      </c>
      <c r="M32" s="1392"/>
      <c r="N32" s="943" t="s">
        <v>669</v>
      </c>
      <c r="O32" s="1392"/>
      <c r="P32" s="943" t="s">
        <v>669</v>
      </c>
      <c r="Q32" s="1392"/>
      <c r="R32" s="943" t="s">
        <v>669</v>
      </c>
      <c r="S32" s="1393"/>
      <c r="T32" s="943" t="s">
        <v>669</v>
      </c>
      <c r="U32" s="1392"/>
      <c r="V32" s="943" t="s">
        <v>669</v>
      </c>
      <c r="W32" s="1392"/>
    </row>
    <row r="33" spans="1:23" x14ac:dyDescent="0.35">
      <c r="A33" s="1391"/>
      <c r="B33" s="1429" t="s">
        <v>789</v>
      </c>
      <c r="C33" s="1427"/>
      <c r="D33" s="1423"/>
      <c r="E33" s="1423"/>
      <c r="F33" s="1423"/>
      <c r="G33" s="646"/>
      <c r="H33" s="943" t="s">
        <v>669</v>
      </c>
      <c r="I33" s="1392" t="s">
        <v>1823</v>
      </c>
      <c r="J33" s="943" t="s">
        <v>669</v>
      </c>
      <c r="K33" s="1392" t="s">
        <v>1823</v>
      </c>
      <c r="L33" s="943" t="s">
        <v>669</v>
      </c>
      <c r="M33" s="1392" t="s">
        <v>1581</v>
      </c>
      <c r="N33" s="943" t="s">
        <v>669</v>
      </c>
      <c r="O33" s="1392" t="s">
        <v>1099</v>
      </c>
      <c r="P33" s="943" t="s">
        <v>671</v>
      </c>
      <c r="Q33" s="1392"/>
      <c r="R33" s="943" t="s">
        <v>671</v>
      </c>
      <c r="S33" s="1393"/>
      <c r="T33" s="943" t="s">
        <v>671</v>
      </c>
      <c r="U33" s="1392"/>
      <c r="V33" s="943" t="s">
        <v>671</v>
      </c>
      <c r="W33" s="1392" t="s">
        <v>967</v>
      </c>
    </row>
    <row r="34" spans="1:23" x14ac:dyDescent="0.35">
      <c r="A34" s="1391"/>
      <c r="B34" s="1429" t="s">
        <v>790</v>
      </c>
      <c r="C34" s="1427"/>
      <c r="D34" s="1423"/>
      <c r="E34" s="1423"/>
      <c r="F34" s="1423"/>
      <c r="G34" s="646"/>
      <c r="H34" s="943" t="s">
        <v>669</v>
      </c>
      <c r="I34" s="1392" t="s">
        <v>968</v>
      </c>
      <c r="J34" s="943" t="s">
        <v>669</v>
      </c>
      <c r="K34" s="1392" t="s">
        <v>968</v>
      </c>
      <c r="L34" s="943" t="s">
        <v>669</v>
      </c>
      <c r="M34" s="1392" t="s">
        <v>1582</v>
      </c>
      <c r="N34" s="943" t="s">
        <v>669</v>
      </c>
      <c r="O34" s="1392" t="s">
        <v>1393</v>
      </c>
      <c r="P34" s="943" t="s">
        <v>671</v>
      </c>
      <c r="Q34" s="1392"/>
      <c r="R34" s="943" t="s">
        <v>671</v>
      </c>
      <c r="S34" s="1393"/>
      <c r="T34" s="943" t="s">
        <v>671</v>
      </c>
      <c r="U34" s="1392"/>
      <c r="V34" s="943" t="s">
        <v>671</v>
      </c>
      <c r="W34" s="1392" t="s">
        <v>968</v>
      </c>
    </row>
    <row r="35" spans="1:23" x14ac:dyDescent="0.35">
      <c r="A35" s="1391"/>
      <c r="B35" s="1429" t="s">
        <v>791</v>
      </c>
      <c r="C35" s="1427"/>
      <c r="D35" s="1423"/>
      <c r="E35" s="1423"/>
      <c r="F35" s="1423"/>
      <c r="G35" s="646"/>
      <c r="H35" s="943" t="s">
        <v>669</v>
      </c>
      <c r="I35" s="1392" t="s">
        <v>1211</v>
      </c>
      <c r="J35" s="943" t="s">
        <v>669</v>
      </c>
      <c r="K35" s="1392" t="s">
        <v>1211</v>
      </c>
      <c r="L35" s="943" t="s">
        <v>669</v>
      </c>
      <c r="M35" s="1430" t="s">
        <v>1824</v>
      </c>
      <c r="N35" s="943" t="s">
        <v>669</v>
      </c>
      <c r="O35" s="1430" t="s">
        <v>1825</v>
      </c>
      <c r="P35" s="943" t="s">
        <v>671</v>
      </c>
      <c r="Q35" s="1392"/>
      <c r="R35" s="943" t="s">
        <v>671</v>
      </c>
      <c r="S35" s="1393"/>
      <c r="T35" s="943" t="s">
        <v>671</v>
      </c>
      <c r="U35" s="1392"/>
      <c r="V35" s="943" t="s">
        <v>671</v>
      </c>
      <c r="W35" s="1392"/>
    </row>
    <row r="36" spans="1:23" x14ac:dyDescent="0.35">
      <c r="A36" s="1391"/>
      <c r="B36" s="1429" t="s">
        <v>1741</v>
      </c>
      <c r="C36" s="1427"/>
      <c r="D36" s="1423"/>
      <c r="E36" s="1423"/>
      <c r="F36" s="1423"/>
      <c r="G36" s="646"/>
      <c r="H36" s="943"/>
      <c r="I36" s="1392"/>
      <c r="J36" s="943"/>
      <c r="K36" s="1392"/>
      <c r="L36" s="943"/>
      <c r="M36" s="1430"/>
      <c r="N36" s="1491"/>
      <c r="O36" s="1430"/>
      <c r="P36" s="943"/>
      <c r="Q36" s="1392"/>
      <c r="R36" s="943"/>
      <c r="S36" s="1393"/>
      <c r="T36" s="943"/>
      <c r="U36" s="1392"/>
      <c r="V36" s="943"/>
      <c r="W36" s="1392"/>
    </row>
    <row r="37" spans="1:23" x14ac:dyDescent="0.35">
      <c r="A37" s="1391"/>
      <c r="B37" s="1527" t="s">
        <v>664</v>
      </c>
      <c r="C37" s="1427"/>
      <c r="D37" s="1423"/>
      <c r="E37" s="1423"/>
      <c r="F37" s="1423"/>
      <c r="G37" s="646"/>
      <c r="H37" s="943"/>
      <c r="I37" s="1392"/>
      <c r="J37" s="943"/>
      <c r="K37" s="1392"/>
      <c r="L37" s="943"/>
      <c r="M37" s="1430"/>
      <c r="N37" s="1392"/>
      <c r="O37" s="1392"/>
      <c r="P37" s="943"/>
      <c r="Q37" s="1392"/>
      <c r="R37" s="943"/>
      <c r="S37" s="1393"/>
      <c r="T37" s="943"/>
      <c r="U37" s="1392"/>
      <c r="V37" s="943"/>
      <c r="W37" s="1392"/>
    </row>
    <row r="38" spans="1:23" x14ac:dyDescent="0.35">
      <c r="A38" s="1391"/>
      <c r="B38" s="1397" t="s">
        <v>665</v>
      </c>
      <c r="C38" s="1479"/>
      <c r="D38" s="1431"/>
      <c r="E38" s="1431"/>
      <c r="F38" s="1431"/>
      <c r="G38" s="651"/>
      <c r="H38" s="1399"/>
      <c r="I38" s="1432"/>
      <c r="J38" s="1399"/>
      <c r="K38" s="1432"/>
      <c r="L38" s="1432"/>
      <c r="M38" s="1432"/>
      <c r="N38" s="1432"/>
      <c r="O38" s="1432"/>
      <c r="P38" s="1399"/>
      <c r="Q38" s="1399"/>
      <c r="R38" s="636"/>
      <c r="S38" s="1502">
        <f>1709230-346173-285187</f>
        <v>1077870</v>
      </c>
      <c r="T38" s="1399"/>
      <c r="U38" s="1399"/>
      <c r="V38" s="1399"/>
      <c r="W38" s="1399"/>
    </row>
    <row r="39" spans="1:23" x14ac:dyDescent="0.35">
      <c r="A39" s="1391"/>
      <c r="B39" s="1528"/>
      <c r="C39" s="1427"/>
      <c r="D39" s="1423"/>
      <c r="E39" s="1423"/>
      <c r="F39" s="1423"/>
      <c r="G39" s="646"/>
      <c r="H39" s="943"/>
      <c r="I39" s="1392"/>
      <c r="J39" s="943"/>
      <c r="K39" s="1392"/>
      <c r="L39" s="1392"/>
      <c r="M39" s="1392"/>
      <c r="N39" s="1392"/>
      <c r="O39" s="1392"/>
      <c r="P39" s="943"/>
      <c r="Q39" s="1392"/>
      <c r="R39" s="943"/>
      <c r="S39" s="1393"/>
      <c r="T39" s="943"/>
      <c r="U39" s="1392"/>
      <c r="V39" s="943"/>
      <c r="W39" s="1392"/>
    </row>
    <row r="40" spans="1:23" x14ac:dyDescent="0.35">
      <c r="A40" s="1391"/>
      <c r="B40" s="1505" t="s">
        <v>1743</v>
      </c>
      <c r="C40" s="1427"/>
      <c r="D40" s="1423"/>
      <c r="E40" s="1423"/>
      <c r="F40" s="1423"/>
      <c r="G40" s="646"/>
      <c r="H40" s="943" t="s">
        <v>669</v>
      </c>
      <c r="I40" s="1392"/>
      <c r="J40" s="943" t="s">
        <v>669</v>
      </c>
      <c r="K40" s="1392"/>
      <c r="L40" s="943" t="s">
        <v>669</v>
      </c>
      <c r="M40" s="1392"/>
      <c r="N40" s="943" t="s">
        <v>671</v>
      </c>
      <c r="O40" s="1392"/>
      <c r="P40" s="943" t="s">
        <v>671</v>
      </c>
      <c r="Q40" s="1392"/>
      <c r="R40" s="943" t="s">
        <v>671</v>
      </c>
      <c r="S40" s="1393"/>
      <c r="T40" s="943" t="s">
        <v>671</v>
      </c>
      <c r="U40" s="1392"/>
      <c r="V40" s="943" t="s">
        <v>671</v>
      </c>
      <c r="W40" s="1392"/>
    </row>
    <row r="41" spans="1:23" x14ac:dyDescent="0.35">
      <c r="A41" s="1391"/>
      <c r="B41" s="1505" t="s">
        <v>1744</v>
      </c>
      <c r="C41" s="1427"/>
      <c r="D41" s="1423"/>
      <c r="E41" s="1423"/>
      <c r="F41" s="1423"/>
      <c r="G41" s="646"/>
      <c r="H41" s="943" t="s">
        <v>669</v>
      </c>
      <c r="I41" s="1392"/>
      <c r="J41" s="943" t="s">
        <v>669</v>
      </c>
      <c r="K41" s="1392"/>
      <c r="L41" s="943" t="s">
        <v>669</v>
      </c>
      <c r="M41" s="1392"/>
      <c r="N41" s="943" t="s">
        <v>671</v>
      </c>
      <c r="O41" s="1392"/>
      <c r="P41" s="943" t="s">
        <v>671</v>
      </c>
      <c r="Q41" s="1392"/>
      <c r="R41" s="943" t="s">
        <v>671</v>
      </c>
      <c r="S41" s="1393"/>
      <c r="T41" s="943" t="s">
        <v>671</v>
      </c>
      <c r="U41" s="1392"/>
      <c r="V41" s="943" t="s">
        <v>671</v>
      </c>
      <c r="W41" s="1392"/>
    </row>
    <row r="42" spans="1:23" x14ac:dyDescent="0.35">
      <c r="A42" s="1391"/>
      <c r="B42" s="1529"/>
      <c r="C42" s="1427"/>
      <c r="D42" s="1423"/>
      <c r="E42" s="1423"/>
      <c r="F42" s="1423"/>
      <c r="G42" s="646"/>
      <c r="H42" s="943"/>
      <c r="I42" s="1392"/>
      <c r="J42" s="943"/>
      <c r="K42" s="1392"/>
      <c r="L42" s="1392"/>
      <c r="M42" s="1392"/>
      <c r="N42" s="943"/>
      <c r="O42" s="1392"/>
      <c r="P42" s="943"/>
      <c r="Q42" s="1392"/>
      <c r="R42" s="943"/>
      <c r="S42" s="1393"/>
      <c r="T42" s="943"/>
      <c r="U42" s="1392"/>
      <c r="V42" s="943"/>
      <c r="W42" s="1392"/>
    </row>
    <row r="43" spans="1:23" x14ac:dyDescent="0.35">
      <c r="A43" s="1391"/>
      <c r="B43" s="1530" t="s">
        <v>1826</v>
      </c>
      <c r="C43" s="1427"/>
      <c r="D43" s="1423"/>
      <c r="E43" s="1423"/>
      <c r="F43" s="1423"/>
      <c r="G43" s="646"/>
      <c r="H43" s="943" t="s">
        <v>669</v>
      </c>
      <c r="I43" s="1392"/>
      <c r="J43" s="943" t="s">
        <v>669</v>
      </c>
      <c r="K43" s="1392"/>
      <c r="L43" s="943" t="s">
        <v>669</v>
      </c>
      <c r="M43" s="1392"/>
      <c r="N43" s="943" t="s">
        <v>669</v>
      </c>
      <c r="O43" s="1392"/>
      <c r="P43" s="943" t="s">
        <v>669</v>
      </c>
      <c r="Q43" s="1392"/>
      <c r="R43" s="943" t="s">
        <v>669</v>
      </c>
      <c r="S43" s="1393"/>
      <c r="T43" s="943" t="s">
        <v>669</v>
      </c>
      <c r="U43" s="1392"/>
      <c r="V43" s="943" t="s">
        <v>669</v>
      </c>
      <c r="W43" s="1392"/>
    </row>
    <row r="44" spans="1:23" x14ac:dyDescent="0.35">
      <c r="A44" s="1391"/>
      <c r="B44" s="1529" t="s">
        <v>1827</v>
      </c>
      <c r="C44" s="1427"/>
      <c r="D44" s="1423"/>
      <c r="E44" s="1423"/>
      <c r="F44" s="1423"/>
      <c r="G44" s="646"/>
      <c r="H44" s="943" t="s">
        <v>669</v>
      </c>
      <c r="I44" s="1392"/>
      <c r="J44" s="943" t="s">
        <v>669</v>
      </c>
      <c r="K44" s="1392"/>
      <c r="L44" s="943" t="s">
        <v>669</v>
      </c>
      <c r="M44" s="1392"/>
      <c r="N44" s="943" t="s">
        <v>669</v>
      </c>
      <c r="O44" s="1392"/>
      <c r="P44" s="943" t="s">
        <v>669</v>
      </c>
      <c r="Q44" s="1392"/>
      <c r="R44" s="943" t="s">
        <v>669</v>
      </c>
      <c r="S44" s="1393"/>
      <c r="T44" s="943" t="s">
        <v>669</v>
      </c>
      <c r="U44" s="1392"/>
      <c r="V44" s="943" t="s">
        <v>669</v>
      </c>
      <c r="W44" s="1392"/>
    </row>
    <row r="45" spans="1:23" x14ac:dyDescent="0.35">
      <c r="A45" s="1391"/>
      <c r="B45" s="1529" t="s">
        <v>1828</v>
      </c>
      <c r="C45" s="1427"/>
      <c r="D45" s="1423"/>
      <c r="E45" s="1423"/>
      <c r="F45" s="1423"/>
      <c r="G45" s="646"/>
      <c r="H45" s="943" t="s">
        <v>669</v>
      </c>
      <c r="I45" s="1392"/>
      <c r="J45" s="943" t="s">
        <v>669</v>
      </c>
      <c r="K45" s="1392"/>
      <c r="L45" s="943" t="s">
        <v>669</v>
      </c>
      <c r="M45" s="1392"/>
      <c r="N45" s="943" t="s">
        <v>669</v>
      </c>
      <c r="O45" s="1392"/>
      <c r="P45" s="943" t="s">
        <v>669</v>
      </c>
      <c r="Q45" s="1392"/>
      <c r="R45" s="943" t="s">
        <v>669</v>
      </c>
      <c r="S45" s="1393"/>
      <c r="T45" s="943" t="s">
        <v>669</v>
      </c>
      <c r="U45" s="1392"/>
      <c r="V45" s="943" t="s">
        <v>669</v>
      </c>
      <c r="W45" s="1392"/>
    </row>
    <row r="46" spans="1:23" x14ac:dyDescent="0.35">
      <c r="A46" s="1391"/>
      <c r="B46" s="1529" t="s">
        <v>1829</v>
      </c>
      <c r="C46" s="1427"/>
      <c r="D46" s="1423"/>
      <c r="E46" s="1423"/>
      <c r="F46" s="1423"/>
      <c r="G46" s="646"/>
      <c r="H46" s="943" t="s">
        <v>669</v>
      </c>
      <c r="I46" s="1392"/>
      <c r="J46" s="943" t="s">
        <v>669</v>
      </c>
      <c r="K46" s="1392"/>
      <c r="L46" s="943" t="s">
        <v>669</v>
      </c>
      <c r="M46" s="1392"/>
      <c r="N46" s="943" t="s">
        <v>669</v>
      </c>
      <c r="O46" s="1392"/>
      <c r="P46" s="943" t="s">
        <v>669</v>
      </c>
      <c r="Q46" s="1392"/>
      <c r="R46" s="943" t="s">
        <v>669</v>
      </c>
      <c r="S46" s="1393"/>
      <c r="T46" s="943" t="s">
        <v>669</v>
      </c>
      <c r="U46" s="1392"/>
      <c r="V46" s="943" t="s">
        <v>669</v>
      </c>
      <c r="W46" s="1392"/>
    </row>
    <row r="47" spans="1:23" x14ac:dyDescent="0.35">
      <c r="A47" s="1391"/>
      <c r="B47" s="1529" t="s">
        <v>1830</v>
      </c>
      <c r="C47" s="1427"/>
      <c r="D47" s="1423"/>
      <c r="E47" s="1423"/>
      <c r="F47" s="1423"/>
      <c r="G47" s="646"/>
      <c r="H47" s="943" t="s">
        <v>669</v>
      </c>
      <c r="I47" s="1392"/>
      <c r="J47" s="943" t="s">
        <v>669</v>
      </c>
      <c r="K47" s="1392"/>
      <c r="L47" s="943" t="s">
        <v>669</v>
      </c>
      <c r="M47" s="1392"/>
      <c r="N47" s="943" t="s">
        <v>669</v>
      </c>
      <c r="O47" s="1392"/>
      <c r="P47" s="943" t="s">
        <v>669</v>
      </c>
      <c r="Q47" s="1392"/>
      <c r="R47" s="943" t="s">
        <v>669</v>
      </c>
      <c r="S47" s="1393"/>
      <c r="T47" s="943" t="s">
        <v>669</v>
      </c>
      <c r="U47" s="1392"/>
      <c r="V47" s="943" t="s">
        <v>669</v>
      </c>
      <c r="W47" s="1392"/>
    </row>
    <row r="48" spans="1:23" x14ac:dyDescent="0.35">
      <c r="A48" s="1391"/>
      <c r="B48" s="1529" t="s">
        <v>1831</v>
      </c>
      <c r="C48" s="1427"/>
      <c r="D48" s="1423"/>
      <c r="E48" s="1423"/>
      <c r="F48" s="1423"/>
      <c r="G48" s="646"/>
      <c r="H48" s="943" t="s">
        <v>669</v>
      </c>
      <c r="I48" s="1392"/>
      <c r="J48" s="943" t="s">
        <v>669</v>
      </c>
      <c r="K48" s="1392"/>
      <c r="L48" s="943" t="s">
        <v>669</v>
      </c>
      <c r="M48" s="1392"/>
      <c r="N48" s="943" t="s">
        <v>669</v>
      </c>
      <c r="O48" s="1392"/>
      <c r="P48" s="943" t="s">
        <v>669</v>
      </c>
      <c r="Q48" s="1392"/>
      <c r="R48" s="943" t="s">
        <v>669</v>
      </c>
      <c r="S48" s="1393"/>
      <c r="T48" s="943" t="s">
        <v>669</v>
      </c>
      <c r="U48" s="1392"/>
      <c r="V48" s="943" t="s">
        <v>669</v>
      </c>
      <c r="W48" s="1392"/>
    </row>
    <row r="49" spans="1:23" x14ac:dyDescent="0.35">
      <c r="A49" s="1391"/>
      <c r="B49" s="1529" t="s">
        <v>1832</v>
      </c>
      <c r="C49" s="1427"/>
      <c r="D49" s="1423"/>
      <c r="E49" s="1423"/>
      <c r="F49" s="1423"/>
      <c r="G49" s="646"/>
      <c r="H49" s="943" t="s">
        <v>669</v>
      </c>
      <c r="I49" s="1392"/>
      <c r="J49" s="943" t="s">
        <v>669</v>
      </c>
      <c r="K49" s="1392"/>
      <c r="L49" s="943" t="s">
        <v>669</v>
      </c>
      <c r="M49" s="1392"/>
      <c r="N49" s="943" t="s">
        <v>669</v>
      </c>
      <c r="O49" s="1392"/>
      <c r="P49" s="943" t="s">
        <v>669</v>
      </c>
      <c r="Q49" s="1392"/>
      <c r="R49" s="943" t="s">
        <v>669</v>
      </c>
      <c r="S49" s="1393"/>
      <c r="T49" s="943" t="s">
        <v>669</v>
      </c>
      <c r="U49" s="1392"/>
      <c r="V49" s="943" t="s">
        <v>669</v>
      </c>
      <c r="W49" s="1392"/>
    </row>
    <row r="50" spans="1:23" x14ac:dyDescent="0.35">
      <c r="A50" s="1391"/>
      <c r="B50" s="1529" t="s">
        <v>1833</v>
      </c>
      <c r="C50" s="1427"/>
      <c r="D50" s="1423"/>
      <c r="E50" s="1423"/>
      <c r="F50" s="1423"/>
      <c r="G50" s="646"/>
      <c r="H50" s="943" t="s">
        <v>669</v>
      </c>
      <c r="I50" s="1392"/>
      <c r="J50" s="943" t="s">
        <v>669</v>
      </c>
      <c r="K50" s="1392"/>
      <c r="L50" s="943" t="s">
        <v>669</v>
      </c>
      <c r="M50" s="1392"/>
      <c r="N50" s="943" t="s">
        <v>669</v>
      </c>
      <c r="O50" s="1392"/>
      <c r="P50" s="943" t="s">
        <v>669</v>
      </c>
      <c r="Q50" s="1392"/>
      <c r="R50" s="943" t="s">
        <v>669</v>
      </c>
      <c r="S50" s="1393"/>
      <c r="T50" s="943" t="s">
        <v>669</v>
      </c>
      <c r="U50" s="1392"/>
      <c r="V50" s="943" t="s">
        <v>669</v>
      </c>
      <c r="W50" s="1392"/>
    </row>
    <row r="51" spans="1:23" x14ac:dyDescent="0.35">
      <c r="A51" s="1391"/>
      <c r="B51" s="1447" t="s">
        <v>191</v>
      </c>
      <c r="C51" s="1427"/>
      <c r="D51" s="1423"/>
      <c r="E51" s="1423"/>
      <c r="F51" s="1423"/>
      <c r="G51" s="646"/>
      <c r="H51" s="943"/>
      <c r="I51" s="1392"/>
      <c r="J51" s="943"/>
      <c r="K51" s="1392"/>
      <c r="L51" s="1392"/>
      <c r="M51" s="1392"/>
      <c r="N51" s="1392"/>
      <c r="O51" s="1392"/>
      <c r="P51" s="943"/>
      <c r="Q51" s="1392"/>
      <c r="R51" s="943"/>
      <c r="S51" s="1393"/>
      <c r="T51" s="943"/>
      <c r="U51" s="1392"/>
      <c r="V51" s="943"/>
      <c r="W51" s="1392"/>
    </row>
    <row r="52" spans="1:23" x14ac:dyDescent="0.35">
      <c r="A52" s="1391"/>
      <c r="B52" s="1449" t="s">
        <v>793</v>
      </c>
      <c r="C52" s="1427"/>
      <c r="D52" s="1423"/>
      <c r="E52" s="1423"/>
      <c r="F52" s="1423"/>
      <c r="G52" s="646"/>
      <c r="H52" s="943" t="s">
        <v>669</v>
      </c>
      <c r="I52" s="1437"/>
      <c r="J52" s="943" t="s">
        <v>669</v>
      </c>
      <c r="K52" s="1437"/>
      <c r="L52" s="943" t="s">
        <v>669</v>
      </c>
      <c r="M52" s="1437"/>
      <c r="N52" s="943" t="s">
        <v>669</v>
      </c>
      <c r="O52" s="1437"/>
      <c r="P52" s="943"/>
      <c r="Q52" s="1392"/>
      <c r="R52" s="943" t="s">
        <v>669</v>
      </c>
      <c r="S52" s="1393"/>
      <c r="T52" s="943" t="s">
        <v>669</v>
      </c>
      <c r="U52" s="1392"/>
      <c r="V52" s="943" t="s">
        <v>669</v>
      </c>
      <c r="W52" s="1392"/>
    </row>
    <row r="53" spans="1:23" x14ac:dyDescent="0.35">
      <c r="A53" s="1391"/>
      <c r="B53" s="1447" t="s">
        <v>1834</v>
      </c>
      <c r="C53" s="1486" t="s">
        <v>1835</v>
      </c>
      <c r="D53" s="1423"/>
      <c r="E53" s="1423" t="s">
        <v>28</v>
      </c>
      <c r="F53" s="1423"/>
      <c r="G53" s="646"/>
      <c r="H53" s="943" t="s">
        <v>669</v>
      </c>
      <c r="I53" s="1437">
        <f>4604.7+9169.2+8872.49</f>
        <v>22646.39</v>
      </c>
      <c r="J53" s="943" t="s">
        <v>669</v>
      </c>
      <c r="K53" s="1437">
        <v>25373.22</v>
      </c>
      <c r="L53" s="943" t="s">
        <v>669</v>
      </c>
      <c r="M53" s="1437">
        <f>6095+6020+6010+4155+4045+4045</f>
        <v>30370</v>
      </c>
      <c r="N53" s="943" t="s">
        <v>669</v>
      </c>
      <c r="O53" s="1437">
        <f>119010</f>
        <v>119010</v>
      </c>
      <c r="P53" s="943"/>
      <c r="Q53" s="1392"/>
      <c r="R53" s="943" t="s">
        <v>671</v>
      </c>
      <c r="S53" s="1393"/>
      <c r="T53" s="943" t="s">
        <v>671</v>
      </c>
      <c r="U53" s="1392"/>
      <c r="V53" s="943" t="s">
        <v>669</v>
      </c>
      <c r="W53" s="1437">
        <f>7712+7712+7712+10480+11636+10480</f>
        <v>55732</v>
      </c>
    </row>
    <row r="54" spans="1:23" x14ac:dyDescent="0.35">
      <c r="A54" s="1531"/>
      <c r="B54" s="1532" t="s">
        <v>1836</v>
      </c>
      <c r="C54" s="1486" t="s">
        <v>1835</v>
      </c>
      <c r="D54" s="1423"/>
      <c r="E54" s="1423" t="s">
        <v>28</v>
      </c>
      <c r="F54" s="1423"/>
      <c r="G54" s="646"/>
      <c r="H54" s="943" t="s">
        <v>671</v>
      </c>
      <c r="I54" s="1392"/>
      <c r="J54" s="943" t="s">
        <v>671</v>
      </c>
      <c r="K54" s="1392"/>
      <c r="L54" s="943" t="s">
        <v>671</v>
      </c>
      <c r="M54" s="1392"/>
      <c r="N54" s="943" t="s">
        <v>671</v>
      </c>
      <c r="O54" s="1392"/>
      <c r="P54" s="943"/>
      <c r="Q54" s="1392"/>
      <c r="R54" s="943" t="s">
        <v>671</v>
      </c>
      <c r="S54" s="1533"/>
      <c r="T54" s="943" t="s">
        <v>671</v>
      </c>
      <c r="U54" s="1392"/>
      <c r="V54" s="943" t="s">
        <v>671</v>
      </c>
      <c r="W54" s="1392"/>
    </row>
    <row r="55" spans="1:23" x14ac:dyDescent="0.35">
      <c r="A55" s="1391"/>
      <c r="B55" s="1532" t="s">
        <v>1837</v>
      </c>
      <c r="C55" s="1427"/>
      <c r="D55" s="1423"/>
      <c r="E55" s="1423"/>
      <c r="F55" s="1423"/>
      <c r="G55" s="646"/>
      <c r="H55" s="943" t="s">
        <v>671</v>
      </c>
      <c r="I55" s="1392"/>
      <c r="J55" s="943" t="s">
        <v>669</v>
      </c>
      <c r="K55" s="1437">
        <f>18318.63+36637.25+33099.37</f>
        <v>88055.25</v>
      </c>
      <c r="L55" s="1101" t="s">
        <v>654</v>
      </c>
      <c r="M55" s="1534">
        <v>50000</v>
      </c>
      <c r="N55" s="943" t="s">
        <v>669</v>
      </c>
      <c r="O55" s="1392"/>
      <c r="P55" s="943"/>
      <c r="Q55" s="1392"/>
      <c r="R55" s="943" t="s">
        <v>671</v>
      </c>
      <c r="S55" s="1393"/>
      <c r="T55" s="943" t="s">
        <v>671</v>
      </c>
      <c r="U55" s="1437"/>
      <c r="V55" s="943" t="s">
        <v>671</v>
      </c>
      <c r="W55" s="1392"/>
    </row>
    <row r="56" spans="1:23" ht="26" x14ac:dyDescent="0.35">
      <c r="A56" s="1391"/>
      <c r="B56" s="1447" t="s">
        <v>1838</v>
      </c>
      <c r="C56" s="1486"/>
      <c r="D56" s="1423"/>
      <c r="E56" s="1423"/>
      <c r="F56" s="1423"/>
      <c r="G56" s="646"/>
      <c r="H56" s="943" t="s">
        <v>669</v>
      </c>
      <c r="I56" s="1437">
        <f>86503.15+178999.86+240259.39</f>
        <v>505762.4</v>
      </c>
      <c r="J56" s="943" t="s">
        <v>669</v>
      </c>
      <c r="K56" s="1437">
        <v>559839.31000000006</v>
      </c>
      <c r="L56" s="943" t="s">
        <v>669</v>
      </c>
      <c r="M56" s="1437">
        <f>52520+54570+46180+44290+43400+44260</f>
        <v>285220</v>
      </c>
      <c r="N56" s="943" t="s">
        <v>669</v>
      </c>
      <c r="O56" s="1437">
        <v>335226</v>
      </c>
      <c r="P56" s="943"/>
      <c r="Q56" s="1392"/>
      <c r="R56" s="943" t="s">
        <v>669</v>
      </c>
      <c r="S56" s="1393"/>
      <c r="T56" s="943" t="s">
        <v>669</v>
      </c>
      <c r="U56" s="1533">
        <f>81703+91920+91920+68483+68483+68483</f>
        <v>470992</v>
      </c>
      <c r="V56" s="943" t="s">
        <v>669</v>
      </c>
      <c r="W56" s="1535">
        <f>14837+8189+5134+830+13191+7981+4978+830+13191+8377+4978+830+8989+5913+4212+638+8973+5913+4212+638+9131+5913+4212+638</f>
        <v>142728</v>
      </c>
    </row>
    <row r="57" spans="1:23" ht="27" customHeight="1" x14ac:dyDescent="0.35">
      <c r="A57" s="1391"/>
      <c r="B57" s="1447" t="s">
        <v>4312</v>
      </c>
      <c r="C57" s="1427"/>
      <c r="D57" s="1423"/>
      <c r="E57" s="1423"/>
      <c r="F57" s="1423"/>
      <c r="G57" s="646"/>
      <c r="H57" s="943" t="s">
        <v>669</v>
      </c>
      <c r="I57" s="1437">
        <f>4943.14+16134.38+18264.3</f>
        <v>39341.82</v>
      </c>
      <c r="J57" s="943" t="s">
        <v>669</v>
      </c>
      <c r="K57" s="1437">
        <v>41451.99</v>
      </c>
      <c r="L57" s="943" t="s">
        <v>669</v>
      </c>
      <c r="M57" s="1437">
        <f>6195+9855+7105+7005+7015+5075</f>
        <v>42250</v>
      </c>
      <c r="N57" s="943" t="s">
        <v>669</v>
      </c>
      <c r="O57" s="1437">
        <v>80295</v>
      </c>
      <c r="P57" s="943"/>
      <c r="Q57" s="1392"/>
      <c r="R57" s="943" t="s">
        <v>669</v>
      </c>
      <c r="S57" s="1536"/>
      <c r="T57" s="943" t="s">
        <v>669</v>
      </c>
      <c r="U57" s="1533">
        <f>20715+18503+18503+20258+20258+20258</f>
        <v>118495</v>
      </c>
      <c r="V57" s="943" t="s">
        <v>669</v>
      </c>
      <c r="W57" s="1537">
        <f>7616+1843+9089+5136+9089+5136+9627+1955+9627+1955+9627+1955</f>
        <v>72655</v>
      </c>
    </row>
    <row r="58" spans="1:23" ht="28.5" customHeight="1" x14ac:dyDescent="0.35">
      <c r="A58" s="1391"/>
      <c r="B58" s="1447" t="s">
        <v>4313</v>
      </c>
      <c r="C58" s="1427"/>
      <c r="D58" s="1423"/>
      <c r="E58" s="1423"/>
      <c r="F58" s="1423"/>
      <c r="G58" s="646"/>
      <c r="H58" s="943" t="s">
        <v>669</v>
      </c>
      <c r="I58" s="1392"/>
      <c r="J58" s="943" t="s">
        <v>669</v>
      </c>
      <c r="K58" s="1392"/>
      <c r="L58" s="943" t="s">
        <v>669</v>
      </c>
      <c r="M58" s="1437">
        <f>24020+27100+20070+19860+19635+19695</f>
        <v>130380</v>
      </c>
      <c r="N58" s="943" t="s">
        <v>669</v>
      </c>
      <c r="O58" s="1437"/>
      <c r="P58" s="943"/>
      <c r="Q58" s="1392"/>
      <c r="R58" s="943" t="s">
        <v>669</v>
      </c>
      <c r="S58" s="1536"/>
      <c r="T58" s="943" t="s">
        <v>669</v>
      </c>
      <c r="U58" s="1533">
        <f>25780+27945+27945+19945+19945+19945</f>
        <v>141505</v>
      </c>
      <c r="V58" s="943" t="s">
        <v>669</v>
      </c>
      <c r="W58" s="1392"/>
    </row>
    <row r="59" spans="1:23" x14ac:dyDescent="0.35">
      <c r="A59" s="1538"/>
      <c r="B59" s="1447" t="s">
        <v>1839</v>
      </c>
      <c r="C59" s="1486" t="s">
        <v>1835</v>
      </c>
      <c r="D59" s="1423"/>
      <c r="E59" s="1423"/>
      <c r="F59" s="1423"/>
      <c r="G59" s="646"/>
      <c r="H59" s="943" t="s">
        <v>669</v>
      </c>
      <c r="I59" s="1437">
        <f>18099.17+34883.2+49976.15</f>
        <v>102958.51999999999</v>
      </c>
      <c r="J59" s="943" t="s">
        <v>669</v>
      </c>
      <c r="K59" s="1437">
        <v>106248.14</v>
      </c>
      <c r="L59" s="943" t="s">
        <v>669</v>
      </c>
      <c r="M59" s="1437">
        <f>27175+30145+34910+33425+33300+33510</f>
        <v>192465</v>
      </c>
      <c r="N59" s="943" t="s">
        <v>669</v>
      </c>
      <c r="O59" s="1437">
        <v>143082</v>
      </c>
      <c r="P59" s="943"/>
      <c r="Q59" s="1392"/>
      <c r="R59" s="943" t="s">
        <v>669</v>
      </c>
      <c r="S59" s="1536"/>
      <c r="T59" s="943" t="s">
        <v>671</v>
      </c>
      <c r="U59" s="1533"/>
      <c r="V59" s="943" t="s">
        <v>669</v>
      </c>
      <c r="W59" s="1537">
        <f>22664+26386+25835+18131+17989+18319</f>
        <v>129324</v>
      </c>
    </row>
    <row r="60" spans="1:23" x14ac:dyDescent="0.35">
      <c r="A60" s="1538"/>
      <c r="B60" s="1539" t="s">
        <v>1840</v>
      </c>
      <c r="C60" s="1486" t="s">
        <v>1841</v>
      </c>
      <c r="D60" s="1423"/>
      <c r="E60" s="1423"/>
      <c r="F60" s="1423"/>
      <c r="G60" s="646"/>
      <c r="H60" s="943" t="s">
        <v>671</v>
      </c>
      <c r="I60" s="1540"/>
      <c r="J60" s="943" t="s">
        <v>669</v>
      </c>
      <c r="K60" s="1540">
        <v>10215.5</v>
      </c>
      <c r="L60" s="943" t="s">
        <v>669</v>
      </c>
      <c r="M60" s="1541">
        <f>13210+15075+15240+12730+13040+12730+9060+4375+4320+4345+2345</f>
        <v>106470</v>
      </c>
      <c r="N60" s="943" t="s">
        <v>669</v>
      </c>
      <c r="O60" s="1540"/>
      <c r="P60" s="943"/>
      <c r="Q60" s="1542"/>
      <c r="R60" s="943"/>
      <c r="S60" s="1543"/>
      <c r="T60" s="943"/>
      <c r="U60" s="1544"/>
      <c r="V60" s="943"/>
      <c r="W60" s="1540"/>
    </row>
    <row r="61" spans="1:23" x14ac:dyDescent="0.35">
      <c r="A61" s="1391"/>
      <c r="B61" s="1447" t="s">
        <v>1842</v>
      </c>
      <c r="C61" s="1423" t="s">
        <v>1843</v>
      </c>
      <c r="D61" s="1423"/>
      <c r="E61" s="1423"/>
      <c r="F61" s="1423"/>
      <c r="G61" s="646"/>
      <c r="H61" s="943" t="s">
        <v>669</v>
      </c>
      <c r="I61" s="1437">
        <f>7997.85+11207.21+5059.38</f>
        <v>24264.44</v>
      </c>
      <c r="J61" s="943" t="s">
        <v>669</v>
      </c>
      <c r="K61" s="1437">
        <v>38225.74</v>
      </c>
      <c r="L61" s="943" t="s">
        <v>669</v>
      </c>
      <c r="M61" s="1437">
        <f>8870+5125+4950+4680+26205+4450</f>
        <v>54280</v>
      </c>
      <c r="N61" s="943" t="s">
        <v>669</v>
      </c>
      <c r="O61" s="1437">
        <v>70311</v>
      </c>
      <c r="P61" s="943"/>
      <c r="Q61" s="1392"/>
      <c r="R61" s="1101" t="s">
        <v>654</v>
      </c>
      <c r="S61" s="1545">
        <f>I61</f>
        <v>24264.44</v>
      </c>
      <c r="T61" s="1101" t="s">
        <v>654</v>
      </c>
      <c r="U61" s="1545">
        <f>O61</f>
        <v>70311</v>
      </c>
      <c r="V61" s="943" t="s">
        <v>669</v>
      </c>
      <c r="W61" s="1537">
        <f>10870+9947+9947+7260+10325+8389</f>
        <v>56738</v>
      </c>
    </row>
    <row r="62" spans="1:23" x14ac:dyDescent="0.35">
      <c r="A62" s="1546"/>
      <c r="B62" s="1547" t="s">
        <v>1844</v>
      </c>
      <c r="C62" s="1423"/>
      <c r="D62" s="1423"/>
      <c r="E62" s="1423"/>
      <c r="F62" s="1423"/>
      <c r="G62" s="646"/>
      <c r="H62" s="943" t="s">
        <v>671</v>
      </c>
      <c r="I62" s="1392"/>
      <c r="J62" s="943" t="s">
        <v>671</v>
      </c>
      <c r="K62" s="1392"/>
      <c r="L62" s="943" t="s">
        <v>671</v>
      </c>
      <c r="M62" s="1437"/>
      <c r="N62" s="943" t="s">
        <v>671</v>
      </c>
      <c r="O62" s="1548"/>
      <c r="P62" s="943"/>
      <c r="Q62" s="1549"/>
      <c r="R62" s="1101" t="s">
        <v>671</v>
      </c>
      <c r="S62" s="1548"/>
      <c r="T62" s="1101" t="s">
        <v>671</v>
      </c>
      <c r="U62" s="1537"/>
      <c r="V62" s="943" t="s">
        <v>671</v>
      </c>
      <c r="W62" s="1549"/>
    </row>
    <row r="63" spans="1:23" x14ac:dyDescent="0.35">
      <c r="A63" s="1550"/>
      <c r="B63" s="1551" t="s">
        <v>1845</v>
      </c>
      <c r="C63" s="1423"/>
      <c r="D63" s="1423"/>
      <c r="E63" s="1423"/>
      <c r="F63" s="1423"/>
      <c r="G63" s="646"/>
      <c r="H63" s="943" t="s">
        <v>669</v>
      </c>
      <c r="I63" s="1437">
        <v>541.44000000000005</v>
      </c>
      <c r="J63" s="943" t="s">
        <v>669</v>
      </c>
      <c r="K63" s="1437"/>
      <c r="L63" s="943" t="s">
        <v>669</v>
      </c>
      <c r="M63" s="1437"/>
      <c r="N63" s="943" t="s">
        <v>669</v>
      </c>
      <c r="O63" s="1552"/>
      <c r="P63" s="943"/>
      <c r="Q63" s="1553"/>
      <c r="R63" s="1101" t="s">
        <v>654</v>
      </c>
      <c r="S63" s="1545">
        <f>I63</f>
        <v>541.44000000000005</v>
      </c>
      <c r="T63" s="1101" t="s">
        <v>654</v>
      </c>
      <c r="U63" s="1554">
        <f>O63</f>
        <v>0</v>
      </c>
      <c r="V63" s="943" t="s">
        <v>671</v>
      </c>
      <c r="W63" s="1553"/>
    </row>
    <row r="64" spans="1:23" x14ac:dyDescent="0.35">
      <c r="A64" s="1555"/>
      <c r="B64" s="1556" t="s">
        <v>1846</v>
      </c>
      <c r="C64" s="1423"/>
      <c r="D64" s="1423"/>
      <c r="E64" s="1423"/>
      <c r="F64" s="1423"/>
      <c r="G64" s="646"/>
      <c r="H64" s="943" t="s">
        <v>669</v>
      </c>
      <c r="I64" s="1437">
        <f>555.84</f>
        <v>555.84</v>
      </c>
      <c r="J64" s="943" t="s">
        <v>669</v>
      </c>
      <c r="K64" s="1437">
        <v>3185.39</v>
      </c>
      <c r="L64" s="943" t="s">
        <v>669</v>
      </c>
      <c r="M64" s="1537"/>
      <c r="N64" s="943" t="s">
        <v>669</v>
      </c>
      <c r="O64" s="1557">
        <v>15624</v>
      </c>
      <c r="P64" s="943"/>
      <c r="Q64" s="1558"/>
      <c r="R64" s="1101" t="s">
        <v>654</v>
      </c>
      <c r="S64" s="1545">
        <f>I64</f>
        <v>555.84</v>
      </c>
      <c r="T64" s="1101"/>
      <c r="U64" s="1559"/>
      <c r="V64" s="943" t="s">
        <v>669</v>
      </c>
      <c r="W64" s="1537">
        <f>1903+2462</f>
        <v>4365</v>
      </c>
    </row>
    <row r="65" spans="1:23" x14ac:dyDescent="0.35">
      <c r="A65" s="1391"/>
      <c r="B65" s="1551"/>
      <c r="C65" s="1427"/>
      <c r="D65" s="1423"/>
      <c r="E65" s="1423"/>
      <c r="F65" s="1423"/>
      <c r="G65" s="646"/>
      <c r="H65" s="943"/>
      <c r="I65" s="1549"/>
      <c r="J65" s="943"/>
      <c r="K65" s="1392"/>
      <c r="L65" s="1437"/>
      <c r="M65" s="1437"/>
      <c r="N65" s="1549"/>
      <c r="O65" s="1548"/>
      <c r="P65" s="943"/>
      <c r="Q65" s="1549"/>
      <c r="R65" s="943"/>
      <c r="S65" s="1536"/>
      <c r="T65" s="943"/>
      <c r="U65" s="1533"/>
      <c r="V65" s="943"/>
      <c r="W65" s="1549"/>
    </row>
    <row r="66" spans="1:23" x14ac:dyDescent="0.35">
      <c r="A66" s="1560"/>
      <c r="B66" s="1449" t="s">
        <v>80</v>
      </c>
      <c r="C66" s="1427"/>
      <c r="D66" s="1423"/>
      <c r="E66" s="1423"/>
      <c r="F66" s="1423"/>
      <c r="G66" s="646"/>
      <c r="H66" s="943" t="s">
        <v>669</v>
      </c>
      <c r="I66" s="1392"/>
      <c r="J66" s="943" t="s">
        <v>669</v>
      </c>
      <c r="K66" s="1392"/>
      <c r="L66" s="943" t="s">
        <v>669</v>
      </c>
      <c r="M66" s="1437"/>
      <c r="N66" s="943" t="s">
        <v>669</v>
      </c>
      <c r="O66" s="1437"/>
      <c r="P66" s="943"/>
      <c r="Q66" s="1392"/>
      <c r="R66" s="943" t="s">
        <v>669</v>
      </c>
      <c r="S66" s="1393"/>
      <c r="T66" s="943" t="s">
        <v>669</v>
      </c>
      <c r="U66" s="1533"/>
      <c r="V66" s="943" t="s">
        <v>669</v>
      </c>
      <c r="W66" s="1537"/>
    </row>
    <row r="67" spans="1:23" ht="26" x14ac:dyDescent="0.35">
      <c r="A67" s="1391"/>
      <c r="B67" s="1447" t="s">
        <v>1847</v>
      </c>
      <c r="C67" s="1427"/>
      <c r="D67" s="1423"/>
      <c r="E67" s="1423"/>
      <c r="F67" s="1423"/>
      <c r="G67" s="646"/>
      <c r="H67" s="943" t="s">
        <v>669</v>
      </c>
      <c r="I67" s="1437">
        <f>2726.83</f>
        <v>2726.83</v>
      </c>
      <c r="J67" s="943" t="s">
        <v>669</v>
      </c>
      <c r="K67" s="1437"/>
      <c r="L67" s="943" t="s">
        <v>669</v>
      </c>
      <c r="M67" s="1437">
        <v>4045</v>
      </c>
      <c r="N67" s="943" t="s">
        <v>669</v>
      </c>
      <c r="O67" s="1437">
        <f>5895</f>
        <v>5895</v>
      </c>
      <c r="P67" s="943"/>
      <c r="Q67" s="1392"/>
      <c r="R67" s="1101" t="s">
        <v>654</v>
      </c>
      <c r="S67" s="1545">
        <f>I67</f>
        <v>2726.83</v>
      </c>
      <c r="T67" s="1101" t="s">
        <v>654</v>
      </c>
      <c r="U67" s="1559">
        <f>O67</f>
        <v>5895</v>
      </c>
      <c r="V67" s="943" t="s">
        <v>669</v>
      </c>
      <c r="W67" s="1537">
        <f>3155</f>
        <v>3155</v>
      </c>
    </row>
    <row r="68" spans="1:23" x14ac:dyDescent="0.35">
      <c r="A68" s="1391"/>
      <c r="B68" s="1532" t="s">
        <v>1836</v>
      </c>
      <c r="C68" s="1427"/>
      <c r="D68" s="1423"/>
      <c r="E68" s="1423"/>
      <c r="F68" s="1423"/>
      <c r="G68" s="646"/>
      <c r="H68" s="943" t="s">
        <v>671</v>
      </c>
      <c r="I68" s="1392"/>
      <c r="J68" s="943" t="s">
        <v>671</v>
      </c>
      <c r="K68" s="1392"/>
      <c r="L68" s="943" t="s">
        <v>671</v>
      </c>
      <c r="M68" s="1437"/>
      <c r="N68" s="943" t="s">
        <v>671</v>
      </c>
      <c r="O68" s="1437"/>
      <c r="P68" s="943"/>
      <c r="Q68" s="1392"/>
      <c r="R68" s="943" t="s">
        <v>671</v>
      </c>
      <c r="S68" s="1393"/>
      <c r="T68" s="943" t="s">
        <v>671</v>
      </c>
      <c r="U68" s="1533"/>
      <c r="V68" s="943"/>
      <c r="W68" s="1537"/>
    </row>
    <row r="69" spans="1:23" x14ac:dyDescent="0.35">
      <c r="A69" s="1391"/>
      <c r="B69" s="1447" t="s">
        <v>1839</v>
      </c>
      <c r="C69" s="1427"/>
      <c r="D69" s="1423"/>
      <c r="E69" s="1423"/>
      <c r="F69" s="1423"/>
      <c r="G69" s="646"/>
      <c r="H69" s="943" t="s">
        <v>669</v>
      </c>
      <c r="I69" s="1437">
        <v>5491.57</v>
      </c>
      <c r="J69" s="943" t="s">
        <v>669</v>
      </c>
      <c r="K69" s="1437"/>
      <c r="L69" s="943" t="s">
        <v>669</v>
      </c>
      <c r="M69" s="1437">
        <f>11005</f>
        <v>11005</v>
      </c>
      <c r="N69" s="943" t="s">
        <v>669</v>
      </c>
      <c r="O69" s="1437">
        <v>7398</v>
      </c>
      <c r="P69" s="943"/>
      <c r="Q69" s="1392"/>
      <c r="R69" s="943" t="s">
        <v>669</v>
      </c>
      <c r="S69" s="1393"/>
      <c r="T69" s="1101" t="s">
        <v>654</v>
      </c>
      <c r="U69" s="1559">
        <f>O69</f>
        <v>7398</v>
      </c>
      <c r="V69" s="943" t="s">
        <v>669</v>
      </c>
      <c r="W69" s="1537">
        <f>5896</f>
        <v>5896</v>
      </c>
    </row>
    <row r="70" spans="1:23" x14ac:dyDescent="0.35">
      <c r="A70" s="1560"/>
      <c r="B70" s="1561" t="s">
        <v>1840</v>
      </c>
      <c r="C70" s="1427"/>
      <c r="D70" s="1423"/>
      <c r="E70" s="1423"/>
      <c r="F70" s="1423"/>
      <c r="G70" s="646"/>
      <c r="H70" s="943" t="s">
        <v>671</v>
      </c>
      <c r="I70" s="1562"/>
      <c r="J70" s="943" t="s">
        <v>669</v>
      </c>
      <c r="K70" s="1562"/>
      <c r="L70" s="943" t="s">
        <v>669</v>
      </c>
      <c r="M70" s="1562"/>
      <c r="N70" s="943"/>
      <c r="O70" s="1562"/>
      <c r="P70" s="943"/>
      <c r="Q70" s="1563"/>
      <c r="R70" s="943"/>
      <c r="S70" s="1564"/>
      <c r="T70" s="1101"/>
      <c r="U70" s="1565"/>
      <c r="V70" s="943"/>
      <c r="W70" s="1562"/>
    </row>
    <row r="71" spans="1:23" x14ac:dyDescent="0.35">
      <c r="A71" s="1391"/>
      <c r="B71" s="1447" t="s">
        <v>1848</v>
      </c>
      <c r="C71" s="1427"/>
      <c r="D71" s="1423"/>
      <c r="E71" s="1423"/>
      <c r="F71" s="1423"/>
      <c r="G71" s="646"/>
      <c r="H71" s="943" t="s">
        <v>669</v>
      </c>
      <c r="I71" s="1437">
        <f>7282.25</f>
        <v>7282.25</v>
      </c>
      <c r="J71" s="943" t="s">
        <v>669</v>
      </c>
      <c r="K71" s="1437"/>
      <c r="L71" s="943" t="s">
        <v>669</v>
      </c>
      <c r="M71" s="1437">
        <f>2195</f>
        <v>2195</v>
      </c>
      <c r="N71" s="943" t="s">
        <v>669</v>
      </c>
      <c r="O71" s="1437">
        <v>5661</v>
      </c>
      <c r="P71" s="943"/>
      <c r="Q71" s="1392"/>
      <c r="R71" s="1101" t="s">
        <v>654</v>
      </c>
      <c r="S71" s="1545">
        <f>I71</f>
        <v>7282.25</v>
      </c>
      <c r="T71" s="943" t="s">
        <v>669</v>
      </c>
      <c r="U71" s="1533">
        <v>28162</v>
      </c>
      <c r="V71" s="943" t="s">
        <v>669</v>
      </c>
      <c r="W71" s="1537">
        <f>877+685+589</f>
        <v>2151</v>
      </c>
    </row>
    <row r="72" spans="1:23" x14ac:dyDescent="0.35">
      <c r="A72" s="1391"/>
      <c r="B72" s="1447" t="s">
        <v>1849</v>
      </c>
      <c r="C72" s="1427"/>
      <c r="D72" s="1423"/>
      <c r="E72" s="1423"/>
      <c r="F72" s="1423"/>
      <c r="G72" s="646"/>
      <c r="H72" s="943" t="s">
        <v>669</v>
      </c>
      <c r="I72" s="1558"/>
      <c r="J72" s="943" t="s">
        <v>669</v>
      </c>
      <c r="K72" s="1392"/>
      <c r="L72" s="943" t="s">
        <v>669</v>
      </c>
      <c r="M72" s="1437">
        <v>1745</v>
      </c>
      <c r="N72" s="943" t="s">
        <v>671</v>
      </c>
      <c r="O72" s="1437"/>
      <c r="P72" s="943"/>
      <c r="Q72" s="1392"/>
      <c r="R72" s="1101" t="s">
        <v>654</v>
      </c>
      <c r="S72" s="1545"/>
      <c r="T72" s="943" t="s">
        <v>669</v>
      </c>
      <c r="U72" s="1533">
        <f>20412</f>
        <v>20412</v>
      </c>
      <c r="V72" s="943" t="s">
        <v>669</v>
      </c>
      <c r="W72" s="1537">
        <f>7352</f>
        <v>7352</v>
      </c>
    </row>
    <row r="73" spans="1:23" x14ac:dyDescent="0.35">
      <c r="A73" s="1391"/>
      <c r="B73" s="1447" t="s">
        <v>1842</v>
      </c>
      <c r="C73" s="1423" t="s">
        <v>1843</v>
      </c>
      <c r="D73" s="1423"/>
      <c r="E73" s="1423"/>
      <c r="F73" s="1423"/>
      <c r="G73" s="646"/>
      <c r="H73" s="943" t="s">
        <v>669</v>
      </c>
      <c r="I73" s="1437">
        <v>3111.62</v>
      </c>
      <c r="J73" s="943" t="s">
        <v>669</v>
      </c>
      <c r="K73" s="1437"/>
      <c r="L73" s="943" t="s">
        <v>669</v>
      </c>
      <c r="M73" s="1437">
        <f>2910</f>
        <v>2910</v>
      </c>
      <c r="N73" s="943" t="s">
        <v>669</v>
      </c>
      <c r="O73" s="1437">
        <v>2415</v>
      </c>
      <c r="P73" s="943"/>
      <c r="Q73" s="1392"/>
      <c r="R73" s="1101" t="s">
        <v>654</v>
      </c>
      <c r="S73" s="1545">
        <f>I73</f>
        <v>3111.62</v>
      </c>
      <c r="T73" s="1101" t="s">
        <v>654</v>
      </c>
      <c r="U73" s="1559">
        <f>O73</f>
        <v>2415</v>
      </c>
      <c r="V73" s="943" t="s">
        <v>671</v>
      </c>
      <c r="W73" s="1537"/>
    </row>
    <row r="74" spans="1:23" x14ac:dyDescent="0.35">
      <c r="A74" s="1560"/>
      <c r="B74" s="1556" t="s">
        <v>1850</v>
      </c>
      <c r="C74" s="1427"/>
      <c r="D74" s="1423"/>
      <c r="E74" s="1423"/>
      <c r="F74" s="1423"/>
      <c r="G74" s="646"/>
      <c r="H74" s="943" t="s">
        <v>671</v>
      </c>
      <c r="I74" s="1437"/>
      <c r="J74" s="943" t="s">
        <v>671</v>
      </c>
      <c r="K74" s="1437"/>
      <c r="L74" s="943" t="s">
        <v>671</v>
      </c>
      <c r="M74" s="1437"/>
      <c r="N74" s="943" t="s">
        <v>671</v>
      </c>
      <c r="O74" s="1437"/>
      <c r="P74" s="943"/>
      <c r="Q74" s="1558"/>
      <c r="R74" s="1101" t="s">
        <v>671</v>
      </c>
      <c r="S74" s="1536"/>
      <c r="T74" s="1101" t="s">
        <v>671</v>
      </c>
      <c r="U74" s="1564"/>
      <c r="V74" s="943" t="s">
        <v>671</v>
      </c>
      <c r="W74" s="1537"/>
    </row>
    <row r="75" spans="1:23" x14ac:dyDescent="0.35">
      <c r="A75" s="1560"/>
      <c r="B75" s="1556" t="s">
        <v>1846</v>
      </c>
      <c r="C75" s="1427"/>
      <c r="D75" s="1423"/>
      <c r="E75" s="1423"/>
      <c r="F75" s="1423"/>
      <c r="G75" s="646"/>
      <c r="H75" s="943" t="s">
        <v>669</v>
      </c>
      <c r="I75" s="1437">
        <f>2088.1</f>
        <v>2088.1</v>
      </c>
      <c r="J75" s="943" t="s">
        <v>669</v>
      </c>
      <c r="K75" s="1437"/>
      <c r="L75" s="943" t="s">
        <v>669</v>
      </c>
      <c r="M75" s="1537"/>
      <c r="N75" s="943" t="s">
        <v>669</v>
      </c>
      <c r="O75" s="1557">
        <v>3132</v>
      </c>
      <c r="P75" s="943"/>
      <c r="Q75" s="1558"/>
      <c r="R75" s="1101" t="s">
        <v>654</v>
      </c>
      <c r="S75" s="1545">
        <f>I75</f>
        <v>2088.1</v>
      </c>
      <c r="T75" s="943"/>
      <c r="U75" s="1558"/>
      <c r="V75" s="943"/>
      <c r="W75" s="1537"/>
    </row>
    <row r="76" spans="1:23" x14ac:dyDescent="0.35">
      <c r="A76" s="1391"/>
      <c r="B76" s="1449" t="s">
        <v>795</v>
      </c>
      <c r="C76" s="1427"/>
      <c r="D76" s="1423"/>
      <c r="E76" s="1423"/>
      <c r="F76" s="1423"/>
      <c r="G76" s="646"/>
      <c r="H76" s="943" t="s">
        <v>669</v>
      </c>
      <c r="I76" s="1437"/>
      <c r="J76" s="943" t="s">
        <v>669</v>
      </c>
      <c r="K76" s="1437"/>
      <c r="L76" s="943" t="s">
        <v>669</v>
      </c>
      <c r="M76" s="1437"/>
      <c r="N76" s="943" t="s">
        <v>669</v>
      </c>
      <c r="O76" s="1437"/>
      <c r="P76" s="943"/>
      <c r="Q76" s="1392"/>
      <c r="R76" s="943" t="s">
        <v>669</v>
      </c>
      <c r="S76" s="1393"/>
      <c r="T76" s="943" t="s">
        <v>669</v>
      </c>
      <c r="U76" s="1393"/>
      <c r="V76" s="943"/>
      <c r="W76" s="1537"/>
    </row>
    <row r="77" spans="1:23" x14ac:dyDescent="0.35">
      <c r="A77" s="1391"/>
      <c r="B77" s="1447" t="s">
        <v>1839</v>
      </c>
      <c r="C77" s="1427"/>
      <c r="D77" s="1423"/>
      <c r="E77" s="1423"/>
      <c r="F77" s="1423"/>
      <c r="G77" s="646"/>
      <c r="H77" s="943" t="s">
        <v>669</v>
      </c>
      <c r="I77" s="1437">
        <f>209.01</f>
        <v>209.01</v>
      </c>
      <c r="J77" s="943" t="s">
        <v>669</v>
      </c>
      <c r="K77" s="1437"/>
      <c r="L77" s="943" t="s">
        <v>669</v>
      </c>
      <c r="M77" s="1437">
        <v>930</v>
      </c>
      <c r="N77" s="943" t="s">
        <v>669</v>
      </c>
      <c r="O77" s="1437">
        <f>108+564</f>
        <v>672</v>
      </c>
      <c r="P77" s="943"/>
      <c r="Q77" s="1392"/>
      <c r="R77" s="943" t="s">
        <v>669</v>
      </c>
      <c r="S77" s="1393"/>
      <c r="T77" s="943" t="s">
        <v>669</v>
      </c>
      <c r="U77" s="1393"/>
      <c r="V77" s="943" t="s">
        <v>669</v>
      </c>
      <c r="W77" s="1537">
        <f>906</f>
        <v>906</v>
      </c>
    </row>
    <row r="78" spans="1:23" ht="26" x14ac:dyDescent="0.35">
      <c r="A78" s="1560"/>
      <c r="B78" s="1556" t="s">
        <v>1851</v>
      </c>
      <c r="C78" s="1427"/>
      <c r="D78" s="1423"/>
      <c r="E78" s="1423"/>
      <c r="F78" s="1423"/>
      <c r="G78" s="646"/>
      <c r="H78" s="943" t="s">
        <v>669</v>
      </c>
      <c r="I78" s="1437">
        <f>2110.17</f>
        <v>2110.17</v>
      </c>
      <c r="J78" s="943" t="s">
        <v>669</v>
      </c>
      <c r="K78" s="1437"/>
      <c r="L78" s="943" t="s">
        <v>669</v>
      </c>
      <c r="M78" s="1437">
        <v>2450</v>
      </c>
      <c r="N78" s="943" t="s">
        <v>669</v>
      </c>
      <c r="O78" s="1557">
        <v>2932.5</v>
      </c>
      <c r="P78" s="943"/>
      <c r="Q78" s="1558"/>
      <c r="R78" s="1101" t="s">
        <v>654</v>
      </c>
      <c r="S78" s="1545">
        <f>I78</f>
        <v>2110.17</v>
      </c>
      <c r="T78" s="1101" t="s">
        <v>654</v>
      </c>
      <c r="U78" s="1559">
        <f>O78</f>
        <v>2932.5</v>
      </c>
      <c r="V78" s="943" t="s">
        <v>669</v>
      </c>
      <c r="W78" s="1537">
        <f>3712</f>
        <v>3712</v>
      </c>
    </row>
    <row r="79" spans="1:23" x14ac:dyDescent="0.35">
      <c r="A79" s="1560"/>
      <c r="B79" s="1556" t="s">
        <v>1852</v>
      </c>
      <c r="C79" s="1427"/>
      <c r="D79" s="1423"/>
      <c r="E79" s="1423"/>
      <c r="F79" s="1423"/>
      <c r="G79" s="646"/>
      <c r="H79" s="943" t="s">
        <v>669</v>
      </c>
      <c r="I79" s="1437">
        <f>1872.88</f>
        <v>1872.88</v>
      </c>
      <c r="J79" s="943" t="s">
        <v>669</v>
      </c>
      <c r="K79" s="1437"/>
      <c r="L79" s="943" t="s">
        <v>669</v>
      </c>
      <c r="M79" s="1437">
        <f>1840</f>
        <v>1840</v>
      </c>
      <c r="N79" s="943" t="s">
        <v>669</v>
      </c>
      <c r="O79" s="1437">
        <v>1347</v>
      </c>
      <c r="P79" s="943"/>
      <c r="Q79" s="1558"/>
      <c r="R79" s="1101" t="s">
        <v>654</v>
      </c>
      <c r="S79" s="1545">
        <f>I79</f>
        <v>1872.88</v>
      </c>
      <c r="T79" s="1101" t="s">
        <v>654</v>
      </c>
      <c r="U79" s="1559">
        <f>O79</f>
        <v>1347</v>
      </c>
      <c r="V79" s="943" t="s">
        <v>669</v>
      </c>
      <c r="W79" s="1537">
        <f>638</f>
        <v>638</v>
      </c>
    </row>
    <row r="80" spans="1:23" x14ac:dyDescent="0.35">
      <c r="A80" s="1391"/>
      <c r="B80" s="1449" t="s">
        <v>794</v>
      </c>
      <c r="C80" s="1427"/>
      <c r="D80" s="1423"/>
      <c r="E80" s="1423"/>
      <c r="F80" s="1423"/>
      <c r="G80" s="646"/>
      <c r="H80" s="943" t="s">
        <v>669</v>
      </c>
      <c r="I80" s="1437"/>
      <c r="J80" s="943" t="s">
        <v>669</v>
      </c>
      <c r="K80" s="1437"/>
      <c r="L80" s="943" t="s">
        <v>669</v>
      </c>
      <c r="M80" s="1437"/>
      <c r="N80" s="943" t="s">
        <v>669</v>
      </c>
      <c r="O80" s="1437"/>
      <c r="P80" s="943"/>
      <c r="Q80" s="1392"/>
      <c r="R80" s="943" t="s">
        <v>669</v>
      </c>
      <c r="S80" s="1393"/>
      <c r="T80" s="943" t="s">
        <v>669</v>
      </c>
      <c r="U80" s="1393"/>
      <c r="V80" s="943" t="s">
        <v>669</v>
      </c>
      <c r="W80" s="1537"/>
    </row>
    <row r="81" spans="1:23" x14ac:dyDescent="0.35">
      <c r="A81" s="1391"/>
      <c r="B81" s="1447" t="s">
        <v>1839</v>
      </c>
      <c r="C81" s="1427"/>
      <c r="D81" s="1423"/>
      <c r="E81" s="1423"/>
      <c r="F81" s="1423"/>
      <c r="G81" s="646"/>
      <c r="H81" s="943" t="s">
        <v>669</v>
      </c>
      <c r="I81" s="1437">
        <f>212.18+188.43+188.43</f>
        <v>589.04</v>
      </c>
      <c r="J81" s="943" t="s">
        <v>669</v>
      </c>
      <c r="K81" s="1437"/>
      <c r="L81" s="943" t="s">
        <v>669</v>
      </c>
      <c r="M81" s="1437">
        <f>225+445+445</f>
        <v>1115</v>
      </c>
      <c r="N81" s="943" t="s">
        <v>669</v>
      </c>
      <c r="O81" s="1437">
        <v>6385</v>
      </c>
      <c r="P81" s="943"/>
      <c r="Q81" s="1392"/>
      <c r="R81" s="943" t="s">
        <v>669</v>
      </c>
      <c r="S81" s="1393"/>
      <c r="T81" s="943" t="s">
        <v>669</v>
      </c>
      <c r="U81" s="1393"/>
      <c r="V81" s="943" t="s">
        <v>669</v>
      </c>
      <c r="W81" s="1537">
        <f>1964+1964+1964</f>
        <v>5892</v>
      </c>
    </row>
    <row r="82" spans="1:23" x14ac:dyDescent="0.35">
      <c r="A82" s="1560"/>
      <c r="B82" s="1556" t="s">
        <v>1842</v>
      </c>
      <c r="C82" s="681"/>
      <c r="D82" s="1423"/>
      <c r="E82" s="1423"/>
      <c r="F82" s="1423"/>
      <c r="G82" s="646"/>
      <c r="H82" s="943" t="s">
        <v>669</v>
      </c>
      <c r="I82" s="1437">
        <f>3132.56+3132.56+3132.56</f>
        <v>9397.68</v>
      </c>
      <c r="J82" s="943" t="s">
        <v>669</v>
      </c>
      <c r="K82" s="1437"/>
      <c r="L82" s="943" t="s">
        <v>669</v>
      </c>
      <c r="M82" s="1437">
        <f>4800+4990+4965</f>
        <v>14755</v>
      </c>
      <c r="N82" s="943" t="s">
        <v>669</v>
      </c>
      <c r="O82" s="1557">
        <v>18078</v>
      </c>
      <c r="P82" s="943"/>
      <c r="Q82" s="1558"/>
      <c r="R82" s="1101" t="s">
        <v>654</v>
      </c>
      <c r="S82" s="1545">
        <f>I82</f>
        <v>9397.68</v>
      </c>
      <c r="T82" s="1101" t="s">
        <v>654</v>
      </c>
      <c r="U82" s="1559">
        <f>O82</f>
        <v>18078</v>
      </c>
      <c r="V82" s="943" t="s">
        <v>669</v>
      </c>
      <c r="W82" s="1537"/>
    </row>
    <row r="83" spans="1:23" x14ac:dyDescent="0.35">
      <c r="A83" s="1560"/>
      <c r="B83" s="1556" t="s">
        <v>1853</v>
      </c>
      <c r="C83" s="681"/>
      <c r="D83" s="1423"/>
      <c r="E83" s="1423"/>
      <c r="F83" s="1423"/>
      <c r="G83" s="646"/>
      <c r="H83" s="943" t="s">
        <v>669</v>
      </c>
      <c r="I83" s="1437">
        <f>14973.93+14973.93+14973.93</f>
        <v>44921.79</v>
      </c>
      <c r="J83" s="943" t="s">
        <v>669</v>
      </c>
      <c r="K83" s="1437"/>
      <c r="L83" s="943" t="s">
        <v>669</v>
      </c>
      <c r="M83" s="1437">
        <f>14360+13135+13150</f>
        <v>40645</v>
      </c>
      <c r="N83" s="943" t="s">
        <v>669</v>
      </c>
      <c r="O83" s="1557">
        <v>29007</v>
      </c>
      <c r="P83" s="943"/>
      <c r="Q83" s="1558"/>
      <c r="R83" s="1101" t="s">
        <v>654</v>
      </c>
      <c r="S83" s="1545">
        <f>I83</f>
        <v>44921.79</v>
      </c>
      <c r="T83" s="1101" t="s">
        <v>654</v>
      </c>
      <c r="U83" s="1559">
        <f>O83</f>
        <v>29007</v>
      </c>
      <c r="V83" s="943" t="s">
        <v>669</v>
      </c>
      <c r="W83" s="1537">
        <f>3056+2563</f>
        <v>5619</v>
      </c>
    </row>
    <row r="84" spans="1:23" x14ac:dyDescent="0.35">
      <c r="A84" s="1560"/>
      <c r="B84" s="1449" t="s">
        <v>796</v>
      </c>
      <c r="C84" s="681"/>
      <c r="D84" s="1423"/>
      <c r="E84" s="1423"/>
      <c r="F84" s="1423"/>
      <c r="G84" s="646"/>
      <c r="H84" s="943" t="s">
        <v>669</v>
      </c>
      <c r="I84" s="1558"/>
      <c r="J84" s="943" t="s">
        <v>669</v>
      </c>
      <c r="K84" s="1392"/>
      <c r="L84" s="943" t="s">
        <v>669</v>
      </c>
      <c r="M84" s="1437"/>
      <c r="N84" s="943" t="s">
        <v>669</v>
      </c>
      <c r="O84" s="1557"/>
      <c r="P84" s="943"/>
      <c r="Q84" s="1558"/>
      <c r="R84" s="1101" t="s">
        <v>654</v>
      </c>
      <c r="S84" s="1545">
        <f>I84</f>
        <v>0</v>
      </c>
      <c r="T84" s="1101" t="s">
        <v>654</v>
      </c>
      <c r="U84" s="1559"/>
      <c r="V84" s="943" t="s">
        <v>669</v>
      </c>
      <c r="W84" s="1537"/>
    </row>
    <row r="85" spans="1:23" x14ac:dyDescent="0.35">
      <c r="A85" s="1560"/>
      <c r="B85" s="1447" t="s">
        <v>1854</v>
      </c>
      <c r="C85" s="681"/>
      <c r="D85" s="1423"/>
      <c r="E85" s="1423"/>
      <c r="F85" s="1423"/>
      <c r="G85" s="646"/>
      <c r="H85" s="1101" t="s">
        <v>654</v>
      </c>
      <c r="I85" s="1566">
        <v>25000</v>
      </c>
      <c r="J85" s="943" t="s">
        <v>669</v>
      </c>
      <c r="K85" s="1562">
        <v>21026.32</v>
      </c>
      <c r="L85" s="943" t="s">
        <v>669</v>
      </c>
      <c r="M85" s="1437">
        <v>15435</v>
      </c>
      <c r="N85" s="943" t="s">
        <v>669</v>
      </c>
      <c r="O85" s="1557">
        <v>10000</v>
      </c>
      <c r="P85" s="943"/>
      <c r="Q85" s="1558"/>
      <c r="R85" s="1101"/>
      <c r="S85" s="1559"/>
      <c r="T85" s="1101"/>
      <c r="U85" s="1559"/>
      <c r="V85" s="943"/>
      <c r="W85" s="1557"/>
    </row>
    <row r="86" spans="1:23" x14ac:dyDescent="0.35">
      <c r="A86" s="1560"/>
      <c r="B86" s="1447" t="s">
        <v>1842</v>
      </c>
      <c r="C86" s="681"/>
      <c r="D86" s="1423"/>
      <c r="E86" s="1423"/>
      <c r="F86" s="1423"/>
      <c r="G86" s="646"/>
      <c r="H86" s="943" t="s">
        <v>669</v>
      </c>
      <c r="I86" s="1558"/>
      <c r="J86" s="943" t="s">
        <v>669</v>
      </c>
      <c r="K86" s="1392"/>
      <c r="L86" s="943" t="s">
        <v>669</v>
      </c>
      <c r="M86" s="1537">
        <v>2230</v>
      </c>
      <c r="N86" s="943" t="s">
        <v>669</v>
      </c>
      <c r="O86" s="1557">
        <v>1932</v>
      </c>
      <c r="P86" s="943"/>
      <c r="Q86" s="1558"/>
      <c r="R86" s="1101" t="s">
        <v>654</v>
      </c>
      <c r="S86" s="1545">
        <f>I86</f>
        <v>0</v>
      </c>
      <c r="T86" s="1101" t="s">
        <v>654</v>
      </c>
      <c r="U86" s="1559">
        <f>O86</f>
        <v>1932</v>
      </c>
      <c r="V86" s="943" t="s">
        <v>669</v>
      </c>
      <c r="W86" s="1537"/>
    </row>
    <row r="87" spans="1:23" x14ac:dyDescent="0.35">
      <c r="A87" s="1391"/>
      <c r="B87" s="1567" t="s">
        <v>1855</v>
      </c>
      <c r="C87" s="681"/>
      <c r="D87" s="1568"/>
      <c r="E87" s="1423"/>
      <c r="F87" s="1484"/>
      <c r="G87" s="652"/>
      <c r="H87" s="943"/>
      <c r="I87" s="1392"/>
      <c r="J87" s="943"/>
      <c r="K87" s="1392"/>
      <c r="L87" s="1392"/>
      <c r="M87" s="1392"/>
      <c r="N87" s="1392"/>
      <c r="O87" s="1392"/>
      <c r="P87" s="943"/>
      <c r="Q87" s="1392"/>
      <c r="R87" s="943"/>
      <c r="S87" s="1393"/>
      <c r="T87" s="943"/>
      <c r="U87" s="1392"/>
      <c r="V87" s="943"/>
      <c r="W87" s="1392"/>
    </row>
    <row r="88" spans="1:23" x14ac:dyDescent="0.35">
      <c r="A88" s="14"/>
      <c r="B88" s="15"/>
      <c r="C88" s="16"/>
      <c r="D88" s="16"/>
      <c r="E88" s="17"/>
      <c r="F88" s="18" t="s">
        <v>715</v>
      </c>
      <c r="G88" s="19"/>
      <c r="H88" s="20"/>
      <c r="I88" s="331">
        <f>SUM(I38:I87)</f>
        <v>800871.78999999992</v>
      </c>
      <c r="J88" s="20"/>
      <c r="K88" s="331">
        <f>SUM(K38:K87)</f>
        <v>893620.86</v>
      </c>
      <c r="L88" s="20"/>
      <c r="M88" s="331">
        <f>SUM(M27:M87)</f>
        <v>992735</v>
      </c>
      <c r="N88" s="20"/>
      <c r="O88" s="331">
        <f>SUM(O27:O87)</f>
        <v>858402.5</v>
      </c>
      <c r="P88" s="20"/>
      <c r="Q88" s="50">
        <f>SUM(Q27:Q87)</f>
        <v>0</v>
      </c>
      <c r="R88" s="20"/>
      <c r="S88" s="50">
        <f>SUM(S27:S87)</f>
        <v>1176743.04</v>
      </c>
      <c r="T88" s="20"/>
      <c r="U88" s="50">
        <f>SUM(U27:U87)</f>
        <v>918881.5</v>
      </c>
      <c r="V88" s="20"/>
      <c r="W88" s="50">
        <f>SUM(W27:W87)</f>
        <v>496863</v>
      </c>
    </row>
    <row r="89" spans="1:23" x14ac:dyDescent="0.35">
      <c r="A89" s="1452"/>
      <c r="B89" s="1453"/>
      <c r="C89" s="1454"/>
      <c r="D89" s="1454"/>
      <c r="E89" s="1455"/>
      <c r="F89" s="1456" t="s">
        <v>716</v>
      </c>
      <c r="G89" s="659"/>
      <c r="H89" s="959">
        <v>0</v>
      </c>
      <c r="I89" s="1121"/>
      <c r="J89" s="959">
        <v>0</v>
      </c>
      <c r="K89" s="1121"/>
      <c r="L89" s="1252">
        <v>0</v>
      </c>
      <c r="M89" s="1121"/>
      <c r="N89" s="1252">
        <v>0</v>
      </c>
      <c r="O89" s="1121"/>
      <c r="P89" s="1252">
        <v>5.0000000000000001E-3</v>
      </c>
      <c r="Q89" s="1121"/>
      <c r="R89" s="959">
        <v>0</v>
      </c>
      <c r="S89" s="1121"/>
      <c r="T89" s="959">
        <v>0</v>
      </c>
      <c r="U89" s="1121"/>
      <c r="V89" s="959">
        <v>0</v>
      </c>
      <c r="W89" s="1121"/>
    </row>
    <row r="90" spans="1:23" x14ac:dyDescent="0.35">
      <c r="A90" s="1452"/>
      <c r="B90" s="1453"/>
      <c r="C90" s="1454"/>
      <c r="D90" s="1454"/>
      <c r="E90" s="1455"/>
      <c r="F90" s="1456" t="s">
        <v>717</v>
      </c>
      <c r="G90" s="659"/>
      <c r="H90" s="961"/>
      <c r="I90" s="1122">
        <f>I88*H89</f>
        <v>0</v>
      </c>
      <c r="J90" s="961"/>
      <c r="K90" s="1122">
        <f>K88*J89</f>
        <v>0</v>
      </c>
      <c r="L90" s="961"/>
      <c r="M90" s="1122">
        <f>M88*L89</f>
        <v>0</v>
      </c>
      <c r="N90" s="961"/>
      <c r="O90" s="1122">
        <f>O88*N89</f>
        <v>0</v>
      </c>
      <c r="P90" s="961"/>
      <c r="Q90" s="1122">
        <f>Q88*P89</f>
        <v>0</v>
      </c>
      <c r="R90" s="961"/>
      <c r="S90" s="1122">
        <f>S88*R89</f>
        <v>0</v>
      </c>
      <c r="T90" s="961"/>
      <c r="U90" s="1122">
        <f>U88*T89</f>
        <v>0</v>
      </c>
      <c r="V90" s="961"/>
      <c r="W90" s="1122">
        <f>W88*V89</f>
        <v>0</v>
      </c>
    </row>
    <row r="91" spans="1:23" x14ac:dyDescent="0.35">
      <c r="A91" s="1452"/>
      <c r="B91" s="1453"/>
      <c r="C91" s="1454"/>
      <c r="D91" s="1454"/>
      <c r="E91" s="1455"/>
      <c r="F91" s="1456"/>
      <c r="G91" s="659"/>
      <c r="H91" s="961"/>
      <c r="I91" s="963"/>
      <c r="J91" s="961"/>
      <c r="K91" s="963"/>
      <c r="L91" s="961"/>
      <c r="M91" s="963"/>
      <c r="N91" s="961"/>
      <c r="O91" s="963"/>
      <c r="P91" s="961"/>
      <c r="Q91" s="963"/>
      <c r="R91" s="961"/>
      <c r="S91" s="963"/>
      <c r="T91" s="961"/>
      <c r="U91" s="963"/>
      <c r="V91" s="961"/>
      <c r="W91" s="963"/>
    </row>
    <row r="92" spans="1:23" x14ac:dyDescent="0.35">
      <c r="A92" s="1452"/>
      <c r="B92" s="1453"/>
      <c r="C92" s="1454"/>
      <c r="D92" s="1454"/>
      <c r="E92" s="1455"/>
      <c r="F92" s="1456" t="s">
        <v>718</v>
      </c>
      <c r="G92" s="659"/>
      <c r="H92" s="964"/>
      <c r="I92" s="962">
        <f>SUM(I88:I90)</f>
        <v>800871.78999999992</v>
      </c>
      <c r="J92" s="964"/>
      <c r="K92" s="962">
        <f>SUM(K88:K90)</f>
        <v>893620.86</v>
      </c>
      <c r="L92" s="964"/>
      <c r="M92" s="962">
        <f>SUM(M88:M90)</f>
        <v>992735</v>
      </c>
      <c r="N92" s="964"/>
      <c r="O92" s="962">
        <f>SUM(O88:O90)</f>
        <v>858402.5</v>
      </c>
      <c r="P92" s="964"/>
      <c r="Q92" s="962">
        <f>SUM(Q88:Q90)</f>
        <v>0</v>
      </c>
      <c r="R92" s="964"/>
      <c r="S92" s="962">
        <f>SUM(S88:S90)</f>
        <v>1176743.04</v>
      </c>
      <c r="T92" s="964"/>
      <c r="U92" s="962">
        <f>SUM(U88:U90)</f>
        <v>918881.5</v>
      </c>
      <c r="V92" s="964"/>
      <c r="W92" s="962">
        <f>SUM(W88:W90)</f>
        <v>496863</v>
      </c>
    </row>
    <row r="93" spans="1:23" x14ac:dyDescent="0.35">
      <c r="A93" s="1452"/>
      <c r="B93" s="1453"/>
      <c r="C93" s="1454"/>
      <c r="D93" s="1454"/>
      <c r="E93" s="1455"/>
      <c r="F93" s="1409" t="s">
        <v>719</v>
      </c>
      <c r="G93" s="661"/>
      <c r="H93" s="965"/>
      <c r="I93" s="966" t="e">
        <f>I92/#REF!</f>
        <v>#REF!</v>
      </c>
      <c r="J93" s="965"/>
      <c r="K93" s="966" t="e">
        <f>K92/#REF!</f>
        <v>#REF!</v>
      </c>
      <c r="L93" s="965"/>
      <c r="M93" s="966" t="e">
        <f>M92/#REF!</f>
        <v>#REF!</v>
      </c>
      <c r="N93" s="965"/>
      <c r="O93" s="966" t="e">
        <f>O92/#REF!</f>
        <v>#REF!</v>
      </c>
      <c r="P93" s="965"/>
      <c r="Q93" s="966" t="e">
        <f>Q92/#REF!</f>
        <v>#REF!</v>
      </c>
      <c r="R93" s="965"/>
      <c r="S93" s="966" t="e">
        <f>S92/#REF!</f>
        <v>#REF!</v>
      </c>
      <c r="T93" s="965"/>
      <c r="U93" s="966" t="e">
        <f>U92/#REF!</f>
        <v>#REF!</v>
      </c>
      <c r="V93" s="965"/>
      <c r="W93" s="966" t="e">
        <f>W92/#REF!</f>
        <v>#REF!</v>
      </c>
    </row>
    <row r="94" spans="1:23" x14ac:dyDescent="0.35">
      <c r="A94" s="1452"/>
      <c r="B94" s="1453"/>
      <c r="C94" s="1454"/>
      <c r="D94" s="1454"/>
      <c r="E94" s="1455"/>
      <c r="F94" s="1409" t="s">
        <v>720</v>
      </c>
      <c r="G94" s="662"/>
      <c r="H94" s="965"/>
      <c r="I94" s="966" t="e">
        <f>I92/#REF!</f>
        <v>#REF!</v>
      </c>
      <c r="J94" s="965"/>
      <c r="K94" s="966" t="e">
        <f>K92/#REF!</f>
        <v>#REF!</v>
      </c>
      <c r="L94" s="965"/>
      <c r="M94" s="966" t="e">
        <f>M92/#REF!</f>
        <v>#REF!</v>
      </c>
      <c r="N94" s="965"/>
      <c r="O94" s="966" t="e">
        <f>O92/#REF!</f>
        <v>#REF!</v>
      </c>
      <c r="P94" s="965"/>
      <c r="Q94" s="966" t="e">
        <f>Q92/#REF!</f>
        <v>#REF!</v>
      </c>
      <c r="R94" s="965"/>
      <c r="S94" s="966" t="e">
        <f>S92/#REF!</f>
        <v>#REF!</v>
      </c>
      <c r="T94" s="965"/>
      <c r="U94" s="966" t="e">
        <f>U92/#REF!</f>
        <v>#REF!</v>
      </c>
      <c r="V94" s="965"/>
      <c r="W94" s="966" t="e">
        <f>W92/#REF!</f>
        <v>#REF!</v>
      </c>
    </row>
    <row r="95" spans="1:23" x14ac:dyDescent="0.35">
      <c r="A95" s="1452"/>
      <c r="B95" s="1453"/>
      <c r="C95" s="1454"/>
      <c r="D95" s="1454"/>
      <c r="E95" s="1455"/>
      <c r="F95" s="1456"/>
      <c r="G95" s="663"/>
      <c r="H95" s="1168"/>
      <c r="I95" s="1169"/>
      <c r="J95" s="1168"/>
      <c r="K95" s="1169"/>
      <c r="L95" s="1168"/>
      <c r="M95" s="1169"/>
      <c r="N95" s="1168"/>
      <c r="O95" s="1169"/>
      <c r="P95" s="1168"/>
      <c r="Q95" s="1169"/>
      <c r="R95" s="1168"/>
      <c r="S95" s="1169"/>
      <c r="T95" s="1168"/>
      <c r="U95" s="1169"/>
      <c r="V95" s="1168"/>
      <c r="W95" s="1169"/>
    </row>
    <row r="96" spans="1:23" x14ac:dyDescent="0.35">
      <c r="A96" s="3764" t="s">
        <v>721</v>
      </c>
      <c r="B96" s="3765"/>
      <c r="C96" s="12"/>
      <c r="D96" s="12"/>
      <c r="E96" s="12"/>
      <c r="F96" s="12"/>
      <c r="G96" s="13"/>
      <c r="H96" s="21"/>
      <c r="I96" s="21"/>
      <c r="J96" s="21"/>
      <c r="K96" s="21"/>
      <c r="L96" s="21"/>
      <c r="M96" s="21"/>
      <c r="N96" s="21"/>
      <c r="O96" s="21"/>
      <c r="P96" s="21"/>
      <c r="Q96" s="21"/>
      <c r="R96" s="21"/>
      <c r="S96" s="21"/>
      <c r="T96" s="21"/>
      <c r="U96" s="21"/>
      <c r="V96" s="21"/>
      <c r="W96" s="21"/>
    </row>
    <row r="97" spans="1:23" x14ac:dyDescent="0.35">
      <c r="A97" s="1569"/>
      <c r="B97" s="1422"/>
      <c r="C97" s="1570"/>
      <c r="D97" s="1570"/>
      <c r="E97" s="1570"/>
      <c r="F97" s="1570"/>
      <c r="G97" s="1571"/>
      <c r="H97" s="1572"/>
      <c r="I97" s="1572"/>
      <c r="J97" s="1572"/>
      <c r="K97" s="1572"/>
      <c r="L97" s="1572"/>
      <c r="M97" s="1572"/>
      <c r="N97" s="1572"/>
      <c r="O97" s="1572"/>
      <c r="P97" s="1572"/>
      <c r="Q97" s="1572"/>
      <c r="R97" s="1572"/>
      <c r="S97" s="1572"/>
      <c r="T97" s="1572"/>
      <c r="U97" s="1572"/>
      <c r="V97" s="1572"/>
      <c r="W97" s="1572"/>
    </row>
    <row r="98" spans="1:23" x14ac:dyDescent="0.35">
      <c r="A98" s="1569"/>
      <c r="B98" s="1422"/>
      <c r="C98" s="1570"/>
      <c r="D98" s="1570"/>
      <c r="E98" s="1570"/>
      <c r="F98" s="1570"/>
      <c r="G98" s="1571"/>
      <c r="H98" s="1572"/>
      <c r="I98" s="1572"/>
      <c r="J98" s="1572"/>
      <c r="K98" s="1572"/>
      <c r="L98" s="1572"/>
      <c r="M98" s="1572"/>
      <c r="N98" s="1572"/>
      <c r="O98" s="1572"/>
      <c r="P98" s="1572"/>
      <c r="Q98" s="1572"/>
      <c r="R98" s="1572"/>
      <c r="S98" s="1572"/>
      <c r="T98" s="1572"/>
      <c r="U98" s="1572"/>
      <c r="V98" s="1572"/>
      <c r="W98" s="1572"/>
    </row>
    <row r="99" spans="1:23" x14ac:dyDescent="0.35">
      <c r="A99" s="1569"/>
      <c r="B99" s="1422"/>
      <c r="C99" s="1570"/>
      <c r="D99" s="1570"/>
      <c r="E99" s="1570"/>
      <c r="F99" s="1570"/>
      <c r="G99" s="1571"/>
      <c r="H99" s="1572"/>
      <c r="I99" s="1572"/>
      <c r="J99" s="1572"/>
      <c r="K99" s="1572"/>
      <c r="L99" s="1572"/>
      <c r="M99" s="1572"/>
      <c r="N99" s="1572"/>
      <c r="O99" s="1572"/>
      <c r="P99" s="1572"/>
      <c r="Q99" s="1572"/>
      <c r="R99" s="1572"/>
      <c r="S99" s="1572"/>
      <c r="T99" s="1572"/>
      <c r="U99" s="1572"/>
      <c r="V99" s="1572"/>
      <c r="W99" s="1572"/>
    </row>
    <row r="100" spans="1:23" x14ac:dyDescent="0.35">
      <c r="A100" s="3764" t="s">
        <v>722</v>
      </c>
      <c r="B100" s="3765"/>
      <c r="C100" s="12"/>
      <c r="D100" s="12"/>
      <c r="E100" s="12"/>
      <c r="F100" s="12"/>
      <c r="G100" s="13"/>
      <c r="H100" s="21"/>
      <c r="I100" s="21"/>
      <c r="J100" s="21"/>
      <c r="K100" s="21"/>
      <c r="L100" s="21"/>
      <c r="M100" s="21"/>
      <c r="N100" s="21"/>
      <c r="O100" s="21"/>
      <c r="P100" s="21"/>
      <c r="Q100" s="21"/>
      <c r="R100" s="21"/>
      <c r="S100" s="21"/>
      <c r="T100" s="21"/>
      <c r="U100" s="21"/>
      <c r="V100" s="21"/>
      <c r="W100" s="21"/>
    </row>
    <row r="101" spans="1:23" s="2" customFormat="1" x14ac:dyDescent="0.35">
      <c r="A101" s="1569"/>
      <c r="B101" s="1422"/>
      <c r="C101" s="1570"/>
      <c r="D101" s="1570"/>
      <c r="E101" s="1570"/>
      <c r="F101" s="1570"/>
      <c r="G101" s="1571"/>
      <c r="H101" s="1572"/>
      <c r="I101" s="1572"/>
      <c r="J101" s="1572"/>
      <c r="K101" s="1572"/>
      <c r="L101" s="1572"/>
      <c r="M101" s="1572"/>
      <c r="N101" s="1572"/>
      <c r="O101" s="1572"/>
      <c r="P101" s="1572"/>
      <c r="Q101" s="1572"/>
      <c r="R101" s="1572"/>
      <c r="S101" s="1572"/>
      <c r="T101" s="1572"/>
      <c r="U101" s="1572"/>
      <c r="V101" s="1572"/>
      <c r="W101" s="1572"/>
    </row>
    <row r="102" spans="1:23" s="2" customFormat="1" x14ac:dyDescent="0.35">
      <c r="A102" s="1569"/>
      <c r="B102" s="1422"/>
      <c r="C102" s="1570"/>
      <c r="D102" s="1570"/>
      <c r="E102" s="1570"/>
      <c r="F102" s="1570"/>
      <c r="G102" s="1571"/>
      <c r="H102" s="1572"/>
      <c r="I102" s="1572"/>
      <c r="J102" s="1572"/>
      <c r="K102" s="1572"/>
      <c r="L102" s="1572"/>
      <c r="M102" s="1572"/>
      <c r="N102" s="1572"/>
      <c r="O102" s="1572"/>
      <c r="P102" s="1572"/>
      <c r="Q102" s="1572"/>
      <c r="R102" s="1572"/>
      <c r="S102" s="1572"/>
      <c r="T102" s="1572"/>
      <c r="U102" s="1572"/>
      <c r="V102" s="1572"/>
      <c r="W102" s="1572"/>
    </row>
    <row r="103" spans="1:23" s="2" customFormat="1" x14ac:dyDescent="0.35">
      <c r="A103" s="1569"/>
      <c r="B103" s="1422"/>
      <c r="C103" s="1570"/>
      <c r="D103" s="1570"/>
      <c r="E103" s="1570"/>
      <c r="F103" s="1570"/>
      <c r="G103" s="1571"/>
      <c r="H103" s="1572"/>
      <c r="I103" s="1572"/>
      <c r="J103" s="1572"/>
      <c r="K103" s="1572"/>
      <c r="L103" s="1572"/>
      <c r="M103" s="1572"/>
      <c r="N103" s="1572"/>
      <c r="O103" s="1572"/>
      <c r="P103" s="1572"/>
      <c r="Q103" s="1572"/>
      <c r="R103" s="1572"/>
      <c r="S103" s="1572"/>
      <c r="T103" s="1572"/>
      <c r="U103" s="1572"/>
      <c r="V103" s="1572"/>
      <c r="W103" s="1572"/>
    </row>
    <row r="104" spans="1:23" x14ac:dyDescent="0.35">
      <c r="A104" s="3764" t="s">
        <v>723</v>
      </c>
      <c r="B104" s="3765"/>
      <c r="C104" s="12"/>
      <c r="D104" s="12"/>
      <c r="E104" s="12"/>
      <c r="F104" s="12"/>
      <c r="G104" s="13"/>
      <c r="H104" s="21"/>
      <c r="I104" s="21"/>
      <c r="J104" s="21"/>
      <c r="K104" s="21"/>
      <c r="L104" s="21"/>
      <c r="M104" s="21"/>
      <c r="N104" s="21"/>
      <c r="O104" s="21"/>
      <c r="P104" s="21"/>
      <c r="Q104" s="21"/>
      <c r="R104" s="21"/>
      <c r="S104" s="21"/>
      <c r="T104" s="21"/>
      <c r="U104" s="21"/>
      <c r="V104" s="21"/>
      <c r="W104" s="21"/>
    </row>
    <row r="105" spans="1:23" s="2" customFormat="1" x14ac:dyDescent="0.35">
      <c r="A105" s="1569"/>
      <c r="B105" s="1422" t="s">
        <v>1856</v>
      </c>
      <c r="C105" s="1570"/>
      <c r="D105" s="1570"/>
      <c r="E105" s="1570"/>
      <c r="F105" s="1570"/>
      <c r="G105" s="1571"/>
      <c r="H105" s="1572"/>
      <c r="I105" s="1572"/>
      <c r="J105" s="1572"/>
      <c r="K105" s="1572"/>
      <c r="L105" s="1572"/>
      <c r="M105" s="1572"/>
      <c r="N105" s="1572"/>
      <c r="O105" s="1572"/>
      <c r="P105" s="1572"/>
      <c r="Q105" s="1572"/>
      <c r="R105" s="1572"/>
      <c r="S105" s="1572"/>
      <c r="T105" s="1572"/>
      <c r="U105" s="1572"/>
      <c r="V105" s="1572"/>
      <c r="W105" s="1572"/>
    </row>
    <row r="106" spans="1:23" s="2" customFormat="1" x14ac:dyDescent="0.35">
      <c r="A106" s="1426"/>
      <c r="B106" s="1422"/>
      <c r="C106" s="1423"/>
      <c r="D106" s="1423"/>
      <c r="E106" s="1423"/>
      <c r="F106" s="1423"/>
      <c r="G106" s="646"/>
      <c r="H106" s="943"/>
      <c r="I106" s="973"/>
      <c r="J106" s="943"/>
      <c r="K106" s="973"/>
      <c r="L106" s="973"/>
      <c r="M106" s="973"/>
      <c r="N106" s="973"/>
      <c r="O106" s="973"/>
      <c r="P106" s="973"/>
      <c r="Q106" s="973"/>
      <c r="R106" s="973"/>
      <c r="S106" s="973"/>
      <c r="T106" s="973"/>
      <c r="U106" s="973"/>
      <c r="V106" s="973"/>
      <c r="W106" s="973"/>
    </row>
    <row r="107" spans="1:23" s="2" customFormat="1" x14ac:dyDescent="0.35">
      <c r="A107" s="1416"/>
      <c r="B107" s="1417"/>
      <c r="C107" s="1423"/>
      <c r="D107" s="1423"/>
      <c r="E107" s="1423"/>
      <c r="F107" s="1423"/>
      <c r="G107" s="646"/>
      <c r="H107" s="974"/>
      <c r="I107" s="974"/>
      <c r="J107" s="974"/>
      <c r="K107" s="974"/>
      <c r="L107" s="974"/>
      <c r="M107" s="974"/>
      <c r="N107" s="974"/>
      <c r="O107" s="974"/>
      <c r="P107" s="974"/>
      <c r="Q107" s="974"/>
      <c r="R107" s="974"/>
      <c r="S107" s="974"/>
      <c r="T107" s="974"/>
      <c r="U107" s="974"/>
      <c r="V107" s="974"/>
      <c r="W107" s="974"/>
    </row>
    <row r="108" spans="1:23" s="2" customFormat="1" x14ac:dyDescent="0.35">
      <c r="A108" s="3764" t="s">
        <v>724</v>
      </c>
      <c r="B108" s="3765"/>
      <c r="C108" s="12"/>
      <c r="D108" s="12"/>
      <c r="E108" s="12"/>
      <c r="F108" s="12"/>
      <c r="G108" s="13"/>
      <c r="H108" s="21"/>
      <c r="I108" s="21"/>
      <c r="J108" s="21"/>
      <c r="K108" s="21"/>
      <c r="L108" s="21"/>
      <c r="M108" s="21"/>
      <c r="N108" s="21"/>
      <c r="O108" s="21"/>
      <c r="P108" s="21"/>
      <c r="Q108" s="21"/>
      <c r="R108" s="21"/>
      <c r="S108" s="21"/>
      <c r="T108" s="21"/>
      <c r="U108" s="21"/>
      <c r="V108" s="21"/>
      <c r="W108" s="21"/>
    </row>
    <row r="109" spans="1:23" s="2" customFormat="1" x14ac:dyDescent="0.35">
      <c r="A109" s="1573"/>
      <c r="B109" s="1574" t="s">
        <v>1857</v>
      </c>
      <c r="C109" s="1570"/>
      <c r="D109" s="1570"/>
      <c r="E109" s="1570"/>
      <c r="F109" s="1570"/>
      <c r="G109" s="1571"/>
      <c r="H109" s="1572"/>
      <c r="I109" s="1572"/>
      <c r="J109" s="1572"/>
      <c r="K109" s="1572"/>
      <c r="L109" s="943" t="s">
        <v>669</v>
      </c>
      <c r="M109" s="1572">
        <f>-M61-M82-M73</f>
        <v>-71945</v>
      </c>
      <c r="N109" s="943" t="s">
        <v>669</v>
      </c>
      <c r="O109" s="1572">
        <f>-O61-O73-O82-O86</f>
        <v>-92736</v>
      </c>
      <c r="P109" s="1572"/>
      <c r="Q109" s="1572"/>
      <c r="R109" s="1572"/>
      <c r="S109" s="1572"/>
      <c r="T109" s="1572"/>
      <c r="U109" s="1572"/>
      <c r="V109" s="1572"/>
      <c r="W109" s="1572"/>
    </row>
    <row r="110" spans="1:23" x14ac:dyDescent="0.35">
      <c r="A110" s="1416"/>
      <c r="B110" s="1417" t="s">
        <v>1858</v>
      </c>
      <c r="C110" s="1423"/>
      <c r="D110" s="1423"/>
      <c r="E110" s="1423"/>
      <c r="F110" s="1423"/>
      <c r="G110" s="646"/>
      <c r="H110" s="977"/>
      <c r="I110" s="977"/>
      <c r="J110" s="977"/>
      <c r="K110" s="977"/>
      <c r="L110" s="943" t="s">
        <v>671</v>
      </c>
      <c r="M110" s="977"/>
      <c r="N110" s="943" t="s">
        <v>669</v>
      </c>
      <c r="O110" s="977">
        <f>-O109/34.5*12+O109</f>
        <v>-60480</v>
      </c>
      <c r="P110" s="977"/>
      <c r="Q110" s="977"/>
      <c r="R110" s="977"/>
      <c r="S110" s="977"/>
      <c r="T110" s="977"/>
      <c r="U110" s="977"/>
      <c r="V110" s="977"/>
      <c r="W110" s="977"/>
    </row>
    <row r="111" spans="1:23" x14ac:dyDescent="0.35">
      <c r="A111" s="1416"/>
      <c r="B111" s="1417" t="s">
        <v>1859</v>
      </c>
      <c r="C111" s="1423"/>
      <c r="D111" s="1423"/>
      <c r="E111" s="1423"/>
      <c r="F111" s="1423"/>
      <c r="G111" s="646"/>
      <c r="H111" s="977"/>
      <c r="I111" s="977"/>
      <c r="J111" s="977"/>
      <c r="K111" s="977"/>
      <c r="L111" s="943" t="s">
        <v>669</v>
      </c>
      <c r="M111" s="977">
        <f>-1785-1030-1000-945-5275-895-965-1005-1000</f>
        <v>-13900</v>
      </c>
      <c r="N111" s="943" t="s">
        <v>671</v>
      </c>
      <c r="O111" s="977"/>
      <c r="P111" s="977"/>
      <c r="Q111" s="977"/>
      <c r="R111" s="977"/>
      <c r="S111" s="977"/>
      <c r="T111" s="977"/>
      <c r="U111" s="977"/>
      <c r="V111" s="977"/>
      <c r="W111" s="977"/>
    </row>
    <row r="112" spans="1:23" x14ac:dyDescent="0.35">
      <c r="A112" s="1416"/>
      <c r="B112" s="1417" t="s">
        <v>1860</v>
      </c>
      <c r="C112" s="1423"/>
      <c r="D112" s="1423"/>
      <c r="E112" s="1423"/>
      <c r="F112" s="1423"/>
      <c r="G112" s="646"/>
      <c r="H112" s="977"/>
      <c r="I112" s="977"/>
      <c r="J112" s="977"/>
      <c r="K112" s="977"/>
      <c r="L112" s="943" t="s">
        <v>669</v>
      </c>
      <c r="M112" s="977">
        <f>-20615-21420-18125-17385-17035-17375-860-5635-5155-5160-720</f>
        <v>-129485</v>
      </c>
      <c r="N112" s="943" t="s">
        <v>671</v>
      </c>
      <c r="O112" s="977"/>
      <c r="P112" s="977"/>
      <c r="Q112" s="977"/>
      <c r="R112" s="977"/>
      <c r="S112" s="977"/>
      <c r="T112" s="977"/>
      <c r="U112" s="977"/>
      <c r="V112" s="977"/>
      <c r="W112" s="977"/>
    </row>
    <row r="113" spans="1:23" x14ac:dyDescent="0.35">
      <c r="A113" s="1416"/>
      <c r="B113" s="1417" t="s">
        <v>1861</v>
      </c>
      <c r="C113" s="1423"/>
      <c r="D113" s="1423"/>
      <c r="E113" s="1423"/>
      <c r="F113" s="1423"/>
      <c r="G113" s="646"/>
      <c r="H113" s="977"/>
      <c r="I113" s="977"/>
      <c r="J113" s="977"/>
      <c r="K113" s="977"/>
      <c r="L113" s="943" t="s">
        <v>671</v>
      </c>
      <c r="M113" s="977"/>
      <c r="N113" s="943" t="s">
        <v>669</v>
      </c>
      <c r="O113" s="977">
        <f>-O57-O78+27745</f>
        <v>-55482.5</v>
      </c>
      <c r="P113" s="977"/>
      <c r="Q113" s="977"/>
      <c r="R113" s="977"/>
      <c r="S113" s="977"/>
      <c r="T113" s="977"/>
      <c r="U113" s="977"/>
      <c r="V113" s="977"/>
      <c r="W113" s="977"/>
    </row>
    <row r="114" spans="1:23" x14ac:dyDescent="0.35">
      <c r="A114" s="1416"/>
      <c r="B114" s="1417" t="s">
        <v>1862</v>
      </c>
      <c r="C114" s="1423"/>
      <c r="D114" s="1423"/>
      <c r="E114" s="1423"/>
      <c r="F114" s="1423"/>
      <c r="G114" s="646"/>
      <c r="H114" s="943" t="s">
        <v>669</v>
      </c>
      <c r="I114" s="977">
        <f>-I83</f>
        <v>-44921.79</v>
      </c>
      <c r="J114" s="943" t="s">
        <v>669</v>
      </c>
      <c r="K114" s="977">
        <f>-44921.79</f>
        <v>-44921.79</v>
      </c>
      <c r="L114" s="943" t="s">
        <v>669</v>
      </c>
      <c r="M114" s="977">
        <f>-M83</f>
        <v>-40645</v>
      </c>
      <c r="N114" s="943" t="s">
        <v>669</v>
      </c>
      <c r="O114" s="977">
        <f>-O83</f>
        <v>-29007</v>
      </c>
      <c r="P114" s="977"/>
      <c r="Q114" s="977"/>
      <c r="R114" s="977"/>
      <c r="S114" s="977"/>
      <c r="T114" s="977"/>
      <c r="U114" s="977"/>
      <c r="V114" s="977"/>
      <c r="W114" s="977"/>
    </row>
    <row r="115" spans="1:23" x14ac:dyDescent="0.35">
      <c r="A115" s="3764" t="s">
        <v>725</v>
      </c>
      <c r="B115" s="3765"/>
      <c r="C115" s="12"/>
      <c r="D115" s="12"/>
      <c r="E115" s="12"/>
      <c r="F115" s="12"/>
      <c r="G115" s="13"/>
      <c r="H115" s="21"/>
      <c r="I115" s="21"/>
      <c r="J115" s="21"/>
      <c r="K115" s="21"/>
      <c r="L115" s="21"/>
      <c r="M115" s="21"/>
      <c r="N115" s="21"/>
      <c r="O115" s="21"/>
      <c r="P115" s="21"/>
      <c r="Q115" s="21"/>
      <c r="R115" s="21"/>
      <c r="S115" s="21"/>
      <c r="T115" s="21"/>
      <c r="U115" s="21"/>
      <c r="V115" s="21"/>
      <c r="W115" s="21"/>
    </row>
    <row r="116" spans="1:23" x14ac:dyDescent="0.35">
      <c r="A116" s="1426"/>
      <c r="B116" s="1422" t="s">
        <v>726</v>
      </c>
      <c r="C116" s="1423"/>
      <c r="D116" s="1423"/>
      <c r="E116" s="1423"/>
      <c r="F116" s="1423"/>
      <c r="G116" s="646"/>
      <c r="H116" s="977"/>
      <c r="I116" s="977"/>
      <c r="J116" s="977"/>
      <c r="K116" s="977"/>
      <c r="L116" s="977"/>
      <c r="M116" s="977"/>
      <c r="N116" s="977"/>
      <c r="O116" s="977"/>
      <c r="P116" s="977"/>
      <c r="Q116" s="977"/>
      <c r="R116" s="977"/>
      <c r="S116" s="977"/>
      <c r="T116" s="977"/>
      <c r="U116" s="977"/>
      <c r="V116" s="977"/>
      <c r="W116" s="977"/>
    </row>
    <row r="117" spans="1:23" x14ac:dyDescent="0.35">
      <c r="A117" s="1426"/>
      <c r="B117" s="1422" t="s">
        <v>727</v>
      </c>
      <c r="C117" s="1423"/>
      <c r="D117" s="1423"/>
      <c r="E117" s="1423"/>
      <c r="F117" s="1423"/>
      <c r="G117" s="646"/>
      <c r="H117" s="977"/>
      <c r="I117" s="977"/>
      <c r="J117" s="977"/>
      <c r="K117" s="977"/>
      <c r="L117" s="977"/>
      <c r="M117" s="977"/>
      <c r="N117" s="977"/>
      <c r="O117" s="977"/>
      <c r="P117" s="977"/>
      <c r="Q117" s="977"/>
      <c r="R117" s="977"/>
      <c r="S117" s="977"/>
      <c r="T117" s="977"/>
      <c r="U117" s="977"/>
      <c r="V117" s="977"/>
      <c r="W117" s="977"/>
    </row>
    <row r="118" spans="1:23" x14ac:dyDescent="0.35">
      <c r="A118" s="1426"/>
      <c r="B118" s="1422" t="s">
        <v>728</v>
      </c>
      <c r="C118" s="1423"/>
      <c r="D118" s="1423"/>
      <c r="E118" s="1423"/>
      <c r="F118" s="1423"/>
      <c r="G118" s="646"/>
      <c r="H118" s="977"/>
      <c r="I118" s="977"/>
      <c r="J118" s="977"/>
      <c r="K118" s="977"/>
      <c r="L118" s="977"/>
      <c r="M118" s="977"/>
      <c r="N118" s="977"/>
      <c r="O118" s="977"/>
      <c r="P118" s="977"/>
      <c r="Q118" s="977"/>
      <c r="R118" s="977"/>
      <c r="S118" s="977"/>
      <c r="T118" s="977"/>
      <c r="U118" s="977"/>
      <c r="V118" s="977"/>
      <c r="W118" s="977"/>
    </row>
    <row r="119" spans="1:23" x14ac:dyDescent="0.35">
      <c r="A119" s="1426"/>
      <c r="B119" s="1422" t="s">
        <v>729</v>
      </c>
      <c r="C119" s="1423"/>
      <c r="D119" s="1423"/>
      <c r="E119" s="1423"/>
      <c r="F119" s="1423"/>
      <c r="G119" s="646"/>
      <c r="H119" s="977"/>
      <c r="I119" s="977"/>
      <c r="J119" s="977"/>
      <c r="K119" s="977"/>
      <c r="L119" s="977"/>
      <c r="M119" s="977"/>
      <c r="N119" s="977"/>
      <c r="O119" s="977"/>
      <c r="P119" s="977"/>
      <c r="Q119" s="977"/>
      <c r="R119" s="977"/>
      <c r="S119" s="977"/>
      <c r="T119" s="977"/>
      <c r="U119" s="977"/>
      <c r="V119" s="977"/>
      <c r="W119" s="977"/>
    </row>
    <row r="120" spans="1:23" x14ac:dyDescent="0.35">
      <c r="A120" s="978"/>
      <c r="B120" s="939"/>
      <c r="C120" s="940"/>
      <c r="D120" s="940"/>
      <c r="E120" s="940"/>
      <c r="F120" s="940"/>
      <c r="G120" s="1039"/>
      <c r="H120" s="981"/>
      <c r="I120" s="981"/>
      <c r="J120" s="981"/>
      <c r="K120" s="981"/>
      <c r="L120" s="981"/>
      <c r="M120" s="981"/>
      <c r="N120" s="981"/>
      <c r="O120" s="981"/>
      <c r="P120" s="981"/>
      <c r="Q120" s="981"/>
      <c r="R120" s="981"/>
      <c r="S120" s="981"/>
      <c r="T120" s="981"/>
      <c r="U120" s="981"/>
      <c r="V120" s="981"/>
      <c r="W120" s="981"/>
    </row>
    <row r="121" spans="1:23" x14ac:dyDescent="0.35">
      <c r="A121" s="7" t="s">
        <v>730</v>
      </c>
      <c r="B121" s="8"/>
      <c r="C121" s="12"/>
      <c r="D121" s="12"/>
      <c r="E121" s="12"/>
      <c r="F121" s="12"/>
      <c r="G121" s="13"/>
      <c r="H121" s="21"/>
      <c r="I121" s="21"/>
      <c r="J121" s="21"/>
      <c r="K121" s="21"/>
      <c r="L121" s="21"/>
      <c r="M121" s="21"/>
      <c r="N121" s="21"/>
      <c r="O121" s="21"/>
      <c r="P121" s="21"/>
      <c r="Q121" s="21"/>
      <c r="R121" s="21"/>
      <c r="S121" s="21"/>
      <c r="T121" s="21"/>
      <c r="U121" s="21"/>
      <c r="V121" s="21"/>
      <c r="W121" s="21"/>
    </row>
    <row r="122" spans="1:23" x14ac:dyDescent="0.35">
      <c r="A122" s="1569"/>
      <c r="B122" s="1575" t="s">
        <v>731</v>
      </c>
      <c r="C122" s="1570"/>
      <c r="D122" s="1570"/>
      <c r="E122" s="1570"/>
      <c r="F122" s="1570"/>
      <c r="G122" s="1571"/>
      <c r="H122" s="1576"/>
      <c r="I122" s="1576"/>
      <c r="J122" s="1576"/>
      <c r="K122" s="1576"/>
      <c r="L122" s="1576"/>
      <c r="M122" s="1576"/>
      <c r="N122" s="1576"/>
      <c r="O122" s="1576"/>
      <c r="P122" s="1576"/>
      <c r="Q122" s="1576"/>
      <c r="R122" s="1576"/>
      <c r="S122" s="1576"/>
      <c r="T122" s="1576"/>
      <c r="U122" s="1576"/>
      <c r="V122" s="1576"/>
      <c r="W122" s="1576"/>
    </row>
    <row r="123" spans="1:23" x14ac:dyDescent="0.35">
      <c r="A123" s="1426"/>
      <c r="B123" s="1422" t="s">
        <v>732</v>
      </c>
      <c r="C123" s="1423"/>
      <c r="D123" s="1423"/>
      <c r="E123" s="1423"/>
      <c r="F123" s="1423"/>
      <c r="G123" s="646"/>
      <c r="H123" s="984"/>
      <c r="I123" s="984"/>
      <c r="J123" s="984"/>
      <c r="K123" s="984"/>
      <c r="L123" s="984"/>
      <c r="M123" s="984"/>
      <c r="N123" s="984"/>
      <c r="O123" s="984"/>
      <c r="P123" s="984"/>
      <c r="Q123" s="984"/>
      <c r="R123" s="984"/>
      <c r="S123" s="984"/>
      <c r="T123" s="984"/>
      <c r="U123" s="984"/>
      <c r="V123" s="984"/>
      <c r="W123" s="984"/>
    </row>
    <row r="124" spans="1:23" x14ac:dyDescent="0.35">
      <c r="A124" s="985"/>
      <c r="B124" s="986" t="s">
        <v>733</v>
      </c>
      <c r="C124" s="987"/>
      <c r="D124" s="987"/>
      <c r="E124" s="987"/>
      <c r="F124" s="987"/>
      <c r="G124" s="1040"/>
      <c r="H124" s="990"/>
      <c r="I124" s="990"/>
      <c r="J124" s="990"/>
      <c r="K124" s="990"/>
      <c r="L124" s="990"/>
      <c r="M124" s="990"/>
      <c r="N124" s="990"/>
      <c r="O124" s="990"/>
      <c r="P124" s="990"/>
      <c r="Q124" s="990"/>
      <c r="R124" s="990"/>
      <c r="S124" s="990"/>
      <c r="T124" s="990"/>
      <c r="U124" s="990"/>
      <c r="V124" s="990"/>
      <c r="W124" s="990"/>
    </row>
    <row r="126" spans="1:23" x14ac:dyDescent="0.35">
      <c r="A126" s="78" t="s">
        <v>734</v>
      </c>
      <c r="B126" s="80"/>
    </row>
    <row r="127" spans="1:23" x14ac:dyDescent="0.35">
      <c r="A127" s="79" t="s">
        <v>632</v>
      </c>
      <c r="B127" s="991" t="str">
        <f>J4</f>
        <v>JJ Caulking</v>
      </c>
      <c r="O127" s="325">
        <f>N8-H8</f>
        <v>57530.710000000079</v>
      </c>
    </row>
    <row r="128" spans="1:23" x14ac:dyDescent="0.35">
      <c r="A128" s="1465" t="s">
        <v>636</v>
      </c>
      <c r="B128" s="991" t="str">
        <f>J5</f>
        <v>Joanna Quintana</v>
      </c>
    </row>
    <row r="129" spans="1:2" x14ac:dyDescent="0.35">
      <c r="A129" s="992" t="s">
        <v>639</v>
      </c>
      <c r="B129" s="993" t="str">
        <f>J6</f>
        <v>786-329-1867</v>
      </c>
    </row>
    <row r="130" spans="1:2" x14ac:dyDescent="0.35">
      <c r="A130" s="992" t="s">
        <v>642</v>
      </c>
      <c r="B130" s="994" t="str">
        <f>J7</f>
        <v xml:space="preserve"> &lt;joanna@jjcwcorp.com&gt;</v>
      </c>
    </row>
    <row r="131" spans="1:2" x14ac:dyDescent="0.35">
      <c r="A131" s="995" t="s">
        <v>735</v>
      </c>
      <c r="B131" s="996">
        <f>J8</f>
        <v>893620.86</v>
      </c>
    </row>
    <row r="133" spans="1:2" x14ac:dyDescent="0.35">
      <c r="A133" s="81"/>
      <c r="B133" s="1" t="s">
        <v>736</v>
      </c>
    </row>
    <row r="134" spans="1:2" x14ac:dyDescent="0.35">
      <c r="A134" s="82"/>
      <c r="B134" s="1" t="s">
        <v>737</v>
      </c>
    </row>
  </sheetData>
  <mergeCells count="62">
    <mergeCell ref="J7:K7"/>
    <mergeCell ref="J8:K8"/>
    <mergeCell ref="J2:K2"/>
    <mergeCell ref="J3:K3"/>
    <mergeCell ref="J4:K4"/>
    <mergeCell ref="J5:K5"/>
    <mergeCell ref="J6:K6"/>
    <mergeCell ref="R1:S1"/>
    <mergeCell ref="A96:B96"/>
    <mergeCell ref="A100:B100"/>
    <mergeCell ref="A104:B104"/>
    <mergeCell ref="A108:B108"/>
    <mergeCell ref="R6:S6"/>
    <mergeCell ref="R7:S7"/>
    <mergeCell ref="R8:S8"/>
    <mergeCell ref="H4:I4"/>
    <mergeCell ref="H5:I5"/>
    <mergeCell ref="H6:I6"/>
    <mergeCell ref="H7:I7"/>
    <mergeCell ref="H8:I8"/>
    <mergeCell ref="P4:Q4"/>
    <mergeCell ref="P5:Q5"/>
    <mergeCell ref="P6:Q6"/>
    <mergeCell ref="A115:B115"/>
    <mergeCell ref="V3:W3"/>
    <mergeCell ref="R2:S2"/>
    <mergeCell ref="T2:U2"/>
    <mergeCell ref="H2:I2"/>
    <mergeCell ref="P2:Q2"/>
    <mergeCell ref="V2:W2"/>
    <mergeCell ref="R3:S3"/>
    <mergeCell ref="T3:U3"/>
    <mergeCell ref="H3:I3"/>
    <mergeCell ref="P3:Q3"/>
    <mergeCell ref="N3:O3"/>
    <mergeCell ref="N2:O2"/>
    <mergeCell ref="L3:M3"/>
    <mergeCell ref="R4:S4"/>
    <mergeCell ref="R5:S5"/>
    <mergeCell ref="N8:O8"/>
    <mergeCell ref="P7:Q7"/>
    <mergeCell ref="P8:Q8"/>
    <mergeCell ref="V4:W4"/>
    <mergeCell ref="V5:W5"/>
    <mergeCell ref="V6:W6"/>
    <mergeCell ref="V7:W7"/>
    <mergeCell ref="V8:W8"/>
    <mergeCell ref="T4:U4"/>
    <mergeCell ref="T5:U5"/>
    <mergeCell ref="T6:U6"/>
    <mergeCell ref="T7:U7"/>
    <mergeCell ref="T8:U8"/>
    <mergeCell ref="L8:M8"/>
    <mergeCell ref="L4:M4"/>
    <mergeCell ref="L5:M5"/>
    <mergeCell ref="L6:M6"/>
    <mergeCell ref="L7:M7"/>
    <mergeCell ref="L2:M2"/>
    <mergeCell ref="N4:O4"/>
    <mergeCell ref="N5:O5"/>
    <mergeCell ref="N6:O6"/>
    <mergeCell ref="N7:O7"/>
  </mergeCells>
  <conditionalFormatting sqref="H24:H37 P39:P87 R39:R87 T39:T87 V39:V87 L52:L54 N52:N64 L56:L64">
    <cfRule type="cellIs" dxfId="2147" priority="203" operator="equal">
      <formula>"X"</formula>
    </cfRule>
    <cfRule type="cellIs" dxfId="2146" priority="204" operator="equal">
      <formula>"I"</formula>
    </cfRule>
  </conditionalFormatting>
  <conditionalFormatting sqref="H39:H87">
    <cfRule type="cellIs" dxfId="2145" priority="17" operator="equal">
      <formula>"X"</formula>
    </cfRule>
    <cfRule type="cellIs" dxfId="2144" priority="18" operator="equal">
      <formula>"I"</formula>
    </cfRule>
  </conditionalFormatting>
  <conditionalFormatting sqref="H106">
    <cfRule type="cellIs" dxfId="2143" priority="21" operator="equal">
      <formula>"X"</formula>
    </cfRule>
    <cfRule type="cellIs" dxfId="2142" priority="22" operator="equal">
      <formula>"I"</formula>
    </cfRule>
  </conditionalFormatting>
  <conditionalFormatting sqref="H114">
    <cfRule type="cellIs" dxfId="2141" priority="51" operator="equal">
      <formula>"X"</formula>
    </cfRule>
    <cfRule type="cellIs" dxfId="2140" priority="52" operator="equal">
      <formula>"I"</formula>
    </cfRule>
  </conditionalFormatting>
  <conditionalFormatting sqref="L27:L37">
    <cfRule type="cellIs" dxfId="2139" priority="107" operator="equal">
      <formula>"X"</formula>
    </cfRule>
    <cfRule type="cellIs" dxfId="2138" priority="108" operator="equal">
      <formula>"I"</formula>
    </cfRule>
  </conditionalFormatting>
  <conditionalFormatting sqref="L43:L50">
    <cfRule type="cellIs" dxfId="2137" priority="103" operator="equal">
      <formula>"X"</formula>
    </cfRule>
    <cfRule type="cellIs" dxfId="2136" priority="104" operator="equal">
      <formula>"I"</formula>
    </cfRule>
  </conditionalFormatting>
  <conditionalFormatting sqref="L66:L86">
    <cfRule type="cellIs" dxfId="2135" priority="69" operator="equal">
      <formula>"X"</formula>
    </cfRule>
    <cfRule type="cellIs" dxfId="2134" priority="70" operator="equal">
      <formula>"I"</formula>
    </cfRule>
  </conditionalFormatting>
  <conditionalFormatting sqref="L109:L114">
    <cfRule type="cellIs" dxfId="2133" priority="59" operator="equal">
      <formula>"X"</formula>
    </cfRule>
    <cfRule type="cellIs" dxfId="2132" priority="60" operator="equal">
      <formula>"I"</formula>
    </cfRule>
  </conditionalFormatting>
  <conditionalFormatting sqref="N27:N36">
    <cfRule type="cellIs" dxfId="2131" priority="163" operator="equal">
      <formula>"X"</formula>
    </cfRule>
    <cfRule type="cellIs" dxfId="2130" priority="164" operator="equal">
      <formula>"I"</formula>
    </cfRule>
  </conditionalFormatting>
  <conditionalFormatting sqref="N40:N50">
    <cfRule type="cellIs" dxfId="2129" priority="161" operator="equal">
      <formula>"X"</formula>
    </cfRule>
    <cfRule type="cellIs" dxfId="2128" priority="162" operator="equal">
      <formula>"I"</formula>
    </cfRule>
  </conditionalFormatting>
  <conditionalFormatting sqref="N66:N86">
    <cfRule type="cellIs" dxfId="2127" priority="49" operator="equal">
      <formula>"X"</formula>
    </cfRule>
    <cfRule type="cellIs" dxfId="2126" priority="50" operator="equal">
      <formula>"I"</formula>
    </cfRule>
  </conditionalFormatting>
  <conditionalFormatting sqref="N109:N114">
    <cfRule type="cellIs" dxfId="2125" priority="135" operator="equal">
      <formula>"X"</formula>
    </cfRule>
    <cfRule type="cellIs" dxfId="2124" priority="136" operator="equal">
      <formula>"I"</formula>
    </cfRule>
  </conditionalFormatting>
  <conditionalFormatting sqref="P24:P37">
    <cfRule type="cellIs" dxfId="2123" priority="175" operator="equal">
      <formula>"X"</formula>
    </cfRule>
    <cfRule type="cellIs" dxfId="2122" priority="176" operator="equal">
      <formula>"I"</formula>
    </cfRule>
  </conditionalFormatting>
  <conditionalFormatting sqref="R24:R37">
    <cfRule type="cellIs" dxfId="2121" priority="173" operator="equal">
      <formula>"X"</formula>
    </cfRule>
    <cfRule type="cellIs" dxfId="2120" priority="174" operator="equal">
      <formula>"I"</formula>
    </cfRule>
  </conditionalFormatting>
  <conditionalFormatting sqref="T24:T37">
    <cfRule type="cellIs" dxfId="2119" priority="171" operator="equal">
      <formula>"X"</formula>
    </cfRule>
    <cfRule type="cellIs" dxfId="2118" priority="172" operator="equal">
      <formula>"I"</formula>
    </cfRule>
  </conditionalFormatting>
  <conditionalFormatting sqref="V24:V37">
    <cfRule type="cellIs" dxfId="2117" priority="165" operator="equal">
      <formula>"X"</formula>
    </cfRule>
    <cfRule type="cellIs" dxfId="2116" priority="166" operator="equal">
      <formula>"I"</formula>
    </cfRule>
  </conditionalFormatting>
  <conditionalFormatting sqref="J24:J37">
    <cfRule type="cellIs" dxfId="2115" priority="15" operator="equal">
      <formula>"X"</formula>
    </cfRule>
    <cfRule type="cellIs" dxfId="2114" priority="16" operator="equal">
      <formula>"I"</formula>
    </cfRule>
  </conditionalFormatting>
  <conditionalFormatting sqref="J39:J87">
    <cfRule type="cellIs" dxfId="2113" priority="9" operator="equal">
      <formula>"X"</formula>
    </cfRule>
    <cfRule type="cellIs" dxfId="2112" priority="10" operator="equal">
      <formula>"I"</formula>
    </cfRule>
  </conditionalFormatting>
  <conditionalFormatting sqref="J106">
    <cfRule type="cellIs" dxfId="2111" priority="11" operator="equal">
      <formula>"X"</formula>
    </cfRule>
    <cfRule type="cellIs" dxfId="2110" priority="12" operator="equal">
      <formula>"I"</formula>
    </cfRule>
  </conditionalFormatting>
  <conditionalFormatting sqref="J114">
    <cfRule type="cellIs" dxfId="2109" priority="13" operator="equal">
      <formula>"X"</formula>
    </cfRule>
    <cfRule type="cellIs" dxfId="2108" priority="14" operator="equal">
      <formula>"I"</formula>
    </cfRule>
  </conditionalFormatting>
  <conditionalFormatting sqref="L55">
    <cfRule type="cellIs" dxfId="2107" priority="5" operator="equal">
      <formula>"X"</formula>
    </cfRule>
    <cfRule type="cellIs" dxfId="2106" priority="6" operator="equal">
      <formula>"I"</formula>
    </cfRule>
  </conditionalFormatting>
  <conditionalFormatting sqref="L40:L41">
    <cfRule type="cellIs" dxfId="2105" priority="1" operator="equal">
      <formula>"X"</formula>
    </cfRule>
    <cfRule type="cellIs" dxfId="2104" priority="2" operator="equal">
      <formula>"I"</formula>
    </cfRule>
  </conditionalFormatting>
  <hyperlinks>
    <hyperlink ref="B3" location="'Cost Summary'!A1" display="BACK TO SUMMARY SHEET" xr:uid="{2AEBC567-BC4A-432D-BAA0-B85026F295C6}"/>
    <hyperlink ref="H7:I7" r:id="rId1" display="jose@jjcwcorp.com" xr:uid="{D0F8D9B9-19DB-4162-9FAE-1ED7F1F56F7D}"/>
    <hyperlink ref="R7:S7" r:id="rId2" display="sflacaulking@comcast.net" xr:uid="{5DF9D155-91BF-4147-952D-5DB4E868091E}"/>
    <hyperlink ref="P7:Q7" r:id="rId3" display="jsalloum@mcwcompanies.com" xr:uid="{E63C7D97-D4B1-4397-B6E7-FDE86669BFD0}"/>
    <hyperlink ref="T7" r:id="rId4" xr:uid="{C0F33028-AB5E-4F18-AF1C-B2DCC5F3D669}"/>
    <hyperlink ref="N7:O7" r:id="rId5" display="danielbernhard@tritoncandw.com" xr:uid="{9A8FA785-3F74-44B2-9C21-AD8950A704FF}"/>
    <hyperlink ref="L7:M7" r:id="rId6" display="estimating@dennaouiinc.com" xr:uid="{796FB3E9-5726-49B9-A661-D1DE99BFC13D}"/>
    <hyperlink ref="J7:K7" r:id="rId7" display="jose@jjcwcorp.com" xr:uid="{B4249045-DC8C-4E04-91AF-313E370760B6}"/>
  </hyperlinks>
  <pageMargins left="0.7" right="0.7" top="0.75" bottom="0.75" header="0.3" footer="0.3"/>
  <pageSetup scale="70" orientation="portrait" horizontalDpi="300" verticalDpi="300" r:id="rId8"/>
  <rowBreaks count="1" manualBreakCount="1">
    <brk id="87" max="6" man="1"/>
  </rowBreaks>
  <legacyDrawing r:id="rId9"/>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F0FF-0A35-400F-AD3D-0F727CDF7D70}">
  <sheetPr>
    <tabColor rgb="FF92D050"/>
  </sheetPr>
  <dimension ref="A1:S98"/>
  <sheetViews>
    <sheetView zoomScale="85" zoomScaleNormal="85" workbookViewId="0">
      <pane xSplit="2" ySplit="9" topLeftCell="C38" activePane="bottomRight" state="frozen"/>
      <selection pane="topRight" activeCell="C1" sqref="C1"/>
      <selection pane="bottomLeft" activeCell="A11" sqref="A11"/>
      <selection pane="bottomRight" activeCell="B38" sqref="B38"/>
    </sheetView>
  </sheetViews>
  <sheetFormatPr defaultRowHeight="14.5" x14ac:dyDescent="0.35"/>
  <cols>
    <col min="1" max="1" width="11" customWidth="1"/>
    <col min="2" max="2" width="70.7265625" style="1" customWidth="1"/>
    <col min="3" max="3" width="10.81640625" style="2" bestFit="1" customWidth="1"/>
    <col min="4" max="4" width="8.1796875" style="2" bestFit="1" customWidth="1"/>
    <col min="5"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866"/>
      <c r="M2" s="3866"/>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421" t="s">
        <v>634</v>
      </c>
      <c r="B5" s="1422" t="s">
        <v>1863</v>
      </c>
      <c r="C5" s="1423"/>
      <c r="D5" s="1423"/>
      <c r="E5" s="1423"/>
      <c r="F5" s="1423"/>
      <c r="G5" s="643" t="s">
        <v>636</v>
      </c>
      <c r="H5" s="3851"/>
      <c r="I5" s="3759"/>
      <c r="J5" s="3851"/>
      <c r="K5" s="3759"/>
      <c r="L5" s="3864"/>
      <c r="M5" s="3865"/>
      <c r="N5" s="3864"/>
      <c r="O5" s="3865"/>
      <c r="P5" s="3864"/>
      <c r="Q5" s="3865"/>
      <c r="R5" s="3864"/>
      <c r="S5" s="3865"/>
    </row>
    <row r="6" spans="1:19" x14ac:dyDescent="0.35">
      <c r="A6" s="1421" t="s">
        <v>638</v>
      </c>
      <c r="B6" s="1424" t="s">
        <v>1864</v>
      </c>
      <c r="C6" s="1423"/>
      <c r="D6" s="1423"/>
      <c r="E6" s="1423"/>
      <c r="F6" s="1423"/>
      <c r="G6" s="643" t="s">
        <v>639</v>
      </c>
      <c r="H6" s="3852"/>
      <c r="I6" s="3757"/>
      <c r="J6" s="3852"/>
      <c r="K6" s="3757"/>
      <c r="L6" s="3862"/>
      <c r="M6" s="3863"/>
      <c r="N6" s="3862"/>
      <c r="O6" s="3863"/>
      <c r="P6" s="3862"/>
      <c r="Q6" s="3863"/>
      <c r="R6" s="3862"/>
      <c r="S6" s="3863"/>
    </row>
    <row r="7" spans="1:19" x14ac:dyDescent="0.35">
      <c r="A7" s="1421" t="s">
        <v>641</v>
      </c>
      <c r="B7" s="1425"/>
      <c r="C7" s="1423"/>
      <c r="D7" s="1423"/>
      <c r="E7" s="1423"/>
      <c r="F7" s="1423"/>
      <c r="G7" s="1577" t="s">
        <v>642</v>
      </c>
      <c r="H7" s="3853"/>
      <c r="I7" s="3854"/>
      <c r="J7" s="3853"/>
      <c r="K7" s="3854"/>
      <c r="L7" s="3790"/>
      <c r="M7" s="3791"/>
      <c r="N7" s="3790"/>
      <c r="O7" s="3791"/>
      <c r="P7" s="3790"/>
      <c r="Q7" s="3791"/>
      <c r="R7" s="3861"/>
      <c r="S7" s="3791"/>
    </row>
    <row r="8" spans="1:19" ht="15" thickBot="1" x14ac:dyDescent="0.4">
      <c r="A8" s="938" t="s">
        <v>644</v>
      </c>
      <c r="B8" s="939"/>
      <c r="C8" s="940"/>
      <c r="D8" s="940"/>
      <c r="E8" s="940"/>
      <c r="F8" s="940"/>
      <c r="G8" s="1024" t="s">
        <v>644</v>
      </c>
      <c r="H8" s="3760">
        <f>I59</f>
        <v>0</v>
      </c>
      <c r="I8" s="3761"/>
      <c r="J8" s="3760">
        <f>K59</f>
        <v>0</v>
      </c>
      <c r="K8" s="3761"/>
      <c r="L8" s="3760">
        <f>M59</f>
        <v>0</v>
      </c>
      <c r="M8" s="3761"/>
      <c r="N8" s="3760">
        <f>O59</f>
        <v>0</v>
      </c>
      <c r="O8" s="3761"/>
      <c r="P8" s="3760">
        <f>Q59</f>
        <v>0</v>
      </c>
      <c r="Q8" s="3761"/>
      <c r="R8" s="3760">
        <f>S59</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426"/>
      <c r="B10" s="1578" t="s">
        <v>653</v>
      </c>
      <c r="C10" s="1423"/>
      <c r="D10" s="1423"/>
      <c r="E10" s="1423"/>
      <c r="F10" s="1423"/>
      <c r="G10" s="646"/>
      <c r="H10" s="942"/>
      <c r="I10" s="942"/>
      <c r="J10" s="942"/>
      <c r="K10" s="942"/>
      <c r="L10" s="942"/>
      <c r="M10" s="942"/>
      <c r="N10" s="942"/>
      <c r="O10" s="942"/>
      <c r="P10" s="942"/>
      <c r="Q10" s="942"/>
      <c r="R10" s="942"/>
      <c r="S10" s="942"/>
    </row>
    <row r="11" spans="1:19" ht="15" hidden="1" thickTop="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row>
    <row r="12" spans="1:19" ht="15" hidden="1" thickTop="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row>
    <row r="13" spans="1:19" ht="15" hidden="1" thickTop="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row>
    <row r="14" spans="1:19" ht="15" hidden="1" thickTop="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row>
    <row r="15" spans="1:19" ht="15" hidden="1" thickTop="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row>
    <row r="16" spans="1:19" ht="15" hidden="1" thickTop="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row>
    <row r="17" spans="1:19" ht="15" hidden="1" thickTop="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row>
    <row r="18" spans="1:19" ht="15" hidden="1" thickTop="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row>
    <row r="19" spans="1:19" ht="15" hidden="1" thickTop="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row>
    <row r="20" spans="1:19" ht="15" hidden="1" thickTop="1" x14ac:dyDescent="0.35">
      <c r="A20" s="1426"/>
      <c r="B20" s="1422" t="e">
        <f>#REF!</f>
        <v>#REF!</v>
      </c>
      <c r="C20" s="1427" t="s">
        <v>654</v>
      </c>
      <c r="D20" s="1423"/>
      <c r="E20" s="1423"/>
      <c r="F20" s="1423"/>
      <c r="G20" s="646"/>
      <c r="H20" s="942"/>
      <c r="I20" s="942"/>
      <c r="J20" s="942"/>
      <c r="K20" s="942"/>
      <c r="L20" s="942"/>
      <c r="M20" s="942"/>
      <c r="N20" s="942"/>
      <c r="O20" s="942"/>
      <c r="P20" s="942"/>
      <c r="Q20" s="942"/>
      <c r="R20" s="942"/>
      <c r="S20" s="942"/>
    </row>
    <row r="21" spans="1:19" ht="15" hidden="1" thickTop="1" x14ac:dyDescent="0.35">
      <c r="A21" s="1426"/>
      <c r="B21" s="1422" t="e">
        <f>#REF!</f>
        <v>#REF!</v>
      </c>
      <c r="C21" s="1427" t="s">
        <v>654</v>
      </c>
      <c r="D21" s="1423"/>
      <c r="E21" s="1423"/>
      <c r="F21" s="1423"/>
      <c r="G21" s="646"/>
      <c r="H21" s="942"/>
      <c r="I21" s="942"/>
      <c r="J21" s="942"/>
      <c r="K21" s="942"/>
      <c r="L21" s="942"/>
      <c r="M21" s="942"/>
      <c r="N21" s="942"/>
      <c r="O21" s="942"/>
      <c r="P21" s="942"/>
      <c r="Q21" s="942"/>
      <c r="R21" s="942"/>
      <c r="S21" s="942"/>
    </row>
    <row r="22" spans="1:19" ht="15" hidden="1" thickTop="1" x14ac:dyDescent="0.35">
      <c r="A22" s="1426"/>
      <c r="B22" s="1422" t="e">
        <f>#REF!</f>
        <v>#REF!</v>
      </c>
      <c r="C22" s="1427" t="s">
        <v>654</v>
      </c>
      <c r="D22" s="1423"/>
      <c r="E22" s="1423"/>
      <c r="F22" s="1423"/>
      <c r="G22" s="646"/>
      <c r="H22" s="942"/>
      <c r="I22" s="942"/>
      <c r="J22" s="942"/>
      <c r="K22" s="942"/>
      <c r="L22" s="942"/>
      <c r="M22" s="942"/>
      <c r="N22" s="942"/>
      <c r="O22" s="942"/>
      <c r="P22" s="942"/>
      <c r="Q22" s="942"/>
      <c r="R22" s="942"/>
      <c r="S22" s="942"/>
    </row>
    <row r="23" spans="1:19" ht="15" hidden="1" thickTop="1" x14ac:dyDescent="0.35">
      <c r="A23" s="1426"/>
      <c r="B23" s="1422" t="e">
        <f>#REF!</f>
        <v>#REF!</v>
      </c>
      <c r="C23" s="1427" t="s">
        <v>654</v>
      </c>
      <c r="D23" s="1423"/>
      <c r="E23" s="1423"/>
      <c r="F23" s="1423"/>
      <c r="G23" s="646"/>
      <c r="H23" s="942"/>
      <c r="I23" s="942"/>
      <c r="J23" s="942"/>
      <c r="K23" s="942"/>
      <c r="L23" s="942"/>
      <c r="M23" s="942"/>
      <c r="N23" s="942"/>
      <c r="O23" s="942"/>
      <c r="P23" s="942"/>
      <c r="Q23" s="942"/>
      <c r="R23" s="942"/>
      <c r="S23" s="942"/>
    </row>
    <row r="24" spans="1:19" ht="15" thickTop="1" x14ac:dyDescent="0.35">
      <c r="A24" s="1426"/>
      <c r="B24" s="1422"/>
      <c r="C24" s="1427"/>
      <c r="D24" s="1423"/>
      <c r="E24" s="1423"/>
      <c r="F24" s="1423"/>
      <c r="G24" s="646"/>
      <c r="H24" s="943"/>
      <c r="I24" s="942"/>
      <c r="J24" s="943"/>
      <c r="K24" s="942"/>
      <c r="L24" s="943"/>
      <c r="M24" s="942"/>
      <c r="N24" s="943"/>
      <c r="O24" s="942"/>
      <c r="P24" s="943"/>
      <c r="Q24" s="942"/>
      <c r="R24" s="943"/>
      <c r="S24" s="942"/>
    </row>
    <row r="25" spans="1:19" ht="15" thickBot="1" x14ac:dyDescent="0.4">
      <c r="A25" s="1426"/>
      <c r="B25" s="1428" t="s">
        <v>1863</v>
      </c>
      <c r="C25" s="1427"/>
      <c r="D25" s="1423"/>
      <c r="E25" s="1423"/>
      <c r="F25" s="1423"/>
      <c r="G25" s="646"/>
      <c r="H25" s="943"/>
      <c r="I25" s="942"/>
      <c r="J25" s="943"/>
      <c r="K25" s="942"/>
      <c r="L25" s="943"/>
      <c r="M25" s="942"/>
      <c r="N25" s="943"/>
      <c r="O25" s="942"/>
      <c r="P25" s="943"/>
      <c r="Q25" s="942"/>
      <c r="R25" s="943"/>
      <c r="S25" s="942"/>
    </row>
    <row r="26" spans="1:19" ht="15" thickBot="1" x14ac:dyDescent="0.4">
      <c r="A26" s="1560"/>
      <c r="B26" s="604" t="s">
        <v>657</v>
      </c>
      <c r="C26" s="1427"/>
      <c r="D26" s="1423"/>
      <c r="E26" s="1423"/>
      <c r="F26" s="1423"/>
      <c r="G26" s="646"/>
      <c r="H26" s="943"/>
      <c r="I26" s="1579"/>
      <c r="J26" s="943"/>
      <c r="K26" s="1579"/>
      <c r="L26" s="943"/>
      <c r="M26" s="1558"/>
      <c r="N26" s="943"/>
      <c r="O26" s="1558"/>
      <c r="P26" s="943"/>
      <c r="Q26" s="1558"/>
      <c r="R26" s="943"/>
      <c r="S26" s="1558"/>
    </row>
    <row r="27" spans="1:19" x14ac:dyDescent="0.35">
      <c r="A27" s="1560"/>
      <c r="B27" s="607" t="s">
        <v>658</v>
      </c>
      <c r="C27" s="1494"/>
      <c r="D27" s="1423"/>
      <c r="E27" s="1423"/>
      <c r="F27" s="1423"/>
      <c r="G27" s="646"/>
      <c r="H27" s="943"/>
      <c r="I27" s="1580"/>
      <c r="J27" s="943"/>
      <c r="K27" s="1579"/>
      <c r="L27" s="943"/>
      <c r="M27" s="984"/>
      <c r="N27" s="943"/>
      <c r="O27" s="1558"/>
      <c r="P27" s="943"/>
      <c r="Q27" s="1580"/>
      <c r="R27" s="943"/>
      <c r="S27" s="1558"/>
    </row>
    <row r="28" spans="1:19" x14ac:dyDescent="0.35">
      <c r="A28" s="1560"/>
      <c r="B28" s="1581" t="s">
        <v>659</v>
      </c>
      <c r="C28" s="1494"/>
      <c r="D28" s="1423"/>
      <c r="E28" s="1423"/>
      <c r="F28" s="1423"/>
      <c r="G28" s="646"/>
      <c r="H28" s="943"/>
      <c r="I28" s="1579"/>
      <c r="J28" s="943"/>
      <c r="K28" s="1579"/>
      <c r="L28" s="943"/>
      <c r="M28" s="984"/>
      <c r="N28" s="943"/>
      <c r="O28" s="1558"/>
      <c r="P28" s="943"/>
      <c r="Q28" s="1580"/>
      <c r="R28" s="943"/>
      <c r="S28" s="1558"/>
    </row>
    <row r="29" spans="1:19" x14ac:dyDescent="0.35">
      <c r="A29" s="1560"/>
      <c r="B29" s="1582" t="s">
        <v>660</v>
      </c>
      <c r="C29" s="1494"/>
      <c r="D29" s="1423"/>
      <c r="E29" s="1423"/>
      <c r="F29" s="1423"/>
      <c r="G29" s="646"/>
      <c r="H29" s="943"/>
      <c r="I29" s="1579"/>
      <c r="J29" s="943"/>
      <c r="K29" s="1495"/>
      <c r="L29" s="943"/>
      <c r="M29" s="984"/>
      <c r="N29" s="943"/>
      <c r="O29" s="1558"/>
      <c r="P29" s="943"/>
      <c r="Q29" s="1580"/>
      <c r="R29" s="943"/>
      <c r="S29" s="1558"/>
    </row>
    <row r="30" spans="1:19" x14ac:dyDescent="0.35">
      <c r="A30" s="1560"/>
      <c r="B30" s="1582" t="s">
        <v>661</v>
      </c>
      <c r="C30" s="1494"/>
      <c r="D30" s="1423"/>
      <c r="E30" s="1423"/>
      <c r="F30" s="1423"/>
      <c r="G30" s="646"/>
      <c r="H30" s="943"/>
      <c r="I30" s="1579"/>
      <c r="J30" s="943"/>
      <c r="K30" s="984"/>
      <c r="L30" s="943"/>
      <c r="M30" s="984"/>
      <c r="N30" s="943"/>
      <c r="O30" s="1558"/>
      <c r="P30" s="943"/>
      <c r="Q30" s="1580"/>
      <c r="R30" s="943"/>
      <c r="S30" s="1558"/>
    </row>
    <row r="31" spans="1:19" x14ac:dyDescent="0.35">
      <c r="A31" s="1560"/>
      <c r="B31" s="1582" t="s">
        <v>662</v>
      </c>
      <c r="C31" s="1583"/>
      <c r="D31" s="1423"/>
      <c r="E31" s="1423"/>
      <c r="F31" s="1423"/>
      <c r="G31" s="646"/>
      <c r="H31" s="943"/>
      <c r="I31" s="1579"/>
      <c r="J31" s="943"/>
      <c r="K31" s="984"/>
      <c r="L31" s="943"/>
      <c r="M31" s="984"/>
      <c r="N31" s="943"/>
      <c r="O31" s="1580"/>
      <c r="P31" s="943"/>
      <c r="Q31" s="1580"/>
      <c r="R31" s="943"/>
      <c r="S31" s="1558"/>
    </row>
    <row r="32" spans="1:19" x14ac:dyDescent="0.35">
      <c r="A32" s="1560"/>
      <c r="B32" s="1582" t="s">
        <v>663</v>
      </c>
      <c r="C32" s="1583"/>
      <c r="D32" s="1423"/>
      <c r="E32" s="1423"/>
      <c r="F32" s="1423"/>
      <c r="G32" s="646"/>
      <c r="H32" s="943"/>
      <c r="I32" s="1580"/>
      <c r="J32" s="943"/>
      <c r="K32" s="984"/>
      <c r="L32" s="943"/>
      <c r="M32" s="984"/>
      <c r="N32" s="943"/>
      <c r="O32" s="1580"/>
      <c r="P32" s="943"/>
      <c r="Q32" s="1580"/>
      <c r="R32" s="943"/>
      <c r="S32" s="1558"/>
    </row>
    <row r="33" spans="1:19" x14ac:dyDescent="0.35">
      <c r="A33" s="1560"/>
      <c r="B33" s="1582" t="s">
        <v>742</v>
      </c>
      <c r="C33" s="1583"/>
      <c r="D33" s="1423"/>
      <c r="E33" s="1423"/>
      <c r="F33" s="1423"/>
      <c r="G33" s="646"/>
      <c r="H33" s="943"/>
      <c r="I33" s="1580"/>
      <c r="J33" s="943"/>
      <c r="K33" s="1558"/>
      <c r="L33" s="943"/>
      <c r="M33" s="1558"/>
      <c r="N33" s="943"/>
      <c r="O33" s="1580"/>
      <c r="P33" s="943"/>
      <c r="Q33" s="1580"/>
      <c r="R33" s="943"/>
      <c r="S33" s="1558"/>
    </row>
    <row r="34" spans="1:19" x14ac:dyDescent="0.35">
      <c r="A34" s="1560"/>
      <c r="B34" s="1584" t="s">
        <v>664</v>
      </c>
      <c r="C34" s="1583"/>
      <c r="D34" s="1423"/>
      <c r="E34" s="1423"/>
      <c r="F34" s="1423"/>
      <c r="G34" s="646"/>
      <c r="H34" s="943"/>
      <c r="I34" s="1580"/>
      <c r="J34" s="943"/>
      <c r="K34" s="1580"/>
      <c r="L34" s="943"/>
      <c r="M34" s="1580"/>
      <c r="N34" s="943"/>
      <c r="O34" s="1580"/>
      <c r="P34" s="943"/>
      <c r="Q34" s="1580"/>
      <c r="R34" s="943"/>
      <c r="S34" s="1558"/>
    </row>
    <row r="35" spans="1:19" x14ac:dyDescent="0.35">
      <c r="A35" s="1560"/>
      <c r="B35" s="1585" t="s">
        <v>665</v>
      </c>
      <c r="C35" s="1586"/>
      <c r="D35" s="1431"/>
      <c r="E35" s="1431"/>
      <c r="F35" s="1431"/>
      <c r="G35" s="1587"/>
      <c r="H35" s="1588"/>
      <c r="I35" s="1589"/>
      <c r="J35" s="636"/>
      <c r="K35" s="1589"/>
      <c r="L35" s="636"/>
      <c r="M35" s="1589"/>
      <c r="N35" s="636"/>
      <c r="O35" s="1589"/>
      <c r="P35" s="636"/>
      <c r="Q35" s="1589"/>
      <c r="R35" s="1590"/>
      <c r="S35" s="1590"/>
    </row>
    <row r="36" spans="1:19" x14ac:dyDescent="0.35">
      <c r="A36" s="1560"/>
      <c r="B36" s="1591" t="s">
        <v>874</v>
      </c>
      <c r="C36" s="1583"/>
      <c r="D36" s="1423"/>
      <c r="E36" s="1423"/>
      <c r="F36" s="1423"/>
      <c r="G36" s="646"/>
      <c r="H36" s="943"/>
      <c r="I36" s="1580"/>
      <c r="J36" s="943"/>
      <c r="K36" s="1580"/>
      <c r="L36" s="943"/>
      <c r="M36" s="1580"/>
      <c r="N36" s="943"/>
      <c r="O36" s="1580"/>
      <c r="P36" s="943"/>
      <c r="Q36" s="1580"/>
      <c r="R36" s="943"/>
      <c r="S36" s="1558"/>
    </row>
    <row r="37" spans="1:19" x14ac:dyDescent="0.35">
      <c r="A37" s="1560"/>
      <c r="B37" s="1591"/>
      <c r="C37" s="1583"/>
      <c r="D37" s="1423"/>
      <c r="E37" s="1423"/>
      <c r="F37" s="1423"/>
      <c r="G37" s="646"/>
      <c r="H37" s="943"/>
      <c r="I37" s="1580"/>
      <c r="J37" s="943"/>
      <c r="K37" s="1580"/>
      <c r="L37" s="943"/>
      <c r="M37" s="1580"/>
      <c r="N37" s="943"/>
      <c r="O37" s="1580"/>
      <c r="P37" s="943"/>
      <c r="Q37" s="1580"/>
      <c r="R37" s="943"/>
      <c r="S37" s="1558"/>
    </row>
    <row r="38" spans="1:19" x14ac:dyDescent="0.35">
      <c r="A38" s="1560"/>
      <c r="B38" s="1592"/>
      <c r="C38" s="1583"/>
      <c r="D38" s="1593"/>
      <c r="E38" s="1423"/>
      <c r="F38" s="1594"/>
      <c r="G38" s="1595"/>
      <c r="H38" s="943"/>
      <c r="I38" s="1580"/>
      <c r="J38" s="943"/>
      <c r="K38" s="1580"/>
      <c r="L38" s="943"/>
      <c r="M38" s="1580"/>
      <c r="N38" s="943"/>
      <c r="O38" s="1580"/>
      <c r="P38" s="943"/>
      <c r="Q38" s="1580"/>
      <c r="R38" s="943"/>
      <c r="S38" s="1558"/>
    </row>
    <row r="39" spans="1:19" x14ac:dyDescent="0.35">
      <c r="A39" s="1560"/>
      <c r="B39" s="1592"/>
      <c r="C39" s="1583"/>
      <c r="D39" s="1593"/>
      <c r="E39" s="1423"/>
      <c r="F39" s="1594"/>
      <c r="G39" s="1595"/>
      <c r="H39" s="943"/>
      <c r="I39" s="1580"/>
      <c r="J39" s="943"/>
      <c r="K39" s="1580"/>
      <c r="L39" s="943"/>
      <c r="M39" s="1580"/>
      <c r="N39" s="943"/>
      <c r="O39" s="1580"/>
      <c r="P39" s="943"/>
      <c r="Q39" s="1580"/>
      <c r="R39" s="943"/>
      <c r="S39" s="1558"/>
    </row>
    <row r="40" spans="1:19" x14ac:dyDescent="0.35">
      <c r="A40" s="1560"/>
      <c r="B40" s="1592"/>
      <c r="C40" s="1583"/>
      <c r="D40" s="1593"/>
      <c r="E40" s="1423"/>
      <c r="F40" s="1594"/>
      <c r="G40" s="1595"/>
      <c r="H40" s="943"/>
      <c r="I40" s="1580"/>
      <c r="J40" s="943"/>
      <c r="K40" s="1580"/>
      <c r="L40" s="943"/>
      <c r="M40" s="1580"/>
      <c r="N40" s="943"/>
      <c r="O40" s="1580"/>
      <c r="P40" s="943"/>
      <c r="Q40" s="1580"/>
      <c r="R40" s="943"/>
      <c r="S40" s="1558"/>
    </row>
    <row r="41" spans="1:19" x14ac:dyDescent="0.35">
      <c r="A41" s="1560"/>
      <c r="B41" s="1591"/>
      <c r="C41" s="1583"/>
      <c r="D41" s="1423"/>
      <c r="E41" s="1423"/>
      <c r="F41" s="1423"/>
      <c r="G41" s="646"/>
      <c r="H41" s="943"/>
      <c r="I41" s="1580"/>
      <c r="J41" s="943"/>
      <c r="K41" s="1580"/>
      <c r="L41" s="943"/>
      <c r="M41" s="1580"/>
      <c r="N41" s="943"/>
      <c r="O41" s="1580"/>
      <c r="P41" s="943"/>
      <c r="Q41" s="1580"/>
      <c r="R41" s="943"/>
      <c r="S41" s="1558"/>
    </row>
    <row r="42" spans="1:19" x14ac:dyDescent="0.35">
      <c r="A42" s="1560"/>
      <c r="B42" s="1591"/>
      <c r="C42" s="1583"/>
      <c r="D42" s="1423"/>
      <c r="E42" s="1423"/>
      <c r="F42" s="1423"/>
      <c r="G42" s="646"/>
      <c r="H42" s="943"/>
      <c r="I42" s="1580"/>
      <c r="J42" s="943"/>
      <c r="K42" s="1580"/>
      <c r="L42" s="943"/>
      <c r="M42" s="1580"/>
      <c r="N42" s="943"/>
      <c r="O42" s="1580"/>
      <c r="P42" s="943"/>
      <c r="Q42" s="1580"/>
      <c r="R42" s="943"/>
      <c r="S42" s="1558"/>
    </row>
    <row r="43" spans="1:19" x14ac:dyDescent="0.35">
      <c r="A43" s="1560"/>
      <c r="B43" s="1591"/>
      <c r="C43" s="1583"/>
      <c r="D43" s="1423"/>
      <c r="E43" s="1423"/>
      <c r="F43" s="1423"/>
      <c r="G43" s="646"/>
      <c r="H43" s="943" t="s">
        <v>671</v>
      </c>
      <c r="I43" s="1580"/>
      <c r="J43" s="943"/>
      <c r="K43" s="1580"/>
      <c r="L43" s="943"/>
      <c r="M43" s="1580"/>
      <c r="N43" s="943"/>
      <c r="O43" s="1580"/>
      <c r="P43" s="943"/>
      <c r="Q43" s="1580"/>
      <c r="R43" s="943"/>
      <c r="S43" s="1558"/>
    </row>
    <row r="44" spans="1:19" x14ac:dyDescent="0.35">
      <c r="A44" s="1560"/>
      <c r="B44" s="1591"/>
      <c r="C44" s="1583"/>
      <c r="D44" s="1423"/>
      <c r="E44" s="1423"/>
      <c r="F44" s="1423"/>
      <c r="G44" s="646"/>
      <c r="H44" s="943"/>
      <c r="I44" s="1580"/>
      <c r="J44" s="943"/>
      <c r="K44" s="1580"/>
      <c r="L44" s="943"/>
      <c r="M44" s="1580"/>
      <c r="N44" s="943"/>
      <c r="O44" s="1580"/>
      <c r="P44" s="943"/>
      <c r="Q44" s="1580"/>
      <c r="R44" s="943"/>
      <c r="S44" s="1558"/>
    </row>
    <row r="45" spans="1:19" x14ac:dyDescent="0.35">
      <c r="A45" s="1560"/>
      <c r="B45" s="1591"/>
      <c r="C45" s="1583"/>
      <c r="D45" s="1423"/>
      <c r="E45" s="1423"/>
      <c r="F45" s="1423"/>
      <c r="G45" s="646"/>
      <c r="H45" s="943"/>
      <c r="I45" s="1580"/>
      <c r="J45" s="943"/>
      <c r="K45" s="1580"/>
      <c r="L45" s="943"/>
      <c r="M45" s="1580"/>
      <c r="N45" s="943"/>
      <c r="O45" s="1580"/>
      <c r="P45" s="943"/>
      <c r="Q45" s="1580"/>
      <c r="R45" s="943"/>
      <c r="S45" s="1558"/>
    </row>
    <row r="46" spans="1:19" x14ac:dyDescent="0.35">
      <c r="A46" s="1560"/>
      <c r="B46" s="1591"/>
      <c r="C46" s="1583"/>
      <c r="D46" s="1423"/>
      <c r="E46" s="1423"/>
      <c r="F46" s="1423"/>
      <c r="G46" s="646"/>
      <c r="H46" s="943"/>
      <c r="I46" s="1580"/>
      <c r="J46" s="943"/>
      <c r="K46" s="1580"/>
      <c r="L46" s="943"/>
      <c r="M46" s="1580"/>
      <c r="N46" s="943"/>
      <c r="O46" s="1580"/>
      <c r="P46" s="943"/>
      <c r="Q46" s="1580"/>
      <c r="R46" s="943"/>
      <c r="S46" s="1558"/>
    </row>
    <row r="47" spans="1:19" x14ac:dyDescent="0.35">
      <c r="A47" s="1560"/>
      <c r="B47" s="1591"/>
      <c r="C47" s="1583"/>
      <c r="D47" s="1423"/>
      <c r="E47" s="1423"/>
      <c r="F47" s="1423"/>
      <c r="G47" s="646"/>
      <c r="H47" s="943"/>
      <c r="I47" s="1580"/>
      <c r="J47" s="943"/>
      <c r="K47" s="1580"/>
      <c r="L47" s="943"/>
      <c r="M47" s="1580"/>
      <c r="N47" s="943"/>
      <c r="O47" s="1580"/>
      <c r="P47" s="943"/>
      <c r="Q47" s="1580"/>
      <c r="R47" s="943"/>
      <c r="S47" s="1558"/>
    </row>
    <row r="48" spans="1:19" x14ac:dyDescent="0.35">
      <c r="A48" s="1560"/>
      <c r="B48" s="1591"/>
      <c r="C48" s="1583"/>
      <c r="D48" s="1423"/>
      <c r="E48" s="1423"/>
      <c r="F48" s="1423"/>
      <c r="G48" s="646"/>
      <c r="H48" s="943"/>
      <c r="I48" s="1580"/>
      <c r="J48" s="943"/>
      <c r="K48" s="1580"/>
      <c r="L48" s="943"/>
      <c r="M48" s="1580"/>
      <c r="N48" s="943"/>
      <c r="O48" s="1580"/>
      <c r="P48" s="943"/>
      <c r="Q48" s="1580"/>
      <c r="R48" s="943"/>
      <c r="S48" s="1558"/>
    </row>
    <row r="49" spans="1:19" x14ac:dyDescent="0.35">
      <c r="A49" s="1560"/>
      <c r="B49" s="1591"/>
      <c r="C49" s="1583"/>
      <c r="D49" s="1423"/>
      <c r="E49" s="1423"/>
      <c r="F49" s="1423"/>
      <c r="G49" s="646"/>
      <c r="H49" s="943"/>
      <c r="I49" s="1580"/>
      <c r="J49" s="943"/>
      <c r="K49" s="1580"/>
      <c r="L49" s="943"/>
      <c r="M49" s="1580"/>
      <c r="N49" s="943"/>
      <c r="O49" s="1580"/>
      <c r="P49" s="943"/>
      <c r="Q49" s="1580"/>
      <c r="R49" s="943"/>
      <c r="S49" s="1558"/>
    </row>
    <row r="50" spans="1:19" x14ac:dyDescent="0.35">
      <c r="A50" s="1560"/>
      <c r="B50" s="1591"/>
      <c r="C50" s="1583"/>
      <c r="D50" s="1423"/>
      <c r="E50" s="1423"/>
      <c r="F50" s="1423"/>
      <c r="G50" s="646"/>
      <c r="H50" s="943"/>
      <c r="I50" s="1580"/>
      <c r="J50" s="943"/>
      <c r="K50" s="1580"/>
      <c r="L50" s="943"/>
      <c r="M50" s="1580"/>
      <c r="N50" s="943"/>
      <c r="O50" s="1580"/>
      <c r="P50" s="943"/>
      <c r="Q50" s="1580"/>
      <c r="R50" s="943"/>
      <c r="S50" s="1558"/>
    </row>
    <row r="51" spans="1:19" x14ac:dyDescent="0.35">
      <c r="A51" s="1560"/>
      <c r="B51" s="1591"/>
      <c r="C51" s="1583"/>
      <c r="D51" s="1423"/>
      <c r="E51" s="1423"/>
      <c r="F51" s="1423"/>
      <c r="G51" s="646"/>
      <c r="H51" s="943"/>
      <c r="I51" s="1580"/>
      <c r="J51" s="943"/>
      <c r="K51" s="1580"/>
      <c r="L51" s="943"/>
      <c r="M51" s="1580"/>
      <c r="N51" s="943"/>
      <c r="O51" s="1580"/>
      <c r="P51" s="943"/>
      <c r="Q51" s="1580"/>
      <c r="R51" s="943"/>
      <c r="S51" s="1558"/>
    </row>
    <row r="52" spans="1:19" x14ac:dyDescent="0.35">
      <c r="A52" s="1560"/>
      <c r="B52" s="1591"/>
      <c r="C52" s="1583"/>
      <c r="D52" s="1423"/>
      <c r="E52" s="1423"/>
      <c r="F52" s="1423"/>
      <c r="G52" s="646"/>
      <c r="H52" s="943"/>
      <c r="I52" s="1580"/>
      <c r="J52" s="943"/>
      <c r="K52" s="1580"/>
      <c r="L52" s="943"/>
      <c r="M52" s="1580"/>
      <c r="N52" s="943"/>
      <c r="O52" s="1580"/>
      <c r="P52" s="943"/>
      <c r="Q52" s="1580"/>
      <c r="R52" s="943"/>
      <c r="S52" s="1558"/>
    </row>
    <row r="53" spans="1:19" x14ac:dyDescent="0.35">
      <c r="A53" s="1560"/>
      <c r="B53" s="1591"/>
      <c r="C53" s="1583"/>
      <c r="D53" s="1423"/>
      <c r="E53" s="1423"/>
      <c r="F53" s="1423"/>
      <c r="G53" s="646"/>
      <c r="H53" s="943"/>
      <c r="I53" s="1580"/>
      <c r="J53" s="943"/>
      <c r="K53" s="1580"/>
      <c r="L53" s="943"/>
      <c r="M53" s="1580"/>
      <c r="N53" s="943"/>
      <c r="O53" s="1580"/>
      <c r="P53" s="943"/>
      <c r="Q53" s="1580"/>
      <c r="R53" s="943"/>
      <c r="S53" s="1558"/>
    </row>
    <row r="54" spans="1:19" ht="15" thickBot="1" x14ac:dyDescent="0.4">
      <c r="A54" s="1560"/>
      <c r="B54" s="1591"/>
      <c r="C54" s="1583"/>
      <c r="D54" s="1423"/>
      <c r="E54" s="1423"/>
      <c r="F54" s="1423"/>
      <c r="G54" s="646"/>
      <c r="H54" s="943"/>
      <c r="I54" s="1579"/>
      <c r="J54" s="943"/>
      <c r="K54" s="1580"/>
      <c r="L54" s="943"/>
      <c r="M54" s="1580"/>
      <c r="N54" s="943"/>
      <c r="O54" s="1580"/>
      <c r="P54" s="943"/>
      <c r="Q54" s="1580"/>
      <c r="R54" s="943"/>
      <c r="S54" s="1558"/>
    </row>
    <row r="55" spans="1:19" ht="15" thickTop="1" x14ac:dyDescent="0.35">
      <c r="A55" s="14"/>
      <c r="B55" s="15"/>
      <c r="C55" s="16"/>
      <c r="D55" s="16"/>
      <c r="E55" s="17"/>
      <c r="F55" s="18" t="s">
        <v>715</v>
      </c>
      <c r="G55" s="19"/>
      <c r="H55" s="20"/>
      <c r="I55" s="50">
        <f>SUM(I27:I54)</f>
        <v>0</v>
      </c>
      <c r="J55" s="20"/>
      <c r="K55" s="50">
        <f>SUM(K27:K54)</f>
        <v>0</v>
      </c>
      <c r="L55" s="20"/>
      <c r="M55" s="50">
        <f>SUM(M27:M54)</f>
        <v>0</v>
      </c>
      <c r="N55" s="20"/>
      <c r="O55" s="50">
        <f>SUM(O27:O54)</f>
        <v>0</v>
      </c>
      <c r="P55" s="20"/>
      <c r="Q55" s="50">
        <f>SUM(Q27:Q54)</f>
        <v>0</v>
      </c>
      <c r="R55" s="20"/>
      <c r="S55" s="50">
        <f>SUM(S27:S54)</f>
        <v>0</v>
      </c>
    </row>
    <row r="56" spans="1:19" x14ac:dyDescent="0.35">
      <c r="A56" s="1452"/>
      <c r="B56" s="1453"/>
      <c r="C56" s="1454"/>
      <c r="D56" s="1454"/>
      <c r="E56" s="1455"/>
      <c r="F56" s="1456" t="s">
        <v>716</v>
      </c>
      <c r="G56" s="659"/>
      <c r="H56" s="959">
        <v>0</v>
      </c>
      <c r="I56" s="1121"/>
      <c r="J56" s="959">
        <v>0</v>
      </c>
      <c r="K56" s="1121"/>
      <c r="L56" s="959">
        <v>0</v>
      </c>
      <c r="M56" s="1121"/>
      <c r="N56" s="959">
        <v>0</v>
      </c>
      <c r="O56" s="1121"/>
      <c r="P56" s="959">
        <v>0</v>
      </c>
      <c r="Q56" s="1121"/>
      <c r="R56" s="959">
        <v>0</v>
      </c>
      <c r="S56" s="1121"/>
    </row>
    <row r="57" spans="1:19" x14ac:dyDescent="0.35">
      <c r="A57" s="1452"/>
      <c r="B57" s="1453"/>
      <c r="C57" s="1454"/>
      <c r="D57" s="1454"/>
      <c r="E57" s="1455"/>
      <c r="F57" s="1456" t="s">
        <v>717</v>
      </c>
      <c r="G57" s="659"/>
      <c r="H57" s="961"/>
      <c r="I57" s="1122">
        <f>I55*H56</f>
        <v>0</v>
      </c>
      <c r="J57" s="961"/>
      <c r="K57" s="1122">
        <f>K55*J56</f>
        <v>0</v>
      </c>
      <c r="L57" s="961"/>
      <c r="M57" s="1122">
        <f>M55*L56</f>
        <v>0</v>
      </c>
      <c r="N57" s="961"/>
      <c r="O57" s="1122">
        <f>O55*N56</f>
        <v>0</v>
      </c>
      <c r="P57" s="961"/>
      <c r="Q57" s="1122">
        <f>Q55*P56</f>
        <v>0</v>
      </c>
      <c r="R57" s="961"/>
      <c r="S57" s="1122">
        <f>S55*R56</f>
        <v>0</v>
      </c>
    </row>
    <row r="58" spans="1:19" x14ac:dyDescent="0.35">
      <c r="A58" s="1452"/>
      <c r="B58" s="1453"/>
      <c r="C58" s="1454"/>
      <c r="D58" s="1454"/>
      <c r="E58" s="1455"/>
      <c r="F58" s="1456"/>
      <c r="G58" s="659"/>
      <c r="H58" s="961"/>
      <c r="I58" s="963"/>
      <c r="J58" s="961"/>
      <c r="K58" s="963"/>
      <c r="L58" s="961"/>
      <c r="M58" s="963"/>
      <c r="N58" s="961"/>
      <c r="O58" s="963"/>
      <c r="P58" s="961"/>
      <c r="Q58" s="963"/>
      <c r="R58" s="961"/>
      <c r="S58" s="963"/>
    </row>
    <row r="59" spans="1:19" x14ac:dyDescent="0.35">
      <c r="A59" s="1452"/>
      <c r="B59" s="1453"/>
      <c r="C59" s="1454"/>
      <c r="D59" s="1454"/>
      <c r="E59" s="1455"/>
      <c r="F59" s="1456" t="s">
        <v>718</v>
      </c>
      <c r="G59" s="659"/>
      <c r="H59" s="964"/>
      <c r="I59" s="962">
        <f>SUM(I55:I58)</f>
        <v>0</v>
      </c>
      <c r="J59" s="964"/>
      <c r="K59" s="962">
        <f>SUM(K55:K58)</f>
        <v>0</v>
      </c>
      <c r="L59" s="964"/>
      <c r="M59" s="962">
        <f>SUM(M55:M58)</f>
        <v>0</v>
      </c>
      <c r="N59" s="964"/>
      <c r="O59" s="962">
        <f>SUM(O55:O58)</f>
        <v>0</v>
      </c>
      <c r="P59" s="964"/>
      <c r="Q59" s="962">
        <f>SUM(Q55:Q58)</f>
        <v>0</v>
      </c>
      <c r="R59" s="964"/>
      <c r="S59" s="962">
        <f>SUM(S55:S58)</f>
        <v>0</v>
      </c>
    </row>
    <row r="60" spans="1:19" x14ac:dyDescent="0.35">
      <c r="A60" s="1452"/>
      <c r="B60" s="1453"/>
      <c r="C60" s="1454"/>
      <c r="D60" s="1454"/>
      <c r="E60" s="1455"/>
      <c r="F60" s="1409" t="s">
        <v>719</v>
      </c>
      <c r="G60" s="661"/>
      <c r="H60" s="965"/>
      <c r="I60" s="966" t="e">
        <f>I59/#REF!</f>
        <v>#REF!</v>
      </c>
      <c r="J60" s="965"/>
      <c r="K60" s="966" t="e">
        <f>K59/#REF!</f>
        <v>#REF!</v>
      </c>
      <c r="L60" s="965"/>
      <c r="M60" s="966" t="e">
        <f>M59/#REF!</f>
        <v>#REF!</v>
      </c>
      <c r="N60" s="965"/>
      <c r="O60" s="966" t="e">
        <f>O59/#REF!</f>
        <v>#REF!</v>
      </c>
      <c r="P60" s="965"/>
      <c r="Q60" s="966" t="e">
        <f>Q59/#REF!</f>
        <v>#REF!</v>
      </c>
      <c r="R60" s="965"/>
      <c r="S60" s="966" t="e">
        <f>S59/#REF!</f>
        <v>#REF!</v>
      </c>
    </row>
    <row r="61" spans="1:19" x14ac:dyDescent="0.35">
      <c r="A61" s="1452"/>
      <c r="B61" s="1453"/>
      <c r="C61" s="1454"/>
      <c r="D61" s="1454"/>
      <c r="E61" s="1455"/>
      <c r="F61" s="1409" t="s">
        <v>720</v>
      </c>
      <c r="G61" s="662"/>
      <c r="H61" s="965"/>
      <c r="I61" s="966" t="e">
        <f>I59/#REF!</f>
        <v>#REF!</v>
      </c>
      <c r="J61" s="965"/>
      <c r="K61" s="966" t="e">
        <f>K59/#REF!</f>
        <v>#REF!</v>
      </c>
      <c r="L61" s="965"/>
      <c r="M61" s="966" t="e">
        <f>M59/#REF!</f>
        <v>#REF!</v>
      </c>
      <c r="N61" s="965"/>
      <c r="O61" s="966" t="e">
        <f>O59/#REF!</f>
        <v>#REF!</v>
      </c>
      <c r="P61" s="965"/>
      <c r="Q61" s="966" t="e">
        <f>Q59/#REF!</f>
        <v>#REF!</v>
      </c>
      <c r="R61" s="965"/>
      <c r="S61" s="966" t="e">
        <f>S59/#REF!</f>
        <v>#REF!</v>
      </c>
    </row>
    <row r="62" spans="1:19" ht="15" thickBot="1" x14ac:dyDescent="0.4">
      <c r="A62" s="1452"/>
      <c r="B62" s="1453"/>
      <c r="C62" s="1454"/>
      <c r="D62" s="1454"/>
      <c r="E62" s="1455"/>
      <c r="F62" s="1456"/>
      <c r="G62" s="663"/>
      <c r="H62" s="1168"/>
      <c r="I62" s="1169"/>
      <c r="J62" s="967"/>
      <c r="K62" s="1596"/>
      <c r="L62" s="967"/>
      <c r="M62" s="967"/>
      <c r="N62" s="967"/>
      <c r="O62" s="967"/>
      <c r="P62" s="967"/>
      <c r="Q62" s="967"/>
      <c r="R62" s="967"/>
      <c r="S62" s="967"/>
    </row>
    <row r="63" spans="1:19" ht="15.5" thickTop="1" thickBot="1" x14ac:dyDescent="0.4">
      <c r="A63" s="3764" t="s">
        <v>721</v>
      </c>
      <c r="B63" s="3765"/>
      <c r="C63" s="12"/>
      <c r="D63" s="12"/>
      <c r="E63" s="12"/>
      <c r="F63" s="12"/>
      <c r="G63" s="13"/>
      <c r="H63" s="21"/>
      <c r="I63" s="21"/>
      <c r="J63" s="21"/>
      <c r="K63" s="21"/>
      <c r="L63" s="21"/>
      <c r="M63" s="21"/>
      <c r="N63" s="21"/>
      <c r="O63" s="21"/>
      <c r="P63" s="21"/>
      <c r="Q63" s="21"/>
      <c r="R63" s="21"/>
      <c r="S63" s="21"/>
    </row>
    <row r="64" spans="1:19" ht="15" thickTop="1" x14ac:dyDescent="0.35">
      <c r="A64" s="1597"/>
      <c r="B64" s="1422"/>
      <c r="C64" s="1598"/>
      <c r="D64" s="1598"/>
      <c r="E64" s="1598"/>
      <c r="F64" s="1598"/>
      <c r="G64" s="1599"/>
      <c r="H64" s="1600"/>
      <c r="I64" s="1600"/>
      <c r="J64" s="1600"/>
      <c r="K64" s="1600"/>
      <c r="L64" s="1600"/>
      <c r="M64" s="1600"/>
      <c r="N64" s="1600"/>
      <c r="O64" s="1600"/>
      <c r="P64" s="1600"/>
      <c r="Q64" s="1600"/>
      <c r="R64" s="1600"/>
      <c r="S64" s="1600"/>
    </row>
    <row r="65" spans="1:19" s="2" customFormat="1" x14ac:dyDescent="0.35">
      <c r="A65" s="1597"/>
      <c r="B65" s="1422"/>
      <c r="C65" s="1598"/>
      <c r="D65" s="1598"/>
      <c r="E65" s="1598"/>
      <c r="F65" s="1598"/>
      <c r="G65" s="1599"/>
      <c r="H65" s="1600"/>
      <c r="I65" s="1600"/>
      <c r="J65" s="1600"/>
      <c r="K65" s="1600"/>
      <c r="L65" s="1600"/>
      <c r="M65" s="1600"/>
      <c r="N65" s="1600"/>
      <c r="O65" s="1600"/>
      <c r="P65" s="1600"/>
      <c r="Q65" s="1600"/>
      <c r="R65" s="1600"/>
      <c r="S65" s="1600"/>
    </row>
    <row r="66" spans="1:19" s="2" customFormat="1" ht="15" thickBot="1" x14ac:dyDescent="0.4">
      <c r="A66" s="1597"/>
      <c r="B66" s="1422"/>
      <c r="C66" s="1598"/>
      <c r="D66" s="1598"/>
      <c r="E66" s="1598"/>
      <c r="F66" s="1598"/>
      <c r="G66" s="1599"/>
      <c r="H66" s="1600"/>
      <c r="I66" s="1600"/>
      <c r="J66" s="1600"/>
      <c r="K66" s="1600"/>
      <c r="L66" s="1600"/>
      <c r="M66" s="1600"/>
      <c r="N66" s="1600"/>
      <c r="O66" s="1600"/>
      <c r="P66" s="1600"/>
      <c r="Q66" s="1600"/>
      <c r="R66" s="1600"/>
      <c r="S66" s="1600"/>
    </row>
    <row r="67" spans="1:19" ht="15.5" thickTop="1" thickBot="1" x14ac:dyDescent="0.4">
      <c r="A67" s="3764" t="s">
        <v>722</v>
      </c>
      <c r="B67" s="3765"/>
      <c r="C67" s="12"/>
      <c r="D67" s="12"/>
      <c r="E67" s="12"/>
      <c r="F67" s="12"/>
      <c r="G67" s="13"/>
      <c r="H67" s="21"/>
      <c r="I67" s="21"/>
      <c r="J67" s="21"/>
      <c r="K67" s="21"/>
      <c r="L67" s="21"/>
      <c r="M67" s="21"/>
      <c r="N67" s="21"/>
      <c r="O67" s="21"/>
      <c r="P67" s="21"/>
      <c r="Q67" s="21"/>
      <c r="R67" s="21"/>
      <c r="S67" s="21"/>
    </row>
    <row r="68" spans="1:19" s="2" customFormat="1" ht="15" thickTop="1" x14ac:dyDescent="0.35">
      <c r="A68" s="1597"/>
      <c r="B68" s="1422"/>
      <c r="C68" s="1598"/>
      <c r="D68" s="1598"/>
      <c r="E68" s="1598"/>
      <c r="F68" s="1598"/>
      <c r="G68" s="1599"/>
      <c r="H68" s="1600"/>
      <c r="I68" s="1600"/>
      <c r="J68" s="1600"/>
      <c r="K68" s="1600"/>
      <c r="L68" s="1600"/>
      <c r="M68" s="1600"/>
      <c r="N68" s="1600"/>
      <c r="O68" s="1600"/>
      <c r="P68" s="1600"/>
      <c r="Q68" s="1600"/>
      <c r="R68" s="1600"/>
      <c r="S68" s="1600"/>
    </row>
    <row r="69" spans="1:19" s="2" customFormat="1" x14ac:dyDescent="0.35">
      <c r="A69" s="1597"/>
      <c r="B69" s="1422"/>
      <c r="C69" s="1598"/>
      <c r="D69" s="1598"/>
      <c r="E69" s="1598"/>
      <c r="F69" s="1598"/>
      <c r="G69" s="1599"/>
      <c r="H69" s="1600"/>
      <c r="I69" s="1600"/>
      <c r="J69" s="1600"/>
      <c r="K69" s="1600"/>
      <c r="L69" s="1600"/>
      <c r="M69" s="1600"/>
      <c r="N69" s="1600"/>
      <c r="O69" s="1600"/>
      <c r="P69" s="1600"/>
      <c r="Q69" s="1600"/>
      <c r="R69" s="1600"/>
      <c r="S69" s="1600"/>
    </row>
    <row r="70" spans="1:19" s="2" customFormat="1" ht="15" thickBot="1" x14ac:dyDescent="0.4">
      <c r="A70" s="1597"/>
      <c r="B70" s="1422"/>
      <c r="C70" s="1598"/>
      <c r="D70" s="1598"/>
      <c r="E70" s="1598"/>
      <c r="F70" s="1598"/>
      <c r="G70" s="1599"/>
      <c r="H70" s="1600"/>
      <c r="I70" s="1600"/>
      <c r="J70" s="1600"/>
      <c r="K70" s="1600"/>
      <c r="L70" s="1600"/>
      <c r="M70" s="1600"/>
      <c r="N70" s="1600"/>
      <c r="O70" s="1600"/>
      <c r="P70" s="1600"/>
      <c r="Q70" s="1600"/>
      <c r="R70" s="1600"/>
      <c r="S70" s="1600"/>
    </row>
    <row r="71" spans="1:19" s="2" customFormat="1" ht="15.5" thickTop="1" thickBot="1" x14ac:dyDescent="0.4">
      <c r="A71" s="3764" t="s">
        <v>723</v>
      </c>
      <c r="B71" s="3765"/>
      <c r="C71" s="12"/>
      <c r="D71" s="12"/>
      <c r="E71" s="12"/>
      <c r="F71" s="12"/>
      <c r="G71" s="13"/>
      <c r="H71" s="21"/>
      <c r="I71" s="21"/>
      <c r="J71" s="21"/>
      <c r="K71" s="21"/>
      <c r="L71" s="21"/>
      <c r="M71" s="21"/>
      <c r="N71" s="21"/>
      <c r="O71" s="21"/>
      <c r="P71" s="21"/>
      <c r="Q71" s="21"/>
      <c r="R71" s="21"/>
      <c r="S71" s="21"/>
    </row>
    <row r="72" spans="1:19" s="2" customFormat="1" ht="15" thickTop="1" x14ac:dyDescent="0.35">
      <c r="A72" s="1597"/>
      <c r="B72" s="1422"/>
      <c r="C72" s="1598"/>
      <c r="D72" s="1598"/>
      <c r="E72" s="1598"/>
      <c r="F72" s="1598"/>
      <c r="G72" s="1599"/>
      <c r="H72" s="1600"/>
      <c r="I72" s="1600"/>
      <c r="J72" s="1600"/>
      <c r="K72" s="1600"/>
      <c r="L72" s="1600"/>
      <c r="M72" s="1600"/>
      <c r="N72" s="1600"/>
      <c r="O72" s="1600"/>
      <c r="P72" s="1600"/>
      <c r="Q72" s="1600"/>
      <c r="R72" s="1600"/>
      <c r="S72" s="1600"/>
    </row>
    <row r="73" spans="1:19" x14ac:dyDescent="0.35">
      <c r="A73" s="1426"/>
      <c r="B73" s="1422"/>
      <c r="C73" s="1423"/>
      <c r="D73" s="1423"/>
      <c r="E73" s="1423"/>
      <c r="F73" s="1423"/>
      <c r="G73" s="646"/>
      <c r="H73" s="973"/>
      <c r="I73" s="973"/>
      <c r="J73" s="973"/>
      <c r="K73" s="973"/>
      <c r="L73" s="973"/>
      <c r="M73" s="973"/>
      <c r="N73" s="973"/>
      <c r="O73" s="973"/>
      <c r="P73" s="973"/>
      <c r="Q73" s="973"/>
      <c r="R73" s="973"/>
      <c r="S73" s="973"/>
    </row>
    <row r="74" spans="1:19" ht="15" thickBot="1" x14ac:dyDescent="0.4">
      <c r="A74" s="1416"/>
      <c r="B74" s="1417"/>
      <c r="C74" s="1423"/>
      <c r="D74" s="1423"/>
      <c r="E74" s="1423"/>
      <c r="F74" s="1423"/>
      <c r="G74" s="646"/>
      <c r="H74" s="974"/>
      <c r="I74" s="974"/>
      <c r="J74" s="974"/>
      <c r="K74" s="974"/>
      <c r="L74" s="974"/>
      <c r="M74" s="974"/>
      <c r="N74" s="974"/>
      <c r="O74" s="974"/>
      <c r="P74" s="974"/>
      <c r="Q74" s="974"/>
      <c r="R74" s="974"/>
      <c r="S74" s="974"/>
    </row>
    <row r="75" spans="1:19" ht="15.5" thickTop="1" thickBot="1" x14ac:dyDescent="0.4">
      <c r="A75" s="3764" t="s">
        <v>724</v>
      </c>
      <c r="B75" s="3765"/>
      <c r="C75" s="12"/>
      <c r="D75" s="12"/>
      <c r="E75" s="12"/>
      <c r="F75" s="12"/>
      <c r="G75" s="13"/>
      <c r="H75" s="21"/>
      <c r="I75" s="21"/>
      <c r="J75" s="21"/>
      <c r="K75" s="21"/>
      <c r="L75" s="21"/>
      <c r="M75" s="21"/>
      <c r="N75" s="21"/>
      <c r="O75" s="21"/>
      <c r="P75" s="21"/>
      <c r="Q75" s="21"/>
      <c r="R75" s="21"/>
      <c r="S75" s="21"/>
    </row>
    <row r="76" spans="1:19" ht="15" thickTop="1" x14ac:dyDescent="0.35">
      <c r="A76" s="1601"/>
      <c r="B76" s="1602"/>
      <c r="C76" s="1598"/>
      <c r="D76" s="1598"/>
      <c r="E76" s="1598"/>
      <c r="F76" s="1598"/>
      <c r="G76" s="1599"/>
      <c r="H76" s="1600"/>
      <c r="I76" s="1600"/>
      <c r="J76" s="1600"/>
      <c r="K76" s="1600"/>
      <c r="L76" s="1600"/>
      <c r="M76" s="1600"/>
      <c r="N76" s="1600"/>
      <c r="O76" s="1600"/>
      <c r="P76" s="1600"/>
      <c r="Q76" s="1600"/>
      <c r="R76" s="1600"/>
      <c r="S76" s="1600"/>
    </row>
    <row r="77" spans="1:19" x14ac:dyDescent="0.35">
      <c r="A77" s="1416"/>
      <c r="B77" s="1417"/>
      <c r="C77" s="1423"/>
      <c r="D77" s="1423"/>
      <c r="E77" s="1423"/>
      <c r="F77" s="1423"/>
      <c r="G77" s="646"/>
      <c r="H77" s="977"/>
      <c r="I77" s="977"/>
      <c r="J77" s="977"/>
      <c r="K77" s="977"/>
      <c r="L77" s="977"/>
      <c r="M77" s="977"/>
      <c r="N77" s="977"/>
      <c r="O77" s="977"/>
      <c r="P77" s="977"/>
      <c r="Q77" s="977"/>
      <c r="R77" s="977"/>
      <c r="S77" s="977"/>
    </row>
    <row r="78" spans="1:19" ht="15" thickBot="1" x14ac:dyDescent="0.4">
      <c r="A78" s="1416"/>
      <c r="B78" s="1417"/>
      <c r="C78" s="1423"/>
      <c r="D78" s="1423"/>
      <c r="E78" s="1423"/>
      <c r="F78" s="1423"/>
      <c r="G78" s="646"/>
      <c r="H78" s="977"/>
      <c r="I78" s="977"/>
      <c r="J78" s="977"/>
      <c r="K78" s="977"/>
      <c r="L78" s="977"/>
      <c r="M78" s="977"/>
      <c r="N78" s="977"/>
      <c r="O78" s="977"/>
      <c r="P78" s="977"/>
      <c r="Q78" s="977"/>
      <c r="R78" s="977"/>
      <c r="S78" s="977"/>
    </row>
    <row r="79" spans="1:19" ht="15.5" thickTop="1" thickBot="1" x14ac:dyDescent="0.4">
      <c r="A79" s="3764" t="s">
        <v>725</v>
      </c>
      <c r="B79" s="3765"/>
      <c r="C79" s="12"/>
      <c r="D79" s="12"/>
      <c r="E79" s="12"/>
      <c r="F79" s="12"/>
      <c r="G79" s="13"/>
      <c r="H79" s="21"/>
      <c r="I79" s="21"/>
      <c r="J79" s="21"/>
      <c r="K79" s="21"/>
      <c r="L79" s="21"/>
      <c r="M79" s="21"/>
      <c r="N79" s="21"/>
      <c r="O79" s="21"/>
      <c r="P79" s="21"/>
      <c r="Q79" s="21"/>
      <c r="R79" s="21"/>
      <c r="S79" s="21"/>
    </row>
    <row r="80" spans="1:19" ht="15" thickTop="1" x14ac:dyDescent="0.35">
      <c r="A80" s="1426"/>
      <c r="B80" s="1422" t="s">
        <v>726</v>
      </c>
      <c r="C80" s="1423"/>
      <c r="D80" s="1423"/>
      <c r="E80" s="1423"/>
      <c r="F80" s="1423"/>
      <c r="G80" s="646"/>
      <c r="H80" s="977"/>
      <c r="I80" s="977"/>
      <c r="J80" s="977"/>
      <c r="K80" s="977"/>
      <c r="L80" s="977"/>
      <c r="M80" s="977"/>
      <c r="N80" s="977"/>
      <c r="O80" s="977"/>
      <c r="P80" s="977"/>
      <c r="Q80" s="977"/>
      <c r="R80" s="977"/>
      <c r="S80" s="977"/>
    </row>
    <row r="81" spans="1:19" x14ac:dyDescent="0.35">
      <c r="A81" s="1426"/>
      <c r="B81" s="1422" t="s">
        <v>727</v>
      </c>
      <c r="C81" s="1423"/>
      <c r="D81" s="1423"/>
      <c r="E81" s="1423"/>
      <c r="F81" s="1423"/>
      <c r="G81" s="646"/>
      <c r="H81" s="977"/>
      <c r="I81" s="977"/>
      <c r="J81" s="977"/>
      <c r="K81" s="977"/>
      <c r="L81" s="977"/>
      <c r="M81" s="977"/>
      <c r="N81" s="977"/>
      <c r="O81" s="977"/>
      <c r="P81" s="977"/>
      <c r="Q81" s="977"/>
      <c r="R81" s="977"/>
      <c r="S81" s="977"/>
    </row>
    <row r="82" spans="1:19" x14ac:dyDescent="0.35">
      <c r="A82" s="1426"/>
      <c r="B82" s="1422" t="s">
        <v>728</v>
      </c>
      <c r="C82" s="1423"/>
      <c r="D82" s="1423"/>
      <c r="E82" s="1423"/>
      <c r="F82" s="1423"/>
      <c r="G82" s="646"/>
      <c r="H82" s="977"/>
      <c r="I82" s="977"/>
      <c r="J82" s="977"/>
      <c r="K82" s="977"/>
      <c r="L82" s="977"/>
      <c r="M82" s="977"/>
      <c r="N82" s="977"/>
      <c r="O82" s="977"/>
      <c r="P82" s="977"/>
      <c r="Q82" s="977"/>
      <c r="R82" s="977"/>
      <c r="S82" s="977"/>
    </row>
    <row r="83" spans="1:19" x14ac:dyDescent="0.35">
      <c r="A83" s="1426"/>
      <c r="B83" s="1422" t="s">
        <v>729</v>
      </c>
      <c r="C83" s="1423"/>
      <c r="D83" s="1423"/>
      <c r="E83" s="1423"/>
      <c r="F83" s="1423"/>
      <c r="G83" s="646"/>
      <c r="H83" s="977"/>
      <c r="I83" s="977"/>
      <c r="J83" s="977"/>
      <c r="K83" s="977"/>
      <c r="L83" s="977"/>
      <c r="M83" s="977"/>
      <c r="N83" s="977"/>
      <c r="O83" s="977"/>
      <c r="P83" s="977"/>
      <c r="Q83" s="977"/>
      <c r="R83" s="977"/>
      <c r="S83" s="977"/>
    </row>
    <row r="84" spans="1:19" ht="15" thickBot="1" x14ac:dyDescent="0.4">
      <c r="A84" s="978"/>
      <c r="B84" s="939"/>
      <c r="C84" s="940"/>
      <c r="D84" s="940"/>
      <c r="E84" s="940"/>
      <c r="F84" s="940"/>
      <c r="G84" s="1039"/>
      <c r="H84" s="981"/>
      <c r="I84" s="981"/>
      <c r="J84" s="981"/>
      <c r="K84" s="981"/>
      <c r="L84" s="981"/>
      <c r="M84" s="981"/>
      <c r="N84" s="981"/>
      <c r="O84" s="981"/>
      <c r="P84" s="981"/>
      <c r="Q84" s="981"/>
      <c r="R84" s="981"/>
      <c r="S84" s="981"/>
    </row>
    <row r="85" spans="1:19" ht="15.5" thickTop="1" thickBot="1" x14ac:dyDescent="0.4">
      <c r="A85" s="7" t="s">
        <v>730</v>
      </c>
      <c r="B85" s="8"/>
      <c r="C85" s="12"/>
      <c r="D85" s="12"/>
      <c r="E85" s="12"/>
      <c r="F85" s="12"/>
      <c r="G85" s="13"/>
      <c r="H85" s="21"/>
      <c r="I85" s="21"/>
      <c r="J85" s="21"/>
      <c r="K85" s="21"/>
      <c r="L85" s="21"/>
      <c r="M85" s="21"/>
      <c r="N85" s="21"/>
      <c r="O85" s="21"/>
      <c r="P85" s="21"/>
      <c r="Q85" s="21"/>
      <c r="R85" s="21"/>
      <c r="S85" s="21"/>
    </row>
    <row r="86" spans="1:19" ht="15" thickTop="1" x14ac:dyDescent="0.35">
      <c r="A86" s="1597"/>
      <c r="B86" s="1603" t="s">
        <v>731</v>
      </c>
      <c r="C86" s="1598"/>
      <c r="D86" s="1598"/>
      <c r="E86" s="1598"/>
      <c r="F86" s="1598"/>
      <c r="G86" s="1599"/>
      <c r="H86" s="1604"/>
      <c r="I86" s="1604"/>
      <c r="J86" s="1604"/>
      <c r="K86" s="1604"/>
      <c r="L86" s="1604"/>
      <c r="M86" s="1604"/>
      <c r="N86" s="1604"/>
      <c r="O86" s="1604"/>
      <c r="P86" s="1604"/>
      <c r="Q86" s="1604"/>
      <c r="R86" s="1604"/>
      <c r="S86" s="1604"/>
    </row>
    <row r="87" spans="1:19" x14ac:dyDescent="0.35">
      <c r="A87" s="1426"/>
      <c r="B87" s="1422" t="s">
        <v>732</v>
      </c>
      <c r="C87" s="1423"/>
      <c r="D87" s="1423"/>
      <c r="E87" s="1423"/>
      <c r="F87" s="1423"/>
      <c r="G87" s="646"/>
      <c r="H87" s="984"/>
      <c r="I87" s="984"/>
      <c r="J87" s="984"/>
      <c r="K87" s="984"/>
      <c r="L87" s="984"/>
      <c r="M87" s="984"/>
      <c r="N87" s="984"/>
      <c r="O87" s="984"/>
      <c r="P87" s="984"/>
      <c r="Q87" s="984"/>
      <c r="R87" s="984"/>
      <c r="S87" s="984"/>
    </row>
    <row r="88" spans="1:19" ht="15" thickBot="1" x14ac:dyDescent="0.4">
      <c r="A88" s="985"/>
      <c r="B88" s="986" t="s">
        <v>733</v>
      </c>
      <c r="C88" s="987"/>
      <c r="D88" s="987"/>
      <c r="E88" s="987"/>
      <c r="F88" s="987"/>
      <c r="G88" s="1040"/>
      <c r="H88" s="990"/>
      <c r="I88" s="990"/>
      <c r="J88" s="990"/>
      <c r="K88" s="990"/>
      <c r="L88" s="990"/>
      <c r="M88" s="990"/>
      <c r="N88" s="990"/>
      <c r="O88" s="990"/>
      <c r="P88" s="990"/>
      <c r="Q88" s="990"/>
      <c r="R88" s="990"/>
      <c r="S88" s="990"/>
    </row>
    <row r="89" spans="1:19" ht="15.5" thickTop="1" thickBot="1" x14ac:dyDescent="0.4"/>
    <row r="90" spans="1:19" ht="15.5" thickTop="1" thickBot="1" x14ac:dyDescent="0.4">
      <c r="A90" s="78" t="s">
        <v>734</v>
      </c>
      <c r="B90" s="80"/>
    </row>
    <row r="91" spans="1:19" ht="15" thickTop="1" x14ac:dyDescent="0.35">
      <c r="A91" s="79" t="s">
        <v>632</v>
      </c>
      <c r="B91" s="991"/>
    </row>
    <row r="92" spans="1:19" x14ac:dyDescent="0.35">
      <c r="A92" s="1465" t="s">
        <v>636</v>
      </c>
      <c r="B92" s="991"/>
    </row>
    <row r="93" spans="1:19" x14ac:dyDescent="0.35">
      <c r="A93" s="992" t="s">
        <v>639</v>
      </c>
      <c r="B93" s="993"/>
    </row>
    <row r="94" spans="1:19" x14ac:dyDescent="0.35">
      <c r="A94" s="992" t="s">
        <v>642</v>
      </c>
      <c r="B94" s="994"/>
    </row>
    <row r="95" spans="1:19" ht="15" thickBot="1" x14ac:dyDescent="0.4">
      <c r="A95" s="995" t="s">
        <v>735</v>
      </c>
      <c r="B95" s="996"/>
    </row>
    <row r="96" spans="1:19" ht="15" thickTop="1" x14ac:dyDescent="0.35"/>
    <row r="97" spans="1:2" x14ac:dyDescent="0.35">
      <c r="A97" s="81"/>
      <c r="B97" s="1" t="s">
        <v>736</v>
      </c>
    </row>
    <row r="98" spans="1:2" x14ac:dyDescent="0.35">
      <c r="A98" s="82"/>
      <c r="B98" s="1" t="s">
        <v>737</v>
      </c>
    </row>
  </sheetData>
  <mergeCells count="47">
    <mergeCell ref="A63:B63"/>
    <mergeCell ref="A67:B67"/>
    <mergeCell ref="A71:B71"/>
    <mergeCell ref="A75:B75"/>
    <mergeCell ref="A79:B79"/>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4:H34">
    <cfRule type="cellIs" dxfId="2103" priority="13" operator="equal">
      <formula>"X"</formula>
    </cfRule>
    <cfRule type="cellIs" dxfId="2102" priority="14" operator="equal">
      <formula>"I"</formula>
    </cfRule>
  </conditionalFormatting>
  <conditionalFormatting sqref="H36:H54">
    <cfRule type="cellIs" dxfId="2101" priority="1" operator="equal">
      <formula>"X"</formula>
    </cfRule>
    <cfRule type="cellIs" dxfId="2100" priority="2" operator="equal">
      <formula>"I"</formula>
    </cfRule>
  </conditionalFormatting>
  <conditionalFormatting sqref="J24:J34">
    <cfRule type="cellIs" dxfId="2099" priority="15" operator="equal">
      <formula>"X"</formula>
    </cfRule>
    <cfRule type="cellIs" dxfId="2098" priority="16" operator="equal">
      <formula>"I"</formula>
    </cfRule>
  </conditionalFormatting>
  <conditionalFormatting sqref="J36:J54">
    <cfRule type="cellIs" dxfId="2097" priority="3" operator="equal">
      <formula>"X"</formula>
    </cfRule>
    <cfRule type="cellIs" dxfId="2096" priority="4" operator="equal">
      <formula>"I"</formula>
    </cfRule>
  </conditionalFormatting>
  <conditionalFormatting sqref="L24:L34">
    <cfRule type="cellIs" dxfId="2095" priority="17" operator="equal">
      <formula>"X"</formula>
    </cfRule>
    <cfRule type="cellIs" dxfId="2094" priority="18" operator="equal">
      <formula>"I"</formula>
    </cfRule>
  </conditionalFormatting>
  <conditionalFormatting sqref="L36:L54">
    <cfRule type="cellIs" dxfId="2093" priority="5" operator="equal">
      <formula>"X"</formula>
    </cfRule>
    <cfRule type="cellIs" dxfId="2092" priority="6" operator="equal">
      <formula>"I"</formula>
    </cfRule>
  </conditionalFormatting>
  <conditionalFormatting sqref="N24:N34">
    <cfRule type="cellIs" dxfId="2091" priority="19" operator="equal">
      <formula>"X"</formula>
    </cfRule>
    <cfRule type="cellIs" dxfId="2090" priority="20" operator="equal">
      <formula>"I"</formula>
    </cfRule>
  </conditionalFormatting>
  <conditionalFormatting sqref="N36:N54">
    <cfRule type="cellIs" dxfId="2089" priority="7" operator="equal">
      <formula>"X"</formula>
    </cfRule>
    <cfRule type="cellIs" dxfId="2088" priority="8" operator="equal">
      <formula>"I"</formula>
    </cfRule>
  </conditionalFormatting>
  <conditionalFormatting sqref="P24:P34">
    <cfRule type="cellIs" dxfId="2087" priority="21" operator="equal">
      <formula>"X"</formula>
    </cfRule>
    <cfRule type="cellIs" dxfId="2086" priority="22" operator="equal">
      <formula>"I"</formula>
    </cfRule>
  </conditionalFormatting>
  <conditionalFormatting sqref="P36:P54">
    <cfRule type="cellIs" dxfId="2085" priority="9" operator="equal">
      <formula>"X"</formula>
    </cfRule>
    <cfRule type="cellIs" dxfId="2084" priority="10" operator="equal">
      <formula>"I"</formula>
    </cfRule>
  </conditionalFormatting>
  <conditionalFormatting sqref="R24:R34">
    <cfRule type="cellIs" dxfId="2083" priority="23" operator="equal">
      <formula>"X"</formula>
    </cfRule>
    <cfRule type="cellIs" dxfId="2082" priority="24" operator="equal">
      <formula>"I"</formula>
    </cfRule>
  </conditionalFormatting>
  <conditionalFormatting sqref="R36:R54">
    <cfRule type="cellIs" dxfId="2081" priority="11" operator="equal">
      <formula>"X"</formula>
    </cfRule>
    <cfRule type="cellIs" dxfId="2080" priority="12" operator="equal">
      <formula>"I"</formula>
    </cfRule>
  </conditionalFormatting>
  <hyperlinks>
    <hyperlink ref="B3" location="'Cost Summary'!A1" display="BACK TO SUMMARY SHEET" xr:uid="{A1803A85-E256-42F9-95CB-E43F052623D6}"/>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059D-33B9-45FE-8DD1-83F95E0A4806}">
  <sheetPr>
    <tabColor rgb="FF92D050"/>
  </sheetPr>
  <dimension ref="A1:S97"/>
  <sheetViews>
    <sheetView zoomScale="96" zoomScaleNormal="96" workbookViewId="0">
      <pane xSplit="2" ySplit="9" topLeftCell="C26" activePane="bottomRight" state="frozen"/>
      <selection pane="topRight" activeCell="C1" sqref="C1"/>
      <selection pane="bottomLeft" activeCell="A11" sqref="A11"/>
      <selection pane="bottomRight" activeCell="B26" sqref="B26"/>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866"/>
      <c r="M2" s="3866"/>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421" t="s">
        <v>634</v>
      </c>
      <c r="B5" s="1422" t="s">
        <v>1865</v>
      </c>
      <c r="C5" s="1423"/>
      <c r="D5" s="1423"/>
      <c r="E5" s="1423"/>
      <c r="F5" s="1423"/>
      <c r="G5" s="643" t="s">
        <v>636</v>
      </c>
      <c r="H5" s="3851"/>
      <c r="I5" s="3759"/>
      <c r="J5" s="3851"/>
      <c r="K5" s="3759"/>
      <c r="L5" s="3867"/>
      <c r="M5" s="3868"/>
      <c r="N5" s="3867"/>
      <c r="O5" s="3868"/>
      <c r="P5" s="3867"/>
      <c r="Q5" s="3868"/>
      <c r="R5" s="3867"/>
      <c r="S5" s="3868"/>
    </row>
    <row r="6" spans="1:19" x14ac:dyDescent="0.35">
      <c r="A6" s="1421" t="s">
        <v>638</v>
      </c>
      <c r="B6" s="1424" t="s">
        <v>1866</v>
      </c>
      <c r="C6" s="1423"/>
      <c r="D6" s="1423"/>
      <c r="E6" s="1423"/>
      <c r="F6" s="1423"/>
      <c r="G6" s="643" t="s">
        <v>639</v>
      </c>
      <c r="H6" s="3852"/>
      <c r="I6" s="3757"/>
      <c r="J6" s="3852"/>
      <c r="K6" s="3757"/>
      <c r="L6" s="3862"/>
      <c r="M6" s="3863"/>
      <c r="N6" s="3862"/>
      <c r="O6" s="3863"/>
      <c r="P6" s="3862"/>
      <c r="Q6" s="3863"/>
      <c r="R6" s="3862"/>
      <c r="S6" s="3863"/>
    </row>
    <row r="7" spans="1:19" x14ac:dyDescent="0.35">
      <c r="A7" s="1421" t="s">
        <v>641</v>
      </c>
      <c r="B7" s="1425"/>
      <c r="C7" s="1423"/>
      <c r="D7" s="1423"/>
      <c r="E7" s="1423"/>
      <c r="F7" s="1423"/>
      <c r="G7" s="1577" t="s">
        <v>642</v>
      </c>
      <c r="H7" s="3853"/>
      <c r="I7" s="3854"/>
      <c r="J7" s="3853"/>
      <c r="K7" s="3854"/>
      <c r="L7" s="3790"/>
      <c r="M7" s="3791"/>
      <c r="N7" s="3790"/>
      <c r="O7" s="3791"/>
      <c r="P7" s="3790"/>
      <c r="Q7" s="3791"/>
      <c r="R7" s="3861"/>
      <c r="S7" s="3791"/>
    </row>
    <row r="8" spans="1:19" ht="15" thickBot="1" x14ac:dyDescent="0.4">
      <c r="A8" s="938" t="s">
        <v>644</v>
      </c>
      <c r="B8" s="939"/>
      <c r="C8" s="940"/>
      <c r="D8" s="940"/>
      <c r="E8" s="940"/>
      <c r="F8" s="940"/>
      <c r="G8" s="1024" t="s">
        <v>644</v>
      </c>
      <c r="H8" s="3760">
        <f>I58</f>
        <v>0</v>
      </c>
      <c r="I8" s="3761"/>
      <c r="J8" s="3760">
        <f>K58</f>
        <v>0</v>
      </c>
      <c r="K8" s="3761"/>
      <c r="L8" s="3760">
        <f>M58</f>
        <v>0</v>
      </c>
      <c r="M8" s="3761"/>
      <c r="N8" s="3760">
        <f>O58</f>
        <v>0</v>
      </c>
      <c r="O8" s="3761"/>
      <c r="P8" s="3760">
        <f>Q58</f>
        <v>0</v>
      </c>
      <c r="Q8" s="3761"/>
      <c r="R8" s="3760">
        <f>S58</f>
        <v>0</v>
      </c>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426"/>
      <c r="B10" s="1605" t="s">
        <v>653</v>
      </c>
      <c r="C10" s="1423"/>
      <c r="D10" s="1423"/>
      <c r="E10" s="1423"/>
      <c r="F10" s="1423"/>
      <c r="G10" s="646"/>
      <c r="H10" s="942"/>
      <c r="I10" s="942"/>
      <c r="J10" s="942"/>
      <c r="K10" s="942"/>
      <c r="L10" s="942"/>
      <c r="M10" s="942"/>
      <c r="N10" s="942"/>
      <c r="O10" s="942"/>
      <c r="P10" s="942"/>
      <c r="Q10" s="942"/>
      <c r="R10" s="942"/>
      <c r="S10" s="942"/>
    </row>
    <row r="11" spans="1:19" ht="15" hidden="1" thickTop="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row>
    <row r="12" spans="1:19" ht="15" hidden="1" thickTop="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row>
    <row r="13" spans="1:19" ht="15" hidden="1" thickTop="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row>
    <row r="14" spans="1:19" ht="15" hidden="1" thickTop="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row>
    <row r="15" spans="1:19" ht="15" hidden="1" thickTop="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row>
    <row r="16" spans="1:19" ht="15" hidden="1" thickTop="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row>
    <row r="17" spans="1:19" ht="15" hidden="1" thickTop="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row>
    <row r="18" spans="1:19" ht="15" hidden="1" thickTop="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row>
    <row r="19" spans="1:19" ht="15" hidden="1" thickTop="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row>
    <row r="20" spans="1:19" ht="15" thickTop="1" x14ac:dyDescent="0.35">
      <c r="A20" s="1426"/>
      <c r="B20" s="1422"/>
      <c r="C20" s="1427"/>
      <c r="D20" s="1423"/>
      <c r="E20" s="1423"/>
      <c r="F20" s="1423"/>
      <c r="G20" s="646"/>
      <c r="H20" s="943"/>
      <c r="I20" s="942"/>
      <c r="J20" s="943"/>
      <c r="K20" s="942"/>
      <c r="L20" s="943"/>
      <c r="M20" s="942"/>
      <c r="N20" s="943"/>
      <c r="O20" s="942"/>
      <c r="P20" s="943"/>
      <c r="Q20" s="942"/>
      <c r="R20" s="943"/>
      <c r="S20" s="942"/>
    </row>
    <row r="21" spans="1:19" ht="15" thickBot="1" x14ac:dyDescent="0.4">
      <c r="A21" s="1426"/>
      <c r="B21" s="1428" t="s">
        <v>1865</v>
      </c>
      <c r="C21" s="1427"/>
      <c r="D21" s="1423"/>
      <c r="E21" s="1423"/>
      <c r="F21" s="1423"/>
      <c r="G21" s="646"/>
      <c r="H21" s="943"/>
      <c r="I21" s="942"/>
      <c r="J21" s="943"/>
      <c r="K21" s="942"/>
      <c r="L21" s="943"/>
      <c r="M21" s="942"/>
      <c r="N21" s="943"/>
      <c r="O21" s="942"/>
      <c r="P21" s="943"/>
      <c r="Q21" s="942"/>
      <c r="R21" s="943"/>
      <c r="S21" s="942"/>
    </row>
    <row r="22" spans="1:19" ht="15" thickBot="1" x14ac:dyDescent="0.4">
      <c r="A22" s="1550"/>
      <c r="B22" s="604" t="s">
        <v>657</v>
      </c>
      <c r="C22" s="1427"/>
      <c r="D22" s="1423"/>
      <c r="E22" s="1423"/>
      <c r="F22" s="1423"/>
      <c r="G22" s="646"/>
      <c r="H22" s="943"/>
      <c r="I22" s="1606"/>
      <c r="J22" s="943"/>
      <c r="K22" s="1606"/>
      <c r="L22" s="943"/>
      <c r="M22" s="1549"/>
      <c r="N22" s="943"/>
      <c r="O22" s="1549"/>
      <c r="P22" s="943"/>
      <c r="Q22" s="1549"/>
      <c r="R22" s="943"/>
      <c r="S22" s="1549"/>
    </row>
    <row r="23" spans="1:19" x14ac:dyDescent="0.35">
      <c r="A23" s="1550"/>
      <c r="B23" s="607" t="s">
        <v>658</v>
      </c>
      <c r="C23" s="1494"/>
      <c r="D23" s="1423"/>
      <c r="E23" s="1423"/>
      <c r="F23" s="1423"/>
      <c r="G23" s="646"/>
      <c r="H23" s="943"/>
      <c r="I23" s="1607"/>
      <c r="J23" s="943"/>
      <c r="K23" s="1606"/>
      <c r="L23" s="943"/>
      <c r="M23" s="984"/>
      <c r="N23" s="943"/>
      <c r="O23" s="1549"/>
      <c r="P23" s="943"/>
      <c r="Q23" s="1607"/>
      <c r="R23" s="943"/>
      <c r="S23" s="1549"/>
    </row>
    <row r="24" spans="1:19" x14ac:dyDescent="0.35">
      <c r="A24" s="1550"/>
      <c r="B24" s="1608" t="s">
        <v>659</v>
      </c>
      <c r="C24" s="1494"/>
      <c r="D24" s="1423"/>
      <c r="E24" s="1423"/>
      <c r="F24" s="1423"/>
      <c r="G24" s="646"/>
      <c r="H24" s="943"/>
      <c r="I24" s="1606"/>
      <c r="J24" s="943"/>
      <c r="K24" s="1606"/>
      <c r="L24" s="943"/>
      <c r="M24" s="984"/>
      <c r="N24" s="943"/>
      <c r="O24" s="1549"/>
      <c r="P24" s="943"/>
      <c r="Q24" s="1607"/>
      <c r="R24" s="943"/>
      <c r="S24" s="1549"/>
    </row>
    <row r="25" spans="1:19" x14ac:dyDescent="0.35">
      <c r="A25" s="1450"/>
      <c r="B25" s="1609" t="s">
        <v>660</v>
      </c>
      <c r="C25" s="1494"/>
      <c r="D25" s="1423"/>
      <c r="E25" s="1423"/>
      <c r="F25" s="1423"/>
      <c r="G25" s="646"/>
      <c r="H25" s="943"/>
      <c r="I25" s="1606"/>
      <c r="J25" s="943"/>
      <c r="K25" s="1495"/>
      <c r="L25" s="943"/>
      <c r="M25" s="984"/>
      <c r="N25" s="943"/>
      <c r="O25" s="1549"/>
      <c r="P25" s="943"/>
      <c r="Q25" s="1607"/>
      <c r="R25" s="943"/>
      <c r="S25" s="1549"/>
    </row>
    <row r="26" spans="1:19" x14ac:dyDescent="0.35">
      <c r="A26" s="1450"/>
      <c r="B26" s="1609" t="s">
        <v>661</v>
      </c>
      <c r="C26" s="1494"/>
      <c r="D26" s="1423"/>
      <c r="E26" s="1423"/>
      <c r="F26" s="1423"/>
      <c r="G26" s="646"/>
      <c r="H26" s="943"/>
      <c r="I26" s="1606"/>
      <c r="J26" s="943"/>
      <c r="K26" s="984"/>
      <c r="L26" s="943"/>
      <c r="M26" s="984"/>
      <c r="N26" s="943"/>
      <c r="O26" s="1549"/>
      <c r="P26" s="943"/>
      <c r="Q26" s="1607"/>
      <c r="R26" s="943"/>
      <c r="S26" s="1549"/>
    </row>
    <row r="27" spans="1:19" x14ac:dyDescent="0.35">
      <c r="A27" s="1550"/>
      <c r="B27" s="1609" t="s">
        <v>662</v>
      </c>
      <c r="C27" s="1610"/>
      <c r="D27" s="1423"/>
      <c r="E27" s="1423"/>
      <c r="F27" s="1423"/>
      <c r="G27" s="646"/>
      <c r="H27" s="943"/>
      <c r="I27" s="1606"/>
      <c r="J27" s="943"/>
      <c r="K27" s="984"/>
      <c r="L27" s="943"/>
      <c r="M27" s="984"/>
      <c r="N27" s="943"/>
      <c r="O27" s="1607"/>
      <c r="P27" s="943"/>
      <c r="Q27" s="1607"/>
      <c r="R27" s="943"/>
      <c r="S27" s="1549"/>
    </row>
    <row r="28" spans="1:19" x14ac:dyDescent="0.35">
      <c r="A28" s="1550"/>
      <c r="B28" s="1609" t="s">
        <v>663</v>
      </c>
      <c r="C28" s="1610"/>
      <c r="D28" s="1423"/>
      <c r="E28" s="1423"/>
      <c r="F28" s="1423"/>
      <c r="G28" s="646"/>
      <c r="H28" s="943"/>
      <c r="I28" s="1607"/>
      <c r="J28" s="943"/>
      <c r="K28" s="984"/>
      <c r="L28" s="943"/>
      <c r="M28" s="984"/>
      <c r="N28" s="943"/>
      <c r="O28" s="1607"/>
      <c r="P28" s="943"/>
      <c r="Q28" s="1607"/>
      <c r="R28" s="943"/>
      <c r="S28" s="1549"/>
    </row>
    <row r="29" spans="1:19" x14ac:dyDescent="0.35">
      <c r="A29" s="1550"/>
      <c r="B29" s="1609" t="s">
        <v>742</v>
      </c>
      <c r="C29" s="1610"/>
      <c r="D29" s="1423"/>
      <c r="E29" s="1423"/>
      <c r="F29" s="1423"/>
      <c r="G29" s="646"/>
      <c r="H29" s="943"/>
      <c r="I29" s="1607"/>
      <c r="J29" s="943"/>
      <c r="K29" s="1549"/>
      <c r="L29" s="943"/>
      <c r="M29" s="1549"/>
      <c r="N29" s="943"/>
      <c r="O29" s="1607"/>
      <c r="P29" s="943"/>
      <c r="Q29" s="1607"/>
      <c r="R29" s="943"/>
      <c r="S29" s="1549"/>
    </row>
    <row r="30" spans="1:19" x14ac:dyDescent="0.35">
      <c r="A30" s="1550"/>
      <c r="B30" s="1611" t="s">
        <v>664</v>
      </c>
      <c r="C30" s="1610"/>
      <c r="D30" s="1423"/>
      <c r="E30" s="1423"/>
      <c r="F30" s="1423"/>
      <c r="G30" s="646"/>
      <c r="H30" s="943"/>
      <c r="I30" s="1607"/>
      <c r="J30" s="943"/>
      <c r="K30" s="1607"/>
      <c r="L30" s="943"/>
      <c r="M30" s="1607"/>
      <c r="N30" s="943"/>
      <c r="O30" s="1607"/>
      <c r="P30" s="943"/>
      <c r="Q30" s="1607"/>
      <c r="R30" s="943"/>
      <c r="S30" s="1549"/>
    </row>
    <row r="31" spans="1:19" x14ac:dyDescent="0.35">
      <c r="A31" s="1550"/>
      <c r="B31" s="1612" t="s">
        <v>665</v>
      </c>
      <c r="C31" s="1613"/>
      <c r="D31" s="1431"/>
      <c r="E31" s="1431"/>
      <c r="F31" s="1431"/>
      <c r="G31" s="952"/>
      <c r="H31" s="1614"/>
      <c r="I31" s="1615"/>
      <c r="J31" s="636"/>
      <c r="K31" s="1615"/>
      <c r="L31" s="636"/>
      <c r="M31" s="1615"/>
      <c r="N31" s="636"/>
      <c r="O31" s="1615"/>
      <c r="P31" s="636"/>
      <c r="Q31" s="1615"/>
      <c r="R31" s="1616"/>
      <c r="S31" s="1616"/>
    </row>
    <row r="32" spans="1:19" x14ac:dyDescent="0.35">
      <c r="A32" s="1550"/>
      <c r="B32" s="1617" t="s">
        <v>874</v>
      </c>
      <c r="C32" s="1610"/>
      <c r="D32" s="1423"/>
      <c r="E32" s="1423"/>
      <c r="F32" s="1423"/>
      <c r="G32" s="646"/>
      <c r="H32" s="943"/>
      <c r="I32" s="1607"/>
      <c r="J32" s="943"/>
      <c r="K32" s="1607"/>
      <c r="L32" s="943"/>
      <c r="M32" s="1607"/>
      <c r="N32" s="943"/>
      <c r="O32" s="1607"/>
      <c r="P32" s="943"/>
      <c r="Q32" s="1607"/>
      <c r="R32" s="943"/>
      <c r="S32" s="1549"/>
    </row>
    <row r="33" spans="1:19" x14ac:dyDescent="0.35">
      <c r="A33" s="1550"/>
      <c r="B33" s="1617"/>
      <c r="C33" s="1610"/>
      <c r="D33" s="1423"/>
      <c r="E33" s="1423"/>
      <c r="F33" s="1423"/>
      <c r="G33" s="646"/>
      <c r="H33" s="943"/>
      <c r="I33" s="1607"/>
      <c r="J33" s="943"/>
      <c r="K33" s="1607"/>
      <c r="L33" s="943"/>
      <c r="M33" s="1607"/>
      <c r="N33" s="943"/>
      <c r="O33" s="1607"/>
      <c r="P33" s="943"/>
      <c r="Q33" s="1607"/>
      <c r="R33" s="943"/>
      <c r="S33" s="1549"/>
    </row>
    <row r="34" spans="1:19" x14ac:dyDescent="0.35">
      <c r="A34" s="1550"/>
      <c r="B34" s="1617"/>
      <c r="C34" s="1610"/>
      <c r="D34" s="1423"/>
      <c r="E34" s="1423"/>
      <c r="F34" s="1423"/>
      <c r="G34" s="646"/>
      <c r="H34" s="943"/>
      <c r="I34" s="1607"/>
      <c r="J34" s="943"/>
      <c r="K34" s="1607"/>
      <c r="L34" s="943"/>
      <c r="M34" s="1607"/>
      <c r="N34" s="943"/>
      <c r="O34" s="1607"/>
      <c r="P34" s="943"/>
      <c r="Q34" s="1607"/>
      <c r="R34" s="943"/>
      <c r="S34" s="1549"/>
    </row>
    <row r="35" spans="1:19" x14ac:dyDescent="0.35">
      <c r="A35" s="1550"/>
      <c r="B35" s="1617"/>
      <c r="C35" s="1610"/>
      <c r="D35" s="1423"/>
      <c r="E35" s="1423"/>
      <c r="F35" s="1423"/>
      <c r="G35" s="646"/>
      <c r="H35" s="943"/>
      <c r="I35" s="1607"/>
      <c r="J35" s="943"/>
      <c r="K35" s="1607"/>
      <c r="L35" s="943"/>
      <c r="M35" s="1607"/>
      <c r="N35" s="943"/>
      <c r="O35" s="1607"/>
      <c r="P35" s="943"/>
      <c r="Q35" s="1607"/>
      <c r="R35" s="943"/>
      <c r="S35" s="1549"/>
    </row>
    <row r="36" spans="1:19" x14ac:dyDescent="0.35">
      <c r="A36" s="1550"/>
      <c r="B36" s="1617"/>
      <c r="C36" s="1610"/>
      <c r="D36" s="1423"/>
      <c r="E36" s="1423"/>
      <c r="F36" s="1423"/>
      <c r="G36" s="646"/>
      <c r="H36" s="943"/>
      <c r="I36" s="1607"/>
      <c r="J36" s="943"/>
      <c r="K36" s="1607"/>
      <c r="L36" s="943"/>
      <c r="M36" s="1607"/>
      <c r="N36" s="943"/>
      <c r="O36" s="1607"/>
      <c r="P36" s="943"/>
      <c r="Q36" s="1607"/>
      <c r="R36" s="943"/>
      <c r="S36" s="1549"/>
    </row>
    <row r="37" spans="1:19" x14ac:dyDescent="0.35">
      <c r="A37" s="1550"/>
      <c r="B37" s="1617"/>
      <c r="C37" s="1610"/>
      <c r="D37" s="1423"/>
      <c r="E37" s="1423"/>
      <c r="F37" s="1423"/>
      <c r="G37" s="646"/>
      <c r="H37" s="943"/>
      <c r="I37" s="1607"/>
      <c r="J37" s="943"/>
      <c r="K37" s="1607"/>
      <c r="L37" s="943"/>
      <c r="M37" s="1607"/>
      <c r="N37" s="943"/>
      <c r="O37" s="1607"/>
      <c r="P37" s="943"/>
      <c r="Q37" s="1607"/>
      <c r="R37" s="943"/>
      <c r="S37" s="1549"/>
    </row>
    <row r="38" spans="1:19" x14ac:dyDescent="0.35">
      <c r="A38" s="1550"/>
      <c r="B38" s="1617"/>
      <c r="C38" s="1610"/>
      <c r="D38" s="1423"/>
      <c r="E38" s="1423"/>
      <c r="F38" s="1423"/>
      <c r="G38" s="646"/>
      <c r="H38" s="943"/>
      <c r="I38" s="1607"/>
      <c r="J38" s="943"/>
      <c r="K38" s="1607"/>
      <c r="L38" s="943"/>
      <c r="M38" s="1607"/>
      <c r="N38" s="943"/>
      <c r="O38" s="1607"/>
      <c r="P38" s="943"/>
      <c r="Q38" s="1607"/>
      <c r="R38" s="943"/>
      <c r="S38" s="1549"/>
    </row>
    <row r="39" spans="1:19" x14ac:dyDescent="0.35">
      <c r="A39" s="1550"/>
      <c r="B39" s="1617"/>
      <c r="C39" s="1610"/>
      <c r="D39" s="1423"/>
      <c r="E39" s="1423"/>
      <c r="F39" s="1423"/>
      <c r="G39" s="646"/>
      <c r="H39" s="943"/>
      <c r="I39" s="1607"/>
      <c r="J39" s="943"/>
      <c r="K39" s="1607"/>
      <c r="L39" s="943"/>
      <c r="M39" s="1607"/>
      <c r="N39" s="943"/>
      <c r="O39" s="1607"/>
      <c r="P39" s="943"/>
      <c r="Q39" s="1607"/>
      <c r="R39" s="943"/>
      <c r="S39" s="1549"/>
    </row>
    <row r="40" spans="1:19" x14ac:dyDescent="0.35">
      <c r="A40" s="1550"/>
      <c r="B40" s="1617"/>
      <c r="C40" s="1610"/>
      <c r="D40" s="1423"/>
      <c r="E40" s="1423"/>
      <c r="F40" s="1423"/>
      <c r="G40" s="646"/>
      <c r="H40" s="943"/>
      <c r="I40" s="1607"/>
      <c r="J40" s="943"/>
      <c r="K40" s="1607"/>
      <c r="L40" s="943"/>
      <c r="M40" s="1607"/>
      <c r="N40" s="943"/>
      <c r="O40" s="1607"/>
      <c r="P40" s="943"/>
      <c r="Q40" s="1607"/>
      <c r="R40" s="943"/>
      <c r="S40" s="1549"/>
    </row>
    <row r="41" spans="1:19" x14ac:dyDescent="0.35">
      <c r="A41" s="1550"/>
      <c r="B41" s="1617"/>
      <c r="C41" s="1610"/>
      <c r="D41" s="1423"/>
      <c r="E41" s="1423"/>
      <c r="F41" s="1423"/>
      <c r="G41" s="646"/>
      <c r="H41" s="943"/>
      <c r="I41" s="1607"/>
      <c r="J41" s="943"/>
      <c r="K41" s="1607"/>
      <c r="L41" s="943"/>
      <c r="M41" s="1607"/>
      <c r="N41" s="943"/>
      <c r="O41" s="1607"/>
      <c r="P41" s="943"/>
      <c r="Q41" s="1607"/>
      <c r="R41" s="943"/>
      <c r="S41" s="1549"/>
    </row>
    <row r="42" spans="1:19" x14ac:dyDescent="0.35">
      <c r="A42" s="1550"/>
      <c r="B42" s="1617"/>
      <c r="C42" s="1610"/>
      <c r="D42" s="1423"/>
      <c r="E42" s="1423"/>
      <c r="F42" s="1423"/>
      <c r="G42" s="646"/>
      <c r="H42" s="943"/>
      <c r="I42" s="1607"/>
      <c r="J42" s="943"/>
      <c r="K42" s="1607"/>
      <c r="L42" s="943"/>
      <c r="M42" s="1607"/>
      <c r="N42" s="943"/>
      <c r="O42" s="1607"/>
      <c r="P42" s="943"/>
      <c r="Q42" s="1607"/>
      <c r="R42" s="943"/>
      <c r="S42" s="1549"/>
    </row>
    <row r="43" spans="1:19" x14ac:dyDescent="0.35">
      <c r="A43" s="1550"/>
      <c r="B43" s="1617"/>
      <c r="C43" s="1610"/>
      <c r="D43" s="1423"/>
      <c r="E43" s="1423"/>
      <c r="F43" s="1423"/>
      <c r="G43" s="646"/>
      <c r="H43" s="943"/>
      <c r="I43" s="1607"/>
      <c r="J43" s="943"/>
      <c r="K43" s="1607"/>
      <c r="L43" s="943"/>
      <c r="M43" s="1607"/>
      <c r="N43" s="943"/>
      <c r="O43" s="1607"/>
      <c r="P43" s="943"/>
      <c r="Q43" s="1607"/>
      <c r="R43" s="943"/>
      <c r="S43" s="1549"/>
    </row>
    <row r="44" spans="1:19" x14ac:dyDescent="0.35">
      <c r="A44" s="1550"/>
      <c r="B44" s="1617"/>
      <c r="C44" s="1610"/>
      <c r="D44" s="1423"/>
      <c r="E44" s="1423"/>
      <c r="F44" s="1423"/>
      <c r="G44" s="646"/>
      <c r="H44" s="943" t="s">
        <v>671</v>
      </c>
      <c r="I44" s="1607"/>
      <c r="J44" s="943"/>
      <c r="K44" s="1607"/>
      <c r="L44" s="943"/>
      <c r="M44" s="1607"/>
      <c r="N44" s="943"/>
      <c r="O44" s="1607"/>
      <c r="P44" s="943"/>
      <c r="Q44" s="1607"/>
      <c r="R44" s="943"/>
      <c r="S44" s="1549"/>
    </row>
    <row r="45" spans="1:19" x14ac:dyDescent="0.35">
      <c r="A45" s="1550"/>
      <c r="B45" s="1617"/>
      <c r="C45" s="1610"/>
      <c r="D45" s="1423"/>
      <c r="E45" s="1423"/>
      <c r="F45" s="1423"/>
      <c r="G45" s="646"/>
      <c r="H45" s="943"/>
      <c r="I45" s="1607"/>
      <c r="J45" s="943"/>
      <c r="K45" s="1607"/>
      <c r="L45" s="943"/>
      <c r="M45" s="1607"/>
      <c r="N45" s="943"/>
      <c r="O45" s="1607"/>
      <c r="P45" s="943"/>
      <c r="Q45" s="1607"/>
      <c r="R45" s="943"/>
      <c r="S45" s="1549"/>
    </row>
    <row r="46" spans="1:19" x14ac:dyDescent="0.35">
      <c r="A46" s="1550"/>
      <c r="B46" s="1617"/>
      <c r="C46" s="1610"/>
      <c r="D46" s="1423"/>
      <c r="E46" s="1423"/>
      <c r="F46" s="1423"/>
      <c r="G46" s="646"/>
      <c r="H46" s="943"/>
      <c r="I46" s="1607"/>
      <c r="J46" s="943"/>
      <c r="K46" s="1607"/>
      <c r="L46" s="943"/>
      <c r="M46" s="1607"/>
      <c r="N46" s="943"/>
      <c r="O46" s="1607"/>
      <c r="P46" s="943"/>
      <c r="Q46" s="1607"/>
      <c r="R46" s="943"/>
      <c r="S46" s="1549"/>
    </row>
    <row r="47" spans="1:19" x14ac:dyDescent="0.35">
      <c r="A47" s="1550"/>
      <c r="B47" s="1617"/>
      <c r="C47" s="1610"/>
      <c r="D47" s="1423"/>
      <c r="E47" s="1423"/>
      <c r="F47" s="1423"/>
      <c r="G47" s="646"/>
      <c r="H47" s="943"/>
      <c r="I47" s="1607"/>
      <c r="J47" s="943"/>
      <c r="K47" s="1607"/>
      <c r="L47" s="943"/>
      <c r="M47" s="1607"/>
      <c r="N47" s="943"/>
      <c r="O47" s="1607"/>
      <c r="P47" s="943"/>
      <c r="Q47" s="1607"/>
      <c r="R47" s="943"/>
      <c r="S47" s="1549"/>
    </row>
    <row r="48" spans="1:19" x14ac:dyDescent="0.35">
      <c r="A48" s="1550"/>
      <c r="B48" s="1617"/>
      <c r="C48" s="1610"/>
      <c r="D48" s="1423"/>
      <c r="E48" s="1423"/>
      <c r="F48" s="1423"/>
      <c r="G48" s="646"/>
      <c r="H48" s="943"/>
      <c r="I48" s="1607"/>
      <c r="J48" s="943"/>
      <c r="K48" s="1607"/>
      <c r="L48" s="943"/>
      <c r="M48" s="1607"/>
      <c r="N48" s="943"/>
      <c r="O48" s="1607"/>
      <c r="P48" s="943"/>
      <c r="Q48" s="1607"/>
      <c r="R48" s="943"/>
      <c r="S48" s="1549"/>
    </row>
    <row r="49" spans="1:19" x14ac:dyDescent="0.35">
      <c r="A49" s="1550"/>
      <c r="B49" s="1617"/>
      <c r="C49" s="1610"/>
      <c r="D49" s="1423"/>
      <c r="E49" s="1423"/>
      <c r="F49" s="1423"/>
      <c r="G49" s="646"/>
      <c r="H49" s="943"/>
      <c r="I49" s="1607"/>
      <c r="J49" s="943"/>
      <c r="K49" s="1607"/>
      <c r="L49" s="943"/>
      <c r="M49" s="1607"/>
      <c r="N49" s="943"/>
      <c r="O49" s="1607"/>
      <c r="P49" s="943"/>
      <c r="Q49" s="1607"/>
      <c r="R49" s="943"/>
      <c r="S49" s="1549"/>
    </row>
    <row r="50" spans="1:19" x14ac:dyDescent="0.35">
      <c r="A50" s="1550"/>
      <c r="B50" s="1617"/>
      <c r="C50" s="1610"/>
      <c r="D50" s="1423"/>
      <c r="E50" s="1423"/>
      <c r="F50" s="1423"/>
      <c r="G50" s="646"/>
      <c r="H50" s="943"/>
      <c r="I50" s="1606"/>
      <c r="J50" s="943"/>
      <c r="K50" s="1607"/>
      <c r="L50" s="943"/>
      <c r="M50" s="1607"/>
      <c r="N50" s="943"/>
      <c r="O50" s="1607"/>
      <c r="P50" s="943"/>
      <c r="Q50" s="1607"/>
      <c r="R50" s="943"/>
      <c r="S50" s="1549"/>
    </row>
    <row r="51" spans="1:19" x14ac:dyDescent="0.35">
      <c r="A51" s="1450"/>
      <c r="B51" s="1617"/>
      <c r="C51" s="1610"/>
      <c r="D51" s="1423"/>
      <c r="E51" s="1423"/>
      <c r="F51" s="1423"/>
      <c r="G51" s="646"/>
      <c r="H51" s="943"/>
      <c r="I51" s="1606"/>
      <c r="J51" s="943"/>
      <c r="K51" s="1606"/>
      <c r="L51" s="943"/>
      <c r="M51" s="1549"/>
      <c r="N51" s="943"/>
      <c r="O51" s="1607"/>
      <c r="P51" s="943"/>
      <c r="Q51" s="1607"/>
      <c r="R51" s="943"/>
      <c r="S51" s="1549"/>
    </row>
    <row r="52" spans="1:19" x14ac:dyDescent="0.35">
      <c r="A52" s="1550"/>
      <c r="B52" s="1451"/>
      <c r="C52" s="1427"/>
      <c r="D52" s="1423"/>
      <c r="E52" s="1423"/>
      <c r="F52" s="1423"/>
      <c r="G52" s="646"/>
      <c r="H52" s="943"/>
      <c r="I52" s="1606"/>
      <c r="J52" s="943"/>
      <c r="K52" s="1606"/>
      <c r="L52" s="943"/>
      <c r="M52" s="1549"/>
      <c r="N52" s="943"/>
      <c r="O52" s="1549"/>
      <c r="P52" s="943"/>
      <c r="Q52" s="1549"/>
      <c r="R52" s="943"/>
      <c r="S52" s="1549"/>
    </row>
    <row r="53" spans="1:19" ht="15" thickBot="1" x14ac:dyDescent="0.4">
      <c r="A53" s="1450"/>
      <c r="B53" s="1451"/>
      <c r="C53" s="1427"/>
      <c r="D53" s="1423"/>
      <c r="E53" s="1423"/>
      <c r="F53" s="1423"/>
      <c r="G53" s="646"/>
      <c r="H53" s="943"/>
      <c r="I53" s="1606"/>
      <c r="J53" s="943"/>
      <c r="K53" s="1606"/>
      <c r="L53" s="943"/>
      <c r="M53" s="1549"/>
      <c r="N53" s="943"/>
      <c r="O53" s="1549"/>
      <c r="P53" s="943"/>
      <c r="Q53" s="1549"/>
      <c r="R53" s="943"/>
      <c r="S53" s="1549"/>
    </row>
    <row r="54" spans="1:19" ht="15" thickTop="1" x14ac:dyDescent="0.35">
      <c r="A54" s="14"/>
      <c r="B54" s="15"/>
      <c r="C54" s="16"/>
      <c r="D54" s="16"/>
      <c r="E54" s="17"/>
      <c r="F54" s="18" t="s">
        <v>715</v>
      </c>
      <c r="G54" s="19"/>
      <c r="H54" s="20"/>
      <c r="I54" s="50">
        <f>SUM(I23:I53)</f>
        <v>0</v>
      </c>
      <c r="J54" s="20"/>
      <c r="K54" s="50">
        <f>SUM(K23:K53)</f>
        <v>0</v>
      </c>
      <c r="L54" s="20"/>
      <c r="M54" s="50">
        <f>SUM(M23:M53)</f>
        <v>0</v>
      </c>
      <c r="N54" s="20"/>
      <c r="O54" s="50">
        <f>SUM(O23:O53)</f>
        <v>0</v>
      </c>
      <c r="P54" s="20"/>
      <c r="Q54" s="50">
        <f>SUM(Q23:Q53)</f>
        <v>0</v>
      </c>
      <c r="R54" s="20"/>
      <c r="S54" s="50">
        <f>SUM(S23:S53)</f>
        <v>0</v>
      </c>
    </row>
    <row r="55" spans="1:19" x14ac:dyDescent="0.35">
      <c r="A55" s="1452"/>
      <c r="B55" s="1453"/>
      <c r="C55" s="1454"/>
      <c r="D55" s="1454"/>
      <c r="E55" s="1455"/>
      <c r="F55" s="1456" t="s">
        <v>716</v>
      </c>
      <c r="G55" s="659"/>
      <c r="H55" s="959">
        <v>0</v>
      </c>
      <c r="I55" s="960"/>
      <c r="J55" s="1618">
        <v>0</v>
      </c>
      <c r="K55" s="960"/>
      <c r="L55" s="1618">
        <v>0</v>
      </c>
      <c r="M55" s="960"/>
      <c r="N55" s="1618">
        <v>0</v>
      </c>
      <c r="O55" s="960"/>
      <c r="P55" s="1618">
        <v>0</v>
      </c>
      <c r="Q55" s="960"/>
      <c r="R55" s="1618">
        <v>0</v>
      </c>
      <c r="S55" s="960"/>
    </row>
    <row r="56" spans="1:19" x14ac:dyDescent="0.35">
      <c r="A56" s="1452"/>
      <c r="B56" s="1453"/>
      <c r="C56" s="1454"/>
      <c r="D56" s="1454"/>
      <c r="E56" s="1455"/>
      <c r="F56" s="1456" t="s">
        <v>717</v>
      </c>
      <c r="G56" s="659"/>
      <c r="H56" s="961"/>
      <c r="I56" s="962">
        <f>I54*H55</f>
        <v>0</v>
      </c>
      <c r="J56" s="961"/>
      <c r="K56" s="962">
        <f>K54*J55</f>
        <v>0</v>
      </c>
      <c r="L56" s="961"/>
      <c r="M56" s="962">
        <f>M54*L55</f>
        <v>0</v>
      </c>
      <c r="N56" s="961"/>
      <c r="O56" s="962">
        <f>O54*N55</f>
        <v>0</v>
      </c>
      <c r="P56" s="961"/>
      <c r="Q56" s="962">
        <f>Q54*P55</f>
        <v>0</v>
      </c>
      <c r="R56" s="961"/>
      <c r="S56" s="962">
        <f>S54*R55</f>
        <v>0</v>
      </c>
    </row>
    <row r="57" spans="1:19" x14ac:dyDescent="0.35">
      <c r="A57" s="1452"/>
      <c r="B57" s="1453"/>
      <c r="C57" s="1454"/>
      <c r="D57" s="1454"/>
      <c r="E57" s="1455"/>
      <c r="F57" s="1456"/>
      <c r="G57" s="659"/>
      <c r="H57" s="961"/>
      <c r="I57" s="963"/>
      <c r="J57" s="961"/>
      <c r="K57" s="963"/>
      <c r="L57" s="961"/>
      <c r="M57" s="963"/>
      <c r="N57" s="961"/>
      <c r="O57" s="963"/>
      <c r="P57" s="961"/>
      <c r="Q57" s="963"/>
      <c r="R57" s="961"/>
      <c r="S57" s="963"/>
    </row>
    <row r="58" spans="1:19" x14ac:dyDescent="0.35">
      <c r="A58" s="1452"/>
      <c r="B58" s="1453"/>
      <c r="C58" s="1454"/>
      <c r="D58" s="1454"/>
      <c r="E58" s="1455"/>
      <c r="F58" s="1456" t="s">
        <v>718</v>
      </c>
      <c r="G58" s="659"/>
      <c r="H58" s="964"/>
      <c r="I58" s="962">
        <f>SUM(I54:I57)</f>
        <v>0</v>
      </c>
      <c r="J58" s="964"/>
      <c r="K58" s="962">
        <f>SUM(K54:K57)</f>
        <v>0</v>
      </c>
      <c r="L58" s="964"/>
      <c r="M58" s="962">
        <f>SUM(M54:M57)</f>
        <v>0</v>
      </c>
      <c r="N58" s="964"/>
      <c r="O58" s="962">
        <f>SUM(O54:O57)</f>
        <v>0</v>
      </c>
      <c r="P58" s="964"/>
      <c r="Q58" s="962">
        <f>SUM(Q54:Q57)</f>
        <v>0</v>
      </c>
      <c r="R58" s="964"/>
      <c r="S58" s="962">
        <f>SUM(S54:S57)</f>
        <v>0</v>
      </c>
    </row>
    <row r="59" spans="1:19" x14ac:dyDescent="0.35">
      <c r="A59" s="1452"/>
      <c r="B59" s="1453"/>
      <c r="C59" s="1454"/>
      <c r="D59" s="1454"/>
      <c r="E59" s="1455"/>
      <c r="F59" s="1409" t="s">
        <v>719</v>
      </c>
      <c r="G59" s="661"/>
      <c r="H59" s="965"/>
      <c r="I59" s="966" t="e">
        <f>I58/#REF!</f>
        <v>#REF!</v>
      </c>
      <c r="J59" s="965"/>
      <c r="K59" s="966" t="e">
        <f>K58/#REF!</f>
        <v>#REF!</v>
      </c>
      <c r="L59" s="965"/>
      <c r="M59" s="966" t="e">
        <f>M58/#REF!</f>
        <v>#REF!</v>
      </c>
      <c r="N59" s="965"/>
      <c r="O59" s="966" t="e">
        <f>O58/#REF!</f>
        <v>#REF!</v>
      </c>
      <c r="P59" s="965"/>
      <c r="Q59" s="966" t="e">
        <f>Q58/#REF!</f>
        <v>#REF!</v>
      </c>
      <c r="R59" s="965"/>
      <c r="S59" s="966" t="e">
        <f>S58/#REF!</f>
        <v>#REF!</v>
      </c>
    </row>
    <row r="60" spans="1:19" x14ac:dyDescent="0.35">
      <c r="A60" s="1452"/>
      <c r="B60" s="1453"/>
      <c r="C60" s="1454"/>
      <c r="D60" s="1454"/>
      <c r="E60" s="1455"/>
      <c r="F60" s="1409" t="s">
        <v>720</v>
      </c>
      <c r="G60" s="662"/>
      <c r="H60" s="965"/>
      <c r="I60" s="966" t="e">
        <f>I58/#REF!</f>
        <v>#REF!</v>
      </c>
      <c r="J60" s="965"/>
      <c r="K60" s="966" t="e">
        <f>K58/#REF!</f>
        <v>#REF!</v>
      </c>
      <c r="L60" s="965"/>
      <c r="M60" s="966" t="e">
        <f>M58/#REF!</f>
        <v>#REF!</v>
      </c>
      <c r="N60" s="965"/>
      <c r="O60" s="966" t="e">
        <f>O58/#REF!</f>
        <v>#REF!</v>
      </c>
      <c r="P60" s="965"/>
      <c r="Q60" s="966" t="e">
        <f>Q58/#REF!</f>
        <v>#REF!</v>
      </c>
      <c r="R60" s="965"/>
      <c r="S60" s="966" t="e">
        <f>S58/#REF!</f>
        <v>#REF!</v>
      </c>
    </row>
    <row r="61" spans="1:19" ht="15" thickBot="1" x14ac:dyDescent="0.4">
      <c r="A61" s="1452"/>
      <c r="B61" s="1453"/>
      <c r="C61" s="1454"/>
      <c r="D61" s="1454"/>
      <c r="E61" s="1455"/>
      <c r="F61" s="1456"/>
      <c r="G61" s="663"/>
      <c r="H61" s="1168"/>
      <c r="I61" s="1169"/>
      <c r="J61" s="967"/>
      <c r="K61" s="1596"/>
      <c r="L61" s="967"/>
      <c r="M61" s="967"/>
      <c r="N61" s="967"/>
      <c r="O61" s="967"/>
      <c r="P61" s="967"/>
      <c r="Q61" s="967"/>
      <c r="R61" s="967"/>
      <c r="S61" s="967"/>
    </row>
    <row r="62" spans="1:19" ht="15.5" thickTop="1" thickBot="1" x14ac:dyDescent="0.4">
      <c r="A62" s="3764" t="s">
        <v>721</v>
      </c>
      <c r="B62" s="3765"/>
      <c r="C62" s="12"/>
      <c r="D62" s="12"/>
      <c r="E62" s="12"/>
      <c r="F62" s="12"/>
      <c r="G62" s="13"/>
      <c r="H62" s="21"/>
      <c r="I62" s="21"/>
      <c r="J62" s="21"/>
      <c r="K62" s="21"/>
      <c r="L62" s="21"/>
      <c r="M62" s="21"/>
      <c r="N62" s="21"/>
      <c r="O62" s="21"/>
      <c r="P62" s="21"/>
      <c r="Q62" s="21"/>
      <c r="R62" s="21"/>
      <c r="S62" s="21"/>
    </row>
    <row r="63" spans="1:19" ht="15" thickTop="1" x14ac:dyDescent="0.35">
      <c r="A63" s="1619"/>
      <c r="B63" s="1422"/>
      <c r="C63" s="1620"/>
      <c r="D63" s="1620"/>
      <c r="E63" s="1620"/>
      <c r="F63" s="1620"/>
      <c r="G63" s="1621"/>
      <c r="H63" s="1622"/>
      <c r="I63" s="1622"/>
      <c r="J63" s="1622"/>
      <c r="K63" s="1622"/>
      <c r="L63" s="1622"/>
      <c r="M63" s="1622"/>
      <c r="N63" s="1622"/>
      <c r="O63" s="1622"/>
      <c r="P63" s="1622"/>
      <c r="Q63" s="1622"/>
      <c r="R63" s="1622"/>
      <c r="S63" s="1622"/>
    </row>
    <row r="64" spans="1:19" s="2" customFormat="1" x14ac:dyDescent="0.35">
      <c r="A64" s="1619"/>
      <c r="B64" s="1422"/>
      <c r="C64" s="1620"/>
      <c r="D64" s="1620"/>
      <c r="E64" s="1620"/>
      <c r="F64" s="1620"/>
      <c r="G64" s="1621"/>
      <c r="H64" s="1622"/>
      <c r="I64" s="1622"/>
      <c r="J64" s="1622"/>
      <c r="K64" s="1622"/>
      <c r="L64" s="1622"/>
      <c r="M64" s="1622"/>
      <c r="N64" s="1622"/>
      <c r="O64" s="1622"/>
      <c r="P64" s="1622"/>
      <c r="Q64" s="1622"/>
      <c r="R64" s="1622"/>
      <c r="S64" s="1622"/>
    </row>
    <row r="65" spans="1:19" s="2" customFormat="1" ht="15" thickBot="1" x14ac:dyDescent="0.4">
      <c r="A65" s="1619"/>
      <c r="B65" s="1422"/>
      <c r="C65" s="1620"/>
      <c r="D65" s="1620"/>
      <c r="E65" s="1620"/>
      <c r="F65" s="1620"/>
      <c r="G65" s="1621"/>
      <c r="H65" s="1622"/>
      <c r="I65" s="1622"/>
      <c r="J65" s="1622"/>
      <c r="K65" s="1622"/>
      <c r="L65" s="1622"/>
      <c r="M65" s="1622"/>
      <c r="N65" s="1622"/>
      <c r="O65" s="1622"/>
      <c r="P65" s="1622"/>
      <c r="Q65" s="1622"/>
      <c r="R65" s="1622"/>
      <c r="S65" s="1622"/>
    </row>
    <row r="66" spans="1:19" ht="15.5" thickTop="1" thickBot="1" x14ac:dyDescent="0.4">
      <c r="A66" s="3764" t="s">
        <v>722</v>
      </c>
      <c r="B66" s="3765"/>
      <c r="C66" s="12"/>
      <c r="D66" s="12"/>
      <c r="E66" s="12"/>
      <c r="F66" s="12"/>
      <c r="G66" s="13"/>
      <c r="H66" s="21"/>
      <c r="I66" s="21"/>
      <c r="J66" s="21"/>
      <c r="K66" s="21"/>
      <c r="L66" s="21"/>
      <c r="M66" s="21"/>
      <c r="N66" s="21"/>
      <c r="O66" s="21"/>
      <c r="P66" s="21"/>
      <c r="Q66" s="21"/>
      <c r="R66" s="21"/>
      <c r="S66" s="21"/>
    </row>
    <row r="67" spans="1:19" s="2" customFormat="1" ht="15" thickTop="1" x14ac:dyDescent="0.35">
      <c r="A67" s="1619"/>
      <c r="B67" s="1422"/>
      <c r="C67" s="1620"/>
      <c r="D67" s="1620"/>
      <c r="E67" s="1620"/>
      <c r="F67" s="1620"/>
      <c r="G67" s="1621"/>
      <c r="H67" s="1622"/>
      <c r="I67" s="1622"/>
      <c r="J67" s="1622"/>
      <c r="K67" s="1622"/>
      <c r="L67" s="1622"/>
      <c r="M67" s="1622"/>
      <c r="N67" s="1622"/>
      <c r="O67" s="1622"/>
      <c r="P67" s="1622"/>
      <c r="Q67" s="1622"/>
      <c r="R67" s="1622"/>
      <c r="S67" s="1622"/>
    </row>
    <row r="68" spans="1:19" s="2" customFormat="1" x14ac:dyDescent="0.35">
      <c r="A68" s="1619"/>
      <c r="B68" s="1422"/>
      <c r="C68" s="1620"/>
      <c r="D68" s="1620"/>
      <c r="E68" s="1620"/>
      <c r="F68" s="1620"/>
      <c r="G68" s="1621"/>
      <c r="H68" s="1622"/>
      <c r="I68" s="1622"/>
      <c r="J68" s="1622"/>
      <c r="K68" s="1622"/>
      <c r="L68" s="1622"/>
      <c r="M68" s="1622"/>
      <c r="N68" s="1622"/>
      <c r="O68" s="1622"/>
      <c r="P68" s="1622"/>
      <c r="Q68" s="1622"/>
      <c r="R68" s="1622"/>
      <c r="S68" s="1622"/>
    </row>
    <row r="69" spans="1:19" s="2" customFormat="1" ht="15" thickBot="1" x14ac:dyDescent="0.4">
      <c r="A69" s="1619"/>
      <c r="B69" s="1422"/>
      <c r="C69" s="1620"/>
      <c r="D69" s="1620"/>
      <c r="E69" s="1620"/>
      <c r="F69" s="1620"/>
      <c r="G69" s="1621"/>
      <c r="H69" s="1622"/>
      <c r="I69" s="1622"/>
      <c r="J69" s="1622"/>
      <c r="K69" s="1622"/>
      <c r="L69" s="1622"/>
      <c r="M69" s="1622"/>
      <c r="N69" s="1622"/>
      <c r="O69" s="1622"/>
      <c r="P69" s="1622"/>
      <c r="Q69" s="1622"/>
      <c r="R69" s="1622"/>
      <c r="S69" s="1622"/>
    </row>
    <row r="70" spans="1:19" s="2" customFormat="1" ht="15.5" thickTop="1" thickBot="1" x14ac:dyDescent="0.4">
      <c r="A70" s="3764" t="s">
        <v>723</v>
      </c>
      <c r="B70" s="3765"/>
      <c r="C70" s="12"/>
      <c r="D70" s="12"/>
      <c r="E70" s="12"/>
      <c r="F70" s="12"/>
      <c r="G70" s="13"/>
      <c r="H70" s="21"/>
      <c r="I70" s="21"/>
      <c r="J70" s="21"/>
      <c r="K70" s="21"/>
      <c r="L70" s="21"/>
      <c r="M70" s="21"/>
      <c r="N70" s="21"/>
      <c r="O70" s="21"/>
      <c r="P70" s="21"/>
      <c r="Q70" s="21"/>
      <c r="R70" s="21"/>
      <c r="S70" s="21"/>
    </row>
    <row r="71" spans="1:19" s="2" customFormat="1" ht="15" thickTop="1" x14ac:dyDescent="0.35">
      <c r="A71" s="1619"/>
      <c r="B71" s="1422"/>
      <c r="C71" s="1620"/>
      <c r="D71" s="1620"/>
      <c r="E71" s="1620"/>
      <c r="F71" s="1620"/>
      <c r="G71" s="1621"/>
      <c r="H71" s="1622"/>
      <c r="I71" s="1622"/>
      <c r="J71" s="1622"/>
      <c r="K71" s="1622"/>
      <c r="L71" s="1622"/>
      <c r="M71" s="1622"/>
      <c r="N71" s="1622"/>
      <c r="O71" s="1622"/>
      <c r="P71" s="1622"/>
      <c r="Q71" s="1622"/>
      <c r="R71" s="1622"/>
      <c r="S71" s="1622"/>
    </row>
    <row r="72" spans="1:19" x14ac:dyDescent="0.35">
      <c r="A72" s="1426"/>
      <c r="B72" s="1422"/>
      <c r="C72" s="1423"/>
      <c r="D72" s="1423"/>
      <c r="E72" s="1423"/>
      <c r="F72" s="1423"/>
      <c r="G72" s="646"/>
      <c r="H72" s="973"/>
      <c r="I72" s="973"/>
      <c r="J72" s="973"/>
      <c r="K72" s="973"/>
      <c r="L72" s="973"/>
      <c r="M72" s="973"/>
      <c r="N72" s="973"/>
      <c r="O72" s="973"/>
      <c r="P72" s="973"/>
      <c r="Q72" s="973"/>
      <c r="R72" s="973"/>
      <c r="S72" s="973"/>
    </row>
    <row r="73" spans="1:19" ht="15" thickBot="1" x14ac:dyDescent="0.4">
      <c r="A73" s="1416"/>
      <c r="B73" s="1417"/>
      <c r="C73" s="1423"/>
      <c r="D73" s="1423"/>
      <c r="E73" s="1423"/>
      <c r="F73" s="1423"/>
      <c r="G73" s="646"/>
      <c r="H73" s="974"/>
      <c r="I73" s="974"/>
      <c r="J73" s="974"/>
      <c r="K73" s="974"/>
      <c r="L73" s="974"/>
      <c r="M73" s="974"/>
      <c r="N73" s="974"/>
      <c r="O73" s="974"/>
      <c r="P73" s="974"/>
      <c r="Q73" s="974"/>
      <c r="R73" s="974"/>
      <c r="S73" s="974"/>
    </row>
    <row r="74" spans="1:19" ht="15.5" thickTop="1" thickBot="1" x14ac:dyDescent="0.4">
      <c r="A74" s="3764" t="s">
        <v>724</v>
      </c>
      <c r="B74" s="3765"/>
      <c r="C74" s="12"/>
      <c r="D74" s="12"/>
      <c r="E74" s="12"/>
      <c r="F74" s="12"/>
      <c r="G74" s="13"/>
      <c r="H74" s="21"/>
      <c r="I74" s="21"/>
      <c r="J74" s="21"/>
      <c r="K74" s="21"/>
      <c r="L74" s="21"/>
      <c r="M74" s="21"/>
      <c r="N74" s="21"/>
      <c r="O74" s="21"/>
      <c r="P74" s="21"/>
      <c r="Q74" s="21"/>
      <c r="R74" s="21"/>
      <c r="S74" s="21"/>
    </row>
    <row r="75" spans="1:19" ht="15" thickTop="1" x14ac:dyDescent="0.35">
      <c r="A75" s="1623"/>
      <c r="B75" s="1624"/>
      <c r="C75" s="1620"/>
      <c r="D75" s="1620"/>
      <c r="E75" s="1620"/>
      <c r="F75" s="1620"/>
      <c r="G75" s="1621"/>
      <c r="H75" s="1622"/>
      <c r="I75" s="1622"/>
      <c r="J75" s="1622"/>
      <c r="K75" s="1622"/>
      <c r="L75" s="1622"/>
      <c r="M75" s="1622"/>
      <c r="N75" s="1622"/>
      <c r="O75" s="1622"/>
      <c r="P75" s="1622"/>
      <c r="Q75" s="1622"/>
      <c r="R75" s="1622"/>
      <c r="S75" s="1622"/>
    </row>
    <row r="76" spans="1:19" x14ac:dyDescent="0.35">
      <c r="A76" s="1416"/>
      <c r="B76" s="1417"/>
      <c r="C76" s="1423"/>
      <c r="D76" s="1423"/>
      <c r="E76" s="1423"/>
      <c r="F76" s="1423"/>
      <c r="G76" s="646"/>
      <c r="H76" s="977"/>
      <c r="I76" s="977"/>
      <c r="J76" s="977"/>
      <c r="K76" s="977"/>
      <c r="L76" s="977"/>
      <c r="M76" s="977"/>
      <c r="N76" s="977"/>
      <c r="O76" s="977"/>
      <c r="P76" s="977"/>
      <c r="Q76" s="977"/>
      <c r="R76" s="977"/>
      <c r="S76" s="977"/>
    </row>
    <row r="77" spans="1:19" ht="15" thickBot="1" x14ac:dyDescent="0.4">
      <c r="A77" s="1416"/>
      <c r="B77" s="1417"/>
      <c r="C77" s="1423"/>
      <c r="D77" s="1423"/>
      <c r="E77" s="1423"/>
      <c r="F77" s="1423"/>
      <c r="G77" s="646"/>
      <c r="H77" s="977"/>
      <c r="I77" s="977"/>
      <c r="J77" s="977"/>
      <c r="K77" s="977"/>
      <c r="L77" s="977"/>
      <c r="M77" s="977"/>
      <c r="N77" s="977"/>
      <c r="O77" s="977"/>
      <c r="P77" s="977"/>
      <c r="Q77" s="977"/>
      <c r="R77" s="977"/>
      <c r="S77" s="977"/>
    </row>
    <row r="78" spans="1:19" ht="15.5" thickTop="1" thickBot="1" x14ac:dyDescent="0.4">
      <c r="A78" s="3764" t="s">
        <v>725</v>
      </c>
      <c r="B78" s="3765"/>
      <c r="C78" s="12"/>
      <c r="D78" s="12"/>
      <c r="E78" s="12"/>
      <c r="F78" s="12"/>
      <c r="G78" s="13"/>
      <c r="H78" s="21"/>
      <c r="I78" s="21"/>
      <c r="J78" s="21"/>
      <c r="K78" s="21"/>
      <c r="L78" s="21"/>
      <c r="M78" s="21"/>
      <c r="N78" s="21"/>
      <c r="O78" s="21"/>
      <c r="P78" s="21"/>
      <c r="Q78" s="21"/>
      <c r="R78" s="21"/>
      <c r="S78" s="21"/>
    </row>
    <row r="79" spans="1:19" ht="15" thickTop="1" x14ac:dyDescent="0.35">
      <c r="A79" s="1426"/>
      <c r="B79" s="1422" t="s">
        <v>726</v>
      </c>
      <c r="C79" s="1423"/>
      <c r="D79" s="1423"/>
      <c r="E79" s="1423"/>
      <c r="F79" s="1423"/>
      <c r="G79" s="646"/>
      <c r="H79" s="977"/>
      <c r="I79" s="977"/>
      <c r="J79" s="977"/>
      <c r="K79" s="977"/>
      <c r="L79" s="977"/>
      <c r="M79" s="977"/>
      <c r="N79" s="977"/>
      <c r="O79" s="977"/>
      <c r="P79" s="977"/>
      <c r="Q79" s="977"/>
      <c r="R79" s="977"/>
      <c r="S79" s="977"/>
    </row>
    <row r="80" spans="1:19" x14ac:dyDescent="0.35">
      <c r="A80" s="1426"/>
      <c r="B80" s="1422" t="s">
        <v>727</v>
      </c>
      <c r="C80" s="1423"/>
      <c r="D80" s="1423"/>
      <c r="E80" s="1423"/>
      <c r="F80" s="1423"/>
      <c r="G80" s="646"/>
      <c r="H80" s="977"/>
      <c r="I80" s="977"/>
      <c r="J80" s="977"/>
      <c r="K80" s="977"/>
      <c r="L80" s="977"/>
      <c r="M80" s="977"/>
      <c r="N80" s="977"/>
      <c r="O80" s="977"/>
      <c r="P80" s="977"/>
      <c r="Q80" s="977"/>
      <c r="R80" s="977"/>
      <c r="S80" s="977"/>
    </row>
    <row r="81" spans="1:19" x14ac:dyDescent="0.35">
      <c r="A81" s="1426"/>
      <c r="B81" s="1422" t="s">
        <v>728</v>
      </c>
      <c r="C81" s="1423"/>
      <c r="D81" s="1423"/>
      <c r="E81" s="1423"/>
      <c r="F81" s="1423"/>
      <c r="G81" s="646"/>
      <c r="H81" s="977"/>
      <c r="I81" s="977"/>
      <c r="J81" s="977"/>
      <c r="K81" s="977"/>
      <c r="L81" s="977"/>
      <c r="M81" s="977"/>
      <c r="N81" s="977"/>
      <c r="O81" s="977"/>
      <c r="P81" s="977"/>
      <c r="Q81" s="977"/>
      <c r="R81" s="977"/>
      <c r="S81" s="977"/>
    </row>
    <row r="82" spans="1:19" x14ac:dyDescent="0.35">
      <c r="A82" s="1426"/>
      <c r="B82" s="1422" t="s">
        <v>729</v>
      </c>
      <c r="C82" s="1423"/>
      <c r="D82" s="1423"/>
      <c r="E82" s="1423"/>
      <c r="F82" s="1423"/>
      <c r="G82" s="646"/>
      <c r="H82" s="977"/>
      <c r="I82" s="977"/>
      <c r="J82" s="977"/>
      <c r="K82" s="977"/>
      <c r="L82" s="977"/>
      <c r="M82" s="977"/>
      <c r="N82" s="977"/>
      <c r="O82" s="977"/>
      <c r="P82" s="977"/>
      <c r="Q82" s="977"/>
      <c r="R82" s="977"/>
      <c r="S82" s="977"/>
    </row>
    <row r="83" spans="1:19" ht="15" thickBot="1" x14ac:dyDescent="0.4">
      <c r="A83" s="978"/>
      <c r="B83" s="939"/>
      <c r="C83" s="940"/>
      <c r="D83" s="940"/>
      <c r="E83" s="940"/>
      <c r="F83" s="940"/>
      <c r="G83" s="1039"/>
      <c r="H83" s="981"/>
      <c r="I83" s="981"/>
      <c r="J83" s="981"/>
      <c r="K83" s="981"/>
      <c r="L83" s="981"/>
      <c r="M83" s="981"/>
      <c r="N83" s="981"/>
      <c r="O83" s="981"/>
      <c r="P83" s="981"/>
      <c r="Q83" s="981"/>
      <c r="R83" s="981"/>
      <c r="S83" s="981"/>
    </row>
    <row r="84" spans="1:19" ht="15.5" thickTop="1" thickBot="1" x14ac:dyDescent="0.4">
      <c r="A84" s="7" t="s">
        <v>730</v>
      </c>
      <c r="B84" s="8"/>
      <c r="C84" s="12"/>
      <c r="D84" s="12"/>
      <c r="E84" s="12"/>
      <c r="F84" s="12"/>
      <c r="G84" s="13"/>
      <c r="H84" s="21"/>
      <c r="I84" s="21"/>
      <c r="J84" s="21"/>
      <c r="K84" s="21"/>
      <c r="L84" s="21"/>
      <c r="M84" s="21"/>
      <c r="N84" s="21"/>
      <c r="O84" s="21"/>
      <c r="P84" s="21"/>
      <c r="Q84" s="21"/>
      <c r="R84" s="21"/>
      <c r="S84" s="21"/>
    </row>
    <row r="85" spans="1:19" ht="15" thickTop="1" x14ac:dyDescent="0.35">
      <c r="A85" s="1619"/>
      <c r="B85" s="1625" t="s">
        <v>731</v>
      </c>
      <c r="C85" s="1620"/>
      <c r="D85" s="1620"/>
      <c r="E85" s="1620"/>
      <c r="F85" s="1620"/>
      <c r="G85" s="1621"/>
      <c r="H85" s="1626"/>
      <c r="I85" s="1626"/>
      <c r="J85" s="1626"/>
      <c r="K85" s="1626"/>
      <c r="L85" s="1626"/>
      <c r="M85" s="1626"/>
      <c r="N85" s="1626"/>
      <c r="O85" s="1626"/>
      <c r="P85" s="1626"/>
      <c r="Q85" s="1626"/>
      <c r="R85" s="1626"/>
      <c r="S85" s="1626"/>
    </row>
    <row r="86" spans="1:19" x14ac:dyDescent="0.35">
      <c r="A86" s="1426"/>
      <c r="B86" s="1422" t="s">
        <v>732</v>
      </c>
      <c r="C86" s="1423"/>
      <c r="D86" s="1423"/>
      <c r="E86" s="1423"/>
      <c r="F86" s="1423"/>
      <c r="G86" s="646"/>
      <c r="H86" s="984"/>
      <c r="I86" s="984"/>
      <c r="J86" s="984"/>
      <c r="K86" s="984"/>
      <c r="L86" s="984"/>
      <c r="M86" s="984"/>
      <c r="N86" s="984"/>
      <c r="O86" s="984"/>
      <c r="P86" s="984"/>
      <c r="Q86" s="984"/>
      <c r="R86" s="984"/>
      <c r="S86" s="984"/>
    </row>
    <row r="87" spans="1:19" ht="15" thickBot="1" x14ac:dyDescent="0.4">
      <c r="A87" s="985"/>
      <c r="B87" s="986" t="s">
        <v>733</v>
      </c>
      <c r="C87" s="987"/>
      <c r="D87" s="987"/>
      <c r="E87" s="987"/>
      <c r="F87" s="987"/>
      <c r="G87" s="1040"/>
      <c r="H87" s="990"/>
      <c r="I87" s="990"/>
      <c r="J87" s="990"/>
      <c r="K87" s="990"/>
      <c r="L87" s="990"/>
      <c r="M87" s="990"/>
      <c r="N87" s="990"/>
      <c r="O87" s="990"/>
      <c r="P87" s="990"/>
      <c r="Q87" s="990"/>
      <c r="R87" s="990"/>
      <c r="S87" s="990"/>
    </row>
    <row r="88" spans="1:19" ht="15.5" thickTop="1" thickBot="1" x14ac:dyDescent="0.4"/>
    <row r="89" spans="1:19" ht="15.5" thickTop="1" thickBot="1" x14ac:dyDescent="0.4">
      <c r="A89" s="78" t="s">
        <v>734</v>
      </c>
      <c r="B89" s="80"/>
    </row>
    <row r="90" spans="1:19" ht="15" thickTop="1" x14ac:dyDescent="0.35">
      <c r="A90" s="79" t="s">
        <v>632</v>
      </c>
      <c r="B90" s="991"/>
    </row>
    <row r="91" spans="1:19" x14ac:dyDescent="0.35">
      <c r="A91" s="1465" t="s">
        <v>636</v>
      </c>
      <c r="B91" s="991"/>
    </row>
    <row r="92" spans="1:19" x14ac:dyDescent="0.35">
      <c r="A92" s="992" t="s">
        <v>639</v>
      </c>
      <c r="B92" s="993"/>
    </row>
    <row r="93" spans="1:19" x14ac:dyDescent="0.35">
      <c r="A93" s="992" t="s">
        <v>642</v>
      </c>
      <c r="B93" s="994"/>
    </row>
    <row r="94" spans="1:19" ht="15" thickBot="1" x14ac:dyDescent="0.4">
      <c r="A94" s="995" t="s">
        <v>735</v>
      </c>
      <c r="B94" s="996"/>
    </row>
    <row r="95" spans="1:19" ht="15" thickTop="1" x14ac:dyDescent="0.35"/>
    <row r="96" spans="1:19" x14ac:dyDescent="0.35">
      <c r="A96" s="81"/>
      <c r="B96" s="1" t="s">
        <v>736</v>
      </c>
    </row>
    <row r="97" spans="1:2" x14ac:dyDescent="0.35">
      <c r="A97" s="82"/>
      <c r="B97" s="1" t="s">
        <v>737</v>
      </c>
    </row>
  </sheetData>
  <mergeCells count="47">
    <mergeCell ref="A62:B62"/>
    <mergeCell ref="A66:B66"/>
    <mergeCell ref="A70:B70"/>
    <mergeCell ref="A74:B74"/>
    <mergeCell ref="A78:B78"/>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2079" priority="13" operator="equal">
      <formula>"X"</formula>
    </cfRule>
    <cfRule type="cellIs" dxfId="2078" priority="14" operator="equal">
      <formula>"I"</formula>
    </cfRule>
  </conditionalFormatting>
  <conditionalFormatting sqref="H32:H53">
    <cfRule type="cellIs" dxfId="2077" priority="1" operator="equal">
      <formula>"X"</formula>
    </cfRule>
    <cfRule type="cellIs" dxfId="2076" priority="2" operator="equal">
      <formula>"I"</formula>
    </cfRule>
  </conditionalFormatting>
  <conditionalFormatting sqref="J20:J30">
    <cfRule type="cellIs" dxfId="2075" priority="15" operator="equal">
      <formula>"X"</formula>
    </cfRule>
    <cfRule type="cellIs" dxfId="2074" priority="16" operator="equal">
      <formula>"I"</formula>
    </cfRule>
  </conditionalFormatting>
  <conditionalFormatting sqref="J32:J53">
    <cfRule type="cellIs" dxfId="2073" priority="3" operator="equal">
      <formula>"X"</formula>
    </cfRule>
    <cfRule type="cellIs" dxfId="2072" priority="4" operator="equal">
      <formula>"I"</formula>
    </cfRule>
  </conditionalFormatting>
  <conditionalFormatting sqref="L20:L30">
    <cfRule type="cellIs" dxfId="2071" priority="17" operator="equal">
      <formula>"X"</formula>
    </cfRule>
    <cfRule type="cellIs" dxfId="2070" priority="18" operator="equal">
      <formula>"I"</formula>
    </cfRule>
  </conditionalFormatting>
  <conditionalFormatting sqref="L32:L53">
    <cfRule type="cellIs" dxfId="2069" priority="5" operator="equal">
      <formula>"X"</formula>
    </cfRule>
    <cfRule type="cellIs" dxfId="2068" priority="6" operator="equal">
      <formula>"I"</formula>
    </cfRule>
  </conditionalFormatting>
  <conditionalFormatting sqref="N20:N30">
    <cfRule type="cellIs" dxfId="2067" priority="19" operator="equal">
      <formula>"X"</formula>
    </cfRule>
    <cfRule type="cellIs" dxfId="2066" priority="20" operator="equal">
      <formula>"I"</formula>
    </cfRule>
  </conditionalFormatting>
  <conditionalFormatting sqref="N32:N53">
    <cfRule type="cellIs" dxfId="2065" priority="7" operator="equal">
      <formula>"X"</formula>
    </cfRule>
    <cfRule type="cellIs" dxfId="2064" priority="8" operator="equal">
      <formula>"I"</formula>
    </cfRule>
  </conditionalFormatting>
  <conditionalFormatting sqref="P20:P30">
    <cfRule type="cellIs" dxfId="2063" priority="21" operator="equal">
      <formula>"X"</formula>
    </cfRule>
    <cfRule type="cellIs" dxfId="2062" priority="22" operator="equal">
      <formula>"I"</formula>
    </cfRule>
  </conditionalFormatting>
  <conditionalFormatting sqref="P32:P53">
    <cfRule type="cellIs" dxfId="2061" priority="9" operator="equal">
      <formula>"X"</formula>
    </cfRule>
    <cfRule type="cellIs" dxfId="2060" priority="10" operator="equal">
      <formula>"I"</formula>
    </cfRule>
  </conditionalFormatting>
  <conditionalFormatting sqref="R20:R30">
    <cfRule type="cellIs" dxfId="2059" priority="23" operator="equal">
      <formula>"X"</formula>
    </cfRule>
    <cfRule type="cellIs" dxfId="2058" priority="24" operator="equal">
      <formula>"I"</formula>
    </cfRule>
  </conditionalFormatting>
  <conditionalFormatting sqref="R32:R53">
    <cfRule type="cellIs" dxfId="2057" priority="11" operator="equal">
      <formula>"X"</formula>
    </cfRule>
    <cfRule type="cellIs" dxfId="2056" priority="12" operator="equal">
      <formula>"I"</formula>
    </cfRule>
  </conditionalFormatting>
  <hyperlinks>
    <hyperlink ref="B3" location="'Cost Summary'!A1" display="BACK TO SUMMARY SHEET" xr:uid="{73CE9600-3F67-422E-843B-46B4DA29A0DA}"/>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8C4E-6FAE-4228-B3F1-FCA51A49C1FC}">
  <sheetPr>
    <tabColor rgb="FFFFC000"/>
  </sheetPr>
  <dimension ref="A1:AE153"/>
  <sheetViews>
    <sheetView zoomScale="93" zoomScaleNormal="93" zoomScaleSheetLayoutView="100" workbookViewId="0">
      <pane xSplit="2" ySplit="11" topLeftCell="D97" activePane="bottomRight" state="frozen"/>
      <selection pane="topRight" activeCell="C1" sqref="C1"/>
      <selection pane="bottomLeft" activeCell="A10" sqref="A10"/>
      <selection pane="bottomRight" activeCell="B109" sqref="B109"/>
    </sheetView>
  </sheetViews>
  <sheetFormatPr defaultRowHeight="15" customHeight="1" x14ac:dyDescent="0.35"/>
  <cols>
    <col min="1" max="1" width="11" customWidth="1"/>
    <col min="2" max="2" width="70.7265625" style="1" customWidth="1"/>
    <col min="3" max="3" width="10.81640625" style="2" bestFit="1" customWidth="1"/>
    <col min="4" max="5" width="7.54296875" style="2" customWidth="1"/>
    <col min="6" max="6" width="12.453125" style="2" customWidth="1"/>
    <col min="7" max="7" width="22.1796875" style="2" customWidth="1"/>
    <col min="8" max="8" width="8.1796875" style="2" customWidth="1"/>
    <col min="9" max="9" width="14.81640625" style="2" customWidth="1"/>
    <col min="10" max="10" width="8.1796875" style="2" customWidth="1"/>
    <col min="11" max="11" width="14.81640625" style="2" customWidth="1"/>
    <col min="12" max="12" width="8.1796875" style="2" customWidth="1"/>
    <col min="13" max="13" width="14.81640625" style="2" customWidth="1"/>
    <col min="14" max="14" width="7.7265625" style="2" hidden="1" customWidth="1"/>
    <col min="15" max="15" width="14.81640625" style="2" hidden="1" customWidth="1"/>
    <col min="16" max="16" width="7.453125" style="2" hidden="1" customWidth="1"/>
    <col min="17" max="17" width="14.81640625" style="2" hidden="1" customWidth="1"/>
    <col min="18" max="18" width="7.453125" style="2" hidden="1" customWidth="1"/>
    <col min="19" max="19" width="14.81640625" style="2" hidden="1" customWidth="1"/>
    <col min="20" max="20" width="7.453125" style="2" hidden="1" customWidth="1"/>
    <col min="21" max="21" width="14.81640625" style="2" hidden="1" customWidth="1"/>
    <col min="22" max="22" width="7.453125" style="2" hidden="1" customWidth="1"/>
    <col min="23" max="23" width="15" style="2" hidden="1" customWidth="1"/>
    <col min="24" max="24" width="7.453125" style="2" bestFit="1" customWidth="1"/>
    <col min="25" max="25" width="15" style="2" customWidth="1"/>
    <col min="26" max="26" width="8" style="2" customWidth="1"/>
    <col min="27" max="27" width="16.1796875" style="2" customWidth="1"/>
    <col min="29" max="29" width="16.54296875" customWidth="1"/>
    <col min="31" max="31" width="15.453125" customWidth="1"/>
  </cols>
  <sheetData>
    <row r="1" spans="1:31" ht="15" customHeight="1" x14ac:dyDescent="0.35">
      <c r="E1" s="152"/>
      <c r="F1" s="125"/>
      <c r="G1" s="123" t="s">
        <v>621</v>
      </c>
      <c r="H1" s="3785" t="s">
        <v>770</v>
      </c>
      <c r="I1" s="3785"/>
      <c r="L1" s="3785" t="s">
        <v>770</v>
      </c>
      <c r="M1" s="3785"/>
      <c r="N1" s="3795" t="s">
        <v>1867</v>
      </c>
      <c r="O1" s="3795"/>
      <c r="P1" s="3872" t="s">
        <v>1868</v>
      </c>
      <c r="Q1" s="3872"/>
      <c r="V1" s="3785" t="s">
        <v>1869</v>
      </c>
      <c r="W1" s="3785"/>
      <c r="X1" s="3785" t="s">
        <v>770</v>
      </c>
      <c r="Y1" s="3785"/>
      <c r="Z1" s="3874" t="s">
        <v>1870</v>
      </c>
      <c r="AA1" s="3874"/>
      <c r="AB1" s="3785"/>
      <c r="AC1" s="3785"/>
    </row>
    <row r="2" spans="1:31" ht="15.75" customHeight="1" x14ac:dyDescent="0.35">
      <c r="E2" s="152"/>
      <c r="F2" s="122" t="s">
        <v>622</v>
      </c>
      <c r="G2" s="123" t="s">
        <v>451</v>
      </c>
      <c r="H2" s="3869" t="s">
        <v>1871</v>
      </c>
      <c r="I2" s="3869"/>
      <c r="J2" s="3751"/>
      <c r="K2" s="3751"/>
      <c r="L2" s="3751" t="s">
        <v>1872</v>
      </c>
      <c r="M2" s="3751"/>
      <c r="N2" s="3751" t="s">
        <v>1873</v>
      </c>
      <c r="O2" s="3751"/>
      <c r="P2" s="3873"/>
      <c r="Q2" s="3873"/>
      <c r="R2" s="3751" t="s">
        <v>1874</v>
      </c>
      <c r="S2" s="3751"/>
      <c r="T2" s="3751" t="s">
        <v>1875</v>
      </c>
      <c r="U2" s="3751"/>
      <c r="V2" s="3751" t="s">
        <v>1872</v>
      </c>
      <c r="W2" s="3751"/>
      <c r="X2" s="3751" t="s">
        <v>1872</v>
      </c>
      <c r="Y2" s="3751"/>
      <c r="Z2" s="3804" t="s">
        <v>1876</v>
      </c>
      <c r="AA2" s="3804"/>
      <c r="AB2" s="3751"/>
      <c r="AC2" s="3751"/>
    </row>
    <row r="3" spans="1:31" ht="19.5" x14ac:dyDescent="0.35">
      <c r="B3" s="137" t="s">
        <v>623</v>
      </c>
      <c r="E3" s="152"/>
      <c r="F3" s="124" t="s">
        <v>624</v>
      </c>
      <c r="G3" s="123" t="s">
        <v>557</v>
      </c>
      <c r="H3" s="3778" t="s">
        <v>625</v>
      </c>
      <c r="I3" s="3779"/>
      <c r="J3" s="3823" t="s">
        <v>625</v>
      </c>
      <c r="K3" s="3824"/>
      <c r="L3" s="3778" t="s">
        <v>625</v>
      </c>
      <c r="M3" s="3779"/>
      <c r="N3" s="3754" t="s">
        <v>626</v>
      </c>
      <c r="O3" s="3755"/>
      <c r="P3" s="3754" t="s">
        <v>627</v>
      </c>
      <c r="Q3" s="3755"/>
      <c r="R3" s="3754" t="s">
        <v>628</v>
      </c>
      <c r="S3" s="3755"/>
      <c r="T3" s="3754" t="s">
        <v>629</v>
      </c>
      <c r="U3" s="3755"/>
      <c r="V3" s="3778" t="s">
        <v>626</v>
      </c>
      <c r="W3" s="3779"/>
      <c r="X3" s="3778" t="s">
        <v>626</v>
      </c>
      <c r="Y3" s="3779"/>
      <c r="Z3" s="3754" t="s">
        <v>627</v>
      </c>
      <c r="AA3" s="3755"/>
      <c r="AB3" s="3754" t="s">
        <v>628</v>
      </c>
      <c r="AC3" s="3755"/>
    </row>
    <row r="4" spans="1:31" ht="14.5" x14ac:dyDescent="0.35">
      <c r="A4" s="3" t="s">
        <v>631</v>
      </c>
      <c r="B4" s="4" t="str">
        <f>'AREA CALC''s'!B4</f>
        <v>Alton Hilltop Gardens</v>
      </c>
      <c r="C4" s="5"/>
      <c r="D4" s="5"/>
      <c r="E4" s="5"/>
      <c r="F4" s="5"/>
      <c r="G4" s="6" t="s">
        <v>632</v>
      </c>
      <c r="H4" s="3752" t="s">
        <v>1877</v>
      </c>
      <c r="I4" s="3753"/>
      <c r="J4" s="3752" t="s">
        <v>1334</v>
      </c>
      <c r="K4" s="3753"/>
      <c r="L4" s="3752" t="s">
        <v>1335</v>
      </c>
      <c r="M4" s="3753"/>
      <c r="N4" s="3752" t="s">
        <v>1336</v>
      </c>
      <c r="O4" s="3753"/>
      <c r="P4" s="3752" t="s">
        <v>1337</v>
      </c>
      <c r="Q4" s="3753"/>
      <c r="R4" s="3752" t="s">
        <v>1878</v>
      </c>
      <c r="S4" s="3753"/>
      <c r="T4" s="3752" t="s">
        <v>1340</v>
      </c>
      <c r="U4" s="3753"/>
      <c r="V4" s="3752" t="s">
        <v>1338</v>
      </c>
      <c r="W4" s="3753"/>
      <c r="X4" s="3752" t="s">
        <v>1338</v>
      </c>
      <c r="Y4" s="3753"/>
      <c r="Z4" s="3752" t="s">
        <v>1879</v>
      </c>
      <c r="AA4" s="3753"/>
      <c r="AB4" s="3752" t="s">
        <v>1339</v>
      </c>
      <c r="AC4" s="3753"/>
    </row>
    <row r="5" spans="1:31" ht="14.5" x14ac:dyDescent="0.35">
      <c r="A5" s="1421" t="s">
        <v>634</v>
      </c>
      <c r="B5" s="1422" t="s">
        <v>496</v>
      </c>
      <c r="C5" s="1423"/>
      <c r="D5" s="1423"/>
      <c r="E5" s="1423"/>
      <c r="F5" s="1423"/>
      <c r="G5" s="643" t="s">
        <v>636</v>
      </c>
      <c r="H5" s="3851" t="s">
        <v>1347</v>
      </c>
      <c r="I5" s="3759"/>
      <c r="J5" s="3851" t="s">
        <v>1342</v>
      </c>
      <c r="K5" s="3759"/>
      <c r="L5" s="3851" t="s">
        <v>1342</v>
      </c>
      <c r="M5" s="3759"/>
      <c r="N5" s="3851" t="s">
        <v>1343</v>
      </c>
      <c r="O5" s="3759"/>
      <c r="P5" s="3870" t="s">
        <v>1344</v>
      </c>
      <c r="Q5" s="3871"/>
      <c r="R5" s="3870" t="s">
        <v>1880</v>
      </c>
      <c r="S5" s="3871"/>
      <c r="T5" s="3851" t="s">
        <v>1881</v>
      </c>
      <c r="U5" s="3759"/>
      <c r="V5" s="3851" t="s">
        <v>1345</v>
      </c>
      <c r="W5" s="3759"/>
      <c r="X5" s="3851" t="s">
        <v>1345</v>
      </c>
      <c r="Y5" s="3759"/>
      <c r="Z5" s="3851" t="s">
        <v>1882</v>
      </c>
      <c r="AA5" s="3759"/>
      <c r="AB5" s="3851" t="s">
        <v>1346</v>
      </c>
      <c r="AC5" s="3759"/>
    </row>
    <row r="6" spans="1:31" ht="14.5" x14ac:dyDescent="0.35">
      <c r="A6" s="1421" t="s">
        <v>638</v>
      </c>
      <c r="B6" s="1424" t="s">
        <v>495</v>
      </c>
      <c r="C6" s="1423"/>
      <c r="D6" s="1423"/>
      <c r="E6" s="1423"/>
      <c r="F6" s="1423"/>
      <c r="G6" s="643" t="s">
        <v>639</v>
      </c>
      <c r="H6" s="3852" t="s">
        <v>1353</v>
      </c>
      <c r="I6" s="3757"/>
      <c r="J6" s="3852" t="s">
        <v>1348</v>
      </c>
      <c r="K6" s="3757"/>
      <c r="L6" s="3852" t="s">
        <v>1348</v>
      </c>
      <c r="M6" s="3757"/>
      <c r="N6" s="3852" t="s">
        <v>1883</v>
      </c>
      <c r="O6" s="3757"/>
      <c r="P6" s="3852" t="s">
        <v>1350</v>
      </c>
      <c r="Q6" s="3757"/>
      <c r="R6" s="3852" t="s">
        <v>1884</v>
      </c>
      <c r="S6" s="3757"/>
      <c r="T6" s="3852" t="s">
        <v>1885</v>
      </c>
      <c r="U6" s="3757"/>
      <c r="V6" s="3851" t="s">
        <v>1351</v>
      </c>
      <c r="W6" s="3759"/>
      <c r="X6" s="3851" t="s">
        <v>1351</v>
      </c>
      <c r="Y6" s="3759"/>
      <c r="Z6" s="3851" t="s">
        <v>1886</v>
      </c>
      <c r="AA6" s="3759"/>
      <c r="AB6" s="3851" t="s">
        <v>1352</v>
      </c>
      <c r="AC6" s="3759"/>
    </row>
    <row r="7" spans="1:31" ht="14.5" x14ac:dyDescent="0.35">
      <c r="A7" s="1421" t="s">
        <v>641</v>
      </c>
      <c r="B7" s="1425"/>
      <c r="C7" s="1423"/>
      <c r="D7" s="1423"/>
      <c r="E7" s="1423"/>
      <c r="F7" s="1423"/>
      <c r="G7" s="643" t="s">
        <v>642</v>
      </c>
      <c r="H7" s="3855" t="s">
        <v>1359</v>
      </c>
      <c r="I7" s="3820"/>
      <c r="J7" s="3855" t="s">
        <v>1354</v>
      </c>
      <c r="K7" s="3820"/>
      <c r="L7" s="3855" t="s">
        <v>1354</v>
      </c>
      <c r="M7" s="3820"/>
      <c r="N7" s="3821" t="s">
        <v>1355</v>
      </c>
      <c r="O7" s="3822"/>
      <c r="P7" s="3790" t="s">
        <v>1356</v>
      </c>
      <c r="Q7" s="3792"/>
      <c r="R7" s="3790" t="s">
        <v>1887</v>
      </c>
      <c r="S7" s="3792"/>
      <c r="T7" s="3855" t="s">
        <v>1888</v>
      </c>
      <c r="U7" s="3820"/>
      <c r="V7" s="3855" t="s">
        <v>1357</v>
      </c>
      <c r="W7" s="3820"/>
      <c r="X7" s="3855" t="s">
        <v>1357</v>
      </c>
      <c r="Y7" s="3820"/>
      <c r="Z7" s="3855" t="s">
        <v>1889</v>
      </c>
      <c r="AA7" s="3820"/>
      <c r="AB7" s="3855" t="s">
        <v>1358</v>
      </c>
      <c r="AC7" s="3820"/>
      <c r="AE7" s="571"/>
    </row>
    <row r="8" spans="1:31" ht="14.5" x14ac:dyDescent="0.35">
      <c r="A8" s="938" t="s">
        <v>644</v>
      </c>
      <c r="B8" s="939"/>
      <c r="C8" s="940"/>
      <c r="D8" s="940"/>
      <c r="E8" s="940"/>
      <c r="F8" s="940"/>
      <c r="G8" s="1024" t="s">
        <v>644</v>
      </c>
      <c r="H8" s="3760">
        <f>I113</f>
        <v>2196709</v>
      </c>
      <c r="I8" s="3761"/>
      <c r="J8" s="3760">
        <f>K113</f>
        <v>2337225</v>
      </c>
      <c r="K8" s="3761"/>
      <c r="L8" s="3760">
        <f>M113</f>
        <v>2159280</v>
      </c>
      <c r="M8" s="3761"/>
      <c r="N8" s="3760">
        <f>O113</f>
        <v>1844095</v>
      </c>
      <c r="O8" s="3761"/>
      <c r="P8" s="3760">
        <v>0</v>
      </c>
      <c r="Q8" s="3761"/>
      <c r="R8" s="3760">
        <v>0</v>
      </c>
      <c r="S8" s="3761"/>
      <c r="T8" s="3760">
        <v>0</v>
      </c>
      <c r="U8" s="3761"/>
      <c r="V8" s="3760">
        <f>W113</f>
        <v>2554326.9862000002</v>
      </c>
      <c r="W8" s="3761"/>
      <c r="X8" s="3760">
        <f>Y113</f>
        <v>2388307.2261999999</v>
      </c>
      <c r="Y8" s="3761"/>
      <c r="Z8" s="3760">
        <f>AA113</f>
        <v>2560480.56</v>
      </c>
      <c r="AA8" s="3761"/>
      <c r="AB8" s="3760">
        <f>AC113</f>
        <v>3600000</v>
      </c>
      <c r="AC8" s="3761"/>
      <c r="AE8" s="571"/>
    </row>
    <row r="9" spans="1:31" ht="14.5" x14ac:dyDescent="0.35">
      <c r="A9" s="938"/>
      <c r="B9" s="939"/>
      <c r="C9" s="940"/>
      <c r="D9" s="940"/>
      <c r="E9" s="940"/>
      <c r="F9" s="940"/>
      <c r="G9" s="1627" t="s">
        <v>1890</v>
      </c>
      <c r="H9" s="3760">
        <f>'06D Interior Finish Carpentry'!T8</f>
        <v>324390</v>
      </c>
      <c r="I9" s="3761"/>
      <c r="J9" s="3760">
        <f>'06D Interior Finish Carpentry'!H8</f>
        <v>243815</v>
      </c>
      <c r="K9" s="3761"/>
      <c r="L9" s="3760">
        <f>'06D Interior Finish Carpentry'!J8</f>
        <v>224365</v>
      </c>
      <c r="M9" s="3761"/>
      <c r="N9" s="3760"/>
      <c r="O9" s="3761"/>
      <c r="P9" s="3760"/>
      <c r="Q9" s="3761"/>
      <c r="R9" s="3760"/>
      <c r="S9" s="3761"/>
      <c r="T9" s="3760"/>
      <c r="U9" s="3761"/>
      <c r="V9" s="3760">
        <f>'06D Interior Finish Carpentry'!P8</f>
        <v>280484</v>
      </c>
      <c r="W9" s="3761"/>
      <c r="X9" s="3760">
        <f>'06D Interior Finish Carpentry'!R8</f>
        <v>69600.600000000006</v>
      </c>
      <c r="Y9" s="3761"/>
      <c r="Z9" s="3760" t="s">
        <v>1094</v>
      </c>
      <c r="AA9" s="3761"/>
      <c r="AB9" s="3760" t="s">
        <v>1094</v>
      </c>
      <c r="AC9" s="3761"/>
    </row>
    <row r="10" spans="1:31" ht="14.5" x14ac:dyDescent="0.35">
      <c r="A10" s="938"/>
      <c r="B10" s="939"/>
      <c r="C10" s="940"/>
      <c r="D10" s="940"/>
      <c r="E10" s="940"/>
      <c r="F10" s="940"/>
      <c r="G10" s="1024" t="s">
        <v>5</v>
      </c>
      <c r="H10" s="3760">
        <f>SUM(H8:I9)</f>
        <v>2521099</v>
      </c>
      <c r="I10" s="3761"/>
      <c r="J10" s="3760">
        <f>SUM(J8:K9)</f>
        <v>2581040</v>
      </c>
      <c r="K10" s="3761"/>
      <c r="L10" s="3760">
        <f>SUM(L8:M9)</f>
        <v>2383645</v>
      </c>
      <c r="M10" s="3761"/>
      <c r="N10" s="3760"/>
      <c r="O10" s="3761"/>
      <c r="P10" s="3760"/>
      <c r="Q10" s="3761"/>
      <c r="R10" s="3760"/>
      <c r="S10" s="3761"/>
      <c r="T10" s="3760"/>
      <c r="U10" s="3761"/>
      <c r="V10" s="3760">
        <f>SUM(V8:W9)</f>
        <v>2834810.9862000002</v>
      </c>
      <c r="W10" s="3761"/>
      <c r="X10" s="3760">
        <f>SUM(X8:Y9)</f>
        <v>2457907.8262</v>
      </c>
      <c r="Y10" s="3761"/>
      <c r="Z10" s="3760">
        <f>SUM(Z8:AA9)</f>
        <v>2560480.56</v>
      </c>
      <c r="AA10" s="3761"/>
      <c r="AB10" s="3760">
        <f>SUM(AB8:AC9)</f>
        <v>3600000</v>
      </c>
      <c r="AC10" s="3761"/>
    </row>
    <row r="11" spans="1:31" ht="29" x14ac:dyDescent="0.35">
      <c r="A11" s="7" t="s">
        <v>645</v>
      </c>
      <c r="B11" s="8"/>
      <c r="C11" s="9" t="s">
        <v>646</v>
      </c>
      <c r="D11" s="9" t="s">
        <v>647</v>
      </c>
      <c r="E11" s="9" t="s">
        <v>648</v>
      </c>
      <c r="F11" s="9" t="s">
        <v>649</v>
      </c>
      <c r="G11" s="10" t="s">
        <v>650</v>
      </c>
      <c r="H11" s="11" t="s">
        <v>651</v>
      </c>
      <c r="I11" s="11" t="s">
        <v>652</v>
      </c>
      <c r="J11" s="11" t="s">
        <v>651</v>
      </c>
      <c r="K11" s="11" t="s">
        <v>652</v>
      </c>
      <c r="L11" s="11" t="s">
        <v>651</v>
      </c>
      <c r="M11" s="11" t="s">
        <v>652</v>
      </c>
      <c r="N11" s="11" t="s">
        <v>651</v>
      </c>
      <c r="O11" s="11" t="s">
        <v>652</v>
      </c>
      <c r="P11" s="11" t="s">
        <v>651</v>
      </c>
      <c r="Q11" s="11" t="s">
        <v>652</v>
      </c>
      <c r="R11" s="11" t="s">
        <v>651</v>
      </c>
      <c r="S11" s="11" t="s">
        <v>652</v>
      </c>
      <c r="T11" s="11" t="s">
        <v>651</v>
      </c>
      <c r="U11" s="11" t="s">
        <v>652</v>
      </c>
      <c r="V11" s="11" t="s">
        <v>651</v>
      </c>
      <c r="W11" s="11" t="s">
        <v>652</v>
      </c>
      <c r="X11" s="11" t="s">
        <v>651</v>
      </c>
      <c r="Y11" s="11" t="s">
        <v>652</v>
      </c>
      <c r="Z11" s="11" t="s">
        <v>651</v>
      </c>
      <c r="AA11" s="11" t="s">
        <v>652</v>
      </c>
      <c r="AB11" s="11" t="s">
        <v>651</v>
      </c>
      <c r="AC11" s="11" t="s">
        <v>652</v>
      </c>
    </row>
    <row r="12" spans="1:31" ht="15.75" hidden="1" customHeight="1" x14ac:dyDescent="0.35">
      <c r="A12" s="1426"/>
      <c r="B12" s="1628" t="s">
        <v>653</v>
      </c>
      <c r="C12" s="1423"/>
      <c r="D12" s="1423"/>
      <c r="E12" s="1423"/>
      <c r="F12" s="1423"/>
      <c r="G12" s="646"/>
      <c r="H12" s="942"/>
      <c r="I12" s="942"/>
      <c r="J12" s="942"/>
      <c r="K12" s="942"/>
      <c r="L12" s="942"/>
      <c r="M12" s="942"/>
      <c r="N12" s="942"/>
      <c r="O12" s="942"/>
      <c r="P12" s="942"/>
      <c r="Q12" s="942"/>
      <c r="R12" s="942"/>
      <c r="S12" s="942"/>
      <c r="T12" s="942"/>
      <c r="U12" s="942"/>
      <c r="V12" s="942"/>
      <c r="W12" s="942"/>
      <c r="X12" s="942"/>
      <c r="Y12" s="942"/>
      <c r="Z12" s="942"/>
      <c r="AA12" s="942"/>
      <c r="AB12" s="942"/>
      <c r="AC12" s="942"/>
    </row>
    <row r="13" spans="1:31" ht="15" hidden="1" customHeight="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c r="T13" s="942"/>
      <c r="U13" s="942"/>
      <c r="V13" s="942"/>
      <c r="W13" s="942"/>
      <c r="X13" s="942"/>
      <c r="Y13" s="942"/>
      <c r="Z13" s="942"/>
      <c r="AA13" s="942"/>
      <c r="AB13" s="942"/>
      <c r="AC13" s="942"/>
    </row>
    <row r="14" spans="1:31" ht="15" hidden="1" customHeight="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c r="T14" s="942"/>
      <c r="U14" s="942"/>
      <c r="V14" s="942"/>
      <c r="W14" s="942"/>
      <c r="X14" s="942"/>
      <c r="Y14" s="942"/>
      <c r="Z14" s="942"/>
      <c r="AA14" s="942"/>
      <c r="AB14" s="942"/>
      <c r="AC14" s="942"/>
    </row>
    <row r="15" spans="1:31" ht="15" hidden="1" customHeight="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c r="T15" s="942"/>
      <c r="U15" s="942"/>
      <c r="V15" s="942"/>
      <c r="W15" s="942"/>
      <c r="X15" s="942"/>
      <c r="Y15" s="942"/>
      <c r="Z15" s="942"/>
      <c r="AA15" s="942"/>
      <c r="AB15" s="942"/>
      <c r="AC15" s="942"/>
    </row>
    <row r="16" spans="1:31" ht="15" hidden="1" customHeight="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c r="T16" s="942"/>
      <c r="U16" s="942"/>
      <c r="V16" s="942"/>
      <c r="W16" s="942"/>
      <c r="X16" s="942"/>
      <c r="Y16" s="942"/>
      <c r="Z16" s="942"/>
      <c r="AA16" s="942"/>
      <c r="AB16" s="942"/>
      <c r="AC16" s="942"/>
    </row>
    <row r="17" spans="1:29" ht="15" hidden="1" customHeight="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c r="T17" s="942"/>
      <c r="U17" s="942"/>
      <c r="V17" s="942"/>
      <c r="W17" s="942"/>
      <c r="X17" s="942"/>
      <c r="Y17" s="942"/>
      <c r="Z17" s="942"/>
      <c r="AA17" s="942"/>
      <c r="AB17" s="942"/>
      <c r="AC17" s="942"/>
    </row>
    <row r="18" spans="1:29" ht="15" hidden="1" customHeight="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c r="T18" s="942"/>
      <c r="U18" s="942"/>
      <c r="V18" s="942"/>
      <c r="W18" s="942"/>
      <c r="X18" s="942"/>
      <c r="Y18" s="942"/>
      <c r="Z18" s="942"/>
      <c r="AA18" s="942"/>
      <c r="AB18" s="942"/>
      <c r="AC18" s="942"/>
    </row>
    <row r="19" spans="1:29" ht="15" hidden="1" customHeight="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c r="T19" s="942"/>
      <c r="U19" s="942"/>
      <c r="V19" s="942"/>
      <c r="W19" s="942"/>
      <c r="X19" s="942"/>
      <c r="Y19" s="942"/>
      <c r="Z19" s="942"/>
      <c r="AA19" s="942"/>
      <c r="AB19" s="942"/>
      <c r="AC19" s="942"/>
    </row>
    <row r="20" spans="1:29" ht="15" hidden="1" customHeight="1" x14ac:dyDescent="0.35">
      <c r="A20" s="1426"/>
      <c r="B20" s="1422" t="e">
        <f>#REF!</f>
        <v>#REF!</v>
      </c>
      <c r="C20" s="1427" t="s">
        <v>654</v>
      </c>
      <c r="D20" s="1423"/>
      <c r="E20" s="1423"/>
      <c r="F20" s="1423"/>
      <c r="G20" s="646"/>
      <c r="H20" s="942"/>
      <c r="I20" s="942"/>
      <c r="J20" s="942"/>
      <c r="K20" s="942"/>
      <c r="L20" s="942"/>
      <c r="M20" s="942"/>
      <c r="N20" s="942"/>
      <c r="O20" s="942"/>
      <c r="P20" s="942"/>
      <c r="Q20" s="942"/>
      <c r="R20" s="942"/>
      <c r="S20" s="942"/>
      <c r="T20" s="942"/>
      <c r="U20" s="942"/>
      <c r="V20" s="942"/>
      <c r="W20" s="942"/>
      <c r="X20" s="942"/>
      <c r="Y20" s="942"/>
      <c r="Z20" s="942"/>
      <c r="AA20" s="942"/>
      <c r="AB20" s="942"/>
      <c r="AC20" s="942"/>
    </row>
    <row r="21" spans="1:29" ht="15" hidden="1" customHeight="1" x14ac:dyDescent="0.35">
      <c r="A21" s="1426"/>
      <c r="B21" s="1422" t="e">
        <f>#REF!</f>
        <v>#REF!</v>
      </c>
      <c r="C21" s="1427" t="s">
        <v>654</v>
      </c>
      <c r="D21" s="1423"/>
      <c r="E21" s="1423"/>
      <c r="F21" s="1423"/>
      <c r="G21" s="646"/>
      <c r="H21" s="942"/>
      <c r="I21" s="942"/>
      <c r="J21" s="942"/>
      <c r="K21" s="942"/>
      <c r="L21" s="942"/>
      <c r="M21" s="942"/>
      <c r="N21" s="942"/>
      <c r="O21" s="942"/>
      <c r="P21" s="942"/>
      <c r="Q21" s="942"/>
      <c r="R21" s="942"/>
      <c r="S21" s="942"/>
      <c r="T21" s="942"/>
      <c r="U21" s="942"/>
      <c r="V21" s="942"/>
      <c r="W21" s="942"/>
      <c r="X21" s="942"/>
      <c r="Y21" s="942"/>
      <c r="Z21" s="942"/>
      <c r="AA21" s="942"/>
      <c r="AB21" s="942"/>
      <c r="AC21" s="942"/>
    </row>
    <row r="22" spans="1:29" ht="14.5" x14ac:dyDescent="0.35">
      <c r="A22" s="1426"/>
      <c r="B22" s="1422"/>
      <c r="C22" s="1427"/>
      <c r="D22" s="1423"/>
      <c r="E22" s="1423"/>
      <c r="F22" s="1423"/>
      <c r="G22" s="646"/>
      <c r="H22" s="943"/>
      <c r="I22" s="942"/>
      <c r="J22" s="943"/>
      <c r="K22" s="942"/>
      <c r="L22" s="943"/>
      <c r="M22" s="942"/>
      <c r="N22" s="943"/>
      <c r="O22" s="942"/>
      <c r="P22" s="943"/>
      <c r="Q22" s="942"/>
      <c r="R22" s="943"/>
      <c r="S22" s="942"/>
      <c r="T22" s="943"/>
      <c r="U22" s="942"/>
      <c r="V22" s="943"/>
      <c r="W22" s="942"/>
      <c r="X22" s="943"/>
      <c r="Y22" s="942"/>
      <c r="Z22" s="943"/>
      <c r="AA22" s="942"/>
      <c r="AB22" s="943"/>
      <c r="AC22" s="942"/>
    </row>
    <row r="23" spans="1:29" ht="14.5" x14ac:dyDescent="0.35">
      <c r="A23" s="48"/>
      <c r="B23" s="1428" t="s">
        <v>496</v>
      </c>
      <c r="C23" s="45"/>
      <c r="D23" s="46"/>
      <c r="E23" s="46"/>
      <c r="F23" s="46"/>
      <c r="G23" s="646"/>
      <c r="H23" s="943"/>
      <c r="I23" s="1629"/>
      <c r="J23" s="943"/>
      <c r="K23" s="1629"/>
      <c r="L23" s="943"/>
      <c r="M23" s="1629"/>
      <c r="N23" s="943"/>
      <c r="O23" s="1629"/>
      <c r="P23" s="943"/>
      <c r="Q23" s="1629"/>
      <c r="R23" s="943"/>
      <c r="S23" s="1629"/>
      <c r="T23" s="943"/>
      <c r="U23" s="1629"/>
      <c r="V23" s="943"/>
      <c r="W23" s="1629"/>
      <c r="X23" s="943"/>
      <c r="Y23" s="1629"/>
      <c r="Z23" s="943"/>
      <c r="AA23" s="1629"/>
      <c r="AB23" s="943"/>
      <c r="AC23" s="1629"/>
    </row>
    <row r="24" spans="1:29" ht="14.5" x14ac:dyDescent="0.35">
      <c r="A24" s="1538"/>
      <c r="B24" s="605" t="s">
        <v>657</v>
      </c>
      <c r="C24" s="1427"/>
      <c r="D24" s="1423"/>
      <c r="E24" s="1423"/>
      <c r="F24" s="1423"/>
      <c r="G24" s="646"/>
      <c r="H24" s="943"/>
      <c r="I24" s="1536"/>
      <c r="J24" s="943"/>
      <c r="K24" s="1536"/>
      <c r="L24" s="943"/>
      <c r="M24" s="1536"/>
      <c r="N24" s="943"/>
      <c r="O24" s="1536"/>
      <c r="P24" s="943"/>
      <c r="Q24" s="1629"/>
      <c r="R24" s="943"/>
      <c r="S24" s="1629"/>
      <c r="T24" s="943"/>
      <c r="U24" s="1629"/>
      <c r="V24" s="943"/>
      <c r="W24" s="1629"/>
      <c r="X24" s="943"/>
      <c r="Y24" s="1629"/>
      <c r="Z24" s="943"/>
      <c r="AA24" s="1629"/>
      <c r="AB24" s="943"/>
      <c r="AC24" s="1629"/>
    </row>
    <row r="25" spans="1:29" ht="14.5" x14ac:dyDescent="0.35">
      <c r="A25" s="1538"/>
      <c r="B25" s="603" t="s">
        <v>658</v>
      </c>
      <c r="C25" s="646"/>
      <c r="D25" s="1423"/>
      <c r="E25" s="1423"/>
      <c r="F25" s="1423"/>
      <c r="G25" s="646"/>
      <c r="H25" s="943" t="s">
        <v>669</v>
      </c>
      <c r="I25" s="1536"/>
      <c r="J25" s="943" t="s">
        <v>669</v>
      </c>
      <c r="K25" s="1536"/>
      <c r="L25" s="943" t="s">
        <v>669</v>
      </c>
      <c r="M25" s="1536"/>
      <c r="N25" s="943" t="s">
        <v>669</v>
      </c>
      <c r="O25" s="1536"/>
      <c r="P25" s="943" t="s">
        <v>669</v>
      </c>
      <c r="Q25" s="1629"/>
      <c r="R25" s="943"/>
      <c r="S25" s="1629"/>
      <c r="T25" s="943"/>
      <c r="U25" s="1629"/>
      <c r="V25" s="943" t="s">
        <v>669</v>
      </c>
      <c r="W25" s="1629"/>
      <c r="X25" s="943" t="s">
        <v>669</v>
      </c>
      <c r="Y25" s="1629"/>
      <c r="Z25" s="943" t="s">
        <v>669</v>
      </c>
      <c r="AA25" s="1629"/>
      <c r="AB25" s="943" t="s">
        <v>669</v>
      </c>
      <c r="AC25" s="1629"/>
    </row>
    <row r="26" spans="1:29" ht="14.5" x14ac:dyDescent="0.35">
      <c r="A26" s="1538"/>
      <c r="B26" s="1630" t="s">
        <v>659</v>
      </c>
      <c r="C26" s="646"/>
      <c r="D26" s="1631"/>
      <c r="E26" s="1423"/>
      <c r="F26" s="1423"/>
      <c r="G26" s="646"/>
      <c r="H26" s="943" t="s">
        <v>669</v>
      </c>
      <c r="I26" s="1536"/>
      <c r="J26" s="943" t="s">
        <v>669</v>
      </c>
      <c r="K26" s="1536"/>
      <c r="L26" s="943" t="s">
        <v>669</v>
      </c>
      <c r="M26" s="1536"/>
      <c r="N26" s="943" t="s">
        <v>669</v>
      </c>
      <c r="O26" s="1632"/>
      <c r="P26" s="943" t="s">
        <v>669</v>
      </c>
      <c r="Q26" s="1629"/>
      <c r="R26" s="943"/>
      <c r="S26" s="1629"/>
      <c r="T26" s="943"/>
      <c r="U26" s="1629"/>
      <c r="V26" s="943" t="s">
        <v>669</v>
      </c>
      <c r="W26" s="1629"/>
      <c r="X26" s="943" t="s">
        <v>669</v>
      </c>
      <c r="Y26" s="1629"/>
      <c r="Z26" s="943" t="s">
        <v>669</v>
      </c>
      <c r="AA26" s="1629"/>
      <c r="AB26" s="943" t="s">
        <v>669</v>
      </c>
      <c r="AC26" s="1629"/>
    </row>
    <row r="27" spans="1:29" ht="14.5" x14ac:dyDescent="0.35">
      <c r="A27" s="1538"/>
      <c r="B27" s="1497" t="s">
        <v>660</v>
      </c>
      <c r="C27" s="646"/>
      <c r="D27" s="1631"/>
      <c r="E27" s="1423"/>
      <c r="F27" s="1423"/>
      <c r="G27" s="646"/>
      <c r="H27" s="943" t="s">
        <v>671</v>
      </c>
      <c r="I27" s="1629" t="s">
        <v>1891</v>
      </c>
      <c r="J27" s="943" t="s">
        <v>671</v>
      </c>
      <c r="K27" s="1536"/>
      <c r="L27" s="943" t="s">
        <v>671</v>
      </c>
      <c r="M27" s="1536"/>
      <c r="N27" s="943" t="s">
        <v>671</v>
      </c>
      <c r="O27" s="1632"/>
      <c r="P27" s="943" t="s">
        <v>671</v>
      </c>
      <c r="Q27" s="1629"/>
      <c r="R27" s="943"/>
      <c r="S27" s="1629"/>
      <c r="T27" s="943"/>
      <c r="U27" s="1629"/>
      <c r="V27" s="943" t="s">
        <v>671</v>
      </c>
      <c r="W27" s="1629" t="s">
        <v>1892</v>
      </c>
      <c r="X27" s="943" t="s">
        <v>671</v>
      </c>
      <c r="Y27" s="1629" t="s">
        <v>1892</v>
      </c>
      <c r="Z27" s="943" t="s">
        <v>671</v>
      </c>
      <c r="AA27" s="1629"/>
      <c r="AB27" s="943" t="s">
        <v>671</v>
      </c>
      <c r="AC27" s="1629"/>
    </row>
    <row r="28" spans="1:29" ht="14.5" x14ac:dyDescent="0.35">
      <c r="A28" s="1538"/>
      <c r="B28" s="1497" t="s">
        <v>661</v>
      </c>
      <c r="C28" s="646"/>
      <c r="D28" s="1631"/>
      <c r="E28" s="1423"/>
      <c r="F28" s="1423"/>
      <c r="G28" s="646"/>
      <c r="H28" s="943" t="s">
        <v>669</v>
      </c>
      <c r="I28" s="1536"/>
      <c r="J28" s="943" t="s">
        <v>669</v>
      </c>
      <c r="K28" s="1536"/>
      <c r="L28" s="943" t="s">
        <v>669</v>
      </c>
      <c r="M28" s="1536"/>
      <c r="N28" s="943" t="s">
        <v>669</v>
      </c>
      <c r="O28" s="1632"/>
      <c r="P28" s="943" t="s">
        <v>669</v>
      </c>
      <c r="Q28" s="1629"/>
      <c r="R28" s="943"/>
      <c r="S28" s="1629"/>
      <c r="T28" s="943"/>
      <c r="U28" s="1629"/>
      <c r="V28" s="943" t="s">
        <v>669</v>
      </c>
      <c r="W28" s="1629"/>
      <c r="X28" s="943" t="s">
        <v>669</v>
      </c>
      <c r="Y28" s="1629"/>
      <c r="Z28" s="943" t="s">
        <v>669</v>
      </c>
      <c r="AA28" s="1629"/>
      <c r="AB28" s="943" t="s">
        <v>669</v>
      </c>
      <c r="AC28" s="1629"/>
    </row>
    <row r="29" spans="1:29" ht="14.5" x14ac:dyDescent="0.35">
      <c r="A29" s="1538"/>
      <c r="B29" s="1497" t="s">
        <v>662</v>
      </c>
      <c r="C29" s="646"/>
      <c r="D29" s="1631"/>
      <c r="E29" s="1423"/>
      <c r="F29" s="1423"/>
      <c r="G29" s="646"/>
      <c r="H29" s="943" t="s">
        <v>669</v>
      </c>
      <c r="I29" s="1536"/>
      <c r="J29" s="943" t="s">
        <v>669</v>
      </c>
      <c r="K29" s="1536"/>
      <c r="L29" s="943" t="s">
        <v>669</v>
      </c>
      <c r="M29" s="1536"/>
      <c r="N29" s="943" t="s">
        <v>669</v>
      </c>
      <c r="O29" s="1632"/>
      <c r="P29" s="943" t="s">
        <v>669</v>
      </c>
      <c r="Q29" s="1629"/>
      <c r="R29" s="943"/>
      <c r="S29" s="1629"/>
      <c r="T29" s="943"/>
      <c r="U29" s="1629"/>
      <c r="V29" s="943" t="s">
        <v>669</v>
      </c>
      <c r="W29" s="1629"/>
      <c r="X29" s="943" t="s">
        <v>669</v>
      </c>
      <c r="Y29" s="1629"/>
      <c r="Z29" s="943" t="s">
        <v>669</v>
      </c>
      <c r="AA29" s="1629"/>
      <c r="AB29" s="943" t="s">
        <v>669</v>
      </c>
      <c r="AC29" s="1629"/>
    </row>
    <row r="30" spans="1:29" ht="14.5" x14ac:dyDescent="0.35">
      <c r="A30" s="1538"/>
      <c r="B30" s="1497" t="s">
        <v>663</v>
      </c>
      <c r="C30" s="646"/>
      <c r="D30" s="1423"/>
      <c r="E30" s="1423"/>
      <c r="F30" s="1423"/>
      <c r="G30" s="646"/>
      <c r="H30" s="943" t="s">
        <v>669</v>
      </c>
      <c r="I30" s="1536"/>
      <c r="J30" s="943" t="s">
        <v>669</v>
      </c>
      <c r="K30" s="1536"/>
      <c r="L30" s="943" t="s">
        <v>669</v>
      </c>
      <c r="M30" s="1536"/>
      <c r="N30" s="943" t="s">
        <v>669</v>
      </c>
      <c r="O30" s="1632"/>
      <c r="P30" s="943" t="s">
        <v>669</v>
      </c>
      <c r="Q30" s="1629"/>
      <c r="R30" s="943"/>
      <c r="S30" s="1629"/>
      <c r="T30" s="943"/>
      <c r="U30" s="1629"/>
      <c r="V30" s="943" t="s">
        <v>669</v>
      </c>
      <c r="W30" s="1629"/>
      <c r="X30" s="943" t="s">
        <v>669</v>
      </c>
      <c r="Y30" s="1629"/>
      <c r="Z30" s="943" t="s">
        <v>669</v>
      </c>
      <c r="AA30" s="1629"/>
      <c r="AB30" s="943" t="s">
        <v>669</v>
      </c>
      <c r="AC30" s="1629"/>
    </row>
    <row r="31" spans="1:29" ht="14.5" x14ac:dyDescent="0.35">
      <c r="A31" s="1538"/>
      <c r="B31" s="1497" t="s">
        <v>789</v>
      </c>
      <c r="C31" s="646"/>
      <c r="D31" s="1423"/>
      <c r="E31" s="1423"/>
      <c r="F31" s="1423"/>
      <c r="G31" s="646"/>
      <c r="H31" s="943" t="s">
        <v>669</v>
      </c>
      <c r="I31" s="1632" t="s">
        <v>1099</v>
      </c>
      <c r="J31" s="943" t="s">
        <v>671</v>
      </c>
      <c r="K31" s="1632" t="s">
        <v>1008</v>
      </c>
      <c r="L31" s="943" t="s">
        <v>671</v>
      </c>
      <c r="M31" s="1632" t="s">
        <v>1008</v>
      </c>
      <c r="N31" s="943" t="s">
        <v>671</v>
      </c>
      <c r="O31" s="1632" t="s">
        <v>1008</v>
      </c>
      <c r="P31" s="943" t="s">
        <v>671</v>
      </c>
      <c r="Q31" s="1632" t="s">
        <v>1733</v>
      </c>
      <c r="R31" s="943"/>
      <c r="S31" s="1629"/>
      <c r="T31" s="943"/>
      <c r="U31" s="1629"/>
      <c r="V31" s="943" t="s">
        <v>671</v>
      </c>
      <c r="W31" s="1629"/>
      <c r="X31" s="943" t="s">
        <v>671</v>
      </c>
      <c r="Y31" s="1629"/>
      <c r="Z31" s="943" t="s">
        <v>671</v>
      </c>
      <c r="AA31" s="1629"/>
      <c r="AB31" s="943" t="s">
        <v>671</v>
      </c>
      <c r="AC31" s="1629"/>
    </row>
    <row r="32" spans="1:29" ht="14.5" x14ac:dyDescent="0.35">
      <c r="A32" s="1538"/>
      <c r="B32" s="1497" t="s">
        <v>790</v>
      </c>
      <c r="C32" s="646"/>
      <c r="D32" s="1423"/>
      <c r="E32" s="1423"/>
      <c r="F32" s="1423"/>
      <c r="G32" s="646"/>
      <c r="H32" s="943" t="s">
        <v>669</v>
      </c>
      <c r="I32" s="1632" t="s">
        <v>1582</v>
      </c>
      <c r="J32" s="943" t="s">
        <v>671</v>
      </c>
      <c r="K32" s="1632" t="s">
        <v>968</v>
      </c>
      <c r="L32" s="943" t="s">
        <v>671</v>
      </c>
      <c r="M32" s="1632" t="s">
        <v>968</v>
      </c>
      <c r="N32" s="943" t="s">
        <v>671</v>
      </c>
      <c r="O32" s="1632" t="s">
        <v>968</v>
      </c>
      <c r="P32" s="943" t="s">
        <v>671</v>
      </c>
      <c r="Q32" s="1629"/>
      <c r="R32" s="943"/>
      <c r="S32" s="1629"/>
      <c r="T32" s="943"/>
      <c r="U32" s="1629"/>
      <c r="V32" s="943" t="s">
        <v>671</v>
      </c>
      <c r="W32" s="1629"/>
      <c r="X32" s="943" t="s">
        <v>671</v>
      </c>
      <c r="Y32" s="1629"/>
      <c r="Z32" s="943" t="s">
        <v>671</v>
      </c>
      <c r="AA32" s="1629"/>
      <c r="AB32" s="943" t="s">
        <v>671</v>
      </c>
      <c r="AC32" s="1629"/>
    </row>
    <row r="33" spans="1:29" ht="14.5" x14ac:dyDescent="0.35">
      <c r="A33" s="1538"/>
      <c r="B33" s="1497" t="s">
        <v>791</v>
      </c>
      <c r="C33" s="646"/>
      <c r="D33" s="1423"/>
      <c r="E33" s="1423"/>
      <c r="F33" s="1423"/>
      <c r="G33" s="646"/>
      <c r="H33" s="943" t="s">
        <v>669</v>
      </c>
      <c r="I33" s="1632" t="s">
        <v>1893</v>
      </c>
      <c r="J33" s="943" t="s">
        <v>671</v>
      </c>
      <c r="K33" s="1632"/>
      <c r="L33" s="943" t="s">
        <v>671</v>
      </c>
      <c r="M33" s="1632"/>
      <c r="N33" s="943" t="s">
        <v>671</v>
      </c>
      <c r="O33" s="1632"/>
      <c r="P33" s="943" t="s">
        <v>671</v>
      </c>
      <c r="Q33" s="1629" t="s">
        <v>1894</v>
      </c>
      <c r="R33" s="943"/>
      <c r="S33" s="1629"/>
      <c r="T33" s="943"/>
      <c r="U33" s="1629"/>
      <c r="V33" s="943" t="s">
        <v>671</v>
      </c>
      <c r="W33" s="1629"/>
      <c r="X33" s="943" t="s">
        <v>671</v>
      </c>
      <c r="Y33" s="1629"/>
      <c r="Z33" s="943" t="s">
        <v>671</v>
      </c>
      <c r="AA33" s="1629"/>
      <c r="AB33" s="943" t="s">
        <v>671</v>
      </c>
      <c r="AC33" s="1629"/>
    </row>
    <row r="34" spans="1:29" ht="17.25" customHeight="1" x14ac:dyDescent="0.35">
      <c r="A34" s="1538"/>
      <c r="B34" s="1633" t="s">
        <v>664</v>
      </c>
      <c r="C34" s="646"/>
      <c r="D34" s="1423"/>
      <c r="E34" s="1423"/>
      <c r="F34" s="1423"/>
      <c r="G34" s="646"/>
      <c r="H34" s="943"/>
      <c r="I34" s="1536"/>
      <c r="J34" s="943"/>
      <c r="K34" s="1536"/>
      <c r="L34" s="943"/>
      <c r="M34" s="1536"/>
      <c r="N34" s="943"/>
      <c r="O34" s="1632"/>
      <c r="P34" s="943"/>
      <c r="Q34" s="1629"/>
      <c r="R34" s="943"/>
      <c r="S34" s="1629"/>
      <c r="T34" s="943"/>
      <c r="U34" s="1629"/>
      <c r="V34" s="943"/>
      <c r="W34" s="1629"/>
      <c r="X34" s="943"/>
      <c r="Y34" s="1629"/>
      <c r="Z34" s="943"/>
      <c r="AA34" s="1629"/>
      <c r="AB34" s="943"/>
      <c r="AC34" s="1629"/>
    </row>
    <row r="35" spans="1:29" ht="17.25" customHeight="1" x14ac:dyDescent="0.35">
      <c r="A35" s="1538"/>
      <c r="B35" s="1634" t="s">
        <v>665</v>
      </c>
      <c r="C35" s="952"/>
      <c r="D35" s="1431"/>
      <c r="E35" s="1431"/>
      <c r="F35" s="1501"/>
      <c r="G35" s="651"/>
      <c r="H35" s="636"/>
      <c r="I35" s="1635">
        <f>2923791-52524-118738-148659-4469</f>
        <v>2599401</v>
      </c>
      <c r="J35" s="636"/>
      <c r="K35" s="1635"/>
      <c r="L35" s="636"/>
      <c r="M35" s="1635"/>
      <c r="N35" s="636"/>
      <c r="O35" s="1636"/>
      <c r="P35" s="636"/>
      <c r="Q35" s="1637"/>
      <c r="R35" s="636"/>
      <c r="S35" s="1637"/>
      <c r="T35" s="636"/>
      <c r="U35" s="1637"/>
      <c r="V35" s="636"/>
      <c r="W35" s="1638">
        <f>2361874.62-42045+180147+19600</f>
        <v>2519576.62</v>
      </c>
      <c r="X35" s="636"/>
      <c r="Y35" s="1638">
        <f>2361874.62-42045+180147+19600</f>
        <v>2519576.62</v>
      </c>
      <c r="Z35" s="636"/>
      <c r="AA35" s="1638">
        <v>2485480.56</v>
      </c>
      <c r="AB35" s="636"/>
      <c r="AC35" s="1638">
        <v>3600000</v>
      </c>
    </row>
    <row r="36" spans="1:29" ht="17.25" customHeight="1" x14ac:dyDescent="0.35">
      <c r="A36" s="1639"/>
      <c r="B36" s="1640" t="s">
        <v>874</v>
      </c>
      <c r="C36" s="1641"/>
      <c r="D36" s="1423"/>
      <c r="E36" s="1423"/>
      <c r="F36" s="1642"/>
      <c r="G36" s="1643"/>
      <c r="H36" s="943"/>
      <c r="I36" s="1533"/>
      <c r="J36" s="943"/>
      <c r="K36" s="1533"/>
      <c r="L36" s="943"/>
      <c r="M36" s="1533"/>
      <c r="N36" s="943"/>
      <c r="O36" s="1632"/>
      <c r="P36" s="943"/>
      <c r="Q36" s="1629"/>
      <c r="R36" s="943"/>
      <c r="S36" s="1629"/>
      <c r="T36" s="943"/>
      <c r="U36" s="1629"/>
      <c r="V36" s="943"/>
      <c r="W36" s="1629"/>
      <c r="X36" s="943"/>
      <c r="Y36" s="1629"/>
      <c r="Z36" s="943"/>
      <c r="AA36" s="1629"/>
      <c r="AB36" s="943"/>
      <c r="AC36" s="1629"/>
    </row>
    <row r="37" spans="1:29" ht="17.25" customHeight="1" x14ac:dyDescent="0.35">
      <c r="A37" s="1639"/>
      <c r="B37" s="1644"/>
      <c r="C37" s="1641"/>
      <c r="D37" s="1423"/>
      <c r="E37" s="1423"/>
      <c r="F37" s="1642"/>
      <c r="G37" s="1643"/>
      <c r="H37" s="943"/>
      <c r="I37" s="1533"/>
      <c r="J37" s="943"/>
      <c r="K37" s="1533"/>
      <c r="L37" s="943"/>
      <c r="M37" s="1533"/>
      <c r="N37" s="943"/>
      <c r="O37" s="1645"/>
      <c r="P37" s="943"/>
      <c r="Q37" s="1629"/>
      <c r="R37" s="943"/>
      <c r="S37" s="1629"/>
      <c r="T37" s="943"/>
      <c r="U37" s="1629"/>
      <c r="V37" s="943"/>
      <c r="W37" s="1629"/>
      <c r="X37" s="943"/>
      <c r="Y37" s="1629"/>
      <c r="Z37" s="943"/>
      <c r="AA37" s="1629"/>
      <c r="AB37" s="943"/>
      <c r="AC37" s="1629"/>
    </row>
    <row r="38" spans="1:29" ht="17.25" customHeight="1" x14ac:dyDescent="0.35">
      <c r="A38" s="1639"/>
      <c r="B38" s="1646" t="s">
        <v>1895</v>
      </c>
      <c r="C38" s="1641"/>
      <c r="D38" s="1423"/>
      <c r="E38" s="1423"/>
      <c r="F38" s="1642"/>
      <c r="G38" s="1643"/>
      <c r="H38" s="943" t="s">
        <v>669</v>
      </c>
      <c r="I38" s="1533"/>
      <c r="J38" s="943" t="s">
        <v>669</v>
      </c>
      <c r="K38" s="1533">
        <f>248630+79610+721860+137275</f>
        <v>1187375</v>
      </c>
      <c r="L38" s="943" t="s">
        <v>669</v>
      </c>
      <c r="M38" s="1533">
        <f>352825+79355+740330+138175</f>
        <v>1310685</v>
      </c>
      <c r="N38" s="943" t="s">
        <v>669</v>
      </c>
      <c r="O38" s="1533">
        <f>626400+273275</f>
        <v>899675</v>
      </c>
      <c r="P38" s="943" t="s">
        <v>669</v>
      </c>
      <c r="Q38" s="1533">
        <f>699592.72+68288.66+137697.6+1672387.74</f>
        <v>2577966.7199999997</v>
      </c>
      <c r="R38" s="943"/>
      <c r="S38" s="1629"/>
      <c r="T38" s="943"/>
      <c r="U38" s="1629"/>
      <c r="V38" s="943" t="s">
        <v>669</v>
      </c>
      <c r="W38" s="1533"/>
      <c r="X38" s="943" t="s">
        <v>669</v>
      </c>
      <c r="Y38" s="1533"/>
      <c r="Z38" s="943" t="s">
        <v>669</v>
      </c>
      <c r="AA38" s="1629"/>
      <c r="AB38" s="943" t="s">
        <v>669</v>
      </c>
      <c r="AC38" s="1629"/>
    </row>
    <row r="39" spans="1:29" ht="43.5" x14ac:dyDescent="0.35">
      <c r="A39" s="1647" t="s">
        <v>1896</v>
      </c>
      <c r="B39" s="1644" t="s">
        <v>1897</v>
      </c>
      <c r="C39" s="1641" t="s">
        <v>1898</v>
      </c>
      <c r="D39" s="1423">
        <v>432</v>
      </c>
      <c r="E39" s="1423" t="s">
        <v>666</v>
      </c>
      <c r="F39" s="1642">
        <v>760</v>
      </c>
      <c r="G39" s="1643">
        <f>F39*D39</f>
        <v>328320</v>
      </c>
      <c r="H39" s="943" t="s">
        <v>669</v>
      </c>
      <c r="I39" s="1648"/>
      <c r="J39" s="943" t="s">
        <v>669</v>
      </c>
      <c r="K39" s="1649" t="s">
        <v>1899</v>
      </c>
      <c r="L39" s="943" t="s">
        <v>669</v>
      </c>
      <c r="M39" s="1649" t="s">
        <v>1899</v>
      </c>
      <c r="N39" s="943" t="s">
        <v>669</v>
      </c>
      <c r="O39" s="1533" t="s">
        <v>1900</v>
      </c>
      <c r="P39" s="943" t="s">
        <v>669</v>
      </c>
      <c r="Q39" s="1629"/>
      <c r="R39" s="943"/>
      <c r="S39" s="1629"/>
      <c r="T39" s="943"/>
      <c r="U39" s="1629"/>
      <c r="V39" s="943" t="s">
        <v>669</v>
      </c>
      <c r="W39" s="1649" t="s">
        <v>1901</v>
      </c>
      <c r="X39" s="943" t="s">
        <v>669</v>
      </c>
      <c r="Y39" s="1649" t="s">
        <v>1901</v>
      </c>
      <c r="Z39" s="943" t="s">
        <v>669</v>
      </c>
      <c r="AA39" s="1650" t="s">
        <v>1902</v>
      </c>
      <c r="AB39" s="943" t="s">
        <v>669</v>
      </c>
      <c r="AC39" s="1649" t="s">
        <v>1903</v>
      </c>
    </row>
    <row r="40" spans="1:29" ht="17.25" customHeight="1" x14ac:dyDescent="0.35">
      <c r="A40" s="1647" t="s">
        <v>1904</v>
      </c>
      <c r="B40" s="1644" t="s">
        <v>1905</v>
      </c>
      <c r="C40" s="1641" t="s">
        <v>1898</v>
      </c>
      <c r="D40" s="1423">
        <v>432</v>
      </c>
      <c r="E40" s="1423" t="s">
        <v>666</v>
      </c>
      <c r="F40" s="1642"/>
      <c r="G40" s="1643"/>
      <c r="H40" s="943" t="s">
        <v>669</v>
      </c>
      <c r="I40" s="1533"/>
      <c r="J40" s="943" t="s">
        <v>669</v>
      </c>
      <c r="K40" s="1533"/>
      <c r="L40" s="943" t="s">
        <v>669</v>
      </c>
      <c r="M40" s="1533"/>
      <c r="N40" s="943" t="s">
        <v>669</v>
      </c>
      <c r="O40" s="1632"/>
      <c r="P40" s="943" t="s">
        <v>669</v>
      </c>
      <c r="Q40" s="1629"/>
      <c r="R40" s="943"/>
      <c r="S40" s="1629"/>
      <c r="T40" s="943"/>
      <c r="U40" s="1629"/>
      <c r="V40" s="943" t="s">
        <v>669</v>
      </c>
      <c r="W40" s="1649" t="s">
        <v>1906</v>
      </c>
      <c r="X40" s="943" t="s">
        <v>669</v>
      </c>
      <c r="Y40" s="1649" t="s">
        <v>1906</v>
      </c>
      <c r="Z40" s="943" t="s">
        <v>669</v>
      </c>
      <c r="AA40" s="1629" t="s">
        <v>1907</v>
      </c>
      <c r="AB40" s="943" t="s">
        <v>669</v>
      </c>
      <c r="AC40" s="1629" t="s">
        <v>1908</v>
      </c>
    </row>
    <row r="41" spans="1:29" ht="17.25" customHeight="1" x14ac:dyDescent="0.35">
      <c r="A41" s="1647" t="s">
        <v>1909</v>
      </c>
      <c r="B41" s="1644" t="s">
        <v>1910</v>
      </c>
      <c r="C41" s="1641" t="s">
        <v>1898</v>
      </c>
      <c r="D41" s="1423">
        <f>'AREA CALC''s'!H134</f>
        <v>672</v>
      </c>
      <c r="E41" s="1423" t="s">
        <v>666</v>
      </c>
      <c r="F41" s="1642"/>
      <c r="G41" s="1643"/>
      <c r="H41" s="943" t="s">
        <v>669</v>
      </c>
      <c r="I41" s="1533"/>
      <c r="J41" s="943" t="s">
        <v>669</v>
      </c>
      <c r="K41" s="1651" t="s">
        <v>1911</v>
      </c>
      <c r="L41" s="943" t="s">
        <v>669</v>
      </c>
      <c r="M41" s="1629" t="s">
        <v>1908</v>
      </c>
      <c r="N41" s="943" t="s">
        <v>669</v>
      </c>
      <c r="O41" s="1632"/>
      <c r="P41" s="943" t="s">
        <v>669</v>
      </c>
      <c r="Q41" s="1629"/>
      <c r="R41" s="943"/>
      <c r="S41" s="1629"/>
      <c r="T41" s="943"/>
      <c r="U41" s="1629"/>
      <c r="V41" s="943" t="s">
        <v>669</v>
      </c>
      <c r="W41" s="1629" t="s">
        <v>1908</v>
      </c>
      <c r="X41" s="943" t="s">
        <v>669</v>
      </c>
      <c r="Y41" s="1629" t="s">
        <v>1908</v>
      </c>
      <c r="Z41" s="943" t="s">
        <v>669</v>
      </c>
      <c r="AA41" s="1629" t="s">
        <v>1907</v>
      </c>
      <c r="AB41" s="943" t="s">
        <v>669</v>
      </c>
      <c r="AC41" s="1651" t="s">
        <v>1911</v>
      </c>
    </row>
    <row r="42" spans="1:29" ht="17.25" customHeight="1" x14ac:dyDescent="0.35">
      <c r="A42" s="1647" t="s">
        <v>1912</v>
      </c>
      <c r="B42" s="1644" t="s">
        <v>1913</v>
      </c>
      <c r="C42" s="1641" t="s">
        <v>1898</v>
      </c>
      <c r="D42" s="1423">
        <f>'AREA CALC''s'!N134</f>
        <v>9</v>
      </c>
      <c r="E42" s="1423" t="s">
        <v>666</v>
      </c>
      <c r="F42" s="1642"/>
      <c r="G42" s="1643"/>
      <c r="H42" s="943" t="s">
        <v>669</v>
      </c>
      <c r="I42" s="1533"/>
      <c r="J42" s="943" t="s">
        <v>669</v>
      </c>
      <c r="K42" s="1629" t="s">
        <v>1908</v>
      </c>
      <c r="L42" s="943" t="s">
        <v>669</v>
      </c>
      <c r="M42" s="1629" t="s">
        <v>1908</v>
      </c>
      <c r="N42" s="943" t="s">
        <v>669</v>
      </c>
      <c r="O42" s="1632"/>
      <c r="P42" s="943" t="s">
        <v>669</v>
      </c>
      <c r="Q42" s="1629"/>
      <c r="R42" s="943"/>
      <c r="S42" s="1629"/>
      <c r="T42" s="943"/>
      <c r="U42" s="1629"/>
      <c r="V42" s="943" t="s">
        <v>669</v>
      </c>
      <c r="W42" s="1629" t="s">
        <v>1908</v>
      </c>
      <c r="X42" s="943" t="s">
        <v>669</v>
      </c>
      <c r="Y42" s="1629" t="s">
        <v>1908</v>
      </c>
      <c r="Z42" s="943" t="s">
        <v>669</v>
      </c>
      <c r="AA42" s="1629" t="s">
        <v>1907</v>
      </c>
      <c r="AB42" s="943" t="s">
        <v>669</v>
      </c>
      <c r="AC42" s="1629" t="s">
        <v>1908</v>
      </c>
    </row>
    <row r="43" spans="1:29" ht="17.25" customHeight="1" x14ac:dyDescent="0.35">
      <c r="A43" s="1647" t="s">
        <v>1914</v>
      </c>
      <c r="B43" s="1644" t="s">
        <v>1915</v>
      </c>
      <c r="C43" s="1641" t="s">
        <v>1898</v>
      </c>
      <c r="D43" s="1423">
        <f>'AREA CALC''s'!F134</f>
        <v>28</v>
      </c>
      <c r="E43" s="1423" t="s">
        <v>666</v>
      </c>
      <c r="F43" s="1642"/>
      <c r="G43" s="1643"/>
      <c r="H43" s="943" t="s">
        <v>669</v>
      </c>
      <c r="I43" s="1533"/>
      <c r="J43" s="943" t="s">
        <v>669</v>
      </c>
      <c r="K43" s="1629" t="s">
        <v>1908</v>
      </c>
      <c r="L43" s="943" t="s">
        <v>669</v>
      </c>
      <c r="M43" s="1629" t="s">
        <v>1908</v>
      </c>
      <c r="N43" s="943" t="s">
        <v>669</v>
      </c>
      <c r="O43" s="1632"/>
      <c r="P43" s="943" t="s">
        <v>669</v>
      </c>
      <c r="Q43" s="1629"/>
      <c r="R43" s="943"/>
      <c r="S43" s="1629"/>
      <c r="T43" s="943"/>
      <c r="U43" s="1629"/>
      <c r="V43" s="943" t="s">
        <v>669</v>
      </c>
      <c r="W43" s="1629" t="s">
        <v>1908</v>
      </c>
      <c r="X43" s="943" t="s">
        <v>669</v>
      </c>
      <c r="Y43" s="1629" t="s">
        <v>1908</v>
      </c>
      <c r="Z43" s="943" t="s">
        <v>669</v>
      </c>
      <c r="AA43" s="1629" t="s">
        <v>1907</v>
      </c>
      <c r="AB43" s="943" t="s">
        <v>669</v>
      </c>
      <c r="AC43" s="1629" t="s">
        <v>1908</v>
      </c>
    </row>
    <row r="44" spans="1:29" ht="17.25" customHeight="1" x14ac:dyDescent="0.35">
      <c r="A44" s="1647" t="s">
        <v>1916</v>
      </c>
      <c r="B44" s="1644" t="s">
        <v>1917</v>
      </c>
      <c r="C44" s="1641" t="s">
        <v>1898</v>
      </c>
      <c r="D44" s="1423">
        <f>'AREA CALC''s'!I134</f>
        <v>766</v>
      </c>
      <c r="E44" s="1423" t="s">
        <v>666</v>
      </c>
      <c r="F44" s="1642"/>
      <c r="G44" s="1643"/>
      <c r="H44" s="943" t="s">
        <v>669</v>
      </c>
      <c r="I44" s="1533"/>
      <c r="J44" s="943" t="s">
        <v>669</v>
      </c>
      <c r="K44" s="1651" t="s">
        <v>1911</v>
      </c>
      <c r="L44" s="943" t="s">
        <v>669</v>
      </c>
      <c r="M44" s="1629" t="s">
        <v>1908</v>
      </c>
      <c r="N44" s="943" t="s">
        <v>669</v>
      </c>
      <c r="O44" s="1632"/>
      <c r="P44" s="943" t="s">
        <v>669</v>
      </c>
      <c r="Q44" s="1629"/>
      <c r="R44" s="943"/>
      <c r="S44" s="1629"/>
      <c r="T44" s="943"/>
      <c r="U44" s="1629"/>
      <c r="V44" s="943" t="s">
        <v>669</v>
      </c>
      <c r="W44" s="1629" t="s">
        <v>1908</v>
      </c>
      <c r="X44" s="943" t="s">
        <v>669</v>
      </c>
      <c r="Y44" s="1629" t="s">
        <v>1908</v>
      </c>
      <c r="Z44" s="943" t="s">
        <v>669</v>
      </c>
      <c r="AA44" s="1629" t="s">
        <v>1907</v>
      </c>
      <c r="AB44" s="943" t="s">
        <v>669</v>
      </c>
      <c r="AC44" s="1651" t="s">
        <v>1911</v>
      </c>
    </row>
    <row r="45" spans="1:29" ht="17.25" customHeight="1" x14ac:dyDescent="0.35">
      <c r="A45" s="1647" t="s">
        <v>1918</v>
      </c>
      <c r="B45" s="1644" t="s">
        <v>1919</v>
      </c>
      <c r="C45" s="1641" t="s">
        <v>1898</v>
      </c>
      <c r="D45" s="1423">
        <f>'AREA CALC''s'!J134</f>
        <v>623</v>
      </c>
      <c r="E45" s="1423" t="s">
        <v>666</v>
      </c>
      <c r="F45" s="1642"/>
      <c r="G45" s="1643"/>
      <c r="H45" s="943" t="s">
        <v>669</v>
      </c>
      <c r="I45" s="1533"/>
      <c r="J45" s="943" t="s">
        <v>669</v>
      </c>
      <c r="K45" s="1629" t="s">
        <v>1911</v>
      </c>
      <c r="L45" s="943" t="s">
        <v>669</v>
      </c>
      <c r="M45" s="1629" t="s">
        <v>1911</v>
      </c>
      <c r="N45" s="943" t="s">
        <v>669</v>
      </c>
      <c r="O45" s="1632"/>
      <c r="P45" s="943" t="s">
        <v>669</v>
      </c>
      <c r="Q45" s="1629"/>
      <c r="R45" s="943"/>
      <c r="S45" s="1629"/>
      <c r="T45" s="943"/>
      <c r="U45" s="1629"/>
      <c r="V45" s="943" t="s">
        <v>669</v>
      </c>
      <c r="W45" s="1629" t="s">
        <v>1911</v>
      </c>
      <c r="X45" s="943" t="s">
        <v>669</v>
      </c>
      <c r="Y45" s="1629" t="s">
        <v>1911</v>
      </c>
      <c r="Z45" s="943" t="s">
        <v>669</v>
      </c>
      <c r="AA45" s="1629" t="s">
        <v>1907</v>
      </c>
      <c r="AB45" s="943" t="s">
        <v>669</v>
      </c>
      <c r="AC45" s="1629" t="s">
        <v>1911</v>
      </c>
    </row>
    <row r="46" spans="1:29" ht="17.25" customHeight="1" x14ac:dyDescent="0.35">
      <c r="A46" s="1647" t="s">
        <v>1920</v>
      </c>
      <c r="B46" s="1644" t="s">
        <v>1921</v>
      </c>
      <c r="C46" s="1641" t="s">
        <v>1898</v>
      </c>
      <c r="D46" s="1423">
        <f>'AREA CALC''s'!K134</f>
        <v>30</v>
      </c>
      <c r="E46" s="1423" t="s">
        <v>666</v>
      </c>
      <c r="F46" s="1642"/>
      <c r="G46" s="1643"/>
      <c r="H46" s="943" t="s">
        <v>669</v>
      </c>
      <c r="I46" s="1629"/>
      <c r="J46" s="943" t="s">
        <v>669</v>
      </c>
      <c r="K46" s="1629" t="s">
        <v>1911</v>
      </c>
      <c r="L46" s="943" t="s">
        <v>669</v>
      </c>
      <c r="M46" s="1629" t="s">
        <v>1911</v>
      </c>
      <c r="N46" s="943" t="s">
        <v>669</v>
      </c>
      <c r="O46" s="1632"/>
      <c r="P46" s="943" t="s">
        <v>669</v>
      </c>
      <c r="Q46" s="1629"/>
      <c r="R46" s="943"/>
      <c r="S46" s="1629"/>
      <c r="T46" s="943"/>
      <c r="U46" s="1629"/>
      <c r="V46" s="943" t="s">
        <v>669</v>
      </c>
      <c r="W46" s="1629" t="s">
        <v>1911</v>
      </c>
      <c r="X46" s="943" t="s">
        <v>669</v>
      </c>
      <c r="Y46" s="1629" t="s">
        <v>1911</v>
      </c>
      <c r="Z46" s="943" t="s">
        <v>669</v>
      </c>
      <c r="AA46" s="1629" t="s">
        <v>1907</v>
      </c>
      <c r="AB46" s="943" t="s">
        <v>669</v>
      </c>
      <c r="AC46" s="1629" t="s">
        <v>1911</v>
      </c>
    </row>
    <row r="47" spans="1:29" ht="17.25" customHeight="1" x14ac:dyDescent="0.35">
      <c r="A47" s="1647" t="s">
        <v>1922</v>
      </c>
      <c r="B47" s="1644" t="s">
        <v>1923</v>
      </c>
      <c r="C47" s="1641" t="s">
        <v>1898</v>
      </c>
      <c r="D47" s="1423">
        <f>'AREA CALC''s'!L134</f>
        <v>50</v>
      </c>
      <c r="E47" s="1423" t="s">
        <v>666</v>
      </c>
      <c r="F47" s="1642"/>
      <c r="G47" s="1643"/>
      <c r="H47" s="943" t="s">
        <v>669</v>
      </c>
      <c r="I47" s="1629"/>
      <c r="J47" s="943" t="s">
        <v>669</v>
      </c>
      <c r="K47" s="1629" t="s">
        <v>1911</v>
      </c>
      <c r="L47" s="943" t="s">
        <v>669</v>
      </c>
      <c r="M47" s="1629" t="s">
        <v>1911</v>
      </c>
      <c r="N47" s="943" t="s">
        <v>669</v>
      </c>
      <c r="O47" s="1632"/>
      <c r="P47" s="943" t="s">
        <v>669</v>
      </c>
      <c r="Q47" s="1629"/>
      <c r="R47" s="943"/>
      <c r="S47" s="1629"/>
      <c r="T47" s="943"/>
      <c r="U47" s="1629"/>
      <c r="V47" s="943" t="s">
        <v>669</v>
      </c>
      <c r="W47" s="1629" t="s">
        <v>1911</v>
      </c>
      <c r="X47" s="943" t="s">
        <v>669</v>
      </c>
      <c r="Y47" s="1629" t="s">
        <v>1911</v>
      </c>
      <c r="Z47" s="943" t="s">
        <v>669</v>
      </c>
      <c r="AA47" s="1629" t="s">
        <v>1907</v>
      </c>
      <c r="AB47" s="943" t="s">
        <v>669</v>
      </c>
      <c r="AC47" s="1629" t="s">
        <v>1911</v>
      </c>
    </row>
    <row r="48" spans="1:29" ht="17.25" customHeight="1" x14ac:dyDescent="0.35">
      <c r="A48" s="1647" t="s">
        <v>1924</v>
      </c>
      <c r="B48" s="1644" t="s">
        <v>1925</v>
      </c>
      <c r="C48" s="1641" t="s">
        <v>1898</v>
      </c>
      <c r="D48" s="1423">
        <f>'AREA CALC''s'!M134</f>
        <v>30</v>
      </c>
      <c r="E48" s="1423" t="s">
        <v>666</v>
      </c>
      <c r="F48" s="1642"/>
      <c r="G48" s="1643"/>
      <c r="H48" s="943" t="s">
        <v>669</v>
      </c>
      <c r="I48" s="1629"/>
      <c r="J48" s="943" t="s">
        <v>669</v>
      </c>
      <c r="K48" s="1629" t="s">
        <v>1908</v>
      </c>
      <c r="L48" s="943" t="s">
        <v>669</v>
      </c>
      <c r="M48" s="1629" t="s">
        <v>1908</v>
      </c>
      <c r="N48" s="943" t="s">
        <v>669</v>
      </c>
      <c r="O48" s="1533" t="s">
        <v>1926</v>
      </c>
      <c r="P48" s="943" t="s">
        <v>669</v>
      </c>
      <c r="Q48" s="1629"/>
      <c r="R48" s="943"/>
      <c r="S48" s="1629"/>
      <c r="T48" s="943"/>
      <c r="U48" s="1629"/>
      <c r="V48" s="943" t="s">
        <v>669</v>
      </c>
      <c r="W48" s="1629"/>
      <c r="X48" s="943" t="s">
        <v>669</v>
      </c>
      <c r="Y48" s="1629"/>
      <c r="Z48" s="943" t="s">
        <v>669</v>
      </c>
      <c r="AA48" s="1629" t="s">
        <v>1907</v>
      </c>
      <c r="AB48" s="943" t="s">
        <v>669</v>
      </c>
      <c r="AC48" s="1629"/>
    </row>
    <row r="49" spans="1:29" ht="17.25" customHeight="1" x14ac:dyDescent="0.35">
      <c r="A49" s="1647" t="s">
        <v>1927</v>
      </c>
      <c r="B49" s="1644" t="s">
        <v>1928</v>
      </c>
      <c r="C49" s="1641" t="s">
        <v>1898</v>
      </c>
      <c r="D49" s="1423">
        <v>432</v>
      </c>
      <c r="E49" s="1423" t="s">
        <v>666</v>
      </c>
      <c r="F49" s="1642"/>
      <c r="G49" s="1643"/>
      <c r="H49" s="943" t="s">
        <v>669</v>
      </c>
      <c r="I49" s="1533"/>
      <c r="J49" s="943" t="s">
        <v>669</v>
      </c>
      <c r="K49" s="1533"/>
      <c r="L49" s="943" t="s">
        <v>669</v>
      </c>
      <c r="M49" s="1533"/>
      <c r="N49" s="943" t="s">
        <v>669</v>
      </c>
      <c r="O49" s="1632"/>
      <c r="P49" s="943" t="s">
        <v>669</v>
      </c>
      <c r="Q49" s="1629"/>
      <c r="R49" s="943"/>
      <c r="S49" s="1629"/>
      <c r="T49" s="943"/>
      <c r="U49" s="1629"/>
      <c r="V49" s="943" t="s">
        <v>669</v>
      </c>
      <c r="W49" s="1629"/>
      <c r="X49" s="943" t="s">
        <v>669</v>
      </c>
      <c r="Y49" s="1629"/>
      <c r="Z49" s="943" t="s">
        <v>669</v>
      </c>
      <c r="AA49" s="1629" t="s">
        <v>1929</v>
      </c>
      <c r="AB49" s="943" t="s">
        <v>669</v>
      </c>
      <c r="AC49" s="1629" t="s">
        <v>1908</v>
      </c>
    </row>
    <row r="50" spans="1:29" ht="17.25" customHeight="1" x14ac:dyDescent="0.35">
      <c r="A50" s="1647"/>
      <c r="B50" s="1644"/>
      <c r="C50" s="1641"/>
      <c r="D50" s="1423"/>
      <c r="E50" s="1423"/>
      <c r="F50" s="1642"/>
      <c r="G50" s="1643"/>
      <c r="H50" s="943"/>
      <c r="I50" s="1533"/>
      <c r="J50" s="943"/>
      <c r="K50" s="1533"/>
      <c r="L50" s="943"/>
      <c r="M50" s="1533"/>
      <c r="N50" s="1652"/>
      <c r="O50" s="1632"/>
      <c r="P50" s="943"/>
      <c r="Q50" s="1629"/>
      <c r="R50" s="943"/>
      <c r="S50" s="1629"/>
      <c r="T50" s="943"/>
      <c r="U50" s="1629"/>
      <c r="V50" s="943"/>
      <c r="W50" s="1629"/>
      <c r="X50" s="943"/>
      <c r="Y50" s="1629"/>
      <c r="Z50" s="943"/>
      <c r="AA50" s="1629"/>
      <c r="AB50" s="943"/>
      <c r="AC50" s="1629"/>
    </row>
    <row r="51" spans="1:29" ht="17.25" customHeight="1" x14ac:dyDescent="0.35">
      <c r="A51" s="1647"/>
      <c r="B51" s="1644" t="s">
        <v>1152</v>
      </c>
      <c r="C51" s="1641"/>
      <c r="D51" s="1423">
        <f>SUM(D39:D49)</f>
        <v>3504</v>
      </c>
      <c r="E51" s="1423" t="s">
        <v>666</v>
      </c>
      <c r="F51" s="1642"/>
      <c r="G51" s="1643"/>
      <c r="H51" s="943" t="s">
        <v>669</v>
      </c>
      <c r="I51" s="1533"/>
      <c r="J51" s="943" t="s">
        <v>669</v>
      </c>
      <c r="K51" s="1533"/>
      <c r="L51" s="943" t="s">
        <v>669</v>
      </c>
      <c r="M51" s="1533"/>
      <c r="N51" s="943" t="s">
        <v>669</v>
      </c>
      <c r="O51" s="1632"/>
      <c r="P51" s="943" t="s">
        <v>669</v>
      </c>
      <c r="Q51" s="1629"/>
      <c r="R51" s="943"/>
      <c r="S51" s="1629"/>
      <c r="T51" s="943"/>
      <c r="U51" s="1629"/>
      <c r="V51" s="943" t="s">
        <v>669</v>
      </c>
      <c r="W51" s="1629"/>
      <c r="X51" s="943" t="s">
        <v>669</v>
      </c>
      <c r="Y51" s="1629"/>
      <c r="Z51" s="943" t="s">
        <v>669</v>
      </c>
      <c r="AA51" s="1629"/>
      <c r="AB51" s="943" t="s">
        <v>669</v>
      </c>
      <c r="AC51" s="1629"/>
    </row>
    <row r="52" spans="1:29" ht="14.5" x14ac:dyDescent="0.35">
      <c r="A52" s="1647"/>
      <c r="B52" s="1653" t="s">
        <v>1930</v>
      </c>
      <c r="C52" s="1641"/>
      <c r="D52" s="1423">
        <v>432</v>
      </c>
      <c r="E52" s="1423" t="s">
        <v>666</v>
      </c>
      <c r="F52" s="1642"/>
      <c r="G52" s="1643"/>
      <c r="H52" s="943" t="s">
        <v>669</v>
      </c>
      <c r="I52" s="1533"/>
      <c r="J52" s="943" t="s">
        <v>669</v>
      </c>
      <c r="K52" s="1533">
        <f>484115+68375</f>
        <v>552490</v>
      </c>
      <c r="L52" s="943" t="s">
        <v>669</v>
      </c>
      <c r="M52" s="1533">
        <f>479480+65785</f>
        <v>545265</v>
      </c>
      <c r="N52" s="943" t="s">
        <v>669</v>
      </c>
      <c r="O52" s="1533">
        <f>374660+217340</f>
        <v>592000</v>
      </c>
      <c r="P52" s="943" t="s">
        <v>669</v>
      </c>
      <c r="Q52" s="1533">
        <f>109869.37+482165.72</f>
        <v>592035.09</v>
      </c>
      <c r="R52" s="943"/>
      <c r="S52" s="1629"/>
      <c r="T52" s="943"/>
      <c r="U52" s="1629"/>
      <c r="V52" s="943" t="s">
        <v>669</v>
      </c>
      <c r="W52" s="1533"/>
      <c r="X52" s="943" t="s">
        <v>669</v>
      </c>
      <c r="Y52" s="1533"/>
      <c r="Z52" s="943" t="s">
        <v>669</v>
      </c>
      <c r="AA52" s="1629" t="s">
        <v>1931</v>
      </c>
      <c r="AB52" s="943" t="s">
        <v>669</v>
      </c>
      <c r="AC52" s="1629" t="s">
        <v>1932</v>
      </c>
    </row>
    <row r="53" spans="1:29" ht="17.25" customHeight="1" x14ac:dyDescent="0.35">
      <c r="A53" s="1639"/>
      <c r="B53" s="1644"/>
      <c r="C53" s="1641"/>
      <c r="D53" s="1423"/>
      <c r="E53" s="1423"/>
      <c r="F53" s="1642"/>
      <c r="G53" s="1643"/>
      <c r="H53" s="943"/>
      <c r="I53" s="1533"/>
      <c r="J53" s="943"/>
      <c r="K53" s="1533"/>
      <c r="L53" s="943"/>
      <c r="M53" s="1533"/>
      <c r="N53" s="1652"/>
      <c r="O53" s="1654"/>
      <c r="P53" s="943"/>
      <c r="Q53" s="1629"/>
      <c r="R53" s="943"/>
      <c r="S53" s="1629"/>
      <c r="T53" s="943"/>
      <c r="U53" s="1629"/>
      <c r="V53" s="943"/>
      <c r="W53" s="1629"/>
      <c r="X53" s="943"/>
      <c r="Y53" s="1629"/>
      <c r="Z53" s="943"/>
      <c r="AA53" s="1629"/>
      <c r="AB53" s="943"/>
      <c r="AC53" s="1629"/>
    </row>
    <row r="54" spans="1:29" ht="17.25" customHeight="1" x14ac:dyDescent="0.35">
      <c r="A54" s="1639"/>
      <c r="B54" s="1646" t="s">
        <v>1933</v>
      </c>
      <c r="C54" s="1641"/>
      <c r="D54" s="1423"/>
      <c r="E54" s="1423"/>
      <c r="F54" s="1642"/>
      <c r="G54" s="1643"/>
      <c r="H54" s="943" t="s">
        <v>669</v>
      </c>
      <c r="I54" s="1533"/>
      <c r="J54" s="943" t="s">
        <v>669</v>
      </c>
      <c r="K54" s="1533">
        <f>107895+13300</f>
        <v>121195</v>
      </c>
      <c r="L54" s="943" t="s">
        <v>669</v>
      </c>
      <c r="M54" s="1533">
        <f>106860+13260</f>
        <v>120120</v>
      </c>
      <c r="N54" s="943" t="s">
        <v>669</v>
      </c>
      <c r="O54" s="1533">
        <f>24022+9300+51440+20000+56310+20250</f>
        <v>181322</v>
      </c>
      <c r="P54" s="1652" t="s">
        <v>671</v>
      </c>
      <c r="Q54" s="1655"/>
      <c r="R54" s="943"/>
      <c r="S54" s="1629"/>
      <c r="T54" s="943"/>
      <c r="U54" s="1629"/>
      <c r="V54" s="943" t="s">
        <v>669</v>
      </c>
      <c r="W54" s="1533"/>
      <c r="X54" s="943" t="s">
        <v>669</v>
      </c>
      <c r="Y54" s="1533"/>
      <c r="Z54" s="943" t="s">
        <v>669</v>
      </c>
      <c r="AA54" s="1629"/>
      <c r="AB54" s="943" t="s">
        <v>669</v>
      </c>
      <c r="AC54" s="1629"/>
    </row>
    <row r="55" spans="1:29" ht="17.25" customHeight="1" x14ac:dyDescent="0.35">
      <c r="A55" s="1639"/>
      <c r="B55" s="1644" t="s">
        <v>1934</v>
      </c>
      <c r="C55" s="1641"/>
      <c r="D55" s="1423">
        <v>30</v>
      </c>
      <c r="E55" s="1423" t="s">
        <v>666</v>
      </c>
      <c r="F55" s="1642"/>
      <c r="G55" s="1643"/>
      <c r="H55" s="943" t="s">
        <v>669</v>
      </c>
      <c r="I55" s="1533"/>
      <c r="J55" s="943" t="s">
        <v>669</v>
      </c>
      <c r="K55" s="1533"/>
      <c r="L55" s="943" t="s">
        <v>669</v>
      </c>
      <c r="M55" s="1533"/>
      <c r="N55" s="943" t="s">
        <v>669</v>
      </c>
      <c r="O55" s="1632"/>
      <c r="P55" s="1652" t="s">
        <v>671</v>
      </c>
      <c r="Q55" s="1629"/>
      <c r="R55" s="943"/>
      <c r="S55" s="1629"/>
      <c r="T55" s="943"/>
      <c r="U55" s="1629"/>
      <c r="V55" s="943" t="s">
        <v>669</v>
      </c>
      <c r="W55" s="1629"/>
      <c r="X55" s="943" t="s">
        <v>669</v>
      </c>
      <c r="Y55" s="1629"/>
      <c r="Z55" s="943" t="s">
        <v>669</v>
      </c>
      <c r="AA55" s="1629"/>
      <c r="AB55" s="943" t="s">
        <v>669</v>
      </c>
      <c r="AC55" s="1629"/>
    </row>
    <row r="56" spans="1:29" ht="17.25" customHeight="1" x14ac:dyDescent="0.35">
      <c r="A56" s="1639"/>
      <c r="B56" s="1644" t="s">
        <v>1935</v>
      </c>
      <c r="C56" s="1641"/>
      <c r="D56" s="1423">
        <v>2</v>
      </c>
      <c r="E56" s="1423" t="s">
        <v>666</v>
      </c>
      <c r="F56" s="1642"/>
      <c r="G56" s="1643"/>
      <c r="H56" s="943" t="s">
        <v>669</v>
      </c>
      <c r="I56" s="1533"/>
      <c r="J56" s="943" t="s">
        <v>669</v>
      </c>
      <c r="K56" s="1533"/>
      <c r="L56" s="943" t="s">
        <v>669</v>
      </c>
      <c r="M56" s="1533"/>
      <c r="N56" s="943" t="s">
        <v>669</v>
      </c>
      <c r="O56" s="1632"/>
      <c r="P56" s="1652" t="s">
        <v>671</v>
      </c>
      <c r="Q56" s="1629"/>
      <c r="R56" s="943"/>
      <c r="S56" s="1629"/>
      <c r="T56" s="943"/>
      <c r="U56" s="1629"/>
      <c r="V56" s="943" t="s">
        <v>669</v>
      </c>
      <c r="W56" s="1629"/>
      <c r="X56" s="943" t="s">
        <v>669</v>
      </c>
      <c r="Y56" s="1629"/>
      <c r="Z56" s="943" t="s">
        <v>669</v>
      </c>
      <c r="AA56" s="1629"/>
      <c r="AB56" s="943" t="s">
        <v>669</v>
      </c>
      <c r="AC56" s="1629"/>
    </row>
    <row r="57" spans="1:29" ht="17.25" customHeight="1" x14ac:dyDescent="0.35">
      <c r="A57" s="1639"/>
      <c r="B57" s="1644" t="s">
        <v>1936</v>
      </c>
      <c r="C57" s="1641"/>
      <c r="D57" s="1423">
        <v>15</v>
      </c>
      <c r="E57" s="1423" t="s">
        <v>666</v>
      </c>
      <c r="F57" s="1642"/>
      <c r="G57" s="1643"/>
      <c r="H57" s="943" t="s">
        <v>669</v>
      </c>
      <c r="I57" s="1533"/>
      <c r="J57" s="943" t="s">
        <v>669</v>
      </c>
      <c r="K57" s="1533"/>
      <c r="L57" s="943" t="s">
        <v>669</v>
      </c>
      <c r="M57" s="1533"/>
      <c r="N57" s="943" t="s">
        <v>669</v>
      </c>
      <c r="O57" s="1632"/>
      <c r="P57" s="1652" t="s">
        <v>671</v>
      </c>
      <c r="Q57" s="1629"/>
      <c r="R57" s="943"/>
      <c r="S57" s="1629"/>
      <c r="T57" s="943"/>
      <c r="U57" s="1629"/>
      <c r="V57" s="943" t="s">
        <v>669</v>
      </c>
      <c r="W57" s="1629"/>
      <c r="X57" s="943" t="s">
        <v>669</v>
      </c>
      <c r="Y57" s="1629"/>
      <c r="Z57" s="943" t="s">
        <v>669</v>
      </c>
      <c r="AA57" s="1629"/>
      <c r="AB57" s="943" t="s">
        <v>669</v>
      </c>
      <c r="AC57" s="1629"/>
    </row>
    <row r="58" spans="1:29" ht="17.25" customHeight="1" x14ac:dyDescent="0.35">
      <c r="A58" s="1639"/>
      <c r="B58" s="1644" t="s">
        <v>1937</v>
      </c>
      <c r="C58" s="1641"/>
      <c r="D58" s="1423">
        <v>15</v>
      </c>
      <c r="E58" s="1423" t="s">
        <v>666</v>
      </c>
      <c r="F58" s="1642"/>
      <c r="G58" s="1643"/>
      <c r="H58" s="943" t="s">
        <v>669</v>
      </c>
      <c r="I58" s="1533"/>
      <c r="J58" s="943" t="s">
        <v>669</v>
      </c>
      <c r="K58" s="1533"/>
      <c r="L58" s="943" t="s">
        <v>669</v>
      </c>
      <c r="M58" s="1533"/>
      <c r="N58" s="943" t="s">
        <v>669</v>
      </c>
      <c r="O58" s="1632"/>
      <c r="P58" s="1652" t="s">
        <v>671</v>
      </c>
      <c r="Q58" s="1629"/>
      <c r="R58" s="943"/>
      <c r="S58" s="1629"/>
      <c r="T58" s="943"/>
      <c r="U58" s="1629"/>
      <c r="V58" s="943" t="s">
        <v>669</v>
      </c>
      <c r="W58" s="1629"/>
      <c r="X58" s="943" t="s">
        <v>669</v>
      </c>
      <c r="Y58" s="1629"/>
      <c r="Z58" s="943" t="s">
        <v>669</v>
      </c>
      <c r="AA58" s="1629"/>
      <c r="AB58" s="943" t="s">
        <v>669</v>
      </c>
      <c r="AC58" s="1629"/>
    </row>
    <row r="59" spans="1:29" ht="17.25" customHeight="1" x14ac:dyDescent="0.35">
      <c r="A59" s="1639"/>
      <c r="B59" s="1644" t="s">
        <v>1938</v>
      </c>
      <c r="C59" s="1641"/>
      <c r="D59" s="1423">
        <v>6</v>
      </c>
      <c r="E59" s="1423" t="s">
        <v>666</v>
      </c>
      <c r="F59" s="1642"/>
      <c r="G59" s="1643"/>
      <c r="H59" s="943" t="s">
        <v>669</v>
      </c>
      <c r="I59" s="1533"/>
      <c r="J59" s="943" t="s">
        <v>669</v>
      </c>
      <c r="K59" s="1533"/>
      <c r="L59" s="943" t="s">
        <v>669</v>
      </c>
      <c r="M59" s="1533"/>
      <c r="N59" s="943" t="s">
        <v>669</v>
      </c>
      <c r="O59" s="1632"/>
      <c r="P59" s="1652" t="s">
        <v>671</v>
      </c>
      <c r="Q59" s="1629"/>
      <c r="R59" s="943"/>
      <c r="S59" s="1629"/>
      <c r="T59" s="943"/>
      <c r="U59" s="1629"/>
      <c r="V59" s="943" t="s">
        <v>669</v>
      </c>
      <c r="W59" s="1629"/>
      <c r="X59" s="943" t="s">
        <v>669</v>
      </c>
      <c r="Y59" s="1629"/>
      <c r="Z59" s="943" t="s">
        <v>669</v>
      </c>
      <c r="AA59" s="1629"/>
      <c r="AB59" s="943" t="s">
        <v>669</v>
      </c>
      <c r="AC59" s="1629"/>
    </row>
    <row r="60" spans="1:29" ht="17.25" customHeight="1" x14ac:dyDescent="0.35">
      <c r="A60" s="1639"/>
      <c r="B60" s="1644" t="s">
        <v>1939</v>
      </c>
      <c r="C60" s="1641"/>
      <c r="D60" s="1423">
        <v>2</v>
      </c>
      <c r="E60" s="1423" t="s">
        <v>666</v>
      </c>
      <c r="F60" s="1642"/>
      <c r="G60" s="1643"/>
      <c r="H60" s="943" t="s">
        <v>669</v>
      </c>
      <c r="I60" s="1533"/>
      <c r="J60" s="943" t="s">
        <v>669</v>
      </c>
      <c r="K60" s="1533"/>
      <c r="L60" s="943" t="s">
        <v>669</v>
      </c>
      <c r="M60" s="1533"/>
      <c r="N60" s="943" t="s">
        <v>669</v>
      </c>
      <c r="O60" s="1632"/>
      <c r="P60" s="1652" t="s">
        <v>671</v>
      </c>
      <c r="Q60" s="1629"/>
      <c r="R60" s="943"/>
      <c r="S60" s="1629"/>
      <c r="T60" s="943"/>
      <c r="U60" s="1629"/>
      <c r="V60" s="943" t="s">
        <v>669</v>
      </c>
      <c r="W60" s="1629"/>
      <c r="X60" s="943" t="s">
        <v>669</v>
      </c>
      <c r="Y60" s="1629"/>
      <c r="Z60" s="943" t="s">
        <v>669</v>
      </c>
      <c r="AA60" s="1629"/>
      <c r="AB60" s="943" t="s">
        <v>669</v>
      </c>
      <c r="AC60" s="1629"/>
    </row>
    <row r="61" spans="1:29" ht="17.25" customHeight="1" x14ac:dyDescent="0.35">
      <c r="A61" s="1639"/>
      <c r="B61" s="1644" t="s">
        <v>1940</v>
      </c>
      <c r="C61" s="1641"/>
      <c r="D61" s="1423">
        <v>6</v>
      </c>
      <c r="E61" s="1423" t="s">
        <v>666</v>
      </c>
      <c r="F61" s="1642"/>
      <c r="G61" s="1643"/>
      <c r="H61" s="943" t="s">
        <v>669</v>
      </c>
      <c r="I61" s="1533"/>
      <c r="J61" s="943" t="s">
        <v>669</v>
      </c>
      <c r="K61" s="1533"/>
      <c r="L61" s="943" t="s">
        <v>669</v>
      </c>
      <c r="M61" s="1533"/>
      <c r="N61" s="943" t="s">
        <v>669</v>
      </c>
      <c r="O61" s="1632"/>
      <c r="P61" s="1652" t="s">
        <v>671</v>
      </c>
      <c r="Q61" s="1629"/>
      <c r="R61" s="943"/>
      <c r="S61" s="1629"/>
      <c r="T61" s="943"/>
      <c r="U61" s="1629"/>
      <c r="V61" s="943" t="s">
        <v>669</v>
      </c>
      <c r="W61" s="1629"/>
      <c r="X61" s="943" t="s">
        <v>669</v>
      </c>
      <c r="Y61" s="1629"/>
      <c r="Z61" s="943" t="s">
        <v>669</v>
      </c>
      <c r="AA61" s="1629"/>
      <c r="AB61" s="943" t="s">
        <v>669</v>
      </c>
      <c r="AC61" s="1629"/>
    </row>
    <row r="62" spans="1:29" ht="17.25" customHeight="1" x14ac:dyDescent="0.35">
      <c r="A62" s="1639"/>
      <c r="B62" s="1644" t="s">
        <v>1941</v>
      </c>
      <c r="C62" s="1641"/>
      <c r="D62" s="1423">
        <v>3</v>
      </c>
      <c r="E62" s="1423" t="s">
        <v>666</v>
      </c>
      <c r="F62" s="1642"/>
      <c r="G62" s="1643"/>
      <c r="H62" s="943" t="s">
        <v>669</v>
      </c>
      <c r="I62" s="1533"/>
      <c r="J62" s="943" t="s">
        <v>669</v>
      </c>
      <c r="K62" s="1533"/>
      <c r="L62" s="943" t="s">
        <v>669</v>
      </c>
      <c r="M62" s="1533"/>
      <c r="N62" s="943" t="s">
        <v>669</v>
      </c>
      <c r="O62" s="1632"/>
      <c r="P62" s="1652" t="s">
        <v>671</v>
      </c>
      <c r="Q62" s="1629"/>
      <c r="R62" s="943"/>
      <c r="S62" s="1629"/>
      <c r="T62" s="943"/>
      <c r="U62" s="1629"/>
      <c r="V62" s="943" t="s">
        <v>669</v>
      </c>
      <c r="W62" s="1629"/>
      <c r="X62" s="943" t="s">
        <v>669</v>
      </c>
      <c r="Y62" s="1629"/>
      <c r="Z62" s="943" t="s">
        <v>669</v>
      </c>
      <c r="AA62" s="1629"/>
      <c r="AB62" s="943" t="s">
        <v>669</v>
      </c>
      <c r="AC62" s="1629"/>
    </row>
    <row r="63" spans="1:29" ht="17.25" customHeight="1" x14ac:dyDescent="0.35">
      <c r="A63" s="1639"/>
      <c r="B63" s="1644" t="s">
        <v>1942</v>
      </c>
      <c r="C63" s="1641"/>
      <c r="D63" s="1423">
        <v>24</v>
      </c>
      <c r="E63" s="1423" t="s">
        <v>666</v>
      </c>
      <c r="F63" s="1642"/>
      <c r="G63" s="1643"/>
      <c r="H63" s="943" t="s">
        <v>669</v>
      </c>
      <c r="I63" s="1533"/>
      <c r="J63" s="943" t="s">
        <v>669</v>
      </c>
      <c r="K63" s="1533"/>
      <c r="L63" s="943" t="s">
        <v>669</v>
      </c>
      <c r="M63" s="1533"/>
      <c r="N63" s="943" t="s">
        <v>669</v>
      </c>
      <c r="O63" s="1632"/>
      <c r="P63" s="1652" t="s">
        <v>671</v>
      </c>
      <c r="Q63" s="1629"/>
      <c r="R63" s="943"/>
      <c r="S63" s="1629"/>
      <c r="T63" s="943"/>
      <c r="U63" s="1629"/>
      <c r="V63" s="943" t="s">
        <v>669</v>
      </c>
      <c r="W63" s="1629"/>
      <c r="X63" s="943" t="s">
        <v>669</v>
      </c>
      <c r="Y63" s="1629"/>
      <c r="Z63" s="943" t="s">
        <v>669</v>
      </c>
      <c r="AA63" s="1629"/>
      <c r="AB63" s="943" t="s">
        <v>669</v>
      </c>
      <c r="AC63" s="1629"/>
    </row>
    <row r="64" spans="1:29" ht="17.25" customHeight="1" x14ac:dyDescent="0.35">
      <c r="A64" s="1639"/>
      <c r="B64" s="1644" t="s">
        <v>1943</v>
      </c>
      <c r="C64" s="1641"/>
      <c r="D64" s="1423">
        <v>6</v>
      </c>
      <c r="E64" s="1423" t="s">
        <v>666</v>
      </c>
      <c r="F64" s="1642"/>
      <c r="G64" s="1643"/>
      <c r="H64" s="943" t="s">
        <v>669</v>
      </c>
      <c r="I64" s="1533"/>
      <c r="J64" s="943" t="s">
        <v>669</v>
      </c>
      <c r="K64" s="1533"/>
      <c r="L64" s="943" t="s">
        <v>669</v>
      </c>
      <c r="M64" s="1533"/>
      <c r="N64" s="943" t="s">
        <v>669</v>
      </c>
      <c r="O64" s="1632"/>
      <c r="P64" s="1652" t="s">
        <v>671</v>
      </c>
      <c r="Q64" s="1629"/>
      <c r="R64" s="943"/>
      <c r="S64" s="1629"/>
      <c r="T64" s="943"/>
      <c r="U64" s="1629"/>
      <c r="V64" s="943" t="s">
        <v>669</v>
      </c>
      <c r="W64" s="1629"/>
      <c r="X64" s="943" t="s">
        <v>669</v>
      </c>
      <c r="Y64" s="1629"/>
      <c r="Z64" s="943" t="s">
        <v>669</v>
      </c>
      <c r="AA64" s="1629"/>
      <c r="AB64" s="943" t="s">
        <v>669</v>
      </c>
      <c r="AC64" s="1629"/>
    </row>
    <row r="65" spans="1:29" ht="17.25" customHeight="1" x14ac:dyDescent="0.35">
      <c r="A65" s="1639"/>
      <c r="B65" s="1644" t="s">
        <v>1944</v>
      </c>
      <c r="C65" s="1641"/>
      <c r="D65" s="1423">
        <v>66</v>
      </c>
      <c r="E65" s="1423" t="s">
        <v>666</v>
      </c>
      <c r="F65" s="1642"/>
      <c r="G65" s="1643"/>
      <c r="H65" s="943" t="s">
        <v>669</v>
      </c>
      <c r="I65" s="1533"/>
      <c r="J65" s="943" t="s">
        <v>669</v>
      </c>
      <c r="K65" s="1533"/>
      <c r="L65" s="943" t="s">
        <v>669</v>
      </c>
      <c r="M65" s="1533"/>
      <c r="N65" s="943" t="s">
        <v>669</v>
      </c>
      <c r="O65" s="1632"/>
      <c r="P65" s="1652" t="s">
        <v>671</v>
      </c>
      <c r="Q65" s="1629"/>
      <c r="R65" s="943"/>
      <c r="S65" s="1629"/>
      <c r="T65" s="943"/>
      <c r="U65" s="1629"/>
      <c r="V65" s="943" t="s">
        <v>669</v>
      </c>
      <c r="W65" s="1629"/>
      <c r="X65" s="943" t="s">
        <v>669</v>
      </c>
      <c r="Y65" s="1629"/>
      <c r="Z65" s="943" t="s">
        <v>669</v>
      </c>
      <c r="AA65" s="1629"/>
      <c r="AB65" s="943" t="s">
        <v>669</v>
      </c>
      <c r="AC65" s="1629"/>
    </row>
    <row r="66" spans="1:29" ht="17.25" customHeight="1" x14ac:dyDescent="0.35">
      <c r="A66" s="1639"/>
      <c r="B66" s="1644" t="s">
        <v>1945</v>
      </c>
      <c r="C66" s="1641"/>
      <c r="D66" s="1423">
        <v>2</v>
      </c>
      <c r="E66" s="1423" t="s">
        <v>666</v>
      </c>
      <c r="F66" s="1642"/>
      <c r="G66" s="1643"/>
      <c r="H66" s="943" t="s">
        <v>669</v>
      </c>
      <c r="I66" s="1533"/>
      <c r="J66" s="943" t="s">
        <v>669</v>
      </c>
      <c r="K66" s="1533"/>
      <c r="L66" s="943" t="s">
        <v>669</v>
      </c>
      <c r="M66" s="1533"/>
      <c r="N66" s="943" t="s">
        <v>669</v>
      </c>
      <c r="O66" s="1632"/>
      <c r="P66" s="1652" t="s">
        <v>671</v>
      </c>
      <c r="Q66" s="1629"/>
      <c r="R66" s="943"/>
      <c r="S66" s="1629"/>
      <c r="T66" s="943"/>
      <c r="U66" s="1629"/>
      <c r="V66" s="943" t="s">
        <v>669</v>
      </c>
      <c r="W66" s="1629"/>
      <c r="X66" s="943" t="s">
        <v>669</v>
      </c>
      <c r="Y66" s="1629"/>
      <c r="Z66" s="943" t="s">
        <v>669</v>
      </c>
      <c r="AA66" s="1629"/>
      <c r="AB66" s="943" t="s">
        <v>669</v>
      </c>
      <c r="AC66" s="1629"/>
    </row>
    <row r="67" spans="1:29" ht="17.25" customHeight="1" x14ac:dyDescent="0.35">
      <c r="A67" s="1639"/>
      <c r="B67" s="1644" t="s">
        <v>1946</v>
      </c>
      <c r="C67" s="1641"/>
      <c r="D67" s="1423">
        <v>2</v>
      </c>
      <c r="E67" s="1423" t="s">
        <v>666</v>
      </c>
      <c r="F67" s="1642"/>
      <c r="G67" s="1643"/>
      <c r="H67" s="943" t="s">
        <v>669</v>
      </c>
      <c r="I67" s="1533"/>
      <c r="J67" s="943" t="s">
        <v>669</v>
      </c>
      <c r="K67" s="1533"/>
      <c r="L67" s="943" t="s">
        <v>669</v>
      </c>
      <c r="M67" s="1533"/>
      <c r="N67" s="943" t="s">
        <v>669</v>
      </c>
      <c r="O67" s="1632"/>
      <c r="P67" s="1652" t="s">
        <v>671</v>
      </c>
      <c r="Q67" s="1629"/>
      <c r="R67" s="943"/>
      <c r="S67" s="1629"/>
      <c r="T67" s="943"/>
      <c r="U67" s="1629"/>
      <c r="V67" s="943" t="s">
        <v>669</v>
      </c>
      <c r="W67" s="1629"/>
      <c r="X67" s="943" t="s">
        <v>669</v>
      </c>
      <c r="Y67" s="1629"/>
      <c r="Z67" s="943" t="s">
        <v>669</v>
      </c>
      <c r="AA67" s="1629"/>
      <c r="AB67" s="943" t="s">
        <v>669</v>
      </c>
      <c r="AC67" s="1629"/>
    </row>
    <row r="68" spans="1:29" ht="17.25" customHeight="1" x14ac:dyDescent="0.35">
      <c r="A68" s="1639"/>
      <c r="B68" s="1644" t="s">
        <v>1947</v>
      </c>
      <c r="C68" s="1641"/>
      <c r="D68" s="1423">
        <v>2</v>
      </c>
      <c r="E68" s="1423" t="s">
        <v>666</v>
      </c>
      <c r="F68" s="1642"/>
      <c r="G68" s="1643"/>
      <c r="H68" s="943" t="s">
        <v>669</v>
      </c>
      <c r="I68" s="1533"/>
      <c r="J68" s="943" t="s">
        <v>669</v>
      </c>
      <c r="K68" s="1533"/>
      <c r="L68" s="943" t="s">
        <v>669</v>
      </c>
      <c r="M68" s="1533"/>
      <c r="N68" s="943" t="s">
        <v>669</v>
      </c>
      <c r="O68" s="1632"/>
      <c r="P68" s="1652" t="s">
        <v>671</v>
      </c>
      <c r="Q68" s="1629"/>
      <c r="R68" s="943"/>
      <c r="S68" s="1629"/>
      <c r="T68" s="943"/>
      <c r="U68" s="1629"/>
      <c r="V68" s="943" t="s">
        <v>669</v>
      </c>
      <c r="W68" s="1629"/>
      <c r="X68" s="943" t="s">
        <v>669</v>
      </c>
      <c r="Y68" s="1629"/>
      <c r="Z68" s="943" t="s">
        <v>669</v>
      </c>
      <c r="AA68" s="1629"/>
      <c r="AB68" s="943" t="s">
        <v>669</v>
      </c>
      <c r="AC68" s="1629"/>
    </row>
    <row r="69" spans="1:29" ht="17.25" customHeight="1" x14ac:dyDescent="0.35">
      <c r="A69" s="1639"/>
      <c r="B69" s="1644"/>
      <c r="C69" s="1641"/>
      <c r="D69" s="1423"/>
      <c r="E69" s="1423"/>
      <c r="F69" s="1642"/>
      <c r="G69" s="1643"/>
      <c r="H69" s="943"/>
      <c r="I69" s="1533"/>
      <c r="J69" s="943"/>
      <c r="K69" s="1533"/>
      <c r="L69" s="943"/>
      <c r="M69" s="1533"/>
      <c r="N69" s="1652"/>
      <c r="O69" s="1632"/>
      <c r="P69" s="943"/>
      <c r="Q69" s="1629"/>
      <c r="R69" s="943"/>
      <c r="S69" s="1629"/>
      <c r="T69" s="943"/>
      <c r="U69" s="1629"/>
      <c r="V69" s="943"/>
      <c r="W69" s="1629"/>
      <c r="X69" s="943"/>
      <c r="Y69" s="1629"/>
      <c r="Z69" s="943"/>
      <c r="AA69" s="1629"/>
      <c r="AB69" s="943"/>
      <c r="AC69" s="1629"/>
    </row>
    <row r="70" spans="1:29" ht="17.25" customHeight="1" x14ac:dyDescent="0.35">
      <c r="A70" s="1639"/>
      <c r="B70" s="1644" t="s">
        <v>1152</v>
      </c>
      <c r="C70" s="1641"/>
      <c r="D70" s="1423">
        <f>SUM(D55:D68)</f>
        <v>181</v>
      </c>
      <c r="E70" s="1423" t="s">
        <v>666</v>
      </c>
      <c r="F70" s="1642"/>
      <c r="G70" s="1643"/>
      <c r="H70" s="943" t="s">
        <v>669</v>
      </c>
      <c r="I70" s="1533"/>
      <c r="J70" s="943" t="s">
        <v>669</v>
      </c>
      <c r="K70" s="1533"/>
      <c r="L70" s="943" t="s">
        <v>669</v>
      </c>
      <c r="M70" s="1533"/>
      <c r="N70" s="943" t="s">
        <v>669</v>
      </c>
      <c r="O70" s="1632"/>
      <c r="P70" s="943"/>
      <c r="Q70" s="1629"/>
      <c r="R70" s="943"/>
      <c r="S70" s="1629"/>
      <c r="T70" s="943"/>
      <c r="U70" s="1629"/>
      <c r="V70" s="943" t="s">
        <v>669</v>
      </c>
      <c r="W70" s="1629"/>
      <c r="X70" s="943" t="s">
        <v>669</v>
      </c>
      <c r="Y70" s="1629"/>
      <c r="Z70" s="943" t="s">
        <v>669</v>
      </c>
      <c r="AA70" s="1629"/>
      <c r="AB70" s="943" t="s">
        <v>669</v>
      </c>
      <c r="AC70" s="1629"/>
    </row>
    <row r="71" spans="1:29" ht="17.25" customHeight="1" x14ac:dyDescent="0.35">
      <c r="A71" s="1639"/>
      <c r="B71" s="1644" t="s">
        <v>1948</v>
      </c>
      <c r="C71" s="1641"/>
      <c r="D71" s="1423">
        <f>SUM(D55:D68)</f>
        <v>181</v>
      </c>
      <c r="E71" s="1423" t="s">
        <v>666</v>
      </c>
      <c r="F71" s="1642"/>
      <c r="G71" s="1643"/>
      <c r="H71" s="943" t="s">
        <v>669</v>
      </c>
      <c r="I71" s="1533"/>
      <c r="J71" s="943" t="s">
        <v>669</v>
      </c>
      <c r="K71" s="1533">
        <f>216475+31970</f>
        <v>248445</v>
      </c>
      <c r="L71" s="943" t="s">
        <v>669</v>
      </c>
      <c r="M71" s="1533">
        <f>214400+31870</f>
        <v>246270</v>
      </c>
      <c r="N71" s="943" t="s">
        <v>669</v>
      </c>
      <c r="O71" s="1533">
        <f>17290+5930+39160+12000+44520+15150</f>
        <v>134050</v>
      </c>
      <c r="P71" s="943"/>
      <c r="Q71" s="1629"/>
      <c r="R71" s="943"/>
      <c r="S71" s="1629"/>
      <c r="T71" s="943"/>
      <c r="U71" s="1629"/>
      <c r="V71" s="943" t="s">
        <v>669</v>
      </c>
      <c r="W71" s="1629"/>
      <c r="X71" s="943" t="s">
        <v>669</v>
      </c>
      <c r="Y71" s="1629"/>
      <c r="Z71" s="943" t="s">
        <v>669</v>
      </c>
      <c r="AA71" s="1629" t="s">
        <v>1931</v>
      </c>
      <c r="AB71" s="943" t="s">
        <v>669</v>
      </c>
      <c r="AC71" s="1629"/>
    </row>
    <row r="72" spans="1:29" ht="17.25" customHeight="1" x14ac:dyDescent="0.35">
      <c r="A72" s="1639"/>
      <c r="B72" s="1644"/>
      <c r="C72" s="1641"/>
      <c r="D72" s="1423"/>
      <c r="E72" s="1423"/>
      <c r="F72" s="1642"/>
      <c r="G72" s="1643"/>
      <c r="H72" s="943"/>
      <c r="I72" s="1533"/>
      <c r="J72" s="943"/>
      <c r="K72" s="1533"/>
      <c r="L72" s="943"/>
      <c r="M72" s="1533"/>
      <c r="N72" s="1652"/>
      <c r="O72" s="1632"/>
      <c r="P72" s="943"/>
      <c r="Q72" s="1629"/>
      <c r="R72" s="943"/>
      <c r="S72" s="1629"/>
      <c r="T72" s="943"/>
      <c r="U72" s="1629"/>
      <c r="V72" s="943"/>
      <c r="W72" s="1629"/>
      <c r="X72" s="943"/>
      <c r="Y72" s="1629"/>
      <c r="Z72" s="943"/>
      <c r="AA72" s="1629"/>
      <c r="AB72" s="943"/>
      <c r="AC72" s="1629"/>
    </row>
    <row r="73" spans="1:29" ht="17.25" customHeight="1" x14ac:dyDescent="0.35">
      <c r="A73" s="1647"/>
      <c r="B73" s="1646" t="s">
        <v>80</v>
      </c>
      <c r="C73" s="1641"/>
      <c r="D73" s="1423"/>
      <c r="E73" s="1423"/>
      <c r="F73" s="1642"/>
      <c r="G73" s="1643"/>
      <c r="H73" s="943" t="s">
        <v>669</v>
      </c>
      <c r="I73" s="1533"/>
      <c r="J73" s="943" t="s">
        <v>669</v>
      </c>
      <c r="K73" s="1533">
        <f>25320+2725</f>
        <v>28045</v>
      </c>
      <c r="L73" s="943" t="s">
        <v>669</v>
      </c>
      <c r="M73" s="1533">
        <f>25320+2720</f>
        <v>28040</v>
      </c>
      <c r="N73" s="943" t="s">
        <v>669</v>
      </c>
      <c r="O73" s="1533">
        <f>24598+3150</f>
        <v>27748</v>
      </c>
      <c r="P73" s="943"/>
      <c r="Q73" s="1629"/>
      <c r="R73" s="943"/>
      <c r="S73" s="1629"/>
      <c r="T73" s="943"/>
      <c r="U73" s="1629"/>
      <c r="V73" s="943" t="s">
        <v>669</v>
      </c>
      <c r="W73" s="1629"/>
      <c r="X73" s="943" t="s">
        <v>669</v>
      </c>
      <c r="Y73" s="1629"/>
      <c r="Z73" s="943" t="s">
        <v>669</v>
      </c>
      <c r="AA73" s="1629"/>
      <c r="AB73" s="943" t="s">
        <v>669</v>
      </c>
      <c r="AC73" s="1629"/>
    </row>
    <row r="74" spans="1:29" ht="17.25" customHeight="1" x14ac:dyDescent="0.35">
      <c r="A74" s="1647"/>
      <c r="B74" s="1646" t="s">
        <v>1949</v>
      </c>
      <c r="C74" s="1641"/>
      <c r="D74" s="1423"/>
      <c r="E74" s="1423"/>
      <c r="F74" s="1642"/>
      <c r="G74" s="1643"/>
      <c r="H74" s="943" t="s">
        <v>669</v>
      </c>
      <c r="I74" s="1533"/>
      <c r="J74" s="943" t="s">
        <v>669</v>
      </c>
      <c r="K74" s="1533"/>
      <c r="L74" s="943" t="s">
        <v>669</v>
      </c>
      <c r="M74" s="1533"/>
      <c r="N74" s="943" t="s">
        <v>669</v>
      </c>
      <c r="O74" s="1533"/>
      <c r="P74" s="943"/>
      <c r="Q74" s="1629"/>
      <c r="R74" s="943"/>
      <c r="S74" s="1629"/>
      <c r="T74" s="943"/>
      <c r="U74" s="1629"/>
      <c r="V74" s="943" t="s">
        <v>669</v>
      </c>
      <c r="W74" s="1629"/>
      <c r="X74" s="943" t="s">
        <v>669</v>
      </c>
      <c r="Y74" s="1629"/>
      <c r="Z74" s="943" t="s">
        <v>669</v>
      </c>
      <c r="AA74" s="1629"/>
      <c r="AB74" s="943" t="s">
        <v>669</v>
      </c>
      <c r="AC74" s="1629"/>
    </row>
    <row r="75" spans="1:29" ht="17.25" customHeight="1" x14ac:dyDescent="0.35">
      <c r="A75" s="1647"/>
      <c r="B75" s="1644" t="s">
        <v>1950</v>
      </c>
      <c r="C75" s="1641"/>
      <c r="D75" s="1423">
        <v>5</v>
      </c>
      <c r="E75" s="1423" t="s">
        <v>666</v>
      </c>
      <c r="F75" s="1642"/>
      <c r="G75" s="1643"/>
      <c r="H75" s="943" t="s">
        <v>669</v>
      </c>
      <c r="I75" s="1533"/>
      <c r="J75" s="943" t="s">
        <v>669</v>
      </c>
      <c r="K75" s="1533"/>
      <c r="L75" s="943" t="s">
        <v>669</v>
      </c>
      <c r="M75" s="1533"/>
      <c r="N75" s="943" t="s">
        <v>669</v>
      </c>
      <c r="O75" s="1533"/>
      <c r="P75" s="943"/>
      <c r="Q75" s="1629"/>
      <c r="R75" s="943"/>
      <c r="S75" s="1629"/>
      <c r="T75" s="943"/>
      <c r="U75" s="1629"/>
      <c r="V75" s="943" t="s">
        <v>669</v>
      </c>
      <c r="W75" s="1629"/>
      <c r="X75" s="943" t="s">
        <v>669</v>
      </c>
      <c r="Y75" s="1629"/>
      <c r="Z75" s="943" t="s">
        <v>669</v>
      </c>
      <c r="AA75" s="1629"/>
      <c r="AB75" s="943" t="s">
        <v>669</v>
      </c>
      <c r="AC75" s="1629"/>
    </row>
    <row r="76" spans="1:29" ht="17.25" customHeight="1" x14ac:dyDescent="0.35">
      <c r="A76" s="1647"/>
      <c r="B76" s="1644" t="s">
        <v>1951</v>
      </c>
      <c r="C76" s="1641"/>
      <c r="D76" s="1423">
        <v>1</v>
      </c>
      <c r="E76" s="1423" t="s">
        <v>666</v>
      </c>
      <c r="F76" s="1642"/>
      <c r="G76" s="1643"/>
      <c r="H76" s="943" t="s">
        <v>669</v>
      </c>
      <c r="I76" s="1533"/>
      <c r="J76" s="943" t="s">
        <v>669</v>
      </c>
      <c r="K76" s="1533"/>
      <c r="L76" s="943" t="s">
        <v>669</v>
      </c>
      <c r="M76" s="1533"/>
      <c r="N76" s="943" t="s">
        <v>669</v>
      </c>
      <c r="O76" s="1533"/>
      <c r="P76" s="943"/>
      <c r="Q76" s="1629"/>
      <c r="R76" s="943"/>
      <c r="S76" s="1629"/>
      <c r="T76" s="943"/>
      <c r="U76" s="1629"/>
      <c r="V76" s="943" t="s">
        <v>669</v>
      </c>
      <c r="W76" s="1629"/>
      <c r="X76" s="943" t="s">
        <v>669</v>
      </c>
      <c r="Y76" s="1629"/>
      <c r="Z76" s="943" t="s">
        <v>669</v>
      </c>
      <c r="AA76" s="1629"/>
      <c r="AB76" s="943" t="s">
        <v>669</v>
      </c>
      <c r="AC76" s="1629"/>
    </row>
    <row r="77" spans="1:29" ht="17.25" customHeight="1" x14ac:dyDescent="0.35">
      <c r="A77" s="1647"/>
      <c r="B77" s="1644" t="s">
        <v>1952</v>
      </c>
      <c r="C77" s="1641"/>
      <c r="D77" s="1423">
        <v>9</v>
      </c>
      <c r="E77" s="1423" t="s">
        <v>666</v>
      </c>
      <c r="F77" s="1642"/>
      <c r="G77" s="1643"/>
      <c r="H77" s="943" t="s">
        <v>669</v>
      </c>
      <c r="I77" s="1533"/>
      <c r="J77" s="943" t="s">
        <v>669</v>
      </c>
      <c r="K77" s="1533"/>
      <c r="L77" s="943" t="s">
        <v>669</v>
      </c>
      <c r="M77" s="1533"/>
      <c r="N77" s="943" t="s">
        <v>669</v>
      </c>
      <c r="O77" s="1533"/>
      <c r="P77" s="943"/>
      <c r="Q77" s="1629"/>
      <c r="R77" s="943"/>
      <c r="S77" s="1629"/>
      <c r="T77" s="943"/>
      <c r="U77" s="1629"/>
      <c r="V77" s="943" t="s">
        <v>669</v>
      </c>
      <c r="W77" s="1629"/>
      <c r="X77" s="943" t="s">
        <v>669</v>
      </c>
      <c r="Y77" s="1629"/>
      <c r="Z77" s="943" t="s">
        <v>671</v>
      </c>
      <c r="AA77" s="1629"/>
      <c r="AB77" s="943" t="s">
        <v>669</v>
      </c>
      <c r="AC77" s="1629"/>
    </row>
    <row r="78" spans="1:29" ht="17.25" customHeight="1" x14ac:dyDescent="0.35">
      <c r="A78" s="1647"/>
      <c r="B78" s="1644" t="s">
        <v>1953</v>
      </c>
      <c r="C78" s="1641"/>
      <c r="D78" s="1423">
        <v>1</v>
      </c>
      <c r="E78" s="1423" t="s">
        <v>666</v>
      </c>
      <c r="F78" s="1642"/>
      <c r="G78" s="1643"/>
      <c r="H78" s="943" t="s">
        <v>669</v>
      </c>
      <c r="I78" s="1533"/>
      <c r="J78" s="943" t="s">
        <v>669</v>
      </c>
      <c r="K78" s="1533"/>
      <c r="L78" s="943" t="s">
        <v>669</v>
      </c>
      <c r="M78" s="1533"/>
      <c r="N78" s="943" t="s">
        <v>669</v>
      </c>
      <c r="O78" s="1533"/>
      <c r="P78" s="943"/>
      <c r="Q78" s="1629"/>
      <c r="R78" s="943"/>
      <c r="S78" s="1629"/>
      <c r="T78" s="943"/>
      <c r="U78" s="1629"/>
      <c r="V78" s="943" t="s">
        <v>669</v>
      </c>
      <c r="W78" s="1629"/>
      <c r="X78" s="943" t="s">
        <v>669</v>
      </c>
      <c r="Y78" s="1629"/>
      <c r="Z78" s="943" t="s">
        <v>669</v>
      </c>
      <c r="AA78" s="1629"/>
      <c r="AB78" s="943" t="s">
        <v>669</v>
      </c>
      <c r="AC78" s="1629"/>
    </row>
    <row r="79" spans="1:29" ht="17.25" customHeight="1" x14ac:dyDescent="0.35">
      <c r="A79" s="1647"/>
      <c r="B79" s="1646" t="s">
        <v>1954</v>
      </c>
      <c r="C79" s="1641"/>
      <c r="D79" s="1423"/>
      <c r="E79" s="1423"/>
      <c r="F79" s="1642"/>
      <c r="G79" s="1643"/>
      <c r="H79" s="943" t="s">
        <v>669</v>
      </c>
      <c r="I79" s="1533"/>
      <c r="J79" s="943" t="s">
        <v>669</v>
      </c>
      <c r="K79" s="1533"/>
      <c r="L79" s="943" t="s">
        <v>669</v>
      </c>
      <c r="M79" s="1533"/>
      <c r="N79" s="943" t="s">
        <v>669</v>
      </c>
      <c r="O79" s="1533"/>
      <c r="P79" s="943"/>
      <c r="Q79" s="1629"/>
      <c r="R79" s="943"/>
      <c r="S79" s="1629"/>
      <c r="T79" s="943"/>
      <c r="U79" s="1629"/>
      <c r="V79" s="943" t="s">
        <v>669</v>
      </c>
      <c r="W79" s="1629"/>
      <c r="X79" s="943" t="s">
        <v>669</v>
      </c>
      <c r="Y79" s="1629"/>
      <c r="Z79" s="943" t="s">
        <v>669</v>
      </c>
      <c r="AA79" s="1629"/>
      <c r="AB79" s="943" t="s">
        <v>669</v>
      </c>
      <c r="AC79" s="1629"/>
    </row>
    <row r="80" spans="1:29" ht="30" customHeight="1" x14ac:dyDescent="0.35">
      <c r="A80" s="1647"/>
      <c r="B80" s="1653" t="s">
        <v>1955</v>
      </c>
      <c r="C80" s="1641"/>
      <c r="D80" s="1423">
        <v>8</v>
      </c>
      <c r="E80" s="1423" t="s">
        <v>666</v>
      </c>
      <c r="F80" s="1642"/>
      <c r="G80" s="1643"/>
      <c r="H80" s="943" t="s">
        <v>669</v>
      </c>
      <c r="I80" s="1533"/>
      <c r="J80" s="943" t="s">
        <v>669</v>
      </c>
      <c r="K80" s="1533"/>
      <c r="L80" s="943" t="s">
        <v>669</v>
      </c>
      <c r="M80" s="1533"/>
      <c r="N80" s="943" t="s">
        <v>669</v>
      </c>
      <c r="O80" s="1533"/>
      <c r="P80" s="943"/>
      <c r="Q80" s="1629"/>
      <c r="R80" s="943"/>
      <c r="S80" s="1629"/>
      <c r="T80" s="943"/>
      <c r="U80" s="1629"/>
      <c r="V80" s="943" t="s">
        <v>669</v>
      </c>
      <c r="W80" s="1629"/>
      <c r="X80" s="943" t="s">
        <v>669</v>
      </c>
      <c r="Y80" s="1629"/>
      <c r="Z80" s="943" t="s">
        <v>669</v>
      </c>
      <c r="AA80" s="1629"/>
      <c r="AB80" s="943" t="s">
        <v>669</v>
      </c>
      <c r="AC80" s="1629"/>
    </row>
    <row r="81" spans="1:29" ht="17.25" customHeight="1" x14ac:dyDescent="0.35">
      <c r="A81" s="1647"/>
      <c r="B81" s="1644" t="s">
        <v>1956</v>
      </c>
      <c r="C81" s="1641"/>
      <c r="D81" s="1423">
        <v>6</v>
      </c>
      <c r="E81" s="1423" t="s">
        <v>666</v>
      </c>
      <c r="F81" s="1642"/>
      <c r="G81" s="1643"/>
      <c r="H81" s="943" t="s">
        <v>669</v>
      </c>
      <c r="I81" s="1533"/>
      <c r="J81" s="943" t="s">
        <v>669</v>
      </c>
      <c r="K81" s="1533"/>
      <c r="L81" s="943" t="s">
        <v>669</v>
      </c>
      <c r="M81" s="1533"/>
      <c r="N81" s="943" t="s">
        <v>669</v>
      </c>
      <c r="O81" s="1533"/>
      <c r="P81" s="943"/>
      <c r="Q81" s="1629"/>
      <c r="R81" s="943"/>
      <c r="S81" s="1629"/>
      <c r="T81" s="943"/>
      <c r="U81" s="1629"/>
      <c r="V81" s="943" t="s">
        <v>669</v>
      </c>
      <c r="W81" s="1629"/>
      <c r="X81" s="943" t="s">
        <v>669</v>
      </c>
      <c r="Y81" s="1629"/>
      <c r="Z81" s="943" t="s">
        <v>669</v>
      </c>
      <c r="AA81" s="1629"/>
      <c r="AB81" s="943" t="s">
        <v>669</v>
      </c>
      <c r="AC81" s="1629"/>
    </row>
    <row r="82" spans="1:29" ht="17.25" customHeight="1" x14ac:dyDescent="0.35">
      <c r="A82" s="1647"/>
      <c r="B82" s="1646"/>
      <c r="C82" s="1641"/>
      <c r="D82" s="1423"/>
      <c r="E82" s="1423"/>
      <c r="F82" s="1642"/>
      <c r="G82" s="1643"/>
      <c r="H82" s="943"/>
      <c r="I82" s="1533"/>
      <c r="J82" s="943"/>
      <c r="K82" s="1533"/>
      <c r="L82" s="943"/>
      <c r="M82" s="1533"/>
      <c r="N82" s="1652"/>
      <c r="O82" s="1533"/>
      <c r="P82" s="943"/>
      <c r="Q82" s="1629"/>
      <c r="R82" s="943"/>
      <c r="S82" s="1629"/>
      <c r="T82" s="943"/>
      <c r="U82" s="1629"/>
      <c r="V82" s="943"/>
      <c r="W82" s="1629"/>
      <c r="X82" s="943"/>
      <c r="Y82" s="1629"/>
      <c r="Z82" s="943"/>
      <c r="AA82" s="1629"/>
      <c r="AB82" s="943"/>
      <c r="AC82" s="1629"/>
    </row>
    <row r="83" spans="1:29" ht="17.25" customHeight="1" x14ac:dyDescent="0.35">
      <c r="A83" s="1647"/>
      <c r="B83" s="1644" t="s">
        <v>1152</v>
      </c>
      <c r="C83" s="1641"/>
      <c r="D83" s="1423">
        <f>SUM(D75:D81)</f>
        <v>30</v>
      </c>
      <c r="E83" s="1423" t="s">
        <v>666</v>
      </c>
      <c r="F83" s="1642"/>
      <c r="G83" s="1643"/>
      <c r="H83" s="943" t="s">
        <v>669</v>
      </c>
      <c r="I83" s="1533"/>
      <c r="J83" s="943" t="s">
        <v>669</v>
      </c>
      <c r="K83" s="1533"/>
      <c r="L83" s="943" t="s">
        <v>669</v>
      </c>
      <c r="M83" s="1533"/>
      <c r="N83" s="943" t="s">
        <v>669</v>
      </c>
      <c r="O83" s="1533"/>
      <c r="P83" s="943"/>
      <c r="Q83" s="1629"/>
      <c r="R83" s="943"/>
      <c r="S83" s="1629"/>
      <c r="T83" s="943"/>
      <c r="U83" s="1629"/>
      <c r="V83" s="943" t="s">
        <v>669</v>
      </c>
      <c r="W83" s="1629"/>
      <c r="X83" s="943" t="s">
        <v>669</v>
      </c>
      <c r="Y83" s="1629"/>
      <c r="Z83" s="943" t="s">
        <v>669</v>
      </c>
      <c r="AA83" s="1629"/>
      <c r="AB83" s="943" t="s">
        <v>669</v>
      </c>
      <c r="AC83" s="1629"/>
    </row>
    <row r="84" spans="1:29" ht="17.25" customHeight="1" x14ac:dyDescent="0.35">
      <c r="A84" s="1647"/>
      <c r="B84" s="1644" t="s">
        <v>1948</v>
      </c>
      <c r="C84" s="1641"/>
      <c r="D84" s="1423">
        <f>SUM(D75:D81)</f>
        <v>30</v>
      </c>
      <c r="E84" s="1423" t="s">
        <v>666</v>
      </c>
      <c r="F84" s="1642"/>
      <c r="G84" s="1643"/>
      <c r="H84" s="943" t="s">
        <v>669</v>
      </c>
      <c r="I84" s="1533"/>
      <c r="J84" s="943" t="s">
        <v>669</v>
      </c>
      <c r="K84" s="1533">
        <f>19870+2380</f>
        <v>22250</v>
      </c>
      <c r="L84" s="943" t="s">
        <v>669</v>
      </c>
      <c r="M84" s="1533">
        <f>19685+2375</f>
        <v>22060</v>
      </c>
      <c r="N84" s="943" t="s">
        <v>669</v>
      </c>
      <c r="O84" s="1533">
        <f>5700+3600</f>
        <v>9300</v>
      </c>
      <c r="P84" s="943"/>
      <c r="Q84" s="1629"/>
      <c r="R84" s="943"/>
      <c r="S84" s="1629"/>
      <c r="T84" s="943"/>
      <c r="U84" s="1629"/>
      <c r="V84" s="943" t="s">
        <v>669</v>
      </c>
      <c r="W84" s="1629"/>
      <c r="X84" s="943" t="s">
        <v>669</v>
      </c>
      <c r="Y84" s="1629"/>
      <c r="Z84" s="943" t="s">
        <v>669</v>
      </c>
      <c r="AA84" s="1629"/>
      <c r="AB84" s="943" t="s">
        <v>669</v>
      </c>
      <c r="AC84" s="1629"/>
    </row>
    <row r="85" spans="1:29" ht="17.25" customHeight="1" x14ac:dyDescent="0.35">
      <c r="A85" s="1647"/>
      <c r="B85" s="1644"/>
      <c r="C85" s="1641"/>
      <c r="D85" s="1423"/>
      <c r="E85" s="1423"/>
      <c r="F85" s="1642"/>
      <c r="G85" s="1643"/>
      <c r="H85" s="943"/>
      <c r="I85" s="1533"/>
      <c r="J85" s="943"/>
      <c r="K85" s="1533"/>
      <c r="L85" s="943"/>
      <c r="M85" s="1533"/>
      <c r="N85" s="1652"/>
      <c r="O85" s="1533"/>
      <c r="P85" s="943"/>
      <c r="Q85" s="1629"/>
      <c r="R85" s="943"/>
      <c r="S85" s="1629"/>
      <c r="T85" s="943"/>
      <c r="U85" s="1629"/>
      <c r="V85" s="943"/>
      <c r="W85" s="1629"/>
      <c r="X85" s="943"/>
      <c r="Y85" s="1629"/>
      <c r="Z85" s="943"/>
      <c r="AA85" s="1629"/>
      <c r="AB85" s="943"/>
      <c r="AC85" s="1629"/>
    </row>
    <row r="86" spans="1:29" ht="17.25" customHeight="1" x14ac:dyDescent="0.35">
      <c r="A86" s="1647"/>
      <c r="B86" s="1646" t="s">
        <v>795</v>
      </c>
      <c r="C86" s="1641"/>
      <c r="D86" s="1423"/>
      <c r="E86" s="1423"/>
      <c r="F86" s="1642"/>
      <c r="G86" s="1643"/>
      <c r="H86" s="943" t="s">
        <v>669</v>
      </c>
      <c r="I86" s="1533"/>
      <c r="J86" s="943" t="s">
        <v>669</v>
      </c>
      <c r="K86" s="1533"/>
      <c r="L86" s="943" t="s">
        <v>669</v>
      </c>
      <c r="M86" s="1533"/>
      <c r="N86" s="1652" t="s">
        <v>671</v>
      </c>
      <c r="O86" s="1533"/>
      <c r="P86" s="943"/>
      <c r="Q86" s="1629"/>
      <c r="R86" s="943"/>
      <c r="S86" s="1629"/>
      <c r="T86" s="943"/>
      <c r="U86" s="1629"/>
      <c r="V86" s="943" t="s">
        <v>669</v>
      </c>
      <c r="W86" s="1629"/>
      <c r="X86" s="943" t="s">
        <v>669</v>
      </c>
      <c r="Y86" s="1629"/>
      <c r="Z86" s="943" t="s">
        <v>669</v>
      </c>
      <c r="AA86" s="1629"/>
      <c r="AB86" s="943" t="s">
        <v>669</v>
      </c>
      <c r="AC86" s="1629"/>
    </row>
    <row r="87" spans="1:29" ht="17.25" customHeight="1" x14ac:dyDescent="0.35">
      <c r="A87" s="1647"/>
      <c r="B87" s="1644" t="s">
        <v>1957</v>
      </c>
      <c r="C87" s="1641"/>
      <c r="D87" s="1423">
        <v>3</v>
      </c>
      <c r="E87" s="1423" t="s">
        <v>666</v>
      </c>
      <c r="F87" s="1642"/>
      <c r="G87" s="1643"/>
      <c r="H87" s="943" t="s">
        <v>669</v>
      </c>
      <c r="I87" s="1533"/>
      <c r="J87" s="943" t="s">
        <v>669</v>
      </c>
      <c r="K87" s="1533"/>
      <c r="L87" s="943" t="s">
        <v>669</v>
      </c>
      <c r="M87" s="1533"/>
      <c r="N87" s="1652" t="s">
        <v>671</v>
      </c>
      <c r="O87" s="1533"/>
      <c r="P87" s="943"/>
      <c r="Q87" s="1629"/>
      <c r="R87" s="943"/>
      <c r="S87" s="1629"/>
      <c r="T87" s="943"/>
      <c r="U87" s="1629"/>
      <c r="V87" s="943" t="s">
        <v>669</v>
      </c>
      <c r="W87" s="1629"/>
      <c r="X87" s="943" t="s">
        <v>669</v>
      </c>
      <c r="Y87" s="1629"/>
      <c r="Z87" s="943" t="s">
        <v>669</v>
      </c>
      <c r="AA87" s="1629"/>
      <c r="AB87" s="943" t="s">
        <v>669</v>
      </c>
      <c r="AC87" s="1629"/>
    </row>
    <row r="88" spans="1:29" ht="17.25" customHeight="1" x14ac:dyDescent="0.35">
      <c r="A88" s="1647"/>
      <c r="B88" s="1644" t="s">
        <v>1152</v>
      </c>
      <c r="C88" s="1641"/>
      <c r="D88" s="1423">
        <v>3</v>
      </c>
      <c r="E88" s="1423" t="s">
        <v>666</v>
      </c>
      <c r="F88" s="1642"/>
      <c r="G88" s="1643"/>
      <c r="H88" s="943" t="s">
        <v>669</v>
      </c>
      <c r="I88" s="1533"/>
      <c r="J88" s="943" t="s">
        <v>669</v>
      </c>
      <c r="K88" s="1533"/>
      <c r="L88" s="943" t="s">
        <v>669</v>
      </c>
      <c r="M88" s="1533"/>
      <c r="N88" s="1652" t="s">
        <v>671</v>
      </c>
      <c r="O88" s="1632"/>
      <c r="P88" s="943"/>
      <c r="Q88" s="1629"/>
      <c r="R88" s="943"/>
      <c r="S88" s="1629"/>
      <c r="T88" s="943"/>
      <c r="U88" s="1629"/>
      <c r="V88" s="943" t="s">
        <v>669</v>
      </c>
      <c r="W88" s="1629"/>
      <c r="X88" s="943" t="s">
        <v>669</v>
      </c>
      <c r="Y88" s="1629"/>
      <c r="Z88" s="943" t="s">
        <v>669</v>
      </c>
      <c r="AA88" s="1629"/>
      <c r="AB88" s="943" t="s">
        <v>669</v>
      </c>
      <c r="AC88" s="1629"/>
    </row>
    <row r="89" spans="1:29" ht="17.25" customHeight="1" x14ac:dyDescent="0.35">
      <c r="A89" s="1647"/>
      <c r="B89" s="1644" t="s">
        <v>1948</v>
      </c>
      <c r="C89" s="1641"/>
      <c r="D89" s="1423">
        <v>3</v>
      </c>
      <c r="E89" s="1423" t="s">
        <v>666</v>
      </c>
      <c r="F89" s="1642"/>
      <c r="G89" s="1643"/>
      <c r="H89" s="943" t="s">
        <v>669</v>
      </c>
      <c r="I89" s="1533"/>
      <c r="J89" s="943" t="s">
        <v>669</v>
      </c>
      <c r="K89" s="1533"/>
      <c r="L89" s="943" t="s">
        <v>669</v>
      </c>
      <c r="M89" s="1533"/>
      <c r="N89" s="1652" t="s">
        <v>671</v>
      </c>
      <c r="O89" s="1533"/>
      <c r="P89" s="943"/>
      <c r="Q89" s="1629"/>
      <c r="R89" s="943"/>
      <c r="S89" s="1629"/>
      <c r="T89" s="943"/>
      <c r="U89" s="1629"/>
      <c r="V89" s="943" t="s">
        <v>669</v>
      </c>
      <c r="W89" s="1629"/>
      <c r="X89" s="943" t="s">
        <v>669</v>
      </c>
      <c r="Y89" s="1629"/>
      <c r="Z89" s="943" t="s">
        <v>669</v>
      </c>
      <c r="AA89" s="1629"/>
      <c r="AB89" s="943" t="s">
        <v>669</v>
      </c>
      <c r="AC89" s="1629"/>
    </row>
    <row r="90" spans="1:29" ht="17.25" customHeight="1" x14ac:dyDescent="0.35">
      <c r="A90" s="1647"/>
      <c r="B90" s="1644"/>
      <c r="C90" s="1641"/>
      <c r="D90" s="1423"/>
      <c r="E90" s="1423"/>
      <c r="F90" s="1642"/>
      <c r="G90" s="1643"/>
      <c r="H90" s="943"/>
      <c r="I90" s="1533"/>
      <c r="J90" s="943"/>
      <c r="K90" s="1533"/>
      <c r="L90" s="943"/>
      <c r="M90" s="1533"/>
      <c r="N90" s="1652"/>
      <c r="O90" s="1533"/>
      <c r="P90" s="943"/>
      <c r="Q90" s="1629"/>
      <c r="R90" s="943"/>
      <c r="S90" s="1629"/>
      <c r="T90" s="943"/>
      <c r="U90" s="1629"/>
      <c r="V90" s="943"/>
      <c r="W90" s="1629"/>
      <c r="X90" s="943"/>
      <c r="Y90" s="1629"/>
      <c r="Z90" s="943"/>
      <c r="AA90" s="1629"/>
      <c r="AB90" s="943"/>
      <c r="AC90" s="1629"/>
    </row>
    <row r="91" spans="1:29" ht="17.25" customHeight="1" x14ac:dyDescent="0.35">
      <c r="A91" s="1647"/>
      <c r="B91" s="1646" t="s">
        <v>1958</v>
      </c>
      <c r="C91" s="1641"/>
      <c r="D91" s="1423"/>
      <c r="E91" s="1423"/>
      <c r="F91" s="1642"/>
      <c r="G91" s="1643"/>
      <c r="H91" s="943" t="s">
        <v>669</v>
      </c>
      <c r="I91" s="1533"/>
      <c r="J91" s="943" t="s">
        <v>669</v>
      </c>
      <c r="K91" s="1533"/>
      <c r="L91" s="943" t="s">
        <v>669</v>
      </c>
      <c r="M91" s="1533"/>
      <c r="N91" s="943" t="s">
        <v>671</v>
      </c>
      <c r="O91" s="1533"/>
      <c r="P91" s="943"/>
      <c r="Q91" s="1629"/>
      <c r="R91" s="943"/>
      <c r="S91" s="1629"/>
      <c r="T91" s="943"/>
      <c r="U91" s="1629"/>
      <c r="V91" s="943" t="s">
        <v>669</v>
      </c>
      <c r="W91" s="1629"/>
      <c r="X91" s="943" t="s">
        <v>669</v>
      </c>
      <c r="Y91" s="1629"/>
      <c r="Z91" s="943" t="s">
        <v>669</v>
      </c>
      <c r="AA91" s="1629"/>
      <c r="AB91" s="943" t="s">
        <v>669</v>
      </c>
      <c r="AC91" s="1629"/>
    </row>
    <row r="92" spans="1:29" ht="17.25" customHeight="1" x14ac:dyDescent="0.35">
      <c r="A92" s="1647"/>
      <c r="B92" s="1644" t="s">
        <v>1959</v>
      </c>
      <c r="C92" s="1641"/>
      <c r="D92" s="1423">
        <v>2</v>
      </c>
      <c r="E92" s="1423" t="s">
        <v>666</v>
      </c>
      <c r="F92" s="1642"/>
      <c r="G92" s="1643"/>
      <c r="H92" s="943" t="s">
        <v>669</v>
      </c>
      <c r="I92" s="1533"/>
      <c r="J92" s="943" t="s">
        <v>669</v>
      </c>
      <c r="K92" s="1533"/>
      <c r="L92" s="943" t="s">
        <v>669</v>
      </c>
      <c r="M92" s="1533"/>
      <c r="N92" s="943" t="s">
        <v>671</v>
      </c>
      <c r="O92" s="1533"/>
      <c r="P92" s="943"/>
      <c r="Q92" s="1629"/>
      <c r="R92" s="943"/>
      <c r="S92" s="1629"/>
      <c r="T92" s="943"/>
      <c r="U92" s="1629"/>
      <c r="V92" s="943" t="s">
        <v>669</v>
      </c>
      <c r="W92" s="1629"/>
      <c r="X92" s="943" t="s">
        <v>669</v>
      </c>
      <c r="Y92" s="1629"/>
      <c r="Z92" s="943" t="s">
        <v>669</v>
      </c>
      <c r="AA92" s="1629"/>
      <c r="AB92" s="943" t="s">
        <v>669</v>
      </c>
      <c r="AC92" s="1629"/>
    </row>
    <row r="93" spans="1:29" ht="17.25" customHeight="1" x14ac:dyDescent="0.35">
      <c r="A93" s="1647"/>
      <c r="B93" s="1644" t="s">
        <v>1152</v>
      </c>
      <c r="C93" s="1641"/>
      <c r="D93" s="1423">
        <v>2</v>
      </c>
      <c r="E93" s="1423" t="s">
        <v>666</v>
      </c>
      <c r="F93" s="1642"/>
      <c r="G93" s="1643"/>
      <c r="H93" s="943" t="s">
        <v>669</v>
      </c>
      <c r="I93" s="1533"/>
      <c r="J93" s="943" t="s">
        <v>669</v>
      </c>
      <c r="K93" s="1533"/>
      <c r="L93" s="943" t="s">
        <v>669</v>
      </c>
      <c r="M93" s="1533"/>
      <c r="N93" s="943" t="s">
        <v>671</v>
      </c>
      <c r="O93" s="1533"/>
      <c r="P93" s="943"/>
      <c r="Q93" s="1629"/>
      <c r="R93" s="943"/>
      <c r="S93" s="1629"/>
      <c r="T93" s="943"/>
      <c r="U93" s="1629"/>
      <c r="V93" s="943" t="s">
        <v>669</v>
      </c>
      <c r="W93" s="1629"/>
      <c r="X93" s="943" t="s">
        <v>669</v>
      </c>
      <c r="Y93" s="1629"/>
      <c r="Z93" s="943" t="s">
        <v>669</v>
      </c>
      <c r="AA93" s="1629"/>
      <c r="AB93" s="943" t="s">
        <v>669</v>
      </c>
      <c r="AC93" s="1629"/>
    </row>
    <row r="94" spans="1:29" ht="17.25" customHeight="1" x14ac:dyDescent="0.35">
      <c r="A94" s="1647"/>
      <c r="B94" s="1644" t="s">
        <v>1948</v>
      </c>
      <c r="C94" s="1641"/>
      <c r="D94" s="1423">
        <v>2</v>
      </c>
      <c r="E94" s="1423" t="s">
        <v>666</v>
      </c>
      <c r="F94" s="1642"/>
      <c r="G94" s="1643"/>
      <c r="H94" s="943" t="s">
        <v>669</v>
      </c>
      <c r="I94" s="1533"/>
      <c r="J94" s="943" t="s">
        <v>669</v>
      </c>
      <c r="K94" s="1533"/>
      <c r="L94" s="943" t="s">
        <v>669</v>
      </c>
      <c r="M94" s="1533"/>
      <c r="N94" s="943" t="s">
        <v>671</v>
      </c>
      <c r="O94" s="1533"/>
      <c r="P94" s="943"/>
      <c r="Q94" s="1629"/>
      <c r="R94" s="943"/>
      <c r="S94" s="1629"/>
      <c r="T94" s="943"/>
      <c r="U94" s="1629"/>
      <c r="V94" s="943" t="s">
        <v>669</v>
      </c>
      <c r="W94" s="1629"/>
      <c r="X94" s="943" t="s">
        <v>669</v>
      </c>
      <c r="Y94" s="1629"/>
      <c r="Z94" s="943" t="s">
        <v>669</v>
      </c>
      <c r="AA94" s="1629"/>
      <c r="AB94" s="943" t="s">
        <v>669</v>
      </c>
      <c r="AC94" s="1629"/>
    </row>
    <row r="95" spans="1:29" ht="17.25" customHeight="1" x14ac:dyDescent="0.35">
      <c r="A95" s="1647"/>
      <c r="B95" s="1644"/>
      <c r="C95" s="1641"/>
      <c r="D95" s="1423"/>
      <c r="E95" s="1423"/>
      <c r="F95" s="1642"/>
      <c r="G95" s="1643"/>
      <c r="H95" s="943"/>
      <c r="I95" s="1533"/>
      <c r="J95" s="943"/>
      <c r="K95" s="1533"/>
      <c r="L95" s="943"/>
      <c r="M95" s="1533"/>
      <c r="N95" s="1652"/>
      <c r="O95" s="1533"/>
      <c r="P95" s="943"/>
      <c r="Q95" s="1629"/>
      <c r="R95" s="943"/>
      <c r="S95" s="1629"/>
      <c r="T95" s="943"/>
      <c r="U95" s="1629"/>
      <c r="V95" s="943"/>
      <c r="W95" s="1629"/>
      <c r="X95" s="943"/>
      <c r="Y95" s="1629"/>
      <c r="Z95" s="943"/>
      <c r="AA95" s="1629"/>
      <c r="AB95" s="943"/>
      <c r="AC95" s="1629"/>
    </row>
    <row r="96" spans="1:29" ht="17.25" customHeight="1" x14ac:dyDescent="0.35">
      <c r="A96" s="1647"/>
      <c r="B96" s="1646" t="s">
        <v>1960</v>
      </c>
      <c r="C96" s="1641"/>
      <c r="D96" s="1423"/>
      <c r="E96" s="1423"/>
      <c r="F96" s="1642"/>
      <c r="G96" s="1643"/>
      <c r="H96" s="943" t="s">
        <v>669</v>
      </c>
      <c r="I96" s="1533"/>
      <c r="J96" s="943" t="s">
        <v>669</v>
      </c>
      <c r="K96" s="1533"/>
      <c r="L96" s="943" t="s">
        <v>669</v>
      </c>
      <c r="M96" s="1533"/>
      <c r="N96" s="943" t="s">
        <v>669</v>
      </c>
      <c r="O96" s="1533"/>
      <c r="P96" s="943"/>
      <c r="Q96" s="1629"/>
      <c r="R96" s="943"/>
      <c r="S96" s="1629"/>
      <c r="T96" s="943"/>
      <c r="U96" s="1629"/>
      <c r="V96" s="943" t="s">
        <v>669</v>
      </c>
      <c r="W96" s="1629"/>
      <c r="X96" s="943" t="s">
        <v>669</v>
      </c>
      <c r="Y96" s="1629"/>
      <c r="Z96" s="943" t="s">
        <v>669</v>
      </c>
      <c r="AA96" s="1629"/>
      <c r="AB96" s="943" t="s">
        <v>669</v>
      </c>
      <c r="AC96" s="1629"/>
    </row>
    <row r="97" spans="1:29" ht="17.25" customHeight="1" x14ac:dyDescent="0.35">
      <c r="A97" s="1647"/>
      <c r="B97" s="1646"/>
      <c r="C97" s="1641"/>
      <c r="D97" s="1423"/>
      <c r="E97" s="1423"/>
      <c r="F97" s="1642"/>
      <c r="G97" s="1643"/>
      <c r="H97" s="943"/>
      <c r="I97" s="1533"/>
      <c r="J97" s="943"/>
      <c r="K97" s="1533"/>
      <c r="L97" s="943"/>
      <c r="M97" s="1533"/>
      <c r="N97" s="1652"/>
      <c r="O97" s="1533"/>
      <c r="P97" s="943"/>
      <c r="Q97" s="1629"/>
      <c r="R97" s="943"/>
      <c r="S97" s="1629"/>
      <c r="T97" s="943"/>
      <c r="U97" s="1629"/>
      <c r="V97" s="943"/>
      <c r="W97" s="1629"/>
      <c r="X97" s="943"/>
      <c r="Y97" s="1629"/>
      <c r="Z97" s="943"/>
      <c r="AA97" s="1629"/>
      <c r="AB97" s="943"/>
      <c r="AC97" s="1629"/>
    </row>
    <row r="98" spans="1:29" ht="17.25" customHeight="1" x14ac:dyDescent="0.35">
      <c r="A98" s="1647"/>
      <c r="B98" s="1644" t="s">
        <v>1961</v>
      </c>
      <c r="C98" s="1641"/>
      <c r="D98" s="1423"/>
      <c r="E98" s="1423"/>
      <c r="F98" s="1642"/>
      <c r="G98" s="1643"/>
      <c r="H98" s="943" t="s">
        <v>669</v>
      </c>
      <c r="I98" s="1533"/>
      <c r="J98" s="943" t="s">
        <v>669</v>
      </c>
      <c r="K98" s="1533">
        <f>79015+23410</f>
        <v>102425</v>
      </c>
      <c r="L98" s="943" t="s">
        <v>669</v>
      </c>
      <c r="M98" s="1533">
        <f>79015+23410</f>
        <v>102425</v>
      </c>
      <c r="N98" s="943" t="s">
        <v>669</v>
      </c>
      <c r="O98" s="1533"/>
      <c r="P98" s="943"/>
      <c r="Q98" s="1629"/>
      <c r="R98" s="943"/>
      <c r="S98" s="1629"/>
      <c r="T98" s="943"/>
      <c r="U98" s="1629"/>
      <c r="V98" s="943" t="s">
        <v>669</v>
      </c>
      <c r="W98" s="1629"/>
      <c r="X98" s="943" t="s">
        <v>669</v>
      </c>
      <c r="Y98" s="1629"/>
      <c r="Z98" s="943" t="s">
        <v>669</v>
      </c>
      <c r="AA98" s="1629"/>
      <c r="AB98" s="943" t="s">
        <v>669</v>
      </c>
      <c r="AC98" s="1629"/>
    </row>
    <row r="99" spans="1:29" ht="17.25" customHeight="1" x14ac:dyDescent="0.35">
      <c r="A99" s="1639"/>
      <c r="B99" s="1644" t="s">
        <v>1962</v>
      </c>
      <c r="C99" s="1641"/>
      <c r="D99" s="1423">
        <v>432</v>
      </c>
      <c r="E99" s="1423" t="s">
        <v>666</v>
      </c>
      <c r="F99" s="1642"/>
      <c r="G99" s="1643"/>
      <c r="H99" s="943" t="s">
        <v>669</v>
      </c>
      <c r="I99" s="1533"/>
      <c r="J99" s="943" t="s">
        <v>669</v>
      </c>
      <c r="K99" s="1533"/>
      <c r="L99" s="943" t="s">
        <v>669</v>
      </c>
      <c r="M99" s="1533"/>
      <c r="N99" s="943" t="s">
        <v>671</v>
      </c>
      <c r="O99" s="1632"/>
      <c r="P99" s="943"/>
      <c r="Q99" s="1629"/>
      <c r="R99" s="943"/>
      <c r="S99" s="1629"/>
      <c r="T99" s="943"/>
      <c r="U99" s="1629"/>
      <c r="V99" s="943" t="s">
        <v>669</v>
      </c>
      <c r="W99" s="1533">
        <v>9460</v>
      </c>
      <c r="X99" s="943" t="s">
        <v>669</v>
      </c>
      <c r="Y99" s="1533">
        <v>9460</v>
      </c>
      <c r="Z99" s="943" t="s">
        <v>669</v>
      </c>
      <c r="AA99" s="1629"/>
      <c r="AB99" s="943" t="s">
        <v>669</v>
      </c>
      <c r="AC99" s="1629"/>
    </row>
    <row r="100" spans="1:29" ht="14.5" x14ac:dyDescent="0.35">
      <c r="A100" s="1639"/>
      <c r="B100" s="1656" t="s">
        <v>1963</v>
      </c>
      <c r="C100" s="681" t="s">
        <v>191</v>
      </c>
      <c r="D100" s="1423"/>
      <c r="E100" s="1423"/>
      <c r="F100" s="1642"/>
      <c r="G100" s="1643"/>
      <c r="H100" s="943" t="s">
        <v>671</v>
      </c>
      <c r="I100" s="1533"/>
      <c r="J100" s="943" t="s">
        <v>671</v>
      </c>
      <c r="K100" s="1533"/>
      <c r="L100" s="943" t="s">
        <v>669</v>
      </c>
      <c r="M100" s="1533">
        <v>25470</v>
      </c>
      <c r="N100" s="943"/>
      <c r="O100" s="1533"/>
      <c r="P100" s="943"/>
      <c r="Q100" s="1629"/>
      <c r="R100" s="943"/>
      <c r="S100" s="1629"/>
      <c r="T100" s="943"/>
      <c r="U100" s="1629"/>
      <c r="V100" s="943" t="s">
        <v>671</v>
      </c>
      <c r="W100" s="1629"/>
      <c r="X100" s="943" t="s">
        <v>671</v>
      </c>
      <c r="Y100" s="1629"/>
      <c r="Z100" s="943" t="s">
        <v>671</v>
      </c>
      <c r="AA100" s="1629"/>
      <c r="AB100" s="943" t="s">
        <v>671</v>
      </c>
      <c r="AC100" s="1629"/>
    </row>
    <row r="101" spans="1:29" ht="14.5" x14ac:dyDescent="0.35">
      <c r="A101" s="1639"/>
      <c r="B101" s="1656" t="s">
        <v>1964</v>
      </c>
      <c r="C101" s="681"/>
      <c r="D101" s="1423"/>
      <c r="E101" s="1423"/>
      <c r="F101" s="1642"/>
      <c r="G101" s="1643"/>
      <c r="H101" s="943" t="s">
        <v>671</v>
      </c>
      <c r="I101" s="1533"/>
      <c r="J101" s="943" t="s">
        <v>671</v>
      </c>
      <c r="K101" s="1533"/>
      <c r="L101" s="943" t="s">
        <v>671</v>
      </c>
      <c r="M101" s="1533"/>
      <c r="N101" s="943"/>
      <c r="O101" s="1533"/>
      <c r="P101" s="943"/>
      <c r="Q101" s="1629"/>
      <c r="R101" s="943"/>
      <c r="S101" s="1629"/>
      <c r="T101" s="943"/>
      <c r="U101" s="1629"/>
      <c r="V101" s="943" t="s">
        <v>671</v>
      </c>
      <c r="W101" s="1629"/>
      <c r="X101" s="943" t="s">
        <v>671</v>
      </c>
      <c r="Y101" s="1629"/>
      <c r="Z101" s="943" t="s">
        <v>671</v>
      </c>
      <c r="AA101" s="1629"/>
      <c r="AB101" s="943" t="s">
        <v>671</v>
      </c>
      <c r="AC101" s="1629"/>
    </row>
    <row r="102" spans="1:29" ht="14.5" x14ac:dyDescent="0.35">
      <c r="A102" s="1639"/>
      <c r="B102" s="1644"/>
      <c r="C102" s="681"/>
      <c r="D102" s="1423"/>
      <c r="E102" s="1423"/>
      <c r="F102" s="1642"/>
      <c r="G102" s="1643"/>
      <c r="H102" s="943"/>
      <c r="I102" s="1533"/>
      <c r="J102" s="943"/>
      <c r="K102" s="1533"/>
      <c r="L102" s="943"/>
      <c r="M102" s="1533"/>
      <c r="N102" s="943"/>
      <c r="O102" s="1533"/>
      <c r="P102" s="943"/>
      <c r="Q102" s="1629"/>
      <c r="R102" s="943"/>
      <c r="S102" s="1629"/>
      <c r="T102" s="943"/>
      <c r="U102" s="1629"/>
      <c r="V102" s="943"/>
      <c r="W102" s="1629"/>
      <c r="X102" s="943"/>
      <c r="Y102" s="1629"/>
      <c r="Z102" s="943"/>
      <c r="AA102" s="1629"/>
      <c r="AB102" s="943"/>
      <c r="AC102" s="1629"/>
    </row>
    <row r="103" spans="1:29" ht="14.5" x14ac:dyDescent="0.35">
      <c r="A103" s="1639"/>
      <c r="B103" s="1656" t="s">
        <v>1965</v>
      </c>
      <c r="C103" s="681"/>
      <c r="D103" s="1423"/>
      <c r="E103" s="1423"/>
      <c r="F103" s="1642"/>
      <c r="G103" s="1643"/>
      <c r="H103" s="943" t="s">
        <v>671</v>
      </c>
      <c r="I103" s="1533"/>
      <c r="J103" s="943" t="s">
        <v>671</v>
      </c>
      <c r="K103" s="1533"/>
      <c r="L103" s="943" t="s">
        <v>671</v>
      </c>
      <c r="M103" s="1533"/>
      <c r="N103" s="943"/>
      <c r="O103" s="1533"/>
      <c r="P103" s="943"/>
      <c r="Q103" s="1629"/>
      <c r="R103" s="943"/>
      <c r="S103" s="1629"/>
      <c r="T103" s="943"/>
      <c r="U103" s="1629"/>
      <c r="V103" s="943" t="s">
        <v>671</v>
      </c>
      <c r="W103" s="1629"/>
      <c r="X103" s="943" t="s">
        <v>671</v>
      </c>
      <c r="Y103" s="1629"/>
      <c r="Z103" s="943" t="s">
        <v>669</v>
      </c>
      <c r="AA103" s="1657" t="s">
        <v>1966</v>
      </c>
      <c r="AB103" s="943" t="s">
        <v>669</v>
      </c>
      <c r="AC103" s="1658"/>
    </row>
    <row r="104" spans="1:29" ht="14.5" x14ac:dyDescent="0.35">
      <c r="A104" s="1639"/>
      <c r="B104" s="1656" t="s">
        <v>1967</v>
      </c>
      <c r="C104" s="681"/>
      <c r="D104" s="1423"/>
      <c r="E104" s="1423"/>
      <c r="F104" s="1642"/>
      <c r="G104" s="1643"/>
      <c r="H104" s="943" t="s">
        <v>671</v>
      </c>
      <c r="I104" s="1533"/>
      <c r="J104" s="943" t="s">
        <v>671</v>
      </c>
      <c r="K104" s="1533"/>
      <c r="L104" s="943" t="s">
        <v>671</v>
      </c>
      <c r="M104" s="1533"/>
      <c r="N104" s="943"/>
      <c r="O104" s="1533"/>
      <c r="P104" s="943"/>
      <c r="Q104" s="1629"/>
      <c r="R104" s="943"/>
      <c r="S104" s="1629"/>
      <c r="T104" s="943"/>
      <c r="U104" s="1629"/>
      <c r="V104" s="943" t="s">
        <v>671</v>
      </c>
      <c r="W104" s="1629"/>
      <c r="X104" s="943" t="s">
        <v>671</v>
      </c>
      <c r="Y104" s="1629"/>
      <c r="Z104" s="943" t="s">
        <v>669</v>
      </c>
      <c r="AA104" s="1657" t="s">
        <v>1966</v>
      </c>
      <c r="AB104" s="943" t="s">
        <v>669</v>
      </c>
      <c r="AC104" s="1658"/>
    </row>
    <row r="105" spans="1:29" ht="14.5" x14ac:dyDescent="0.35">
      <c r="A105" s="1639"/>
      <c r="B105" s="1644"/>
      <c r="C105" s="681"/>
      <c r="D105" s="1423"/>
      <c r="E105" s="1423"/>
      <c r="F105" s="1642"/>
      <c r="G105" s="1643"/>
      <c r="H105" s="943"/>
      <c r="I105" s="1533"/>
      <c r="J105" s="943"/>
      <c r="K105" s="1533"/>
      <c r="L105" s="943"/>
      <c r="M105" s="1533"/>
      <c r="N105" s="943"/>
      <c r="O105" s="1533"/>
      <c r="P105" s="943"/>
      <c r="Q105" s="1629"/>
      <c r="R105" s="943"/>
      <c r="S105" s="1629"/>
      <c r="T105" s="943"/>
      <c r="U105" s="1629"/>
      <c r="V105" s="943"/>
      <c r="W105" s="1629"/>
      <c r="X105" s="943"/>
      <c r="Y105" s="1629"/>
      <c r="Z105" s="943"/>
      <c r="AA105" s="1629"/>
      <c r="AB105" s="943"/>
      <c r="AC105" s="1629"/>
    </row>
    <row r="106" spans="1:29" ht="14.5" x14ac:dyDescent="0.35">
      <c r="A106" s="1639"/>
      <c r="B106" s="1644" t="s">
        <v>1968</v>
      </c>
      <c r="C106" s="681"/>
      <c r="D106" s="1423"/>
      <c r="E106" s="1423"/>
      <c r="F106" s="1642"/>
      <c r="G106" s="1643"/>
      <c r="H106" s="943" t="s">
        <v>669</v>
      </c>
      <c r="I106" s="1533">
        <f>I122</f>
        <v>-402692</v>
      </c>
      <c r="J106" s="943" t="s">
        <v>669</v>
      </c>
      <c r="K106" s="1533"/>
      <c r="L106" s="943" t="s">
        <v>669</v>
      </c>
      <c r="M106" s="1533">
        <v>-241055</v>
      </c>
      <c r="N106" s="943"/>
      <c r="O106" s="1533"/>
      <c r="P106" s="943"/>
      <c r="Q106" s="1629"/>
      <c r="R106" s="943"/>
      <c r="S106" s="1629"/>
      <c r="T106" s="943"/>
      <c r="U106" s="1629"/>
      <c r="V106" s="943" t="s">
        <v>669</v>
      </c>
      <c r="W106" s="1629"/>
      <c r="X106" s="943" t="s">
        <v>669</v>
      </c>
      <c r="Y106" s="1537">
        <v>-164376</v>
      </c>
      <c r="Z106" s="943" t="s">
        <v>1613</v>
      </c>
      <c r="AA106" s="1629"/>
      <c r="AB106" s="943" t="s">
        <v>669</v>
      </c>
      <c r="AC106" s="1629"/>
    </row>
    <row r="107" spans="1:29" ht="14.5" x14ac:dyDescent="0.35">
      <c r="A107" s="1639"/>
      <c r="B107" s="1644" t="s">
        <v>1969</v>
      </c>
      <c r="C107" s="681"/>
      <c r="D107" s="1423"/>
      <c r="E107" s="1423"/>
      <c r="F107" s="1642"/>
      <c r="G107" s="1643"/>
      <c r="H107" s="943" t="s">
        <v>669</v>
      </c>
      <c r="I107" s="1533"/>
      <c r="J107" s="1659" t="s">
        <v>654</v>
      </c>
      <c r="K107" s="1660">
        <v>75000</v>
      </c>
      <c r="L107" s="943" t="s">
        <v>669</v>
      </c>
      <c r="M107" s="1533"/>
      <c r="N107" s="943"/>
      <c r="O107" s="1533"/>
      <c r="P107" s="943"/>
      <c r="Q107" s="1629"/>
      <c r="R107" s="943"/>
      <c r="S107" s="1629"/>
      <c r="T107" s="943"/>
      <c r="U107" s="1629"/>
      <c r="V107" s="943" t="s">
        <v>669</v>
      </c>
      <c r="W107" s="1629"/>
      <c r="X107" s="943" t="s">
        <v>669</v>
      </c>
      <c r="Y107" s="1629"/>
      <c r="Z107" s="1661" t="s">
        <v>654</v>
      </c>
      <c r="AA107" s="1660">
        <v>75000</v>
      </c>
      <c r="AB107" s="943" t="s">
        <v>669</v>
      </c>
      <c r="AC107" s="1629"/>
    </row>
    <row r="108" spans="1:29" ht="14.5" x14ac:dyDescent="0.35">
      <c r="A108" s="1639"/>
      <c r="B108" s="1644"/>
      <c r="C108" s="681"/>
      <c r="D108" s="1423"/>
      <c r="E108" s="1423"/>
      <c r="F108" s="1642"/>
      <c r="G108" s="1643"/>
      <c r="H108" s="943"/>
      <c r="I108" s="1533"/>
      <c r="J108" s="943"/>
      <c r="K108" s="1533"/>
      <c r="L108" s="943"/>
      <c r="M108" s="1533"/>
      <c r="N108" s="943"/>
      <c r="O108" s="1632"/>
      <c r="P108" s="943"/>
      <c r="Q108" s="1629"/>
      <c r="R108" s="943"/>
      <c r="S108" s="1629"/>
      <c r="T108" s="943"/>
      <c r="U108" s="1629"/>
      <c r="V108" s="943"/>
      <c r="W108" s="1629"/>
      <c r="X108" s="943"/>
      <c r="Y108" s="1629"/>
      <c r="Z108" s="943"/>
      <c r="AA108" s="1629"/>
      <c r="AB108" s="943"/>
      <c r="AC108" s="1629"/>
    </row>
    <row r="109" spans="1:29" ht="14.5" x14ac:dyDescent="0.35">
      <c r="A109" s="14"/>
      <c r="B109" s="15"/>
      <c r="C109" s="16"/>
      <c r="D109" s="16"/>
      <c r="E109" s="17"/>
      <c r="F109" s="18" t="s">
        <v>715</v>
      </c>
      <c r="G109" s="19"/>
      <c r="H109" s="20"/>
      <c r="I109" s="53">
        <f>SUM(I35:I108)</f>
        <v>2196709</v>
      </c>
      <c r="J109" s="20"/>
      <c r="K109" s="53">
        <f>SUM(K35:K108)</f>
        <v>2337225</v>
      </c>
      <c r="L109" s="20"/>
      <c r="M109" s="53">
        <f>SUM(M35:M108)</f>
        <v>2159280</v>
      </c>
      <c r="N109" s="20"/>
      <c r="O109" s="53">
        <f>SUM(O35:O108)</f>
        <v>1844095</v>
      </c>
      <c r="P109" s="20"/>
      <c r="Q109" s="53">
        <f>SUM(Q23:Q108)</f>
        <v>3170001.8099999996</v>
      </c>
      <c r="R109" s="20"/>
      <c r="S109" s="53">
        <f>SUM(S23:S108)</f>
        <v>0</v>
      </c>
      <c r="T109" s="20"/>
      <c r="U109" s="53">
        <f>SUM(U23:U108)</f>
        <v>0</v>
      </c>
      <c r="V109" s="20"/>
      <c r="W109" s="53">
        <f>SUM(W23:W108)</f>
        <v>2529036.62</v>
      </c>
      <c r="X109" s="20"/>
      <c r="Y109" s="53">
        <f>SUM(Y23:Y108)</f>
        <v>2364660.62</v>
      </c>
      <c r="Z109" s="20"/>
      <c r="AA109" s="53">
        <f>SUM(AA23:AA108)</f>
        <v>2560480.56</v>
      </c>
      <c r="AB109" s="20"/>
      <c r="AC109" s="53">
        <f>SUM(AC23:AC108)</f>
        <v>3600000</v>
      </c>
    </row>
    <row r="110" spans="1:29" ht="14.5" x14ac:dyDescent="0.35">
      <c r="A110" s="1662"/>
      <c r="B110" s="1663"/>
      <c r="C110" s="1664"/>
      <c r="D110" s="1664"/>
      <c r="E110" s="1665"/>
      <c r="F110" s="1666" t="s">
        <v>716</v>
      </c>
      <c r="G110" s="659"/>
      <c r="H110" s="1667">
        <v>0</v>
      </c>
      <c r="I110" s="1668"/>
      <c r="J110" s="1667">
        <v>0</v>
      </c>
      <c r="K110" s="1668"/>
      <c r="L110" s="1667">
        <v>0</v>
      </c>
      <c r="M110" s="1668"/>
      <c r="N110" s="1667">
        <v>0</v>
      </c>
      <c r="O110" s="1668"/>
      <c r="P110" s="1667"/>
      <c r="Q110" s="1668"/>
      <c r="R110" s="1667"/>
      <c r="S110" s="1668"/>
      <c r="T110" s="1667">
        <v>0</v>
      </c>
      <c r="U110" s="1668"/>
      <c r="V110" s="1667">
        <v>0.01</v>
      </c>
      <c r="W110" s="1668"/>
      <c r="X110" s="1667">
        <v>0.01</v>
      </c>
      <c r="Y110" s="1668"/>
      <c r="Z110" s="1667">
        <v>0</v>
      </c>
      <c r="AA110" s="1668"/>
      <c r="AB110" s="1667">
        <v>0</v>
      </c>
      <c r="AC110" s="1668"/>
    </row>
    <row r="111" spans="1:29" ht="14.5" x14ac:dyDescent="0.35">
      <c r="A111" s="1662"/>
      <c r="B111" s="1663"/>
      <c r="C111" s="1664"/>
      <c r="D111" s="1664"/>
      <c r="E111" s="1665"/>
      <c r="F111" s="1666" t="s">
        <v>717</v>
      </c>
      <c r="G111" s="659"/>
      <c r="H111" s="1669"/>
      <c r="I111" s="1670">
        <f>I109*H110</f>
        <v>0</v>
      </c>
      <c r="J111" s="1669"/>
      <c r="K111" s="1670">
        <f>K109*J110</f>
        <v>0</v>
      </c>
      <c r="L111" s="1669"/>
      <c r="M111" s="1670">
        <f>M109*L110</f>
        <v>0</v>
      </c>
      <c r="N111" s="1669"/>
      <c r="O111" s="1670">
        <f>O109*N110</f>
        <v>0</v>
      </c>
      <c r="P111" s="1669"/>
      <c r="Q111" s="1670">
        <f>Q109*P110</f>
        <v>0</v>
      </c>
      <c r="R111" s="1669"/>
      <c r="S111" s="1670">
        <f>S109*R110</f>
        <v>0</v>
      </c>
      <c r="T111" s="1669"/>
      <c r="U111" s="1670">
        <f>U109*T110</f>
        <v>0</v>
      </c>
      <c r="V111" s="1669"/>
      <c r="W111" s="1670">
        <f>W109*V110</f>
        <v>25290.3662</v>
      </c>
      <c r="X111" s="1669"/>
      <c r="Y111" s="1670">
        <f>Y109*X110</f>
        <v>23646.606200000002</v>
      </c>
      <c r="Z111" s="1669"/>
      <c r="AA111" s="1670">
        <f>AA109*Z110</f>
        <v>0</v>
      </c>
      <c r="AB111" s="1669"/>
      <c r="AC111" s="1670">
        <f>AC109*AB110</f>
        <v>0</v>
      </c>
    </row>
    <row r="112" spans="1:29" ht="14.5" x14ac:dyDescent="0.35">
      <c r="A112" s="1662"/>
      <c r="B112" s="1663"/>
      <c r="C112" s="1664"/>
      <c r="D112" s="1664"/>
      <c r="E112" s="1665"/>
      <c r="F112" s="1666"/>
      <c r="G112" s="659"/>
      <c r="H112" s="1669"/>
      <c r="I112" s="1669"/>
      <c r="J112" s="1669"/>
      <c r="K112" s="1669"/>
      <c r="L112" s="1669"/>
      <c r="M112" s="1669"/>
      <c r="N112" s="1669"/>
      <c r="O112" s="1669"/>
      <c r="P112" s="1669"/>
      <c r="Q112" s="1669"/>
      <c r="R112" s="1669"/>
      <c r="S112" s="1669"/>
      <c r="T112" s="1669"/>
      <c r="U112" s="1669"/>
      <c r="V112" s="1669"/>
      <c r="W112" s="1669"/>
      <c r="X112" s="1669"/>
      <c r="Y112" s="1669"/>
      <c r="Z112" s="1669"/>
      <c r="AA112" s="1669"/>
      <c r="AB112" s="1669"/>
      <c r="AC112" s="1669"/>
    </row>
    <row r="113" spans="1:29" ht="14.5" x14ac:dyDescent="0.35">
      <c r="A113" s="1662"/>
      <c r="B113" s="1663"/>
      <c r="C113" s="1664"/>
      <c r="D113" s="1664"/>
      <c r="E113" s="1665"/>
      <c r="F113" s="1666" t="s">
        <v>718</v>
      </c>
      <c r="G113" s="659"/>
      <c r="H113" s="1671"/>
      <c r="I113" s="1672">
        <f>SUM(I109:I111)</f>
        <v>2196709</v>
      </c>
      <c r="J113" s="1671"/>
      <c r="K113" s="1672">
        <f>SUM(K109:K111)</f>
        <v>2337225</v>
      </c>
      <c r="L113" s="1671"/>
      <c r="M113" s="1672">
        <f>SUM(M109:M111)</f>
        <v>2159280</v>
      </c>
      <c r="N113" s="1671"/>
      <c r="O113" s="1672">
        <f>SUM(O109:O111)</f>
        <v>1844095</v>
      </c>
      <c r="P113" s="1671"/>
      <c r="Q113" s="1672">
        <f>SUM(Q109:Q111)</f>
        <v>3170001.8099999996</v>
      </c>
      <c r="R113" s="1671"/>
      <c r="S113" s="1672">
        <f>SUM(S109:S111)</f>
        <v>0</v>
      </c>
      <c r="T113" s="1671"/>
      <c r="U113" s="1672">
        <f>SUM(U109:U111)</f>
        <v>0</v>
      </c>
      <c r="V113" s="1671"/>
      <c r="W113" s="1672">
        <f>SUM(W109:W111)</f>
        <v>2554326.9862000002</v>
      </c>
      <c r="X113" s="1671"/>
      <c r="Y113" s="1672">
        <f>SUM(Y109:Y111)</f>
        <v>2388307.2261999999</v>
      </c>
      <c r="Z113" s="1671"/>
      <c r="AA113" s="1672">
        <f>SUM(AA109:AA111)</f>
        <v>2560480.56</v>
      </c>
      <c r="AB113" s="1671"/>
      <c r="AC113" s="1672">
        <f>SUM(AC109:AC111)</f>
        <v>3600000</v>
      </c>
    </row>
    <row r="114" spans="1:29" ht="14.5" x14ac:dyDescent="0.35">
      <c r="A114" s="1662"/>
      <c r="B114" s="1663"/>
      <c r="C114" s="1664"/>
      <c r="D114" s="1664"/>
      <c r="E114" s="1665"/>
      <c r="F114" s="1673" t="s">
        <v>719</v>
      </c>
      <c r="G114" s="661"/>
      <c r="H114" s="1674"/>
      <c r="I114" s="1675" t="e">
        <f>I113/#REF!</f>
        <v>#REF!</v>
      </c>
      <c r="J114" s="1674"/>
      <c r="K114" s="1675" t="e">
        <f>K113/#REF!</f>
        <v>#REF!</v>
      </c>
      <c r="L114" s="1674"/>
      <c r="M114" s="1675" t="e">
        <f>M113/#REF!</f>
        <v>#REF!</v>
      </c>
      <c r="N114" s="1674"/>
      <c r="O114" s="1675" t="e">
        <f>O113/#REF!</f>
        <v>#REF!</v>
      </c>
      <c r="P114" s="1674"/>
      <c r="Q114" s="1675" t="e">
        <f>Q113/#REF!</f>
        <v>#REF!</v>
      </c>
      <c r="R114" s="1674"/>
      <c r="S114" s="1675" t="e">
        <f>S113/#REF!</f>
        <v>#REF!</v>
      </c>
      <c r="T114" s="1674"/>
      <c r="U114" s="1675" t="e">
        <f>U113/#REF!</f>
        <v>#REF!</v>
      </c>
      <c r="V114" s="1674"/>
      <c r="W114" s="1675" t="e">
        <f>W113/#REF!</f>
        <v>#REF!</v>
      </c>
      <c r="X114" s="1674"/>
      <c r="Y114" s="1675" t="e">
        <f>Y113/#REF!</f>
        <v>#REF!</v>
      </c>
      <c r="Z114" s="1674"/>
      <c r="AA114" s="1675" t="e">
        <f>AA113/#REF!</f>
        <v>#REF!</v>
      </c>
      <c r="AB114" s="1674"/>
      <c r="AC114" s="1675" t="e">
        <f>AC113/#REF!</f>
        <v>#REF!</v>
      </c>
    </row>
    <row r="115" spans="1:29" ht="14.25" customHeight="1" x14ac:dyDescent="0.35">
      <c r="A115" s="1662"/>
      <c r="B115" s="1663"/>
      <c r="C115" s="1664"/>
      <c r="D115" s="1664"/>
      <c r="E115" s="1665"/>
      <c r="F115" s="1673" t="s">
        <v>720</v>
      </c>
      <c r="G115" s="662"/>
      <c r="H115" s="1674"/>
      <c r="I115" s="1675" t="e">
        <f>I113/#REF!</f>
        <v>#REF!</v>
      </c>
      <c r="J115" s="1674"/>
      <c r="K115" s="1675" t="e">
        <f>K113/#REF!</f>
        <v>#REF!</v>
      </c>
      <c r="L115" s="1674"/>
      <c r="M115" s="1675" t="e">
        <f>M113/#REF!</f>
        <v>#REF!</v>
      </c>
      <c r="N115" s="1674"/>
      <c r="O115" s="1675" t="e">
        <f>O113/#REF!</f>
        <v>#REF!</v>
      </c>
      <c r="P115" s="1674"/>
      <c r="Q115" s="1675" t="e">
        <f>Q113/#REF!</f>
        <v>#REF!</v>
      </c>
      <c r="R115" s="1674"/>
      <c r="S115" s="1675" t="e">
        <f>S113/#REF!</f>
        <v>#REF!</v>
      </c>
      <c r="T115" s="1674"/>
      <c r="U115" s="1675" t="e">
        <f>U113/#REF!</f>
        <v>#REF!</v>
      </c>
      <c r="V115" s="1674"/>
      <c r="W115" s="1675" t="e">
        <f>W113/#REF!</f>
        <v>#REF!</v>
      </c>
      <c r="X115" s="1674"/>
      <c r="Y115" s="1675" t="e">
        <f>Y113/#REF!</f>
        <v>#REF!</v>
      </c>
      <c r="Z115" s="1674"/>
      <c r="AA115" s="1675" t="e">
        <f>AA113/#REF!</f>
        <v>#REF!</v>
      </c>
      <c r="AB115" s="1674"/>
      <c r="AC115" s="1675" t="e">
        <f>AC113/#REF!</f>
        <v>#REF!</v>
      </c>
    </row>
    <row r="116" spans="1:29" ht="14.5" x14ac:dyDescent="0.35">
      <c r="A116" s="1662"/>
      <c r="B116" s="1663"/>
      <c r="C116" s="1664"/>
      <c r="D116" s="1664"/>
      <c r="E116" s="1665"/>
      <c r="F116" s="1666"/>
      <c r="G116" s="663"/>
      <c r="H116" s="1676"/>
      <c r="I116" s="1676"/>
      <c r="J116" s="1676"/>
      <c r="K116" s="1676"/>
      <c r="L116" s="1676"/>
      <c r="M116" s="1676"/>
      <c r="N116" s="1677"/>
      <c r="O116" s="1678"/>
      <c r="P116" s="1676"/>
      <c r="Q116" s="1676"/>
      <c r="R116" s="1676"/>
      <c r="S116" s="1676"/>
      <c r="T116" s="1676"/>
      <c r="U116" s="1676"/>
      <c r="V116" s="1676"/>
      <c r="W116" s="1676"/>
      <c r="X116" s="1676"/>
      <c r="Y116" s="1676"/>
      <c r="Z116" s="1676"/>
      <c r="AA116" s="1676"/>
      <c r="AB116" s="1676"/>
      <c r="AC116" s="1676"/>
    </row>
    <row r="117" spans="1:29" ht="14.5" x14ac:dyDescent="0.35">
      <c r="A117" s="3764" t="s">
        <v>721</v>
      </c>
      <c r="B117" s="3765"/>
      <c r="C117" s="12"/>
      <c r="D117" s="12"/>
      <c r="E117" s="12"/>
      <c r="F117" s="12"/>
      <c r="G117" s="13"/>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spans="1:29" ht="14.5" x14ac:dyDescent="0.35">
      <c r="A118" s="1619"/>
      <c r="B118" s="1422" t="s">
        <v>1970</v>
      </c>
      <c r="C118" s="1620"/>
      <c r="D118" s="1620"/>
      <c r="E118" s="1620"/>
      <c r="F118" s="1620"/>
      <c r="G118" s="1621"/>
      <c r="H118" s="1622"/>
      <c r="I118" s="1622"/>
      <c r="J118" s="1622"/>
      <c r="K118" s="1622"/>
      <c r="L118" s="1622"/>
      <c r="M118" s="1622"/>
      <c r="N118" s="1622"/>
      <c r="O118" s="1622"/>
      <c r="P118" s="1622"/>
      <c r="Q118" s="1622"/>
      <c r="R118" s="1622"/>
      <c r="S118" s="1622"/>
      <c r="T118" s="1622"/>
      <c r="U118" s="1622"/>
      <c r="V118" s="1622"/>
      <c r="W118" s="1622"/>
      <c r="X118" s="1622"/>
      <c r="Y118" s="1622"/>
      <c r="Z118" s="1622"/>
      <c r="AA118" s="1622"/>
      <c r="AB118" s="1622"/>
      <c r="AC118" s="1622"/>
    </row>
    <row r="119" spans="1:29" ht="14.5" x14ac:dyDescent="0.35">
      <c r="A119" s="1619"/>
      <c r="B119" s="1422" t="s">
        <v>1971</v>
      </c>
      <c r="C119" s="1620"/>
      <c r="D119" s="1620"/>
      <c r="E119" s="1620"/>
      <c r="F119" s="1620"/>
      <c r="G119" s="1621"/>
      <c r="H119" s="1622"/>
      <c r="I119" s="1622"/>
      <c r="J119" s="1622"/>
      <c r="K119" s="1622"/>
      <c r="L119" s="1622"/>
      <c r="M119" s="1622"/>
      <c r="N119" s="1622"/>
      <c r="O119" s="1622"/>
      <c r="P119" s="1622"/>
      <c r="Q119" s="1622"/>
      <c r="R119" s="1622"/>
      <c r="S119" s="1622"/>
      <c r="T119" s="1622"/>
      <c r="U119" s="1622"/>
      <c r="V119" s="1622"/>
      <c r="W119" s="1622"/>
      <c r="X119" s="1622"/>
      <c r="Y119" s="1622"/>
      <c r="Z119" s="1622"/>
      <c r="AA119" s="1622"/>
      <c r="AB119" s="1622"/>
      <c r="AC119" s="1622"/>
    </row>
    <row r="120" spans="1:29" ht="14.5" x14ac:dyDescent="0.35">
      <c r="A120" s="1619"/>
      <c r="B120" s="1422"/>
      <c r="C120" s="1620"/>
      <c r="D120" s="1620"/>
      <c r="E120" s="1620"/>
      <c r="F120" s="1620"/>
      <c r="G120" s="1621"/>
      <c r="H120" s="1622"/>
      <c r="I120" s="1622"/>
      <c r="J120" s="1622"/>
      <c r="K120" s="1622"/>
      <c r="L120" s="1622"/>
      <c r="M120" s="1622"/>
      <c r="N120" s="1622"/>
      <c r="O120" s="1622"/>
      <c r="P120" s="1622"/>
      <c r="Q120" s="1622"/>
      <c r="R120" s="1622"/>
      <c r="S120" s="1622"/>
      <c r="T120" s="1622"/>
      <c r="U120" s="1622"/>
      <c r="V120" s="1622"/>
      <c r="W120" s="1622"/>
      <c r="X120" s="1622"/>
      <c r="Y120" s="1622"/>
      <c r="Z120" s="1622"/>
      <c r="AA120" s="1622"/>
      <c r="AB120" s="1622"/>
      <c r="AC120" s="1622"/>
    </row>
    <row r="121" spans="1:29" s="2" customFormat="1" ht="14.5" x14ac:dyDescent="0.35">
      <c r="A121" s="3764" t="s">
        <v>722</v>
      </c>
      <c r="B121" s="3765"/>
      <c r="C121" s="12"/>
      <c r="D121" s="12"/>
      <c r="E121" s="12"/>
      <c r="F121" s="12"/>
      <c r="G121" s="13"/>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spans="1:29" s="2" customFormat="1" ht="14.5" x14ac:dyDescent="0.35">
      <c r="A122" s="1619"/>
      <c r="B122" s="1422" t="s">
        <v>1972</v>
      </c>
      <c r="C122" s="1620"/>
      <c r="D122" s="1620"/>
      <c r="E122" s="1620"/>
      <c r="F122" s="1620"/>
      <c r="G122" s="1621"/>
      <c r="H122" s="943" t="s">
        <v>669</v>
      </c>
      <c r="I122" s="1622">
        <f>-73640-164060-164992</f>
        <v>-402692</v>
      </c>
      <c r="J122" s="943"/>
      <c r="K122" s="1622"/>
      <c r="L122" s="943" t="s">
        <v>669</v>
      </c>
      <c r="M122" s="1622">
        <v>-241055</v>
      </c>
      <c r="N122" s="1622"/>
      <c r="O122" s="1622"/>
      <c r="P122" s="1622"/>
      <c r="Q122" s="1622"/>
      <c r="R122" s="1622"/>
      <c r="S122" s="1622"/>
      <c r="T122" s="1622"/>
      <c r="U122" s="1622"/>
      <c r="V122" s="943" t="s">
        <v>669</v>
      </c>
      <c r="W122" s="1622">
        <f>-164376</f>
        <v>-164376</v>
      </c>
      <c r="X122" s="943" t="s">
        <v>669</v>
      </c>
      <c r="Y122" s="1622">
        <f>-164376</f>
        <v>-164376</v>
      </c>
      <c r="Z122" s="1622"/>
      <c r="AA122" s="1622"/>
      <c r="AB122" s="1622"/>
      <c r="AC122" s="1622"/>
    </row>
    <row r="123" spans="1:29" s="2" customFormat="1" ht="14.5" x14ac:dyDescent="0.35">
      <c r="A123" s="1619"/>
      <c r="B123" s="1422"/>
      <c r="C123" s="1620"/>
      <c r="D123" s="1620"/>
      <c r="E123" s="1620"/>
      <c r="F123" s="1620"/>
      <c r="G123" s="1621"/>
      <c r="H123" s="1622"/>
      <c r="I123" s="1622"/>
      <c r="J123" s="1622"/>
      <c r="K123" s="1622"/>
      <c r="L123" s="1622"/>
      <c r="M123" s="1622"/>
      <c r="N123" s="1622"/>
      <c r="O123" s="1622"/>
      <c r="P123" s="1622"/>
      <c r="Q123" s="1622"/>
      <c r="R123" s="1622"/>
      <c r="S123" s="1622"/>
      <c r="T123" s="1622"/>
      <c r="U123" s="1622"/>
      <c r="V123" s="1622"/>
      <c r="W123" s="1622"/>
      <c r="X123" s="1622"/>
      <c r="Y123" s="1622"/>
      <c r="Z123" s="1622"/>
      <c r="AA123" s="1622"/>
      <c r="AB123" s="1622"/>
      <c r="AC123" s="1622"/>
    </row>
    <row r="124" spans="1:29" ht="14.5" x14ac:dyDescent="0.35">
      <c r="A124" s="1619"/>
      <c r="B124" s="1422"/>
      <c r="C124" s="1620"/>
      <c r="D124" s="1620"/>
      <c r="E124" s="1620"/>
      <c r="F124" s="1620"/>
      <c r="G124" s="1621"/>
      <c r="H124" s="1622"/>
      <c r="I124" s="1622"/>
      <c r="J124" s="1622"/>
      <c r="K124" s="1622"/>
      <c r="L124" s="1622"/>
      <c r="M124" s="1622"/>
      <c r="N124" s="1622"/>
      <c r="O124" s="1622"/>
      <c r="P124" s="1622"/>
      <c r="Q124" s="1622"/>
      <c r="R124" s="1622"/>
      <c r="S124" s="1622"/>
      <c r="T124" s="1622"/>
      <c r="U124" s="1622"/>
      <c r="V124" s="1622"/>
      <c r="W124" s="1622"/>
      <c r="X124" s="1622"/>
      <c r="Y124" s="1622"/>
      <c r="Z124" s="1622"/>
      <c r="AA124" s="1622"/>
      <c r="AB124" s="1622"/>
      <c r="AC124" s="1622"/>
    </row>
    <row r="125" spans="1:29" s="2" customFormat="1" ht="14.5" x14ac:dyDescent="0.35">
      <c r="A125" s="3764" t="s">
        <v>723</v>
      </c>
      <c r="B125" s="3765"/>
      <c r="C125" s="12"/>
      <c r="D125" s="12"/>
      <c r="E125" s="12"/>
      <c r="F125" s="12"/>
      <c r="G125" s="13"/>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spans="1:29" s="2" customFormat="1" ht="14.5" x14ac:dyDescent="0.35">
      <c r="A126" s="1619"/>
      <c r="B126" s="1422" t="s">
        <v>1973</v>
      </c>
      <c r="C126" s="1620"/>
      <c r="D126" s="1620"/>
      <c r="E126" s="1620"/>
      <c r="F126" s="1620"/>
      <c r="G126" s="1621"/>
      <c r="H126" s="1622"/>
      <c r="I126" s="1622"/>
      <c r="J126" s="1622"/>
      <c r="K126" s="1622"/>
      <c r="L126" s="1622"/>
      <c r="M126" s="1622"/>
      <c r="N126" s="1622"/>
      <c r="O126" s="1622"/>
      <c r="P126" s="1622"/>
      <c r="Q126" s="1622"/>
      <c r="R126" s="1622"/>
      <c r="S126" s="1622"/>
      <c r="T126" s="1622"/>
      <c r="U126" s="1622"/>
      <c r="V126" s="1622"/>
      <c r="W126" s="1622"/>
      <c r="X126" s="1622"/>
      <c r="Y126" s="1622"/>
      <c r="Z126" s="1622"/>
      <c r="AA126" s="1622"/>
      <c r="AB126" s="1622"/>
      <c r="AC126" s="1622"/>
    </row>
    <row r="127" spans="1:29" s="2" customFormat="1" ht="14.5" x14ac:dyDescent="0.35">
      <c r="A127" s="1426"/>
      <c r="B127" s="1422" t="s">
        <v>1963</v>
      </c>
      <c r="C127" s="1423"/>
      <c r="D127" s="1423"/>
      <c r="E127" s="1423"/>
      <c r="F127" s="1423"/>
      <c r="G127" s="646"/>
      <c r="H127" s="1679"/>
      <c r="I127" s="1679"/>
      <c r="J127" s="1679"/>
      <c r="K127" s="1679"/>
      <c r="L127" s="943"/>
      <c r="M127" s="1679"/>
      <c r="N127" s="1679"/>
      <c r="O127" s="1679"/>
      <c r="P127" s="1679"/>
      <c r="Q127" s="1679"/>
      <c r="R127" s="1679"/>
      <c r="S127" s="1679"/>
      <c r="T127" s="1679"/>
      <c r="U127" s="1679"/>
      <c r="V127" s="943" t="s">
        <v>669</v>
      </c>
      <c r="W127" s="1679">
        <v>54440</v>
      </c>
      <c r="X127" s="943" t="s">
        <v>669</v>
      </c>
      <c r="Y127" s="1679">
        <v>54440</v>
      </c>
      <c r="Z127" s="943" t="s">
        <v>669</v>
      </c>
      <c r="AA127" s="1679">
        <f>300*1</f>
        <v>300</v>
      </c>
      <c r="AB127" s="943" t="s">
        <v>669</v>
      </c>
      <c r="AC127" s="1679">
        <f>300*158</f>
        <v>47400</v>
      </c>
    </row>
    <row r="128" spans="1:29" s="2" customFormat="1" ht="14.5" x14ac:dyDescent="0.35">
      <c r="A128" s="1680"/>
      <c r="B128" s="1681" t="s">
        <v>1974</v>
      </c>
      <c r="C128" s="1423"/>
      <c r="D128" s="1423"/>
      <c r="E128" s="1423"/>
      <c r="F128" s="1423"/>
      <c r="G128" s="646"/>
      <c r="H128" s="1682"/>
      <c r="I128" s="1682"/>
      <c r="J128" s="1682"/>
      <c r="K128" s="1682"/>
      <c r="L128" s="943"/>
      <c r="M128" s="1682"/>
      <c r="N128" s="1682"/>
      <c r="O128" s="1682"/>
      <c r="P128" s="1682"/>
      <c r="Q128" s="1682"/>
      <c r="R128" s="1682"/>
      <c r="S128" s="1682"/>
      <c r="T128" s="1682"/>
      <c r="U128" s="1682"/>
      <c r="V128" s="943" t="s">
        <v>669</v>
      </c>
      <c r="W128" s="1679">
        <v>46250</v>
      </c>
      <c r="X128" s="943" t="s">
        <v>669</v>
      </c>
      <c r="Y128" s="1679">
        <v>46250</v>
      </c>
      <c r="Z128" s="1682"/>
      <c r="AA128" s="1682"/>
      <c r="AB128" s="1682"/>
      <c r="AC128" s="1682"/>
    </row>
    <row r="129" spans="1:29" s="2" customFormat="1" ht="14.5" x14ac:dyDescent="0.35">
      <c r="A129" s="3764" t="s">
        <v>724</v>
      </c>
      <c r="B129" s="3765"/>
      <c r="C129" s="12"/>
      <c r="D129" s="12"/>
      <c r="E129" s="12"/>
      <c r="F129" s="12"/>
      <c r="G129" s="13"/>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spans="1:29" ht="14.5" x14ac:dyDescent="0.35">
      <c r="A130" s="1623"/>
      <c r="B130" s="1624" t="s">
        <v>1975</v>
      </c>
      <c r="C130" s="1620"/>
      <c r="D130" s="1620"/>
      <c r="E130" s="1620"/>
      <c r="F130" s="1620"/>
      <c r="G130" s="1621"/>
      <c r="H130" s="1622"/>
      <c r="I130" s="1622"/>
      <c r="J130" s="1622"/>
      <c r="K130" s="1622"/>
      <c r="L130" s="1622"/>
      <c r="M130" s="1622"/>
      <c r="N130" s="1622"/>
      <c r="O130" s="1622"/>
      <c r="P130" s="1622"/>
      <c r="Q130" s="1622"/>
      <c r="R130" s="1622"/>
      <c r="S130" s="1622"/>
      <c r="T130" s="1622"/>
      <c r="U130" s="1622"/>
      <c r="V130" s="943" t="s">
        <v>669</v>
      </c>
      <c r="W130" s="1622">
        <f>-33129</f>
        <v>-33129</v>
      </c>
      <c r="X130" s="943" t="s">
        <v>669</v>
      </c>
      <c r="Y130" s="1622">
        <f>-33129</f>
        <v>-33129</v>
      </c>
      <c r="Z130" s="1622"/>
      <c r="AA130" s="1622"/>
      <c r="AB130" s="1622"/>
      <c r="AC130" s="1622"/>
    </row>
    <row r="131" spans="1:29" ht="14.5" x14ac:dyDescent="0.35">
      <c r="A131" s="1680"/>
      <c r="B131" s="1681" t="s">
        <v>1976</v>
      </c>
      <c r="C131" s="1423"/>
      <c r="D131" s="1423"/>
      <c r="E131" s="1423"/>
      <c r="F131" s="1423"/>
      <c r="G131" s="646"/>
      <c r="H131" s="1683"/>
      <c r="I131" s="1683"/>
      <c r="J131" s="1683"/>
      <c r="K131" s="1683"/>
      <c r="L131" s="1683"/>
      <c r="M131" s="1683"/>
      <c r="N131" s="1683"/>
      <c r="O131" s="1683"/>
      <c r="P131" s="1683"/>
      <c r="Q131" s="1683"/>
      <c r="R131" s="1683"/>
      <c r="S131" s="1683"/>
      <c r="T131" s="1683"/>
      <c r="U131" s="1683"/>
      <c r="V131" s="943" t="s">
        <v>669</v>
      </c>
      <c r="W131" s="1683">
        <f>-35258</f>
        <v>-35258</v>
      </c>
      <c r="X131" s="943" t="s">
        <v>669</v>
      </c>
      <c r="Y131" s="1683">
        <f>-35258</f>
        <v>-35258</v>
      </c>
      <c r="Z131" s="1683"/>
      <c r="AA131" s="1683"/>
      <c r="AB131" s="1683"/>
      <c r="AC131" s="1683"/>
    </row>
    <row r="132" spans="1:29" ht="14.5" x14ac:dyDescent="0.35">
      <c r="A132" s="1680"/>
      <c r="B132" s="1681" t="s">
        <v>1977</v>
      </c>
      <c r="C132" s="1423"/>
      <c r="D132" s="1423"/>
      <c r="E132" s="1423"/>
      <c r="F132" s="1423"/>
      <c r="G132" s="646"/>
      <c r="H132" s="1683"/>
      <c r="I132" s="1683"/>
      <c r="J132" s="1683"/>
      <c r="K132" s="1683"/>
      <c r="L132" s="1683"/>
      <c r="M132" s="1683"/>
      <c r="N132" s="1683"/>
      <c r="O132" s="1683"/>
      <c r="P132" s="1683"/>
      <c r="Q132" s="1683"/>
      <c r="R132" s="1683"/>
      <c r="S132" s="1683"/>
      <c r="T132" s="1683"/>
      <c r="U132" s="1683"/>
      <c r="V132" s="943" t="s">
        <v>669</v>
      </c>
      <c r="W132" s="1683">
        <f>-185556</f>
        <v>-185556</v>
      </c>
      <c r="X132" s="943" t="s">
        <v>669</v>
      </c>
      <c r="Y132" s="1683">
        <f>-185556</f>
        <v>-185556</v>
      </c>
      <c r="Z132" s="1683"/>
      <c r="AA132" s="1683"/>
      <c r="AB132" s="1683"/>
      <c r="AC132" s="1683"/>
    </row>
    <row r="133" spans="1:29" ht="14.5" x14ac:dyDescent="0.35">
      <c r="A133" s="1680"/>
      <c r="B133" s="1681" t="s">
        <v>1978</v>
      </c>
      <c r="C133" s="1423"/>
      <c r="D133" s="1423"/>
      <c r="E133" s="1423"/>
      <c r="F133" s="1423"/>
      <c r="G133" s="646"/>
      <c r="H133" s="1683"/>
      <c r="I133" s="1683"/>
      <c r="J133" s="1683"/>
      <c r="K133" s="1683"/>
      <c r="L133" s="1683"/>
      <c r="M133" s="1683"/>
      <c r="N133" s="1683"/>
      <c r="O133" s="1683"/>
      <c r="P133" s="1683"/>
      <c r="Q133" s="1683"/>
      <c r="R133" s="1683"/>
      <c r="S133" s="1683"/>
      <c r="T133" s="1683"/>
      <c r="U133" s="1683"/>
      <c r="V133" s="943"/>
      <c r="W133" s="1683"/>
      <c r="X133" s="943"/>
      <c r="Y133" s="1683"/>
      <c r="Z133" s="1683"/>
      <c r="AA133" s="1683"/>
      <c r="AB133" s="1683"/>
      <c r="AC133" s="1683"/>
    </row>
    <row r="134" spans="1:29" ht="14.5" x14ac:dyDescent="0.35">
      <c r="A134" s="3764" t="s">
        <v>725</v>
      </c>
      <c r="B134" s="3765"/>
      <c r="C134" s="12"/>
      <c r="D134" s="12"/>
      <c r="E134" s="12"/>
      <c r="F134" s="12"/>
      <c r="G134" s="13"/>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spans="1:29" ht="14.5" x14ac:dyDescent="0.35">
      <c r="A135" s="1426"/>
      <c r="B135" s="1422" t="s">
        <v>726</v>
      </c>
      <c r="C135" s="1423"/>
      <c r="D135" s="1423"/>
      <c r="E135" s="1423"/>
      <c r="F135" s="1423"/>
      <c r="G135" s="646"/>
      <c r="H135" s="1683"/>
      <c r="I135" s="1683"/>
      <c r="J135" s="1683"/>
      <c r="K135" s="1683"/>
      <c r="L135" s="1683"/>
      <c r="M135" s="1683"/>
      <c r="N135" s="1683"/>
      <c r="O135" s="1683"/>
      <c r="P135" s="1683"/>
      <c r="Q135" s="1683"/>
      <c r="R135" s="1683"/>
      <c r="S135" s="1683"/>
      <c r="T135" s="1683"/>
      <c r="U135" s="1683"/>
      <c r="V135" s="1683"/>
      <c r="W135" s="1683"/>
      <c r="X135" s="1683"/>
      <c r="Y135" s="1683"/>
      <c r="Z135" s="1683"/>
      <c r="AA135" s="1683"/>
      <c r="AB135" s="1683"/>
      <c r="AC135" s="1683"/>
    </row>
    <row r="136" spans="1:29" ht="14.5" x14ac:dyDescent="0.35">
      <c r="A136" s="1426"/>
      <c r="B136" s="1422" t="s">
        <v>727</v>
      </c>
      <c r="C136" s="1423"/>
      <c r="D136" s="1423"/>
      <c r="E136" s="1423"/>
      <c r="F136" s="1423"/>
      <c r="G136" s="646"/>
      <c r="H136" s="1683"/>
      <c r="I136" s="1683"/>
      <c r="J136" s="1683"/>
      <c r="K136" s="1683"/>
      <c r="L136" s="1683"/>
      <c r="M136" s="1683"/>
      <c r="N136" s="1683"/>
      <c r="O136" s="1683"/>
      <c r="P136" s="1683"/>
      <c r="Q136" s="1683"/>
      <c r="R136" s="1683"/>
      <c r="S136" s="1683"/>
      <c r="T136" s="1683"/>
      <c r="U136" s="1683"/>
      <c r="V136" s="1683"/>
      <c r="W136" s="1683"/>
      <c r="X136" s="1683"/>
      <c r="Y136" s="1683"/>
      <c r="Z136" s="1683"/>
      <c r="AA136" s="1683"/>
      <c r="AB136" s="1683"/>
      <c r="AC136" s="1683"/>
    </row>
    <row r="137" spans="1:29" ht="14.5" x14ac:dyDescent="0.35">
      <c r="A137" s="1426"/>
      <c r="B137" s="1422" t="s">
        <v>728</v>
      </c>
      <c r="C137" s="1423"/>
      <c r="D137" s="1423"/>
      <c r="E137" s="1423"/>
      <c r="F137" s="1423"/>
      <c r="G137" s="646"/>
      <c r="H137" s="1683"/>
      <c r="I137" s="1683"/>
      <c r="J137" s="1683"/>
      <c r="K137" s="1683"/>
      <c r="L137" s="1683"/>
      <c r="M137" s="1683"/>
      <c r="N137" s="1683"/>
      <c r="O137" s="1683"/>
      <c r="P137" s="1683"/>
      <c r="Q137" s="1683"/>
      <c r="R137" s="1683"/>
      <c r="S137" s="1683"/>
      <c r="T137" s="1683"/>
      <c r="U137" s="1683"/>
      <c r="V137" s="1683"/>
      <c r="W137" s="1683"/>
      <c r="X137" s="1683"/>
      <c r="Y137" s="1683"/>
      <c r="Z137" s="1683"/>
      <c r="AA137" s="1683"/>
      <c r="AB137" s="1683"/>
      <c r="AC137" s="1683"/>
    </row>
    <row r="138" spans="1:29" ht="14.5" x14ac:dyDescent="0.35">
      <c r="A138" s="1426"/>
      <c r="B138" s="1422" t="s">
        <v>729</v>
      </c>
      <c r="C138" s="1423"/>
      <c r="D138" s="1423"/>
      <c r="E138" s="1423"/>
      <c r="F138" s="1423"/>
      <c r="G138" s="646"/>
      <c r="H138" s="1683"/>
      <c r="I138" s="1683"/>
      <c r="J138" s="1683"/>
      <c r="K138" s="1683"/>
      <c r="L138" s="1683"/>
      <c r="M138" s="1683"/>
      <c r="N138" s="1683"/>
      <c r="O138" s="1683"/>
      <c r="P138" s="1683"/>
      <c r="Q138" s="1683"/>
      <c r="R138" s="1683"/>
      <c r="S138" s="1683"/>
      <c r="T138" s="1683"/>
      <c r="U138" s="1683"/>
      <c r="V138" s="1683"/>
      <c r="W138" s="1683"/>
      <c r="X138" s="1683"/>
      <c r="Y138" s="1683"/>
      <c r="Z138" s="1683"/>
      <c r="AA138" s="1683"/>
      <c r="AB138" s="1683"/>
      <c r="AC138" s="1683"/>
    </row>
    <row r="139" spans="1:29" ht="14.5" x14ac:dyDescent="0.35">
      <c r="A139" s="978"/>
      <c r="B139" s="939"/>
      <c r="C139" s="940"/>
      <c r="D139" s="940"/>
      <c r="E139" s="940"/>
      <c r="F139" s="940"/>
      <c r="G139" s="1039"/>
      <c r="H139" s="981"/>
      <c r="I139" s="981"/>
      <c r="J139" s="981"/>
      <c r="K139" s="981"/>
      <c r="L139" s="981"/>
      <c r="M139" s="981"/>
      <c r="N139" s="981"/>
      <c r="O139" s="981"/>
      <c r="P139" s="981"/>
      <c r="Q139" s="981"/>
      <c r="R139" s="981"/>
      <c r="S139" s="981"/>
      <c r="T139" s="981"/>
      <c r="U139" s="981"/>
      <c r="V139" s="981"/>
      <c r="W139" s="981"/>
      <c r="X139" s="981"/>
      <c r="Y139" s="981"/>
      <c r="Z139" s="981"/>
      <c r="AA139" s="981"/>
      <c r="AB139" s="981"/>
      <c r="AC139" s="981"/>
    </row>
    <row r="140" spans="1:29" ht="14.5" x14ac:dyDescent="0.35">
      <c r="A140" s="7" t="s">
        <v>730</v>
      </c>
      <c r="B140" s="8"/>
      <c r="C140" s="12"/>
      <c r="D140" s="12"/>
      <c r="E140" s="12"/>
      <c r="F140" s="12"/>
      <c r="G140" s="13"/>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spans="1:29" ht="14.5" x14ac:dyDescent="0.35">
      <c r="A141" s="1619"/>
      <c r="B141" s="1625" t="s">
        <v>731</v>
      </c>
      <c r="C141" s="1620"/>
      <c r="D141" s="1620"/>
      <c r="E141" s="1620"/>
      <c r="F141" s="1620"/>
      <c r="G141" s="1621"/>
      <c r="H141" s="1626"/>
      <c r="I141" s="1626"/>
      <c r="J141" s="1626"/>
      <c r="K141" s="1626"/>
      <c r="L141" s="1626"/>
      <c r="M141" s="1626"/>
      <c r="N141" s="1626"/>
      <c r="O141" s="1626"/>
      <c r="P141" s="1626"/>
      <c r="Q141" s="1626"/>
      <c r="R141" s="1626"/>
      <c r="S141" s="1626"/>
      <c r="T141" s="1626"/>
      <c r="U141" s="1626"/>
      <c r="V141" s="1626"/>
      <c r="W141" s="1626"/>
      <c r="X141" s="1626"/>
      <c r="Y141" s="1626"/>
      <c r="Z141" s="1626"/>
      <c r="AA141" s="1626"/>
      <c r="AB141" s="1626"/>
      <c r="AC141" s="1626"/>
    </row>
    <row r="142" spans="1:29" ht="14.5" x14ac:dyDescent="0.35">
      <c r="A142" s="1426"/>
      <c r="B142" s="1422" t="s">
        <v>732</v>
      </c>
      <c r="C142" s="1423"/>
      <c r="D142" s="1423"/>
      <c r="E142" s="1423"/>
      <c r="F142" s="1423"/>
      <c r="G142" s="646"/>
      <c r="H142" s="1684"/>
      <c r="I142" s="1684"/>
      <c r="J142" s="1684"/>
      <c r="K142" s="1684"/>
      <c r="L142" s="1684"/>
      <c r="M142" s="1684"/>
      <c r="N142" s="1684"/>
      <c r="O142" s="1684"/>
      <c r="P142" s="1684"/>
      <c r="Q142" s="1684"/>
      <c r="R142" s="1684"/>
      <c r="S142" s="1684"/>
      <c r="T142" s="1684"/>
      <c r="U142" s="1684"/>
      <c r="V142" s="1684"/>
      <c r="W142" s="1684"/>
      <c r="X142" s="1684"/>
      <c r="Y142" s="1684"/>
      <c r="Z142" s="1684"/>
      <c r="AA142" s="1684"/>
      <c r="AB142" s="1684"/>
      <c r="AC142" s="1684"/>
    </row>
    <row r="143" spans="1:29" ht="14.5" x14ac:dyDescent="0.35">
      <c r="A143" s="1685"/>
      <c r="B143" s="1686" t="s">
        <v>733</v>
      </c>
      <c r="C143" s="1687"/>
      <c r="D143" s="1687"/>
      <c r="E143" s="1687"/>
      <c r="F143" s="1687"/>
      <c r="G143" s="1688"/>
      <c r="H143" s="1689"/>
      <c r="I143" s="1689"/>
      <c r="J143" s="1689"/>
      <c r="K143" s="1689"/>
      <c r="L143" s="1689"/>
      <c r="M143" s="1689"/>
      <c r="N143" s="1689"/>
      <c r="O143" s="1689"/>
      <c r="P143" s="1689"/>
      <c r="Q143" s="1689"/>
      <c r="R143" s="1689"/>
      <c r="S143" s="1689"/>
      <c r="T143" s="1689"/>
      <c r="U143" s="1689"/>
      <c r="V143" s="1689"/>
      <c r="W143" s="1689"/>
      <c r="X143" s="1689"/>
      <c r="Y143" s="1689"/>
      <c r="Z143" s="1689"/>
      <c r="AA143" s="1689"/>
      <c r="AB143" s="1689"/>
      <c r="AC143" s="1689"/>
    </row>
    <row r="145" spans="1:2" ht="14.5" x14ac:dyDescent="0.35">
      <c r="A145" s="78" t="s">
        <v>734</v>
      </c>
      <c r="B145" s="80"/>
    </row>
    <row r="146" spans="1:2" ht="14.5" x14ac:dyDescent="0.35">
      <c r="A146" s="79" t="s">
        <v>632</v>
      </c>
      <c r="B146" s="80" t="str">
        <f>J4</f>
        <v xml:space="preserve">National Millwork	</v>
      </c>
    </row>
    <row r="147" spans="1:2" ht="14.5" x14ac:dyDescent="0.35">
      <c r="A147" s="1690" t="s">
        <v>636</v>
      </c>
      <c r="B147" s="1691" t="str">
        <f>J5</f>
        <v>Ric Waggoneer</v>
      </c>
    </row>
    <row r="148" spans="1:2" ht="14.5" x14ac:dyDescent="0.35">
      <c r="A148" s="1692" t="s">
        <v>639</v>
      </c>
      <c r="B148" s="1693" t="str">
        <f>J6</f>
        <v>561-351-6359</v>
      </c>
    </row>
    <row r="149" spans="1:2" ht="14.5" x14ac:dyDescent="0.35">
      <c r="A149" s="1692" t="s">
        <v>642</v>
      </c>
      <c r="B149" s="1694" t="str">
        <f>J7</f>
        <v>rwaggoner@nationalmillworkinc.com</v>
      </c>
    </row>
    <row r="150" spans="1:2" ht="14.5" x14ac:dyDescent="0.35">
      <c r="A150" s="1695" t="s">
        <v>735</v>
      </c>
      <c r="B150" s="1696">
        <f>J8</f>
        <v>2337225</v>
      </c>
    </row>
    <row r="152" spans="1:2" ht="14.5" x14ac:dyDescent="0.35">
      <c r="A152" s="81"/>
      <c r="B152" s="1" t="s">
        <v>736</v>
      </c>
    </row>
    <row r="153" spans="1:2" ht="14.5" x14ac:dyDescent="0.35">
      <c r="A153" s="82"/>
      <c r="B153" s="1" t="s">
        <v>737</v>
      </c>
    </row>
  </sheetData>
  <mergeCells count="111">
    <mergeCell ref="AB10:AC10"/>
    <mergeCell ref="X2:Y2"/>
    <mergeCell ref="AB7:AC7"/>
    <mergeCell ref="Z6:AA6"/>
    <mergeCell ref="X4:Y4"/>
    <mergeCell ref="X5:Y5"/>
    <mergeCell ref="X6:Y6"/>
    <mergeCell ref="H1:I1"/>
    <mergeCell ref="X9:Y9"/>
    <mergeCell ref="X10:Y10"/>
    <mergeCell ref="Z10:AA10"/>
    <mergeCell ref="L2:M2"/>
    <mergeCell ref="L3:M3"/>
    <mergeCell ref="L4:M4"/>
    <mergeCell ref="L5:M5"/>
    <mergeCell ref="L6:M6"/>
    <mergeCell ref="L7:M7"/>
    <mergeCell ref="L8:M8"/>
    <mergeCell ref="L9:M9"/>
    <mergeCell ref="L10:M10"/>
    <mergeCell ref="P10:Q10"/>
    <mergeCell ref="R10:S10"/>
    <mergeCell ref="T10:U10"/>
    <mergeCell ref="V10:W10"/>
    <mergeCell ref="Z1:AA1"/>
    <mergeCell ref="AB1:AC1"/>
    <mergeCell ref="J9:K9"/>
    <mergeCell ref="N9:O9"/>
    <mergeCell ref="P9:Q9"/>
    <mergeCell ref="R9:S9"/>
    <mergeCell ref="T9:U9"/>
    <mergeCell ref="V9:W9"/>
    <mergeCell ref="AB9:AC9"/>
    <mergeCell ref="Z9:AA9"/>
    <mergeCell ref="Z7:AA7"/>
    <mergeCell ref="Z8:AA8"/>
    <mergeCell ref="Z2:AA2"/>
    <mergeCell ref="Z3:AA3"/>
    <mergeCell ref="Z4:AA4"/>
    <mergeCell ref="L1:M1"/>
    <mergeCell ref="Z5:AA5"/>
    <mergeCell ref="V4:W4"/>
    <mergeCell ref="V5:W5"/>
    <mergeCell ref="V6:W6"/>
    <mergeCell ref="V7:W7"/>
    <mergeCell ref="AB4:AC4"/>
    <mergeCell ref="AB5:AC5"/>
    <mergeCell ref="AB6:AC6"/>
    <mergeCell ref="A129:B129"/>
    <mergeCell ref="A134:B134"/>
    <mergeCell ref="N7:O7"/>
    <mergeCell ref="N8:O8"/>
    <mergeCell ref="A117:B117"/>
    <mergeCell ref="A121:B121"/>
    <mergeCell ref="A125:B125"/>
    <mergeCell ref="J7:K7"/>
    <mergeCell ref="J8:K8"/>
    <mergeCell ref="J10:K10"/>
    <mergeCell ref="N10:O10"/>
    <mergeCell ref="H7:I7"/>
    <mergeCell ref="H8:I8"/>
    <mergeCell ref="H9:I9"/>
    <mergeCell ref="H10:I10"/>
    <mergeCell ref="AB8:AC8"/>
    <mergeCell ref="V8:W8"/>
    <mergeCell ref="X8:Y8"/>
    <mergeCell ref="P7:Q7"/>
    <mergeCell ref="P8:Q8"/>
    <mergeCell ref="X7:Y7"/>
    <mergeCell ref="T2:U2"/>
    <mergeCell ref="AB2:AC2"/>
    <mergeCell ref="N3:O3"/>
    <mergeCell ref="T3:U3"/>
    <mergeCell ref="AB3:AC3"/>
    <mergeCell ref="R2:S2"/>
    <mergeCell ref="R3:S3"/>
    <mergeCell ref="P1:Q2"/>
    <mergeCell ref="N1:O1"/>
    <mergeCell ref="V2:W2"/>
    <mergeCell ref="V3:W3"/>
    <mergeCell ref="V1:W1"/>
    <mergeCell ref="X1:Y1"/>
    <mergeCell ref="X3:Y3"/>
    <mergeCell ref="N2:O2"/>
    <mergeCell ref="P3:Q3"/>
    <mergeCell ref="R4:S4"/>
    <mergeCell ref="R5:S5"/>
    <mergeCell ref="R6:S6"/>
    <mergeCell ref="R7:S7"/>
    <mergeCell ref="R8:S8"/>
    <mergeCell ref="T4:U4"/>
    <mergeCell ref="T5:U5"/>
    <mergeCell ref="T6:U6"/>
    <mergeCell ref="T7:U7"/>
    <mergeCell ref="T8:U8"/>
    <mergeCell ref="P4:Q4"/>
    <mergeCell ref="P5:Q5"/>
    <mergeCell ref="P6:Q6"/>
    <mergeCell ref="H2:I2"/>
    <mergeCell ref="H3:I3"/>
    <mergeCell ref="H4:I4"/>
    <mergeCell ref="H5:I5"/>
    <mergeCell ref="H6:I6"/>
    <mergeCell ref="J2:K2"/>
    <mergeCell ref="J3:K3"/>
    <mergeCell ref="N4:O4"/>
    <mergeCell ref="N5:O5"/>
    <mergeCell ref="N6:O6"/>
    <mergeCell ref="J4:K4"/>
    <mergeCell ref="J5:K5"/>
    <mergeCell ref="J6:K6"/>
  </mergeCells>
  <conditionalFormatting sqref="H22:H34">
    <cfRule type="cellIs" dxfId="2055" priority="39" operator="equal">
      <formula>"X"</formula>
    </cfRule>
    <cfRule type="cellIs" dxfId="2054" priority="40" operator="equal">
      <formula>"I"</formula>
    </cfRule>
  </conditionalFormatting>
  <conditionalFormatting sqref="H36:H108">
    <cfRule type="cellIs" dxfId="2053" priority="37" operator="equal">
      <formula>"X"</formula>
    </cfRule>
    <cfRule type="cellIs" dxfId="2052" priority="38" operator="equal">
      <formula>"I"</formula>
    </cfRule>
  </conditionalFormatting>
  <conditionalFormatting sqref="J22:J34 N22:N34 P22:P34 R22:R34 T22:T34 AB22:AB34 N36:N108 P36:P108 R36:R108 T36:T108">
    <cfRule type="cellIs" dxfId="2051" priority="137" operator="equal">
      <formula>"X"</formula>
    </cfRule>
    <cfRule type="cellIs" dxfId="2050" priority="138" operator="equal">
      <formula>"I"</formula>
    </cfRule>
  </conditionalFormatting>
  <conditionalFormatting sqref="J36:J105 J107:J108">
    <cfRule type="cellIs" dxfId="2049" priority="55" operator="equal">
      <formula>"X"</formula>
    </cfRule>
    <cfRule type="cellIs" dxfId="2048" priority="56" operator="equal">
      <formula>"I"</formula>
    </cfRule>
  </conditionalFormatting>
  <conditionalFormatting sqref="L22:L34">
    <cfRule type="cellIs" dxfId="2047" priority="49" operator="equal">
      <formula>"X"</formula>
    </cfRule>
    <cfRule type="cellIs" dxfId="2046" priority="50" operator="equal">
      <formula>"I"</formula>
    </cfRule>
  </conditionalFormatting>
  <conditionalFormatting sqref="L108 L36:L105">
    <cfRule type="cellIs" dxfId="2045" priority="47" operator="equal">
      <formula>"X"</formula>
    </cfRule>
    <cfRule type="cellIs" dxfId="2044" priority="48" operator="equal">
      <formula>"I"</formula>
    </cfRule>
  </conditionalFormatting>
  <conditionalFormatting sqref="L127:L128">
    <cfRule type="cellIs" dxfId="2043" priority="43" operator="equal">
      <formula>"X"</formula>
    </cfRule>
    <cfRule type="cellIs" dxfId="2042" priority="44" operator="equal">
      <formula>"I"</formula>
    </cfRule>
  </conditionalFormatting>
  <conditionalFormatting sqref="V22:V34">
    <cfRule type="cellIs" dxfId="2041" priority="133" operator="equal">
      <formula>"X"</formula>
    </cfRule>
    <cfRule type="cellIs" dxfId="2040" priority="134" operator="equal">
      <formula>"I"</formula>
    </cfRule>
  </conditionalFormatting>
  <conditionalFormatting sqref="V36:V105 V108">
    <cfRule type="cellIs" dxfId="2039" priority="97" operator="equal">
      <formula>"X"</formula>
    </cfRule>
    <cfRule type="cellIs" dxfId="2038" priority="98" operator="equal">
      <formula>"I"</formula>
    </cfRule>
  </conditionalFormatting>
  <conditionalFormatting sqref="V127:V128">
    <cfRule type="cellIs" dxfId="2037" priority="41" operator="equal">
      <formula>"X"</formula>
    </cfRule>
    <cfRule type="cellIs" dxfId="2036" priority="42" operator="equal">
      <formula>"I"</formula>
    </cfRule>
  </conditionalFormatting>
  <conditionalFormatting sqref="V130:V133">
    <cfRule type="cellIs" dxfId="2035" priority="93" operator="equal">
      <formula>"X"</formula>
    </cfRule>
    <cfRule type="cellIs" dxfId="2034" priority="94" operator="equal">
      <formula>"I"</formula>
    </cfRule>
  </conditionalFormatting>
  <conditionalFormatting sqref="AB108 AB36:AB105">
    <cfRule type="cellIs" dxfId="2033" priority="53" operator="equal">
      <formula>"X"</formula>
    </cfRule>
    <cfRule type="cellIs" dxfId="2032" priority="54" operator="equal">
      <formula>"I"</formula>
    </cfRule>
  </conditionalFormatting>
  <conditionalFormatting sqref="AB127">
    <cfRule type="cellIs" dxfId="2031" priority="91" operator="equal">
      <formula>"X"</formula>
    </cfRule>
    <cfRule type="cellIs" dxfId="2030" priority="92" operator="equal">
      <formula>"I"</formula>
    </cfRule>
  </conditionalFormatting>
  <conditionalFormatting sqref="Z22:Z34">
    <cfRule type="cellIs" dxfId="2029" priority="89" operator="equal">
      <formula>"X"</formula>
    </cfRule>
    <cfRule type="cellIs" dxfId="2028" priority="90" operator="equal">
      <formula>"I"</formula>
    </cfRule>
  </conditionalFormatting>
  <conditionalFormatting sqref="Z36:Z106 Z108">
    <cfRule type="cellIs" dxfId="2027" priority="51" operator="equal">
      <formula>"X"</formula>
    </cfRule>
    <cfRule type="cellIs" dxfId="2026" priority="52" operator="equal">
      <formula>"I"</formula>
    </cfRule>
  </conditionalFormatting>
  <conditionalFormatting sqref="Z127">
    <cfRule type="cellIs" dxfId="2025" priority="87" operator="equal">
      <formula>"X"</formula>
    </cfRule>
    <cfRule type="cellIs" dxfId="2024" priority="88" operator="equal">
      <formula>"I"</formula>
    </cfRule>
  </conditionalFormatting>
  <conditionalFormatting sqref="H122">
    <cfRule type="cellIs" dxfId="2023" priority="29" operator="equal">
      <formula>"X"</formula>
    </cfRule>
    <cfRule type="cellIs" dxfId="2022" priority="30" operator="equal">
      <formula>"I"</formula>
    </cfRule>
  </conditionalFormatting>
  <conditionalFormatting sqref="J106">
    <cfRule type="cellIs" dxfId="2021" priority="27" operator="equal">
      <formula>"X"</formula>
    </cfRule>
    <cfRule type="cellIs" dxfId="2020" priority="28" operator="equal">
      <formula>"I"</formula>
    </cfRule>
  </conditionalFormatting>
  <conditionalFormatting sqref="J122">
    <cfRule type="cellIs" dxfId="2019" priority="25" operator="equal">
      <formula>"X"</formula>
    </cfRule>
    <cfRule type="cellIs" dxfId="2018" priority="26" operator="equal">
      <formula>"I"</formula>
    </cfRule>
  </conditionalFormatting>
  <conditionalFormatting sqref="L106:L107">
    <cfRule type="cellIs" dxfId="2017" priority="23" operator="equal">
      <formula>"X"</formula>
    </cfRule>
    <cfRule type="cellIs" dxfId="2016" priority="24" operator="equal">
      <formula>"I"</formula>
    </cfRule>
  </conditionalFormatting>
  <conditionalFormatting sqref="V106:V107">
    <cfRule type="cellIs" dxfId="2015" priority="21" operator="equal">
      <formula>"X"</formula>
    </cfRule>
    <cfRule type="cellIs" dxfId="2014" priority="22" operator="equal">
      <formula>"I"</formula>
    </cfRule>
  </conditionalFormatting>
  <conditionalFormatting sqref="AB106:AB107">
    <cfRule type="cellIs" dxfId="2013" priority="19" operator="equal">
      <formula>"X"</formula>
    </cfRule>
    <cfRule type="cellIs" dxfId="2012" priority="20" operator="equal">
      <formula>"I"</formula>
    </cfRule>
  </conditionalFormatting>
  <conditionalFormatting sqref="Z107">
    <cfRule type="cellIs" dxfId="2011" priority="17" operator="equal">
      <formula>"X"</formula>
    </cfRule>
    <cfRule type="cellIs" dxfId="2010" priority="18" operator="equal">
      <formula>"I"</formula>
    </cfRule>
  </conditionalFormatting>
  <conditionalFormatting sqref="L122">
    <cfRule type="cellIs" dxfId="2009" priority="15" operator="equal">
      <formula>"X"</formula>
    </cfRule>
    <cfRule type="cellIs" dxfId="2008" priority="16" operator="equal">
      <formula>"I"</formula>
    </cfRule>
  </conditionalFormatting>
  <conditionalFormatting sqref="V122">
    <cfRule type="cellIs" dxfId="2007" priority="13" operator="equal">
      <formula>"X"</formula>
    </cfRule>
    <cfRule type="cellIs" dxfId="2006" priority="14" operator="equal">
      <formula>"I"</formula>
    </cfRule>
  </conditionalFormatting>
  <conditionalFormatting sqref="X22:X34">
    <cfRule type="cellIs" dxfId="2005" priority="11" operator="equal">
      <formula>"X"</formula>
    </cfRule>
    <cfRule type="cellIs" dxfId="2004" priority="12" operator="equal">
      <formula>"I"</formula>
    </cfRule>
  </conditionalFormatting>
  <conditionalFormatting sqref="X36:X105 X108">
    <cfRule type="cellIs" dxfId="2003" priority="9" operator="equal">
      <formula>"X"</formula>
    </cfRule>
    <cfRule type="cellIs" dxfId="2002" priority="10" operator="equal">
      <formula>"I"</formula>
    </cfRule>
  </conditionalFormatting>
  <conditionalFormatting sqref="X127:X128">
    <cfRule type="cellIs" dxfId="2001" priority="5" operator="equal">
      <formula>"X"</formula>
    </cfRule>
    <cfRule type="cellIs" dxfId="2000" priority="6" operator="equal">
      <formula>"I"</formula>
    </cfRule>
  </conditionalFormatting>
  <conditionalFormatting sqref="X130:X133">
    <cfRule type="cellIs" dxfId="1999" priority="7" operator="equal">
      <formula>"X"</formula>
    </cfRule>
    <cfRule type="cellIs" dxfId="1998" priority="8" operator="equal">
      <formula>"I"</formula>
    </cfRule>
  </conditionalFormatting>
  <conditionalFormatting sqref="X106:X107">
    <cfRule type="cellIs" dxfId="1997" priority="3" operator="equal">
      <formula>"X"</formula>
    </cfRule>
    <cfRule type="cellIs" dxfId="1996" priority="4" operator="equal">
      <formula>"I"</formula>
    </cfRule>
  </conditionalFormatting>
  <conditionalFormatting sqref="X122">
    <cfRule type="cellIs" dxfId="1995" priority="1" operator="equal">
      <formula>"X"</formula>
    </cfRule>
    <cfRule type="cellIs" dxfId="1994" priority="2" operator="equal">
      <formula>"I"</formula>
    </cfRule>
  </conditionalFormatting>
  <hyperlinks>
    <hyperlink ref="B3" location="'Cost Summary'!A1" display="BACK TO SUMMARY SHEET" xr:uid="{26D088CA-82C6-4765-9CC0-6B1367FE5DC3}"/>
    <hyperlink ref="J7:K7" r:id="rId1" display="rwaggoner@nationalmillworkinc.com" xr:uid="{2724C021-7694-4EF5-870D-ECEC24839629}"/>
    <hyperlink ref="P7:Q7" r:id="rId2" display="guillermo.santiago@buildwithbmc.com" xr:uid="{4CE8149E-9BBD-4D73-BF56-DD620D751038}"/>
    <hyperlink ref="R7:S7" r:id="rId3" display="javier@jdridoors.com" xr:uid="{76C5F0B0-513D-40E4-9680-C2A6BDF4649A}"/>
    <hyperlink ref="T7:U7" r:id="rId4" display="Estimating@ETIFlorida.com." xr:uid="{4318B7FA-F198-4E7A-BA94-9D366DC73817}"/>
    <hyperlink ref="AB7:AC7" r:id="rId5" display="preston@choicedoor.com&gt;" xr:uid="{8FF57638-02F2-4A0A-B0A7-53405A41E366}"/>
    <hyperlink ref="V7:W7" r:id="rId6" display="brandon.smith@terson.us" xr:uid="{0A8962B3-FD2B-475C-9A8C-DCD1C7CB4130}"/>
    <hyperlink ref="L7:M7" r:id="rId7" display="rwaggoner@nationalmillworkinc.com" xr:uid="{EA829708-666A-4734-9FF7-1D81E2D61819}"/>
    <hyperlink ref="H7:I7" r:id="rId8" display="lsayan@etiflorida.com" xr:uid="{0E561E80-A2F4-4F9F-937C-C2902ADF6BCD}"/>
    <hyperlink ref="X7:Y7" r:id="rId9" display="brandon.smith@terson.us" xr:uid="{D89DE99E-E96D-4644-BF3A-43BEFB352A44}"/>
  </hyperlinks>
  <pageMargins left="0.7" right="0.7" top="0.75" bottom="0.75" header="0.3" footer="0.3"/>
  <pageSetup orientation="portrait" horizontalDpi="300" verticalDpi="300" r:id="rId10"/>
  <legacyDrawing r:id="rId1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B9B4-DA66-415D-AB19-23E806659C15}">
  <dimension ref="A1:S84"/>
  <sheetViews>
    <sheetView zoomScale="70" zoomScaleNormal="70" workbookViewId="0">
      <pane xSplit="2" ySplit="9" topLeftCell="C34" activePane="bottomRight" state="frozen"/>
      <selection pane="topRight" activeCell="C1" sqref="C1"/>
      <selection pane="bottomLeft" activeCell="A11" sqref="A11"/>
      <selection pane="bottomRight" activeCell="I46" sqref="I46:I47"/>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c r="G2" s="123" t="s">
        <v>451</v>
      </c>
      <c r="H2" s="3751"/>
      <c r="I2" s="3751"/>
      <c r="J2" s="3751"/>
      <c r="K2" s="3751"/>
      <c r="L2" s="3751"/>
      <c r="M2" s="3751"/>
      <c r="N2" s="3751"/>
      <c r="O2" s="3751"/>
      <c r="P2" s="3751"/>
      <c r="Q2" s="3751"/>
      <c r="R2" s="3751"/>
      <c r="S2" s="3751"/>
    </row>
    <row r="3" spans="1:19" ht="20" thickBot="1" x14ac:dyDescent="0.4">
      <c r="B3" s="137" t="s">
        <v>623</v>
      </c>
      <c r="E3" s="152"/>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697" t="s">
        <v>634</v>
      </c>
      <c r="B5" s="1698" t="s">
        <v>1979</v>
      </c>
      <c r="C5" s="1699"/>
      <c r="D5" s="1699"/>
      <c r="E5" s="1699"/>
      <c r="F5" s="1699"/>
      <c r="G5" s="643" t="s">
        <v>636</v>
      </c>
      <c r="H5" s="3880"/>
      <c r="I5" s="3759"/>
      <c r="J5" s="3880"/>
      <c r="K5" s="3759"/>
      <c r="L5" s="3880"/>
      <c r="M5" s="3759"/>
      <c r="N5" s="3880"/>
      <c r="O5" s="3759"/>
      <c r="P5" s="3880"/>
      <c r="Q5" s="3759"/>
      <c r="R5" s="3880"/>
      <c r="S5" s="3759"/>
    </row>
    <row r="6" spans="1:19" x14ac:dyDescent="0.35">
      <c r="A6" s="1697" t="s">
        <v>638</v>
      </c>
      <c r="B6" s="1700" t="s">
        <v>1980</v>
      </c>
      <c r="C6" s="1699"/>
      <c r="D6" s="1699"/>
      <c r="E6" s="1699"/>
      <c r="F6" s="1699"/>
      <c r="G6" s="1701" t="s">
        <v>639</v>
      </c>
      <c r="H6" s="3836"/>
      <c r="I6" s="3757"/>
      <c r="J6" s="3881"/>
      <c r="K6" s="3757"/>
      <c r="L6" s="3881"/>
      <c r="M6" s="3757"/>
      <c r="N6" s="3881"/>
      <c r="O6" s="3757"/>
      <c r="P6" s="3836"/>
      <c r="Q6" s="3757"/>
      <c r="R6" s="3836"/>
      <c r="S6" s="3757"/>
    </row>
    <row r="7" spans="1:19" x14ac:dyDescent="0.35">
      <c r="A7" s="1697" t="s">
        <v>641</v>
      </c>
      <c r="B7" s="1702"/>
      <c r="C7" s="1699"/>
      <c r="D7" s="1699"/>
      <c r="E7" s="1699"/>
      <c r="F7" s="1699"/>
      <c r="G7" s="1701" t="s">
        <v>642</v>
      </c>
      <c r="H7" s="3853"/>
      <c r="I7" s="3854"/>
      <c r="J7" s="3879"/>
      <c r="K7" s="3763"/>
      <c r="L7" s="3879"/>
      <c r="M7" s="3763"/>
      <c r="N7" s="3879"/>
      <c r="O7" s="3763"/>
      <c r="P7" s="3853"/>
      <c r="Q7" s="3854"/>
      <c r="R7" s="3853"/>
      <c r="S7" s="3854"/>
    </row>
    <row r="8" spans="1:19" ht="15" thickBot="1" x14ac:dyDescent="0.4">
      <c r="A8" s="938" t="s">
        <v>644</v>
      </c>
      <c r="B8" s="939"/>
      <c r="C8" s="940"/>
      <c r="D8" s="940"/>
      <c r="E8" s="940"/>
      <c r="F8" s="940"/>
      <c r="G8" s="938" t="s">
        <v>644</v>
      </c>
      <c r="H8" s="3877"/>
      <c r="I8" s="3878"/>
      <c r="J8" s="3877"/>
      <c r="K8" s="3878"/>
      <c r="L8" s="3877"/>
      <c r="M8" s="3878"/>
      <c r="N8" s="3877"/>
      <c r="O8" s="3878"/>
      <c r="P8" s="3877"/>
      <c r="Q8" s="3878"/>
      <c r="R8" s="3877"/>
      <c r="S8" s="3878"/>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703"/>
      <c r="B10" s="1628" t="s">
        <v>653</v>
      </c>
      <c r="C10" s="1699"/>
      <c r="D10" s="1699"/>
      <c r="E10" s="1699"/>
      <c r="F10" s="1699"/>
      <c r="G10" s="646"/>
      <c r="H10" s="1704"/>
      <c r="I10" s="1704"/>
      <c r="J10" s="1704"/>
      <c r="K10" s="1704"/>
      <c r="L10" s="1704"/>
      <c r="M10" s="1704"/>
      <c r="N10" s="1704"/>
      <c r="O10" s="1704"/>
      <c r="P10" s="1704"/>
      <c r="Q10" s="1704"/>
      <c r="R10" s="1704"/>
      <c r="S10" s="1704"/>
    </row>
    <row r="11" spans="1:19" ht="15" hidden="1" thickTop="1" x14ac:dyDescent="0.35">
      <c r="A11" s="1703"/>
      <c r="B11" s="1698" t="e">
        <f>#REF!</f>
        <v>#REF!</v>
      </c>
      <c r="C11" s="1705" t="s">
        <v>654</v>
      </c>
      <c r="D11" s="1699"/>
      <c r="E11" s="1699"/>
      <c r="F11" s="1699"/>
      <c r="G11" s="646"/>
      <c r="H11" s="1704"/>
      <c r="I11" s="1704"/>
      <c r="J11" s="1704"/>
      <c r="K11" s="1704"/>
      <c r="L11" s="1704"/>
      <c r="M11" s="1704"/>
      <c r="N11" s="1704"/>
      <c r="O11" s="1704"/>
      <c r="P11" s="1704"/>
      <c r="Q11" s="1704"/>
      <c r="R11" s="1704"/>
      <c r="S11" s="1704"/>
    </row>
    <row r="12" spans="1:19" ht="15" hidden="1" thickTop="1" x14ac:dyDescent="0.35">
      <c r="A12" s="1703"/>
      <c r="B12" s="1698" t="e">
        <f>#REF!</f>
        <v>#REF!</v>
      </c>
      <c r="C12" s="1705" t="s">
        <v>654</v>
      </c>
      <c r="D12" s="1699"/>
      <c r="E12" s="1699"/>
      <c r="F12" s="1699"/>
      <c r="G12" s="646"/>
      <c r="H12" s="1704"/>
      <c r="I12" s="1704"/>
      <c r="J12" s="1704"/>
      <c r="K12" s="1704"/>
      <c r="L12" s="1704"/>
      <c r="M12" s="1704"/>
      <c r="N12" s="1704"/>
      <c r="O12" s="1704"/>
      <c r="P12" s="1704"/>
      <c r="Q12" s="1704"/>
      <c r="R12" s="1704"/>
      <c r="S12" s="1704"/>
    </row>
    <row r="13" spans="1:19" ht="15" hidden="1" thickTop="1" x14ac:dyDescent="0.35">
      <c r="A13" s="1703"/>
      <c r="B13" s="1698" t="e">
        <f>#REF!</f>
        <v>#REF!</v>
      </c>
      <c r="C13" s="1705" t="s">
        <v>654</v>
      </c>
      <c r="D13" s="1699"/>
      <c r="E13" s="1699"/>
      <c r="F13" s="1699"/>
      <c r="G13" s="646"/>
      <c r="H13" s="1704"/>
      <c r="I13" s="1704"/>
      <c r="J13" s="1704"/>
      <c r="K13" s="1704"/>
      <c r="L13" s="1704"/>
      <c r="M13" s="1704"/>
      <c r="N13" s="1704"/>
      <c r="O13" s="1704"/>
      <c r="P13" s="1704"/>
      <c r="Q13" s="1704"/>
      <c r="R13" s="1704"/>
      <c r="S13" s="1704"/>
    </row>
    <row r="14" spans="1:19" ht="15" hidden="1" thickTop="1" x14ac:dyDescent="0.35">
      <c r="A14" s="1703"/>
      <c r="B14" s="1698" t="e">
        <f>#REF!</f>
        <v>#REF!</v>
      </c>
      <c r="C14" s="1705" t="s">
        <v>654</v>
      </c>
      <c r="D14" s="1699"/>
      <c r="E14" s="1699"/>
      <c r="F14" s="1699"/>
      <c r="G14" s="646"/>
      <c r="H14" s="1704"/>
      <c r="I14" s="1704"/>
      <c r="J14" s="1704"/>
      <c r="K14" s="1704"/>
      <c r="L14" s="1704"/>
      <c r="M14" s="1704"/>
      <c r="N14" s="1704"/>
      <c r="O14" s="1704"/>
      <c r="P14" s="1704"/>
      <c r="Q14" s="1704"/>
      <c r="R14" s="1704"/>
      <c r="S14" s="1704"/>
    </row>
    <row r="15" spans="1:19" ht="15" hidden="1" thickTop="1" x14ac:dyDescent="0.35">
      <c r="A15" s="1703"/>
      <c r="B15" s="1698" t="e">
        <f>#REF!</f>
        <v>#REF!</v>
      </c>
      <c r="C15" s="1705" t="s">
        <v>654</v>
      </c>
      <c r="D15" s="1699"/>
      <c r="E15" s="1699"/>
      <c r="F15" s="1699"/>
      <c r="G15" s="646"/>
      <c r="H15" s="1704"/>
      <c r="I15" s="1704"/>
      <c r="J15" s="1704"/>
      <c r="K15" s="1704"/>
      <c r="L15" s="1704"/>
      <c r="M15" s="1704"/>
      <c r="N15" s="1704"/>
      <c r="O15" s="1704"/>
      <c r="P15" s="1704"/>
      <c r="Q15" s="1704"/>
      <c r="R15" s="1704"/>
      <c r="S15" s="1704"/>
    </row>
    <row r="16" spans="1:19" ht="15" hidden="1" thickTop="1" x14ac:dyDescent="0.35">
      <c r="A16" s="1703"/>
      <c r="B16" s="1698" t="e">
        <f>#REF!</f>
        <v>#REF!</v>
      </c>
      <c r="C16" s="1705" t="s">
        <v>654</v>
      </c>
      <c r="D16" s="1699"/>
      <c r="E16" s="1699"/>
      <c r="F16" s="1699"/>
      <c r="G16" s="646"/>
      <c r="H16" s="1704"/>
      <c r="I16" s="1704"/>
      <c r="J16" s="1704"/>
      <c r="K16" s="1704"/>
      <c r="L16" s="1704"/>
      <c r="M16" s="1704"/>
      <c r="N16" s="1704"/>
      <c r="O16" s="1704"/>
      <c r="P16" s="1704"/>
      <c r="Q16" s="1704"/>
      <c r="R16" s="1704"/>
      <c r="S16" s="1704"/>
    </row>
    <row r="17" spans="1:19" ht="15" hidden="1" thickTop="1" x14ac:dyDescent="0.35">
      <c r="A17" s="1703"/>
      <c r="B17" s="1698" t="e">
        <f>#REF!</f>
        <v>#REF!</v>
      </c>
      <c r="C17" s="1705" t="s">
        <v>654</v>
      </c>
      <c r="D17" s="1699"/>
      <c r="E17" s="1699"/>
      <c r="F17" s="1699"/>
      <c r="G17" s="646"/>
      <c r="H17" s="1704"/>
      <c r="I17" s="1704"/>
      <c r="J17" s="1704"/>
      <c r="K17" s="1704"/>
      <c r="L17" s="1704"/>
      <c r="M17" s="1704"/>
      <c r="N17" s="1704"/>
      <c r="O17" s="1704"/>
      <c r="P17" s="1704"/>
      <c r="Q17" s="1704"/>
      <c r="R17" s="1704"/>
      <c r="S17" s="1704"/>
    </row>
    <row r="18" spans="1:19" ht="15" hidden="1" thickTop="1" x14ac:dyDescent="0.35">
      <c r="A18" s="1703"/>
      <c r="B18" s="1698" t="e">
        <f>#REF!</f>
        <v>#REF!</v>
      </c>
      <c r="C18" s="1705" t="s">
        <v>654</v>
      </c>
      <c r="D18" s="1699"/>
      <c r="E18" s="1699"/>
      <c r="F18" s="1699"/>
      <c r="G18" s="646"/>
      <c r="H18" s="1704"/>
      <c r="I18" s="1704"/>
      <c r="J18" s="1704"/>
      <c r="K18" s="1704"/>
      <c r="L18" s="1704"/>
      <c r="M18" s="1704"/>
      <c r="N18" s="1704"/>
      <c r="O18" s="1704"/>
      <c r="P18" s="1704"/>
      <c r="Q18" s="1704"/>
      <c r="R18" s="1704"/>
      <c r="S18" s="1704"/>
    </row>
    <row r="19" spans="1:19" ht="15" hidden="1" thickTop="1" x14ac:dyDescent="0.35">
      <c r="A19" s="1703"/>
      <c r="B19" s="1698" t="e">
        <f>#REF!</f>
        <v>#REF!</v>
      </c>
      <c r="C19" s="1705" t="s">
        <v>654</v>
      </c>
      <c r="D19" s="1699"/>
      <c r="E19" s="1699"/>
      <c r="F19" s="1699"/>
      <c r="G19" s="646"/>
      <c r="H19" s="1704"/>
      <c r="I19" s="1704"/>
      <c r="J19" s="1704"/>
      <c r="K19" s="1704"/>
      <c r="L19" s="1704"/>
      <c r="M19" s="1704"/>
      <c r="N19" s="1704"/>
      <c r="O19" s="1704"/>
      <c r="P19" s="1704"/>
      <c r="Q19" s="1704"/>
      <c r="R19" s="1704"/>
      <c r="S19" s="1704"/>
    </row>
    <row r="20" spans="1:19" ht="15" thickTop="1" x14ac:dyDescent="0.35">
      <c r="A20" s="1703"/>
      <c r="B20" s="1698"/>
      <c r="C20" s="1705"/>
      <c r="D20" s="1699"/>
      <c r="E20" s="1699"/>
      <c r="F20" s="1699"/>
      <c r="G20" s="646"/>
      <c r="H20" s="1704"/>
      <c r="I20" s="1704"/>
      <c r="J20" s="1704"/>
      <c r="K20" s="1704"/>
      <c r="L20" s="1704"/>
      <c r="M20" s="1704"/>
      <c r="N20" s="1704"/>
      <c r="O20" s="1704"/>
      <c r="P20" s="1704"/>
      <c r="Q20" s="1704"/>
      <c r="R20" s="1704"/>
      <c r="S20" s="1704"/>
    </row>
    <row r="21" spans="1:19" ht="15" thickBot="1" x14ac:dyDescent="0.4">
      <c r="A21" s="48"/>
      <c r="B21" s="1706" t="s">
        <v>1979</v>
      </c>
      <c r="C21" s="45"/>
      <c r="D21" s="46"/>
      <c r="E21" s="46"/>
      <c r="F21" s="46"/>
      <c r="G21" s="52"/>
      <c r="H21" s="1707"/>
      <c r="I21" s="1536"/>
      <c r="J21" s="1707"/>
      <c r="K21" s="1536"/>
      <c r="L21" s="1707"/>
      <c r="M21" s="1536"/>
      <c r="N21" s="1707"/>
      <c r="O21" s="1536"/>
      <c r="P21" s="1707"/>
      <c r="Q21" s="1536"/>
      <c r="R21" s="1707"/>
      <c r="S21" s="1536"/>
    </row>
    <row r="22" spans="1:19" ht="15" thickBot="1" x14ac:dyDescent="0.4">
      <c r="A22" s="1538"/>
      <c r="B22" s="605" t="s">
        <v>657</v>
      </c>
      <c r="C22" s="1705"/>
      <c r="D22" s="1699"/>
      <c r="E22" s="1699"/>
      <c r="F22" s="1699"/>
      <c r="G22" s="646"/>
      <c r="H22" s="1707"/>
      <c r="I22" s="1536"/>
      <c r="J22" s="1707"/>
      <c r="K22" s="1536"/>
      <c r="L22" s="1707"/>
      <c r="M22" s="1536"/>
      <c r="N22" s="1707"/>
      <c r="O22" s="1536"/>
      <c r="P22" s="1707"/>
      <c r="Q22" s="1536"/>
      <c r="R22" s="1707"/>
      <c r="S22" s="1536"/>
    </row>
    <row r="23" spans="1:19" x14ac:dyDescent="0.35">
      <c r="A23" s="1538"/>
      <c r="B23" s="603" t="s">
        <v>658</v>
      </c>
      <c r="C23" s="646"/>
      <c r="D23" s="1699"/>
      <c r="E23" s="1699"/>
      <c r="F23" s="1699"/>
      <c r="G23" s="646"/>
      <c r="H23" s="1707"/>
      <c r="I23" s="1536"/>
      <c r="J23" s="1707"/>
      <c r="K23" s="1536"/>
      <c r="L23" s="1707"/>
      <c r="M23" s="1536"/>
      <c r="N23" s="1707"/>
      <c r="O23" s="1536"/>
      <c r="P23" s="1707"/>
      <c r="Q23" s="1536"/>
      <c r="R23" s="1707"/>
      <c r="S23" s="1536"/>
    </row>
    <row r="24" spans="1:19" x14ac:dyDescent="0.35">
      <c r="A24" s="1538"/>
      <c r="B24" s="1708" t="s">
        <v>659</v>
      </c>
      <c r="C24" s="646"/>
      <c r="D24" s="1709"/>
      <c r="E24" s="1699"/>
      <c r="F24" s="1699"/>
      <c r="G24" s="646"/>
      <c r="H24" s="1707"/>
      <c r="I24" s="1536"/>
      <c r="J24" s="1707"/>
      <c r="K24" s="1536"/>
      <c r="L24" s="1707"/>
      <c r="M24" s="1536"/>
      <c r="N24" s="1707"/>
      <c r="O24" s="1536"/>
      <c r="P24" s="1707"/>
      <c r="Q24" s="1563"/>
      <c r="R24" s="1707"/>
      <c r="S24" s="1563"/>
    </row>
    <row r="25" spans="1:19" x14ac:dyDescent="0.35">
      <c r="A25" s="1538"/>
      <c r="B25" s="1710" t="s">
        <v>660</v>
      </c>
      <c r="C25" s="646"/>
      <c r="D25" s="1709"/>
      <c r="E25" s="1699"/>
      <c r="F25" s="1699"/>
      <c r="G25" s="646"/>
      <c r="H25" s="1707"/>
      <c r="I25" s="1536"/>
      <c r="J25" s="1707"/>
      <c r="K25" s="1536"/>
      <c r="L25" s="1707"/>
      <c r="M25" s="1536"/>
      <c r="N25" s="1707"/>
      <c r="O25" s="1536"/>
      <c r="P25" s="1707"/>
      <c r="Q25" s="1563"/>
      <c r="R25" s="1707"/>
      <c r="S25" s="1563"/>
    </row>
    <row r="26" spans="1:19" x14ac:dyDescent="0.35">
      <c r="A26" s="1538"/>
      <c r="B26" s="1710" t="s">
        <v>661</v>
      </c>
      <c r="C26" s="646"/>
      <c r="D26" s="1709"/>
      <c r="E26" s="1699"/>
      <c r="F26" s="1699"/>
      <c r="G26" s="646"/>
      <c r="H26" s="1707"/>
      <c r="I26" s="1536"/>
      <c r="J26" s="1707"/>
      <c r="K26" s="1536"/>
      <c r="L26" s="1707"/>
      <c r="M26" s="1536"/>
      <c r="N26" s="1707"/>
      <c r="O26" s="1536"/>
      <c r="P26" s="1707"/>
      <c r="Q26" s="1563"/>
      <c r="R26" s="1707"/>
      <c r="S26" s="1563"/>
    </row>
    <row r="27" spans="1:19" x14ac:dyDescent="0.35">
      <c r="A27" s="1538"/>
      <c r="B27" s="1710" t="s">
        <v>662</v>
      </c>
      <c r="C27" s="646"/>
      <c r="D27" s="1709"/>
      <c r="E27" s="1699"/>
      <c r="F27" s="1699"/>
      <c r="G27" s="646"/>
      <c r="H27" s="1707"/>
      <c r="I27" s="1536"/>
      <c r="J27" s="1707"/>
      <c r="K27" s="1536"/>
      <c r="L27" s="1707"/>
      <c r="M27" s="1536"/>
      <c r="N27" s="1707"/>
      <c r="O27" s="1536"/>
      <c r="P27" s="1707"/>
      <c r="Q27" s="1563"/>
      <c r="R27" s="1707"/>
      <c r="S27" s="1563"/>
    </row>
    <row r="28" spans="1:19" x14ac:dyDescent="0.35">
      <c r="A28" s="1538"/>
      <c r="B28" s="1710" t="s">
        <v>663</v>
      </c>
      <c r="C28" s="646"/>
      <c r="D28" s="1699"/>
      <c r="E28" s="1699"/>
      <c r="F28" s="1699"/>
      <c r="G28" s="646"/>
      <c r="H28" s="1707"/>
      <c r="I28" s="1536"/>
      <c r="J28" s="1707"/>
      <c r="K28" s="1536"/>
      <c r="L28" s="1707"/>
      <c r="M28" s="1536"/>
      <c r="N28" s="1707"/>
      <c r="O28" s="1536"/>
      <c r="P28" s="1707"/>
      <c r="Q28" s="1563"/>
      <c r="R28" s="1707"/>
      <c r="S28" s="1563"/>
    </row>
    <row r="29" spans="1:19" ht="17.25" customHeight="1" x14ac:dyDescent="0.35">
      <c r="A29" s="1538"/>
      <c r="B29" s="1711" t="s">
        <v>664</v>
      </c>
      <c r="C29" s="646"/>
      <c r="D29" s="1699"/>
      <c r="E29" s="1699"/>
      <c r="F29" s="1699"/>
      <c r="G29" s="646"/>
      <c r="H29" s="1707"/>
      <c r="I29" s="1536"/>
      <c r="J29" s="1707"/>
      <c r="K29" s="1536"/>
      <c r="L29" s="1707"/>
      <c r="M29" s="1536"/>
      <c r="N29" s="1707"/>
      <c r="O29" s="1536"/>
      <c r="P29" s="1707"/>
      <c r="Q29" s="1563"/>
      <c r="R29" s="1707"/>
      <c r="S29" s="1563"/>
    </row>
    <row r="30" spans="1:19" ht="17.25" customHeight="1" x14ac:dyDescent="0.35">
      <c r="A30" s="1538"/>
      <c r="B30" s="1712" t="s">
        <v>665</v>
      </c>
      <c r="C30" s="952"/>
      <c r="D30" s="1713"/>
      <c r="E30" s="1713"/>
      <c r="F30" s="1713"/>
      <c r="G30" s="952"/>
      <c r="H30" s="1714"/>
      <c r="I30" s="1715"/>
      <c r="J30" s="1714"/>
      <c r="K30" s="1715"/>
      <c r="L30" s="1714"/>
      <c r="M30" s="1715"/>
      <c r="N30" s="1714"/>
      <c r="O30" s="1715"/>
      <c r="P30" s="1714"/>
      <c r="Q30" s="1637"/>
      <c r="R30" s="1714"/>
      <c r="S30" s="1637"/>
    </row>
    <row r="31" spans="1:19" ht="17.25" customHeight="1" x14ac:dyDescent="0.35">
      <c r="A31" s="1538"/>
      <c r="B31" s="1716"/>
      <c r="C31" s="646"/>
      <c r="D31" s="1699"/>
      <c r="E31" s="1699"/>
      <c r="F31" s="1699"/>
      <c r="G31" s="646"/>
      <c r="H31" s="1707"/>
      <c r="I31" s="1536"/>
      <c r="J31" s="1707"/>
      <c r="K31" s="1536"/>
      <c r="L31" s="1707"/>
      <c r="M31" s="1536"/>
      <c r="N31" s="1707"/>
      <c r="O31" s="1536"/>
      <c r="P31" s="1707"/>
      <c r="Q31" s="1563"/>
      <c r="R31" s="1707"/>
      <c r="S31" s="1563"/>
    </row>
    <row r="32" spans="1:19" ht="17.25" customHeight="1" x14ac:dyDescent="0.35">
      <c r="A32" s="1538"/>
      <c r="B32" s="1717"/>
      <c r="C32" s="646"/>
      <c r="D32" s="1699"/>
      <c r="E32" s="1699"/>
      <c r="F32" s="1699"/>
      <c r="G32" s="646"/>
      <c r="H32" s="1707"/>
      <c r="I32" s="1536"/>
      <c r="J32" s="1707"/>
      <c r="K32" s="1536"/>
      <c r="L32" s="1707"/>
      <c r="M32" s="1536"/>
      <c r="N32" s="1707"/>
      <c r="O32" s="1536"/>
      <c r="P32" s="1707"/>
      <c r="Q32" s="1563"/>
      <c r="R32" s="1707"/>
      <c r="S32" s="1563"/>
    </row>
    <row r="33" spans="1:19" ht="17.25" customHeight="1" x14ac:dyDescent="0.35">
      <c r="A33" s="1538"/>
      <c r="B33" s="1700"/>
      <c r="C33" s="646"/>
      <c r="D33" s="1699"/>
      <c r="E33" s="1699"/>
      <c r="F33" s="1699"/>
      <c r="G33" s="646"/>
      <c r="H33" s="1707"/>
      <c r="I33" s="1536"/>
      <c r="J33" s="1707"/>
      <c r="K33" s="1536"/>
      <c r="L33" s="1707"/>
      <c r="M33" s="1536"/>
      <c r="N33" s="1707"/>
      <c r="O33" s="1536"/>
      <c r="P33" s="1707"/>
      <c r="Q33" s="1563"/>
      <c r="R33" s="1707"/>
      <c r="S33" s="1563"/>
    </row>
    <row r="34" spans="1:19" ht="17.25" customHeight="1" x14ac:dyDescent="0.35">
      <c r="A34" s="1538"/>
      <c r="B34" s="1700"/>
      <c r="C34" s="646"/>
      <c r="D34" s="1699"/>
      <c r="E34" s="1699"/>
      <c r="F34" s="1699"/>
      <c r="G34" s="646"/>
      <c r="H34" s="1707"/>
      <c r="I34" s="1536"/>
      <c r="J34" s="1707"/>
      <c r="K34" s="1536"/>
      <c r="L34" s="1707"/>
      <c r="M34" s="1536"/>
      <c r="N34" s="1707"/>
      <c r="O34" s="1536"/>
      <c r="P34" s="1707"/>
      <c r="Q34" s="1563"/>
      <c r="R34" s="1707"/>
      <c r="S34" s="1563"/>
    </row>
    <row r="35" spans="1:19" x14ac:dyDescent="0.35">
      <c r="A35" s="1538"/>
      <c r="B35" s="1716"/>
      <c r="C35" s="646"/>
      <c r="D35" s="1699"/>
      <c r="E35" s="1699"/>
      <c r="F35" s="1699"/>
      <c r="G35" s="646"/>
      <c r="H35" s="1707"/>
      <c r="I35" s="1536"/>
      <c r="J35" s="1707"/>
      <c r="K35" s="1536"/>
      <c r="L35" s="1707"/>
      <c r="M35" s="1536"/>
      <c r="N35" s="1707"/>
      <c r="O35" s="1536"/>
      <c r="P35" s="1707"/>
      <c r="Q35" s="1563"/>
      <c r="R35" s="1707"/>
      <c r="S35" s="1563"/>
    </row>
    <row r="36" spans="1:19" x14ac:dyDescent="0.35">
      <c r="A36" s="1538"/>
      <c r="B36" s="1717"/>
      <c r="C36" s="646"/>
      <c r="D36" s="1699"/>
      <c r="E36" s="1699"/>
      <c r="F36" s="1699"/>
      <c r="G36" s="646"/>
      <c r="H36" s="1707"/>
      <c r="I36" s="1536"/>
      <c r="J36" s="1707"/>
      <c r="K36" s="1536"/>
      <c r="L36" s="1707"/>
      <c r="M36" s="1536"/>
      <c r="N36" s="1707"/>
      <c r="O36" s="1536"/>
      <c r="P36" s="1707"/>
      <c r="Q36" s="1563"/>
      <c r="R36" s="1707"/>
      <c r="S36" s="1563"/>
    </row>
    <row r="37" spans="1:19" x14ac:dyDescent="0.35">
      <c r="A37" s="1538"/>
      <c r="B37" s="1717"/>
      <c r="C37" s="646"/>
      <c r="D37" s="1699"/>
      <c r="E37" s="1699"/>
      <c r="F37" s="1699"/>
      <c r="G37" s="646"/>
      <c r="H37" s="1707"/>
      <c r="I37" s="1536"/>
      <c r="J37" s="1707"/>
      <c r="K37" s="1536"/>
      <c r="L37" s="1707"/>
      <c r="M37" s="1536"/>
      <c r="N37" s="1707"/>
      <c r="O37" s="1536"/>
      <c r="P37" s="1707"/>
      <c r="Q37" s="1563"/>
      <c r="R37" s="1707"/>
      <c r="S37" s="1563"/>
    </row>
    <row r="38" spans="1:19" x14ac:dyDescent="0.35">
      <c r="A38" s="1538"/>
      <c r="B38" s="1716"/>
      <c r="C38" s="1705"/>
      <c r="D38" s="1699"/>
      <c r="E38" s="1699"/>
      <c r="F38" s="1699"/>
      <c r="G38" s="646"/>
      <c r="H38" s="1707"/>
      <c r="I38" s="1718"/>
      <c r="J38" s="1707"/>
      <c r="K38" s="1719"/>
      <c r="L38" s="1707"/>
      <c r="M38" s="1719"/>
      <c r="N38" s="1707"/>
      <c r="O38" s="3875"/>
      <c r="P38" s="1707"/>
      <c r="Q38" s="1536"/>
      <c r="R38" s="1707"/>
      <c r="S38" s="1536"/>
    </row>
    <row r="39" spans="1:19" x14ac:dyDescent="0.35">
      <c r="A39" s="1538"/>
      <c r="B39" s="1717"/>
      <c r="C39" s="1705"/>
      <c r="D39" s="1699"/>
      <c r="E39" s="1699"/>
      <c r="F39" s="1699"/>
      <c r="G39" s="646"/>
      <c r="H39" s="1707"/>
      <c r="I39" s="1718"/>
      <c r="J39" s="1707"/>
      <c r="K39" s="1720"/>
      <c r="L39" s="1707"/>
      <c r="M39" s="1720"/>
      <c r="N39" s="1707"/>
      <c r="O39" s="3876"/>
      <c r="P39" s="1707"/>
      <c r="Q39" s="1563"/>
      <c r="R39" s="1707"/>
      <c r="S39" s="1536"/>
    </row>
    <row r="40" spans="1:19" ht="15" thickBot="1" x14ac:dyDescent="0.4">
      <c r="A40" s="1538"/>
      <c r="B40" s="1721"/>
      <c r="C40" s="1705"/>
      <c r="D40" s="1699"/>
      <c r="E40" s="1699"/>
      <c r="F40" s="1699"/>
      <c r="G40" s="646"/>
      <c r="H40" s="1707"/>
      <c r="I40" s="1536"/>
      <c r="J40" s="1563"/>
      <c r="K40" s="1536"/>
      <c r="L40" s="1563"/>
      <c r="M40" s="1536"/>
      <c r="N40" s="1563"/>
      <c r="O40" s="1536"/>
      <c r="P40" s="1563"/>
      <c r="Q40" s="1563"/>
      <c r="R40" s="1707"/>
      <c r="S40" s="1536"/>
    </row>
    <row r="41" spans="1:19" ht="15" thickTop="1" x14ac:dyDescent="0.35">
      <c r="A41" s="14"/>
      <c r="B41" s="15"/>
      <c r="C41" s="16"/>
      <c r="D41" s="16"/>
      <c r="E41" s="17"/>
      <c r="F41" s="18" t="s">
        <v>715</v>
      </c>
      <c r="G41" s="19"/>
      <c r="H41" s="20"/>
      <c r="I41" s="53">
        <f>SUM(I23:I40)</f>
        <v>0</v>
      </c>
      <c r="J41" s="20"/>
      <c r="K41" s="53">
        <f>SUM(K23:K40)</f>
        <v>0</v>
      </c>
      <c r="L41" s="20"/>
      <c r="M41" s="53">
        <f>SUM(M23:M40)</f>
        <v>0</v>
      </c>
      <c r="N41" s="20"/>
      <c r="O41" s="53">
        <f>SUM(O23:O40)</f>
        <v>0</v>
      </c>
      <c r="P41" s="20"/>
      <c r="Q41" s="53">
        <f>SUM(Q23:Q40)</f>
        <v>0</v>
      </c>
      <c r="R41" s="20"/>
      <c r="S41" s="53">
        <f>SUM(S23:S40)</f>
        <v>0</v>
      </c>
    </row>
    <row r="42" spans="1:19" x14ac:dyDescent="0.35">
      <c r="A42" s="1662"/>
      <c r="B42" s="1663"/>
      <c r="C42" s="1664"/>
      <c r="D42" s="1664"/>
      <c r="E42" s="1665"/>
      <c r="F42" s="1666" t="s">
        <v>716</v>
      </c>
      <c r="G42" s="659"/>
      <c r="H42" s="1667">
        <v>0</v>
      </c>
      <c r="I42" s="1668"/>
      <c r="J42" s="1667"/>
      <c r="K42" s="1668"/>
      <c r="L42" s="1667"/>
      <c r="M42" s="1668"/>
      <c r="N42" s="1667"/>
      <c r="O42" s="1668"/>
      <c r="P42" s="1667">
        <v>0</v>
      </c>
      <c r="Q42" s="1668"/>
      <c r="R42" s="1667">
        <v>0</v>
      </c>
      <c r="S42" s="1668"/>
    </row>
    <row r="43" spans="1:19" x14ac:dyDescent="0.35">
      <c r="A43" s="1662"/>
      <c r="B43" s="1663"/>
      <c r="C43" s="1664"/>
      <c r="D43" s="1664"/>
      <c r="E43" s="1665"/>
      <c r="F43" s="1666" t="s">
        <v>717</v>
      </c>
      <c r="G43" s="659"/>
      <c r="H43" s="1669"/>
      <c r="I43" s="1670">
        <f>I41*H42</f>
        <v>0</v>
      </c>
      <c r="J43" s="1669"/>
      <c r="K43" s="1670">
        <f>K41*J42</f>
        <v>0</v>
      </c>
      <c r="L43" s="1669"/>
      <c r="M43" s="1670">
        <f>M41*L42</f>
        <v>0</v>
      </c>
      <c r="N43" s="1669"/>
      <c r="O43" s="1670">
        <f>O41*N42</f>
        <v>0</v>
      </c>
      <c r="P43" s="1669"/>
      <c r="Q43" s="1670">
        <f>Q41*P42</f>
        <v>0</v>
      </c>
      <c r="R43" s="1669"/>
      <c r="S43" s="1670">
        <f>S41*R42</f>
        <v>0</v>
      </c>
    </row>
    <row r="44" spans="1:19" x14ac:dyDescent="0.35">
      <c r="A44" s="1662"/>
      <c r="B44" s="1663"/>
      <c r="C44" s="1664"/>
      <c r="D44" s="1664"/>
      <c r="E44" s="1665"/>
      <c r="F44" s="1666"/>
      <c r="G44" s="659"/>
      <c r="H44" s="1669"/>
      <c r="I44" s="1669"/>
      <c r="J44" s="1669"/>
      <c r="K44" s="1669"/>
      <c r="L44" s="1669"/>
      <c r="M44" s="1669"/>
      <c r="N44" s="1669"/>
      <c r="O44" s="1669"/>
      <c r="P44" s="1669"/>
      <c r="Q44" s="1669"/>
      <c r="R44" s="1669"/>
      <c r="S44" s="1669"/>
    </row>
    <row r="45" spans="1:19" x14ac:dyDescent="0.35">
      <c r="A45" s="1662"/>
      <c r="B45" s="1663"/>
      <c r="C45" s="1664"/>
      <c r="D45" s="1664"/>
      <c r="E45" s="1665"/>
      <c r="F45" s="1666" t="s">
        <v>718</v>
      </c>
      <c r="G45" s="659"/>
      <c r="H45" s="1671"/>
      <c r="I45" s="1672">
        <f>SUM(I41:I43)</f>
        <v>0</v>
      </c>
      <c r="J45" s="1671"/>
      <c r="K45" s="1672">
        <f>SUM(K41:K43)</f>
        <v>0</v>
      </c>
      <c r="L45" s="1671"/>
      <c r="M45" s="1672">
        <f>SUM(M41:M43)</f>
        <v>0</v>
      </c>
      <c r="N45" s="1671"/>
      <c r="O45" s="1672">
        <f>SUM(O41:O43)</f>
        <v>0</v>
      </c>
      <c r="P45" s="1671"/>
      <c r="Q45" s="1672">
        <f>SUM(Q41:Q43)</f>
        <v>0</v>
      </c>
      <c r="R45" s="1671"/>
      <c r="S45" s="1672">
        <f>SUM(S41:S43)</f>
        <v>0</v>
      </c>
    </row>
    <row r="46" spans="1:19" x14ac:dyDescent="0.35">
      <c r="A46" s="1662"/>
      <c r="B46" s="1663"/>
      <c r="C46" s="1664"/>
      <c r="D46" s="1664"/>
      <c r="E46" s="1665"/>
      <c r="F46" s="1673" t="s">
        <v>719</v>
      </c>
      <c r="G46" s="661"/>
      <c r="H46" s="1674"/>
      <c r="I46" s="1675" t="e">
        <f>I45/#REF!</f>
        <v>#REF!</v>
      </c>
      <c r="J46" s="1674"/>
      <c r="K46" s="1675" t="e">
        <f>K45/#REF!</f>
        <v>#REF!</v>
      </c>
      <c r="L46" s="1674"/>
      <c r="M46" s="1675" t="e">
        <f>M45/#REF!</f>
        <v>#REF!</v>
      </c>
      <c r="N46" s="1674"/>
      <c r="O46" s="1675" t="e">
        <f>O45/#REF!</f>
        <v>#REF!</v>
      </c>
      <c r="P46" s="1674"/>
      <c r="Q46" s="1675" t="e">
        <f>Q45/#REF!</f>
        <v>#REF!</v>
      </c>
      <c r="R46" s="1674"/>
      <c r="S46" s="1675" t="e">
        <f>S45/#REF!</f>
        <v>#REF!</v>
      </c>
    </row>
    <row r="47" spans="1:19" x14ac:dyDescent="0.35">
      <c r="A47" s="1662"/>
      <c r="B47" s="1663"/>
      <c r="C47" s="1664"/>
      <c r="D47" s="1664"/>
      <c r="E47" s="1665"/>
      <c r="F47" s="1673" t="s">
        <v>720</v>
      </c>
      <c r="G47" s="662"/>
      <c r="H47" s="1674"/>
      <c r="I47" s="1675" t="e">
        <f>I45/#REF!</f>
        <v>#REF!</v>
      </c>
      <c r="J47" s="1674"/>
      <c r="K47" s="1675" t="e">
        <f>K45/#REF!</f>
        <v>#REF!</v>
      </c>
      <c r="L47" s="1674"/>
      <c r="M47" s="1675" t="e">
        <f>M45/#REF!</f>
        <v>#REF!</v>
      </c>
      <c r="N47" s="1674"/>
      <c r="O47" s="1675" t="e">
        <f>O45/#REF!</f>
        <v>#REF!</v>
      </c>
      <c r="P47" s="1674"/>
      <c r="Q47" s="1675" t="e">
        <f>Q45/#REF!</f>
        <v>#REF!</v>
      </c>
      <c r="R47" s="1674"/>
      <c r="S47" s="1675" t="e">
        <f>S45/#REF!</f>
        <v>#REF!</v>
      </c>
    </row>
    <row r="48" spans="1:19" ht="15" thickBot="1" x14ac:dyDescent="0.4">
      <c r="A48" s="1662"/>
      <c r="B48" s="1663"/>
      <c r="C48" s="1664"/>
      <c r="D48" s="1664"/>
      <c r="E48" s="1665"/>
      <c r="F48" s="1666"/>
      <c r="G48" s="663"/>
      <c r="H48" s="1677"/>
      <c r="I48" s="1678"/>
      <c r="J48" s="1676"/>
      <c r="K48" s="1676"/>
      <c r="L48" s="1676"/>
      <c r="M48" s="1676"/>
      <c r="N48" s="1676"/>
      <c r="O48" s="1676"/>
      <c r="P48" s="1676"/>
      <c r="Q48" s="1676"/>
      <c r="R48" s="1676"/>
      <c r="S48" s="1676"/>
    </row>
    <row r="49" spans="1:19" ht="15.5" thickTop="1" thickBot="1" x14ac:dyDescent="0.4">
      <c r="A49" s="3764" t="s">
        <v>721</v>
      </c>
      <c r="B49" s="3765"/>
      <c r="C49" s="12"/>
      <c r="D49" s="12"/>
      <c r="E49" s="12"/>
      <c r="F49" s="12"/>
      <c r="G49" s="43"/>
      <c r="H49" s="42"/>
      <c r="I49" s="21"/>
      <c r="J49" s="21"/>
      <c r="K49" s="21"/>
      <c r="L49" s="21"/>
      <c r="M49" s="21"/>
      <c r="N49" s="21"/>
      <c r="O49" s="21"/>
      <c r="P49" s="21"/>
      <c r="Q49" s="21"/>
      <c r="R49" s="21"/>
      <c r="S49" s="21"/>
    </row>
    <row r="50" spans="1:19" ht="15" thickTop="1" x14ac:dyDescent="0.35">
      <c r="A50" s="1619"/>
      <c r="B50" s="1698"/>
      <c r="C50" s="1620"/>
      <c r="D50" s="1620"/>
      <c r="E50" s="1620"/>
      <c r="F50" s="1620"/>
      <c r="G50" s="1722"/>
      <c r="H50" s="1654"/>
      <c r="I50" s="1572"/>
      <c r="J50" s="1572"/>
      <c r="K50" s="1572"/>
      <c r="L50" s="1572"/>
      <c r="M50" s="1572"/>
      <c r="N50" s="1572"/>
      <c r="O50" s="1572"/>
      <c r="P50" s="1572"/>
      <c r="Q50" s="1572"/>
      <c r="R50" s="1572"/>
      <c r="S50" s="1572"/>
    </row>
    <row r="51" spans="1:19" x14ac:dyDescent="0.35">
      <c r="A51" s="1619"/>
      <c r="B51" s="1698"/>
      <c r="C51" s="1620"/>
      <c r="D51" s="1620"/>
      <c r="E51" s="1620"/>
      <c r="F51" s="1620"/>
      <c r="G51" s="1722"/>
      <c r="H51" s="1654"/>
      <c r="I51" s="1572"/>
      <c r="J51" s="1572"/>
      <c r="K51" s="1572"/>
      <c r="L51" s="1572"/>
      <c r="M51" s="1572"/>
      <c r="N51" s="1572"/>
      <c r="O51" s="1572"/>
      <c r="P51" s="1572"/>
      <c r="Q51" s="1572"/>
      <c r="R51" s="1572"/>
      <c r="S51" s="1572"/>
    </row>
    <row r="52" spans="1:19" ht="15" thickBot="1" x14ac:dyDescent="0.4">
      <c r="A52" s="1619"/>
      <c r="B52" s="1698"/>
      <c r="C52" s="1620"/>
      <c r="D52" s="1620"/>
      <c r="E52" s="1620"/>
      <c r="F52" s="1620"/>
      <c r="G52" s="1722"/>
      <c r="H52" s="1654"/>
      <c r="I52" s="1572"/>
      <c r="J52" s="1572"/>
      <c r="K52" s="1572"/>
      <c r="L52" s="1572"/>
      <c r="M52" s="1572"/>
      <c r="N52" s="1572"/>
      <c r="O52" s="1572"/>
      <c r="P52" s="1572"/>
      <c r="Q52" s="1572"/>
      <c r="R52" s="1572"/>
      <c r="S52" s="1572"/>
    </row>
    <row r="53" spans="1:19" s="2" customFormat="1" ht="15.5" thickTop="1" thickBot="1" x14ac:dyDescent="0.4">
      <c r="A53" s="3764" t="s">
        <v>722</v>
      </c>
      <c r="B53" s="3765"/>
      <c r="C53" s="12"/>
      <c r="D53" s="12"/>
      <c r="E53" s="12"/>
      <c r="F53" s="12"/>
      <c r="G53" s="43"/>
      <c r="H53" s="42"/>
      <c r="I53" s="21"/>
      <c r="J53" s="21"/>
      <c r="K53" s="21"/>
      <c r="L53" s="21"/>
      <c r="M53" s="21"/>
      <c r="N53" s="21"/>
      <c r="O53" s="21"/>
      <c r="P53" s="21"/>
      <c r="Q53" s="21"/>
      <c r="R53" s="21"/>
      <c r="S53" s="21"/>
    </row>
    <row r="54" spans="1:19" s="2" customFormat="1" ht="15" thickTop="1" x14ac:dyDescent="0.35">
      <c r="A54" s="1619"/>
      <c r="B54" s="1698"/>
      <c r="C54" s="1620"/>
      <c r="D54" s="1620"/>
      <c r="E54" s="1620"/>
      <c r="F54" s="1620"/>
      <c r="G54" s="1722"/>
      <c r="H54" s="1654"/>
      <c r="I54" s="1572"/>
      <c r="J54" s="1572"/>
      <c r="K54" s="1572"/>
      <c r="L54" s="1572"/>
      <c r="M54" s="1572"/>
      <c r="N54" s="1572"/>
      <c r="O54" s="1572"/>
      <c r="P54" s="1572"/>
      <c r="Q54" s="1572"/>
      <c r="R54" s="1572"/>
      <c r="S54" s="1572"/>
    </row>
    <row r="55" spans="1:19" s="2" customFormat="1" x14ac:dyDescent="0.35">
      <c r="A55" s="1619"/>
      <c r="B55" s="1698"/>
      <c r="C55" s="1620"/>
      <c r="D55" s="1620"/>
      <c r="E55" s="1620"/>
      <c r="F55" s="1620"/>
      <c r="G55" s="1722"/>
      <c r="H55" s="1654"/>
      <c r="I55" s="1572"/>
      <c r="J55" s="1572"/>
      <c r="K55" s="1572"/>
      <c r="L55" s="1572"/>
      <c r="M55" s="1572"/>
      <c r="N55" s="1572"/>
      <c r="O55" s="1572"/>
      <c r="P55" s="1572"/>
      <c r="Q55" s="1572"/>
      <c r="R55" s="1572"/>
      <c r="S55" s="1572"/>
    </row>
    <row r="56" spans="1:19" ht="15" thickBot="1" x14ac:dyDescent="0.4">
      <c r="A56" s="1619"/>
      <c r="B56" s="1698"/>
      <c r="C56" s="1620"/>
      <c r="D56" s="1620"/>
      <c r="E56" s="1620"/>
      <c r="F56" s="1620"/>
      <c r="G56" s="1722"/>
      <c r="H56" s="1654"/>
      <c r="I56" s="1572"/>
      <c r="J56" s="1572"/>
      <c r="K56" s="1572"/>
      <c r="L56" s="1572"/>
      <c r="M56" s="1572"/>
      <c r="N56" s="1572"/>
      <c r="O56" s="1572"/>
      <c r="P56" s="1572"/>
      <c r="Q56" s="1572"/>
      <c r="R56" s="1572"/>
      <c r="S56" s="1572"/>
    </row>
    <row r="57" spans="1:19" s="2" customFormat="1" ht="15.5" thickTop="1" thickBot="1" x14ac:dyDescent="0.4">
      <c r="A57" s="3764" t="s">
        <v>723</v>
      </c>
      <c r="B57" s="3765"/>
      <c r="C57" s="12"/>
      <c r="D57" s="12"/>
      <c r="E57" s="12"/>
      <c r="F57" s="12"/>
      <c r="G57" s="43"/>
      <c r="H57" s="42"/>
      <c r="I57" s="21"/>
      <c r="J57" s="21"/>
      <c r="K57" s="21"/>
      <c r="L57" s="21"/>
      <c r="M57" s="21"/>
      <c r="N57" s="21"/>
      <c r="O57" s="21"/>
      <c r="P57" s="21"/>
      <c r="Q57" s="21"/>
      <c r="R57" s="21"/>
      <c r="S57" s="21"/>
    </row>
    <row r="58" spans="1:19" s="2" customFormat="1" ht="15" thickTop="1" x14ac:dyDescent="0.35">
      <c r="A58" s="1619"/>
      <c r="B58" s="1698"/>
      <c r="C58" s="1620"/>
      <c r="D58" s="1620"/>
      <c r="E58" s="1620"/>
      <c r="F58" s="1620"/>
      <c r="G58" s="1722"/>
      <c r="H58" s="1654"/>
      <c r="I58" s="1572"/>
      <c r="J58" s="1572"/>
      <c r="K58" s="1572"/>
      <c r="L58" s="1572"/>
      <c r="M58" s="1572"/>
      <c r="N58" s="1572"/>
      <c r="O58" s="1572"/>
      <c r="P58" s="1572"/>
      <c r="Q58" s="1572"/>
      <c r="R58" s="1572"/>
      <c r="S58" s="1572"/>
    </row>
    <row r="59" spans="1:19" s="2" customFormat="1" x14ac:dyDescent="0.35">
      <c r="A59" s="1703"/>
      <c r="B59" s="1698"/>
      <c r="C59" s="1699"/>
      <c r="D59" s="1699"/>
      <c r="E59" s="1699"/>
      <c r="F59" s="1699"/>
      <c r="G59" s="1723"/>
      <c r="H59" s="664"/>
      <c r="I59" s="1679"/>
      <c r="J59" s="1679"/>
      <c r="K59" s="1679"/>
      <c r="L59" s="1679"/>
      <c r="M59" s="1679"/>
      <c r="N59" s="1679"/>
      <c r="O59" s="1679"/>
      <c r="P59" s="1679"/>
      <c r="Q59" s="1679"/>
      <c r="R59" s="1679"/>
      <c r="S59" s="1679"/>
    </row>
    <row r="60" spans="1:19" s="2" customFormat="1" ht="15" thickBot="1" x14ac:dyDescent="0.4">
      <c r="A60" s="1680"/>
      <c r="B60" s="1681"/>
      <c r="C60" s="1699"/>
      <c r="D60" s="1699"/>
      <c r="E60" s="1699"/>
      <c r="F60" s="1699"/>
      <c r="G60" s="1723"/>
      <c r="H60" s="666"/>
      <c r="I60" s="1682"/>
      <c r="J60" s="1682"/>
      <c r="K60" s="1682"/>
      <c r="L60" s="1682"/>
      <c r="M60" s="1682"/>
      <c r="N60" s="1682"/>
      <c r="O60" s="1682"/>
      <c r="P60" s="1682"/>
      <c r="Q60" s="1682"/>
      <c r="R60" s="1682"/>
      <c r="S60" s="1682"/>
    </row>
    <row r="61" spans="1:19" s="2" customFormat="1" ht="15.5" thickTop="1" thickBot="1" x14ac:dyDescent="0.4">
      <c r="A61" s="3764" t="s">
        <v>724</v>
      </c>
      <c r="B61" s="3765"/>
      <c r="C61" s="12"/>
      <c r="D61" s="12"/>
      <c r="E61" s="12"/>
      <c r="F61" s="12"/>
      <c r="G61" s="43"/>
      <c r="H61" s="42"/>
      <c r="I61" s="21"/>
      <c r="J61" s="21"/>
      <c r="K61" s="21"/>
      <c r="L61" s="21"/>
      <c r="M61" s="21"/>
      <c r="N61" s="21"/>
      <c r="O61" s="21"/>
      <c r="P61" s="21"/>
      <c r="Q61" s="21"/>
      <c r="R61" s="21"/>
      <c r="S61" s="21"/>
    </row>
    <row r="62" spans="1:19" ht="15" thickTop="1" x14ac:dyDescent="0.35">
      <c r="A62" s="1623"/>
      <c r="B62" s="1624"/>
      <c r="C62" s="1620"/>
      <c r="D62" s="1620"/>
      <c r="E62" s="1620"/>
      <c r="F62" s="1620"/>
      <c r="G62" s="1722"/>
      <c r="H62" s="1654"/>
      <c r="I62" s="1572"/>
      <c r="J62" s="1572"/>
      <c r="K62" s="1572"/>
      <c r="L62" s="1572"/>
      <c r="M62" s="1572"/>
      <c r="N62" s="1572"/>
      <c r="O62" s="1572"/>
      <c r="P62" s="1572"/>
      <c r="Q62" s="1572"/>
      <c r="R62" s="1572"/>
      <c r="S62" s="1572"/>
    </row>
    <row r="63" spans="1:19" x14ac:dyDescent="0.35">
      <c r="A63" s="1680"/>
      <c r="B63" s="1681"/>
      <c r="C63" s="1699"/>
      <c r="D63" s="1699"/>
      <c r="E63" s="1699"/>
      <c r="F63" s="1699"/>
      <c r="G63" s="1723"/>
      <c r="H63" s="667"/>
      <c r="I63" s="1683"/>
      <c r="J63" s="1683"/>
      <c r="K63" s="1683"/>
      <c r="L63" s="1683"/>
      <c r="M63" s="1683"/>
      <c r="N63" s="1683"/>
      <c r="O63" s="1683"/>
      <c r="P63" s="1683"/>
      <c r="Q63" s="1683"/>
      <c r="R63" s="1683"/>
      <c r="S63" s="1683"/>
    </row>
    <row r="64" spans="1:19" ht="15" thickBot="1" x14ac:dyDescent="0.4">
      <c r="A64" s="1680"/>
      <c r="B64" s="1681"/>
      <c r="C64" s="1699"/>
      <c r="D64" s="1699"/>
      <c r="E64" s="1699"/>
      <c r="F64" s="1699"/>
      <c r="G64" s="1723"/>
      <c r="H64" s="667"/>
      <c r="I64" s="1683"/>
      <c r="J64" s="1683"/>
      <c r="K64" s="1683"/>
      <c r="L64" s="1683"/>
      <c r="M64" s="1683"/>
      <c r="N64" s="1683"/>
      <c r="O64" s="1683"/>
      <c r="P64" s="1683"/>
      <c r="Q64" s="1683"/>
      <c r="R64" s="1683"/>
      <c r="S64" s="1683"/>
    </row>
    <row r="65" spans="1:19" ht="15.5" thickTop="1" thickBot="1" x14ac:dyDescent="0.4">
      <c r="A65" s="3764" t="s">
        <v>725</v>
      </c>
      <c r="B65" s="3765"/>
      <c r="C65" s="12"/>
      <c r="D65" s="12"/>
      <c r="E65" s="12"/>
      <c r="F65" s="12"/>
      <c r="G65" s="43"/>
      <c r="H65" s="42"/>
      <c r="I65" s="21"/>
      <c r="J65" s="21"/>
      <c r="K65" s="21"/>
      <c r="L65" s="21"/>
      <c r="M65" s="21"/>
      <c r="N65" s="21"/>
      <c r="O65" s="21"/>
      <c r="P65" s="21"/>
      <c r="Q65" s="21"/>
      <c r="R65" s="21"/>
      <c r="S65" s="21"/>
    </row>
    <row r="66" spans="1:19" ht="15" thickTop="1" x14ac:dyDescent="0.35">
      <c r="A66" s="1703"/>
      <c r="B66" s="1698" t="s">
        <v>726</v>
      </c>
      <c r="C66" s="1699"/>
      <c r="D66" s="1699"/>
      <c r="E66" s="1699"/>
      <c r="F66" s="1699"/>
      <c r="G66" s="1723"/>
      <c r="H66" s="667"/>
      <c r="I66" s="1683"/>
      <c r="J66" s="1683"/>
      <c r="K66" s="1683"/>
      <c r="L66" s="1683"/>
      <c r="M66" s="1683"/>
      <c r="N66" s="1683"/>
      <c r="O66" s="1683"/>
      <c r="P66" s="1683"/>
      <c r="Q66" s="1683"/>
      <c r="R66" s="1683"/>
      <c r="S66" s="1683"/>
    </row>
    <row r="67" spans="1:19" x14ac:dyDescent="0.35">
      <c r="A67" s="1703"/>
      <c r="B67" s="1698" t="s">
        <v>727</v>
      </c>
      <c r="C67" s="1699"/>
      <c r="D67" s="1699"/>
      <c r="E67" s="1699"/>
      <c r="F67" s="1699"/>
      <c r="G67" s="1723"/>
      <c r="H67" s="667"/>
      <c r="I67" s="1683"/>
      <c r="J67" s="1683"/>
      <c r="K67" s="1683"/>
      <c r="L67" s="1683"/>
      <c r="M67" s="1683"/>
      <c r="N67" s="1683"/>
      <c r="O67" s="1683"/>
      <c r="P67" s="1683"/>
      <c r="Q67" s="1683"/>
      <c r="R67" s="1683"/>
      <c r="S67" s="1683"/>
    </row>
    <row r="68" spans="1:19" x14ac:dyDescent="0.35">
      <c r="A68" s="1703"/>
      <c r="B68" s="1698" t="s">
        <v>728</v>
      </c>
      <c r="C68" s="1699"/>
      <c r="D68" s="1699"/>
      <c r="E68" s="1699"/>
      <c r="F68" s="1699"/>
      <c r="G68" s="1723"/>
      <c r="H68" s="667"/>
      <c r="I68" s="1683"/>
      <c r="J68" s="1683"/>
      <c r="K68" s="1683"/>
      <c r="L68" s="1683"/>
      <c r="M68" s="1683"/>
      <c r="N68" s="1683"/>
      <c r="O68" s="1683"/>
      <c r="P68" s="1683"/>
      <c r="Q68" s="1683"/>
      <c r="R68" s="1683"/>
      <c r="S68" s="1683"/>
    </row>
    <row r="69" spans="1:19" x14ac:dyDescent="0.35">
      <c r="A69" s="1703"/>
      <c r="B69" s="1698" t="s">
        <v>729</v>
      </c>
      <c r="C69" s="1699"/>
      <c r="D69" s="1699"/>
      <c r="E69" s="1699"/>
      <c r="F69" s="1699"/>
      <c r="G69" s="1723"/>
      <c r="H69" s="667"/>
      <c r="I69" s="1683"/>
      <c r="J69" s="1683"/>
      <c r="K69" s="1683"/>
      <c r="L69" s="1683"/>
      <c r="M69" s="1683"/>
      <c r="N69" s="1683"/>
      <c r="O69" s="1683"/>
      <c r="P69" s="1683"/>
      <c r="Q69" s="1683"/>
      <c r="R69" s="1683"/>
      <c r="S69" s="1683"/>
    </row>
    <row r="70" spans="1:19" ht="15" thickBot="1" x14ac:dyDescent="0.4">
      <c r="A70" s="978"/>
      <c r="B70" s="939"/>
      <c r="C70" s="940"/>
      <c r="D70" s="940"/>
      <c r="E70" s="940"/>
      <c r="F70" s="940"/>
      <c r="G70" s="979"/>
      <c r="H70" s="980"/>
      <c r="I70" s="981"/>
      <c r="J70" s="981"/>
      <c r="K70" s="981"/>
      <c r="L70" s="981"/>
      <c r="M70" s="981"/>
      <c r="N70" s="981"/>
      <c r="O70" s="981"/>
      <c r="P70" s="981"/>
      <c r="Q70" s="981"/>
      <c r="R70" s="981"/>
      <c r="S70" s="981"/>
    </row>
    <row r="71" spans="1:19" ht="15.5" thickTop="1" thickBot="1" x14ac:dyDescent="0.4">
      <c r="A71" s="7" t="s">
        <v>730</v>
      </c>
      <c r="B71" s="8"/>
      <c r="C71" s="12"/>
      <c r="D71" s="12"/>
      <c r="E71" s="12"/>
      <c r="F71" s="12"/>
      <c r="G71" s="43"/>
      <c r="H71" s="42"/>
      <c r="I71" s="21"/>
      <c r="J71" s="21"/>
      <c r="K71" s="21"/>
      <c r="L71" s="21"/>
      <c r="M71" s="21"/>
      <c r="N71" s="21"/>
      <c r="O71" s="21"/>
      <c r="P71" s="21"/>
      <c r="Q71" s="21"/>
      <c r="R71" s="21"/>
      <c r="S71" s="21"/>
    </row>
    <row r="72" spans="1:19" ht="15" thickTop="1" x14ac:dyDescent="0.35">
      <c r="A72" s="1619"/>
      <c r="B72" s="1625" t="s">
        <v>731</v>
      </c>
      <c r="C72" s="1620"/>
      <c r="D72" s="1620"/>
      <c r="E72" s="1620"/>
      <c r="F72" s="1620"/>
      <c r="G72" s="1722"/>
      <c r="H72" s="1563"/>
      <c r="I72" s="1576"/>
      <c r="J72" s="1576"/>
      <c r="K72" s="1576"/>
      <c r="L72" s="1576"/>
      <c r="M72" s="1576"/>
      <c r="N72" s="1576"/>
      <c r="O72" s="1576"/>
      <c r="P72" s="1576"/>
      <c r="Q72" s="1576"/>
      <c r="R72" s="1576"/>
      <c r="S72" s="1576"/>
    </row>
    <row r="73" spans="1:19" x14ac:dyDescent="0.35">
      <c r="A73" s="1703"/>
      <c r="B73" s="1698" t="s">
        <v>732</v>
      </c>
      <c r="C73" s="1699"/>
      <c r="D73" s="1699"/>
      <c r="E73" s="1699"/>
      <c r="F73" s="1699"/>
      <c r="G73" s="1723"/>
      <c r="H73" s="668"/>
      <c r="I73" s="1684"/>
      <c r="J73" s="1684"/>
      <c r="K73" s="1684"/>
      <c r="L73" s="1684"/>
      <c r="M73" s="1684"/>
      <c r="N73" s="1684"/>
      <c r="O73" s="1684"/>
      <c r="P73" s="1684"/>
      <c r="Q73" s="1684"/>
      <c r="R73" s="1684"/>
      <c r="S73" s="1684"/>
    </row>
    <row r="74" spans="1:19" ht="15" thickBot="1" x14ac:dyDescent="0.4">
      <c r="A74" s="1685"/>
      <c r="B74" s="1686" t="s">
        <v>733</v>
      </c>
      <c r="C74" s="1687"/>
      <c r="D74" s="1687"/>
      <c r="E74" s="1687"/>
      <c r="F74" s="1687"/>
      <c r="G74" s="1724"/>
      <c r="H74" s="1725"/>
      <c r="I74" s="1689"/>
      <c r="J74" s="1689"/>
      <c r="K74" s="1689"/>
      <c r="L74" s="1689"/>
      <c r="M74" s="1689"/>
      <c r="N74" s="1689"/>
      <c r="O74" s="1689"/>
      <c r="P74" s="1689"/>
      <c r="Q74" s="1689"/>
      <c r="R74" s="1689"/>
      <c r="S74" s="1689"/>
    </row>
    <row r="75" spans="1:19" ht="15.5" thickTop="1" thickBot="1" x14ac:dyDescent="0.4"/>
    <row r="76" spans="1:19" ht="15.5" thickTop="1" thickBot="1" x14ac:dyDescent="0.4">
      <c r="A76" s="78" t="s">
        <v>734</v>
      </c>
      <c r="B76" s="80"/>
    </row>
    <row r="77" spans="1:19" ht="15" thickTop="1" x14ac:dyDescent="0.35">
      <c r="A77" s="79" t="s">
        <v>632</v>
      </c>
      <c r="B77" s="1691"/>
    </row>
    <row r="78" spans="1:19" x14ac:dyDescent="0.35">
      <c r="A78" s="1690" t="s">
        <v>636</v>
      </c>
      <c r="B78" s="1691"/>
    </row>
    <row r="79" spans="1:19" x14ac:dyDescent="0.35">
      <c r="A79" s="1692" t="s">
        <v>639</v>
      </c>
      <c r="B79" s="1693"/>
    </row>
    <row r="80" spans="1:19" x14ac:dyDescent="0.35">
      <c r="A80" s="1692" t="s">
        <v>642</v>
      </c>
      <c r="B80" s="1694"/>
    </row>
    <row r="81" spans="1:2" ht="15" thickBot="1" x14ac:dyDescent="0.4">
      <c r="A81" s="1695" t="s">
        <v>735</v>
      </c>
      <c r="B81" s="1696"/>
    </row>
    <row r="82" spans="1:2" ht="15" thickTop="1" x14ac:dyDescent="0.35"/>
    <row r="83" spans="1:2" x14ac:dyDescent="0.35">
      <c r="A83" s="81"/>
      <c r="B83" s="1" t="s">
        <v>736</v>
      </c>
    </row>
    <row r="84" spans="1:2" x14ac:dyDescent="0.35">
      <c r="A84" s="82"/>
      <c r="B84" s="1" t="s">
        <v>737</v>
      </c>
    </row>
  </sheetData>
  <mergeCells count="48">
    <mergeCell ref="A49:B49"/>
    <mergeCell ref="A53:B53"/>
    <mergeCell ref="A57:B57"/>
    <mergeCell ref="A61:B61"/>
    <mergeCell ref="A65:B65"/>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P8:Q8"/>
    <mergeCell ref="R8:S8"/>
    <mergeCell ref="H7:I7"/>
    <mergeCell ref="J7:K7"/>
    <mergeCell ref="L7:M7"/>
    <mergeCell ref="N7:O7"/>
    <mergeCell ref="P7:Q7"/>
    <mergeCell ref="R7:S7"/>
    <mergeCell ref="O38:O39"/>
    <mergeCell ref="H8:I8"/>
    <mergeCell ref="J8:K8"/>
    <mergeCell ref="L8:M8"/>
    <mergeCell ref="N8:O8"/>
  </mergeCells>
  <hyperlinks>
    <hyperlink ref="B3" location="'Cost Summary'!A1" display="BACK TO SUMMARY SHEET" xr:uid="{007ADE11-D215-434D-B25D-EB5B521BF660}"/>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947B-41FE-4A85-87C5-E431098CC0C3}">
  <sheetPr>
    <tabColor rgb="FFFFC000"/>
  </sheetPr>
  <dimension ref="A1:Y88"/>
  <sheetViews>
    <sheetView zoomScale="85" zoomScaleNormal="85" workbookViewId="0">
      <pane xSplit="2" ySplit="9" topLeftCell="G38" activePane="bottomRight" state="frozen"/>
      <selection pane="topRight" activeCell="C1" sqref="C1"/>
      <selection pane="bottomLeft" activeCell="A11" sqref="A11"/>
      <selection pane="bottomRight" activeCell="N1" sqref="N1"/>
    </sheetView>
  </sheetViews>
  <sheetFormatPr defaultRowHeight="14.5" x14ac:dyDescent="0.35"/>
  <cols>
    <col min="1" max="1" width="11" customWidth="1"/>
    <col min="2" max="2" width="60.81640625" style="1" bestFit="1" customWidth="1"/>
    <col min="3" max="3" width="10.81640625" style="2" bestFit="1" customWidth="1"/>
    <col min="4" max="5" width="7.54296875" style="2" customWidth="1"/>
    <col min="6" max="6" width="10" style="2" customWidth="1"/>
    <col min="7" max="7" width="12.26953125" style="2" customWidth="1"/>
    <col min="8" max="8" width="7.54296875" style="2" customWidth="1"/>
    <col min="9" max="9" width="14.7265625" style="2" customWidth="1"/>
    <col min="10" max="10" width="7.453125" style="2" bestFit="1" customWidth="1"/>
    <col min="11" max="11" width="14.81640625" style="2" customWidth="1"/>
    <col min="12" max="12" width="7.453125" style="2" bestFit="1" customWidth="1"/>
    <col min="13" max="13" width="14.81640625" style="2" customWidth="1"/>
    <col min="14" max="14" width="8.1796875" style="2" hidden="1" customWidth="1"/>
    <col min="15" max="15" width="12.26953125" style="2" hidden="1" customWidth="1"/>
    <col min="16" max="16" width="8.1796875" style="2" customWidth="1"/>
    <col min="17" max="17" width="12.26953125" style="2" customWidth="1"/>
    <col min="18" max="18" width="6.54296875" customWidth="1"/>
    <col min="19" max="19" width="13.26953125" customWidth="1"/>
    <col min="20" max="20" width="7.54296875" style="2" customWidth="1"/>
    <col min="21" max="21" width="12.26953125" style="2" customWidth="1"/>
    <col min="22" max="22" width="7.7265625" style="2" customWidth="1"/>
    <col min="23" max="23" width="12.26953125" style="2" customWidth="1"/>
    <col min="24" max="24" width="7.453125" style="2" bestFit="1" customWidth="1"/>
    <col min="25" max="25" width="14.81640625" style="2" customWidth="1"/>
  </cols>
  <sheetData>
    <row r="1" spans="1:25" x14ac:dyDescent="0.35">
      <c r="D1" s="152"/>
      <c r="E1" s="123"/>
      <c r="F1" s="125"/>
      <c r="G1" s="123" t="s">
        <v>621</v>
      </c>
      <c r="R1" s="3795"/>
      <c r="S1" s="3795"/>
    </row>
    <row r="2" spans="1:25" ht="15.75" customHeight="1" x14ac:dyDescent="0.35">
      <c r="D2" s="152"/>
      <c r="E2" s="123"/>
      <c r="F2" s="122" t="s">
        <v>622</v>
      </c>
      <c r="G2" s="123" t="s">
        <v>451</v>
      </c>
      <c r="H2" s="3751"/>
      <c r="I2" s="3751"/>
      <c r="J2" s="3751"/>
      <c r="K2" s="3751"/>
      <c r="L2" s="3858"/>
      <c r="M2" s="3858"/>
      <c r="N2" s="3751" t="s">
        <v>1981</v>
      </c>
      <c r="O2" s="3751"/>
      <c r="P2" s="3751"/>
      <c r="Q2" s="3751"/>
      <c r="R2" s="3751"/>
      <c r="S2" s="3751"/>
      <c r="T2" s="3751" t="s">
        <v>1982</v>
      </c>
      <c r="U2" s="3751"/>
      <c r="V2" s="391"/>
      <c r="W2" s="391"/>
      <c r="X2" s="3751"/>
      <c r="Y2" s="3751"/>
    </row>
    <row r="3" spans="1:25" ht="19.5" x14ac:dyDescent="0.35">
      <c r="B3" s="137" t="s">
        <v>623</v>
      </c>
      <c r="D3" s="152"/>
      <c r="E3" s="123"/>
      <c r="F3" s="124" t="s">
        <v>624</v>
      </c>
      <c r="G3" s="123" t="s">
        <v>557</v>
      </c>
      <c r="H3" s="3772" t="s">
        <v>625</v>
      </c>
      <c r="I3" s="3773"/>
      <c r="J3" s="3754" t="s">
        <v>626</v>
      </c>
      <c r="K3" s="3755"/>
      <c r="L3" s="3754" t="s">
        <v>627</v>
      </c>
      <c r="M3" s="3755"/>
      <c r="N3" s="3754" t="s">
        <v>628</v>
      </c>
      <c r="O3" s="3755"/>
      <c r="P3" s="3754" t="s">
        <v>628</v>
      </c>
      <c r="Q3" s="3755"/>
      <c r="R3" s="3754" t="s">
        <v>1678</v>
      </c>
      <c r="S3" s="3755"/>
      <c r="T3" s="3754" t="s">
        <v>772</v>
      </c>
      <c r="U3" s="3755"/>
      <c r="V3" s="3754" t="s">
        <v>773</v>
      </c>
      <c r="W3" s="3755"/>
      <c r="X3" s="3754" t="s">
        <v>1550</v>
      </c>
      <c r="Y3" s="3755"/>
    </row>
    <row r="4" spans="1:25" ht="15.75" customHeight="1" x14ac:dyDescent="0.35">
      <c r="A4" s="3" t="s">
        <v>631</v>
      </c>
      <c r="B4" s="4" t="str">
        <f>'AREA CALC''s'!B4</f>
        <v>Alton Hilltop Gardens</v>
      </c>
      <c r="C4" s="5"/>
      <c r="D4" s="5"/>
      <c r="E4" s="5"/>
      <c r="F4" s="5"/>
      <c r="G4" s="6" t="s">
        <v>632</v>
      </c>
      <c r="H4" s="3752" t="s">
        <v>1983</v>
      </c>
      <c r="I4" s="3753"/>
      <c r="J4" s="3752" t="s">
        <v>1984</v>
      </c>
      <c r="K4" s="3753"/>
      <c r="L4" s="3752" t="s">
        <v>1554</v>
      </c>
      <c r="M4" s="3753"/>
      <c r="N4" s="3752" t="s">
        <v>1985</v>
      </c>
      <c r="O4" s="3753"/>
      <c r="P4" s="3752" t="s">
        <v>1986</v>
      </c>
      <c r="Q4" s="3753"/>
      <c r="R4" s="3752" t="s">
        <v>1987</v>
      </c>
      <c r="S4" s="3753"/>
      <c r="T4" s="3752" t="s">
        <v>1988</v>
      </c>
      <c r="U4" s="3753"/>
      <c r="V4" s="3752" t="s">
        <v>1989</v>
      </c>
      <c r="W4" s="3753"/>
      <c r="X4" s="3752" t="s">
        <v>1987</v>
      </c>
      <c r="Y4" s="3753"/>
    </row>
    <row r="5" spans="1:25" x14ac:dyDescent="0.35">
      <c r="A5" s="1697" t="s">
        <v>634</v>
      </c>
      <c r="B5" s="1698" t="s">
        <v>499</v>
      </c>
      <c r="C5" s="1699"/>
      <c r="D5" s="1699"/>
      <c r="E5" s="1699"/>
      <c r="F5" s="1699"/>
      <c r="G5" s="643" t="s">
        <v>636</v>
      </c>
      <c r="H5" s="3883" t="s">
        <v>1990</v>
      </c>
      <c r="I5" s="3884"/>
      <c r="J5" s="3880" t="s">
        <v>1991</v>
      </c>
      <c r="K5" s="3759"/>
      <c r="L5" s="3880" t="s">
        <v>1706</v>
      </c>
      <c r="M5" s="3759"/>
      <c r="N5" s="3880"/>
      <c r="O5" s="3759"/>
      <c r="P5" s="3880" t="s">
        <v>1992</v>
      </c>
      <c r="Q5" s="3759"/>
      <c r="R5" s="3880" t="s">
        <v>1993</v>
      </c>
      <c r="S5" s="3759"/>
      <c r="T5" s="3880" t="s">
        <v>1994</v>
      </c>
      <c r="U5" s="3759"/>
      <c r="V5" s="3880" t="s">
        <v>1995</v>
      </c>
      <c r="W5" s="3759"/>
      <c r="X5" s="3880" t="s">
        <v>1996</v>
      </c>
      <c r="Y5" s="3759"/>
    </row>
    <row r="6" spans="1:25" x14ac:dyDescent="0.35">
      <c r="A6" s="1697" t="s">
        <v>638</v>
      </c>
      <c r="B6" s="1700" t="s">
        <v>498</v>
      </c>
      <c r="C6" s="1699"/>
      <c r="D6" s="1699"/>
      <c r="E6" s="1699"/>
      <c r="F6" s="1699"/>
      <c r="G6" s="643" t="s">
        <v>639</v>
      </c>
      <c r="H6" s="3885" t="s">
        <v>1997</v>
      </c>
      <c r="I6" s="3884"/>
      <c r="J6" s="3881" t="s">
        <v>1998</v>
      </c>
      <c r="K6" s="3757"/>
      <c r="L6" s="3881" t="s">
        <v>1718</v>
      </c>
      <c r="M6" s="3757"/>
      <c r="N6" s="3881"/>
      <c r="O6" s="3757"/>
      <c r="P6" s="3881" t="s">
        <v>1999</v>
      </c>
      <c r="Q6" s="3757"/>
      <c r="R6" s="3881" t="s">
        <v>2000</v>
      </c>
      <c r="S6" s="3757"/>
      <c r="T6" s="3881" t="s">
        <v>2001</v>
      </c>
      <c r="U6" s="3757"/>
      <c r="V6" s="3881" t="s">
        <v>2002</v>
      </c>
      <c r="W6" s="3757"/>
      <c r="X6" s="3881" t="s">
        <v>2003</v>
      </c>
      <c r="Y6" s="3757"/>
    </row>
    <row r="7" spans="1:25" x14ac:dyDescent="0.35">
      <c r="A7" s="1697" t="s">
        <v>641</v>
      </c>
      <c r="B7" s="1702"/>
      <c r="C7" s="1699"/>
      <c r="D7" s="1699"/>
      <c r="E7" s="1699"/>
      <c r="F7" s="1699"/>
      <c r="G7" s="643" t="s">
        <v>642</v>
      </c>
      <c r="H7" s="3886" t="s">
        <v>2004</v>
      </c>
      <c r="I7" s="3887"/>
      <c r="J7" s="3879" t="s">
        <v>2005</v>
      </c>
      <c r="K7" s="3763"/>
      <c r="L7" s="3879" t="s">
        <v>1730</v>
      </c>
      <c r="M7" s="3763"/>
      <c r="N7" s="3882"/>
      <c r="O7" s="3763"/>
      <c r="P7" s="3882" t="s">
        <v>2006</v>
      </c>
      <c r="Q7" s="3763"/>
      <c r="R7" s="3879" t="s">
        <v>2007</v>
      </c>
      <c r="S7" s="3763"/>
      <c r="T7" s="3879" t="s">
        <v>2008</v>
      </c>
      <c r="U7" s="3763"/>
      <c r="V7" s="3879" t="s">
        <v>2009</v>
      </c>
      <c r="W7" s="3763"/>
      <c r="X7" s="3879" t="s">
        <v>2010</v>
      </c>
      <c r="Y7" s="3763"/>
    </row>
    <row r="8" spans="1:25" x14ac:dyDescent="0.35">
      <c r="A8" s="938" t="s">
        <v>644</v>
      </c>
      <c r="B8" s="939"/>
      <c r="C8" s="940"/>
      <c r="D8" s="940"/>
      <c r="E8" s="940"/>
      <c r="F8" s="940"/>
      <c r="G8" s="1024" t="s">
        <v>644</v>
      </c>
      <c r="H8" s="3877">
        <f>I49</f>
        <v>66970</v>
      </c>
      <c r="I8" s="3878"/>
      <c r="J8" s="3877">
        <f>K49</f>
        <v>67505</v>
      </c>
      <c r="K8" s="3878"/>
      <c r="L8" s="3877">
        <f>M49</f>
        <v>74200</v>
      </c>
      <c r="M8" s="3878"/>
      <c r="N8" s="3877">
        <f>O49</f>
        <v>8255</v>
      </c>
      <c r="O8" s="3878"/>
      <c r="P8" s="3877">
        <f>Q49</f>
        <v>88114</v>
      </c>
      <c r="Q8" s="3878"/>
      <c r="R8" s="3877">
        <f>S49</f>
        <v>96385</v>
      </c>
      <c r="S8" s="3878"/>
      <c r="T8" s="3877">
        <f>U49</f>
        <v>96745</v>
      </c>
      <c r="U8" s="3878"/>
      <c r="V8" s="3877">
        <f>W49</f>
        <v>287350</v>
      </c>
      <c r="W8" s="3878"/>
      <c r="X8" s="3877">
        <f>Y49</f>
        <v>234444</v>
      </c>
      <c r="Y8" s="3878"/>
    </row>
    <row r="9" spans="1:25"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c r="W9" s="11"/>
      <c r="X9" s="11" t="s">
        <v>651</v>
      </c>
      <c r="Y9" s="11" t="s">
        <v>652</v>
      </c>
    </row>
    <row r="10" spans="1:25" hidden="1" x14ac:dyDescent="0.35">
      <c r="A10" s="1703"/>
      <c r="B10" s="1628" t="s">
        <v>653</v>
      </c>
      <c r="C10" s="1699"/>
      <c r="D10" s="1699"/>
      <c r="E10" s="1699"/>
      <c r="F10" s="1699"/>
      <c r="G10" s="646"/>
      <c r="H10" s="1704"/>
      <c r="I10" s="1704"/>
      <c r="J10" s="1704"/>
      <c r="K10" s="1704"/>
      <c r="L10" s="1704"/>
      <c r="M10" s="1704"/>
      <c r="N10" s="1704"/>
      <c r="O10" s="1704"/>
      <c r="P10" s="1704"/>
      <c r="Q10" s="1704"/>
      <c r="R10" s="1704"/>
      <c r="S10" s="1704"/>
      <c r="T10" s="1704"/>
      <c r="U10" s="1704"/>
      <c r="V10" s="1704"/>
      <c r="W10" s="1704"/>
      <c r="X10" s="1704"/>
      <c r="Y10" s="1704"/>
    </row>
    <row r="11" spans="1:25" hidden="1" x14ac:dyDescent="0.35">
      <c r="A11" s="1703"/>
      <c r="B11" s="1698" t="e">
        <f>#REF!</f>
        <v>#REF!</v>
      </c>
      <c r="C11" s="1705" t="s">
        <v>654</v>
      </c>
      <c r="D11" s="1699"/>
      <c r="E11" s="1699"/>
      <c r="F11" s="1699"/>
      <c r="G11" s="646"/>
      <c r="H11" s="1704"/>
      <c r="I11" s="1704"/>
      <c r="J11" s="1704"/>
      <c r="K11" s="1704"/>
      <c r="L11" s="1704"/>
      <c r="M11" s="1704"/>
      <c r="N11" s="1704"/>
      <c r="O11" s="1704"/>
      <c r="P11" s="1704"/>
      <c r="Q11" s="1704"/>
      <c r="R11" s="1704"/>
      <c r="S11" s="1704"/>
      <c r="T11" s="1704"/>
      <c r="U11" s="1704"/>
      <c r="V11" s="1704"/>
      <c r="W11" s="1704"/>
      <c r="X11" s="1704"/>
      <c r="Y11" s="1704"/>
    </row>
    <row r="12" spans="1:25" hidden="1" x14ac:dyDescent="0.35">
      <c r="A12" s="1703"/>
      <c r="B12" s="1698" t="e">
        <f>#REF!</f>
        <v>#REF!</v>
      </c>
      <c r="C12" s="1705" t="s">
        <v>654</v>
      </c>
      <c r="D12" s="1699"/>
      <c r="E12" s="1699"/>
      <c r="F12" s="1699"/>
      <c r="G12" s="646"/>
      <c r="H12" s="1704"/>
      <c r="I12" s="1704"/>
      <c r="J12" s="1704"/>
      <c r="K12" s="1704"/>
      <c r="L12" s="1704"/>
      <c r="M12" s="1704"/>
      <c r="N12" s="1704"/>
      <c r="O12" s="1704"/>
      <c r="P12" s="1704"/>
      <c r="Q12" s="1704"/>
      <c r="R12" s="1704"/>
      <c r="S12" s="1704"/>
      <c r="T12" s="1704"/>
      <c r="U12" s="1704"/>
      <c r="V12" s="1704"/>
      <c r="W12" s="1704"/>
      <c r="X12" s="1704"/>
      <c r="Y12" s="1704"/>
    </row>
    <row r="13" spans="1:25" hidden="1" x14ac:dyDescent="0.35">
      <c r="A13" s="1703"/>
      <c r="B13" s="1698" t="e">
        <f>#REF!</f>
        <v>#REF!</v>
      </c>
      <c r="C13" s="1705" t="s">
        <v>654</v>
      </c>
      <c r="D13" s="1699"/>
      <c r="E13" s="1699"/>
      <c r="F13" s="1699"/>
      <c r="G13" s="646"/>
      <c r="H13" s="1704"/>
      <c r="I13" s="1704"/>
      <c r="J13" s="1704"/>
      <c r="K13" s="1704"/>
      <c r="L13" s="1704"/>
      <c r="M13" s="1704"/>
      <c r="N13" s="1704"/>
      <c r="O13" s="1704"/>
      <c r="P13" s="1704"/>
      <c r="Q13" s="1704"/>
      <c r="R13" s="1704"/>
      <c r="S13" s="1704"/>
      <c r="T13" s="1704"/>
      <c r="U13" s="1704"/>
      <c r="V13" s="1704"/>
      <c r="W13" s="1704"/>
      <c r="X13" s="1704"/>
      <c r="Y13" s="1704"/>
    </row>
    <row r="14" spans="1:25" hidden="1" x14ac:dyDescent="0.35">
      <c r="A14" s="1703"/>
      <c r="B14" s="1698" t="e">
        <f>#REF!</f>
        <v>#REF!</v>
      </c>
      <c r="C14" s="1705" t="s">
        <v>654</v>
      </c>
      <c r="D14" s="1699"/>
      <c r="E14" s="1699"/>
      <c r="F14" s="1699"/>
      <c r="G14" s="646"/>
      <c r="H14" s="1704"/>
      <c r="I14" s="1704"/>
      <c r="J14" s="1704"/>
      <c r="K14" s="1704"/>
      <c r="L14" s="1704"/>
      <c r="M14" s="1704"/>
      <c r="N14" s="1704"/>
      <c r="O14" s="1704"/>
      <c r="P14" s="1704"/>
      <c r="Q14" s="1704"/>
      <c r="R14" s="1704"/>
      <c r="S14" s="1704"/>
      <c r="T14" s="1704"/>
      <c r="U14" s="1704"/>
      <c r="V14" s="1704"/>
      <c r="W14" s="1704"/>
      <c r="X14" s="1704"/>
      <c r="Y14" s="1704"/>
    </row>
    <row r="15" spans="1:25" hidden="1" x14ac:dyDescent="0.35">
      <c r="A15" s="1703"/>
      <c r="B15" s="1698" t="e">
        <f>#REF!</f>
        <v>#REF!</v>
      </c>
      <c r="C15" s="1705" t="s">
        <v>654</v>
      </c>
      <c r="D15" s="1699"/>
      <c r="E15" s="1699"/>
      <c r="F15" s="1699"/>
      <c r="G15" s="646"/>
      <c r="H15" s="1704"/>
      <c r="I15" s="1704"/>
      <c r="J15" s="1704"/>
      <c r="K15" s="1704"/>
      <c r="L15" s="1704"/>
      <c r="M15" s="1704"/>
      <c r="N15" s="1704"/>
      <c r="O15" s="1704"/>
      <c r="P15" s="1704"/>
      <c r="Q15" s="1704"/>
      <c r="R15" s="1704"/>
      <c r="S15" s="1704"/>
      <c r="T15" s="1704"/>
      <c r="U15" s="1704"/>
      <c r="V15" s="1704"/>
      <c r="W15" s="1704"/>
      <c r="X15" s="1704"/>
      <c r="Y15" s="1704"/>
    </row>
    <row r="16" spans="1:25" hidden="1" x14ac:dyDescent="0.35">
      <c r="A16" s="1703"/>
      <c r="B16" s="1698" t="e">
        <f>#REF!</f>
        <v>#REF!</v>
      </c>
      <c r="C16" s="1705" t="s">
        <v>654</v>
      </c>
      <c r="D16" s="1699"/>
      <c r="E16" s="1699"/>
      <c r="F16" s="1699"/>
      <c r="G16" s="646"/>
      <c r="H16" s="1704"/>
      <c r="I16" s="1704"/>
      <c r="J16" s="1704"/>
      <c r="K16" s="1704"/>
      <c r="L16" s="1704"/>
      <c r="M16" s="1704"/>
      <c r="N16" s="1704"/>
      <c r="O16" s="1704"/>
      <c r="P16" s="1704"/>
      <c r="Q16" s="1704"/>
      <c r="R16" s="1704"/>
      <c r="S16" s="1704"/>
      <c r="T16" s="1704"/>
      <c r="U16" s="1704"/>
      <c r="V16" s="1704"/>
      <c r="W16" s="1704"/>
      <c r="X16" s="1704"/>
      <c r="Y16" s="1704"/>
    </row>
    <row r="17" spans="1:25" ht="15.75" hidden="1" customHeight="1" x14ac:dyDescent="0.35">
      <c r="A17" s="1703"/>
      <c r="B17" s="1698" t="e">
        <f>#REF!</f>
        <v>#REF!</v>
      </c>
      <c r="C17" s="1705" t="s">
        <v>654</v>
      </c>
      <c r="D17" s="1699"/>
      <c r="E17" s="1699"/>
      <c r="F17" s="1699"/>
      <c r="G17" s="646"/>
      <c r="H17" s="1704"/>
      <c r="I17" s="1704"/>
      <c r="J17" s="1704"/>
      <c r="K17" s="1704"/>
      <c r="L17" s="1704"/>
      <c r="M17" s="1704"/>
      <c r="N17" s="1704"/>
      <c r="O17" s="1704"/>
      <c r="P17" s="1704"/>
      <c r="Q17" s="1704"/>
      <c r="R17" s="1704"/>
      <c r="S17" s="1704"/>
      <c r="T17" s="1704"/>
      <c r="U17" s="1704"/>
      <c r="V17" s="1704"/>
      <c r="W17" s="1704"/>
      <c r="X17" s="1704"/>
      <c r="Y17" s="1704"/>
    </row>
    <row r="18" spans="1:25" hidden="1" x14ac:dyDescent="0.35">
      <c r="A18" s="1703"/>
      <c r="B18" s="1698" t="e">
        <f>#REF!</f>
        <v>#REF!</v>
      </c>
      <c r="C18" s="1705" t="s">
        <v>654</v>
      </c>
      <c r="D18" s="1699"/>
      <c r="E18" s="1699"/>
      <c r="F18" s="1699"/>
      <c r="G18" s="646"/>
      <c r="H18" s="1704"/>
      <c r="I18" s="1704"/>
      <c r="J18" s="1704"/>
      <c r="K18" s="1704"/>
      <c r="L18" s="1704"/>
      <c r="M18" s="1704"/>
      <c r="N18" s="1704"/>
      <c r="O18" s="1704"/>
      <c r="P18" s="1704"/>
      <c r="Q18" s="1704"/>
      <c r="R18" s="1704"/>
      <c r="S18" s="1704"/>
      <c r="T18" s="1704"/>
      <c r="U18" s="1704"/>
      <c r="V18" s="1704"/>
      <c r="W18" s="1704"/>
      <c r="X18" s="1704"/>
      <c r="Y18" s="1704"/>
    </row>
    <row r="19" spans="1:25" hidden="1" x14ac:dyDescent="0.35">
      <c r="A19" s="1703"/>
      <c r="B19" s="1698" t="e">
        <f>#REF!</f>
        <v>#REF!</v>
      </c>
      <c r="C19" s="1705" t="s">
        <v>654</v>
      </c>
      <c r="D19" s="1699"/>
      <c r="E19" s="1699"/>
      <c r="F19" s="1699"/>
      <c r="G19" s="646"/>
      <c r="H19" s="1704"/>
      <c r="I19" s="1704"/>
      <c r="J19" s="1704"/>
      <c r="K19" s="1704"/>
      <c r="L19" s="1704"/>
      <c r="M19" s="1704"/>
      <c r="N19" s="1704"/>
      <c r="O19" s="1704"/>
      <c r="P19" s="1704"/>
      <c r="Q19" s="1704"/>
      <c r="R19" s="1704"/>
      <c r="S19" s="1704"/>
      <c r="T19" s="1704"/>
      <c r="U19" s="1704"/>
      <c r="V19" s="1704"/>
      <c r="W19" s="1704"/>
      <c r="X19" s="1704"/>
      <c r="Y19" s="1704"/>
    </row>
    <row r="20" spans="1:25" x14ac:dyDescent="0.35">
      <c r="A20" s="1703"/>
      <c r="B20" s="1698"/>
      <c r="C20" s="1705"/>
      <c r="D20" s="1699"/>
      <c r="E20" s="1699"/>
      <c r="F20" s="1699"/>
      <c r="G20" s="646"/>
      <c r="H20" s="1726"/>
      <c r="I20" s="1704"/>
      <c r="J20" s="1726"/>
      <c r="K20" s="1704"/>
      <c r="L20" s="1726"/>
      <c r="M20" s="1704"/>
      <c r="N20" s="1726"/>
      <c r="O20" s="1704"/>
      <c r="P20" s="1726"/>
      <c r="Q20" s="1704"/>
      <c r="R20" s="1726"/>
      <c r="S20" s="1704"/>
      <c r="T20" s="1726"/>
      <c r="U20" s="1704"/>
      <c r="V20" s="1704"/>
      <c r="W20" s="1704"/>
      <c r="X20" s="1726"/>
      <c r="Y20" s="1704"/>
    </row>
    <row r="21" spans="1:25" x14ac:dyDescent="0.35">
      <c r="A21" s="48"/>
      <c r="B21" s="1706" t="s">
        <v>499</v>
      </c>
      <c r="C21" s="45"/>
      <c r="D21" s="46"/>
      <c r="E21" s="46"/>
      <c r="F21" s="46"/>
      <c r="G21" s="52"/>
      <c r="H21" s="1726"/>
      <c r="I21" s="1704"/>
      <c r="J21" s="1726"/>
      <c r="K21" s="1704"/>
      <c r="L21" s="1726"/>
      <c r="M21" s="1704"/>
      <c r="N21" s="1726"/>
      <c r="O21" s="1704"/>
      <c r="P21" s="1726"/>
      <c r="Q21" s="1704"/>
      <c r="R21" s="1726"/>
      <c r="S21" s="1704"/>
      <c r="T21" s="1726"/>
      <c r="U21" s="1704"/>
      <c r="V21" s="1704"/>
      <c r="W21" s="1704"/>
      <c r="X21" s="1726"/>
      <c r="Y21" s="1704"/>
    </row>
    <row r="22" spans="1:25" x14ac:dyDescent="0.35">
      <c r="A22" s="1727"/>
      <c r="B22" s="605" t="s">
        <v>657</v>
      </c>
      <c r="C22" s="1705"/>
      <c r="D22" s="1699"/>
      <c r="E22" s="1699"/>
      <c r="F22" s="1699"/>
      <c r="G22" s="646"/>
      <c r="H22" s="1726"/>
      <c r="I22" s="677"/>
      <c r="J22" s="1726"/>
      <c r="K22" s="668"/>
      <c r="L22" s="1726"/>
      <c r="M22" s="668"/>
      <c r="N22" s="1726"/>
      <c r="O22" s="668"/>
      <c r="P22" s="1726"/>
      <c r="Q22" s="668"/>
      <c r="R22" s="1726"/>
      <c r="S22" s="1684"/>
      <c r="T22" s="1726"/>
      <c r="U22" s="668"/>
      <c r="V22" s="668"/>
      <c r="W22" s="668"/>
      <c r="X22" s="1726"/>
      <c r="Y22" s="1684"/>
    </row>
    <row r="23" spans="1:25" x14ac:dyDescent="0.35">
      <c r="A23" s="1538"/>
      <c r="B23" s="603" t="s">
        <v>658</v>
      </c>
      <c r="C23" s="1705"/>
      <c r="D23" s="1699"/>
      <c r="E23" s="1699"/>
      <c r="F23" s="1699"/>
      <c r="G23" s="646"/>
      <c r="H23" s="1726" t="s">
        <v>671</v>
      </c>
      <c r="I23" s="1536"/>
      <c r="J23" s="1726" t="s">
        <v>671</v>
      </c>
      <c r="K23" s="1629"/>
      <c r="L23" s="1726" t="s">
        <v>671</v>
      </c>
      <c r="M23" s="1629"/>
      <c r="N23" s="1726" t="s">
        <v>671</v>
      </c>
      <c r="O23" s="1629"/>
      <c r="P23" s="1726" t="s">
        <v>671</v>
      </c>
      <c r="Q23" s="1629"/>
      <c r="R23" s="1726" t="s">
        <v>671</v>
      </c>
      <c r="S23" s="1536"/>
      <c r="T23" s="1726" t="s">
        <v>671</v>
      </c>
      <c r="U23" s="1536"/>
      <c r="V23" s="1726" t="s">
        <v>671</v>
      </c>
      <c r="W23" s="1536"/>
      <c r="X23" s="1726" t="s">
        <v>671</v>
      </c>
      <c r="Y23" s="1536"/>
    </row>
    <row r="24" spans="1:25" x14ac:dyDescent="0.35">
      <c r="A24" s="1538"/>
      <c r="B24" s="1630" t="s">
        <v>659</v>
      </c>
      <c r="C24" s="1705"/>
      <c r="D24" s="1699"/>
      <c r="E24" s="1699"/>
      <c r="F24" s="1699"/>
      <c r="G24" s="646"/>
      <c r="H24" s="1726" t="s">
        <v>669</v>
      </c>
      <c r="I24" s="1536"/>
      <c r="J24" s="1726" t="s">
        <v>669</v>
      </c>
      <c r="K24" s="1629"/>
      <c r="L24" s="1726" t="s">
        <v>669</v>
      </c>
      <c r="M24" s="1629"/>
      <c r="N24" s="1726" t="s">
        <v>669</v>
      </c>
      <c r="O24" s="1629"/>
      <c r="P24" s="1726" t="s">
        <v>669</v>
      </c>
      <c r="Q24" s="1629"/>
      <c r="R24" s="1726" t="s">
        <v>669</v>
      </c>
      <c r="S24" s="1536"/>
      <c r="T24" s="1726" t="s">
        <v>669</v>
      </c>
      <c r="U24" s="1536"/>
      <c r="V24" s="1726" t="s">
        <v>669</v>
      </c>
      <c r="W24" s="1536"/>
      <c r="X24" s="1726" t="s">
        <v>669</v>
      </c>
      <c r="Y24" s="1536"/>
    </row>
    <row r="25" spans="1:25" x14ac:dyDescent="0.35">
      <c r="A25" s="1728"/>
      <c r="B25" s="1497" t="s">
        <v>660</v>
      </c>
      <c r="C25" s="1705"/>
      <c r="D25" s="1699"/>
      <c r="E25" s="1699"/>
      <c r="F25" s="1699"/>
      <c r="G25" s="646"/>
      <c r="H25" s="1726" t="s">
        <v>671</v>
      </c>
      <c r="I25" s="1536"/>
      <c r="J25" s="1726" t="s">
        <v>671</v>
      </c>
      <c r="K25" s="1629"/>
      <c r="L25" s="1726" t="s">
        <v>671</v>
      </c>
      <c r="M25" s="1629"/>
      <c r="N25" s="1726" t="s">
        <v>671</v>
      </c>
      <c r="O25" s="1629"/>
      <c r="P25" s="1726" t="s">
        <v>671</v>
      </c>
      <c r="Q25" s="1629"/>
      <c r="R25" s="1726" t="s">
        <v>671</v>
      </c>
      <c r="S25" s="1536"/>
      <c r="T25" s="1726" t="s">
        <v>671</v>
      </c>
      <c r="U25" s="1536"/>
      <c r="V25" s="1726" t="s">
        <v>671</v>
      </c>
      <c r="W25" s="1536"/>
      <c r="X25" s="1726" t="s">
        <v>671</v>
      </c>
      <c r="Y25" s="1536"/>
    </row>
    <row r="26" spans="1:25" x14ac:dyDescent="0.35">
      <c r="A26" s="1538"/>
      <c r="B26" s="1497" t="s">
        <v>661</v>
      </c>
      <c r="C26" s="1705"/>
      <c r="D26" s="1699"/>
      <c r="E26" s="1699"/>
      <c r="F26" s="1699"/>
      <c r="G26" s="646"/>
      <c r="H26" s="1726" t="s">
        <v>669</v>
      </c>
      <c r="I26" s="1536"/>
      <c r="J26" s="1726" t="s">
        <v>669</v>
      </c>
      <c r="K26" s="1629"/>
      <c r="L26" s="1726" t="s">
        <v>669</v>
      </c>
      <c r="M26" s="1629"/>
      <c r="N26" s="1726" t="s">
        <v>669</v>
      </c>
      <c r="O26" s="1629"/>
      <c r="P26" s="1726" t="s">
        <v>669</v>
      </c>
      <c r="Q26" s="1629"/>
      <c r="R26" s="1726" t="s">
        <v>669</v>
      </c>
      <c r="S26" s="1536"/>
      <c r="T26" s="1726" t="s">
        <v>669</v>
      </c>
      <c r="U26" s="1536"/>
      <c r="V26" s="1726" t="s">
        <v>669</v>
      </c>
      <c r="W26" s="1536"/>
      <c r="X26" s="1726" t="s">
        <v>669</v>
      </c>
      <c r="Y26" s="1536"/>
    </row>
    <row r="27" spans="1:25" x14ac:dyDescent="0.35">
      <c r="A27" s="1728"/>
      <c r="B27" s="1497" t="s">
        <v>662</v>
      </c>
      <c r="C27" s="1705"/>
      <c r="D27" s="1699"/>
      <c r="E27" s="1699"/>
      <c r="F27" s="1699"/>
      <c r="G27" s="646"/>
      <c r="H27" s="1726" t="s">
        <v>669</v>
      </c>
      <c r="I27" s="1536"/>
      <c r="J27" s="1726" t="s">
        <v>669</v>
      </c>
      <c r="K27" s="1629"/>
      <c r="L27" s="1726" t="s">
        <v>669</v>
      </c>
      <c r="M27" s="1629"/>
      <c r="N27" s="1726" t="s">
        <v>669</v>
      </c>
      <c r="O27" s="1629"/>
      <c r="P27" s="1726" t="s">
        <v>669</v>
      </c>
      <c r="Q27" s="1629"/>
      <c r="R27" s="1726" t="s">
        <v>669</v>
      </c>
      <c r="S27" s="1536"/>
      <c r="T27" s="1726" t="s">
        <v>669</v>
      </c>
      <c r="U27" s="1536"/>
      <c r="V27" s="1726" t="s">
        <v>669</v>
      </c>
      <c r="W27" s="1536"/>
      <c r="X27" s="1726" t="s">
        <v>669</v>
      </c>
      <c r="Y27" s="1536"/>
    </row>
    <row r="28" spans="1:25" x14ac:dyDescent="0.35">
      <c r="A28" s="1728"/>
      <c r="B28" s="1497" t="s">
        <v>663</v>
      </c>
      <c r="C28" s="1705"/>
      <c r="D28" s="1699"/>
      <c r="E28" s="1699"/>
      <c r="F28" s="1699"/>
      <c r="G28" s="646"/>
      <c r="H28" s="1726" t="s">
        <v>669</v>
      </c>
      <c r="I28" s="1729"/>
      <c r="J28" s="1726" t="s">
        <v>669</v>
      </c>
      <c r="K28" s="1629"/>
      <c r="L28" s="1726" t="s">
        <v>669</v>
      </c>
      <c r="M28" s="1629"/>
      <c r="N28" s="1726" t="s">
        <v>669</v>
      </c>
      <c r="O28" s="1629"/>
      <c r="P28" s="1726" t="s">
        <v>669</v>
      </c>
      <c r="Q28" s="1629"/>
      <c r="R28" s="1726" t="s">
        <v>669</v>
      </c>
      <c r="S28" s="1536"/>
      <c r="T28" s="1726" t="s">
        <v>669</v>
      </c>
      <c r="U28" s="1536"/>
      <c r="V28" s="1726" t="s">
        <v>669</v>
      </c>
      <c r="W28" s="1536"/>
      <c r="X28" s="1726" t="s">
        <v>669</v>
      </c>
      <c r="Y28" s="1536"/>
    </row>
    <row r="29" spans="1:25" x14ac:dyDescent="0.35">
      <c r="A29" s="1538"/>
      <c r="B29" s="1497" t="s">
        <v>789</v>
      </c>
      <c r="C29" s="1705"/>
      <c r="D29" s="1699"/>
      <c r="E29" s="1699"/>
      <c r="F29" s="1699"/>
      <c r="G29" s="646"/>
      <c r="H29" s="1726" t="s">
        <v>671</v>
      </c>
      <c r="I29" s="1629"/>
      <c r="J29" s="1726" t="s">
        <v>671</v>
      </c>
      <c r="K29" s="1629"/>
      <c r="L29" s="1726" t="s">
        <v>671</v>
      </c>
      <c r="M29" s="1629"/>
      <c r="N29" s="1726" t="s">
        <v>671</v>
      </c>
      <c r="O29" s="1629"/>
      <c r="P29" s="1726" t="s">
        <v>671</v>
      </c>
      <c r="Q29" s="1629"/>
      <c r="R29" s="1726" t="s">
        <v>671</v>
      </c>
      <c r="S29" s="1536"/>
      <c r="T29" s="1726" t="s">
        <v>671</v>
      </c>
      <c r="U29" s="1536"/>
      <c r="V29" s="1726" t="s">
        <v>671</v>
      </c>
      <c r="W29" s="1536"/>
      <c r="X29" s="1726" t="s">
        <v>671</v>
      </c>
      <c r="Y29" s="1536"/>
    </row>
    <row r="30" spans="1:25" x14ac:dyDescent="0.35">
      <c r="A30" s="1538"/>
      <c r="B30" s="1497" t="s">
        <v>790</v>
      </c>
      <c r="C30" s="1705"/>
      <c r="D30" s="1699"/>
      <c r="E30" s="1699"/>
      <c r="F30" s="1699"/>
      <c r="G30" s="646"/>
      <c r="H30" s="1726" t="s">
        <v>671</v>
      </c>
      <c r="I30" s="1629"/>
      <c r="J30" s="1726" t="s">
        <v>671</v>
      </c>
      <c r="K30" s="1629"/>
      <c r="L30" s="1726" t="s">
        <v>671</v>
      </c>
      <c r="M30" s="1629"/>
      <c r="N30" s="1726" t="s">
        <v>671</v>
      </c>
      <c r="O30" s="1629"/>
      <c r="P30" s="1726" t="s">
        <v>671</v>
      </c>
      <c r="Q30" s="1629"/>
      <c r="R30" s="1726" t="s">
        <v>671</v>
      </c>
      <c r="S30" s="1536"/>
      <c r="T30" s="1726" t="s">
        <v>671</v>
      </c>
      <c r="U30" s="1536"/>
      <c r="V30" s="1726" t="s">
        <v>671</v>
      </c>
      <c r="W30" s="1536"/>
      <c r="X30" s="1726" t="s">
        <v>671</v>
      </c>
      <c r="Y30" s="1536"/>
    </row>
    <row r="31" spans="1:25" x14ac:dyDescent="0.35">
      <c r="A31" s="1538"/>
      <c r="B31" s="1497" t="s">
        <v>791</v>
      </c>
      <c r="C31" s="1705"/>
      <c r="D31" s="1699"/>
      <c r="E31" s="1699"/>
      <c r="F31" s="1699"/>
      <c r="G31" s="646"/>
      <c r="H31" s="1726" t="s">
        <v>671</v>
      </c>
      <c r="I31" s="1629"/>
      <c r="J31" s="1726" t="s">
        <v>671</v>
      </c>
      <c r="K31" s="1629"/>
      <c r="L31" s="1726" t="s">
        <v>671</v>
      </c>
      <c r="M31" s="1629"/>
      <c r="N31" s="1726" t="s">
        <v>671</v>
      </c>
      <c r="O31" s="1629"/>
      <c r="P31" s="1726" t="s">
        <v>671</v>
      </c>
      <c r="Q31" s="1629"/>
      <c r="R31" s="1726" t="s">
        <v>671</v>
      </c>
      <c r="S31" s="1536"/>
      <c r="T31" s="1726" t="s">
        <v>671</v>
      </c>
      <c r="U31" s="1536"/>
      <c r="V31" s="1726" t="s">
        <v>671</v>
      </c>
      <c r="W31" s="1536"/>
      <c r="X31" s="1726" t="s">
        <v>671</v>
      </c>
      <c r="Y31" s="1536"/>
    </row>
    <row r="32" spans="1:25" x14ac:dyDescent="0.35">
      <c r="A32" s="1538"/>
      <c r="B32" s="1633" t="s">
        <v>664</v>
      </c>
      <c r="C32" s="1705"/>
      <c r="D32" s="1699"/>
      <c r="E32" s="1699"/>
      <c r="F32" s="1699"/>
      <c r="G32" s="646"/>
      <c r="H32" s="1726" t="s">
        <v>671</v>
      </c>
      <c r="I32" s="1536"/>
      <c r="J32" s="1726" t="s">
        <v>671</v>
      </c>
      <c r="K32" s="1629"/>
      <c r="L32" s="1726" t="s">
        <v>671</v>
      </c>
      <c r="M32" s="1629"/>
      <c r="N32" s="1726" t="s">
        <v>671</v>
      </c>
      <c r="O32" s="1629"/>
      <c r="P32" s="1726" t="s">
        <v>671</v>
      </c>
      <c r="Q32" s="1629"/>
      <c r="R32" s="1726" t="s">
        <v>671</v>
      </c>
      <c r="S32" s="1536"/>
      <c r="T32" s="1726" t="s">
        <v>671</v>
      </c>
      <c r="U32" s="1536"/>
      <c r="V32" s="1726" t="s">
        <v>671</v>
      </c>
      <c r="W32" s="1536"/>
      <c r="X32" s="1726" t="s">
        <v>671</v>
      </c>
      <c r="Y32" s="1536"/>
    </row>
    <row r="33" spans="1:25" x14ac:dyDescent="0.35">
      <c r="A33" s="1728"/>
      <c r="B33" s="1634" t="s">
        <v>665</v>
      </c>
      <c r="C33" s="1730"/>
      <c r="D33" s="1713"/>
      <c r="E33" s="1713"/>
      <c r="F33" s="1731"/>
      <c r="G33" s="651"/>
      <c r="H33" s="1732"/>
      <c r="I33" s="1638">
        <v>66970</v>
      </c>
      <c r="J33" s="1637"/>
      <c r="K33" s="1638">
        <v>67505</v>
      </c>
      <c r="L33" s="1637"/>
      <c r="M33" s="1638">
        <v>74200</v>
      </c>
      <c r="N33" s="1637"/>
      <c r="O33" s="1638"/>
      <c r="P33" s="1637"/>
      <c r="Q33" s="1638">
        <v>79859</v>
      </c>
      <c r="R33" s="1732"/>
      <c r="S33" s="1635">
        <v>96385</v>
      </c>
      <c r="T33" s="1732"/>
      <c r="U33" s="1635">
        <v>96745</v>
      </c>
      <c r="V33" s="1635"/>
      <c r="W33" s="1635">
        <v>287350</v>
      </c>
      <c r="X33" s="1732"/>
      <c r="Y33" s="1635">
        <v>234444</v>
      </c>
    </row>
    <row r="34" spans="1:25" x14ac:dyDescent="0.35">
      <c r="A34" s="1728"/>
      <c r="B34" s="1497" t="s">
        <v>874</v>
      </c>
      <c r="C34" s="1705"/>
      <c r="D34" s="1699"/>
      <c r="E34" s="1699"/>
      <c r="F34" s="1642"/>
      <c r="G34" s="652"/>
      <c r="H34" s="1726"/>
      <c r="I34" s="1536"/>
      <c r="J34" s="1726"/>
      <c r="K34" s="1629"/>
      <c r="L34" s="1726"/>
      <c r="M34" s="1629"/>
      <c r="N34" s="1726"/>
      <c r="O34" s="1629"/>
      <c r="P34" s="1726"/>
      <c r="Q34" s="1629"/>
      <c r="R34" s="1726"/>
      <c r="S34" s="1536"/>
      <c r="T34" s="1726"/>
      <c r="U34" s="1536"/>
      <c r="V34" s="1536"/>
      <c r="W34" s="1536"/>
      <c r="X34" s="1726"/>
      <c r="Y34" s="1536"/>
    </row>
    <row r="35" spans="1:25" x14ac:dyDescent="0.35">
      <c r="A35" s="1728"/>
      <c r="B35" s="1497"/>
      <c r="C35" s="1705"/>
      <c r="D35" s="1699"/>
      <c r="E35" s="1699"/>
      <c r="F35" s="1642"/>
      <c r="G35" s="652"/>
      <c r="H35" s="1726"/>
      <c r="I35" s="1536"/>
      <c r="J35" s="1726"/>
      <c r="K35" s="1629"/>
      <c r="L35" s="1726"/>
      <c r="M35" s="1629"/>
      <c r="N35" s="1726"/>
      <c r="O35" s="1629"/>
      <c r="P35" s="1726"/>
      <c r="Q35" s="1629"/>
      <c r="R35" s="1726"/>
      <c r="S35" s="1536"/>
      <c r="T35" s="1726"/>
      <c r="U35" s="1536"/>
      <c r="V35" s="1536"/>
      <c r="W35" s="1536"/>
      <c r="X35" s="1726"/>
      <c r="Y35" s="1536"/>
    </row>
    <row r="36" spans="1:25" ht="43.5" x14ac:dyDescent="0.35">
      <c r="A36" s="1728"/>
      <c r="B36" s="1733" t="s">
        <v>2011</v>
      </c>
      <c r="C36" s="1705"/>
      <c r="D36" s="1699"/>
      <c r="E36" s="1699"/>
      <c r="F36" s="1642"/>
      <c r="G36" s="652"/>
      <c r="H36" s="1726" t="s">
        <v>669</v>
      </c>
      <c r="I36" s="1734" t="s">
        <v>2012</v>
      </c>
      <c r="J36" s="1726" t="s">
        <v>669</v>
      </c>
      <c r="K36" s="1649" t="s">
        <v>2013</v>
      </c>
      <c r="L36" s="1726" t="s">
        <v>669</v>
      </c>
      <c r="M36" s="1649" t="s">
        <v>2014</v>
      </c>
      <c r="N36" s="1726" t="s">
        <v>669</v>
      </c>
      <c r="O36" s="1734" t="s">
        <v>2015</v>
      </c>
      <c r="P36" s="1726" t="s">
        <v>669</v>
      </c>
      <c r="Q36" s="1734" t="s">
        <v>2016</v>
      </c>
      <c r="R36" s="1726" t="s">
        <v>669</v>
      </c>
      <c r="S36" s="1734" t="s">
        <v>2017</v>
      </c>
      <c r="T36" s="1726" t="s">
        <v>669</v>
      </c>
      <c r="U36" s="1734" t="s">
        <v>2016</v>
      </c>
      <c r="V36" s="1726" t="s">
        <v>669</v>
      </c>
      <c r="W36" s="1734" t="s">
        <v>2016</v>
      </c>
      <c r="X36" s="1726" t="s">
        <v>669</v>
      </c>
      <c r="Y36" s="1734" t="s">
        <v>2018</v>
      </c>
    </row>
    <row r="37" spans="1:25" x14ac:dyDescent="0.35">
      <c r="A37" s="1728"/>
      <c r="B37" s="1497" t="s">
        <v>2019</v>
      </c>
      <c r="C37" s="1705"/>
      <c r="D37" s="1699">
        <v>36</v>
      </c>
      <c r="E37" s="1699" t="s">
        <v>666</v>
      </c>
      <c r="F37" s="652">
        <v>6000</v>
      </c>
      <c r="G37" s="652">
        <f>F37*D37</f>
        <v>216000</v>
      </c>
      <c r="H37" s="1726" t="s">
        <v>669</v>
      </c>
      <c r="I37" s="1536"/>
      <c r="J37" s="1726" t="s">
        <v>669</v>
      </c>
      <c r="K37" s="1629"/>
      <c r="L37" s="1726" t="s">
        <v>669</v>
      </c>
      <c r="M37" s="1629"/>
      <c r="N37" s="1726" t="s">
        <v>669</v>
      </c>
      <c r="O37" s="1536"/>
      <c r="P37" s="1726" t="s">
        <v>669</v>
      </c>
      <c r="Q37" s="1536"/>
      <c r="R37" s="1726" t="s">
        <v>669</v>
      </c>
      <c r="S37" s="1536"/>
      <c r="T37" s="1726" t="s">
        <v>669</v>
      </c>
      <c r="U37" s="1536"/>
      <c r="V37" s="1726" t="s">
        <v>622</v>
      </c>
      <c r="W37" s="1536"/>
      <c r="X37" s="1726" t="s">
        <v>669</v>
      </c>
      <c r="Y37" s="1536"/>
    </row>
    <row r="38" spans="1:25" x14ac:dyDescent="0.35">
      <c r="A38" s="1728"/>
      <c r="B38" s="1497" t="s">
        <v>2020</v>
      </c>
      <c r="C38" s="1705"/>
      <c r="D38" s="1699">
        <v>1</v>
      </c>
      <c r="E38" s="1699" t="s">
        <v>666</v>
      </c>
      <c r="F38" s="652">
        <v>6000</v>
      </c>
      <c r="G38" s="652">
        <f>F38*D38</f>
        <v>6000</v>
      </c>
      <c r="H38" s="1726" t="s">
        <v>669</v>
      </c>
      <c r="I38" s="1536"/>
      <c r="J38" s="1726" t="s">
        <v>669</v>
      </c>
      <c r="K38" s="1629"/>
      <c r="L38" s="1726" t="s">
        <v>669</v>
      </c>
      <c r="M38" s="1629"/>
      <c r="N38" s="1726" t="s">
        <v>669</v>
      </c>
      <c r="O38" s="1536"/>
      <c r="P38" s="1726" t="s">
        <v>669</v>
      </c>
      <c r="Q38" s="1536"/>
      <c r="R38" s="1726" t="s">
        <v>669</v>
      </c>
      <c r="S38" s="1536"/>
      <c r="T38" s="1726" t="s">
        <v>669</v>
      </c>
      <c r="U38" s="1536"/>
      <c r="V38" s="1726" t="s">
        <v>669</v>
      </c>
      <c r="W38" s="1536"/>
      <c r="X38" s="1726" t="s">
        <v>669</v>
      </c>
      <c r="Y38" s="1536"/>
    </row>
    <row r="39" spans="1:25" x14ac:dyDescent="0.35">
      <c r="A39" s="1728"/>
      <c r="B39" s="1497" t="s">
        <v>2021</v>
      </c>
      <c r="C39" s="1699"/>
      <c r="D39" s="1699"/>
      <c r="E39" s="1699"/>
      <c r="F39" s="1642"/>
      <c r="G39" s="652"/>
      <c r="H39" s="1726" t="s">
        <v>669</v>
      </c>
      <c r="I39" s="1536"/>
      <c r="J39" s="1726" t="s">
        <v>669</v>
      </c>
      <c r="K39" s="1629" t="s">
        <v>2022</v>
      </c>
      <c r="L39" s="1726" t="s">
        <v>669</v>
      </c>
      <c r="M39" s="1536" t="s">
        <v>2023</v>
      </c>
      <c r="N39" s="1726" t="s">
        <v>669</v>
      </c>
      <c r="O39" s="1536" t="s">
        <v>2024</v>
      </c>
      <c r="P39" s="1726" t="s">
        <v>669</v>
      </c>
      <c r="Q39" s="1536" t="s">
        <v>2024</v>
      </c>
      <c r="R39" s="1726" t="s">
        <v>669</v>
      </c>
      <c r="S39" s="1536" t="s">
        <v>2025</v>
      </c>
      <c r="T39" s="1726" t="s">
        <v>669</v>
      </c>
      <c r="U39" s="1536" t="s">
        <v>2024</v>
      </c>
      <c r="V39" s="1726" t="s">
        <v>669</v>
      </c>
      <c r="W39" s="1536" t="s">
        <v>2024</v>
      </c>
      <c r="X39" s="1726" t="s">
        <v>669</v>
      </c>
      <c r="Y39" s="1536" t="s">
        <v>2025</v>
      </c>
    </row>
    <row r="40" spans="1:25" x14ac:dyDescent="0.35">
      <c r="A40" s="1728"/>
      <c r="B40" s="1497" t="s">
        <v>2026</v>
      </c>
      <c r="C40" s="1705"/>
      <c r="D40" s="1699"/>
      <c r="E40" s="1699"/>
      <c r="F40" s="1642"/>
      <c r="G40" s="652"/>
      <c r="H40" s="1726" t="s">
        <v>669</v>
      </c>
      <c r="I40" s="1536"/>
      <c r="J40" s="1726" t="s">
        <v>669</v>
      </c>
      <c r="K40" s="1629"/>
      <c r="L40" s="1726" t="s">
        <v>669</v>
      </c>
      <c r="M40" s="1629"/>
      <c r="N40" s="1726" t="s">
        <v>669</v>
      </c>
      <c r="O40" s="1536" t="s">
        <v>2027</v>
      </c>
      <c r="P40" s="1726" t="s">
        <v>669</v>
      </c>
      <c r="Q40" s="1536" t="s">
        <v>2027</v>
      </c>
      <c r="R40" s="1726" t="s">
        <v>669</v>
      </c>
      <c r="S40" s="1536"/>
      <c r="T40" s="1726" t="s">
        <v>669</v>
      </c>
      <c r="U40" s="1536" t="s">
        <v>2027</v>
      </c>
      <c r="V40" s="1726" t="s">
        <v>669</v>
      </c>
      <c r="W40" s="1536" t="s">
        <v>2027</v>
      </c>
      <c r="X40" s="1726" t="s">
        <v>669</v>
      </c>
      <c r="Y40" s="1536"/>
    </row>
    <row r="41" spans="1:25" x14ac:dyDescent="0.35">
      <c r="A41" s="1728"/>
      <c r="B41" s="1497" t="s">
        <v>158</v>
      </c>
      <c r="C41" s="1705"/>
      <c r="D41" s="1699"/>
      <c r="E41" s="1699"/>
      <c r="F41" s="1642"/>
      <c r="G41" s="652"/>
      <c r="H41" s="1726" t="s">
        <v>669</v>
      </c>
      <c r="I41" s="1536"/>
      <c r="J41" s="1726" t="s">
        <v>669</v>
      </c>
      <c r="K41" s="1629"/>
      <c r="L41" s="1726" t="s">
        <v>669</v>
      </c>
      <c r="M41" s="1629"/>
      <c r="N41" s="1726" t="s">
        <v>669</v>
      </c>
      <c r="O41" s="1536">
        <v>8255</v>
      </c>
      <c r="P41" s="1726" t="s">
        <v>669</v>
      </c>
      <c r="Q41" s="1536">
        <v>8255</v>
      </c>
      <c r="R41" s="1726" t="s">
        <v>669</v>
      </c>
      <c r="S41" s="1536"/>
      <c r="T41" s="1726" t="s">
        <v>669</v>
      </c>
      <c r="U41" s="1536"/>
      <c r="V41" s="1726" t="s">
        <v>669</v>
      </c>
      <c r="W41" s="1536"/>
      <c r="X41" s="1726" t="s">
        <v>669</v>
      </c>
      <c r="Y41" s="1536"/>
    </row>
    <row r="42" spans="1:25" x14ac:dyDescent="0.35">
      <c r="A42" s="1728"/>
      <c r="B42" s="1497"/>
      <c r="C42" s="1705"/>
      <c r="D42" s="1699"/>
      <c r="E42" s="1699"/>
      <c r="F42" s="1642"/>
      <c r="G42" s="652"/>
      <c r="H42" s="1726"/>
      <c r="I42" s="1536"/>
      <c r="J42" s="1726"/>
      <c r="K42" s="1629"/>
      <c r="L42" s="1726"/>
      <c r="M42" s="1629"/>
      <c r="N42" s="1726"/>
      <c r="O42" s="1536"/>
      <c r="P42" s="1726"/>
      <c r="Q42" s="1536"/>
      <c r="R42" s="1726"/>
      <c r="S42" s="1536"/>
      <c r="T42" s="1726"/>
      <c r="U42" s="1536"/>
      <c r="V42" s="1536"/>
      <c r="W42" s="1536"/>
      <c r="X42" s="1726"/>
      <c r="Y42" s="1536"/>
    </row>
    <row r="43" spans="1:25" x14ac:dyDescent="0.35">
      <c r="A43" s="1728"/>
      <c r="B43" s="1497" t="s">
        <v>2028</v>
      </c>
      <c r="C43" s="1705"/>
      <c r="D43" s="1699"/>
      <c r="E43" s="1699"/>
      <c r="F43" s="1642"/>
      <c r="G43" s="652"/>
      <c r="H43" s="1726" t="s">
        <v>669</v>
      </c>
      <c r="I43" s="1536"/>
      <c r="J43" s="1726" t="s">
        <v>669</v>
      </c>
      <c r="K43" s="1629"/>
      <c r="L43" s="1726" t="s">
        <v>669</v>
      </c>
      <c r="M43" s="1629"/>
      <c r="N43" s="1726" t="s">
        <v>669</v>
      </c>
      <c r="O43" s="1536"/>
      <c r="P43" s="1726" t="s">
        <v>669</v>
      </c>
      <c r="Q43" s="1536"/>
      <c r="R43" s="1726" t="s">
        <v>669</v>
      </c>
      <c r="S43" s="1536"/>
      <c r="T43" s="1726" t="s">
        <v>669</v>
      </c>
      <c r="U43" s="1536"/>
      <c r="V43" s="1726" t="s">
        <v>669</v>
      </c>
      <c r="W43" s="1536"/>
      <c r="X43" s="1726"/>
      <c r="Y43" s="1536"/>
    </row>
    <row r="44" spans="1:25" x14ac:dyDescent="0.35">
      <c r="A44" s="1728"/>
      <c r="B44" s="1497" t="s">
        <v>2029</v>
      </c>
      <c r="C44" s="1735" t="s">
        <v>2030</v>
      </c>
      <c r="D44" s="1699"/>
      <c r="E44" s="1699"/>
      <c r="F44" s="1642"/>
      <c r="G44" s="652"/>
      <c r="H44" s="1726" t="s">
        <v>671</v>
      </c>
      <c r="I44" s="1536"/>
      <c r="J44" s="1726" t="s">
        <v>671</v>
      </c>
      <c r="K44" s="1629"/>
      <c r="L44" s="1726" t="s">
        <v>671</v>
      </c>
      <c r="M44" s="1629"/>
      <c r="N44" s="1726" t="s">
        <v>671</v>
      </c>
      <c r="O44" s="1536"/>
      <c r="P44" s="1726" t="s">
        <v>671</v>
      </c>
      <c r="Q44" s="1536"/>
      <c r="R44" s="1726" t="s">
        <v>671</v>
      </c>
      <c r="S44" s="1536"/>
      <c r="T44" s="1726" t="s">
        <v>671</v>
      </c>
      <c r="U44" s="1536"/>
      <c r="V44" s="1726" t="s">
        <v>671</v>
      </c>
      <c r="W44" s="1536"/>
      <c r="X44" s="1726"/>
      <c r="Y44" s="1536"/>
    </row>
    <row r="45" spans="1:25" x14ac:dyDescent="0.35">
      <c r="A45" s="14"/>
      <c r="B45" s="15"/>
      <c r="C45" s="16"/>
      <c r="D45" s="16"/>
      <c r="E45" s="17"/>
      <c r="F45" s="18" t="s">
        <v>715</v>
      </c>
      <c r="G45" s="19"/>
      <c r="H45" s="20"/>
      <c r="I45" s="50">
        <f>SUM(I23:I44)</f>
        <v>66970</v>
      </c>
      <c r="J45" s="20"/>
      <c r="K45" s="50">
        <f>SUM(K23:K40)</f>
        <v>67505</v>
      </c>
      <c r="L45" s="20"/>
      <c r="M45" s="50">
        <f>SUM(M23:M40)</f>
        <v>74200</v>
      </c>
      <c r="N45" s="20"/>
      <c r="O45" s="50">
        <f>SUM(O23:O41)</f>
        <v>8255</v>
      </c>
      <c r="P45" s="20"/>
      <c r="Q45" s="50">
        <f>SUM(Q23:Q41)</f>
        <v>88114</v>
      </c>
      <c r="R45" s="20"/>
      <c r="S45" s="50">
        <f>SUM(S23:S41)</f>
        <v>96385</v>
      </c>
      <c r="T45" s="20"/>
      <c r="U45" s="50">
        <f>SUM(U23:U41)</f>
        <v>96745</v>
      </c>
      <c r="V45" s="20"/>
      <c r="W45" s="50">
        <f>SUM(W23:W41)</f>
        <v>287350</v>
      </c>
      <c r="X45" s="20"/>
      <c r="Y45" s="50">
        <f>SUM(Y23:Y41)</f>
        <v>234444</v>
      </c>
    </row>
    <row r="46" spans="1:25" x14ac:dyDescent="0.35">
      <c r="A46" s="1662"/>
      <c r="B46" s="1663"/>
      <c r="C46" s="1664"/>
      <c r="D46" s="1664"/>
      <c r="E46" s="1665"/>
      <c r="F46" s="1666" t="s">
        <v>716</v>
      </c>
      <c r="G46" s="659"/>
      <c r="H46" s="1736">
        <v>0</v>
      </c>
      <c r="I46" s="1737"/>
      <c r="J46" s="1736">
        <v>0</v>
      </c>
      <c r="K46" s="1737"/>
      <c r="L46" s="1736">
        <v>0</v>
      </c>
      <c r="M46" s="1737"/>
      <c r="N46" s="1736">
        <v>0</v>
      </c>
      <c r="O46" s="1737"/>
      <c r="P46" s="1736">
        <v>0</v>
      </c>
      <c r="Q46" s="1737"/>
      <c r="R46" s="1736">
        <v>0</v>
      </c>
      <c r="S46" s="1737"/>
      <c r="T46" s="1736">
        <v>0</v>
      </c>
      <c r="U46" s="1737"/>
      <c r="V46" s="1736">
        <v>0</v>
      </c>
      <c r="W46" s="1737"/>
      <c r="X46" s="1736">
        <v>0</v>
      </c>
      <c r="Y46" s="1737"/>
    </row>
    <row r="47" spans="1:25" x14ac:dyDescent="0.35">
      <c r="A47" s="1662"/>
      <c r="B47" s="1663"/>
      <c r="C47" s="1664"/>
      <c r="D47" s="1664"/>
      <c r="E47" s="1665"/>
      <c r="F47" s="1666" t="s">
        <v>717</v>
      </c>
      <c r="G47" s="659"/>
      <c r="H47" s="1669"/>
      <c r="I47" s="1738">
        <f>H46*I45</f>
        <v>0</v>
      </c>
      <c r="J47" s="1669"/>
      <c r="K47" s="1738">
        <f>J46*K45</f>
        <v>0</v>
      </c>
      <c r="L47" s="1669"/>
      <c r="M47" s="1738">
        <f>L46*M45</f>
        <v>0</v>
      </c>
      <c r="N47" s="1669"/>
      <c r="O47" s="1738">
        <f>N46*O45</f>
        <v>0</v>
      </c>
      <c r="P47" s="1669"/>
      <c r="Q47" s="1738">
        <f>P46*Q45</f>
        <v>0</v>
      </c>
      <c r="R47" s="1669"/>
      <c r="S47" s="1738">
        <f>R46*S45</f>
        <v>0</v>
      </c>
      <c r="T47" s="1669"/>
      <c r="U47" s="1738">
        <f>T46*U45</f>
        <v>0</v>
      </c>
      <c r="V47" s="1669"/>
      <c r="W47" s="1738">
        <f>V46*W45</f>
        <v>0</v>
      </c>
      <c r="X47" s="1669"/>
      <c r="Y47" s="1738">
        <f>X46*Y45</f>
        <v>0</v>
      </c>
    </row>
    <row r="48" spans="1:25" x14ac:dyDescent="0.35">
      <c r="A48" s="1662"/>
      <c r="B48" s="1663"/>
      <c r="C48" s="1664"/>
      <c r="D48" s="1664"/>
      <c r="E48" s="1665"/>
      <c r="F48" s="1666"/>
      <c r="G48" s="659"/>
      <c r="H48" s="1669"/>
      <c r="I48" s="1739"/>
      <c r="J48" s="1669"/>
      <c r="K48" s="1739"/>
      <c r="L48" s="1669"/>
      <c r="M48" s="1739"/>
      <c r="N48" s="1669"/>
      <c r="O48" s="1739"/>
      <c r="P48" s="1669"/>
      <c r="Q48" s="1739"/>
      <c r="R48" s="1669"/>
      <c r="S48" s="1739"/>
      <c r="T48" s="1669"/>
      <c r="U48" s="1739"/>
      <c r="V48" s="1669"/>
      <c r="W48" s="1739"/>
      <c r="X48" s="1669"/>
      <c r="Y48" s="1739"/>
    </row>
    <row r="49" spans="1:25" x14ac:dyDescent="0.35">
      <c r="A49" s="1662"/>
      <c r="B49" s="1663"/>
      <c r="C49" s="1664"/>
      <c r="D49" s="1664"/>
      <c r="E49" s="1665"/>
      <c r="F49" s="1666" t="s">
        <v>718</v>
      </c>
      <c r="G49" s="659"/>
      <c r="H49" s="1671"/>
      <c r="I49" s="1740">
        <f>SUM(I45:I47)</f>
        <v>66970</v>
      </c>
      <c r="J49" s="1671"/>
      <c r="K49" s="1740">
        <f>SUM(K45:K47)</f>
        <v>67505</v>
      </c>
      <c r="L49" s="1671"/>
      <c r="M49" s="1740">
        <f>SUM(M45:M47)</f>
        <v>74200</v>
      </c>
      <c r="N49" s="1671"/>
      <c r="O49" s="1740">
        <f>SUM(O45:O47)</f>
        <v>8255</v>
      </c>
      <c r="P49" s="1671"/>
      <c r="Q49" s="1740">
        <f>SUM(Q45:Q47)</f>
        <v>88114</v>
      </c>
      <c r="R49" s="1671"/>
      <c r="S49" s="1740">
        <f>SUM(S45:S47)</f>
        <v>96385</v>
      </c>
      <c r="T49" s="1671"/>
      <c r="U49" s="1740">
        <f>SUM(U45:U47)</f>
        <v>96745</v>
      </c>
      <c r="V49" s="1671"/>
      <c r="W49" s="1740">
        <f>SUM(W45:W47)</f>
        <v>287350</v>
      </c>
      <c r="X49" s="1671"/>
      <c r="Y49" s="1740">
        <f>SUM(Y45:Y47)</f>
        <v>234444</v>
      </c>
    </row>
    <row r="50" spans="1:25" x14ac:dyDescent="0.35">
      <c r="A50" s="1662"/>
      <c r="B50" s="1663"/>
      <c r="C50" s="1664"/>
      <c r="D50" s="1664"/>
      <c r="E50" s="1665"/>
      <c r="F50" s="1673" t="s">
        <v>719</v>
      </c>
      <c r="G50" s="661"/>
      <c r="H50" s="1674"/>
      <c r="I50" s="1675" t="e">
        <f>I49/#REF!</f>
        <v>#REF!</v>
      </c>
      <c r="J50" s="1674"/>
      <c r="K50" s="1675" t="e">
        <f>K49/#REF!</f>
        <v>#REF!</v>
      </c>
      <c r="L50" s="1674"/>
      <c r="M50" s="1675" t="e">
        <f>M49/#REF!</f>
        <v>#REF!</v>
      </c>
      <c r="N50" s="1674"/>
      <c r="O50" s="1675" t="e">
        <f>O49/#REF!</f>
        <v>#REF!</v>
      </c>
      <c r="P50" s="1674"/>
      <c r="Q50" s="1675" t="e">
        <f>Q49/#REF!</f>
        <v>#REF!</v>
      </c>
      <c r="R50" s="1674"/>
      <c r="S50" s="1675" t="e">
        <f>S49/#REF!</f>
        <v>#REF!</v>
      </c>
      <c r="T50" s="1674"/>
      <c r="U50" s="1675" t="e">
        <f>U49/#REF!</f>
        <v>#REF!</v>
      </c>
      <c r="V50" s="1674"/>
      <c r="W50" s="1675" t="e">
        <f>W49/#REF!</f>
        <v>#REF!</v>
      </c>
      <c r="X50" s="1674"/>
      <c r="Y50" s="1675" t="e">
        <f>Y49/#REF!</f>
        <v>#REF!</v>
      </c>
    </row>
    <row r="51" spans="1:25" x14ac:dyDescent="0.35">
      <c r="A51" s="1662"/>
      <c r="B51" s="1663"/>
      <c r="C51" s="1664"/>
      <c r="D51" s="1664"/>
      <c r="E51" s="1665"/>
      <c r="F51" s="1673" t="s">
        <v>720</v>
      </c>
      <c r="G51" s="662"/>
      <c r="H51" s="1674"/>
      <c r="I51" s="1675" t="e">
        <f>I49/#REF!</f>
        <v>#REF!</v>
      </c>
      <c r="J51" s="1674"/>
      <c r="K51" s="1675" t="e">
        <f>K49/#REF!</f>
        <v>#REF!</v>
      </c>
      <c r="L51" s="1674"/>
      <c r="M51" s="1675" t="e">
        <f>M49/#REF!</f>
        <v>#REF!</v>
      </c>
      <c r="N51" s="1674"/>
      <c r="O51" s="1675" t="e">
        <f>O49/#REF!</f>
        <v>#REF!</v>
      </c>
      <c r="P51" s="1674"/>
      <c r="Q51" s="1675" t="e">
        <f>Q49/#REF!</f>
        <v>#REF!</v>
      </c>
      <c r="R51" s="1674"/>
      <c r="S51" s="1675" t="e">
        <f>S49/#REF!</f>
        <v>#REF!</v>
      </c>
      <c r="T51" s="1674"/>
      <c r="U51" s="1675" t="e">
        <f>U49/#REF!</f>
        <v>#REF!</v>
      </c>
      <c r="V51" s="1674"/>
      <c r="W51" s="1675" t="e">
        <f>W49/#REF!</f>
        <v>#REF!</v>
      </c>
      <c r="X51" s="1674"/>
      <c r="Y51" s="1675" t="e">
        <f>Y49/#REF!</f>
        <v>#REF!</v>
      </c>
    </row>
    <row r="52" spans="1:25" x14ac:dyDescent="0.35">
      <c r="A52" s="1662"/>
      <c r="B52" s="1663"/>
      <c r="C52" s="1664"/>
      <c r="D52" s="1664"/>
      <c r="E52" s="1665"/>
      <c r="F52" s="1666"/>
      <c r="G52" s="663"/>
      <c r="H52" s="1677"/>
      <c r="I52" s="1678"/>
      <c r="J52" s="1677"/>
      <c r="K52" s="1678"/>
      <c r="L52" s="1677"/>
      <c r="M52" s="1678"/>
      <c r="N52" s="1677"/>
      <c r="O52" s="1678"/>
      <c r="P52" s="1677"/>
      <c r="Q52" s="1678"/>
      <c r="R52" s="1677"/>
      <c r="S52" s="1678"/>
      <c r="T52" s="1677"/>
      <c r="U52" s="1678"/>
      <c r="V52" s="1677"/>
      <c r="W52" s="1678"/>
      <c r="X52" s="1677"/>
      <c r="Y52" s="1678"/>
    </row>
    <row r="53" spans="1:25" x14ac:dyDescent="0.35">
      <c r="A53" s="3764" t="s">
        <v>721</v>
      </c>
      <c r="B53" s="3765"/>
      <c r="C53" s="12"/>
      <c r="D53" s="12"/>
      <c r="E53" s="12"/>
      <c r="F53" s="12"/>
      <c r="G53" s="13"/>
      <c r="H53" s="21"/>
      <c r="I53" s="21"/>
      <c r="J53" s="21"/>
      <c r="K53" s="21"/>
      <c r="L53" s="21"/>
      <c r="M53" s="21"/>
      <c r="N53" s="21"/>
      <c r="O53" s="21"/>
      <c r="P53" s="21"/>
      <c r="Q53" s="21"/>
      <c r="R53" s="21"/>
      <c r="S53" s="21"/>
      <c r="T53" s="21"/>
      <c r="U53" s="21"/>
      <c r="V53" s="21"/>
      <c r="W53" s="21"/>
      <c r="X53" s="21"/>
      <c r="Y53" s="21"/>
    </row>
    <row r="54" spans="1:25" x14ac:dyDescent="0.35">
      <c r="A54" s="1619"/>
      <c r="B54" s="1698"/>
      <c r="C54" s="1620"/>
      <c r="D54" s="1620"/>
      <c r="E54" s="1620"/>
      <c r="F54" s="1620"/>
      <c r="G54" s="1621"/>
      <c r="H54" s="1572"/>
      <c r="I54" s="1572"/>
      <c r="J54" s="1572"/>
      <c r="K54" s="1572"/>
      <c r="L54" s="1572"/>
      <c r="M54" s="1572"/>
      <c r="N54" s="1572"/>
      <c r="O54" s="1572"/>
      <c r="P54" s="1572"/>
      <c r="Q54" s="1572"/>
      <c r="R54" s="1572"/>
      <c r="S54" s="1572"/>
      <c r="T54" s="1572"/>
      <c r="U54" s="1572"/>
      <c r="V54" s="1572"/>
      <c r="W54" s="1572"/>
      <c r="X54" s="1572"/>
      <c r="Y54" s="1572"/>
    </row>
    <row r="55" spans="1:25" x14ac:dyDescent="0.35">
      <c r="A55" s="1619"/>
      <c r="B55" s="1698"/>
      <c r="C55" s="1620"/>
      <c r="D55" s="1620"/>
      <c r="E55" s="1620"/>
      <c r="F55" s="1620"/>
      <c r="G55" s="1621"/>
      <c r="H55" s="1572"/>
      <c r="I55" s="1572"/>
      <c r="J55" s="1572"/>
      <c r="K55" s="1572"/>
      <c r="L55" s="1572"/>
      <c r="M55" s="1572"/>
      <c r="N55" s="1572"/>
      <c r="O55" s="1572"/>
      <c r="P55" s="1572"/>
      <c r="Q55" s="1572"/>
      <c r="R55" s="1572"/>
      <c r="S55" s="1572"/>
      <c r="T55" s="1572"/>
      <c r="U55" s="1572"/>
      <c r="V55" s="1572"/>
      <c r="W55" s="1572"/>
      <c r="X55" s="1572"/>
      <c r="Y55" s="1572"/>
    </row>
    <row r="56" spans="1:25" x14ac:dyDescent="0.35">
      <c r="A56" s="1619"/>
      <c r="B56" s="1698"/>
      <c r="C56" s="1620"/>
      <c r="D56" s="1620"/>
      <c r="E56" s="1620"/>
      <c r="F56" s="1620"/>
      <c r="G56" s="1621"/>
      <c r="H56" s="1572"/>
      <c r="I56" s="1572"/>
      <c r="J56" s="1572"/>
      <c r="K56" s="1572"/>
      <c r="L56" s="1572"/>
      <c r="M56" s="1572"/>
      <c r="N56" s="1572"/>
      <c r="O56" s="1572"/>
      <c r="P56" s="1572"/>
      <c r="Q56" s="1572"/>
      <c r="R56" s="1572"/>
      <c r="S56" s="1572"/>
      <c r="T56" s="1572"/>
      <c r="U56" s="1572"/>
      <c r="V56" s="1572"/>
      <c r="W56" s="1572"/>
      <c r="X56" s="1572"/>
      <c r="Y56" s="1572"/>
    </row>
    <row r="57" spans="1:25" s="2" customFormat="1" x14ac:dyDescent="0.35">
      <c r="A57" s="3764" t="s">
        <v>722</v>
      </c>
      <c r="B57" s="3765"/>
      <c r="C57" s="12"/>
      <c r="D57" s="12"/>
      <c r="E57" s="12"/>
      <c r="F57" s="12"/>
      <c r="G57" s="13"/>
      <c r="H57" s="21"/>
      <c r="I57" s="21"/>
      <c r="J57" s="21"/>
      <c r="K57" s="21"/>
      <c r="L57" s="21"/>
      <c r="M57" s="21"/>
      <c r="N57" s="21"/>
      <c r="O57" s="21"/>
      <c r="P57" s="21"/>
      <c r="Q57" s="21"/>
      <c r="R57" s="21"/>
      <c r="S57" s="21"/>
      <c r="T57" s="21"/>
      <c r="U57" s="21"/>
      <c r="V57" s="21"/>
      <c r="W57" s="21"/>
      <c r="X57" s="21"/>
      <c r="Y57" s="21"/>
    </row>
    <row r="58" spans="1:25" s="2" customFormat="1" x14ac:dyDescent="0.35">
      <c r="A58" s="1619"/>
      <c r="B58" s="1698"/>
      <c r="C58" s="1620"/>
      <c r="D58" s="1620"/>
      <c r="E58" s="1620"/>
      <c r="F58" s="1620"/>
      <c r="G58" s="1621"/>
      <c r="H58" s="1572"/>
      <c r="I58" s="1572"/>
      <c r="J58" s="1572"/>
      <c r="K58" s="1572"/>
      <c r="L58" s="1572"/>
      <c r="M58" s="1572"/>
      <c r="N58" s="1572"/>
      <c r="O58" s="1572"/>
      <c r="P58" s="1572"/>
      <c r="Q58" s="1572"/>
      <c r="R58" s="1572"/>
      <c r="S58" s="1572"/>
      <c r="T58" s="1572"/>
      <c r="U58" s="1572"/>
      <c r="V58" s="1572"/>
      <c r="W58" s="1572"/>
      <c r="X58" s="1572"/>
      <c r="Y58" s="1572"/>
    </row>
    <row r="59" spans="1:25" s="2" customFormat="1" x14ac:dyDescent="0.35">
      <c r="A59" s="1619"/>
      <c r="B59" s="1698"/>
      <c r="C59" s="1620"/>
      <c r="D59" s="1620"/>
      <c r="E59" s="1620"/>
      <c r="F59" s="1620"/>
      <c r="G59" s="1621"/>
      <c r="H59" s="1572"/>
      <c r="I59" s="1572"/>
      <c r="J59" s="1572"/>
      <c r="K59" s="1572"/>
      <c r="L59" s="1572"/>
      <c r="M59" s="1572"/>
      <c r="N59" s="1572"/>
      <c r="O59" s="1572"/>
      <c r="P59" s="1572"/>
      <c r="Q59" s="1572"/>
      <c r="R59" s="1572"/>
      <c r="S59" s="1572"/>
      <c r="T59" s="1572"/>
      <c r="U59" s="1572"/>
      <c r="V59" s="1572"/>
      <c r="W59" s="1572"/>
      <c r="X59" s="1572"/>
      <c r="Y59" s="1572"/>
    </row>
    <row r="60" spans="1:25" x14ac:dyDescent="0.35">
      <c r="A60" s="1619"/>
      <c r="B60" s="1698"/>
      <c r="C60" s="1620"/>
      <c r="D60" s="1620"/>
      <c r="E60" s="1620"/>
      <c r="F60" s="1620"/>
      <c r="G60" s="1621"/>
      <c r="H60" s="1572"/>
      <c r="I60" s="1572"/>
      <c r="J60" s="1572"/>
      <c r="K60" s="1572"/>
      <c r="L60" s="1572"/>
      <c r="M60" s="1572"/>
      <c r="N60" s="1572"/>
      <c r="O60" s="1572"/>
      <c r="P60" s="1572"/>
      <c r="Q60" s="1572"/>
      <c r="R60" s="1572"/>
      <c r="S60" s="1572"/>
      <c r="T60" s="1572"/>
      <c r="U60" s="1572"/>
      <c r="V60" s="1572"/>
      <c r="W60" s="1572"/>
      <c r="X60" s="1572"/>
      <c r="Y60" s="1572"/>
    </row>
    <row r="61" spans="1:25" s="2" customFormat="1" x14ac:dyDescent="0.35">
      <c r="A61" s="3764" t="s">
        <v>723</v>
      </c>
      <c r="B61" s="3765"/>
      <c r="C61" s="12"/>
      <c r="D61" s="12"/>
      <c r="E61" s="12"/>
      <c r="F61" s="12"/>
      <c r="G61" s="13"/>
      <c r="H61" s="21"/>
      <c r="I61" s="21"/>
      <c r="J61" s="21"/>
      <c r="K61" s="21"/>
      <c r="L61" s="21"/>
      <c r="M61" s="21"/>
      <c r="N61" s="21"/>
      <c r="O61" s="21"/>
      <c r="P61" s="21"/>
      <c r="Q61" s="21"/>
      <c r="R61" s="21"/>
      <c r="S61" s="21"/>
      <c r="T61" s="21"/>
      <c r="U61" s="21"/>
      <c r="V61" s="21"/>
      <c r="W61" s="21"/>
      <c r="X61" s="21"/>
      <c r="Y61" s="21"/>
    </row>
    <row r="62" spans="1:25" s="2" customFormat="1" x14ac:dyDescent="0.35">
      <c r="A62" s="1619"/>
      <c r="B62" s="1698" t="s">
        <v>2031</v>
      </c>
      <c r="C62" s="1620"/>
      <c r="D62" s="1620"/>
      <c r="E62" s="1620"/>
      <c r="F62" s="1620"/>
      <c r="G62" s="1621"/>
      <c r="H62" s="1572"/>
      <c r="I62" s="1572"/>
      <c r="J62" s="1726" t="s">
        <v>669</v>
      </c>
      <c r="K62" s="1572">
        <f>36*65</f>
        <v>2340</v>
      </c>
      <c r="L62" s="1572"/>
      <c r="M62" s="1572"/>
      <c r="N62" s="1572"/>
      <c r="O62" s="1572"/>
      <c r="P62" s="1572"/>
      <c r="Q62" s="1572"/>
      <c r="R62" s="1572"/>
      <c r="S62" s="1572"/>
      <c r="T62" s="1572"/>
      <c r="U62" s="1572"/>
      <c r="V62" s="1572"/>
      <c r="W62" s="1572"/>
      <c r="X62" s="1572"/>
      <c r="Y62" s="1572"/>
    </row>
    <row r="63" spans="1:25" s="2" customFormat="1" x14ac:dyDescent="0.35">
      <c r="A63" s="1703"/>
      <c r="B63" s="1698"/>
      <c r="C63" s="1699"/>
      <c r="D63" s="1699"/>
      <c r="E63" s="1699"/>
      <c r="F63" s="1699"/>
      <c r="G63" s="646"/>
      <c r="H63" s="1679"/>
      <c r="I63" s="1679"/>
      <c r="J63" s="1679"/>
      <c r="K63" s="1679"/>
      <c r="L63" s="1679"/>
      <c r="M63" s="1679"/>
      <c r="N63" s="1679"/>
      <c r="O63" s="1679"/>
      <c r="P63" s="1679"/>
      <c r="Q63" s="1679"/>
      <c r="R63" s="1679"/>
      <c r="S63" s="1679"/>
      <c r="T63" s="1679"/>
      <c r="U63" s="1679"/>
      <c r="V63" s="1679"/>
      <c r="W63" s="1679"/>
      <c r="X63" s="1679"/>
      <c r="Y63" s="1679"/>
    </row>
    <row r="64" spans="1:25" s="2" customFormat="1" x14ac:dyDescent="0.35">
      <c r="A64" s="1680"/>
      <c r="B64" s="1681"/>
      <c r="C64" s="1699"/>
      <c r="D64" s="1699"/>
      <c r="E64" s="1699"/>
      <c r="F64" s="1699"/>
      <c r="G64" s="646"/>
      <c r="H64" s="1682"/>
      <c r="I64" s="1682"/>
      <c r="J64" s="1682"/>
      <c r="K64" s="1682"/>
      <c r="L64" s="1682"/>
      <c r="M64" s="1682"/>
      <c r="N64" s="1682"/>
      <c r="O64" s="1682"/>
      <c r="P64" s="1682"/>
      <c r="Q64" s="1682"/>
      <c r="R64" s="1682"/>
      <c r="S64" s="1682"/>
      <c r="T64" s="1682"/>
      <c r="U64" s="1682"/>
      <c r="V64" s="1682"/>
      <c r="W64" s="1682"/>
      <c r="X64" s="1682"/>
      <c r="Y64" s="1682"/>
    </row>
    <row r="65" spans="1:25" s="2" customFormat="1" x14ac:dyDescent="0.35">
      <c r="A65" s="3764" t="s">
        <v>724</v>
      </c>
      <c r="B65" s="3765"/>
      <c r="C65" s="12"/>
      <c r="D65" s="12"/>
      <c r="E65" s="12"/>
      <c r="F65" s="12"/>
      <c r="G65" s="13"/>
      <c r="H65" s="21"/>
      <c r="I65" s="21"/>
      <c r="J65" s="21"/>
      <c r="K65" s="21"/>
      <c r="L65" s="21"/>
      <c r="M65" s="21"/>
      <c r="N65" s="21"/>
      <c r="O65" s="21"/>
      <c r="P65" s="21"/>
      <c r="Q65" s="21"/>
      <c r="R65" s="21"/>
      <c r="S65" s="21"/>
      <c r="T65" s="21"/>
      <c r="U65" s="21"/>
      <c r="V65" s="21"/>
      <c r="W65" s="21"/>
      <c r="X65" s="21"/>
      <c r="Y65" s="21"/>
    </row>
    <row r="66" spans="1:25" x14ac:dyDescent="0.35">
      <c r="A66" s="1623"/>
      <c r="B66" s="1624" t="s">
        <v>2032</v>
      </c>
      <c r="C66" s="1620"/>
      <c r="D66" s="1620"/>
      <c r="E66" s="1620"/>
      <c r="F66" s="1620"/>
      <c r="G66" s="1621"/>
      <c r="H66" s="1572"/>
      <c r="I66" s="1572"/>
      <c r="J66" s="1572"/>
      <c r="K66" s="1572"/>
      <c r="L66" s="1572"/>
      <c r="M66" s="1572"/>
      <c r="N66" s="1572"/>
      <c r="O66" s="1572"/>
      <c r="P66" s="1572"/>
      <c r="Q66" s="1572"/>
      <c r="R66" s="1726" t="s">
        <v>669</v>
      </c>
      <c r="S66" s="1572">
        <f>-R8+141234</f>
        <v>44849</v>
      </c>
      <c r="T66" s="1572"/>
      <c r="U66" s="1572"/>
      <c r="V66" s="1572"/>
      <c r="W66" s="1572"/>
      <c r="X66" s="1726" t="s">
        <v>669</v>
      </c>
      <c r="Y66" s="1572">
        <f>-X8+141234</f>
        <v>-93210</v>
      </c>
    </row>
    <row r="67" spans="1:25" x14ac:dyDescent="0.35">
      <c r="A67" s="1680"/>
      <c r="B67" s="1681"/>
      <c r="C67" s="1699"/>
      <c r="D67" s="1699"/>
      <c r="E67" s="1699"/>
      <c r="F67" s="1699"/>
      <c r="G67" s="646"/>
      <c r="H67" s="1683"/>
      <c r="I67" s="1683"/>
      <c r="J67" s="1683"/>
      <c r="K67" s="1683"/>
      <c r="L67" s="1683"/>
      <c r="M67" s="1683"/>
      <c r="N67" s="1683"/>
      <c r="O67" s="1683"/>
      <c r="P67" s="1683"/>
      <c r="Q67" s="1683"/>
      <c r="R67" s="1683"/>
      <c r="S67" s="1683"/>
      <c r="T67" s="1683"/>
      <c r="U67" s="1683"/>
      <c r="V67" s="1683"/>
      <c r="W67" s="1683"/>
      <c r="X67" s="1683"/>
      <c r="Y67" s="1683"/>
    </row>
    <row r="68" spans="1:25" x14ac:dyDescent="0.35">
      <c r="A68" s="1680"/>
      <c r="B68" s="1681"/>
      <c r="C68" s="1699"/>
      <c r="D68" s="1699"/>
      <c r="E68" s="1699"/>
      <c r="F68" s="1699"/>
      <c r="G68" s="646"/>
      <c r="H68" s="1683"/>
      <c r="I68" s="1683"/>
      <c r="J68" s="1683"/>
      <c r="K68" s="1683"/>
      <c r="L68" s="1683"/>
      <c r="M68" s="1683"/>
      <c r="N68" s="1683"/>
      <c r="O68" s="1683"/>
      <c r="P68" s="1683"/>
      <c r="Q68" s="1683"/>
      <c r="R68" s="1683"/>
      <c r="S68" s="1683"/>
      <c r="T68" s="1683"/>
      <c r="U68" s="1683"/>
      <c r="V68" s="1683"/>
      <c r="W68" s="1683"/>
      <c r="X68" s="1683"/>
      <c r="Y68" s="1683"/>
    </row>
    <row r="69" spans="1:25" x14ac:dyDescent="0.35">
      <c r="A69" s="3764" t="s">
        <v>725</v>
      </c>
      <c r="B69" s="3765"/>
      <c r="C69" s="12"/>
      <c r="D69" s="12"/>
      <c r="E69" s="12"/>
      <c r="F69" s="12"/>
      <c r="G69" s="13"/>
      <c r="H69" s="21"/>
      <c r="I69" s="21"/>
      <c r="J69" s="21"/>
      <c r="K69" s="21"/>
      <c r="L69" s="21"/>
      <c r="M69" s="21"/>
      <c r="N69" s="21"/>
      <c r="O69" s="21"/>
      <c r="P69" s="21"/>
      <c r="Q69" s="21"/>
      <c r="R69" s="21"/>
      <c r="S69" s="21"/>
      <c r="T69" s="21"/>
      <c r="U69" s="21"/>
      <c r="V69" s="21"/>
      <c r="W69" s="21"/>
      <c r="X69" s="21"/>
      <c r="Y69" s="21"/>
    </row>
    <row r="70" spans="1:25" x14ac:dyDescent="0.35">
      <c r="A70" s="1703"/>
      <c r="B70" s="1698" t="s">
        <v>726</v>
      </c>
      <c r="C70" s="1699"/>
      <c r="D70" s="1699"/>
      <c r="E70" s="1699"/>
      <c r="F70" s="1699"/>
      <c r="G70" s="646"/>
      <c r="H70" s="1683"/>
      <c r="I70" s="1683"/>
      <c r="J70" s="1683"/>
      <c r="K70" s="1683"/>
      <c r="L70" s="1683"/>
      <c r="M70" s="1683"/>
      <c r="N70" s="1683"/>
      <c r="O70" s="1683"/>
      <c r="P70" s="1683"/>
      <c r="Q70" s="1683"/>
      <c r="R70" s="1683"/>
      <c r="S70" s="1683"/>
      <c r="T70" s="1683"/>
      <c r="U70" s="1683"/>
      <c r="V70" s="1683"/>
      <c r="W70" s="1683"/>
      <c r="X70" s="1683"/>
      <c r="Y70" s="1683"/>
    </row>
    <row r="71" spans="1:25" x14ac:dyDescent="0.35">
      <c r="A71" s="1703"/>
      <c r="B71" s="1698" t="s">
        <v>727</v>
      </c>
      <c r="C71" s="1699"/>
      <c r="D71" s="1699"/>
      <c r="E71" s="1699"/>
      <c r="F71" s="1699"/>
      <c r="G71" s="646"/>
      <c r="H71" s="1683"/>
      <c r="I71" s="1683"/>
      <c r="J71" s="1683"/>
      <c r="K71" s="1683"/>
      <c r="L71" s="1683"/>
      <c r="M71" s="1683"/>
      <c r="N71" s="1683"/>
      <c r="O71" s="1683"/>
      <c r="P71" s="1683"/>
      <c r="Q71" s="1683"/>
      <c r="R71" s="1683"/>
      <c r="S71" s="1683"/>
      <c r="T71" s="1683"/>
      <c r="U71" s="1683"/>
      <c r="V71" s="1683"/>
      <c r="W71" s="1683"/>
      <c r="X71" s="1683"/>
      <c r="Y71" s="1683"/>
    </row>
    <row r="72" spans="1:25" x14ac:dyDescent="0.35">
      <c r="A72" s="1703"/>
      <c r="B72" s="1698" t="s">
        <v>728</v>
      </c>
      <c r="C72" s="1699"/>
      <c r="D72" s="1699"/>
      <c r="E72" s="1699"/>
      <c r="F72" s="1699"/>
      <c r="G72" s="646"/>
      <c r="H72" s="1683"/>
      <c r="I72" s="1683"/>
      <c r="J72" s="1683"/>
      <c r="K72" s="1683"/>
      <c r="L72" s="1683"/>
      <c r="M72" s="1683"/>
      <c r="N72" s="1683"/>
      <c r="O72" s="1683"/>
      <c r="P72" s="1683"/>
      <c r="Q72" s="1683"/>
      <c r="R72" s="1683"/>
      <c r="S72" s="1683"/>
      <c r="T72" s="1683"/>
      <c r="U72" s="1683"/>
      <c r="V72" s="1683"/>
      <c r="W72" s="1683"/>
      <c r="X72" s="1683"/>
      <c r="Y72" s="1683"/>
    </row>
    <row r="73" spans="1:25" x14ac:dyDescent="0.35">
      <c r="A73" s="1703"/>
      <c r="B73" s="1698" t="s">
        <v>729</v>
      </c>
      <c r="C73" s="1699"/>
      <c r="D73" s="1699"/>
      <c r="E73" s="1699"/>
      <c r="F73" s="1699"/>
      <c r="G73" s="646"/>
      <c r="H73" s="1683"/>
      <c r="I73" s="1683"/>
      <c r="J73" s="1683"/>
      <c r="K73" s="1683"/>
      <c r="L73" s="1683"/>
      <c r="M73" s="1683"/>
      <c r="N73" s="1683"/>
      <c r="O73" s="1683"/>
      <c r="P73" s="1683"/>
      <c r="Q73" s="1683"/>
      <c r="R73" s="1683"/>
      <c r="S73" s="1683"/>
      <c r="T73" s="1683"/>
      <c r="U73" s="1683"/>
      <c r="V73" s="1683"/>
      <c r="W73" s="1683"/>
      <c r="X73" s="1683"/>
      <c r="Y73" s="1683"/>
    </row>
    <row r="74" spans="1:25" x14ac:dyDescent="0.35">
      <c r="A74" s="978"/>
      <c r="B74" s="939"/>
      <c r="C74" s="940"/>
      <c r="D74" s="940"/>
      <c r="E74" s="940"/>
      <c r="F74" s="940"/>
      <c r="G74" s="1039"/>
      <c r="H74" s="981"/>
      <c r="I74" s="981"/>
      <c r="J74" s="981"/>
      <c r="K74" s="981"/>
      <c r="L74" s="981"/>
      <c r="M74" s="981"/>
      <c r="N74" s="981"/>
      <c r="O74" s="981"/>
      <c r="P74" s="981"/>
      <c r="Q74" s="981"/>
      <c r="R74" s="981"/>
      <c r="S74" s="981"/>
      <c r="T74" s="981"/>
      <c r="U74" s="981"/>
      <c r="V74" s="981"/>
      <c r="W74" s="981"/>
      <c r="X74" s="981"/>
      <c r="Y74" s="981"/>
    </row>
    <row r="75" spans="1:25" x14ac:dyDescent="0.35">
      <c r="A75" s="7" t="s">
        <v>730</v>
      </c>
      <c r="B75" s="8"/>
      <c r="C75" s="12"/>
      <c r="D75" s="12"/>
      <c r="E75" s="12"/>
      <c r="F75" s="12"/>
      <c r="G75" s="13"/>
      <c r="H75" s="21"/>
      <c r="I75" s="21"/>
      <c r="J75" s="21"/>
      <c r="K75" s="21"/>
      <c r="L75" s="21"/>
      <c r="M75" s="21"/>
      <c r="N75" s="21"/>
      <c r="O75" s="21"/>
      <c r="P75" s="21"/>
      <c r="Q75" s="21"/>
      <c r="R75" s="21"/>
      <c r="S75" s="21"/>
      <c r="T75" s="21"/>
      <c r="U75" s="21"/>
      <c r="V75" s="21"/>
      <c r="W75" s="21"/>
      <c r="X75" s="21"/>
      <c r="Y75" s="21"/>
    </row>
    <row r="76" spans="1:25" x14ac:dyDescent="0.35">
      <c r="A76" s="1619"/>
      <c r="B76" s="1625" t="s">
        <v>731</v>
      </c>
      <c r="C76" s="1620"/>
      <c r="D76" s="1620"/>
      <c r="E76" s="1620"/>
      <c r="F76" s="1620"/>
      <c r="G76" s="1621"/>
      <c r="H76" s="1576"/>
      <c r="I76" s="1576"/>
      <c r="J76" s="1576"/>
      <c r="K76" s="1576"/>
      <c r="L76" s="1576"/>
      <c r="M76" s="1576"/>
      <c r="N76" s="1576"/>
      <c r="O76" s="1576"/>
      <c r="P76" s="1576"/>
      <c r="Q76" s="1576"/>
      <c r="R76" s="1576"/>
      <c r="S76" s="1576"/>
      <c r="T76" s="1576"/>
      <c r="U76" s="1576"/>
      <c r="V76" s="1576"/>
      <c r="W76" s="1576"/>
      <c r="X76" s="1576"/>
      <c r="Y76" s="1576"/>
    </row>
    <row r="77" spans="1:25" x14ac:dyDescent="0.35">
      <c r="A77" s="1703"/>
      <c r="B77" s="1698" t="s">
        <v>732</v>
      </c>
      <c r="C77" s="1699"/>
      <c r="D77" s="1699"/>
      <c r="E77" s="1699"/>
      <c r="F77" s="1699"/>
      <c r="G77" s="646"/>
      <c r="H77" s="1684"/>
      <c r="I77" s="1684"/>
      <c r="J77" s="1684"/>
      <c r="K77" s="1684"/>
      <c r="L77" s="1684"/>
      <c r="M77" s="1684"/>
      <c r="N77" s="1684"/>
      <c r="O77" s="1684"/>
      <c r="P77" s="1684"/>
      <c r="Q77" s="1684"/>
      <c r="R77" s="1684"/>
      <c r="S77" s="1684"/>
      <c r="T77" s="1684"/>
      <c r="U77" s="1684"/>
      <c r="V77" s="1684"/>
      <c r="W77" s="1684"/>
      <c r="X77" s="1684"/>
      <c r="Y77" s="1684"/>
    </row>
    <row r="78" spans="1:25" x14ac:dyDescent="0.35">
      <c r="A78" s="1685"/>
      <c r="B78" s="1686" t="s">
        <v>733</v>
      </c>
      <c r="C78" s="1687"/>
      <c r="D78" s="1687"/>
      <c r="E78" s="1687"/>
      <c r="F78" s="1687"/>
      <c r="G78" s="1688"/>
      <c r="H78" s="1689"/>
      <c r="I78" s="1689"/>
      <c r="J78" s="1689"/>
      <c r="K78" s="1689"/>
      <c r="L78" s="1689"/>
      <c r="M78" s="1689"/>
      <c r="N78" s="1689"/>
      <c r="O78" s="1689"/>
      <c r="P78" s="1689"/>
      <c r="Q78" s="1689"/>
      <c r="R78" s="1689"/>
      <c r="S78" s="1689"/>
      <c r="T78" s="1689"/>
      <c r="U78" s="1689"/>
      <c r="V78" s="1689"/>
      <c r="W78" s="1689"/>
      <c r="X78" s="1689"/>
      <c r="Y78" s="1689"/>
    </row>
    <row r="79" spans="1:25" x14ac:dyDescent="0.35">
      <c r="R79" s="2"/>
      <c r="S79" s="2"/>
    </row>
    <row r="80" spans="1:25" x14ac:dyDescent="0.35">
      <c r="A80" s="78" t="s">
        <v>734</v>
      </c>
      <c r="B80" s="80"/>
      <c r="R80" s="2"/>
      <c r="S80" s="2"/>
    </row>
    <row r="81" spans="1:2" x14ac:dyDescent="0.35">
      <c r="A81" s="79" t="s">
        <v>632</v>
      </c>
      <c r="B81" s="80" t="str">
        <f>H4</f>
        <v>All American Doors</v>
      </c>
    </row>
    <row r="82" spans="1:2" x14ac:dyDescent="0.35">
      <c r="A82" s="1690" t="s">
        <v>636</v>
      </c>
      <c r="B82" s="1691" t="str">
        <f>H5</f>
        <v>Carla Martinez</v>
      </c>
    </row>
    <row r="83" spans="1:2" x14ac:dyDescent="0.35">
      <c r="A83" s="1692" t="s">
        <v>639</v>
      </c>
      <c r="B83" s="1693" t="str">
        <f>H6</f>
        <v xml:space="preserve">(786) 857-1185	</v>
      </c>
    </row>
    <row r="84" spans="1:2" x14ac:dyDescent="0.35">
      <c r="A84" s="1692" t="s">
        <v>642</v>
      </c>
      <c r="B84" s="1694" t="str">
        <f>H7</f>
        <v>carla@allamericandoors.com</v>
      </c>
    </row>
    <row r="85" spans="1:2" x14ac:dyDescent="0.35">
      <c r="A85" s="1695" t="s">
        <v>735</v>
      </c>
      <c r="B85" s="1696">
        <f>H8</f>
        <v>66970</v>
      </c>
    </row>
    <row r="87" spans="1:2" x14ac:dyDescent="0.35">
      <c r="A87" s="81"/>
      <c r="B87" s="1" t="s">
        <v>736</v>
      </c>
    </row>
    <row r="88" spans="1:2" x14ac:dyDescent="0.35">
      <c r="A88" s="82"/>
      <c r="B88" s="1" t="s">
        <v>737</v>
      </c>
    </row>
  </sheetData>
  <mergeCells count="68">
    <mergeCell ref="R7:S7"/>
    <mergeCell ref="R8:S8"/>
    <mergeCell ref="R1:S1"/>
    <mergeCell ref="R2:S2"/>
    <mergeCell ref="R3:S3"/>
    <mergeCell ref="R4:S4"/>
    <mergeCell ref="R5:S5"/>
    <mergeCell ref="R6:S6"/>
    <mergeCell ref="A53:B53"/>
    <mergeCell ref="A57:B57"/>
    <mergeCell ref="A61:B61"/>
    <mergeCell ref="A65:B65"/>
    <mergeCell ref="A69:B69"/>
    <mergeCell ref="J4:K4"/>
    <mergeCell ref="J5:K5"/>
    <mergeCell ref="J6:K6"/>
    <mergeCell ref="J7:K7"/>
    <mergeCell ref="J8:K8"/>
    <mergeCell ref="L4:M4"/>
    <mergeCell ref="L5:M5"/>
    <mergeCell ref="L6:M6"/>
    <mergeCell ref="L7:M7"/>
    <mergeCell ref="L8:M8"/>
    <mergeCell ref="H4:I4"/>
    <mergeCell ref="H5:I5"/>
    <mergeCell ref="H6:I6"/>
    <mergeCell ref="H7:I7"/>
    <mergeCell ref="H8:I8"/>
    <mergeCell ref="P4:Q4"/>
    <mergeCell ref="P5:Q5"/>
    <mergeCell ref="P6:Q6"/>
    <mergeCell ref="P7:Q7"/>
    <mergeCell ref="P8:Q8"/>
    <mergeCell ref="X4:Y4"/>
    <mergeCell ref="X5:Y5"/>
    <mergeCell ref="X6:Y6"/>
    <mergeCell ref="X7:Y7"/>
    <mergeCell ref="X8:Y8"/>
    <mergeCell ref="T4:U4"/>
    <mergeCell ref="T5:U5"/>
    <mergeCell ref="T6:U6"/>
    <mergeCell ref="T7:U7"/>
    <mergeCell ref="T8:U8"/>
    <mergeCell ref="L3:M3"/>
    <mergeCell ref="X2:Y2"/>
    <mergeCell ref="T2:U2"/>
    <mergeCell ref="H2:I2"/>
    <mergeCell ref="P2:Q2"/>
    <mergeCell ref="J2:K2"/>
    <mergeCell ref="L2:M2"/>
    <mergeCell ref="X3:Y3"/>
    <mergeCell ref="T3:U3"/>
    <mergeCell ref="H3:I3"/>
    <mergeCell ref="P3:Q3"/>
    <mergeCell ref="J3:K3"/>
    <mergeCell ref="V3:W3"/>
    <mergeCell ref="N2:O2"/>
    <mergeCell ref="N3:O3"/>
    <mergeCell ref="V4:W4"/>
    <mergeCell ref="V5:W5"/>
    <mergeCell ref="V6:W6"/>
    <mergeCell ref="V7:W7"/>
    <mergeCell ref="V8:W8"/>
    <mergeCell ref="N4:O4"/>
    <mergeCell ref="N5:O5"/>
    <mergeCell ref="N6:O6"/>
    <mergeCell ref="N7:O7"/>
    <mergeCell ref="N8:O8"/>
  </mergeCells>
  <conditionalFormatting sqref="H20:H32">
    <cfRule type="cellIs" dxfId="1993" priority="31" operator="equal">
      <formula>"X"</formula>
    </cfRule>
    <cfRule type="cellIs" dxfId="1992" priority="32" operator="equal">
      <formula>"I"</formula>
    </cfRule>
  </conditionalFormatting>
  <conditionalFormatting sqref="H34:H44">
    <cfRule type="cellIs" dxfId="1991" priority="41" operator="equal">
      <formula>"X"</formula>
    </cfRule>
    <cfRule type="cellIs" dxfId="1990" priority="42" operator="equal">
      <formula>"I"</formula>
    </cfRule>
  </conditionalFormatting>
  <conditionalFormatting sqref="J20:J32">
    <cfRule type="cellIs" dxfId="1989" priority="17" operator="equal">
      <formula>"X"</formula>
    </cfRule>
    <cfRule type="cellIs" dxfId="1988" priority="18" operator="equal">
      <formula>"I"</formula>
    </cfRule>
  </conditionalFormatting>
  <conditionalFormatting sqref="J34:J44">
    <cfRule type="cellIs" dxfId="1987" priority="45" operator="equal">
      <formula>"X"</formula>
    </cfRule>
    <cfRule type="cellIs" dxfId="1986" priority="46" operator="equal">
      <formula>"I"</formula>
    </cfRule>
  </conditionalFormatting>
  <conditionalFormatting sqref="J62">
    <cfRule type="cellIs" dxfId="1985" priority="43" operator="equal">
      <formula>"X"</formula>
    </cfRule>
    <cfRule type="cellIs" dxfId="1984" priority="44" operator="equal">
      <formula>"I"</formula>
    </cfRule>
  </conditionalFormatting>
  <conditionalFormatting sqref="L20:L32">
    <cfRule type="cellIs" dxfId="1983" priority="71" operator="equal">
      <formula>"X"</formula>
    </cfRule>
    <cfRule type="cellIs" dxfId="1982" priority="72" operator="equal">
      <formula>"I"</formula>
    </cfRule>
  </conditionalFormatting>
  <conditionalFormatting sqref="L34:L44">
    <cfRule type="cellIs" dxfId="1981" priority="33" operator="equal">
      <formula>"X"</formula>
    </cfRule>
    <cfRule type="cellIs" dxfId="1980" priority="34" operator="equal">
      <formula>"I"</formula>
    </cfRule>
  </conditionalFormatting>
  <conditionalFormatting sqref="N20:N32">
    <cfRule type="cellIs" dxfId="1979" priority="3" operator="equal">
      <formula>"X"</formula>
    </cfRule>
    <cfRule type="cellIs" dxfId="1978" priority="4" operator="equal">
      <formula>"I"</formula>
    </cfRule>
  </conditionalFormatting>
  <conditionalFormatting sqref="N34:N44">
    <cfRule type="cellIs" dxfId="1977" priority="1" operator="equal">
      <formula>"X"</formula>
    </cfRule>
    <cfRule type="cellIs" dxfId="1976" priority="2" operator="equal">
      <formula>"I"</formula>
    </cfRule>
  </conditionalFormatting>
  <conditionalFormatting sqref="P20:P32">
    <cfRule type="cellIs" dxfId="1975" priority="59" operator="equal">
      <formula>"X"</formula>
    </cfRule>
    <cfRule type="cellIs" dxfId="1974" priority="60" operator="equal">
      <formula>"I"</formula>
    </cfRule>
  </conditionalFormatting>
  <conditionalFormatting sqref="P34:P44">
    <cfRule type="cellIs" dxfId="1973" priority="15" operator="equal">
      <formula>"X"</formula>
    </cfRule>
    <cfRule type="cellIs" dxfId="1972" priority="16" operator="equal">
      <formula>"I"</formula>
    </cfRule>
  </conditionalFormatting>
  <conditionalFormatting sqref="R20:R32">
    <cfRule type="cellIs" dxfId="1971" priority="7" operator="equal">
      <formula>"X"</formula>
    </cfRule>
    <cfRule type="cellIs" dxfId="1970" priority="8" operator="equal">
      <formula>"I"</formula>
    </cfRule>
  </conditionalFormatting>
  <conditionalFormatting sqref="R34:R44">
    <cfRule type="cellIs" dxfId="1969" priority="5" operator="equal">
      <formula>"X"</formula>
    </cfRule>
    <cfRule type="cellIs" dxfId="1968" priority="6" operator="equal">
      <formula>"I"</formula>
    </cfRule>
  </conditionalFormatting>
  <conditionalFormatting sqref="R66">
    <cfRule type="cellIs" dxfId="1967" priority="9" operator="equal">
      <formula>"X"</formula>
    </cfRule>
    <cfRule type="cellIs" dxfId="1966" priority="10" operator="equal">
      <formula>"I"</formula>
    </cfRule>
  </conditionalFormatting>
  <conditionalFormatting sqref="T20:T32">
    <cfRule type="cellIs" dxfId="1965" priority="29" operator="equal">
      <formula>"X"</formula>
    </cfRule>
    <cfRule type="cellIs" dxfId="1964" priority="30" operator="equal">
      <formula>"I"</formula>
    </cfRule>
  </conditionalFormatting>
  <conditionalFormatting sqref="T34:T44">
    <cfRule type="cellIs" dxfId="1963" priority="37" operator="equal">
      <formula>"X"</formula>
    </cfRule>
    <cfRule type="cellIs" dxfId="1962" priority="38" operator="equal">
      <formula>"I"</formula>
    </cfRule>
  </conditionalFormatting>
  <conditionalFormatting sqref="V23:V32">
    <cfRule type="cellIs" dxfId="1961" priority="25" operator="equal">
      <formula>"X"</formula>
    </cfRule>
    <cfRule type="cellIs" dxfId="1960" priority="26" operator="equal">
      <formula>"I"</formula>
    </cfRule>
  </conditionalFormatting>
  <conditionalFormatting sqref="V36:V41">
    <cfRule type="cellIs" dxfId="1959" priority="39" operator="equal">
      <formula>"X"</formula>
    </cfRule>
    <cfRule type="cellIs" dxfId="1958" priority="40" operator="equal">
      <formula>"I"</formula>
    </cfRule>
  </conditionalFormatting>
  <conditionalFormatting sqref="V43:V44">
    <cfRule type="cellIs" dxfId="1957" priority="13" operator="equal">
      <formula>"X"</formula>
    </cfRule>
    <cfRule type="cellIs" dxfId="1956" priority="14" operator="equal">
      <formula>"I"</formula>
    </cfRule>
  </conditionalFormatting>
  <conditionalFormatting sqref="X20:X32">
    <cfRule type="cellIs" dxfId="1955" priority="21" operator="equal">
      <formula>"X"</formula>
    </cfRule>
    <cfRule type="cellIs" dxfId="1954" priority="22" operator="equal">
      <formula>"I"</formula>
    </cfRule>
  </conditionalFormatting>
  <conditionalFormatting sqref="X34:X44">
    <cfRule type="cellIs" dxfId="1953" priority="69" operator="equal">
      <formula>"X"</formula>
    </cfRule>
    <cfRule type="cellIs" dxfId="1952" priority="70" operator="equal">
      <formula>"I"</formula>
    </cfRule>
  </conditionalFormatting>
  <conditionalFormatting sqref="X66">
    <cfRule type="cellIs" dxfId="1951" priority="67" operator="equal">
      <formula>"X"</formula>
    </cfRule>
    <cfRule type="cellIs" dxfId="1950" priority="68" operator="equal">
      <formula>"I"</formula>
    </cfRule>
  </conditionalFormatting>
  <hyperlinks>
    <hyperlink ref="B3" location="'Cost Summary'!A1" display="BACK TO SUMMARY SHEET" xr:uid="{385CF59B-DB98-47D5-8529-B9BAB29CB031}"/>
    <hyperlink ref="T7:U7" r:id="rId1" display="mail@rolling-door.com&gt; " xr:uid="{B830F3EC-A54A-4EBC-B4A3-39E3CCEA8220}"/>
    <hyperlink ref="H7:I7" r:id="rId2" display="carla@allamericandoors.com" xr:uid="{9E758847-0E06-4849-BBD6-8E9EA4B339D3}"/>
    <hyperlink ref="P7:Q7" r:id="rId3" display="'paul@generalgaragedoor.com'" xr:uid="{D4A66238-1688-4B46-B0A8-4C2198DE9A37}"/>
    <hyperlink ref="V7:W7" r:id="rId4" display="ileana@industrialdoorsolution.com&gt; " xr:uid="{A0509298-5E34-41FA-BA0B-6D2E8E97DE2A}"/>
    <hyperlink ref="L7:M7" r:id="rId5" display="&lt;a.lowry@cqinsulation.com&gt;" xr:uid="{4174D948-E8E9-4C61-A1FE-F01C525946EF}"/>
  </hyperlinks>
  <pageMargins left="0.7" right="0.7" top="0.75" bottom="0.75" header="0.3" footer="0.3"/>
  <pageSetup orientation="portrait" r:id="rId6"/>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FE6-2C5C-4C25-AABF-990EDFBD7E0D}">
  <sheetPr>
    <tabColor rgb="FFFFC000"/>
  </sheetPr>
  <dimension ref="A1:AO167"/>
  <sheetViews>
    <sheetView zoomScale="86" zoomScaleNormal="86" workbookViewId="0">
      <pane xSplit="2" ySplit="19" topLeftCell="F132" activePane="bottomRight" state="frozen"/>
      <selection pane="topRight" activeCell="C1" sqref="C1"/>
      <selection pane="bottomLeft" activeCell="A10" sqref="A10"/>
      <selection pane="bottomRight" activeCell="S144" sqref="S144"/>
    </sheetView>
  </sheetViews>
  <sheetFormatPr defaultRowHeight="15" customHeight="1" x14ac:dyDescent="0.35"/>
  <cols>
    <col min="1" max="1" width="11" customWidth="1"/>
    <col min="2" max="2" width="74.7265625" style="1" customWidth="1"/>
    <col min="3" max="3" width="10.81640625" style="2" bestFit="1" customWidth="1"/>
    <col min="4" max="4" width="6.54296875" style="2" bestFit="1" customWidth="1"/>
    <col min="5" max="5" width="7.54296875" style="2" customWidth="1"/>
    <col min="6" max="6" width="10.81640625" style="2" customWidth="1"/>
    <col min="7" max="7" width="12.26953125" style="2" customWidth="1"/>
    <col min="8" max="8" width="7.54296875" style="2" hidden="1" customWidth="1"/>
    <col min="9" max="9" width="12.26953125" style="2" hidden="1" customWidth="1"/>
    <col min="10" max="10" width="7.453125" style="2" hidden="1" customWidth="1"/>
    <col min="11" max="11" width="14.81640625" style="2" hidden="1" customWidth="1"/>
    <col min="12" max="12" width="8.54296875" style="2" customWidth="1"/>
    <col min="13" max="13" width="15.1796875" style="2" customWidth="1"/>
    <col min="14" max="14" width="8" style="2" hidden="1" customWidth="1"/>
    <col min="15" max="15" width="13.81640625" style="2" hidden="1" customWidth="1"/>
    <col min="16" max="16" width="8" style="2" customWidth="1"/>
    <col min="17" max="17" width="13.81640625" style="2" customWidth="1"/>
    <col min="18" max="18" width="7.7265625" style="2" customWidth="1"/>
    <col min="19" max="19" width="14.81640625" style="2" customWidth="1"/>
    <col min="20" max="20" width="7.7265625" style="2" customWidth="1"/>
    <col min="21" max="21" width="14.81640625" style="2" customWidth="1"/>
    <col min="22" max="22" width="7.26953125" style="2" customWidth="1"/>
    <col min="23" max="23" width="13.81640625" style="2" customWidth="1"/>
    <col min="24" max="24" width="7" style="2" customWidth="1"/>
    <col min="25" max="25" width="13.81640625" style="2" customWidth="1"/>
    <col min="26" max="26" width="7.26953125" style="2" customWidth="1"/>
    <col min="27" max="27" width="17" style="2" customWidth="1"/>
    <col min="28" max="28" width="7.1796875" style="2" customWidth="1"/>
    <col min="29" max="29" width="21.453125" style="2" customWidth="1"/>
    <col min="30" max="30" width="7.453125" style="2" customWidth="1"/>
    <col min="31" max="31" width="14.81640625" style="2" customWidth="1"/>
    <col min="32" max="32" width="7.1796875" style="2" customWidth="1"/>
    <col min="33" max="33" width="17" style="2" customWidth="1"/>
    <col min="34" max="34" width="7.81640625" style="2" customWidth="1"/>
    <col min="35" max="35" width="13.81640625" style="2" customWidth="1"/>
    <col min="36" max="36" width="6.453125" style="2" customWidth="1"/>
    <col min="37" max="37" width="13.81640625" style="2" customWidth="1"/>
    <col min="38" max="38" width="8.54296875" style="2" customWidth="1"/>
    <col min="39" max="39" width="13.81640625" style="2" customWidth="1"/>
    <col min="41" max="41" width="17.453125" customWidth="1"/>
  </cols>
  <sheetData>
    <row r="1" spans="1:41" ht="14.5" x14ac:dyDescent="0.35">
      <c r="E1" s="152"/>
      <c r="F1" s="125"/>
      <c r="G1" s="123" t="s">
        <v>621</v>
      </c>
      <c r="H1" s="3785"/>
      <c r="I1" s="3785"/>
      <c r="L1" s="3785" t="s">
        <v>770</v>
      </c>
      <c r="M1" s="3785"/>
      <c r="N1" s="3785"/>
      <c r="O1" s="3785"/>
      <c r="P1" s="3785" t="s">
        <v>770</v>
      </c>
      <c r="Q1" s="3785"/>
      <c r="R1" s="3785" t="s">
        <v>770</v>
      </c>
      <c r="S1" s="3785"/>
      <c r="X1" s="3785" t="s">
        <v>2033</v>
      </c>
      <c r="Y1" s="3785"/>
      <c r="Z1" s="3896" t="s">
        <v>2034</v>
      </c>
      <c r="AA1" s="3896"/>
      <c r="AB1" s="3785" t="s">
        <v>2035</v>
      </c>
      <c r="AC1" s="3785"/>
      <c r="AF1" s="3785"/>
      <c r="AG1" s="3785"/>
      <c r="AK1" s="325"/>
      <c r="AN1" s="2"/>
      <c r="AO1" s="2"/>
    </row>
    <row r="2" spans="1:41" ht="15.75" customHeight="1" x14ac:dyDescent="0.35">
      <c r="E2" s="152"/>
      <c r="F2" s="122" t="s">
        <v>622</v>
      </c>
      <c r="G2" s="123" t="s">
        <v>451</v>
      </c>
      <c r="H2" s="3751" t="s">
        <v>2036</v>
      </c>
      <c r="I2" s="3751"/>
      <c r="J2" s="3866"/>
      <c r="K2" s="3866"/>
      <c r="L2" s="3866" t="s">
        <v>2037</v>
      </c>
      <c r="M2" s="3866"/>
      <c r="N2" s="3866" t="s">
        <v>2038</v>
      </c>
      <c r="O2" s="3866"/>
      <c r="P2" s="3866" t="s">
        <v>2039</v>
      </c>
      <c r="Q2" s="3866"/>
      <c r="R2" s="3866" t="s">
        <v>1174</v>
      </c>
      <c r="S2" s="3866"/>
      <c r="T2" s="3866" t="s">
        <v>2040</v>
      </c>
      <c r="U2" s="3866"/>
      <c r="V2" s="3866"/>
      <c r="W2" s="3866"/>
      <c r="X2" s="3866"/>
      <c r="Y2" s="3866"/>
      <c r="Z2" s="3895" t="s">
        <v>2041</v>
      </c>
      <c r="AA2" s="3895"/>
      <c r="AB2" s="3866" t="s">
        <v>2042</v>
      </c>
      <c r="AC2" s="3866"/>
      <c r="AD2" s="3866"/>
      <c r="AE2" s="3866"/>
      <c r="AF2" s="3751"/>
      <c r="AG2" s="3751"/>
      <c r="AH2" s="3866" t="s">
        <v>2043</v>
      </c>
      <c r="AI2" s="3866"/>
      <c r="AJ2" s="3751" t="s">
        <v>1545</v>
      </c>
      <c r="AK2" s="3751"/>
      <c r="AL2" s="3751" t="s">
        <v>1545</v>
      </c>
      <c r="AM2" s="3751"/>
      <c r="AN2" s="3751" t="s">
        <v>1545</v>
      </c>
      <c r="AO2" s="3751"/>
    </row>
    <row r="3" spans="1:41" ht="19.5" x14ac:dyDescent="0.35">
      <c r="B3" s="137" t="s">
        <v>623</v>
      </c>
      <c r="E3" s="152"/>
      <c r="F3" s="124" t="s">
        <v>624</v>
      </c>
      <c r="G3" s="123" t="s">
        <v>557</v>
      </c>
      <c r="H3" s="3891" t="s">
        <v>625</v>
      </c>
      <c r="I3" s="3892"/>
      <c r="J3" s="3754" t="s">
        <v>625</v>
      </c>
      <c r="K3" s="3755"/>
      <c r="L3" s="3778" t="s">
        <v>625</v>
      </c>
      <c r="M3" s="3779"/>
      <c r="N3" s="3778" t="s">
        <v>626</v>
      </c>
      <c r="O3" s="3779"/>
      <c r="P3" s="3778" t="s">
        <v>626</v>
      </c>
      <c r="Q3" s="3779"/>
      <c r="R3" s="3778" t="s">
        <v>627</v>
      </c>
      <c r="S3" s="3779"/>
      <c r="T3" s="3772" t="s">
        <v>2044</v>
      </c>
      <c r="U3" s="3773"/>
      <c r="V3" s="3778" t="s">
        <v>628</v>
      </c>
      <c r="W3" s="3779"/>
      <c r="X3" s="3754" t="s">
        <v>772</v>
      </c>
      <c r="Y3" s="3755"/>
      <c r="Z3" s="3754" t="s">
        <v>773</v>
      </c>
      <c r="AA3" s="3755"/>
      <c r="AB3" s="3754" t="s">
        <v>1550</v>
      </c>
      <c r="AC3" s="3755"/>
      <c r="AD3" s="3754" t="s">
        <v>1678</v>
      </c>
      <c r="AE3" s="3755"/>
      <c r="AF3" s="3754" t="s">
        <v>2045</v>
      </c>
      <c r="AG3" s="3755"/>
      <c r="AH3" s="3754" t="s">
        <v>772</v>
      </c>
      <c r="AI3" s="3755"/>
      <c r="AJ3" s="3754" t="s">
        <v>626</v>
      </c>
      <c r="AK3" s="3755"/>
      <c r="AL3" s="3754" t="s">
        <v>773</v>
      </c>
      <c r="AM3" s="3755"/>
      <c r="AN3" s="3754" t="s">
        <v>773</v>
      </c>
      <c r="AO3" s="3755"/>
    </row>
    <row r="4" spans="1:41" ht="14.5" x14ac:dyDescent="0.35">
      <c r="A4" s="3" t="s">
        <v>631</v>
      </c>
      <c r="B4" s="4" t="str">
        <f>'AREA CALC''s'!B4</f>
        <v>Alton Hilltop Gardens</v>
      </c>
      <c r="C4" s="5"/>
      <c r="D4" s="5"/>
      <c r="E4" s="5"/>
      <c r="F4" s="5"/>
      <c r="G4" s="6" t="s">
        <v>632</v>
      </c>
      <c r="H4" s="3752" t="s">
        <v>2046</v>
      </c>
      <c r="I4" s="3753"/>
      <c r="J4" s="3752" t="s">
        <v>1069</v>
      </c>
      <c r="K4" s="3753"/>
      <c r="L4" s="3752" t="s">
        <v>2047</v>
      </c>
      <c r="M4" s="3753"/>
      <c r="N4" s="3752" t="s">
        <v>2048</v>
      </c>
      <c r="O4" s="3753"/>
      <c r="P4" s="3752" t="s">
        <v>1142</v>
      </c>
      <c r="Q4" s="3753"/>
      <c r="R4" s="3752" t="s">
        <v>1069</v>
      </c>
      <c r="S4" s="3753"/>
      <c r="T4" s="3752" t="s">
        <v>1069</v>
      </c>
      <c r="U4" s="3753"/>
      <c r="V4" s="3752" t="s">
        <v>2049</v>
      </c>
      <c r="W4" s="3753"/>
      <c r="X4" s="3752" t="s">
        <v>2050</v>
      </c>
      <c r="Y4" s="3753"/>
      <c r="Z4" s="3752" t="s">
        <v>2051</v>
      </c>
      <c r="AA4" s="3753"/>
      <c r="AB4" s="3752" t="s">
        <v>2052</v>
      </c>
      <c r="AC4" s="3753"/>
      <c r="AD4" s="3752" t="s">
        <v>2053</v>
      </c>
      <c r="AE4" s="3753"/>
      <c r="AF4" s="3752" t="s">
        <v>2054</v>
      </c>
      <c r="AG4" s="3753"/>
      <c r="AH4" s="3752" t="s">
        <v>2055</v>
      </c>
      <c r="AI4" s="3753"/>
      <c r="AJ4" s="3766" t="s">
        <v>2056</v>
      </c>
      <c r="AK4" s="3767"/>
      <c r="AL4" s="3796" t="s">
        <v>2057</v>
      </c>
      <c r="AM4" s="3753"/>
      <c r="AN4" s="3796" t="s">
        <v>2058</v>
      </c>
      <c r="AO4" s="3753"/>
    </row>
    <row r="5" spans="1:41" ht="14.5" x14ac:dyDescent="0.35">
      <c r="A5" s="1697" t="s">
        <v>634</v>
      </c>
      <c r="B5" s="1698" t="s">
        <v>501</v>
      </c>
      <c r="C5" s="1699"/>
      <c r="D5" s="1699"/>
      <c r="E5" s="1699"/>
      <c r="F5" s="1699"/>
      <c r="G5" s="643" t="s">
        <v>636</v>
      </c>
      <c r="H5" s="3880" t="s">
        <v>2059</v>
      </c>
      <c r="I5" s="3759"/>
      <c r="J5" s="3880" t="s">
        <v>1076</v>
      </c>
      <c r="K5" s="3759"/>
      <c r="L5" s="3880" t="s">
        <v>2060</v>
      </c>
      <c r="M5" s="3759"/>
      <c r="N5" s="3880" t="s">
        <v>2061</v>
      </c>
      <c r="O5" s="3759"/>
      <c r="P5" s="3880" t="s">
        <v>2061</v>
      </c>
      <c r="Q5" s="3759"/>
      <c r="R5" s="3880" t="s">
        <v>1076</v>
      </c>
      <c r="S5" s="3759"/>
      <c r="T5" s="3880" t="s">
        <v>1076</v>
      </c>
      <c r="U5" s="3759"/>
      <c r="V5" s="3880" t="s">
        <v>2062</v>
      </c>
      <c r="W5" s="3759"/>
      <c r="X5" s="3880" t="s">
        <v>2063</v>
      </c>
      <c r="Y5" s="3759"/>
      <c r="Z5" s="3880" t="s">
        <v>2064</v>
      </c>
      <c r="AA5" s="3759"/>
      <c r="AB5" s="3880" t="s">
        <v>2065</v>
      </c>
      <c r="AC5" s="3759"/>
      <c r="AD5" s="3880" t="s">
        <v>2066</v>
      </c>
      <c r="AE5" s="3759"/>
      <c r="AF5" s="3880" t="s">
        <v>2067</v>
      </c>
      <c r="AG5" s="3759"/>
      <c r="AH5" s="3880" t="s">
        <v>2068</v>
      </c>
      <c r="AI5" s="3759"/>
      <c r="AJ5" s="3893" t="s">
        <v>2069</v>
      </c>
      <c r="AK5" s="3769"/>
      <c r="AL5" s="3890"/>
      <c r="AM5" s="3759"/>
      <c r="AN5" s="3890"/>
      <c r="AO5" s="3759"/>
    </row>
    <row r="6" spans="1:41" ht="14.5" x14ac:dyDescent="0.35">
      <c r="A6" s="1697" t="s">
        <v>638</v>
      </c>
      <c r="B6" s="1700" t="s">
        <v>500</v>
      </c>
      <c r="C6" s="1699"/>
      <c r="D6" s="1699"/>
      <c r="E6" s="1699"/>
      <c r="F6" s="1699"/>
      <c r="G6" s="643" t="s">
        <v>639</v>
      </c>
      <c r="H6" s="3881" t="s">
        <v>2070</v>
      </c>
      <c r="I6" s="3757"/>
      <c r="J6" s="3881" t="s">
        <v>1082</v>
      </c>
      <c r="K6" s="3757"/>
      <c r="L6" s="3881"/>
      <c r="M6" s="3757"/>
      <c r="N6" s="3881" t="s">
        <v>2071</v>
      </c>
      <c r="O6" s="3757"/>
      <c r="P6" s="3881" t="s">
        <v>2071</v>
      </c>
      <c r="Q6" s="3757"/>
      <c r="R6" s="3881" t="s">
        <v>1082</v>
      </c>
      <c r="S6" s="3757"/>
      <c r="T6" s="3881" t="s">
        <v>1082</v>
      </c>
      <c r="U6" s="3757"/>
      <c r="V6" s="3893" t="s">
        <v>2072</v>
      </c>
      <c r="W6" s="3769"/>
      <c r="X6" s="3880" t="s">
        <v>2073</v>
      </c>
      <c r="Y6" s="3759"/>
      <c r="Z6" s="3881" t="s">
        <v>2074</v>
      </c>
      <c r="AA6" s="3757"/>
      <c r="AB6" s="3881" t="s">
        <v>2075</v>
      </c>
      <c r="AC6" s="3757"/>
      <c r="AD6" s="3881" t="s">
        <v>2076</v>
      </c>
      <c r="AE6" s="3757"/>
      <c r="AF6" s="3881" t="s">
        <v>2077</v>
      </c>
      <c r="AG6" s="3757"/>
      <c r="AH6" s="3881" t="s">
        <v>2078</v>
      </c>
      <c r="AI6" s="3757"/>
      <c r="AJ6" s="3893" t="s">
        <v>2079</v>
      </c>
      <c r="AK6" s="3769"/>
      <c r="AL6" s="3836"/>
      <c r="AM6" s="3757"/>
      <c r="AN6" s="3836"/>
      <c r="AO6" s="3757"/>
    </row>
    <row r="7" spans="1:41" ht="14.5" x14ac:dyDescent="0.35">
      <c r="A7" s="1697" t="s">
        <v>641</v>
      </c>
      <c r="B7" s="1702"/>
      <c r="C7" s="1699"/>
      <c r="D7" s="1699"/>
      <c r="E7" s="1699"/>
      <c r="F7" s="1699"/>
      <c r="G7" s="643" t="s">
        <v>642</v>
      </c>
      <c r="H7" s="3879" t="s">
        <v>2080</v>
      </c>
      <c r="I7" s="3763"/>
      <c r="J7" s="3879" t="s">
        <v>1088</v>
      </c>
      <c r="K7" s="3763"/>
      <c r="L7" s="3879" t="s">
        <v>2081</v>
      </c>
      <c r="M7" s="3763"/>
      <c r="N7" s="3879" t="s">
        <v>2082</v>
      </c>
      <c r="O7" s="3763"/>
      <c r="P7" s="3879" t="s">
        <v>2082</v>
      </c>
      <c r="Q7" s="3763"/>
      <c r="R7" s="3879" t="s">
        <v>1088</v>
      </c>
      <c r="S7" s="3763"/>
      <c r="T7" s="3879" t="s">
        <v>1088</v>
      </c>
      <c r="U7" s="3763"/>
      <c r="V7" s="3879" t="s">
        <v>2083</v>
      </c>
      <c r="W7" s="3763"/>
      <c r="X7" s="3879" t="s">
        <v>2084</v>
      </c>
      <c r="Y7" s="3763"/>
      <c r="Z7" s="3879" t="s">
        <v>2085</v>
      </c>
      <c r="AA7" s="3763"/>
      <c r="AB7" s="3879" t="s">
        <v>2086</v>
      </c>
      <c r="AC7" s="3763"/>
      <c r="AD7" s="3879" t="s">
        <v>2087</v>
      </c>
      <c r="AE7" s="3763"/>
      <c r="AF7" s="3879" t="s">
        <v>2088</v>
      </c>
      <c r="AG7" s="3763"/>
      <c r="AH7" s="3879" t="s">
        <v>2089</v>
      </c>
      <c r="AI7" s="3763"/>
      <c r="AJ7" s="3894" t="s">
        <v>2090</v>
      </c>
      <c r="AK7" s="3775"/>
      <c r="AL7" s="3833"/>
      <c r="AM7" s="3763"/>
      <c r="AN7" s="3833"/>
      <c r="AO7" s="3763"/>
    </row>
    <row r="8" spans="1:41" ht="15.75" customHeight="1" x14ac:dyDescent="0.35">
      <c r="A8" s="938" t="s">
        <v>644</v>
      </c>
      <c r="B8" s="939"/>
      <c r="C8" s="940"/>
      <c r="D8" s="940"/>
      <c r="E8" s="940"/>
      <c r="F8" s="940"/>
      <c r="G8" s="1024" t="s">
        <v>644</v>
      </c>
      <c r="H8" s="3877">
        <f>I127</f>
        <v>2473004.4500000002</v>
      </c>
      <c r="I8" s="3878"/>
      <c r="J8" s="3877">
        <f>K127</f>
        <v>3068780</v>
      </c>
      <c r="K8" s="3878"/>
      <c r="L8" s="3877">
        <f>M127</f>
        <v>2748727.52</v>
      </c>
      <c r="M8" s="3878"/>
      <c r="N8" s="3877">
        <f>O127</f>
        <v>3010775</v>
      </c>
      <c r="O8" s="3878"/>
      <c r="P8" s="3877">
        <f>Q127</f>
        <v>2986825</v>
      </c>
      <c r="Q8" s="3878"/>
      <c r="R8" s="3877">
        <f>S127</f>
        <v>3099146.27</v>
      </c>
      <c r="S8" s="3878"/>
      <c r="T8" s="3877">
        <f>U127</f>
        <v>3029956.27</v>
      </c>
      <c r="U8" s="3878"/>
      <c r="V8" s="3877">
        <f>W127</f>
        <v>3031984.5</v>
      </c>
      <c r="W8" s="3878"/>
      <c r="X8" s="3877">
        <f>Y127</f>
        <v>3015637</v>
      </c>
      <c r="Y8" s="3878"/>
      <c r="Z8" s="3877">
        <f>AA127</f>
        <v>3135258.875</v>
      </c>
      <c r="AA8" s="3878"/>
      <c r="AB8" s="3877">
        <f>AC127</f>
        <v>3204780</v>
      </c>
      <c r="AC8" s="3878"/>
      <c r="AD8" s="3877">
        <f>AE127</f>
        <v>3371078.41</v>
      </c>
      <c r="AE8" s="3878"/>
      <c r="AF8" s="3877">
        <f>AG127</f>
        <v>3914838.8000000003</v>
      </c>
      <c r="AG8" s="3878"/>
      <c r="AH8" s="3877">
        <f>AI127</f>
        <v>55811.99</v>
      </c>
      <c r="AI8" s="3878"/>
      <c r="AJ8" s="3877">
        <f>AK127</f>
        <v>4402761.76</v>
      </c>
      <c r="AK8" s="3878"/>
      <c r="AL8" s="3888">
        <f>AM127</f>
        <v>5406241.1200000001</v>
      </c>
      <c r="AM8" s="3889"/>
      <c r="AN8" s="3888">
        <f>AO127</f>
        <v>5035000</v>
      </c>
      <c r="AO8" s="3889"/>
    </row>
    <row r="9" spans="1:4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c r="AC9" s="11"/>
      <c r="AD9" s="11" t="s">
        <v>651</v>
      </c>
      <c r="AE9" s="11" t="s">
        <v>652</v>
      </c>
      <c r="AF9" s="11" t="s">
        <v>651</v>
      </c>
      <c r="AG9" s="11" t="s">
        <v>652</v>
      </c>
      <c r="AH9" s="11" t="s">
        <v>651</v>
      </c>
      <c r="AI9" s="11" t="s">
        <v>652</v>
      </c>
      <c r="AJ9" s="11" t="s">
        <v>651</v>
      </c>
      <c r="AK9" s="11" t="s">
        <v>652</v>
      </c>
      <c r="AL9" s="11" t="s">
        <v>651</v>
      </c>
      <c r="AM9" s="11" t="s">
        <v>652</v>
      </c>
      <c r="AN9" s="11" t="s">
        <v>651</v>
      </c>
      <c r="AO9" s="11" t="s">
        <v>652</v>
      </c>
    </row>
    <row r="10" spans="1:41" ht="14.5" hidden="1" x14ac:dyDescent="0.35">
      <c r="A10" s="1703"/>
      <c r="B10" s="1628" t="s">
        <v>653</v>
      </c>
      <c r="C10" s="1699"/>
      <c r="D10" s="1699"/>
      <c r="E10" s="1699"/>
      <c r="F10" s="1699"/>
      <c r="G10" s="646"/>
      <c r="H10" s="1704"/>
      <c r="I10" s="1704"/>
      <c r="J10" s="1704"/>
      <c r="K10" s="1704"/>
      <c r="L10" s="1704"/>
      <c r="M10" s="1704"/>
      <c r="N10" s="1704"/>
      <c r="O10" s="1704"/>
      <c r="P10" s="1704"/>
      <c r="Q10" s="1704"/>
      <c r="R10" s="1704"/>
      <c r="S10" s="1704"/>
      <c r="T10" s="1704"/>
      <c r="U10" s="1704"/>
      <c r="V10" s="1704"/>
      <c r="W10" s="1704"/>
      <c r="X10" s="1704"/>
      <c r="Y10" s="1704"/>
      <c r="Z10" s="1704"/>
      <c r="AA10" s="1704"/>
      <c r="AB10" s="1704"/>
      <c r="AC10" s="1704"/>
      <c r="AD10" s="1704"/>
      <c r="AE10" s="1704"/>
      <c r="AF10" s="1704"/>
      <c r="AG10" s="1704"/>
      <c r="AH10" s="1704"/>
      <c r="AI10" s="1704"/>
      <c r="AJ10" s="1704"/>
      <c r="AK10" s="1704"/>
      <c r="AL10" s="1704"/>
      <c r="AM10" s="1704"/>
      <c r="AN10" s="1704"/>
      <c r="AO10" s="1704"/>
    </row>
    <row r="11" spans="1:41" ht="14.5" hidden="1" x14ac:dyDescent="0.35">
      <c r="A11" s="1703"/>
      <c r="B11" s="1698" t="e">
        <f>#REF!</f>
        <v>#REF!</v>
      </c>
      <c r="C11" s="1705" t="s">
        <v>654</v>
      </c>
      <c r="D11" s="1699"/>
      <c r="E11" s="1699"/>
      <c r="F11" s="1699"/>
      <c r="G11" s="646"/>
      <c r="H11" s="1704"/>
      <c r="I11" s="1704"/>
      <c r="J11" s="1704"/>
      <c r="K11" s="1704"/>
      <c r="L11" s="1704"/>
      <c r="M11" s="1704"/>
      <c r="N11" s="1704"/>
      <c r="O11" s="1704"/>
      <c r="P11" s="1704"/>
      <c r="Q11" s="1704"/>
      <c r="R11" s="1704"/>
      <c r="S11" s="1704"/>
      <c r="T11" s="1704"/>
      <c r="U11" s="1704"/>
      <c r="V11" s="1704"/>
      <c r="W11" s="1704"/>
      <c r="X11" s="1704"/>
      <c r="Y11" s="1704"/>
      <c r="Z11" s="1704"/>
      <c r="AA11" s="1704"/>
      <c r="AB11" s="1704"/>
      <c r="AC11" s="1704"/>
      <c r="AD11" s="1704"/>
      <c r="AE11" s="1704"/>
      <c r="AF11" s="1704"/>
      <c r="AG11" s="1704"/>
      <c r="AH11" s="1704"/>
      <c r="AI11" s="1704"/>
      <c r="AJ11" s="1704"/>
      <c r="AK11" s="1704"/>
      <c r="AL11" s="1704"/>
      <c r="AM11" s="1704"/>
      <c r="AN11" s="1704"/>
      <c r="AO11" s="1704"/>
    </row>
    <row r="12" spans="1:41" ht="14.5" hidden="1" x14ac:dyDescent="0.35">
      <c r="A12" s="1703"/>
      <c r="B12" s="1698" t="e">
        <f>#REF!</f>
        <v>#REF!</v>
      </c>
      <c r="C12" s="1705" t="s">
        <v>654</v>
      </c>
      <c r="D12" s="1699"/>
      <c r="E12" s="1699"/>
      <c r="F12" s="1699"/>
      <c r="G12" s="646"/>
      <c r="H12" s="1704"/>
      <c r="I12" s="1704"/>
      <c r="J12" s="1704"/>
      <c r="K12" s="1704"/>
      <c r="L12" s="1704"/>
      <c r="M12" s="1704"/>
      <c r="N12" s="1704"/>
      <c r="O12" s="1704"/>
      <c r="P12" s="1704"/>
      <c r="Q12" s="1704"/>
      <c r="R12" s="1704"/>
      <c r="S12" s="1704"/>
      <c r="T12" s="1704"/>
      <c r="U12" s="1704"/>
      <c r="V12" s="1704"/>
      <c r="W12" s="1704"/>
      <c r="X12" s="1704"/>
      <c r="Y12" s="1704"/>
      <c r="Z12" s="1704"/>
      <c r="AA12" s="1704"/>
      <c r="AB12" s="1704"/>
      <c r="AC12" s="1704"/>
      <c r="AD12" s="1704"/>
      <c r="AE12" s="1704"/>
      <c r="AF12" s="1704"/>
      <c r="AG12" s="1704"/>
      <c r="AH12" s="1704"/>
      <c r="AI12" s="1704"/>
      <c r="AJ12" s="1704"/>
      <c r="AK12" s="1704"/>
      <c r="AL12" s="1704"/>
      <c r="AM12" s="1704"/>
      <c r="AN12" s="1704"/>
      <c r="AO12" s="1704"/>
    </row>
    <row r="13" spans="1:41" ht="14.5" hidden="1" x14ac:dyDescent="0.35">
      <c r="A13" s="1703"/>
      <c r="B13" s="1698" t="e">
        <f>#REF!</f>
        <v>#REF!</v>
      </c>
      <c r="C13" s="1705" t="s">
        <v>654</v>
      </c>
      <c r="D13" s="1699"/>
      <c r="E13" s="1699"/>
      <c r="F13" s="1699"/>
      <c r="G13" s="646"/>
      <c r="H13" s="1704"/>
      <c r="I13" s="1704"/>
      <c r="J13" s="1704"/>
      <c r="K13" s="1704"/>
      <c r="L13" s="1704"/>
      <c r="M13" s="1704"/>
      <c r="N13" s="1704"/>
      <c r="O13" s="1704"/>
      <c r="P13" s="1704"/>
      <c r="Q13" s="1704"/>
      <c r="R13" s="1704"/>
      <c r="S13" s="1704"/>
      <c r="T13" s="1704"/>
      <c r="U13" s="1704"/>
      <c r="V13" s="1704"/>
      <c r="W13" s="1704"/>
      <c r="X13" s="1704"/>
      <c r="Y13" s="1704"/>
      <c r="Z13" s="1704"/>
      <c r="AA13" s="1704"/>
      <c r="AB13" s="1704"/>
      <c r="AC13" s="1704"/>
      <c r="AD13" s="1704"/>
      <c r="AE13" s="1704"/>
      <c r="AF13" s="1704"/>
      <c r="AG13" s="1704"/>
      <c r="AH13" s="1704"/>
      <c r="AI13" s="1704"/>
      <c r="AJ13" s="1704"/>
      <c r="AK13" s="1704"/>
      <c r="AL13" s="1704"/>
      <c r="AM13" s="1704"/>
      <c r="AN13" s="1704"/>
      <c r="AO13" s="1704"/>
    </row>
    <row r="14" spans="1:41" ht="14.5" hidden="1" x14ac:dyDescent="0.35">
      <c r="A14" s="1703"/>
      <c r="B14" s="1698" t="e">
        <f>#REF!</f>
        <v>#REF!</v>
      </c>
      <c r="C14" s="1705" t="s">
        <v>654</v>
      </c>
      <c r="D14" s="1699"/>
      <c r="E14" s="1699"/>
      <c r="F14" s="1699"/>
      <c r="G14" s="646"/>
      <c r="H14" s="1704"/>
      <c r="I14" s="1704"/>
      <c r="J14" s="1704"/>
      <c r="K14" s="1704"/>
      <c r="L14" s="1704"/>
      <c r="M14" s="1704"/>
      <c r="N14" s="1704"/>
      <c r="O14" s="1704"/>
      <c r="P14" s="1704"/>
      <c r="Q14" s="1704"/>
      <c r="R14" s="1704"/>
      <c r="S14" s="1704"/>
      <c r="T14" s="1704"/>
      <c r="U14" s="1704"/>
      <c r="V14" s="1704"/>
      <c r="W14" s="1704"/>
      <c r="X14" s="1704"/>
      <c r="Y14" s="1704"/>
      <c r="Z14" s="1704"/>
      <c r="AA14" s="1704"/>
      <c r="AB14" s="1704"/>
      <c r="AC14" s="1704"/>
      <c r="AD14" s="1704"/>
      <c r="AE14" s="1704"/>
      <c r="AF14" s="1704"/>
      <c r="AG14" s="1704"/>
      <c r="AH14" s="1704"/>
      <c r="AI14" s="1704"/>
      <c r="AJ14" s="1704"/>
      <c r="AK14" s="1704"/>
      <c r="AL14" s="1704"/>
      <c r="AM14" s="1704"/>
      <c r="AN14" s="1704"/>
      <c r="AO14" s="1704"/>
    </row>
    <row r="15" spans="1:41" ht="14.5" hidden="1" x14ac:dyDescent="0.35">
      <c r="A15" s="1703"/>
      <c r="B15" s="1698" t="e">
        <f>#REF!</f>
        <v>#REF!</v>
      </c>
      <c r="C15" s="1705" t="s">
        <v>654</v>
      </c>
      <c r="D15" s="1699"/>
      <c r="E15" s="1699"/>
      <c r="F15" s="1699"/>
      <c r="G15" s="646"/>
      <c r="H15" s="1704"/>
      <c r="I15" s="1704"/>
      <c r="J15" s="1704"/>
      <c r="K15" s="1704"/>
      <c r="L15" s="1704"/>
      <c r="M15" s="1704"/>
      <c r="N15" s="1704"/>
      <c r="O15" s="1704"/>
      <c r="P15" s="1704"/>
      <c r="Q15" s="1704"/>
      <c r="R15" s="1704"/>
      <c r="S15" s="1704"/>
      <c r="T15" s="1704"/>
      <c r="U15" s="1704"/>
      <c r="V15" s="1704"/>
      <c r="W15" s="1704"/>
      <c r="X15" s="1704"/>
      <c r="Y15" s="1704"/>
      <c r="Z15" s="1704"/>
      <c r="AA15" s="1704"/>
      <c r="AB15" s="1704"/>
      <c r="AC15" s="1704"/>
      <c r="AD15" s="1704"/>
      <c r="AE15" s="1704"/>
      <c r="AF15" s="1704"/>
      <c r="AG15" s="1704"/>
      <c r="AH15" s="1704"/>
      <c r="AI15" s="1704"/>
      <c r="AJ15" s="1704"/>
      <c r="AK15" s="1704"/>
      <c r="AL15" s="1704"/>
      <c r="AM15" s="1704"/>
      <c r="AN15" s="1704"/>
      <c r="AO15" s="1704"/>
    </row>
    <row r="16" spans="1:41" ht="14.5" hidden="1" x14ac:dyDescent="0.35">
      <c r="A16" s="1703"/>
      <c r="B16" s="1698" t="e">
        <f>#REF!</f>
        <v>#REF!</v>
      </c>
      <c r="C16" s="1705" t="s">
        <v>654</v>
      </c>
      <c r="D16" s="1699"/>
      <c r="E16" s="1699"/>
      <c r="F16" s="1699"/>
      <c r="G16" s="646"/>
      <c r="H16" s="1704"/>
      <c r="I16" s="1704"/>
      <c r="J16" s="1704"/>
      <c r="K16" s="1704"/>
      <c r="L16" s="1704"/>
      <c r="M16" s="1704"/>
      <c r="N16" s="1704"/>
      <c r="O16" s="1704"/>
      <c r="P16" s="1704"/>
      <c r="Q16" s="1704"/>
      <c r="R16" s="1704"/>
      <c r="S16" s="1704"/>
      <c r="T16" s="1704"/>
      <c r="U16" s="1704"/>
      <c r="V16" s="1704"/>
      <c r="W16" s="1704"/>
      <c r="X16" s="1704"/>
      <c r="Y16" s="1704"/>
      <c r="Z16" s="1704"/>
      <c r="AA16" s="1704"/>
      <c r="AB16" s="1704"/>
      <c r="AC16" s="1704"/>
      <c r="AD16" s="1704"/>
      <c r="AE16" s="1704"/>
      <c r="AF16" s="1704"/>
      <c r="AG16" s="1704"/>
      <c r="AH16" s="1704"/>
      <c r="AI16" s="1704"/>
      <c r="AJ16" s="1704"/>
      <c r="AK16" s="1704"/>
      <c r="AL16" s="1704"/>
      <c r="AM16" s="1704"/>
      <c r="AN16" s="1704"/>
      <c r="AO16" s="1704"/>
    </row>
    <row r="17" spans="1:41" ht="14.5" hidden="1" x14ac:dyDescent="0.35">
      <c r="A17" s="1703"/>
      <c r="B17" s="1698" t="e">
        <f>#REF!</f>
        <v>#REF!</v>
      </c>
      <c r="C17" s="1705" t="s">
        <v>654</v>
      </c>
      <c r="D17" s="1699"/>
      <c r="E17" s="1699"/>
      <c r="F17" s="1699"/>
      <c r="G17" s="646"/>
      <c r="H17" s="1704"/>
      <c r="I17" s="1704"/>
      <c r="J17" s="1704"/>
      <c r="K17" s="1704"/>
      <c r="L17" s="1704"/>
      <c r="M17" s="1704"/>
      <c r="N17" s="1704"/>
      <c r="O17" s="1704"/>
      <c r="P17" s="1704"/>
      <c r="Q17" s="1704"/>
      <c r="R17" s="1704"/>
      <c r="S17" s="1704"/>
      <c r="T17" s="1704"/>
      <c r="U17" s="1704"/>
      <c r="V17" s="1704"/>
      <c r="W17" s="1704"/>
      <c r="X17" s="1704"/>
      <c r="Y17" s="1704"/>
      <c r="Z17" s="1704"/>
      <c r="AA17" s="1704"/>
      <c r="AB17" s="1704"/>
      <c r="AC17" s="1704"/>
      <c r="AD17" s="1704"/>
      <c r="AE17" s="1704"/>
      <c r="AF17" s="1704"/>
      <c r="AG17" s="1704"/>
      <c r="AH17" s="1704"/>
      <c r="AI17" s="1704"/>
      <c r="AJ17" s="1704"/>
      <c r="AK17" s="1704"/>
      <c r="AL17" s="1704"/>
      <c r="AM17" s="1704"/>
      <c r="AN17" s="1704"/>
      <c r="AO17" s="1704"/>
    </row>
    <row r="18" spans="1:41" ht="14.5" hidden="1" x14ac:dyDescent="0.35">
      <c r="A18" s="1703"/>
      <c r="B18" s="1698" t="e">
        <f>#REF!</f>
        <v>#REF!</v>
      </c>
      <c r="C18" s="1705" t="s">
        <v>654</v>
      </c>
      <c r="D18" s="1699"/>
      <c r="E18" s="1699"/>
      <c r="F18" s="1699"/>
      <c r="G18" s="646"/>
      <c r="H18" s="1704"/>
      <c r="I18" s="1704"/>
      <c r="J18" s="1704"/>
      <c r="K18" s="1704"/>
      <c r="L18" s="1704"/>
      <c r="M18" s="1704"/>
      <c r="N18" s="1704"/>
      <c r="O18" s="1704"/>
      <c r="P18" s="1704"/>
      <c r="Q18" s="1704"/>
      <c r="R18" s="1704"/>
      <c r="S18" s="1704"/>
      <c r="T18" s="1704"/>
      <c r="U18" s="1704"/>
      <c r="V18" s="1704"/>
      <c r="W18" s="1704"/>
      <c r="X18" s="1704"/>
      <c r="Y18" s="1704"/>
      <c r="Z18" s="1704"/>
      <c r="AA18" s="1704"/>
      <c r="AB18" s="1704"/>
      <c r="AC18" s="1704"/>
      <c r="AD18" s="1704"/>
      <c r="AE18" s="1704"/>
      <c r="AF18" s="1704"/>
      <c r="AG18" s="1704"/>
      <c r="AH18" s="1704"/>
      <c r="AI18" s="1704"/>
      <c r="AJ18" s="1704"/>
      <c r="AK18" s="1704"/>
      <c r="AL18" s="1704"/>
      <c r="AM18" s="1704"/>
      <c r="AN18" s="1704"/>
      <c r="AO18" s="1704"/>
    </row>
    <row r="19" spans="1:41" ht="14.5" hidden="1" x14ac:dyDescent="0.35">
      <c r="A19" s="1703"/>
      <c r="B19" s="1698" t="e">
        <f>#REF!</f>
        <v>#REF!</v>
      </c>
      <c r="C19" s="1705" t="s">
        <v>654</v>
      </c>
      <c r="D19" s="1699"/>
      <c r="E19" s="1699"/>
      <c r="F19" s="1699"/>
      <c r="G19" s="646"/>
      <c r="H19" s="1704"/>
      <c r="I19" s="1704"/>
      <c r="J19" s="1704"/>
      <c r="K19" s="1704"/>
      <c r="L19" s="1704"/>
      <c r="M19" s="1704"/>
      <c r="N19" s="1704"/>
      <c r="O19" s="1704"/>
      <c r="P19" s="1704"/>
      <c r="Q19" s="1704"/>
      <c r="R19" s="1704"/>
      <c r="S19" s="1704"/>
      <c r="T19" s="1704"/>
      <c r="U19" s="1704"/>
      <c r="V19" s="1704"/>
      <c r="W19" s="1704"/>
      <c r="X19" s="1704"/>
      <c r="Y19" s="1704"/>
      <c r="Z19" s="1704"/>
      <c r="AA19" s="1704"/>
      <c r="AB19" s="1704"/>
      <c r="AC19" s="1704"/>
      <c r="AD19" s="1704"/>
      <c r="AE19" s="1704"/>
      <c r="AF19" s="1704"/>
      <c r="AG19" s="1704"/>
      <c r="AH19" s="1704"/>
      <c r="AI19" s="1704"/>
      <c r="AJ19" s="1704"/>
      <c r="AK19" s="1704"/>
      <c r="AL19" s="1704"/>
      <c r="AM19" s="1704"/>
      <c r="AN19" s="1704"/>
      <c r="AO19" s="1704"/>
    </row>
    <row r="20" spans="1:41" ht="15.75" customHeight="1" x14ac:dyDescent="0.35">
      <c r="A20" s="1703"/>
      <c r="B20" s="1698"/>
      <c r="C20" s="1705"/>
      <c r="D20" s="1699"/>
      <c r="E20" s="1699"/>
      <c r="F20" s="1699"/>
      <c r="G20" s="646"/>
      <c r="H20" s="1726"/>
      <c r="I20" s="1704"/>
      <c r="J20" s="1726"/>
      <c r="K20" s="1704"/>
      <c r="L20" s="1726"/>
      <c r="M20" s="1704"/>
      <c r="N20" s="1726"/>
      <c r="O20" s="1704"/>
      <c r="P20" s="1726"/>
      <c r="Q20" s="1704"/>
      <c r="R20" s="1726"/>
      <c r="S20" s="1704"/>
      <c r="T20" s="1726"/>
      <c r="U20" s="1704"/>
      <c r="V20" s="1726"/>
      <c r="W20" s="1704"/>
      <c r="X20" s="1726"/>
      <c r="Y20" s="1704"/>
      <c r="Z20" s="1726"/>
      <c r="AA20" s="1704"/>
      <c r="AB20" s="1704"/>
      <c r="AC20" s="1704"/>
      <c r="AD20" s="1726"/>
      <c r="AE20" s="1704"/>
      <c r="AF20" s="1726"/>
      <c r="AG20" s="1704"/>
      <c r="AH20" s="1726"/>
      <c r="AI20" s="1704"/>
      <c r="AJ20" s="1726"/>
      <c r="AK20" s="1704"/>
      <c r="AL20" s="1726"/>
      <c r="AM20" s="1704"/>
      <c r="AN20" s="1726"/>
      <c r="AO20" s="1704"/>
    </row>
    <row r="21" spans="1:41" ht="14.5" x14ac:dyDescent="0.35">
      <c r="A21" s="1538"/>
      <c r="B21" s="1706" t="s">
        <v>501</v>
      </c>
      <c r="C21" s="45"/>
      <c r="D21" s="46"/>
      <c r="E21" s="46"/>
      <c r="F21" s="46"/>
      <c r="G21" s="52"/>
      <c r="H21" s="1726"/>
      <c r="I21" s="1704"/>
      <c r="J21" s="1726"/>
      <c r="K21" s="1704"/>
      <c r="L21" s="1726"/>
      <c r="M21" s="1704"/>
      <c r="N21" s="1726"/>
      <c r="O21" s="1704"/>
      <c r="P21" s="1726"/>
      <c r="Q21" s="1704"/>
      <c r="R21" s="1726"/>
      <c r="S21" s="1704"/>
      <c r="T21" s="1726"/>
      <c r="U21" s="1704"/>
      <c r="V21" s="1726"/>
      <c r="W21" s="1704"/>
      <c r="X21" s="1726"/>
      <c r="Y21" s="1704"/>
      <c r="Z21" s="1726"/>
      <c r="AA21" s="1704"/>
      <c r="AB21" s="1704"/>
      <c r="AC21" s="1704"/>
      <c r="AD21" s="1726"/>
      <c r="AE21" s="1704"/>
      <c r="AF21" s="1726"/>
      <c r="AG21" s="1704"/>
      <c r="AH21" s="1726"/>
      <c r="AI21" s="1704"/>
      <c r="AJ21" s="1726"/>
      <c r="AK21" s="1704"/>
      <c r="AL21" s="1726"/>
      <c r="AM21" s="1704"/>
      <c r="AN21" s="1726"/>
      <c r="AO21" s="1704"/>
    </row>
    <row r="22" spans="1:41" ht="14.5" x14ac:dyDescent="0.35">
      <c r="A22" s="1538"/>
      <c r="B22" s="604" t="s">
        <v>657</v>
      </c>
      <c r="C22" s="1705"/>
      <c r="D22" s="1699"/>
      <c r="E22" s="1699"/>
      <c r="F22" s="1699"/>
      <c r="G22" s="646"/>
      <c r="H22" s="1726"/>
      <c r="I22" s="668"/>
      <c r="J22" s="1726"/>
      <c r="K22" s="1684"/>
      <c r="L22" s="1726"/>
      <c r="M22" s="668"/>
      <c r="N22" s="1726"/>
      <c r="O22" s="668"/>
      <c r="P22" s="1726"/>
      <c r="Q22" s="668"/>
      <c r="R22" s="1726"/>
      <c r="S22" s="1684"/>
      <c r="T22" s="1726"/>
      <c r="U22" s="1684"/>
      <c r="V22" s="1726"/>
      <c r="W22" s="668"/>
      <c r="X22" s="1726"/>
      <c r="Y22" s="668"/>
      <c r="Z22" s="1726"/>
      <c r="AA22" s="668"/>
      <c r="AB22" s="1684"/>
      <c r="AC22" s="1684"/>
      <c r="AD22" s="1726"/>
      <c r="AE22" s="1684"/>
      <c r="AF22" s="1726"/>
      <c r="AG22" s="668"/>
      <c r="AH22" s="1726"/>
      <c r="AI22" s="668"/>
      <c r="AJ22" s="1726"/>
      <c r="AK22" s="668"/>
      <c r="AL22" s="1726"/>
      <c r="AM22" s="1629"/>
      <c r="AN22" s="1726"/>
      <c r="AO22" s="1629"/>
    </row>
    <row r="23" spans="1:41" ht="14.5" x14ac:dyDescent="0.35">
      <c r="A23" s="1538"/>
      <c r="B23" s="603" t="s">
        <v>658</v>
      </c>
      <c r="C23" s="1741"/>
      <c r="D23" s="682"/>
      <c r="E23" s="1699"/>
      <c r="F23" s="1699"/>
      <c r="G23" s="646"/>
      <c r="H23" s="1726" t="s">
        <v>669</v>
      </c>
      <c r="I23" s="1629"/>
      <c r="J23" s="1726" t="s">
        <v>669</v>
      </c>
      <c r="K23" s="1536"/>
      <c r="L23" s="1726" t="s">
        <v>669</v>
      </c>
      <c r="M23" s="1629"/>
      <c r="N23" s="1726" t="s">
        <v>669</v>
      </c>
      <c r="O23" s="1629"/>
      <c r="P23" s="1726" t="s">
        <v>669</v>
      </c>
      <c r="Q23" s="1629"/>
      <c r="R23" s="1726" t="s">
        <v>669</v>
      </c>
      <c r="S23" s="1536"/>
      <c r="T23" s="1726" t="s">
        <v>669</v>
      </c>
      <c r="U23" s="1536"/>
      <c r="V23" s="1726" t="s">
        <v>669</v>
      </c>
      <c r="W23" s="1536"/>
      <c r="X23" s="1726" t="s">
        <v>669</v>
      </c>
      <c r="Y23" s="1629"/>
      <c r="Z23" s="1726" t="s">
        <v>669</v>
      </c>
      <c r="AA23" s="1629"/>
      <c r="AB23" s="1726" t="s">
        <v>669</v>
      </c>
      <c r="AC23" s="1536"/>
      <c r="AD23" s="1726" t="s">
        <v>669</v>
      </c>
      <c r="AE23" s="1536"/>
      <c r="AF23" s="1726" t="s">
        <v>669</v>
      </c>
      <c r="AG23" s="1629"/>
      <c r="AH23" s="1726" t="s">
        <v>669</v>
      </c>
      <c r="AI23" s="1629"/>
      <c r="AJ23" s="1726" t="s">
        <v>669</v>
      </c>
      <c r="AK23" s="1536"/>
      <c r="AL23" s="1742" t="s">
        <v>669</v>
      </c>
      <c r="AM23" s="1629"/>
      <c r="AN23" s="1742" t="s">
        <v>669</v>
      </c>
      <c r="AO23" s="1629"/>
    </row>
    <row r="24" spans="1:41" ht="14.5" x14ac:dyDescent="0.35">
      <c r="A24" s="1538"/>
      <c r="B24" s="1630" t="s">
        <v>659</v>
      </c>
      <c r="C24" s="1741"/>
      <c r="D24" s="682"/>
      <c r="E24" s="1699"/>
      <c r="F24" s="1699"/>
      <c r="G24" s="646"/>
      <c r="H24" s="1726" t="s">
        <v>669</v>
      </c>
      <c r="I24" s="1629"/>
      <c r="J24" s="1726" t="s">
        <v>669</v>
      </c>
      <c r="K24" s="1536"/>
      <c r="L24" s="1726" t="s">
        <v>669</v>
      </c>
      <c r="M24" s="1629"/>
      <c r="N24" s="1726" t="s">
        <v>669</v>
      </c>
      <c r="O24" s="1629"/>
      <c r="P24" s="1726" t="s">
        <v>669</v>
      </c>
      <c r="Q24" s="1629"/>
      <c r="R24" s="1726" t="s">
        <v>669</v>
      </c>
      <c r="S24" s="1536"/>
      <c r="T24" s="1726" t="s">
        <v>669</v>
      </c>
      <c r="U24" s="1536"/>
      <c r="V24" s="1726" t="s">
        <v>669</v>
      </c>
      <c r="W24" s="1536"/>
      <c r="X24" s="1726" t="s">
        <v>669</v>
      </c>
      <c r="Y24" s="1629"/>
      <c r="Z24" s="1726" t="s">
        <v>669</v>
      </c>
      <c r="AA24" s="1629"/>
      <c r="AB24" s="1726" t="s">
        <v>669</v>
      </c>
      <c r="AC24" s="1536"/>
      <c r="AD24" s="1726" t="s">
        <v>669</v>
      </c>
      <c r="AE24" s="1536"/>
      <c r="AF24" s="1726" t="s">
        <v>669</v>
      </c>
      <c r="AG24" s="1629"/>
      <c r="AH24" s="1726" t="s">
        <v>669</v>
      </c>
      <c r="AI24" s="1629"/>
      <c r="AJ24" s="1726" t="s">
        <v>669</v>
      </c>
      <c r="AK24" s="1629"/>
      <c r="AL24" s="1742" t="s">
        <v>669</v>
      </c>
      <c r="AM24" s="1629"/>
      <c r="AN24" s="1742" t="s">
        <v>669</v>
      </c>
      <c r="AO24" s="1629"/>
    </row>
    <row r="25" spans="1:41" ht="14.5" x14ac:dyDescent="0.35">
      <c r="A25" s="1538"/>
      <c r="B25" s="1497" t="s">
        <v>660</v>
      </c>
      <c r="C25" s="646"/>
      <c r="D25" s="1699"/>
      <c r="E25" s="1699"/>
      <c r="F25" s="1699"/>
      <c r="G25" s="646"/>
      <c r="H25" s="1726" t="s">
        <v>671</v>
      </c>
      <c r="I25" s="1629"/>
      <c r="J25" s="1726" t="s">
        <v>671</v>
      </c>
      <c r="K25" s="1629" t="s">
        <v>2091</v>
      </c>
      <c r="L25" s="1726" t="s">
        <v>671</v>
      </c>
      <c r="M25" s="1629"/>
      <c r="N25" s="1726" t="s">
        <v>671</v>
      </c>
      <c r="O25" s="1629" t="s">
        <v>1007</v>
      </c>
      <c r="P25" s="1726" t="s">
        <v>671</v>
      </c>
      <c r="Q25" s="1629" t="s">
        <v>1007</v>
      </c>
      <c r="R25" s="1726" t="s">
        <v>671</v>
      </c>
      <c r="S25" s="1629" t="s">
        <v>2091</v>
      </c>
      <c r="T25" s="1726" t="s">
        <v>671</v>
      </c>
      <c r="U25" s="1629" t="s">
        <v>2091</v>
      </c>
      <c r="V25" s="1726" t="s">
        <v>671</v>
      </c>
      <c r="W25" s="1637" t="s">
        <v>1007</v>
      </c>
      <c r="X25" s="1726" t="s">
        <v>671</v>
      </c>
      <c r="Y25" s="1629"/>
      <c r="Z25" s="1726" t="s">
        <v>671</v>
      </c>
      <c r="AA25" s="1629" t="s">
        <v>2092</v>
      </c>
      <c r="AB25" s="1726" t="s">
        <v>671</v>
      </c>
      <c r="AC25" s="1637" t="s">
        <v>1007</v>
      </c>
      <c r="AD25" s="1726" t="s">
        <v>671</v>
      </c>
      <c r="AE25" s="1629" t="s">
        <v>1007</v>
      </c>
      <c r="AF25" s="1726" t="s">
        <v>671</v>
      </c>
      <c r="AG25" s="1629"/>
      <c r="AH25" s="1726" t="s">
        <v>671</v>
      </c>
      <c r="AI25" s="1629"/>
      <c r="AJ25" s="1726" t="s">
        <v>671</v>
      </c>
      <c r="AK25" s="1629"/>
      <c r="AL25" s="1726" t="s">
        <v>671</v>
      </c>
      <c r="AM25" s="1637" t="s">
        <v>1007</v>
      </c>
      <c r="AN25" s="1726" t="s">
        <v>671</v>
      </c>
      <c r="AO25" s="1637" t="s">
        <v>1007</v>
      </c>
    </row>
    <row r="26" spans="1:41" ht="14.5" x14ac:dyDescent="0.35">
      <c r="A26" s="1538"/>
      <c r="B26" s="1497" t="s">
        <v>661</v>
      </c>
      <c r="C26" s="646"/>
      <c r="D26" s="1699"/>
      <c r="E26" s="1699"/>
      <c r="F26" s="1699"/>
      <c r="G26" s="646"/>
      <c r="H26" s="1726" t="s">
        <v>669</v>
      </c>
      <c r="I26" s="1536"/>
      <c r="J26" s="1726" t="s">
        <v>669</v>
      </c>
      <c r="K26" s="1536"/>
      <c r="L26" s="1726" t="s">
        <v>669</v>
      </c>
      <c r="M26" s="1536"/>
      <c r="N26" s="1726" t="s">
        <v>669</v>
      </c>
      <c r="O26" s="1536"/>
      <c r="P26" s="1726" t="s">
        <v>669</v>
      </c>
      <c r="Q26" s="1536"/>
      <c r="R26" s="1726" t="s">
        <v>669</v>
      </c>
      <c r="S26" s="1536"/>
      <c r="T26" s="1726" t="s">
        <v>669</v>
      </c>
      <c r="U26" s="1536"/>
      <c r="V26" s="1726" t="s">
        <v>669</v>
      </c>
      <c r="W26" s="1536"/>
      <c r="X26" s="1726" t="s">
        <v>669</v>
      </c>
      <c r="Y26" s="1536"/>
      <c r="Z26" s="1726" t="s">
        <v>669</v>
      </c>
      <c r="AA26" s="1536"/>
      <c r="AB26" s="1726" t="s">
        <v>669</v>
      </c>
      <c r="AC26" s="1536"/>
      <c r="AD26" s="1726" t="s">
        <v>669</v>
      </c>
      <c r="AE26" s="1536"/>
      <c r="AF26" s="1726" t="s">
        <v>669</v>
      </c>
      <c r="AG26" s="1536"/>
      <c r="AH26" s="1726" t="s">
        <v>669</v>
      </c>
      <c r="AI26" s="1536"/>
      <c r="AJ26" s="1726" t="s">
        <v>669</v>
      </c>
      <c r="AK26" s="1536"/>
      <c r="AL26" s="1742" t="s">
        <v>669</v>
      </c>
      <c r="AM26" s="1743"/>
      <c r="AN26" s="1742" t="s">
        <v>669</v>
      </c>
      <c r="AO26" s="1743"/>
    </row>
    <row r="27" spans="1:41" ht="14.5" hidden="1" x14ac:dyDescent="0.35">
      <c r="A27" s="1538"/>
      <c r="B27" s="1497" t="s">
        <v>662</v>
      </c>
      <c r="C27" s="646"/>
      <c r="D27" s="1699"/>
      <c r="E27" s="1699"/>
      <c r="F27" s="1699"/>
      <c r="G27" s="646"/>
      <c r="H27" s="1726"/>
      <c r="I27" s="1536"/>
      <c r="J27" s="1726"/>
      <c r="K27" s="1536"/>
      <c r="L27" s="1726"/>
      <c r="M27" s="1536"/>
      <c r="N27" s="1726"/>
      <c r="O27" s="1536"/>
      <c r="P27" s="1726"/>
      <c r="Q27" s="1536"/>
      <c r="R27" s="1726"/>
      <c r="S27" s="1536"/>
      <c r="T27" s="1726"/>
      <c r="U27" s="1536"/>
      <c r="V27" s="1726"/>
      <c r="W27" s="1536"/>
      <c r="X27" s="1726"/>
      <c r="Y27" s="1536"/>
      <c r="Z27" s="1726"/>
      <c r="AA27" s="1536"/>
      <c r="AB27" s="1726"/>
      <c r="AC27" s="1536"/>
      <c r="AD27" s="1726"/>
      <c r="AE27" s="1536"/>
      <c r="AF27" s="1726"/>
      <c r="AG27" s="1536"/>
      <c r="AH27" s="1726"/>
      <c r="AI27" s="1536"/>
      <c r="AJ27" s="1726"/>
      <c r="AK27" s="1536"/>
      <c r="AL27" s="1742" t="s">
        <v>669</v>
      </c>
      <c r="AM27" s="1743"/>
      <c r="AN27" s="1742" t="s">
        <v>669</v>
      </c>
      <c r="AO27" s="1743"/>
    </row>
    <row r="28" spans="1:41" ht="14.5" x14ac:dyDescent="0.35">
      <c r="A28" s="1538"/>
      <c r="B28" s="1497" t="s">
        <v>663</v>
      </c>
      <c r="C28" s="646"/>
      <c r="D28" s="1699"/>
      <c r="E28" s="1699"/>
      <c r="F28" s="1699"/>
      <c r="G28" s="646"/>
      <c r="H28" s="1726" t="s">
        <v>669</v>
      </c>
      <c r="I28" s="1536"/>
      <c r="J28" s="1726" t="s">
        <v>669</v>
      </c>
      <c r="K28" s="1536"/>
      <c r="L28" s="1726" t="s">
        <v>669</v>
      </c>
      <c r="M28" s="1536"/>
      <c r="N28" s="1726" t="s">
        <v>669</v>
      </c>
      <c r="O28" s="1536"/>
      <c r="P28" s="1726" t="s">
        <v>669</v>
      </c>
      <c r="Q28" s="1536"/>
      <c r="R28" s="1726" t="s">
        <v>669</v>
      </c>
      <c r="S28" s="1536"/>
      <c r="T28" s="1726" t="s">
        <v>669</v>
      </c>
      <c r="U28" s="1536"/>
      <c r="V28" s="1726" t="s">
        <v>669</v>
      </c>
      <c r="W28" s="1536"/>
      <c r="X28" s="1726" t="s">
        <v>669</v>
      </c>
      <c r="Y28" s="1536"/>
      <c r="Z28" s="1726" t="s">
        <v>669</v>
      </c>
      <c r="AA28" s="1536"/>
      <c r="AB28" s="1726" t="s">
        <v>669</v>
      </c>
      <c r="AC28" s="1536"/>
      <c r="AD28" s="1726" t="s">
        <v>669</v>
      </c>
      <c r="AE28" s="1536"/>
      <c r="AF28" s="1726" t="s">
        <v>669</v>
      </c>
      <c r="AG28" s="1536"/>
      <c r="AH28" s="1726" t="s">
        <v>669</v>
      </c>
      <c r="AI28" s="1536"/>
      <c r="AJ28" s="1726" t="s">
        <v>669</v>
      </c>
      <c r="AK28" s="1536"/>
      <c r="AL28" s="1742" t="s">
        <v>669</v>
      </c>
      <c r="AM28" s="1743"/>
      <c r="AN28" s="1742" t="s">
        <v>669</v>
      </c>
      <c r="AO28" s="1743"/>
    </row>
    <row r="29" spans="1:41" ht="14.5" x14ac:dyDescent="0.35">
      <c r="A29" s="1538"/>
      <c r="B29" s="1497" t="s">
        <v>789</v>
      </c>
      <c r="C29" s="646"/>
      <c r="D29" s="1699"/>
      <c r="E29" s="1699"/>
      <c r="F29" s="1699"/>
      <c r="G29" s="646"/>
      <c r="H29" s="1726" t="s">
        <v>671</v>
      </c>
      <c r="I29" s="1536"/>
      <c r="J29" s="1726" t="s">
        <v>671</v>
      </c>
      <c r="K29" s="1536" t="s">
        <v>1008</v>
      </c>
      <c r="L29" s="1726" t="s">
        <v>671</v>
      </c>
      <c r="M29" s="1536"/>
      <c r="N29" s="1726" t="s">
        <v>669</v>
      </c>
      <c r="O29" s="1536" t="s">
        <v>2093</v>
      </c>
      <c r="P29" s="1726" t="s">
        <v>669</v>
      </c>
      <c r="Q29" s="1536" t="s">
        <v>2093</v>
      </c>
      <c r="R29" s="1726" t="s">
        <v>671</v>
      </c>
      <c r="S29" s="1536" t="s">
        <v>1008</v>
      </c>
      <c r="T29" s="1726" t="s">
        <v>671</v>
      </c>
      <c r="U29" s="1536" t="s">
        <v>1008</v>
      </c>
      <c r="V29" s="1726" t="s">
        <v>671</v>
      </c>
      <c r="W29" s="1536"/>
      <c r="X29" s="1726" t="s">
        <v>671</v>
      </c>
      <c r="Y29" s="1536"/>
      <c r="Z29" s="1726" t="s">
        <v>671</v>
      </c>
      <c r="AA29" s="1536" t="s">
        <v>1008</v>
      </c>
      <c r="AB29" s="1726" t="s">
        <v>669</v>
      </c>
      <c r="AC29" s="1536" t="s">
        <v>1733</v>
      </c>
      <c r="AD29" s="1726" t="s">
        <v>671</v>
      </c>
      <c r="AE29" s="1536" t="s">
        <v>1008</v>
      </c>
      <c r="AF29" s="1726" t="s">
        <v>671</v>
      </c>
      <c r="AG29" s="1536" t="s">
        <v>1008</v>
      </c>
      <c r="AH29" s="1726" t="s">
        <v>671</v>
      </c>
      <c r="AI29" s="1536"/>
      <c r="AJ29" s="1726" t="s">
        <v>669</v>
      </c>
      <c r="AK29" s="1536"/>
      <c r="AL29" s="1726" t="s">
        <v>671</v>
      </c>
      <c r="AM29" s="1743"/>
      <c r="AN29" s="1726" t="s">
        <v>671</v>
      </c>
      <c r="AO29" s="1743"/>
    </row>
    <row r="30" spans="1:41" ht="14.5" x14ac:dyDescent="0.35">
      <c r="A30" s="1538"/>
      <c r="B30" s="1497" t="s">
        <v>790</v>
      </c>
      <c r="C30" s="646"/>
      <c r="D30" s="1699"/>
      <c r="E30" s="1699"/>
      <c r="F30" s="1699"/>
      <c r="G30" s="646"/>
      <c r="H30" s="1726" t="s">
        <v>671</v>
      </c>
      <c r="I30" s="1536"/>
      <c r="J30" s="1726" t="s">
        <v>671</v>
      </c>
      <c r="K30" s="1536" t="s">
        <v>2094</v>
      </c>
      <c r="L30" s="1726" t="s">
        <v>671</v>
      </c>
      <c r="M30" s="1536"/>
      <c r="N30" s="1726" t="s">
        <v>669</v>
      </c>
      <c r="O30" s="1536" t="s">
        <v>2095</v>
      </c>
      <c r="P30" s="1726" t="s">
        <v>669</v>
      </c>
      <c r="Q30" s="1536" t="s">
        <v>2095</v>
      </c>
      <c r="R30" s="1726" t="s">
        <v>671</v>
      </c>
      <c r="S30" s="1536" t="s">
        <v>2094</v>
      </c>
      <c r="T30" s="1726" t="s">
        <v>671</v>
      </c>
      <c r="U30" s="1536" t="s">
        <v>2094</v>
      </c>
      <c r="V30" s="1726" t="s">
        <v>671</v>
      </c>
      <c r="W30" s="1536"/>
      <c r="X30" s="1726" t="s">
        <v>671</v>
      </c>
      <c r="Y30" s="1536"/>
      <c r="Z30" s="1726" t="s">
        <v>671</v>
      </c>
      <c r="AA30" s="1536" t="s">
        <v>1100</v>
      </c>
      <c r="AB30" s="1726" t="s">
        <v>669</v>
      </c>
      <c r="AC30" s="1536" t="s">
        <v>2094</v>
      </c>
      <c r="AD30" s="1726" t="s">
        <v>671</v>
      </c>
      <c r="AE30" s="1536" t="s">
        <v>2094</v>
      </c>
      <c r="AF30" s="1726" t="s">
        <v>671</v>
      </c>
      <c r="AG30" s="1536" t="s">
        <v>1100</v>
      </c>
      <c r="AH30" s="1726" t="s">
        <v>671</v>
      </c>
      <c r="AI30" s="1536"/>
      <c r="AJ30" s="1726"/>
      <c r="AK30" s="1536"/>
      <c r="AL30" s="1726" t="s">
        <v>671</v>
      </c>
      <c r="AM30" s="1743"/>
      <c r="AN30" s="1726" t="s">
        <v>671</v>
      </c>
      <c r="AO30" s="1743"/>
    </row>
    <row r="31" spans="1:41" ht="14.5" x14ac:dyDescent="0.35">
      <c r="A31" s="1538"/>
      <c r="B31" s="1497" t="s">
        <v>791</v>
      </c>
      <c r="C31" s="646"/>
      <c r="D31" s="1699"/>
      <c r="E31" s="1699"/>
      <c r="F31" s="1699"/>
      <c r="G31" s="646"/>
      <c r="H31" s="1726" t="s">
        <v>671</v>
      </c>
      <c r="I31" s="1536"/>
      <c r="J31" s="1726" t="s">
        <v>671</v>
      </c>
      <c r="K31" s="1536"/>
      <c r="L31" s="1726" t="s">
        <v>671</v>
      </c>
      <c r="M31" s="1536"/>
      <c r="N31" s="1726" t="s">
        <v>669</v>
      </c>
      <c r="O31" s="1536" t="s">
        <v>2096</v>
      </c>
      <c r="P31" s="1726" t="s">
        <v>669</v>
      </c>
      <c r="Q31" s="1536" t="s">
        <v>2096</v>
      </c>
      <c r="R31" s="1726" t="s">
        <v>671</v>
      </c>
      <c r="S31" s="1536"/>
      <c r="T31" s="1726" t="s">
        <v>671</v>
      </c>
      <c r="U31" s="1536"/>
      <c r="V31" s="1726" t="s">
        <v>671</v>
      </c>
      <c r="W31" s="1536"/>
      <c r="X31" s="1726" t="s">
        <v>671</v>
      </c>
      <c r="Y31" s="1536"/>
      <c r="Z31" s="1726" t="s">
        <v>671</v>
      </c>
      <c r="AA31" s="1536"/>
      <c r="AB31" s="1726" t="s">
        <v>669</v>
      </c>
      <c r="AC31" s="1536" t="s">
        <v>2097</v>
      </c>
      <c r="AD31" s="1726" t="s">
        <v>671</v>
      </c>
      <c r="AE31" s="1536"/>
      <c r="AF31" s="1726" t="s">
        <v>671</v>
      </c>
      <c r="AG31" s="1536"/>
      <c r="AH31" s="1726" t="s">
        <v>671</v>
      </c>
      <c r="AI31" s="1536"/>
      <c r="AJ31" s="1726"/>
      <c r="AK31" s="1536"/>
      <c r="AL31" s="1726" t="s">
        <v>671</v>
      </c>
      <c r="AM31" s="1743"/>
      <c r="AN31" s="1726" t="s">
        <v>671</v>
      </c>
      <c r="AO31" s="1743"/>
    </row>
    <row r="32" spans="1:41" ht="14.5" x14ac:dyDescent="0.35">
      <c r="A32" s="1538"/>
      <c r="B32" s="1633" t="s">
        <v>664</v>
      </c>
      <c r="C32" s="646"/>
      <c r="D32" s="1699"/>
      <c r="E32" s="1699"/>
      <c r="F32" s="1699"/>
      <c r="G32" s="646"/>
      <c r="H32" s="1726"/>
      <c r="I32" s="1536"/>
      <c r="J32" s="1726"/>
      <c r="K32" s="1536"/>
      <c r="L32" s="1726"/>
      <c r="M32" s="1536"/>
      <c r="N32" s="1726"/>
      <c r="O32" s="1536"/>
      <c r="P32" s="1726"/>
      <c r="Q32" s="1536"/>
      <c r="R32" s="1726"/>
      <c r="S32" s="1536"/>
      <c r="T32" s="1726"/>
      <c r="U32" s="1536"/>
      <c r="V32" s="1726"/>
      <c r="W32" s="1536"/>
      <c r="X32" s="1726"/>
      <c r="Y32" s="1536"/>
      <c r="Z32" s="1726"/>
      <c r="AA32" s="1536"/>
      <c r="AB32" s="1726"/>
      <c r="AC32" s="1536"/>
      <c r="AD32" s="1726"/>
      <c r="AE32" s="1536"/>
      <c r="AF32" s="1726"/>
      <c r="AG32" s="1536"/>
      <c r="AH32" s="1726"/>
      <c r="AI32" s="1536"/>
      <c r="AJ32" s="1726"/>
      <c r="AK32" s="1536"/>
      <c r="AL32" s="1726"/>
      <c r="AM32" s="1743"/>
      <c r="AN32" s="1726"/>
      <c r="AO32" s="1743"/>
    </row>
    <row r="33" spans="1:41" ht="14.5" x14ac:dyDescent="0.35">
      <c r="A33" s="1538"/>
      <c r="B33" s="1744" t="s">
        <v>665</v>
      </c>
      <c r="C33" s="952"/>
      <c r="D33" s="1713"/>
      <c r="E33" s="1713"/>
      <c r="F33" s="1731"/>
      <c r="G33" s="651"/>
      <c r="H33" s="1732"/>
      <c r="I33" s="1635">
        <v>2208279.31</v>
      </c>
      <c r="J33" s="1732"/>
      <c r="K33" s="1635">
        <v>2865000</v>
      </c>
      <c r="L33" s="1732"/>
      <c r="M33" s="1635">
        <v>2748727.52</v>
      </c>
      <c r="N33" s="1732"/>
      <c r="O33" s="1635">
        <v>2940600</v>
      </c>
      <c r="P33" s="1732"/>
      <c r="Q33" s="1635">
        <v>2779450</v>
      </c>
      <c r="R33" s="1732"/>
      <c r="S33" s="1635">
        <v>2790000</v>
      </c>
      <c r="T33" s="1732"/>
      <c r="U33" s="1635">
        <v>2865000</v>
      </c>
      <c r="V33" s="1732"/>
      <c r="W33" s="1635">
        <v>3016900</v>
      </c>
      <c r="X33" s="1732"/>
      <c r="Y33" s="1635"/>
      <c r="Z33" s="1732"/>
      <c r="AA33" s="1635"/>
      <c r="AB33" s="1635"/>
      <c r="AC33" s="1635">
        <f>2635000+212000</f>
        <v>2847000</v>
      </c>
      <c r="AD33" s="1732"/>
      <c r="AE33" s="1635"/>
      <c r="AF33" s="1732"/>
      <c r="AG33" s="1745"/>
      <c r="AH33" s="1732"/>
      <c r="AI33" s="1635">
        <v>55811.99</v>
      </c>
      <c r="AJ33" s="1732"/>
      <c r="AK33" s="1635">
        <v>4402761.76</v>
      </c>
      <c r="AL33" s="1732"/>
      <c r="AM33" s="1746">
        <v>5406241.1200000001</v>
      </c>
      <c r="AN33" s="1732"/>
      <c r="AO33" s="1746">
        <v>5035000</v>
      </c>
    </row>
    <row r="34" spans="1:41" ht="14.5" x14ac:dyDescent="0.35">
      <c r="A34" s="1538"/>
      <c r="B34" s="1747" t="s">
        <v>874</v>
      </c>
      <c r="C34" s="646"/>
      <c r="D34" s="1699"/>
      <c r="E34" s="1699"/>
      <c r="F34" s="1748"/>
      <c r="G34" s="652"/>
      <c r="H34" s="1726"/>
      <c r="I34" s="1536"/>
      <c r="J34" s="1726"/>
      <c r="K34" s="1536"/>
      <c r="L34" s="1726"/>
      <c r="M34" s="1536"/>
      <c r="N34" s="1726"/>
      <c r="O34" s="1536"/>
      <c r="P34" s="1726"/>
      <c r="Q34" s="1536"/>
      <c r="R34" s="1726"/>
      <c r="S34" s="1536"/>
      <c r="T34" s="1726"/>
      <c r="U34" s="1536"/>
      <c r="V34" s="1726"/>
      <c r="W34" s="1536"/>
      <c r="X34" s="1726"/>
      <c r="Y34" s="1536"/>
      <c r="Z34" s="1726"/>
      <c r="AA34" s="1536"/>
      <c r="AB34" s="1536"/>
      <c r="AC34" s="1536"/>
      <c r="AD34" s="1726"/>
      <c r="AE34" s="1536"/>
      <c r="AF34" s="1726"/>
      <c r="AG34" s="1536"/>
      <c r="AH34" s="1726"/>
      <c r="AI34" s="1536"/>
      <c r="AJ34" s="1726"/>
      <c r="AK34" s="1536"/>
      <c r="AL34" s="1726"/>
      <c r="AM34" s="1536"/>
      <c r="AN34" s="1726"/>
      <c r="AO34" s="1536"/>
    </row>
    <row r="35" spans="1:41" ht="14.5" x14ac:dyDescent="0.35">
      <c r="A35" s="1538"/>
      <c r="B35" s="1749"/>
      <c r="C35" s="646"/>
      <c r="D35" s="1699"/>
      <c r="E35" s="1699"/>
      <c r="F35" s="1748"/>
      <c r="G35" s="652"/>
      <c r="H35" s="1726"/>
      <c r="I35" s="1536"/>
      <c r="J35" s="1726"/>
      <c r="K35" s="1536"/>
      <c r="L35" s="1726"/>
      <c r="M35" s="1536"/>
      <c r="N35" s="1726"/>
      <c r="O35" s="1536"/>
      <c r="P35" s="1726"/>
      <c r="Q35" s="1536"/>
      <c r="R35" s="1726"/>
      <c r="S35" s="1536"/>
      <c r="T35" s="1726"/>
      <c r="U35" s="1536"/>
      <c r="V35" s="1726"/>
      <c r="W35" s="1536"/>
      <c r="X35" s="1726"/>
      <c r="Y35" s="1536"/>
      <c r="Z35" s="1726"/>
      <c r="AA35" s="1536"/>
      <c r="AB35" s="1536"/>
      <c r="AC35" s="1536"/>
      <c r="AD35" s="1726"/>
      <c r="AE35" s="1536"/>
      <c r="AF35" s="1726"/>
      <c r="AG35" s="1536"/>
      <c r="AH35" s="1726"/>
      <c r="AI35" s="1536"/>
      <c r="AJ35" s="1726"/>
      <c r="AK35" s="1536"/>
      <c r="AL35" s="1726"/>
      <c r="AM35" s="1536"/>
      <c r="AN35" s="1726"/>
      <c r="AO35" s="1536"/>
    </row>
    <row r="36" spans="1:41" ht="14.5" x14ac:dyDescent="0.35">
      <c r="A36" s="1538"/>
      <c r="B36" s="1750" t="s">
        <v>2098</v>
      </c>
      <c r="C36" s="646" t="s">
        <v>2099</v>
      </c>
      <c r="D36" s="1699"/>
      <c r="E36" s="1699"/>
      <c r="F36" s="1699"/>
      <c r="G36" s="646"/>
      <c r="H36" s="1726" t="s">
        <v>669</v>
      </c>
      <c r="I36" s="1536"/>
      <c r="J36" s="1726" t="s">
        <v>669</v>
      </c>
      <c r="K36" s="1536"/>
      <c r="L36" s="1726" t="s">
        <v>669</v>
      </c>
      <c r="M36" s="1536"/>
      <c r="N36" s="1726" t="s">
        <v>669</v>
      </c>
      <c r="O36" s="1536"/>
      <c r="P36" s="1726" t="s">
        <v>669</v>
      </c>
      <c r="Q36" s="1536"/>
      <c r="R36" s="1726" t="s">
        <v>669</v>
      </c>
      <c r="S36" s="1536"/>
      <c r="T36" s="1726" t="s">
        <v>669</v>
      </c>
      <c r="U36" s="1536"/>
      <c r="V36" s="1726" t="s">
        <v>669</v>
      </c>
      <c r="W36" s="1536"/>
      <c r="X36" s="1726" t="s">
        <v>671</v>
      </c>
      <c r="Y36" s="1536"/>
      <c r="Z36" s="1726" t="s">
        <v>669</v>
      </c>
      <c r="AA36" s="1536"/>
      <c r="AB36" s="1726" t="s">
        <v>669</v>
      </c>
      <c r="AC36" s="1536"/>
      <c r="AD36" s="1726" t="s">
        <v>669</v>
      </c>
      <c r="AE36" s="1536"/>
      <c r="AF36" s="1726" t="s">
        <v>669</v>
      </c>
      <c r="AG36" s="1536"/>
      <c r="AH36" s="1726" t="s">
        <v>669</v>
      </c>
      <c r="AI36" s="1536"/>
      <c r="AJ36" s="1726"/>
      <c r="AK36" s="1536"/>
      <c r="AL36" s="1726"/>
      <c r="AM36" s="1536"/>
      <c r="AN36" s="1726"/>
      <c r="AO36" s="1536"/>
    </row>
    <row r="37" spans="1:41" ht="14.5" x14ac:dyDescent="0.35">
      <c r="A37" s="1538"/>
      <c r="B37" s="1751" t="s">
        <v>2100</v>
      </c>
      <c r="C37" s="646"/>
      <c r="D37" s="1699"/>
      <c r="E37" s="1699"/>
      <c r="F37" s="1699"/>
      <c r="G37" s="646"/>
      <c r="H37" s="1726" t="s">
        <v>671</v>
      </c>
      <c r="I37" s="1536" t="s">
        <v>2101</v>
      </c>
      <c r="J37" s="1726" t="s">
        <v>669</v>
      </c>
      <c r="K37" s="1536"/>
      <c r="L37" s="1726" t="s">
        <v>669</v>
      </c>
      <c r="M37" s="1536"/>
      <c r="N37" s="1726" t="s">
        <v>669</v>
      </c>
      <c r="O37" s="1536"/>
      <c r="P37" s="1726" t="s">
        <v>669</v>
      </c>
      <c r="Q37" s="1536"/>
      <c r="R37" s="1726" t="s">
        <v>669</v>
      </c>
      <c r="S37" s="1536"/>
      <c r="T37" s="1726" t="s">
        <v>669</v>
      </c>
      <c r="U37" s="1536"/>
      <c r="V37" s="1726" t="s">
        <v>671</v>
      </c>
      <c r="W37" s="1536"/>
      <c r="X37" s="1726" t="s">
        <v>671</v>
      </c>
      <c r="Y37" s="1536"/>
      <c r="Z37" s="1726" t="s">
        <v>671</v>
      </c>
      <c r="AA37" s="1536"/>
      <c r="AB37" s="1726" t="s">
        <v>669</v>
      </c>
      <c r="AC37" s="1536"/>
      <c r="AD37" s="1726" t="s">
        <v>669</v>
      </c>
      <c r="AE37" s="1536"/>
      <c r="AF37" s="1726" t="s">
        <v>671</v>
      </c>
      <c r="AG37" s="1536"/>
      <c r="AH37" s="1726" t="s">
        <v>669</v>
      </c>
      <c r="AI37" s="1536"/>
      <c r="AJ37" s="1726"/>
      <c r="AK37" s="1536"/>
      <c r="AL37" s="1726"/>
      <c r="AM37" s="1536"/>
      <c r="AN37" s="1726"/>
      <c r="AO37" s="1536"/>
    </row>
    <row r="38" spans="1:41" ht="14.5" x14ac:dyDescent="0.35">
      <c r="A38" s="1538"/>
      <c r="B38" s="1751"/>
      <c r="C38" s="646"/>
      <c r="D38" s="1699"/>
      <c r="E38" s="1699"/>
      <c r="F38" s="1699"/>
      <c r="G38" s="646"/>
      <c r="H38" s="1726"/>
      <c r="I38" s="1536"/>
      <c r="J38" s="1726"/>
      <c r="K38" s="1536"/>
      <c r="L38" s="1726"/>
      <c r="M38" s="1536"/>
      <c r="N38" s="1726"/>
      <c r="O38" s="1536"/>
      <c r="P38" s="1726"/>
      <c r="Q38" s="1536"/>
      <c r="R38" s="1726"/>
      <c r="S38" s="1536"/>
      <c r="T38" s="1726"/>
      <c r="U38" s="1536"/>
      <c r="V38" s="1726"/>
      <c r="W38" s="1536"/>
      <c r="X38" s="1726"/>
      <c r="Y38" s="1536"/>
      <c r="Z38" s="1726"/>
      <c r="AA38" s="1536"/>
      <c r="AB38" s="1726"/>
      <c r="AC38" s="1536"/>
      <c r="AD38" s="1726"/>
      <c r="AE38" s="1536"/>
      <c r="AF38" s="1726"/>
      <c r="AG38" s="1536"/>
      <c r="AH38" s="1726"/>
      <c r="AI38" s="1536"/>
      <c r="AJ38" s="1726"/>
      <c r="AK38" s="1536"/>
      <c r="AL38" s="1726"/>
      <c r="AM38" s="1536"/>
      <c r="AN38" s="1726"/>
      <c r="AO38" s="1536"/>
    </row>
    <row r="39" spans="1:41" ht="14.5" x14ac:dyDescent="0.35">
      <c r="A39" s="1538"/>
      <c r="B39" s="1752" t="s">
        <v>2102</v>
      </c>
      <c r="C39" s="646"/>
      <c r="D39" s="1699"/>
      <c r="E39" s="1699"/>
      <c r="F39" s="1699"/>
      <c r="G39" s="646"/>
      <c r="H39" s="1726" t="s">
        <v>671</v>
      </c>
      <c r="I39" s="1536"/>
      <c r="J39" s="1726" t="s">
        <v>669</v>
      </c>
      <c r="K39" s="1536"/>
      <c r="L39" s="1726" t="s">
        <v>669</v>
      </c>
      <c r="M39" s="1536"/>
      <c r="N39" s="1726" t="s">
        <v>669</v>
      </c>
      <c r="O39" s="1536"/>
      <c r="P39" s="1726" t="s">
        <v>669</v>
      </c>
      <c r="Q39" s="1536"/>
      <c r="R39" s="1726" t="s">
        <v>669</v>
      </c>
      <c r="S39" s="1536"/>
      <c r="T39" s="1726" t="s">
        <v>669</v>
      </c>
      <c r="U39" s="1536"/>
      <c r="V39" s="1726" t="s">
        <v>669</v>
      </c>
      <c r="W39" s="1536" t="s">
        <v>2103</v>
      </c>
      <c r="X39" s="1726" t="s">
        <v>671</v>
      </c>
      <c r="Y39" s="1536" t="s">
        <v>2033</v>
      </c>
      <c r="Z39" s="1726" t="s">
        <v>669</v>
      </c>
      <c r="AA39" s="1536" t="s">
        <v>2103</v>
      </c>
      <c r="AB39" s="1726" t="s">
        <v>669</v>
      </c>
      <c r="AC39" s="1536"/>
      <c r="AD39" s="1726" t="s">
        <v>669</v>
      </c>
      <c r="AE39" s="1536"/>
      <c r="AF39" s="1726" t="s">
        <v>669</v>
      </c>
      <c r="AG39" s="1536"/>
      <c r="AH39" s="1726" t="s">
        <v>671</v>
      </c>
      <c r="AI39" s="1536"/>
      <c r="AJ39" s="1726"/>
      <c r="AK39" s="1536"/>
      <c r="AL39" s="1726"/>
      <c r="AM39" s="1536"/>
      <c r="AN39" s="1726"/>
      <c r="AO39" s="1536"/>
    </row>
    <row r="40" spans="1:41" ht="29" x14ac:dyDescent="0.35">
      <c r="A40" s="1538"/>
      <c r="B40" s="1752" t="s">
        <v>2104</v>
      </c>
      <c r="C40" s="646"/>
      <c r="D40" s="1699"/>
      <c r="E40" s="1699"/>
      <c r="F40" s="1699"/>
      <c r="G40" s="646"/>
      <c r="H40" s="1726" t="s">
        <v>671</v>
      </c>
      <c r="I40" s="1536"/>
      <c r="J40" s="1726" t="s">
        <v>669</v>
      </c>
      <c r="K40" s="1536"/>
      <c r="L40" s="1726" t="s">
        <v>669</v>
      </c>
      <c r="M40" s="1536" t="s">
        <v>2105</v>
      </c>
      <c r="N40" s="1726" t="s">
        <v>669</v>
      </c>
      <c r="O40" s="1536"/>
      <c r="P40" s="1726" t="s">
        <v>669</v>
      </c>
      <c r="Q40" s="1536"/>
      <c r="R40" s="1726" t="s">
        <v>669</v>
      </c>
      <c r="S40" s="1536"/>
      <c r="T40" s="1726" t="s">
        <v>669</v>
      </c>
      <c r="U40" s="1536"/>
      <c r="V40" s="1726" t="s">
        <v>669</v>
      </c>
      <c r="W40" s="1536" t="s">
        <v>2103</v>
      </c>
      <c r="X40" s="1726" t="s">
        <v>671</v>
      </c>
      <c r="Y40" s="1536" t="s">
        <v>2033</v>
      </c>
      <c r="Z40" s="1726" t="s">
        <v>669</v>
      </c>
      <c r="AA40" s="1536" t="s">
        <v>2103</v>
      </c>
      <c r="AB40" s="1726" t="s">
        <v>669</v>
      </c>
      <c r="AC40" s="1734" t="s">
        <v>2106</v>
      </c>
      <c r="AD40" s="1726" t="s">
        <v>669</v>
      </c>
      <c r="AE40" s="1536"/>
      <c r="AF40" s="1726" t="s">
        <v>669</v>
      </c>
      <c r="AG40" s="1536"/>
      <c r="AH40" s="1726" t="s">
        <v>671</v>
      </c>
      <c r="AI40" s="1536"/>
      <c r="AJ40" s="1726"/>
      <c r="AK40" s="1536"/>
      <c r="AL40" s="1726"/>
      <c r="AM40" s="1536"/>
      <c r="AN40" s="1726"/>
      <c r="AO40" s="1536"/>
    </row>
    <row r="41" spans="1:41" ht="14.5" x14ac:dyDescent="0.35">
      <c r="A41" s="1538"/>
      <c r="B41" s="1752" t="s">
        <v>2107</v>
      </c>
      <c r="C41" s="646"/>
      <c r="D41" s="1699"/>
      <c r="E41" s="1699"/>
      <c r="F41" s="1699"/>
      <c r="G41" s="646"/>
      <c r="H41" s="1726" t="s">
        <v>671</v>
      </c>
      <c r="I41" s="1536"/>
      <c r="J41" s="1726" t="s">
        <v>669</v>
      </c>
      <c r="K41" s="1536"/>
      <c r="L41" s="1726" t="s">
        <v>669</v>
      </c>
      <c r="M41" s="1536" t="s">
        <v>2108</v>
      </c>
      <c r="N41" s="1726" t="s">
        <v>669</v>
      </c>
      <c r="O41" s="1536"/>
      <c r="P41" s="1726" t="s">
        <v>669</v>
      </c>
      <c r="Q41" s="1536"/>
      <c r="R41" s="1726" t="s">
        <v>669</v>
      </c>
      <c r="S41" s="1536"/>
      <c r="T41" s="1726" t="s">
        <v>669</v>
      </c>
      <c r="U41" s="1536"/>
      <c r="V41" s="1726" t="s">
        <v>669</v>
      </c>
      <c r="W41" s="1536" t="s">
        <v>2103</v>
      </c>
      <c r="X41" s="1726" t="s">
        <v>671</v>
      </c>
      <c r="Y41" s="1536" t="s">
        <v>2033</v>
      </c>
      <c r="Z41" s="1726" t="s">
        <v>669</v>
      </c>
      <c r="AA41" s="1536" t="s">
        <v>2103</v>
      </c>
      <c r="AB41" s="1726" t="s">
        <v>669</v>
      </c>
      <c r="AC41" s="1536"/>
      <c r="AD41" s="1726" t="s">
        <v>669</v>
      </c>
      <c r="AE41" s="1536"/>
      <c r="AF41" s="1726" t="s">
        <v>669</v>
      </c>
      <c r="AG41" s="1536"/>
      <c r="AH41" s="1726" t="s">
        <v>671</v>
      </c>
      <c r="AI41" s="1536"/>
      <c r="AJ41" s="1726"/>
      <c r="AK41" s="1536"/>
      <c r="AL41" s="1726"/>
      <c r="AM41" s="1536"/>
      <c r="AN41" s="1726"/>
      <c r="AO41" s="1536"/>
    </row>
    <row r="42" spans="1:41" ht="29" x14ac:dyDescent="0.35">
      <c r="A42" s="1538"/>
      <c r="B42" s="1752" t="s">
        <v>2109</v>
      </c>
      <c r="C42" s="646"/>
      <c r="D42" s="1699"/>
      <c r="E42" s="1699"/>
      <c r="F42" s="1699"/>
      <c r="G42" s="646"/>
      <c r="H42" s="1726" t="s">
        <v>671</v>
      </c>
      <c r="I42" s="1536"/>
      <c r="J42" s="1726" t="s">
        <v>669</v>
      </c>
      <c r="K42" s="1536"/>
      <c r="L42" s="1726" t="s">
        <v>669</v>
      </c>
      <c r="M42" s="1536" t="s">
        <v>2110</v>
      </c>
      <c r="N42" s="1726" t="s">
        <v>669</v>
      </c>
      <c r="O42" s="1536"/>
      <c r="P42" s="1726" t="s">
        <v>669</v>
      </c>
      <c r="Q42" s="1536"/>
      <c r="R42" s="1726" t="s">
        <v>669</v>
      </c>
      <c r="S42" s="1536"/>
      <c r="T42" s="1726" t="s">
        <v>669</v>
      </c>
      <c r="U42" s="1536"/>
      <c r="V42" s="1726" t="s">
        <v>669</v>
      </c>
      <c r="W42" s="1536" t="s">
        <v>2103</v>
      </c>
      <c r="X42" s="1726" t="s">
        <v>671</v>
      </c>
      <c r="Y42" s="1536" t="s">
        <v>2033</v>
      </c>
      <c r="Z42" s="1726" t="s">
        <v>669</v>
      </c>
      <c r="AA42" s="1536" t="s">
        <v>2103</v>
      </c>
      <c r="AB42" s="1726" t="s">
        <v>669</v>
      </c>
      <c r="AC42" s="1734" t="s">
        <v>2111</v>
      </c>
      <c r="AD42" s="1726" t="s">
        <v>669</v>
      </c>
      <c r="AE42" s="1536"/>
      <c r="AF42" s="1726" t="s">
        <v>669</v>
      </c>
      <c r="AG42" s="1536"/>
      <c r="AH42" s="1726" t="s">
        <v>671</v>
      </c>
      <c r="AI42" s="1536"/>
      <c r="AJ42" s="1726"/>
      <c r="AK42" s="1536"/>
      <c r="AL42" s="1726"/>
      <c r="AM42" s="1536"/>
      <c r="AN42" s="1726"/>
      <c r="AO42" s="1536"/>
    </row>
    <row r="43" spans="1:41" ht="14.5" x14ac:dyDescent="0.35">
      <c r="A43" s="1538"/>
      <c r="B43" s="1752" t="s">
        <v>2112</v>
      </c>
      <c r="C43" s="646"/>
      <c r="D43" s="1699"/>
      <c r="E43" s="1699"/>
      <c r="F43" s="1699"/>
      <c r="G43" s="646"/>
      <c r="H43" s="1726" t="s">
        <v>671</v>
      </c>
      <c r="I43" s="1536"/>
      <c r="J43" s="1726" t="s">
        <v>669</v>
      </c>
      <c r="K43" s="1536"/>
      <c r="L43" s="1726" t="s">
        <v>669</v>
      </c>
      <c r="M43" s="1536" t="s">
        <v>2113</v>
      </c>
      <c r="N43" s="1726" t="s">
        <v>669</v>
      </c>
      <c r="O43" s="1536"/>
      <c r="P43" s="1726" t="s">
        <v>669</v>
      </c>
      <c r="Q43" s="1536"/>
      <c r="R43" s="1726" t="s">
        <v>669</v>
      </c>
      <c r="S43" s="1536"/>
      <c r="T43" s="1726" t="s">
        <v>669</v>
      </c>
      <c r="U43" s="1536"/>
      <c r="V43" s="1726" t="s">
        <v>669</v>
      </c>
      <c r="W43" s="1536" t="s">
        <v>2103</v>
      </c>
      <c r="X43" s="1726" t="s">
        <v>671</v>
      </c>
      <c r="Y43" s="1536" t="s">
        <v>2033</v>
      </c>
      <c r="Z43" s="1726" t="s">
        <v>669</v>
      </c>
      <c r="AA43" s="1536" t="s">
        <v>2103</v>
      </c>
      <c r="AB43" s="1726" t="s">
        <v>669</v>
      </c>
      <c r="AC43" s="1536"/>
      <c r="AD43" s="1726" t="s">
        <v>669</v>
      </c>
      <c r="AE43" s="1536"/>
      <c r="AF43" s="1726" t="s">
        <v>669</v>
      </c>
      <c r="AG43" s="1536"/>
      <c r="AH43" s="1726" t="s">
        <v>671</v>
      </c>
      <c r="AI43" s="1536"/>
      <c r="AJ43" s="1726"/>
      <c r="AK43" s="1536"/>
      <c r="AL43" s="1726"/>
      <c r="AM43" s="1536"/>
      <c r="AN43" s="1726"/>
      <c r="AO43" s="1536"/>
    </row>
    <row r="44" spans="1:41" ht="14.5" x14ac:dyDescent="0.35">
      <c r="A44" s="1538"/>
      <c r="B44" s="1752" t="s">
        <v>2114</v>
      </c>
      <c r="C44" s="646"/>
      <c r="D44" s="1699"/>
      <c r="E44" s="1699"/>
      <c r="F44" s="1699"/>
      <c r="G44" s="646"/>
      <c r="H44" s="1726" t="s">
        <v>671</v>
      </c>
      <c r="I44" s="1536"/>
      <c r="J44" s="1726" t="s">
        <v>669</v>
      </c>
      <c r="K44" s="1536"/>
      <c r="L44" s="1726" t="s">
        <v>669</v>
      </c>
      <c r="M44" s="1536" t="s">
        <v>2113</v>
      </c>
      <c r="N44" s="1726" t="s">
        <v>669</v>
      </c>
      <c r="O44" s="1536"/>
      <c r="P44" s="1726" t="s">
        <v>669</v>
      </c>
      <c r="Q44" s="1536"/>
      <c r="R44" s="1726" t="s">
        <v>669</v>
      </c>
      <c r="S44" s="1536"/>
      <c r="T44" s="1726" t="s">
        <v>669</v>
      </c>
      <c r="U44" s="1536"/>
      <c r="V44" s="1726" t="s">
        <v>669</v>
      </c>
      <c r="W44" s="1536" t="s">
        <v>2103</v>
      </c>
      <c r="X44" s="1726" t="s">
        <v>671</v>
      </c>
      <c r="Y44" s="1536" t="s">
        <v>2033</v>
      </c>
      <c r="Z44" s="1726" t="s">
        <v>669</v>
      </c>
      <c r="AA44" s="1536" t="s">
        <v>2103</v>
      </c>
      <c r="AB44" s="1726" t="s">
        <v>669</v>
      </c>
      <c r="AC44" s="1536"/>
      <c r="AD44" s="1726" t="s">
        <v>669</v>
      </c>
      <c r="AE44" s="1536"/>
      <c r="AF44" s="1726" t="s">
        <v>669</v>
      </c>
      <c r="AG44" s="1536"/>
      <c r="AH44" s="1726" t="s">
        <v>671</v>
      </c>
      <c r="AI44" s="1536"/>
      <c r="AJ44" s="1726"/>
      <c r="AK44" s="1536"/>
      <c r="AL44" s="1726"/>
      <c r="AM44" s="1536"/>
      <c r="AN44" s="1726"/>
      <c r="AO44" s="1536"/>
    </row>
    <row r="45" spans="1:41" ht="14.5" x14ac:dyDescent="0.35">
      <c r="A45" s="1538"/>
      <c r="B45" s="1752" t="s">
        <v>2115</v>
      </c>
      <c r="C45" s="646"/>
      <c r="D45" s="1699"/>
      <c r="E45" s="1699"/>
      <c r="F45" s="1699"/>
      <c r="G45" s="646"/>
      <c r="H45" s="1726" t="s">
        <v>671</v>
      </c>
      <c r="I45" s="1536"/>
      <c r="J45" s="1726" t="s">
        <v>669</v>
      </c>
      <c r="K45" s="1536"/>
      <c r="L45" s="1726" t="s">
        <v>669</v>
      </c>
      <c r="M45" s="1536"/>
      <c r="N45" s="1726" t="s">
        <v>669</v>
      </c>
      <c r="O45" s="1536"/>
      <c r="P45" s="1726" t="s">
        <v>669</v>
      </c>
      <c r="Q45" s="1536"/>
      <c r="R45" s="1726" t="s">
        <v>669</v>
      </c>
      <c r="S45" s="1536"/>
      <c r="T45" s="1726" t="s">
        <v>669</v>
      </c>
      <c r="U45" s="1536"/>
      <c r="V45" s="1726" t="s">
        <v>669</v>
      </c>
      <c r="W45" s="1536" t="s">
        <v>2103</v>
      </c>
      <c r="X45" s="1726" t="s">
        <v>671</v>
      </c>
      <c r="Y45" s="1536" t="s">
        <v>2033</v>
      </c>
      <c r="Z45" s="1726" t="s">
        <v>669</v>
      </c>
      <c r="AA45" s="1536" t="s">
        <v>2103</v>
      </c>
      <c r="AB45" s="1726" t="s">
        <v>669</v>
      </c>
      <c r="AC45" s="1536"/>
      <c r="AD45" s="1726" t="s">
        <v>669</v>
      </c>
      <c r="AE45" s="1536"/>
      <c r="AF45" s="1726" t="s">
        <v>669</v>
      </c>
      <c r="AG45" s="1536"/>
      <c r="AH45" s="1726" t="s">
        <v>671</v>
      </c>
      <c r="AI45" s="1536"/>
      <c r="AJ45" s="1726"/>
      <c r="AK45" s="1536"/>
      <c r="AL45" s="1726"/>
      <c r="AM45" s="1536"/>
      <c r="AN45" s="1726"/>
      <c r="AO45" s="1536"/>
    </row>
    <row r="46" spans="1:41" ht="14.5" x14ac:dyDescent="0.35">
      <c r="A46" s="1538"/>
      <c r="B46" s="1751"/>
      <c r="C46" s="646"/>
      <c r="D46" s="1699"/>
      <c r="E46" s="1699"/>
      <c r="F46" s="1699"/>
      <c r="G46" s="646"/>
      <c r="H46" s="1726"/>
      <c r="I46" s="1536"/>
      <c r="J46" s="1726"/>
      <c r="K46" s="1536"/>
      <c r="L46" s="1726"/>
      <c r="M46" s="1536"/>
      <c r="N46" s="1726"/>
      <c r="O46" s="1536"/>
      <c r="P46" s="1726"/>
      <c r="Q46" s="1536"/>
      <c r="R46" s="1726"/>
      <c r="S46" s="1536"/>
      <c r="T46" s="1726"/>
      <c r="U46" s="1536"/>
      <c r="V46" s="1726"/>
      <c r="W46" s="1536"/>
      <c r="X46" s="1726"/>
      <c r="Y46" s="1536"/>
      <c r="Z46" s="1726"/>
      <c r="AA46" s="1536"/>
      <c r="AB46" s="1536"/>
      <c r="AC46" s="1536"/>
      <c r="AD46" s="1726"/>
      <c r="AE46" s="1536"/>
      <c r="AF46" s="1726"/>
      <c r="AG46" s="1536"/>
      <c r="AH46" s="1726"/>
      <c r="AI46" s="1536"/>
      <c r="AJ46" s="1726"/>
      <c r="AK46" s="1536"/>
      <c r="AL46" s="1726"/>
      <c r="AM46" s="1536"/>
      <c r="AN46" s="1726"/>
      <c r="AO46" s="1536"/>
    </row>
    <row r="47" spans="1:41" ht="14.5" x14ac:dyDescent="0.35">
      <c r="A47" s="1538"/>
      <c r="B47" s="1753" t="s">
        <v>2116</v>
      </c>
      <c r="C47" s="646"/>
      <c r="D47" s="1699"/>
      <c r="E47" s="1699"/>
      <c r="F47" s="1699"/>
      <c r="G47" s="646"/>
      <c r="H47" s="1726" t="s">
        <v>669</v>
      </c>
      <c r="I47" s="1536"/>
      <c r="J47" s="1726" t="s">
        <v>669</v>
      </c>
      <c r="K47" s="1536"/>
      <c r="L47" s="1726" t="s">
        <v>669</v>
      </c>
      <c r="M47" s="1536"/>
      <c r="N47" s="1726" t="s">
        <v>669</v>
      </c>
      <c r="O47" s="1536"/>
      <c r="P47" s="1726" t="s">
        <v>669</v>
      </c>
      <c r="Q47" s="1536"/>
      <c r="R47" s="1726" t="s">
        <v>669</v>
      </c>
      <c r="S47" s="1536"/>
      <c r="T47" s="1726" t="s">
        <v>669</v>
      </c>
      <c r="U47" s="1536"/>
      <c r="V47" s="1726" t="s">
        <v>669</v>
      </c>
      <c r="W47" s="1536"/>
      <c r="X47" s="1726" t="s">
        <v>671</v>
      </c>
      <c r="Y47" s="1536" t="s">
        <v>2033</v>
      </c>
      <c r="Z47" s="1726" t="s">
        <v>669</v>
      </c>
      <c r="AA47" s="1536"/>
      <c r="AB47" s="1726" t="s">
        <v>669</v>
      </c>
      <c r="AC47" s="1536"/>
      <c r="AD47" s="1726" t="s">
        <v>669</v>
      </c>
      <c r="AE47" s="1536"/>
      <c r="AF47" s="1726" t="s">
        <v>669</v>
      </c>
      <c r="AG47" s="1536"/>
      <c r="AH47" s="1726" t="s">
        <v>671</v>
      </c>
      <c r="AI47" s="1536"/>
      <c r="AJ47" s="1726"/>
      <c r="AK47" s="1536"/>
      <c r="AL47" s="1726"/>
      <c r="AM47" s="1536"/>
      <c r="AN47" s="1726"/>
      <c r="AO47" s="1536"/>
    </row>
    <row r="48" spans="1:41" ht="14.5" x14ac:dyDescent="0.35">
      <c r="A48" s="1538"/>
      <c r="B48" s="1753" t="s">
        <v>2117</v>
      </c>
      <c r="C48" s="646"/>
      <c r="D48" s="1699"/>
      <c r="E48" s="1699"/>
      <c r="F48" s="1699"/>
      <c r="G48" s="646"/>
      <c r="H48" s="1726" t="s">
        <v>669</v>
      </c>
      <c r="I48" s="1536"/>
      <c r="J48" s="1726" t="s">
        <v>669</v>
      </c>
      <c r="K48" s="1536"/>
      <c r="L48" s="1726" t="s">
        <v>669</v>
      </c>
      <c r="M48" s="1536"/>
      <c r="N48" s="1726" t="s">
        <v>669</v>
      </c>
      <c r="O48" s="1536"/>
      <c r="P48" s="1726" t="s">
        <v>669</v>
      </c>
      <c r="Q48" s="1536"/>
      <c r="R48" s="1726" t="s">
        <v>669</v>
      </c>
      <c r="S48" s="1536"/>
      <c r="T48" s="1726" t="s">
        <v>669</v>
      </c>
      <c r="U48" s="1536"/>
      <c r="V48" s="1726" t="s">
        <v>669</v>
      </c>
      <c r="W48" s="1536"/>
      <c r="X48" s="1726" t="s">
        <v>669</v>
      </c>
      <c r="Y48" s="1536"/>
      <c r="Z48" s="1726" t="s">
        <v>669</v>
      </c>
      <c r="AA48" s="1536"/>
      <c r="AB48" s="1726" t="s">
        <v>669</v>
      </c>
      <c r="AC48" s="1536"/>
      <c r="AD48" s="1726" t="s">
        <v>669</v>
      </c>
      <c r="AE48" s="1536"/>
      <c r="AF48" s="1726" t="s">
        <v>669</v>
      </c>
      <c r="AG48" s="1536"/>
      <c r="AH48" s="1726" t="s">
        <v>671</v>
      </c>
      <c r="AI48" s="1536"/>
      <c r="AJ48" s="1726"/>
      <c r="AK48" s="1536"/>
      <c r="AL48" s="1726"/>
      <c r="AM48" s="1536"/>
      <c r="AN48" s="1726"/>
      <c r="AO48" s="1536"/>
    </row>
    <row r="49" spans="1:41" ht="14.5" x14ac:dyDescent="0.35">
      <c r="A49" s="1538"/>
      <c r="B49" s="1753" t="s">
        <v>2118</v>
      </c>
      <c r="C49" s="646"/>
      <c r="D49" s="1699"/>
      <c r="E49" s="1699"/>
      <c r="F49" s="1699"/>
      <c r="G49" s="646"/>
      <c r="H49" s="1726" t="s">
        <v>669</v>
      </c>
      <c r="I49" s="1536"/>
      <c r="J49" s="1726" t="s">
        <v>669</v>
      </c>
      <c r="K49" s="1536"/>
      <c r="L49" s="1726" t="s">
        <v>669</v>
      </c>
      <c r="M49" s="1754" t="s">
        <v>2119</v>
      </c>
      <c r="N49" s="1726" t="s">
        <v>669</v>
      </c>
      <c r="O49" s="1536"/>
      <c r="P49" s="1726" t="s">
        <v>669</v>
      </c>
      <c r="Q49" s="1536"/>
      <c r="R49" s="1726" t="s">
        <v>669</v>
      </c>
      <c r="S49" s="1536"/>
      <c r="T49" s="1726" t="s">
        <v>669</v>
      </c>
      <c r="U49" s="1536"/>
      <c r="V49" s="1726" t="s">
        <v>669</v>
      </c>
      <c r="W49" s="1536" t="s">
        <v>2120</v>
      </c>
      <c r="X49" s="1726" t="s">
        <v>669</v>
      </c>
      <c r="Y49" s="1536"/>
      <c r="Z49" s="1726" t="s">
        <v>669</v>
      </c>
      <c r="AA49" s="1536" t="s">
        <v>2121</v>
      </c>
      <c r="AB49" s="1726" t="s">
        <v>669</v>
      </c>
      <c r="AC49" s="1536" t="s">
        <v>2122</v>
      </c>
      <c r="AD49" s="1726" t="s">
        <v>669</v>
      </c>
      <c r="AE49" s="1536" t="s">
        <v>2123</v>
      </c>
      <c r="AF49" s="1726" t="s">
        <v>669</v>
      </c>
      <c r="AG49" s="1536"/>
      <c r="AH49" s="1726" t="s">
        <v>671</v>
      </c>
      <c r="AI49" s="1536"/>
      <c r="AJ49" s="1726"/>
      <c r="AK49" s="1536"/>
      <c r="AL49" s="1726"/>
      <c r="AM49" s="1536"/>
      <c r="AN49" s="1726"/>
      <c r="AO49" s="1536"/>
    </row>
    <row r="50" spans="1:41" ht="29" x14ac:dyDescent="0.35">
      <c r="A50" s="1755" t="s">
        <v>2124</v>
      </c>
      <c r="B50" s="1756" t="s">
        <v>2125</v>
      </c>
      <c r="C50" s="646"/>
      <c r="D50" s="1699"/>
      <c r="E50" s="1699"/>
      <c r="F50" s="1699"/>
      <c r="G50" s="646"/>
      <c r="H50" s="1726" t="s">
        <v>671</v>
      </c>
      <c r="I50" s="1536" t="s">
        <v>2126</v>
      </c>
      <c r="J50" s="1726" t="s">
        <v>669</v>
      </c>
      <c r="K50" s="1536"/>
      <c r="L50" s="1726" t="s">
        <v>669</v>
      </c>
      <c r="M50" s="1536"/>
      <c r="N50" s="1726" t="s">
        <v>669</v>
      </c>
      <c r="O50" s="1536"/>
      <c r="P50" s="1726" t="s">
        <v>669</v>
      </c>
      <c r="Q50" s="1536"/>
      <c r="R50" s="1726" t="s">
        <v>669</v>
      </c>
      <c r="S50" s="1536"/>
      <c r="T50" s="1726" t="s">
        <v>669</v>
      </c>
      <c r="U50" s="1536"/>
      <c r="V50" s="1726" t="s">
        <v>669</v>
      </c>
      <c r="W50" s="1536" t="s">
        <v>2127</v>
      </c>
      <c r="X50" s="1726" t="s">
        <v>669</v>
      </c>
      <c r="Y50" s="1536"/>
      <c r="Z50" s="1726" t="s">
        <v>669</v>
      </c>
      <c r="AA50" s="1536" t="s">
        <v>2127</v>
      </c>
      <c r="AB50" s="1726" t="s">
        <v>669</v>
      </c>
      <c r="AC50" s="1536"/>
      <c r="AD50" s="1726" t="s">
        <v>669</v>
      </c>
      <c r="AE50" s="1536"/>
      <c r="AF50" s="1726" t="s">
        <v>669</v>
      </c>
      <c r="AG50" s="1734" t="s">
        <v>2128</v>
      </c>
      <c r="AH50" s="1726" t="s">
        <v>671</v>
      </c>
      <c r="AI50" s="1536"/>
      <c r="AJ50" s="1726"/>
      <c r="AK50" s="1536"/>
      <c r="AL50" s="1726"/>
      <c r="AM50" s="1536"/>
      <c r="AN50" s="1726"/>
      <c r="AO50" s="1536"/>
    </row>
    <row r="51" spans="1:41" ht="14.5" x14ac:dyDescent="0.35">
      <c r="A51" s="1538"/>
      <c r="B51" s="1757"/>
      <c r="C51" s="646"/>
      <c r="D51" s="1699"/>
      <c r="E51" s="1699"/>
      <c r="F51" s="1699"/>
      <c r="G51" s="646"/>
      <c r="H51" s="1726"/>
      <c r="I51" s="1536"/>
      <c r="J51" s="1726"/>
      <c r="K51" s="1536"/>
      <c r="L51" s="1726"/>
      <c r="M51" s="1536"/>
      <c r="N51" s="1726"/>
      <c r="O51" s="1536"/>
      <c r="P51" s="1726"/>
      <c r="Q51" s="1536"/>
      <c r="R51" s="1726"/>
      <c r="S51" s="1536"/>
      <c r="T51" s="1726"/>
      <c r="U51" s="1536"/>
      <c r="V51" s="1726"/>
      <c r="W51" s="1536"/>
      <c r="X51" s="1726"/>
      <c r="Y51" s="1536"/>
      <c r="Z51" s="1726"/>
      <c r="AA51" s="1536"/>
      <c r="AB51" s="1536"/>
      <c r="AC51" s="1536"/>
      <c r="AD51" s="1726"/>
      <c r="AE51" s="1536"/>
      <c r="AF51" s="1726"/>
      <c r="AG51" s="1536"/>
      <c r="AH51" s="1726"/>
      <c r="AI51" s="1536"/>
      <c r="AJ51" s="1726"/>
      <c r="AK51" s="1536"/>
      <c r="AL51" s="1726"/>
      <c r="AM51" s="1536"/>
      <c r="AN51" s="1726"/>
      <c r="AO51" s="1536"/>
    </row>
    <row r="52" spans="1:41" ht="14.5" x14ac:dyDescent="0.35">
      <c r="A52" s="1538"/>
      <c r="B52" s="1758" t="s">
        <v>1105</v>
      </c>
      <c r="C52" s="646" t="s">
        <v>2099</v>
      </c>
      <c r="D52" s="1699"/>
      <c r="E52" s="1699"/>
      <c r="F52" s="1699"/>
      <c r="G52" s="646"/>
      <c r="H52" s="1726" t="s">
        <v>669</v>
      </c>
      <c r="I52" s="1533"/>
      <c r="J52" s="1726" t="s">
        <v>669</v>
      </c>
      <c r="K52" s="1536"/>
      <c r="L52" s="1726" t="s">
        <v>669</v>
      </c>
      <c r="M52" s="1536"/>
      <c r="N52" s="1726" t="s">
        <v>669</v>
      </c>
      <c r="O52" s="1536"/>
      <c r="P52" s="1726" t="s">
        <v>669</v>
      </c>
      <c r="Q52" s="1536"/>
      <c r="R52" s="1726" t="s">
        <v>669</v>
      </c>
      <c r="S52" s="1536"/>
      <c r="T52" s="1726" t="s">
        <v>669</v>
      </c>
      <c r="U52" s="1536"/>
      <c r="V52" s="1726" t="s">
        <v>669</v>
      </c>
      <c r="W52" s="1536"/>
      <c r="X52" s="1726" t="s">
        <v>669</v>
      </c>
      <c r="Y52" s="1533">
        <f>1141090+155946+1235114+212544+18678+1968+30400</f>
        <v>2795740</v>
      </c>
      <c r="Z52" s="1726" t="s">
        <v>669</v>
      </c>
      <c r="AA52" s="1533">
        <f>478559+468880+529102+440996+433965+435571</f>
        <v>2787073</v>
      </c>
      <c r="AB52" s="1726" t="s">
        <v>669</v>
      </c>
      <c r="AC52" s="1533"/>
      <c r="AD52" s="1726" t="s">
        <v>669</v>
      </c>
      <c r="AE52" s="1533">
        <f>3048425.88</f>
        <v>3048425.88</v>
      </c>
      <c r="AF52" s="1726" t="s">
        <v>669</v>
      </c>
      <c r="AG52" s="1533">
        <v>566291.35</v>
      </c>
      <c r="AH52" s="1726" t="s">
        <v>671</v>
      </c>
      <c r="AI52" s="1536"/>
      <c r="AJ52" s="1726"/>
      <c r="AK52" s="1536"/>
      <c r="AL52" s="1726"/>
      <c r="AM52" s="1536"/>
      <c r="AN52" s="1726"/>
      <c r="AO52" s="1536"/>
    </row>
    <row r="53" spans="1:41" ht="14.5" x14ac:dyDescent="0.35">
      <c r="A53" s="1538"/>
      <c r="B53" s="1759" t="s">
        <v>2129</v>
      </c>
      <c r="C53" s="646"/>
      <c r="D53" s="1699"/>
      <c r="E53" s="1699"/>
      <c r="F53" s="1699"/>
      <c r="G53" s="646"/>
      <c r="H53" s="1726" t="s">
        <v>669</v>
      </c>
      <c r="I53" s="1536"/>
      <c r="J53" s="1726" t="s">
        <v>669</v>
      </c>
      <c r="K53" s="1536"/>
      <c r="L53" s="1726" t="s">
        <v>669</v>
      </c>
      <c r="M53" s="1536"/>
      <c r="N53" s="1726" t="s">
        <v>669</v>
      </c>
      <c r="O53" s="1536"/>
      <c r="P53" s="1726" t="s">
        <v>669</v>
      </c>
      <c r="Q53" s="1536"/>
      <c r="R53" s="1726" t="s">
        <v>669</v>
      </c>
      <c r="S53" s="1536"/>
      <c r="T53" s="1726" t="s">
        <v>669</v>
      </c>
      <c r="U53" s="1536"/>
      <c r="V53" s="1726" t="s">
        <v>669</v>
      </c>
      <c r="W53" s="1536"/>
      <c r="X53" s="1726" t="s">
        <v>669</v>
      </c>
      <c r="Y53" s="1536"/>
      <c r="Z53" s="1726" t="s">
        <v>669</v>
      </c>
      <c r="AA53" s="1536"/>
      <c r="AB53" s="1726" t="s">
        <v>669</v>
      </c>
      <c r="AC53" s="1536"/>
      <c r="AD53" s="1726" t="s">
        <v>669</v>
      </c>
      <c r="AE53" s="1536"/>
      <c r="AF53" s="1726" t="s">
        <v>669</v>
      </c>
      <c r="AG53" s="1536"/>
      <c r="AH53" s="1726" t="s">
        <v>671</v>
      </c>
      <c r="AI53" s="1536"/>
      <c r="AJ53" s="1726"/>
      <c r="AK53" s="1536"/>
      <c r="AL53" s="1726"/>
      <c r="AM53" s="1536"/>
      <c r="AN53" s="1726"/>
      <c r="AO53" s="1536"/>
    </row>
    <row r="54" spans="1:41" ht="14.5" x14ac:dyDescent="0.35">
      <c r="A54" s="1538"/>
      <c r="B54" s="1759" t="s">
        <v>2130</v>
      </c>
      <c r="C54" s="646"/>
      <c r="D54" s="1699"/>
      <c r="E54" s="1699"/>
      <c r="F54" s="1699"/>
      <c r="G54" s="646"/>
      <c r="H54" s="1726" t="s">
        <v>669</v>
      </c>
      <c r="I54" s="1536"/>
      <c r="J54" s="1726" t="s">
        <v>669</v>
      </c>
      <c r="K54" s="1536"/>
      <c r="L54" s="1726" t="s">
        <v>669</v>
      </c>
      <c r="M54" s="1536"/>
      <c r="N54" s="1726" t="s">
        <v>669</v>
      </c>
      <c r="O54" s="1536"/>
      <c r="P54" s="1726" t="s">
        <v>669</v>
      </c>
      <c r="Q54" s="1536"/>
      <c r="R54" s="1726" t="s">
        <v>669</v>
      </c>
      <c r="S54" s="1536"/>
      <c r="T54" s="1726" t="s">
        <v>669</v>
      </c>
      <c r="U54" s="1536"/>
      <c r="V54" s="1726" t="s">
        <v>669</v>
      </c>
      <c r="W54" s="1536"/>
      <c r="X54" s="1726" t="s">
        <v>669</v>
      </c>
      <c r="Y54" s="1536"/>
      <c r="Z54" s="1726" t="s">
        <v>669</v>
      </c>
      <c r="AA54" s="1536"/>
      <c r="AB54" s="1726" t="s">
        <v>669</v>
      </c>
      <c r="AC54" s="1536"/>
      <c r="AD54" s="1726" t="s">
        <v>669</v>
      </c>
      <c r="AE54" s="1536"/>
      <c r="AF54" s="1726" t="s">
        <v>669</v>
      </c>
      <c r="AG54" s="1536"/>
      <c r="AH54" s="1726" t="s">
        <v>671</v>
      </c>
      <c r="AI54" s="1536"/>
      <c r="AJ54" s="1726"/>
      <c r="AK54" s="1536"/>
      <c r="AL54" s="1726"/>
      <c r="AM54" s="1536"/>
      <c r="AN54" s="1726"/>
      <c r="AO54" s="1536"/>
    </row>
    <row r="55" spans="1:41" ht="14.5" x14ac:dyDescent="0.35">
      <c r="A55" s="1538"/>
      <c r="B55" s="1759" t="s">
        <v>2131</v>
      </c>
      <c r="C55" s="646"/>
      <c r="D55" s="1699"/>
      <c r="E55" s="1699"/>
      <c r="F55" s="1699"/>
      <c r="G55" s="646"/>
      <c r="H55" s="1726" t="s">
        <v>669</v>
      </c>
      <c r="I55" s="1536"/>
      <c r="J55" s="1726" t="s">
        <v>669</v>
      </c>
      <c r="K55" s="1536"/>
      <c r="L55" s="1726" t="s">
        <v>669</v>
      </c>
      <c r="M55" s="1536"/>
      <c r="N55" s="1726" t="s">
        <v>669</v>
      </c>
      <c r="O55" s="1536"/>
      <c r="P55" s="1726" t="s">
        <v>669</v>
      </c>
      <c r="Q55" s="1536"/>
      <c r="R55" s="1726" t="s">
        <v>669</v>
      </c>
      <c r="S55" s="1536"/>
      <c r="T55" s="1726" t="s">
        <v>669</v>
      </c>
      <c r="U55" s="1536"/>
      <c r="V55" s="1726" t="s">
        <v>669</v>
      </c>
      <c r="W55" s="1536"/>
      <c r="X55" s="1726" t="s">
        <v>669</v>
      </c>
      <c r="Y55" s="1536"/>
      <c r="Z55" s="1726" t="s">
        <v>669</v>
      </c>
      <c r="AA55" s="1536"/>
      <c r="AB55" s="1726" t="s">
        <v>669</v>
      </c>
      <c r="AC55" s="1536"/>
      <c r="AD55" s="1726" t="s">
        <v>669</v>
      </c>
      <c r="AE55" s="1536"/>
      <c r="AF55" s="1726" t="s">
        <v>669</v>
      </c>
      <c r="AG55" s="1536"/>
      <c r="AH55" s="1726" t="s">
        <v>671</v>
      </c>
      <c r="AI55" s="1536"/>
      <c r="AJ55" s="1726"/>
      <c r="AK55" s="1536"/>
      <c r="AL55" s="1726"/>
      <c r="AM55" s="1536"/>
      <c r="AN55" s="1726"/>
      <c r="AO55" s="1536"/>
    </row>
    <row r="56" spans="1:41" ht="14.5" x14ac:dyDescent="0.35">
      <c r="A56" s="1538"/>
      <c r="B56" s="1759" t="s">
        <v>2132</v>
      </c>
      <c r="C56" s="646"/>
      <c r="D56" s="1699"/>
      <c r="E56" s="1699"/>
      <c r="F56" s="1699"/>
      <c r="G56" s="646"/>
      <c r="H56" s="1726" t="s">
        <v>669</v>
      </c>
      <c r="I56" s="1536"/>
      <c r="J56" s="1726" t="s">
        <v>669</v>
      </c>
      <c r="K56" s="1536"/>
      <c r="L56" s="1726" t="s">
        <v>669</v>
      </c>
      <c r="M56" s="1536"/>
      <c r="N56" s="1726" t="s">
        <v>669</v>
      </c>
      <c r="O56" s="1536"/>
      <c r="P56" s="1726" t="s">
        <v>669</v>
      </c>
      <c r="Q56" s="1536"/>
      <c r="R56" s="1726" t="s">
        <v>669</v>
      </c>
      <c r="S56" s="1536"/>
      <c r="T56" s="1726" t="s">
        <v>669</v>
      </c>
      <c r="U56" s="1536"/>
      <c r="V56" s="1726" t="s">
        <v>669</v>
      </c>
      <c r="W56" s="1536"/>
      <c r="X56" s="1726" t="s">
        <v>669</v>
      </c>
      <c r="Y56" s="1536"/>
      <c r="Z56" s="1726" t="s">
        <v>669</v>
      </c>
      <c r="AA56" s="1536"/>
      <c r="AB56" s="1726" t="s">
        <v>669</v>
      </c>
      <c r="AC56" s="1536"/>
      <c r="AD56" s="1726" t="s">
        <v>669</v>
      </c>
      <c r="AE56" s="1536"/>
      <c r="AF56" s="1726" t="s">
        <v>669</v>
      </c>
      <c r="AG56" s="1536"/>
      <c r="AH56" s="1726" t="s">
        <v>671</v>
      </c>
      <c r="AI56" s="1536"/>
      <c r="AJ56" s="1726"/>
      <c r="AK56" s="1536"/>
      <c r="AL56" s="1726"/>
      <c r="AM56" s="1536"/>
      <c r="AN56" s="1726"/>
      <c r="AO56" s="1536"/>
    </row>
    <row r="57" spans="1:41" ht="14.5" x14ac:dyDescent="0.35">
      <c r="A57" s="1538"/>
      <c r="B57" s="1759" t="s">
        <v>2133</v>
      </c>
      <c r="C57" s="646"/>
      <c r="D57" s="1699"/>
      <c r="E57" s="1699"/>
      <c r="F57" s="1699"/>
      <c r="G57" s="646"/>
      <c r="H57" s="1726" t="s">
        <v>669</v>
      </c>
      <c r="I57" s="1536"/>
      <c r="J57" s="1726" t="s">
        <v>669</v>
      </c>
      <c r="K57" s="1536"/>
      <c r="L57" s="1726" t="s">
        <v>669</v>
      </c>
      <c r="M57" s="1536"/>
      <c r="N57" s="1726" t="s">
        <v>669</v>
      </c>
      <c r="O57" s="1536"/>
      <c r="P57" s="1726" t="s">
        <v>669</v>
      </c>
      <c r="Q57" s="1536"/>
      <c r="R57" s="1726" t="s">
        <v>669</v>
      </c>
      <c r="S57" s="1536"/>
      <c r="T57" s="1726" t="s">
        <v>669</v>
      </c>
      <c r="U57" s="1536"/>
      <c r="V57" s="1726" t="s">
        <v>669</v>
      </c>
      <c r="W57" s="1536"/>
      <c r="X57" s="1726" t="s">
        <v>669</v>
      </c>
      <c r="Y57" s="1536"/>
      <c r="Z57" s="1726" t="s">
        <v>669</v>
      </c>
      <c r="AA57" s="1536"/>
      <c r="AB57" s="1726" t="s">
        <v>669</v>
      </c>
      <c r="AC57" s="1536"/>
      <c r="AD57" s="1726" t="s">
        <v>669</v>
      </c>
      <c r="AE57" s="1536"/>
      <c r="AF57" s="1726" t="s">
        <v>669</v>
      </c>
      <c r="AG57" s="1536"/>
      <c r="AH57" s="1726" t="s">
        <v>671</v>
      </c>
      <c r="AI57" s="1536"/>
      <c r="AJ57" s="1726"/>
      <c r="AK57" s="1536"/>
      <c r="AL57" s="1726"/>
      <c r="AM57" s="1536"/>
      <c r="AN57" s="1726"/>
      <c r="AO57" s="1536"/>
    </row>
    <row r="58" spans="1:41" ht="14.5" x14ac:dyDescent="0.35">
      <c r="A58" s="1538"/>
      <c r="B58" s="1759" t="s">
        <v>2134</v>
      </c>
      <c r="C58" s="646"/>
      <c r="D58" s="1699"/>
      <c r="E58" s="1699"/>
      <c r="F58" s="1699"/>
      <c r="G58" s="646"/>
      <c r="H58" s="1726" t="s">
        <v>669</v>
      </c>
      <c r="I58" s="1536"/>
      <c r="J58" s="1726" t="s">
        <v>669</v>
      </c>
      <c r="K58" s="1536"/>
      <c r="L58" s="1726" t="s">
        <v>669</v>
      </c>
      <c r="M58" s="1536"/>
      <c r="N58" s="1726" t="s">
        <v>669</v>
      </c>
      <c r="O58" s="1536"/>
      <c r="P58" s="1726" t="s">
        <v>669</v>
      </c>
      <c r="Q58" s="1536"/>
      <c r="R58" s="1726" t="s">
        <v>669</v>
      </c>
      <c r="S58" s="1536"/>
      <c r="T58" s="1726" t="s">
        <v>669</v>
      </c>
      <c r="U58" s="1536"/>
      <c r="V58" s="1726" t="s">
        <v>669</v>
      </c>
      <c r="W58" s="1536"/>
      <c r="X58" s="1726" t="s">
        <v>669</v>
      </c>
      <c r="Y58" s="1536"/>
      <c r="Z58" s="1726" t="s">
        <v>669</v>
      </c>
      <c r="AA58" s="1536"/>
      <c r="AB58" s="1726" t="s">
        <v>669</v>
      </c>
      <c r="AC58" s="1536"/>
      <c r="AD58" s="1726" t="s">
        <v>669</v>
      </c>
      <c r="AE58" s="1536"/>
      <c r="AF58" s="1726" t="s">
        <v>669</v>
      </c>
      <c r="AG58" s="1536"/>
      <c r="AH58" s="1726" t="s">
        <v>671</v>
      </c>
      <c r="AI58" s="1536"/>
      <c r="AJ58" s="1726"/>
      <c r="AK58" s="1536"/>
      <c r="AL58" s="1726"/>
      <c r="AM58" s="1536"/>
      <c r="AN58" s="1726"/>
      <c r="AO58" s="1536"/>
    </row>
    <row r="59" spans="1:41" ht="14.5" x14ac:dyDescent="0.35">
      <c r="A59" s="1538"/>
      <c r="B59" s="1759" t="s">
        <v>2135</v>
      </c>
      <c r="C59" s="646"/>
      <c r="D59" s="1699"/>
      <c r="E59" s="1699"/>
      <c r="F59" s="1699"/>
      <c r="G59" s="646"/>
      <c r="H59" s="1726" t="s">
        <v>669</v>
      </c>
      <c r="I59" s="1536"/>
      <c r="J59" s="1726" t="s">
        <v>669</v>
      </c>
      <c r="K59" s="1536"/>
      <c r="L59" s="1726" t="s">
        <v>669</v>
      </c>
      <c r="M59" s="1536"/>
      <c r="N59" s="1726" t="s">
        <v>669</v>
      </c>
      <c r="O59" s="1536"/>
      <c r="P59" s="1726" t="s">
        <v>669</v>
      </c>
      <c r="Q59" s="1536"/>
      <c r="R59" s="1726" t="s">
        <v>669</v>
      </c>
      <c r="S59" s="1536"/>
      <c r="T59" s="1726" t="s">
        <v>669</v>
      </c>
      <c r="U59" s="1536"/>
      <c r="V59" s="1726" t="s">
        <v>669</v>
      </c>
      <c r="W59" s="1536"/>
      <c r="X59" s="1726" t="s">
        <v>669</v>
      </c>
      <c r="Y59" s="1536"/>
      <c r="Z59" s="1726" t="s">
        <v>669</v>
      </c>
      <c r="AA59" s="1536"/>
      <c r="AB59" s="1726" t="s">
        <v>669</v>
      </c>
      <c r="AC59" s="1536"/>
      <c r="AD59" s="1726" t="s">
        <v>669</v>
      </c>
      <c r="AE59" s="1536"/>
      <c r="AF59" s="1726" t="s">
        <v>669</v>
      </c>
      <c r="AG59" s="1536"/>
      <c r="AH59" s="1726" t="s">
        <v>671</v>
      </c>
      <c r="AI59" s="1536"/>
      <c r="AJ59" s="1726"/>
      <c r="AK59" s="1536"/>
      <c r="AL59" s="1726"/>
      <c r="AM59" s="1536"/>
      <c r="AN59" s="1726"/>
      <c r="AO59" s="1536"/>
    </row>
    <row r="60" spans="1:41" ht="14.5" x14ac:dyDescent="0.35">
      <c r="A60" s="1538"/>
      <c r="B60" s="1759" t="s">
        <v>2136</v>
      </c>
      <c r="C60" s="646"/>
      <c r="D60" s="1699"/>
      <c r="E60" s="1699"/>
      <c r="F60" s="1699"/>
      <c r="G60" s="646"/>
      <c r="H60" s="1726" t="s">
        <v>669</v>
      </c>
      <c r="I60" s="1536"/>
      <c r="J60" s="1726" t="s">
        <v>669</v>
      </c>
      <c r="K60" s="1536"/>
      <c r="L60" s="1726" t="s">
        <v>669</v>
      </c>
      <c r="M60" s="1536"/>
      <c r="N60" s="1726" t="s">
        <v>669</v>
      </c>
      <c r="O60" s="1536"/>
      <c r="P60" s="1726" t="s">
        <v>669</v>
      </c>
      <c r="Q60" s="1536"/>
      <c r="R60" s="1726" t="s">
        <v>669</v>
      </c>
      <c r="S60" s="1536"/>
      <c r="T60" s="1726" t="s">
        <v>669</v>
      </c>
      <c r="U60" s="1536"/>
      <c r="V60" s="1726" t="s">
        <v>669</v>
      </c>
      <c r="W60" s="1536"/>
      <c r="X60" s="1726" t="s">
        <v>669</v>
      </c>
      <c r="Y60" s="1536"/>
      <c r="Z60" s="1726" t="s">
        <v>669</v>
      </c>
      <c r="AA60" s="1536"/>
      <c r="AB60" s="1726" t="s">
        <v>669</v>
      </c>
      <c r="AC60" s="1536"/>
      <c r="AD60" s="1726" t="s">
        <v>669</v>
      </c>
      <c r="AE60" s="1536"/>
      <c r="AF60" s="1726" t="s">
        <v>669</v>
      </c>
      <c r="AG60" s="1536"/>
      <c r="AH60" s="1726" t="s">
        <v>671</v>
      </c>
      <c r="AI60" s="1536"/>
      <c r="AJ60" s="1726"/>
      <c r="AK60" s="1536"/>
      <c r="AL60" s="1726"/>
      <c r="AM60" s="1536"/>
      <c r="AN60" s="1726"/>
      <c r="AO60" s="1536"/>
    </row>
    <row r="61" spans="1:41" ht="14.5" x14ac:dyDescent="0.35">
      <c r="A61" s="1538"/>
      <c r="B61" s="1758" t="s">
        <v>1220</v>
      </c>
      <c r="C61" s="646"/>
      <c r="D61" s="1699"/>
      <c r="E61" s="1699"/>
      <c r="F61" s="1699"/>
      <c r="G61" s="646"/>
      <c r="H61" s="1726" t="s">
        <v>669</v>
      </c>
      <c r="I61" s="1533"/>
      <c r="J61" s="1726" t="s">
        <v>669</v>
      </c>
      <c r="K61" s="1536"/>
      <c r="L61" s="1726" t="s">
        <v>669</v>
      </c>
      <c r="M61" s="1536"/>
      <c r="N61" s="1726" t="s">
        <v>669</v>
      </c>
      <c r="O61" s="1536"/>
      <c r="P61" s="1726" t="s">
        <v>669</v>
      </c>
      <c r="Q61" s="1536"/>
      <c r="R61" s="1726" t="s">
        <v>669</v>
      </c>
      <c r="S61" s="1536"/>
      <c r="T61" s="1726" t="s">
        <v>669</v>
      </c>
      <c r="U61" s="1536"/>
      <c r="V61" s="1726" t="s">
        <v>669</v>
      </c>
      <c r="W61" s="1536"/>
      <c r="X61" s="1726" t="s">
        <v>669</v>
      </c>
      <c r="Y61" s="1536"/>
      <c r="Z61" s="1726" t="s">
        <v>669</v>
      </c>
      <c r="AA61" s="1536"/>
      <c r="AB61" s="1726" t="s">
        <v>669</v>
      </c>
      <c r="AC61" s="1536"/>
      <c r="AD61" s="1726" t="s">
        <v>669</v>
      </c>
      <c r="AE61" s="1536"/>
      <c r="AF61" s="1726" t="s">
        <v>669</v>
      </c>
      <c r="AG61" s="1533">
        <v>603565.5</v>
      </c>
      <c r="AH61" s="1726" t="s">
        <v>671</v>
      </c>
      <c r="AI61" s="1536"/>
      <c r="AJ61" s="1726"/>
      <c r="AK61" s="1536"/>
      <c r="AL61" s="1726"/>
      <c r="AM61" s="1536"/>
      <c r="AN61" s="1726"/>
      <c r="AO61" s="1536"/>
    </row>
    <row r="62" spans="1:41" ht="14.5" hidden="1" x14ac:dyDescent="0.35">
      <c r="A62" s="1538"/>
      <c r="B62" s="1759" t="s">
        <v>2137</v>
      </c>
      <c r="C62" s="646"/>
      <c r="D62" s="1699">
        <v>131</v>
      </c>
      <c r="E62" s="1699" t="s">
        <v>666</v>
      </c>
      <c r="F62" s="1699"/>
      <c r="G62" s="646"/>
      <c r="H62" s="1726" t="s">
        <v>669</v>
      </c>
      <c r="I62" s="1536"/>
      <c r="J62" s="1726" t="s">
        <v>669</v>
      </c>
      <c r="K62" s="1536"/>
      <c r="L62" s="1726" t="s">
        <v>669</v>
      </c>
      <c r="M62" s="1536"/>
      <c r="N62" s="1726" t="s">
        <v>669</v>
      </c>
      <c r="O62" s="1536"/>
      <c r="P62" s="1726" t="s">
        <v>669</v>
      </c>
      <c r="Q62" s="1536"/>
      <c r="R62" s="1726" t="s">
        <v>669</v>
      </c>
      <c r="S62" s="1536"/>
      <c r="T62" s="1726" t="s">
        <v>669</v>
      </c>
      <c r="U62" s="1536"/>
      <c r="V62" s="1726" t="s">
        <v>669</v>
      </c>
      <c r="W62" s="1536"/>
      <c r="X62" s="1726" t="s">
        <v>669</v>
      </c>
      <c r="Y62" s="1536"/>
      <c r="Z62" s="1726" t="s">
        <v>669</v>
      </c>
      <c r="AA62" s="1536"/>
      <c r="AB62" s="1726" t="s">
        <v>669</v>
      </c>
      <c r="AC62" s="1536"/>
      <c r="AD62" s="1726" t="s">
        <v>669</v>
      </c>
      <c r="AE62" s="1536"/>
      <c r="AF62" s="1726" t="s">
        <v>669</v>
      </c>
      <c r="AG62" s="1536"/>
      <c r="AH62" s="1726" t="s">
        <v>671</v>
      </c>
      <c r="AI62" s="1536"/>
      <c r="AJ62" s="1726"/>
      <c r="AK62" s="1536"/>
      <c r="AL62" s="1726"/>
      <c r="AM62" s="1536"/>
      <c r="AN62" s="1726"/>
      <c r="AO62" s="1536"/>
    </row>
    <row r="63" spans="1:41" ht="14.5" x14ac:dyDescent="0.35">
      <c r="A63" s="1538"/>
      <c r="B63" s="1758" t="s">
        <v>1226</v>
      </c>
      <c r="C63" s="646"/>
      <c r="D63" s="1699"/>
      <c r="E63" s="1699"/>
      <c r="F63" s="1699"/>
      <c r="G63" s="646"/>
      <c r="H63" s="1726" t="s">
        <v>669</v>
      </c>
      <c r="I63" s="1533"/>
      <c r="J63" s="1726" t="s">
        <v>669</v>
      </c>
      <c r="K63" s="1536"/>
      <c r="L63" s="1726" t="s">
        <v>669</v>
      </c>
      <c r="M63" s="1536"/>
      <c r="N63" s="1726" t="s">
        <v>669</v>
      </c>
      <c r="O63" s="1536"/>
      <c r="P63" s="1726" t="s">
        <v>669</v>
      </c>
      <c r="Q63" s="1536"/>
      <c r="R63" s="1726" t="s">
        <v>669</v>
      </c>
      <c r="S63" s="1536"/>
      <c r="T63" s="1726" t="s">
        <v>669</v>
      </c>
      <c r="U63" s="1536"/>
      <c r="V63" s="1726" t="s">
        <v>669</v>
      </c>
      <c r="W63" s="1536"/>
      <c r="X63" s="1726" t="s">
        <v>669</v>
      </c>
      <c r="Y63" s="1536"/>
      <c r="Z63" s="1726" t="s">
        <v>669</v>
      </c>
      <c r="AA63" s="1536"/>
      <c r="AB63" s="1726" t="s">
        <v>669</v>
      </c>
      <c r="AC63" s="1536"/>
      <c r="AD63" s="1726" t="s">
        <v>669</v>
      </c>
      <c r="AE63" s="1536"/>
      <c r="AF63" s="1726" t="s">
        <v>669</v>
      </c>
      <c r="AG63" s="1533">
        <v>620070.25</v>
      </c>
      <c r="AH63" s="1726" t="s">
        <v>671</v>
      </c>
      <c r="AI63" s="1536"/>
      <c r="AJ63" s="1726"/>
      <c r="AK63" s="1536"/>
      <c r="AL63" s="1726"/>
      <c r="AM63" s="1536"/>
      <c r="AN63" s="1726"/>
      <c r="AO63" s="1536"/>
    </row>
    <row r="64" spans="1:41" ht="14.5" hidden="1" x14ac:dyDescent="0.35">
      <c r="A64" s="1538"/>
      <c r="B64" s="1759" t="s">
        <v>2137</v>
      </c>
      <c r="C64" s="646"/>
      <c r="D64" s="1699">
        <v>131</v>
      </c>
      <c r="E64" s="1699" t="s">
        <v>666</v>
      </c>
      <c r="F64" s="1699"/>
      <c r="G64" s="646"/>
      <c r="H64" s="1726" t="s">
        <v>669</v>
      </c>
      <c r="I64" s="1536"/>
      <c r="J64" s="1726" t="s">
        <v>669</v>
      </c>
      <c r="K64" s="1536"/>
      <c r="L64" s="1726" t="s">
        <v>669</v>
      </c>
      <c r="M64" s="1536"/>
      <c r="N64" s="1726" t="s">
        <v>669</v>
      </c>
      <c r="O64" s="1536"/>
      <c r="P64" s="1726" t="s">
        <v>669</v>
      </c>
      <c r="Q64" s="1536"/>
      <c r="R64" s="1726" t="s">
        <v>669</v>
      </c>
      <c r="S64" s="1536"/>
      <c r="T64" s="1726" t="s">
        <v>669</v>
      </c>
      <c r="U64" s="1536"/>
      <c r="V64" s="1726" t="s">
        <v>669</v>
      </c>
      <c r="W64" s="1536"/>
      <c r="X64" s="1726" t="s">
        <v>669</v>
      </c>
      <c r="Y64" s="1536"/>
      <c r="Z64" s="1726" t="s">
        <v>669</v>
      </c>
      <c r="AA64" s="1536"/>
      <c r="AB64" s="1726" t="s">
        <v>669</v>
      </c>
      <c r="AC64" s="1536"/>
      <c r="AD64" s="1726" t="s">
        <v>669</v>
      </c>
      <c r="AE64" s="1536"/>
      <c r="AF64" s="1726" t="s">
        <v>669</v>
      </c>
      <c r="AG64" s="1536"/>
      <c r="AH64" s="1726" t="s">
        <v>671</v>
      </c>
      <c r="AI64" s="1536"/>
      <c r="AJ64" s="1726"/>
      <c r="AK64" s="1536"/>
      <c r="AL64" s="1726"/>
      <c r="AM64" s="1536"/>
      <c r="AN64" s="1726"/>
      <c r="AO64" s="1536"/>
    </row>
    <row r="65" spans="1:41" ht="14.5" x14ac:dyDescent="0.35">
      <c r="A65" s="1538"/>
      <c r="B65" s="1758" t="s">
        <v>1231</v>
      </c>
      <c r="C65" s="646"/>
      <c r="D65" s="1699"/>
      <c r="E65" s="1699"/>
      <c r="F65" s="1699"/>
      <c r="G65" s="646"/>
      <c r="H65" s="1726" t="s">
        <v>669</v>
      </c>
      <c r="I65" s="1533"/>
      <c r="J65" s="1726" t="s">
        <v>669</v>
      </c>
      <c r="K65" s="1536"/>
      <c r="L65" s="1726" t="s">
        <v>669</v>
      </c>
      <c r="M65" s="1536"/>
      <c r="N65" s="1726" t="s">
        <v>669</v>
      </c>
      <c r="O65" s="1536"/>
      <c r="P65" s="1726" t="s">
        <v>669</v>
      </c>
      <c r="Q65" s="1536"/>
      <c r="R65" s="1726" t="s">
        <v>669</v>
      </c>
      <c r="S65" s="1536"/>
      <c r="T65" s="1726" t="s">
        <v>669</v>
      </c>
      <c r="U65" s="1536"/>
      <c r="V65" s="1726" t="s">
        <v>669</v>
      </c>
      <c r="W65" s="1536"/>
      <c r="X65" s="1726" t="s">
        <v>669</v>
      </c>
      <c r="Y65" s="1536"/>
      <c r="Z65" s="1726" t="s">
        <v>669</v>
      </c>
      <c r="AA65" s="1536"/>
      <c r="AB65" s="1726" t="s">
        <v>669</v>
      </c>
      <c r="AC65" s="1536"/>
      <c r="AD65" s="1726" t="s">
        <v>669</v>
      </c>
      <c r="AE65" s="1536"/>
      <c r="AF65" s="1726" t="s">
        <v>669</v>
      </c>
      <c r="AG65" s="1533">
        <v>695891</v>
      </c>
      <c r="AH65" s="1726" t="s">
        <v>671</v>
      </c>
      <c r="AI65" s="1536"/>
      <c r="AJ65" s="1726"/>
      <c r="AK65" s="1536"/>
      <c r="AL65" s="1726"/>
      <c r="AM65" s="1536"/>
      <c r="AN65" s="1726"/>
      <c r="AO65" s="1536"/>
    </row>
    <row r="66" spans="1:41" ht="14.5" hidden="1" x14ac:dyDescent="0.35">
      <c r="A66" s="1538"/>
      <c r="B66" s="1759" t="s">
        <v>2138</v>
      </c>
      <c r="C66" s="646"/>
      <c r="D66" s="1699">
        <v>132</v>
      </c>
      <c r="E66" s="1699" t="s">
        <v>666</v>
      </c>
      <c r="F66" s="1699"/>
      <c r="G66" s="646"/>
      <c r="H66" s="1726" t="s">
        <v>669</v>
      </c>
      <c r="I66" s="1536"/>
      <c r="J66" s="1726" t="s">
        <v>669</v>
      </c>
      <c r="K66" s="1536"/>
      <c r="L66" s="1726" t="s">
        <v>669</v>
      </c>
      <c r="M66" s="1536"/>
      <c r="N66" s="1726" t="s">
        <v>669</v>
      </c>
      <c r="O66" s="1536"/>
      <c r="P66" s="1726" t="s">
        <v>669</v>
      </c>
      <c r="Q66" s="1536"/>
      <c r="R66" s="1726" t="s">
        <v>669</v>
      </c>
      <c r="S66" s="1536"/>
      <c r="T66" s="1726" t="s">
        <v>669</v>
      </c>
      <c r="U66" s="1536"/>
      <c r="V66" s="1726" t="s">
        <v>669</v>
      </c>
      <c r="W66" s="1536"/>
      <c r="X66" s="1726" t="s">
        <v>669</v>
      </c>
      <c r="Y66" s="1536"/>
      <c r="Z66" s="1726" t="s">
        <v>669</v>
      </c>
      <c r="AA66" s="1536"/>
      <c r="AB66" s="1726" t="s">
        <v>669</v>
      </c>
      <c r="AC66" s="1536"/>
      <c r="AD66" s="1726" t="s">
        <v>669</v>
      </c>
      <c r="AE66" s="1536"/>
      <c r="AF66" s="1726" t="s">
        <v>669</v>
      </c>
      <c r="AG66" s="1536"/>
      <c r="AH66" s="1726" t="s">
        <v>671</v>
      </c>
      <c r="AI66" s="1536"/>
      <c r="AJ66" s="1726"/>
      <c r="AK66" s="1536"/>
      <c r="AL66" s="1726"/>
      <c r="AM66" s="1536"/>
      <c r="AN66" s="1726"/>
      <c r="AO66" s="1536"/>
    </row>
    <row r="67" spans="1:41" ht="14.5" x14ac:dyDescent="0.35">
      <c r="A67" s="1538"/>
      <c r="B67" s="1758" t="s">
        <v>1240</v>
      </c>
      <c r="C67" s="1741"/>
      <c r="D67" s="682"/>
      <c r="E67" s="1699"/>
      <c r="F67" s="1699"/>
      <c r="G67" s="646"/>
      <c r="H67" s="1726" t="s">
        <v>669</v>
      </c>
      <c r="I67" s="1533"/>
      <c r="J67" s="1726" t="s">
        <v>669</v>
      </c>
      <c r="K67" s="1536"/>
      <c r="L67" s="1726" t="s">
        <v>669</v>
      </c>
      <c r="M67" s="1536"/>
      <c r="N67" s="1726" t="s">
        <v>669</v>
      </c>
      <c r="O67" s="1536"/>
      <c r="P67" s="1726" t="s">
        <v>669</v>
      </c>
      <c r="Q67" s="1536"/>
      <c r="R67" s="1726" t="s">
        <v>669</v>
      </c>
      <c r="S67" s="1536"/>
      <c r="T67" s="1726" t="s">
        <v>669</v>
      </c>
      <c r="U67" s="1536"/>
      <c r="V67" s="1726" t="s">
        <v>669</v>
      </c>
      <c r="W67" s="1536"/>
      <c r="X67" s="1726" t="s">
        <v>669</v>
      </c>
      <c r="Y67" s="1536"/>
      <c r="Z67" s="1726" t="s">
        <v>669</v>
      </c>
      <c r="AA67" s="1536"/>
      <c r="AB67" s="1726" t="s">
        <v>669</v>
      </c>
      <c r="AC67" s="1536"/>
      <c r="AD67" s="1726" t="s">
        <v>669</v>
      </c>
      <c r="AE67" s="1536"/>
      <c r="AF67" s="1726" t="s">
        <v>669</v>
      </c>
      <c r="AG67" s="1533">
        <v>578585.05000000005</v>
      </c>
      <c r="AH67" s="1726" t="s">
        <v>671</v>
      </c>
      <c r="AI67" s="1536"/>
      <c r="AJ67" s="1726"/>
      <c r="AK67" s="1536"/>
      <c r="AL67" s="1726"/>
      <c r="AM67" s="1536"/>
      <c r="AN67" s="1726"/>
      <c r="AO67" s="1536"/>
    </row>
    <row r="68" spans="1:41" ht="14.5" hidden="1" x14ac:dyDescent="0.35">
      <c r="A68" s="1538"/>
      <c r="B68" s="1759" t="s">
        <v>2138</v>
      </c>
      <c r="C68" s="1741"/>
      <c r="D68" s="682">
        <v>132</v>
      </c>
      <c r="E68" s="1699" t="s">
        <v>666</v>
      </c>
      <c r="F68" s="1699"/>
      <c r="G68" s="646"/>
      <c r="H68" s="1726" t="s">
        <v>669</v>
      </c>
      <c r="I68" s="1536"/>
      <c r="J68" s="1726" t="s">
        <v>669</v>
      </c>
      <c r="K68" s="1536"/>
      <c r="L68" s="1726" t="s">
        <v>669</v>
      </c>
      <c r="M68" s="1536"/>
      <c r="N68" s="1726" t="s">
        <v>669</v>
      </c>
      <c r="O68" s="1536"/>
      <c r="P68" s="1726" t="s">
        <v>669</v>
      </c>
      <c r="Q68" s="1536"/>
      <c r="R68" s="1726" t="s">
        <v>669</v>
      </c>
      <c r="S68" s="1536"/>
      <c r="T68" s="1726" t="s">
        <v>669</v>
      </c>
      <c r="U68" s="1536"/>
      <c r="V68" s="1726" t="s">
        <v>669</v>
      </c>
      <c r="W68" s="1536"/>
      <c r="X68" s="1726" t="s">
        <v>669</v>
      </c>
      <c r="Y68" s="1536"/>
      <c r="Z68" s="1726" t="s">
        <v>669</v>
      </c>
      <c r="AA68" s="1536"/>
      <c r="AB68" s="1726" t="s">
        <v>669</v>
      </c>
      <c r="AC68" s="1536"/>
      <c r="AD68" s="1726" t="s">
        <v>669</v>
      </c>
      <c r="AE68" s="1536"/>
      <c r="AF68" s="1726" t="s">
        <v>669</v>
      </c>
      <c r="AG68" s="1536"/>
      <c r="AH68" s="1726" t="s">
        <v>671</v>
      </c>
      <c r="AI68" s="1536"/>
      <c r="AJ68" s="1726"/>
      <c r="AK68" s="1536"/>
      <c r="AL68" s="1726"/>
      <c r="AM68" s="1536"/>
      <c r="AN68" s="1726"/>
      <c r="AO68" s="1536"/>
    </row>
    <row r="69" spans="1:41" ht="14.5" x14ac:dyDescent="0.35">
      <c r="A69" s="1538"/>
      <c r="B69" s="1758" t="s">
        <v>1245</v>
      </c>
      <c r="C69" s="1741"/>
      <c r="D69" s="682"/>
      <c r="E69" s="1699"/>
      <c r="F69" s="1699"/>
      <c r="G69" s="646"/>
      <c r="H69" s="1726" t="s">
        <v>669</v>
      </c>
      <c r="I69" s="1533"/>
      <c r="J69" s="1726" t="s">
        <v>669</v>
      </c>
      <c r="K69" s="1536"/>
      <c r="L69" s="1726" t="s">
        <v>669</v>
      </c>
      <c r="M69" s="1536"/>
      <c r="N69" s="1726" t="s">
        <v>669</v>
      </c>
      <c r="O69" s="1536"/>
      <c r="P69" s="1726" t="s">
        <v>669</v>
      </c>
      <c r="Q69" s="1536"/>
      <c r="R69" s="1726" t="s">
        <v>669</v>
      </c>
      <c r="S69" s="1536"/>
      <c r="T69" s="1726" t="s">
        <v>669</v>
      </c>
      <c r="U69" s="1536"/>
      <c r="V69" s="1726" t="s">
        <v>669</v>
      </c>
      <c r="W69" s="1536"/>
      <c r="X69" s="1726" t="s">
        <v>669</v>
      </c>
      <c r="Y69" s="1536"/>
      <c r="Z69" s="1726" t="s">
        <v>669</v>
      </c>
      <c r="AA69" s="1536"/>
      <c r="AB69" s="1726" t="s">
        <v>669</v>
      </c>
      <c r="AC69" s="1536"/>
      <c r="AD69" s="1726" t="s">
        <v>669</v>
      </c>
      <c r="AE69" s="1536"/>
      <c r="AF69" s="1726" t="s">
        <v>669</v>
      </c>
      <c r="AG69" s="1533">
        <v>499919.35</v>
      </c>
      <c r="AH69" s="1726" t="s">
        <v>671</v>
      </c>
      <c r="AI69" s="1536"/>
      <c r="AJ69" s="1726"/>
      <c r="AK69" s="1536"/>
      <c r="AL69" s="1726"/>
      <c r="AM69" s="1536"/>
      <c r="AN69" s="1726"/>
      <c r="AO69" s="1536"/>
    </row>
    <row r="70" spans="1:41" ht="14.5" hidden="1" x14ac:dyDescent="0.35">
      <c r="A70" s="1538"/>
      <c r="B70" s="1759" t="s">
        <v>2138</v>
      </c>
      <c r="C70" s="1741"/>
      <c r="D70" s="682">
        <v>132</v>
      </c>
      <c r="E70" s="1699" t="s">
        <v>666</v>
      </c>
      <c r="F70" s="1699"/>
      <c r="G70" s="646"/>
      <c r="H70" s="1726" t="s">
        <v>1613</v>
      </c>
      <c r="I70" s="1536"/>
      <c r="J70" s="1726" t="s">
        <v>669</v>
      </c>
      <c r="K70" s="1536"/>
      <c r="L70" s="1726"/>
      <c r="M70" s="1536"/>
      <c r="N70" s="1726" t="s">
        <v>669</v>
      </c>
      <c r="O70" s="1536"/>
      <c r="P70" s="1726" t="s">
        <v>669</v>
      </c>
      <c r="Q70" s="1536"/>
      <c r="R70" s="1726" t="s">
        <v>669</v>
      </c>
      <c r="S70" s="1536"/>
      <c r="T70" s="1726" t="s">
        <v>669</v>
      </c>
      <c r="U70" s="1536"/>
      <c r="V70" s="1726" t="s">
        <v>669</v>
      </c>
      <c r="W70" s="1536"/>
      <c r="X70" s="1726"/>
      <c r="Y70" s="1536"/>
      <c r="Z70" s="1726"/>
      <c r="AA70" s="1536"/>
      <c r="AB70" s="1726" t="s">
        <v>669</v>
      </c>
      <c r="AC70" s="1536"/>
      <c r="AD70" s="1726" t="s">
        <v>669</v>
      </c>
      <c r="AE70" s="1536"/>
      <c r="AF70" s="1726" t="s">
        <v>669</v>
      </c>
      <c r="AG70" s="1536"/>
      <c r="AH70" s="1726"/>
      <c r="AI70" s="1536"/>
      <c r="AJ70" s="1726"/>
      <c r="AK70" s="1536"/>
      <c r="AL70" s="1726"/>
      <c r="AM70" s="1536"/>
      <c r="AN70" s="1726"/>
      <c r="AO70" s="1536"/>
    </row>
    <row r="71" spans="1:41" ht="14.5" x14ac:dyDescent="0.35">
      <c r="A71" s="1538"/>
      <c r="B71" s="1750"/>
      <c r="C71" s="1741"/>
      <c r="D71" s="682"/>
      <c r="E71" s="1699"/>
      <c r="F71" s="1699"/>
      <c r="G71" s="646"/>
      <c r="H71" s="1726"/>
      <c r="I71" s="1536"/>
      <c r="J71" s="1726"/>
      <c r="K71" s="1536"/>
      <c r="L71" s="1726"/>
      <c r="M71" s="1536"/>
      <c r="N71" s="1726"/>
      <c r="O71" s="1536"/>
      <c r="P71" s="1726"/>
      <c r="Q71" s="1536"/>
      <c r="R71" s="1726"/>
      <c r="S71" s="1536"/>
      <c r="T71" s="1726"/>
      <c r="U71" s="1536"/>
      <c r="V71" s="1726"/>
      <c r="W71" s="1536"/>
      <c r="X71" s="1726"/>
      <c r="Y71" s="1536"/>
      <c r="Z71" s="1726"/>
      <c r="AA71" s="1536"/>
      <c r="AB71" s="1536"/>
      <c r="AC71" s="1536"/>
      <c r="AD71" s="1726"/>
      <c r="AE71" s="1536"/>
      <c r="AF71" s="1726"/>
      <c r="AG71" s="1536"/>
      <c r="AH71" s="1726"/>
      <c r="AI71" s="1536"/>
      <c r="AJ71" s="1726"/>
      <c r="AK71" s="1536"/>
      <c r="AL71" s="1726"/>
      <c r="AM71" s="1536"/>
      <c r="AN71" s="1726"/>
      <c r="AO71" s="1536"/>
    </row>
    <row r="72" spans="1:41" ht="14.5" x14ac:dyDescent="0.35">
      <c r="A72" s="1538"/>
      <c r="B72" s="1751" t="s">
        <v>80</v>
      </c>
      <c r="C72" s="1741" t="s">
        <v>2139</v>
      </c>
      <c r="D72" s="682"/>
      <c r="E72" s="1699"/>
      <c r="F72" s="1699">
        <v>146301.44999999998</v>
      </c>
      <c r="G72" s="646"/>
      <c r="H72" s="1659" t="s">
        <v>654</v>
      </c>
      <c r="I72" s="1660">
        <v>215168.76</v>
      </c>
      <c r="J72" s="1659" t="s">
        <v>654</v>
      </c>
      <c r="K72" s="1660">
        <f>AC72</f>
        <v>109500</v>
      </c>
      <c r="L72" s="1726" t="s">
        <v>669</v>
      </c>
      <c r="M72" s="1536"/>
      <c r="N72" s="1726" t="s">
        <v>669</v>
      </c>
      <c r="O72" s="1536"/>
      <c r="P72" s="1726" t="s">
        <v>669</v>
      </c>
      <c r="Q72" s="1536"/>
      <c r="R72" s="1726" t="s">
        <v>669</v>
      </c>
      <c r="S72" s="1533">
        <f>71344</f>
        <v>71344</v>
      </c>
      <c r="T72" s="1726" t="s">
        <v>669</v>
      </c>
      <c r="U72" s="1533">
        <f>71344</f>
        <v>71344</v>
      </c>
      <c r="V72" s="1726" t="s">
        <v>669</v>
      </c>
      <c r="W72" s="1536"/>
      <c r="X72" s="1726" t="s">
        <v>669</v>
      </c>
      <c r="Y72" s="1533">
        <f>139347+39050</f>
        <v>178397</v>
      </c>
      <c r="Z72" s="1659" t="s">
        <v>654</v>
      </c>
      <c r="AA72" s="1660">
        <f>AC72</f>
        <v>109500</v>
      </c>
      <c r="AB72" s="1726" t="s">
        <v>669</v>
      </c>
      <c r="AC72" s="1533">
        <v>109500</v>
      </c>
      <c r="AD72" s="1726" t="s">
        <v>669</v>
      </c>
      <c r="AE72" s="1533">
        <v>258533.96</v>
      </c>
      <c r="AF72" s="1726" t="s">
        <v>669</v>
      </c>
      <c r="AG72" s="1533">
        <v>112777.75</v>
      </c>
      <c r="AH72" s="1726" t="s">
        <v>669</v>
      </c>
      <c r="AI72" s="1536"/>
      <c r="AJ72" s="1726"/>
      <c r="AK72" s="1536"/>
      <c r="AL72" s="1726"/>
      <c r="AM72" s="1536"/>
      <c r="AN72" s="1726"/>
      <c r="AO72" s="1536"/>
    </row>
    <row r="73" spans="1:41" ht="14.5" x14ac:dyDescent="0.35">
      <c r="A73" s="1538"/>
      <c r="B73" s="1751" t="s">
        <v>2140</v>
      </c>
      <c r="C73" s="1741"/>
      <c r="D73" s="682"/>
      <c r="E73" s="1699"/>
      <c r="F73" s="1699"/>
      <c r="G73" s="646"/>
      <c r="H73" s="1659" t="s">
        <v>654</v>
      </c>
      <c r="I73" s="1536"/>
      <c r="J73" s="1659" t="s">
        <v>654</v>
      </c>
      <c r="K73" s="1536"/>
      <c r="L73" s="1726" t="s">
        <v>669</v>
      </c>
      <c r="M73" s="1536"/>
      <c r="N73" s="1726" t="s">
        <v>669</v>
      </c>
      <c r="O73" s="1536"/>
      <c r="P73" s="1726" t="s">
        <v>669</v>
      </c>
      <c r="Q73" s="1536"/>
      <c r="R73" s="1726" t="s">
        <v>669</v>
      </c>
      <c r="S73" s="1536"/>
      <c r="T73" s="1726" t="s">
        <v>669</v>
      </c>
      <c r="U73" s="1536"/>
      <c r="V73" s="1726" t="s">
        <v>669</v>
      </c>
      <c r="W73" s="1536"/>
      <c r="X73" s="1726" t="s">
        <v>669</v>
      </c>
      <c r="Y73" s="1536"/>
      <c r="Z73" s="1659" t="s">
        <v>654</v>
      </c>
      <c r="AA73" s="1536"/>
      <c r="AB73" s="1726" t="s">
        <v>669</v>
      </c>
      <c r="AC73" s="1536"/>
      <c r="AD73" s="1726" t="s">
        <v>669</v>
      </c>
      <c r="AE73" s="1536"/>
      <c r="AF73" s="1726" t="s">
        <v>669</v>
      </c>
      <c r="AG73" s="1536"/>
      <c r="AH73" s="1726" t="s">
        <v>669</v>
      </c>
      <c r="AI73" s="1536"/>
      <c r="AJ73" s="1726"/>
      <c r="AK73" s="1536"/>
      <c r="AL73" s="1726"/>
      <c r="AM73" s="1536"/>
      <c r="AN73" s="1726"/>
      <c r="AO73" s="1536"/>
    </row>
    <row r="74" spans="1:41" ht="14.5" x14ac:dyDescent="0.35">
      <c r="A74" s="1538"/>
      <c r="B74" s="1752" t="s">
        <v>2141</v>
      </c>
      <c r="C74" s="1741"/>
      <c r="D74" s="682">
        <v>1</v>
      </c>
      <c r="E74" s="1699" t="s">
        <v>666</v>
      </c>
      <c r="F74" s="1699"/>
      <c r="G74" s="646"/>
      <c r="H74" s="1659" t="s">
        <v>654</v>
      </c>
      <c r="I74" s="1536"/>
      <c r="J74" s="1659" t="s">
        <v>654</v>
      </c>
      <c r="K74" s="1536"/>
      <c r="L74" s="1726" t="s">
        <v>669</v>
      </c>
      <c r="M74" s="1536"/>
      <c r="N74" s="1726" t="s">
        <v>669</v>
      </c>
      <c r="O74" s="1536"/>
      <c r="P74" s="1726" t="s">
        <v>669</v>
      </c>
      <c r="Q74" s="1536"/>
      <c r="R74" s="1726" t="s">
        <v>669</v>
      </c>
      <c r="S74" s="1536"/>
      <c r="T74" s="1726" t="s">
        <v>669</v>
      </c>
      <c r="U74" s="1536"/>
      <c r="V74" s="1726" t="s">
        <v>669</v>
      </c>
      <c r="W74" s="1536"/>
      <c r="X74" s="1726" t="s">
        <v>669</v>
      </c>
      <c r="Y74" s="1536"/>
      <c r="Z74" s="1659" t="s">
        <v>654</v>
      </c>
      <c r="AA74" s="1536"/>
      <c r="AB74" s="1726" t="s">
        <v>669</v>
      </c>
      <c r="AC74" s="1536"/>
      <c r="AD74" s="1726" t="s">
        <v>669</v>
      </c>
      <c r="AE74" s="1536"/>
      <c r="AF74" s="1726" t="s">
        <v>669</v>
      </c>
      <c r="AG74" s="1536"/>
      <c r="AH74" s="1726" t="s">
        <v>669</v>
      </c>
      <c r="AI74" s="1536"/>
      <c r="AJ74" s="1726"/>
      <c r="AK74" s="1536"/>
      <c r="AL74" s="1726"/>
      <c r="AM74" s="1536"/>
      <c r="AN74" s="1726"/>
      <c r="AO74" s="1536"/>
    </row>
    <row r="75" spans="1:41" ht="14.5" x14ac:dyDescent="0.35">
      <c r="A75" s="1538"/>
      <c r="B75" s="1752" t="s">
        <v>2142</v>
      </c>
      <c r="C75" s="1741"/>
      <c r="D75" s="682">
        <v>3</v>
      </c>
      <c r="E75" s="1699" t="s">
        <v>666</v>
      </c>
      <c r="F75" s="1699"/>
      <c r="G75" s="646"/>
      <c r="H75" s="1659" t="s">
        <v>654</v>
      </c>
      <c r="I75" s="1536"/>
      <c r="J75" s="1659" t="s">
        <v>654</v>
      </c>
      <c r="K75" s="1536"/>
      <c r="L75" s="1726" t="s">
        <v>669</v>
      </c>
      <c r="M75" s="1536"/>
      <c r="N75" s="1726" t="s">
        <v>669</v>
      </c>
      <c r="O75" s="1536"/>
      <c r="P75" s="1726" t="s">
        <v>669</v>
      </c>
      <c r="Q75" s="1536"/>
      <c r="R75" s="1726" t="s">
        <v>669</v>
      </c>
      <c r="S75" s="1536"/>
      <c r="T75" s="1726" t="s">
        <v>669</v>
      </c>
      <c r="U75" s="1536"/>
      <c r="V75" s="1726" t="s">
        <v>669</v>
      </c>
      <c r="W75" s="1536"/>
      <c r="X75" s="1726" t="s">
        <v>669</v>
      </c>
      <c r="Y75" s="1536"/>
      <c r="Z75" s="1659" t="s">
        <v>654</v>
      </c>
      <c r="AA75" s="1536"/>
      <c r="AB75" s="1726" t="s">
        <v>669</v>
      </c>
      <c r="AC75" s="1536"/>
      <c r="AD75" s="1726" t="s">
        <v>669</v>
      </c>
      <c r="AE75" s="1536"/>
      <c r="AF75" s="1726" t="s">
        <v>669</v>
      </c>
      <c r="AG75" s="1536"/>
      <c r="AH75" s="1726" t="s">
        <v>669</v>
      </c>
      <c r="AI75" s="1536" t="s">
        <v>2143</v>
      </c>
      <c r="AJ75" s="1726"/>
      <c r="AK75" s="1536"/>
      <c r="AL75" s="1726"/>
      <c r="AM75" s="1536"/>
      <c r="AN75" s="1726"/>
      <c r="AO75" s="1536"/>
    </row>
    <row r="76" spans="1:41" ht="14.5" x14ac:dyDescent="0.35">
      <c r="A76" s="1538"/>
      <c r="B76" s="1752" t="s">
        <v>2144</v>
      </c>
      <c r="C76" s="1741"/>
      <c r="D76" s="682">
        <v>1</v>
      </c>
      <c r="E76" s="1699" t="s">
        <v>666</v>
      </c>
      <c r="F76" s="1699"/>
      <c r="G76" s="646"/>
      <c r="H76" s="1659" t="s">
        <v>654</v>
      </c>
      <c r="I76" s="1536"/>
      <c r="J76" s="1659" t="s">
        <v>654</v>
      </c>
      <c r="K76" s="1536"/>
      <c r="L76" s="1726" t="s">
        <v>669</v>
      </c>
      <c r="M76" s="1536"/>
      <c r="N76" s="1726" t="s">
        <v>669</v>
      </c>
      <c r="O76" s="1536"/>
      <c r="P76" s="1726" t="s">
        <v>669</v>
      </c>
      <c r="Q76" s="1536"/>
      <c r="R76" s="1726" t="s">
        <v>669</v>
      </c>
      <c r="S76" s="1536"/>
      <c r="T76" s="1726" t="s">
        <v>669</v>
      </c>
      <c r="U76" s="1536"/>
      <c r="V76" s="1726" t="s">
        <v>669</v>
      </c>
      <c r="W76" s="1536"/>
      <c r="X76" s="1726" t="s">
        <v>669</v>
      </c>
      <c r="Y76" s="1536"/>
      <c r="Z76" s="1659" t="s">
        <v>654</v>
      </c>
      <c r="AA76" s="1536"/>
      <c r="AB76" s="1726" t="s">
        <v>669</v>
      </c>
      <c r="AC76" s="1536"/>
      <c r="AD76" s="1726" t="s">
        <v>669</v>
      </c>
      <c r="AE76" s="1536"/>
      <c r="AF76" s="1726" t="s">
        <v>669</v>
      </c>
      <c r="AG76" s="1536"/>
      <c r="AH76" s="1726" t="s">
        <v>669</v>
      </c>
      <c r="AI76" s="1536"/>
      <c r="AJ76" s="1726"/>
      <c r="AK76" s="1536"/>
      <c r="AL76" s="1726"/>
      <c r="AM76" s="1536"/>
      <c r="AN76" s="1726"/>
      <c r="AO76" s="1536"/>
    </row>
    <row r="77" spans="1:41" ht="14.5" x14ac:dyDescent="0.35">
      <c r="A77" s="1538"/>
      <c r="B77" s="1752" t="s">
        <v>2145</v>
      </c>
      <c r="C77" s="1741"/>
      <c r="D77" s="682">
        <v>1</v>
      </c>
      <c r="E77" s="1699" t="s">
        <v>666</v>
      </c>
      <c r="F77" s="1699"/>
      <c r="G77" s="646"/>
      <c r="H77" s="1659" t="s">
        <v>654</v>
      </c>
      <c r="I77" s="1536"/>
      <c r="J77" s="1659" t="s">
        <v>654</v>
      </c>
      <c r="K77" s="1536"/>
      <c r="L77" s="1726" t="s">
        <v>669</v>
      </c>
      <c r="M77" s="1536"/>
      <c r="N77" s="1726" t="s">
        <v>669</v>
      </c>
      <c r="O77" s="1536"/>
      <c r="P77" s="1726" t="s">
        <v>669</v>
      </c>
      <c r="Q77" s="1536"/>
      <c r="R77" s="1726" t="s">
        <v>669</v>
      </c>
      <c r="S77" s="1536"/>
      <c r="T77" s="1726" t="s">
        <v>669</v>
      </c>
      <c r="U77" s="1536"/>
      <c r="V77" s="1726" t="s">
        <v>669</v>
      </c>
      <c r="W77" s="1536"/>
      <c r="X77" s="1726" t="s">
        <v>669</v>
      </c>
      <c r="Y77" s="1536"/>
      <c r="Z77" s="1659" t="s">
        <v>654</v>
      </c>
      <c r="AA77" s="1536"/>
      <c r="AB77" s="1726" t="s">
        <v>669</v>
      </c>
      <c r="AC77" s="1536"/>
      <c r="AD77" s="1726" t="s">
        <v>669</v>
      </c>
      <c r="AE77" s="1536"/>
      <c r="AF77" s="1726" t="s">
        <v>669</v>
      </c>
      <c r="AG77" s="1536"/>
      <c r="AH77" s="1726" t="s">
        <v>671</v>
      </c>
      <c r="AI77" s="1536" t="s">
        <v>2146</v>
      </c>
      <c r="AJ77" s="1726"/>
      <c r="AK77" s="1536"/>
      <c r="AL77" s="1726"/>
      <c r="AM77" s="1536"/>
      <c r="AN77" s="1726"/>
      <c r="AO77" s="1536"/>
    </row>
    <row r="78" spans="1:41" ht="14.5" x14ac:dyDescent="0.35">
      <c r="A78" s="1538"/>
      <c r="B78" s="1752" t="s">
        <v>2147</v>
      </c>
      <c r="C78" s="1741"/>
      <c r="D78" s="682">
        <v>1</v>
      </c>
      <c r="E78" s="1699" t="s">
        <v>666</v>
      </c>
      <c r="F78" s="1699"/>
      <c r="G78" s="646"/>
      <c r="H78" s="1659" t="s">
        <v>654</v>
      </c>
      <c r="I78" s="1536"/>
      <c r="J78" s="1659" t="s">
        <v>654</v>
      </c>
      <c r="K78" s="1536"/>
      <c r="L78" s="1726" t="s">
        <v>669</v>
      </c>
      <c r="M78" s="1536"/>
      <c r="N78" s="1726" t="s">
        <v>669</v>
      </c>
      <c r="O78" s="1536"/>
      <c r="P78" s="1726" t="s">
        <v>669</v>
      </c>
      <c r="Q78" s="1536"/>
      <c r="R78" s="1726" t="s">
        <v>669</v>
      </c>
      <c r="S78" s="1536"/>
      <c r="T78" s="1726" t="s">
        <v>669</v>
      </c>
      <c r="U78" s="1536"/>
      <c r="V78" s="1726" t="s">
        <v>669</v>
      </c>
      <c r="W78" s="1536"/>
      <c r="X78" s="1726" t="s">
        <v>669</v>
      </c>
      <c r="Y78" s="1536"/>
      <c r="Z78" s="1659" t="s">
        <v>654</v>
      </c>
      <c r="AA78" s="1536"/>
      <c r="AB78" s="1726" t="s">
        <v>669</v>
      </c>
      <c r="AC78" s="1536"/>
      <c r="AD78" s="1726" t="s">
        <v>669</v>
      </c>
      <c r="AE78" s="1536"/>
      <c r="AF78" s="1726" t="s">
        <v>669</v>
      </c>
      <c r="AG78" s="1536"/>
      <c r="AH78" s="1726" t="s">
        <v>669</v>
      </c>
      <c r="AI78" s="1536"/>
      <c r="AJ78" s="1726"/>
      <c r="AK78" s="1536"/>
      <c r="AL78" s="1726"/>
      <c r="AM78" s="1536"/>
      <c r="AN78" s="1726"/>
      <c r="AO78" s="1536"/>
    </row>
    <row r="79" spans="1:41" ht="14.5" x14ac:dyDescent="0.35">
      <c r="A79" s="1538"/>
      <c r="B79" s="1751" t="s">
        <v>2148</v>
      </c>
      <c r="C79" s="1741"/>
      <c r="D79" s="682"/>
      <c r="E79" s="1699"/>
      <c r="F79" s="1699"/>
      <c r="G79" s="646"/>
      <c r="H79" s="1659" t="s">
        <v>654</v>
      </c>
      <c r="I79" s="1536"/>
      <c r="J79" s="1659" t="s">
        <v>654</v>
      </c>
      <c r="K79" s="1536"/>
      <c r="L79" s="1726" t="s">
        <v>669</v>
      </c>
      <c r="M79" s="1536"/>
      <c r="N79" s="1726" t="s">
        <v>669</v>
      </c>
      <c r="O79" s="1536">
        <v>70175</v>
      </c>
      <c r="P79" s="1726" t="s">
        <v>669</v>
      </c>
      <c r="Q79" s="1533">
        <v>64375</v>
      </c>
      <c r="R79" s="1726" t="s">
        <v>669</v>
      </c>
      <c r="S79" s="1536"/>
      <c r="T79" s="1726" t="s">
        <v>669</v>
      </c>
      <c r="U79" s="1536"/>
      <c r="V79" s="1726" t="s">
        <v>669</v>
      </c>
      <c r="W79" s="1536"/>
      <c r="X79" s="1726" t="s">
        <v>669</v>
      </c>
      <c r="Y79" s="1536"/>
      <c r="Z79" s="1659" t="s">
        <v>654</v>
      </c>
      <c r="AA79" s="1536"/>
      <c r="AB79" s="1726" t="s">
        <v>669</v>
      </c>
      <c r="AC79" s="1536"/>
      <c r="AD79" s="1726" t="s">
        <v>669</v>
      </c>
      <c r="AE79" s="1536"/>
      <c r="AF79" s="1726" t="s">
        <v>669</v>
      </c>
      <c r="AG79" s="1536"/>
      <c r="AH79" s="1726" t="s">
        <v>671</v>
      </c>
      <c r="AI79" s="1536"/>
      <c r="AJ79" s="1726"/>
      <c r="AK79" s="1536"/>
      <c r="AL79" s="1726"/>
      <c r="AM79" s="1536"/>
      <c r="AN79" s="1726"/>
      <c r="AO79" s="1536"/>
    </row>
    <row r="80" spans="1:41" ht="14.5" x14ac:dyDescent="0.35">
      <c r="A80" s="1538"/>
      <c r="B80" s="1752" t="s">
        <v>2149</v>
      </c>
      <c r="C80" s="1741"/>
      <c r="D80" s="682">
        <v>1</v>
      </c>
      <c r="E80" s="1699" t="s">
        <v>666</v>
      </c>
      <c r="F80" s="1699"/>
      <c r="G80" s="646"/>
      <c r="H80" s="1659" t="s">
        <v>654</v>
      </c>
      <c r="I80" s="1536"/>
      <c r="J80" s="1659" t="s">
        <v>654</v>
      </c>
      <c r="K80" s="1536"/>
      <c r="L80" s="1726" t="s">
        <v>669</v>
      </c>
      <c r="M80" s="1536"/>
      <c r="N80" s="1726" t="s">
        <v>669</v>
      </c>
      <c r="O80" s="1536"/>
      <c r="P80" s="1726" t="s">
        <v>669</v>
      </c>
      <c r="Q80" s="1536"/>
      <c r="R80" s="1726" t="s">
        <v>669</v>
      </c>
      <c r="S80" s="1536"/>
      <c r="T80" s="1726" t="s">
        <v>669</v>
      </c>
      <c r="U80" s="1536"/>
      <c r="V80" s="1726" t="s">
        <v>669</v>
      </c>
      <c r="W80" s="1536"/>
      <c r="X80" s="1726" t="s">
        <v>669</v>
      </c>
      <c r="Y80" s="1536"/>
      <c r="Z80" s="1659" t="s">
        <v>654</v>
      </c>
      <c r="AA80" s="1536"/>
      <c r="AB80" s="1726" t="s">
        <v>669</v>
      </c>
      <c r="AC80" s="1536"/>
      <c r="AD80" s="1726" t="s">
        <v>669</v>
      </c>
      <c r="AE80" s="1536"/>
      <c r="AF80" s="1726" t="s">
        <v>669</v>
      </c>
      <c r="AG80" s="1536"/>
      <c r="AH80" s="1726" t="s">
        <v>671</v>
      </c>
      <c r="AI80" s="1536"/>
      <c r="AJ80" s="1726"/>
      <c r="AK80" s="1536"/>
      <c r="AL80" s="1726"/>
      <c r="AM80" s="1536"/>
      <c r="AN80" s="1726"/>
      <c r="AO80" s="1536"/>
    </row>
    <row r="81" spans="1:41" ht="17.25" customHeight="1" x14ac:dyDescent="0.35">
      <c r="A81" s="1538"/>
      <c r="B81" s="1752" t="s">
        <v>2150</v>
      </c>
      <c r="C81" s="1741"/>
      <c r="D81" s="682">
        <v>1</v>
      </c>
      <c r="E81" s="1699" t="s">
        <v>666</v>
      </c>
      <c r="F81" s="1699"/>
      <c r="G81" s="646"/>
      <c r="H81" s="1659" t="s">
        <v>654</v>
      </c>
      <c r="I81" s="1536"/>
      <c r="J81" s="1659" t="s">
        <v>654</v>
      </c>
      <c r="K81" s="1536"/>
      <c r="L81" s="1726" t="s">
        <v>669</v>
      </c>
      <c r="M81" s="1536"/>
      <c r="N81" s="1726" t="s">
        <v>669</v>
      </c>
      <c r="O81" s="1536"/>
      <c r="P81" s="1726" t="s">
        <v>669</v>
      </c>
      <c r="Q81" s="1536"/>
      <c r="R81" s="1726" t="s">
        <v>669</v>
      </c>
      <c r="S81" s="1536"/>
      <c r="T81" s="1726" t="s">
        <v>669</v>
      </c>
      <c r="U81" s="1536"/>
      <c r="V81" s="1726" t="s">
        <v>669</v>
      </c>
      <c r="W81" s="1536"/>
      <c r="X81" s="1726" t="s">
        <v>669</v>
      </c>
      <c r="Y81" s="1536"/>
      <c r="Z81" s="1659" t="s">
        <v>654</v>
      </c>
      <c r="AA81" s="1536"/>
      <c r="AB81" s="1726" t="s">
        <v>669</v>
      </c>
      <c r="AC81" s="1536"/>
      <c r="AD81" s="1726" t="s">
        <v>669</v>
      </c>
      <c r="AE81" s="1536"/>
      <c r="AF81" s="1726" t="s">
        <v>669</v>
      </c>
      <c r="AG81" s="1536"/>
      <c r="AH81" s="1726" t="s">
        <v>671</v>
      </c>
      <c r="AI81" s="1536"/>
      <c r="AJ81" s="1726"/>
      <c r="AK81" s="1536"/>
      <c r="AL81" s="1726"/>
      <c r="AM81" s="1536"/>
      <c r="AN81" s="1726"/>
      <c r="AO81" s="1536"/>
    </row>
    <row r="82" spans="1:41" ht="14.5" x14ac:dyDescent="0.35">
      <c r="A82" s="1538"/>
      <c r="B82" s="1751" t="s">
        <v>2151</v>
      </c>
      <c r="C82" s="1741"/>
      <c r="D82" s="682"/>
      <c r="E82" s="1699"/>
      <c r="F82" s="1699"/>
      <c r="G82" s="646"/>
      <c r="H82" s="1726" t="s">
        <v>669</v>
      </c>
      <c r="I82" s="1536"/>
      <c r="J82" s="1726" t="s">
        <v>669</v>
      </c>
      <c r="K82" s="1536"/>
      <c r="L82" s="1726" t="s">
        <v>669</v>
      </c>
      <c r="M82" s="1536"/>
      <c r="N82" s="1726" t="s">
        <v>669</v>
      </c>
      <c r="O82" s="1536"/>
      <c r="P82" s="1726" t="s">
        <v>669</v>
      </c>
      <c r="Q82" s="1536"/>
      <c r="R82" s="1726" t="s">
        <v>669</v>
      </c>
      <c r="S82" s="1536"/>
      <c r="T82" s="1726" t="s">
        <v>669</v>
      </c>
      <c r="U82" s="1536"/>
      <c r="V82" s="1726" t="s">
        <v>669</v>
      </c>
      <c r="W82" s="1536"/>
      <c r="X82" s="1726" t="s">
        <v>669</v>
      </c>
      <c r="Y82" s="1536"/>
      <c r="Z82" s="1726" t="s">
        <v>669</v>
      </c>
      <c r="AA82" s="1533">
        <f>150852</f>
        <v>150852</v>
      </c>
      <c r="AB82" s="1726" t="s">
        <v>669</v>
      </c>
      <c r="AC82" s="1533">
        <v>236000</v>
      </c>
      <c r="AD82" s="1726" t="s">
        <v>669</v>
      </c>
      <c r="AE82" s="1536"/>
      <c r="AF82" s="1726" t="s">
        <v>669</v>
      </c>
      <c r="AG82" s="1533">
        <v>217029.15</v>
      </c>
      <c r="AH82" s="1726" t="s">
        <v>671</v>
      </c>
      <c r="AI82" s="1536"/>
      <c r="AJ82" s="1726"/>
      <c r="AK82" s="1536"/>
      <c r="AL82" s="1726"/>
      <c r="AM82" s="1536"/>
      <c r="AN82" s="1726"/>
      <c r="AO82" s="1536"/>
    </row>
    <row r="83" spans="1:41" ht="14.5" x14ac:dyDescent="0.35">
      <c r="A83" s="1538"/>
      <c r="B83" s="1752" t="s">
        <v>2152</v>
      </c>
      <c r="C83" s="1741"/>
      <c r="D83" s="682">
        <v>294</v>
      </c>
      <c r="E83" s="1699" t="s">
        <v>28</v>
      </c>
      <c r="F83" s="1699"/>
      <c r="G83" s="646"/>
      <c r="H83" s="1726" t="s">
        <v>669</v>
      </c>
      <c r="I83" s="1536"/>
      <c r="J83" s="1726" t="s">
        <v>669</v>
      </c>
      <c r="K83" s="1536"/>
      <c r="L83" s="1726" t="s">
        <v>669</v>
      </c>
      <c r="M83" s="1536"/>
      <c r="N83" s="1726" t="s">
        <v>669</v>
      </c>
      <c r="O83" s="1536"/>
      <c r="P83" s="1726" t="s">
        <v>669</v>
      </c>
      <c r="Q83" s="1536"/>
      <c r="R83" s="1726" t="s">
        <v>669</v>
      </c>
      <c r="S83" s="1536"/>
      <c r="T83" s="1726" t="s">
        <v>669</v>
      </c>
      <c r="U83" s="1536"/>
      <c r="V83" s="1726" t="s">
        <v>669</v>
      </c>
      <c r="W83" s="1536"/>
      <c r="X83" s="1726" t="s">
        <v>669</v>
      </c>
      <c r="Y83" s="1536"/>
      <c r="Z83" s="1726" t="s">
        <v>669</v>
      </c>
      <c r="AA83" s="1536"/>
      <c r="AB83" s="1726" t="s">
        <v>669</v>
      </c>
      <c r="AC83" s="1536"/>
      <c r="AD83" s="1726" t="s">
        <v>669</v>
      </c>
      <c r="AE83" s="1536"/>
      <c r="AF83" s="1726" t="s">
        <v>669</v>
      </c>
      <c r="AG83" s="1536"/>
      <c r="AH83" s="1726" t="s">
        <v>671</v>
      </c>
      <c r="AI83" s="1536"/>
      <c r="AJ83" s="1726"/>
      <c r="AK83" s="1536"/>
      <c r="AL83" s="1726"/>
      <c r="AM83" s="1536"/>
      <c r="AN83" s="1726"/>
      <c r="AO83" s="1536"/>
    </row>
    <row r="84" spans="1:41" ht="14.5" x14ac:dyDescent="0.35">
      <c r="A84" s="1538"/>
      <c r="B84" s="1752" t="s">
        <v>2153</v>
      </c>
      <c r="C84" s="1741"/>
      <c r="D84" s="682">
        <v>294</v>
      </c>
      <c r="E84" s="1699" t="s">
        <v>28</v>
      </c>
      <c r="F84" s="1699"/>
      <c r="G84" s="646"/>
      <c r="H84" s="1726" t="s">
        <v>669</v>
      </c>
      <c r="I84" s="1536"/>
      <c r="J84" s="1726" t="s">
        <v>669</v>
      </c>
      <c r="K84" s="1536"/>
      <c r="L84" s="1726" t="s">
        <v>669</v>
      </c>
      <c r="M84" s="1536"/>
      <c r="N84" s="1726" t="s">
        <v>669</v>
      </c>
      <c r="O84" s="1536"/>
      <c r="P84" s="1726" t="s">
        <v>669</v>
      </c>
      <c r="Q84" s="1536"/>
      <c r="R84" s="1726" t="s">
        <v>669</v>
      </c>
      <c r="S84" s="1536"/>
      <c r="T84" s="1726" t="s">
        <v>669</v>
      </c>
      <c r="U84" s="1536"/>
      <c r="V84" s="1726" t="s">
        <v>669</v>
      </c>
      <c r="W84" s="1536"/>
      <c r="X84" s="1726" t="s">
        <v>669</v>
      </c>
      <c r="Y84" s="1536"/>
      <c r="Z84" s="1726" t="s">
        <v>669</v>
      </c>
      <c r="AA84" s="1536"/>
      <c r="AB84" s="1726" t="s">
        <v>669</v>
      </c>
      <c r="AC84" s="1536"/>
      <c r="AD84" s="1726" t="s">
        <v>669</v>
      </c>
      <c r="AE84" s="1536"/>
      <c r="AF84" s="1726" t="s">
        <v>669</v>
      </c>
      <c r="AG84" s="1536"/>
      <c r="AH84" s="1726" t="s">
        <v>671</v>
      </c>
      <c r="AI84" s="1536"/>
      <c r="AJ84" s="1726"/>
      <c r="AK84" s="1536"/>
      <c r="AL84" s="1726"/>
      <c r="AM84" s="1536"/>
      <c r="AN84" s="1726"/>
      <c r="AO84" s="1536"/>
    </row>
    <row r="85" spans="1:41" ht="14.5" x14ac:dyDescent="0.35">
      <c r="A85" s="1538"/>
      <c r="B85" s="1752" t="s">
        <v>2154</v>
      </c>
      <c r="C85" s="1741"/>
      <c r="D85" s="682">
        <v>57</v>
      </c>
      <c r="E85" s="1699" t="s">
        <v>28</v>
      </c>
      <c r="F85" s="1699"/>
      <c r="G85" s="646"/>
      <c r="H85" s="1726" t="s">
        <v>669</v>
      </c>
      <c r="I85" s="1536"/>
      <c r="J85" s="1726" t="s">
        <v>669</v>
      </c>
      <c r="K85" s="1536"/>
      <c r="L85" s="1726" t="s">
        <v>669</v>
      </c>
      <c r="M85" s="1536"/>
      <c r="N85" s="1726" t="s">
        <v>669</v>
      </c>
      <c r="O85" s="1536"/>
      <c r="P85" s="1726" t="s">
        <v>669</v>
      </c>
      <c r="Q85" s="1536"/>
      <c r="R85" s="1726" t="s">
        <v>669</v>
      </c>
      <c r="S85" s="1536"/>
      <c r="T85" s="1726" t="s">
        <v>669</v>
      </c>
      <c r="U85" s="1536"/>
      <c r="V85" s="1726" t="s">
        <v>669</v>
      </c>
      <c r="W85" s="1536"/>
      <c r="X85" s="1726" t="s">
        <v>669</v>
      </c>
      <c r="Y85" s="1536"/>
      <c r="Z85" s="1726" t="s">
        <v>669</v>
      </c>
      <c r="AA85" s="1536"/>
      <c r="AB85" s="1726" t="s">
        <v>669</v>
      </c>
      <c r="AC85" s="1536"/>
      <c r="AD85" s="1726" t="s">
        <v>669</v>
      </c>
      <c r="AE85" s="1536"/>
      <c r="AF85" s="1726" t="s">
        <v>669</v>
      </c>
      <c r="AG85" s="1536"/>
      <c r="AH85" s="1726" t="s">
        <v>671</v>
      </c>
      <c r="AI85" s="1536"/>
      <c r="AJ85" s="1726"/>
      <c r="AK85" s="1536"/>
      <c r="AL85" s="1726"/>
      <c r="AM85" s="1536"/>
      <c r="AN85" s="1726"/>
      <c r="AO85" s="1536"/>
    </row>
    <row r="86" spans="1:41" ht="14.5" x14ac:dyDescent="0.35">
      <c r="A86" s="1538"/>
      <c r="B86" s="1752" t="s">
        <v>2155</v>
      </c>
      <c r="C86" s="1741"/>
      <c r="D86" s="682">
        <f>11.5*10</f>
        <v>115</v>
      </c>
      <c r="E86" s="1699" t="s">
        <v>28</v>
      </c>
      <c r="F86" s="1699"/>
      <c r="G86" s="646"/>
      <c r="H86" s="1726" t="s">
        <v>671</v>
      </c>
      <c r="I86" s="1536"/>
      <c r="J86" s="1726" t="s">
        <v>669</v>
      </c>
      <c r="K86" s="1536"/>
      <c r="L86" s="1726" t="s">
        <v>669</v>
      </c>
      <c r="M86" s="1536"/>
      <c r="N86" s="1726" t="s">
        <v>669</v>
      </c>
      <c r="O86" s="1536"/>
      <c r="P86" s="1726" t="s">
        <v>669</v>
      </c>
      <c r="Q86" s="1536"/>
      <c r="R86" s="1726" t="s">
        <v>669</v>
      </c>
      <c r="S86" s="1536"/>
      <c r="T86" s="1726" t="s">
        <v>669</v>
      </c>
      <c r="U86" s="1536"/>
      <c r="V86" s="1726" t="s">
        <v>669</v>
      </c>
      <c r="W86" s="1536"/>
      <c r="X86" s="1726" t="s">
        <v>669</v>
      </c>
      <c r="Y86" s="1536"/>
      <c r="Z86" s="1726" t="s">
        <v>669</v>
      </c>
      <c r="AA86" s="1536"/>
      <c r="AB86" s="1726" t="s">
        <v>669</v>
      </c>
      <c r="AC86" s="1536"/>
      <c r="AD86" s="1726" t="s">
        <v>669</v>
      </c>
      <c r="AE86" s="1536"/>
      <c r="AF86" s="1726" t="s">
        <v>669</v>
      </c>
      <c r="AG86" s="1536"/>
      <c r="AH86" s="1726" t="s">
        <v>671</v>
      </c>
      <c r="AI86" s="1536"/>
      <c r="AJ86" s="1726"/>
      <c r="AK86" s="1536"/>
      <c r="AL86" s="1726"/>
      <c r="AM86" s="1536"/>
      <c r="AN86" s="1726"/>
      <c r="AO86" s="1536"/>
    </row>
    <row r="87" spans="1:41" ht="14.5" x14ac:dyDescent="0.35">
      <c r="A87" s="1538"/>
      <c r="B87" s="1751" t="s">
        <v>2156</v>
      </c>
      <c r="C87" s="1741"/>
      <c r="D87" s="682"/>
      <c r="E87" s="1699"/>
      <c r="F87" s="1699"/>
      <c r="G87" s="646"/>
      <c r="H87" s="1726" t="s">
        <v>1613</v>
      </c>
      <c r="I87" s="1536"/>
      <c r="J87" s="1726" t="s">
        <v>669</v>
      </c>
      <c r="K87" s="1536"/>
      <c r="L87" s="1726" t="s">
        <v>669</v>
      </c>
      <c r="M87" s="1536"/>
      <c r="N87" s="1726" t="s">
        <v>669</v>
      </c>
      <c r="O87" s="1536"/>
      <c r="P87" s="1726" t="s">
        <v>669</v>
      </c>
      <c r="Q87" s="1536"/>
      <c r="R87" s="1726" t="s">
        <v>669</v>
      </c>
      <c r="S87" s="1536"/>
      <c r="T87" s="1726" t="s">
        <v>669</v>
      </c>
      <c r="U87" s="1536"/>
      <c r="V87" s="1726" t="s">
        <v>669</v>
      </c>
      <c r="W87" s="1536"/>
      <c r="X87" s="1659" t="s">
        <v>654</v>
      </c>
      <c r="Y87" s="1536"/>
      <c r="Z87" s="1726" t="s">
        <v>669</v>
      </c>
      <c r="AA87" s="1536"/>
      <c r="AB87" s="1726" t="s">
        <v>669</v>
      </c>
      <c r="AC87" s="1533"/>
      <c r="AD87" s="1726" t="s">
        <v>669</v>
      </c>
      <c r="AE87" s="1536"/>
      <c r="AF87" s="1726" t="s">
        <v>669</v>
      </c>
      <c r="AG87" s="1536"/>
      <c r="AH87" s="1726" t="s">
        <v>671</v>
      </c>
      <c r="AI87" s="1536"/>
      <c r="AJ87" s="1726"/>
      <c r="AK87" s="1536"/>
      <c r="AL87" s="1726"/>
      <c r="AM87" s="1536"/>
      <c r="AN87" s="1726"/>
      <c r="AO87" s="1536"/>
    </row>
    <row r="88" spans="1:41" ht="14.5" x14ac:dyDescent="0.35">
      <c r="A88" s="1538"/>
      <c r="B88" s="1752" t="s">
        <v>2157</v>
      </c>
      <c r="C88" s="1741"/>
      <c r="D88" s="682">
        <v>10</v>
      </c>
      <c r="E88" s="1699" t="s">
        <v>666</v>
      </c>
      <c r="F88" s="1699">
        <v>4150</v>
      </c>
      <c r="G88" s="646">
        <f>F88*D88</f>
        <v>41500</v>
      </c>
      <c r="H88" s="1659" t="s">
        <v>654</v>
      </c>
      <c r="I88" s="1760">
        <f>K88</f>
        <v>41500</v>
      </c>
      <c r="J88" s="1726" t="s">
        <v>669</v>
      </c>
      <c r="K88" s="1533">
        <f>G88</f>
        <v>41500</v>
      </c>
      <c r="L88" s="1726" t="s">
        <v>669</v>
      </c>
      <c r="M88" s="1536"/>
      <c r="N88" s="1726" t="s">
        <v>669</v>
      </c>
      <c r="O88" s="1536"/>
      <c r="P88" s="1726" t="s">
        <v>669</v>
      </c>
      <c r="Q88" s="1536"/>
      <c r="R88" s="1726" t="s">
        <v>669</v>
      </c>
      <c r="S88" s="1533">
        <f>K88</f>
        <v>41500</v>
      </c>
      <c r="T88" s="1726" t="s">
        <v>669</v>
      </c>
      <c r="U88" s="1533">
        <f>I88</f>
        <v>41500</v>
      </c>
      <c r="V88" s="1726" t="s">
        <v>669</v>
      </c>
      <c r="W88" s="1536"/>
      <c r="X88" s="1659" t="s">
        <v>654</v>
      </c>
      <c r="Y88" s="1660">
        <f>I88</f>
        <v>41500</v>
      </c>
      <c r="Z88" s="1659" t="s">
        <v>654</v>
      </c>
      <c r="AA88" s="1660">
        <f>U88</f>
        <v>41500</v>
      </c>
      <c r="AB88" s="1726" t="s">
        <v>669</v>
      </c>
      <c r="AC88" s="1533"/>
      <c r="AD88" s="1659" t="s">
        <v>654</v>
      </c>
      <c r="AE88" s="1660">
        <f>K88</f>
        <v>41500</v>
      </c>
      <c r="AF88" s="1726"/>
      <c r="AG88" s="1536"/>
      <c r="AH88" s="1726"/>
      <c r="AI88" s="1536"/>
      <c r="AJ88" s="1726"/>
      <c r="AK88" s="1536"/>
      <c r="AL88" s="1726"/>
      <c r="AM88" s="1536"/>
      <c r="AN88" s="1726"/>
      <c r="AO88" s="1536"/>
    </row>
    <row r="89" spans="1:41" ht="14.5" x14ac:dyDescent="0.35">
      <c r="A89" s="1538"/>
      <c r="B89" s="1751" t="s">
        <v>2158</v>
      </c>
      <c r="C89" s="1741"/>
      <c r="D89" s="682"/>
      <c r="E89" s="1699"/>
      <c r="F89" s="1699"/>
      <c r="G89" s="646"/>
      <c r="H89" s="1726" t="s">
        <v>669</v>
      </c>
      <c r="I89" s="1536"/>
      <c r="J89" s="1726" t="s">
        <v>669</v>
      </c>
      <c r="K89" s="1536"/>
      <c r="L89" s="1726" t="s">
        <v>669</v>
      </c>
      <c r="M89" s="1536"/>
      <c r="N89" s="1726" t="s">
        <v>669</v>
      </c>
      <c r="O89" s="1536"/>
      <c r="P89" s="1726" t="s">
        <v>669</v>
      </c>
      <c r="Q89" s="1536"/>
      <c r="R89" s="1726" t="s">
        <v>669</v>
      </c>
      <c r="S89" s="1536"/>
      <c r="T89" s="1726" t="s">
        <v>669</v>
      </c>
      <c r="U89" s="1536"/>
      <c r="V89" s="1726" t="s">
        <v>669</v>
      </c>
      <c r="W89" s="1536"/>
      <c r="X89" s="1726" t="s">
        <v>669</v>
      </c>
      <c r="Y89" s="1536"/>
      <c r="Z89" s="1726" t="s">
        <v>669</v>
      </c>
      <c r="AA89" s="1536"/>
      <c r="AB89" s="1726" t="s">
        <v>669</v>
      </c>
      <c r="AC89" s="1536"/>
      <c r="AD89" s="1726" t="s">
        <v>669</v>
      </c>
      <c r="AE89" s="1536"/>
      <c r="AF89" s="1726" t="s">
        <v>669</v>
      </c>
      <c r="AG89" s="1536"/>
      <c r="AH89" s="1726" t="s">
        <v>671</v>
      </c>
      <c r="AI89" s="1536"/>
      <c r="AJ89" s="1726"/>
      <c r="AK89" s="1536"/>
      <c r="AL89" s="1726"/>
      <c r="AM89" s="1536"/>
      <c r="AN89" s="1726"/>
      <c r="AO89" s="1536"/>
    </row>
    <row r="90" spans="1:41" ht="14.5" x14ac:dyDescent="0.35">
      <c r="A90" s="1538"/>
      <c r="B90" s="1752" t="s">
        <v>2159</v>
      </c>
      <c r="C90" s="1741"/>
      <c r="D90" s="682">
        <v>2</v>
      </c>
      <c r="E90" s="1699" t="s">
        <v>666</v>
      </c>
      <c r="F90" s="1699"/>
      <c r="G90" s="646"/>
      <c r="H90" s="1726" t="s">
        <v>669</v>
      </c>
      <c r="I90" s="1536"/>
      <c r="J90" s="1726" t="s">
        <v>669</v>
      </c>
      <c r="K90" s="1536"/>
      <c r="L90" s="1726" t="s">
        <v>669</v>
      </c>
      <c r="M90" s="1536"/>
      <c r="N90" s="1726" t="s">
        <v>669</v>
      </c>
      <c r="O90" s="1536"/>
      <c r="P90" s="1726" t="s">
        <v>669</v>
      </c>
      <c r="Q90" s="1536"/>
      <c r="R90" s="1726" t="s">
        <v>669</v>
      </c>
      <c r="S90" s="1536"/>
      <c r="T90" s="1726" t="s">
        <v>669</v>
      </c>
      <c r="U90" s="1536"/>
      <c r="V90" s="1726" t="s">
        <v>669</v>
      </c>
      <c r="W90" s="1536"/>
      <c r="X90" s="1726" t="s">
        <v>669</v>
      </c>
      <c r="Y90" s="1536"/>
      <c r="Z90" s="1726" t="s">
        <v>669</v>
      </c>
      <c r="AA90" s="1536"/>
      <c r="AB90" s="1726" t="s">
        <v>669</v>
      </c>
      <c r="AC90" s="1536"/>
      <c r="AD90" s="1726" t="s">
        <v>669</v>
      </c>
      <c r="AE90" s="1536"/>
      <c r="AF90" s="1726" t="s">
        <v>669</v>
      </c>
      <c r="AG90" s="1536"/>
      <c r="AH90" s="1726" t="s">
        <v>671</v>
      </c>
      <c r="AI90" s="1536"/>
      <c r="AJ90" s="1726"/>
      <c r="AK90" s="1536"/>
      <c r="AL90" s="1726"/>
      <c r="AM90" s="1536"/>
      <c r="AN90" s="1726"/>
      <c r="AO90" s="1536"/>
    </row>
    <row r="91" spans="1:41" ht="14.5" x14ac:dyDescent="0.35">
      <c r="A91" s="1538"/>
      <c r="B91" s="1752" t="s">
        <v>2160</v>
      </c>
      <c r="C91" s="1741"/>
      <c r="D91" s="682">
        <v>2</v>
      </c>
      <c r="E91" s="1699" t="s">
        <v>666</v>
      </c>
      <c r="F91" s="1699"/>
      <c r="G91" s="646"/>
      <c r="H91" s="1726" t="s">
        <v>669</v>
      </c>
      <c r="I91" s="1536"/>
      <c r="J91" s="1726" t="s">
        <v>669</v>
      </c>
      <c r="K91" s="1536"/>
      <c r="L91" s="1726" t="s">
        <v>669</v>
      </c>
      <c r="M91" s="1536"/>
      <c r="N91" s="1726" t="s">
        <v>669</v>
      </c>
      <c r="O91" s="1536"/>
      <c r="P91" s="1726" t="s">
        <v>669</v>
      </c>
      <c r="Q91" s="1536"/>
      <c r="R91" s="1726" t="s">
        <v>669</v>
      </c>
      <c r="S91" s="1536"/>
      <c r="T91" s="1726" t="s">
        <v>669</v>
      </c>
      <c r="U91" s="1536"/>
      <c r="V91" s="1726" t="s">
        <v>669</v>
      </c>
      <c r="W91" s="1536"/>
      <c r="X91" s="1726" t="s">
        <v>669</v>
      </c>
      <c r="Y91" s="1536"/>
      <c r="Z91" s="1726" t="s">
        <v>669</v>
      </c>
      <c r="AA91" s="1536"/>
      <c r="AB91" s="1726" t="s">
        <v>669</v>
      </c>
      <c r="AC91" s="1536"/>
      <c r="AD91" s="1726" t="s">
        <v>669</v>
      </c>
      <c r="AE91" s="1536"/>
      <c r="AF91" s="1726" t="s">
        <v>669</v>
      </c>
      <c r="AG91" s="1536"/>
      <c r="AH91" s="1726" t="s">
        <v>671</v>
      </c>
      <c r="AI91" s="1536"/>
      <c r="AJ91" s="1726"/>
      <c r="AK91" s="1536"/>
      <c r="AL91" s="1726"/>
      <c r="AM91" s="1536"/>
      <c r="AN91" s="1726"/>
      <c r="AO91" s="1536"/>
    </row>
    <row r="92" spans="1:41" ht="14.5" x14ac:dyDescent="0.35">
      <c r="A92" s="1538"/>
      <c r="B92" s="1752" t="s">
        <v>2161</v>
      </c>
      <c r="C92" s="1741"/>
      <c r="D92" s="682">
        <v>14</v>
      </c>
      <c r="E92" s="1699" t="s">
        <v>666</v>
      </c>
      <c r="F92" s="1699"/>
      <c r="G92" s="646"/>
      <c r="H92" s="1726" t="s">
        <v>669</v>
      </c>
      <c r="I92" s="1536"/>
      <c r="J92" s="1726" t="s">
        <v>669</v>
      </c>
      <c r="K92" s="1536"/>
      <c r="L92" s="1726" t="s">
        <v>669</v>
      </c>
      <c r="M92" s="1536"/>
      <c r="N92" s="1726" t="s">
        <v>669</v>
      </c>
      <c r="O92" s="1536"/>
      <c r="P92" s="1726" t="s">
        <v>669</v>
      </c>
      <c r="Q92" s="1536"/>
      <c r="R92" s="1726" t="s">
        <v>669</v>
      </c>
      <c r="S92" s="1536"/>
      <c r="T92" s="1726" t="s">
        <v>669</v>
      </c>
      <c r="U92" s="1536"/>
      <c r="V92" s="1726" t="s">
        <v>669</v>
      </c>
      <c r="W92" s="1536"/>
      <c r="X92" s="1726" t="s">
        <v>669</v>
      </c>
      <c r="Y92" s="1536"/>
      <c r="Z92" s="1726" t="s">
        <v>669</v>
      </c>
      <c r="AA92" s="1536"/>
      <c r="AB92" s="1726" t="s">
        <v>669</v>
      </c>
      <c r="AC92" s="1536"/>
      <c r="AD92" s="1726" t="s">
        <v>669</v>
      </c>
      <c r="AE92" s="1536"/>
      <c r="AF92" s="1726" t="s">
        <v>669</v>
      </c>
      <c r="AG92" s="1536"/>
      <c r="AH92" s="1726" t="s">
        <v>671</v>
      </c>
      <c r="AI92" s="1536"/>
      <c r="AJ92" s="1726"/>
      <c r="AK92" s="1536"/>
      <c r="AL92" s="1726"/>
      <c r="AM92" s="1536"/>
      <c r="AN92" s="1726"/>
      <c r="AO92" s="1536"/>
    </row>
    <row r="93" spans="1:41" ht="14.5" x14ac:dyDescent="0.35">
      <c r="A93" s="1538"/>
      <c r="B93" s="1752" t="s">
        <v>2162</v>
      </c>
      <c r="C93" s="1741"/>
      <c r="D93" s="682">
        <v>2</v>
      </c>
      <c r="E93" s="1699" t="s">
        <v>666</v>
      </c>
      <c r="F93" s="1699"/>
      <c r="G93" s="646"/>
      <c r="H93" s="1726" t="s">
        <v>669</v>
      </c>
      <c r="I93" s="1536"/>
      <c r="J93" s="1726" t="s">
        <v>669</v>
      </c>
      <c r="K93" s="1536"/>
      <c r="L93" s="1726" t="s">
        <v>669</v>
      </c>
      <c r="M93" s="1536"/>
      <c r="N93" s="1726" t="s">
        <v>669</v>
      </c>
      <c r="O93" s="1536"/>
      <c r="P93" s="1726" t="s">
        <v>669</v>
      </c>
      <c r="Q93" s="1536"/>
      <c r="R93" s="1726" t="s">
        <v>669</v>
      </c>
      <c r="S93" s="1536"/>
      <c r="T93" s="1726" t="s">
        <v>669</v>
      </c>
      <c r="U93" s="1536"/>
      <c r="V93" s="1726" t="s">
        <v>669</v>
      </c>
      <c r="W93" s="1536"/>
      <c r="X93" s="1726" t="s">
        <v>669</v>
      </c>
      <c r="Y93" s="1536"/>
      <c r="Z93" s="1726" t="s">
        <v>669</v>
      </c>
      <c r="AA93" s="1536"/>
      <c r="AB93" s="1726" t="s">
        <v>669</v>
      </c>
      <c r="AC93" s="1536"/>
      <c r="AD93" s="1726" t="s">
        <v>669</v>
      </c>
      <c r="AE93" s="1536"/>
      <c r="AF93" s="1726" t="s">
        <v>669</v>
      </c>
      <c r="AG93" s="1536"/>
      <c r="AH93" s="1726" t="s">
        <v>671</v>
      </c>
      <c r="AI93" s="1536"/>
      <c r="AJ93" s="1726"/>
      <c r="AK93" s="1536"/>
      <c r="AL93" s="1726"/>
      <c r="AM93" s="1536"/>
      <c r="AN93" s="1726"/>
      <c r="AO93" s="1536"/>
    </row>
    <row r="94" spans="1:41" ht="14.5" x14ac:dyDescent="0.35">
      <c r="A94" s="1538"/>
      <c r="B94" s="1752" t="s">
        <v>2163</v>
      </c>
      <c r="C94" s="1741"/>
      <c r="D94" s="682">
        <v>3</v>
      </c>
      <c r="E94" s="1699" t="s">
        <v>666</v>
      </c>
      <c r="F94" s="1699"/>
      <c r="G94" s="646"/>
      <c r="H94" s="1726" t="s">
        <v>669</v>
      </c>
      <c r="I94" s="1536"/>
      <c r="J94" s="1726" t="s">
        <v>669</v>
      </c>
      <c r="K94" s="1536"/>
      <c r="L94" s="1726" t="s">
        <v>669</v>
      </c>
      <c r="M94" s="1536"/>
      <c r="N94" s="1726" t="s">
        <v>669</v>
      </c>
      <c r="O94" s="1536"/>
      <c r="P94" s="1726" t="s">
        <v>669</v>
      </c>
      <c r="Q94" s="1536"/>
      <c r="R94" s="1726" t="s">
        <v>669</v>
      </c>
      <c r="S94" s="1536"/>
      <c r="T94" s="1726" t="s">
        <v>669</v>
      </c>
      <c r="U94" s="1536"/>
      <c r="V94" s="1726" t="s">
        <v>669</v>
      </c>
      <c r="W94" s="1536"/>
      <c r="X94" s="1726" t="s">
        <v>669</v>
      </c>
      <c r="Y94" s="1536"/>
      <c r="Z94" s="1726" t="s">
        <v>669</v>
      </c>
      <c r="AA94" s="1536"/>
      <c r="AB94" s="1726" t="s">
        <v>669</v>
      </c>
      <c r="AC94" s="1536"/>
      <c r="AD94" s="1726" t="s">
        <v>669</v>
      </c>
      <c r="AE94" s="1536"/>
      <c r="AF94" s="1726" t="s">
        <v>669</v>
      </c>
      <c r="AG94" s="1536"/>
      <c r="AH94" s="1726" t="s">
        <v>671</v>
      </c>
      <c r="AI94" s="1536"/>
      <c r="AJ94" s="1726"/>
      <c r="AK94" s="1536"/>
      <c r="AL94" s="1726"/>
      <c r="AM94" s="1536"/>
      <c r="AN94" s="1726"/>
      <c r="AO94" s="1536"/>
    </row>
    <row r="95" spans="1:41" ht="14.5" x14ac:dyDescent="0.35">
      <c r="A95" s="1538"/>
      <c r="B95" s="1752" t="s">
        <v>2164</v>
      </c>
      <c r="C95" s="1741"/>
      <c r="D95" s="682">
        <v>5</v>
      </c>
      <c r="E95" s="1699" t="s">
        <v>666</v>
      </c>
      <c r="F95" s="1699"/>
      <c r="G95" s="646"/>
      <c r="H95" s="1726" t="s">
        <v>669</v>
      </c>
      <c r="I95" s="1536"/>
      <c r="J95" s="1726" t="s">
        <v>669</v>
      </c>
      <c r="K95" s="1536"/>
      <c r="L95" s="1726" t="s">
        <v>669</v>
      </c>
      <c r="M95" s="1536"/>
      <c r="N95" s="1726" t="s">
        <v>669</v>
      </c>
      <c r="O95" s="1536"/>
      <c r="P95" s="1726" t="s">
        <v>669</v>
      </c>
      <c r="Q95" s="1536"/>
      <c r="R95" s="1726" t="s">
        <v>669</v>
      </c>
      <c r="S95" s="1536"/>
      <c r="T95" s="1726" t="s">
        <v>669</v>
      </c>
      <c r="U95" s="1536"/>
      <c r="V95" s="1726" t="s">
        <v>669</v>
      </c>
      <c r="W95" s="1536"/>
      <c r="X95" s="1726" t="s">
        <v>669</v>
      </c>
      <c r="Y95" s="1536"/>
      <c r="Z95" s="1726" t="s">
        <v>669</v>
      </c>
      <c r="AA95" s="1536"/>
      <c r="AB95" s="1726" t="s">
        <v>669</v>
      </c>
      <c r="AC95" s="1536"/>
      <c r="AD95" s="1726" t="s">
        <v>669</v>
      </c>
      <c r="AE95" s="1536"/>
      <c r="AF95" s="1726" t="s">
        <v>669</v>
      </c>
      <c r="AG95" s="1536"/>
      <c r="AH95" s="1726" t="s">
        <v>671</v>
      </c>
      <c r="AI95" s="1536"/>
      <c r="AJ95" s="1726"/>
      <c r="AK95" s="1536"/>
      <c r="AL95" s="1726"/>
      <c r="AM95" s="1536"/>
      <c r="AN95" s="1726"/>
      <c r="AO95" s="1536"/>
    </row>
    <row r="96" spans="1:41" ht="14.5" x14ac:dyDescent="0.35">
      <c r="A96" s="1538"/>
      <c r="B96" s="1752" t="s">
        <v>2165</v>
      </c>
      <c r="C96" s="1741"/>
      <c r="D96" s="682">
        <v>1</v>
      </c>
      <c r="E96" s="1699" t="s">
        <v>666</v>
      </c>
      <c r="F96" s="1699"/>
      <c r="G96" s="646"/>
      <c r="H96" s="1726" t="s">
        <v>669</v>
      </c>
      <c r="I96" s="1536"/>
      <c r="J96" s="1726" t="s">
        <v>669</v>
      </c>
      <c r="K96" s="1536"/>
      <c r="L96" s="1726" t="s">
        <v>669</v>
      </c>
      <c r="M96" s="1536"/>
      <c r="N96" s="1726" t="s">
        <v>669</v>
      </c>
      <c r="O96" s="1536"/>
      <c r="P96" s="1726" t="s">
        <v>669</v>
      </c>
      <c r="Q96" s="1536"/>
      <c r="R96" s="1726" t="s">
        <v>669</v>
      </c>
      <c r="S96" s="1536"/>
      <c r="T96" s="1726" t="s">
        <v>669</v>
      </c>
      <c r="U96" s="1536"/>
      <c r="V96" s="1726" t="s">
        <v>669</v>
      </c>
      <c r="W96" s="1536"/>
      <c r="X96" s="1726" t="s">
        <v>669</v>
      </c>
      <c r="Y96" s="1536"/>
      <c r="Z96" s="1726" t="s">
        <v>669</v>
      </c>
      <c r="AA96" s="1536"/>
      <c r="AB96" s="1726" t="s">
        <v>669</v>
      </c>
      <c r="AC96" s="1536"/>
      <c r="AD96" s="1726" t="s">
        <v>669</v>
      </c>
      <c r="AE96" s="1536"/>
      <c r="AF96" s="1726" t="s">
        <v>669</v>
      </c>
      <c r="AG96" s="1536"/>
      <c r="AH96" s="1726" t="s">
        <v>671</v>
      </c>
      <c r="AI96" s="1536"/>
      <c r="AJ96" s="1726"/>
      <c r="AK96" s="1536"/>
      <c r="AL96" s="1726"/>
      <c r="AM96" s="1536"/>
      <c r="AN96" s="1726"/>
      <c r="AO96" s="1536"/>
    </row>
    <row r="97" spans="1:41" ht="14.5" x14ac:dyDescent="0.35">
      <c r="A97" s="1538"/>
      <c r="B97" s="1752" t="s">
        <v>2166</v>
      </c>
      <c r="C97" s="1741"/>
      <c r="D97" s="682">
        <v>6</v>
      </c>
      <c r="E97" s="1699" t="s">
        <v>666</v>
      </c>
      <c r="F97" s="1699"/>
      <c r="G97" s="646"/>
      <c r="H97" s="1726" t="s">
        <v>669</v>
      </c>
      <c r="I97" s="1536"/>
      <c r="J97" s="1726" t="s">
        <v>669</v>
      </c>
      <c r="K97" s="1536"/>
      <c r="L97" s="1726" t="s">
        <v>669</v>
      </c>
      <c r="M97" s="1536"/>
      <c r="N97" s="1726" t="s">
        <v>669</v>
      </c>
      <c r="O97" s="1536"/>
      <c r="P97" s="1726" t="s">
        <v>669</v>
      </c>
      <c r="Q97" s="1536"/>
      <c r="R97" s="1726" t="s">
        <v>669</v>
      </c>
      <c r="S97" s="1536"/>
      <c r="T97" s="1726" t="s">
        <v>669</v>
      </c>
      <c r="U97" s="1536"/>
      <c r="V97" s="1726" t="s">
        <v>669</v>
      </c>
      <c r="W97" s="1536"/>
      <c r="X97" s="1726" t="s">
        <v>669</v>
      </c>
      <c r="Y97" s="1536"/>
      <c r="Z97" s="1726" t="s">
        <v>669</v>
      </c>
      <c r="AA97" s="1536"/>
      <c r="AB97" s="1726" t="s">
        <v>669</v>
      </c>
      <c r="AC97" s="1536"/>
      <c r="AD97" s="1726" t="s">
        <v>669</v>
      </c>
      <c r="AE97" s="1760" t="s">
        <v>2167</v>
      </c>
      <c r="AF97" s="1726" t="s">
        <v>669</v>
      </c>
      <c r="AG97" s="1536"/>
      <c r="AH97" s="1726" t="s">
        <v>671</v>
      </c>
      <c r="AI97" s="1536"/>
      <c r="AJ97" s="1726"/>
      <c r="AK97" s="1536"/>
      <c r="AL97" s="1726"/>
      <c r="AM97" s="1536"/>
      <c r="AN97" s="1726"/>
      <c r="AO97" s="1536"/>
    </row>
    <row r="98" spans="1:41" ht="14.5" x14ac:dyDescent="0.35">
      <c r="A98" s="1538"/>
      <c r="B98" s="1752" t="s">
        <v>2168</v>
      </c>
      <c r="C98" s="1741"/>
      <c r="D98" s="682">
        <v>1</v>
      </c>
      <c r="E98" s="1699" t="s">
        <v>666</v>
      </c>
      <c r="F98" s="1699"/>
      <c r="G98" s="646"/>
      <c r="H98" s="1726" t="s">
        <v>669</v>
      </c>
      <c r="I98" s="1536"/>
      <c r="J98" s="1726" t="s">
        <v>669</v>
      </c>
      <c r="K98" s="1536"/>
      <c r="L98" s="1726" t="s">
        <v>669</v>
      </c>
      <c r="M98" s="1536"/>
      <c r="N98" s="1726" t="s">
        <v>669</v>
      </c>
      <c r="O98" s="1536"/>
      <c r="P98" s="1726" t="s">
        <v>669</v>
      </c>
      <c r="Q98" s="1536"/>
      <c r="R98" s="1726" t="s">
        <v>669</v>
      </c>
      <c r="S98" s="1536"/>
      <c r="T98" s="1726" t="s">
        <v>669</v>
      </c>
      <c r="U98" s="1536"/>
      <c r="V98" s="1726" t="s">
        <v>669</v>
      </c>
      <c r="W98" s="1536"/>
      <c r="X98" s="1726" t="s">
        <v>669</v>
      </c>
      <c r="Y98" s="1536"/>
      <c r="Z98" s="1726" t="s">
        <v>669</v>
      </c>
      <c r="AA98" s="1536"/>
      <c r="AB98" s="1726" t="s">
        <v>669</v>
      </c>
      <c r="AC98" s="1536"/>
      <c r="AD98" s="1726" t="s">
        <v>669</v>
      </c>
      <c r="AE98" s="1760" t="s">
        <v>2169</v>
      </c>
      <c r="AF98" s="1726" t="s">
        <v>669</v>
      </c>
      <c r="AG98" s="1536"/>
      <c r="AH98" s="1726" t="s">
        <v>671</v>
      </c>
      <c r="AI98" s="1536"/>
      <c r="AJ98" s="1726"/>
      <c r="AK98" s="1536"/>
      <c r="AL98" s="1726"/>
      <c r="AM98" s="1536"/>
      <c r="AN98" s="1726"/>
      <c r="AO98" s="1536"/>
    </row>
    <row r="99" spans="1:41" ht="14.5" x14ac:dyDescent="0.35">
      <c r="A99" s="1538"/>
      <c r="B99" s="1752" t="s">
        <v>2170</v>
      </c>
      <c r="C99" s="1741"/>
      <c r="D99" s="682">
        <v>3</v>
      </c>
      <c r="E99" s="1699" t="s">
        <v>666</v>
      </c>
      <c r="F99" s="1699"/>
      <c r="G99" s="646"/>
      <c r="H99" s="1726" t="s">
        <v>669</v>
      </c>
      <c r="I99" s="1536"/>
      <c r="J99" s="1726" t="s">
        <v>669</v>
      </c>
      <c r="K99" s="1536"/>
      <c r="L99" s="1726" t="s">
        <v>669</v>
      </c>
      <c r="M99" s="1536"/>
      <c r="N99" s="1726" t="s">
        <v>669</v>
      </c>
      <c r="O99" s="1536"/>
      <c r="P99" s="1726" t="s">
        <v>669</v>
      </c>
      <c r="Q99" s="1536"/>
      <c r="R99" s="1726" t="s">
        <v>669</v>
      </c>
      <c r="S99" s="1536"/>
      <c r="T99" s="1726" t="s">
        <v>669</v>
      </c>
      <c r="U99" s="1536"/>
      <c r="V99" s="1726" t="s">
        <v>669</v>
      </c>
      <c r="W99" s="1536"/>
      <c r="X99" s="1726" t="s">
        <v>669</v>
      </c>
      <c r="Y99" s="1536"/>
      <c r="Z99" s="1726" t="s">
        <v>669</v>
      </c>
      <c r="AA99" s="1536"/>
      <c r="AB99" s="1726" t="s">
        <v>669</v>
      </c>
      <c r="AC99" s="1536"/>
      <c r="AD99" s="1726" t="s">
        <v>669</v>
      </c>
      <c r="AE99" s="1536"/>
      <c r="AF99" s="1726" t="s">
        <v>669</v>
      </c>
      <c r="AG99" s="1536"/>
      <c r="AH99" s="1726" t="s">
        <v>671</v>
      </c>
      <c r="AI99" s="1536"/>
      <c r="AJ99" s="1726"/>
      <c r="AK99" s="1536"/>
      <c r="AL99" s="1726"/>
      <c r="AM99" s="1536"/>
      <c r="AN99" s="1726"/>
      <c r="AO99" s="1536"/>
    </row>
    <row r="100" spans="1:41" ht="14.5" x14ac:dyDescent="0.35">
      <c r="A100" s="1538"/>
      <c r="B100" s="1752" t="s">
        <v>2171</v>
      </c>
      <c r="C100" s="1741"/>
      <c r="D100" s="682">
        <v>4</v>
      </c>
      <c r="E100" s="1699" t="s">
        <v>666</v>
      </c>
      <c r="F100" s="1699"/>
      <c r="G100" s="646"/>
      <c r="H100" s="1726" t="s">
        <v>669</v>
      </c>
      <c r="I100" s="1536"/>
      <c r="J100" s="1726" t="s">
        <v>669</v>
      </c>
      <c r="K100" s="1536"/>
      <c r="L100" s="1726" t="s">
        <v>669</v>
      </c>
      <c r="M100" s="1536"/>
      <c r="N100" s="1726" t="s">
        <v>669</v>
      </c>
      <c r="O100" s="1536"/>
      <c r="P100" s="1726" t="s">
        <v>669</v>
      </c>
      <c r="Q100" s="1536"/>
      <c r="R100" s="1726" t="s">
        <v>669</v>
      </c>
      <c r="S100" s="1536"/>
      <c r="T100" s="1726" t="s">
        <v>669</v>
      </c>
      <c r="U100" s="1536"/>
      <c r="V100" s="1726" t="s">
        <v>669</v>
      </c>
      <c r="W100" s="1536"/>
      <c r="X100" s="1726" t="s">
        <v>669</v>
      </c>
      <c r="Y100" s="1536"/>
      <c r="Z100" s="1726" t="s">
        <v>669</v>
      </c>
      <c r="AA100" s="1536"/>
      <c r="AB100" s="1726" t="s">
        <v>669</v>
      </c>
      <c r="AC100" s="1536"/>
      <c r="AD100" s="1726" t="s">
        <v>669</v>
      </c>
      <c r="AE100" s="1536"/>
      <c r="AF100" s="1726" t="s">
        <v>669</v>
      </c>
      <c r="AG100" s="1536"/>
      <c r="AH100" s="1726" t="s">
        <v>671</v>
      </c>
      <c r="AI100" s="1536"/>
      <c r="AJ100" s="1726"/>
      <c r="AK100" s="1536"/>
      <c r="AL100" s="1726"/>
      <c r="AM100" s="1536"/>
      <c r="AN100" s="1726"/>
      <c r="AO100" s="1536"/>
    </row>
    <row r="101" spans="1:41" ht="14.5" x14ac:dyDescent="0.35">
      <c r="A101" s="1538"/>
      <c r="B101" s="1752" t="s">
        <v>2172</v>
      </c>
      <c r="C101" s="1741"/>
      <c r="D101" s="682">
        <v>10</v>
      </c>
      <c r="E101" s="1699" t="s">
        <v>666</v>
      </c>
      <c r="F101" s="1699"/>
      <c r="G101" s="646"/>
      <c r="H101" s="1726" t="s">
        <v>669</v>
      </c>
      <c r="I101" s="1536"/>
      <c r="J101" s="1659" t="s">
        <v>654</v>
      </c>
      <c r="K101" s="1536"/>
      <c r="L101" s="1726" t="s">
        <v>669</v>
      </c>
      <c r="M101" s="1536"/>
      <c r="N101" s="1726" t="s">
        <v>669</v>
      </c>
      <c r="O101" s="1536"/>
      <c r="P101" s="1726" t="s">
        <v>669</v>
      </c>
      <c r="Q101" s="1536"/>
      <c r="R101" s="1726" t="s">
        <v>669</v>
      </c>
      <c r="S101" s="1536"/>
      <c r="T101" s="1726" t="s">
        <v>669</v>
      </c>
      <c r="U101" s="1536"/>
      <c r="V101" s="1726" t="s">
        <v>669</v>
      </c>
      <c r="W101" s="1536"/>
      <c r="X101" s="1726" t="s">
        <v>669</v>
      </c>
      <c r="Y101" s="1536"/>
      <c r="Z101" s="1726" t="s">
        <v>669</v>
      </c>
      <c r="AA101" s="1536"/>
      <c r="AB101" s="1726" t="s">
        <v>669</v>
      </c>
      <c r="AC101" s="1536"/>
      <c r="AD101" s="1726" t="s">
        <v>669</v>
      </c>
      <c r="AE101" s="1536"/>
      <c r="AF101" s="1726" t="s">
        <v>669</v>
      </c>
      <c r="AG101" s="1536"/>
      <c r="AH101" s="1726" t="s">
        <v>671</v>
      </c>
      <c r="AI101" s="1536"/>
      <c r="AJ101" s="1726"/>
      <c r="AK101" s="1536"/>
      <c r="AL101" s="1726"/>
      <c r="AM101" s="1536"/>
      <c r="AN101" s="1726"/>
      <c r="AO101" s="1536"/>
    </row>
    <row r="102" spans="1:41" ht="14.5" x14ac:dyDescent="0.35">
      <c r="A102" s="1538"/>
      <c r="B102" s="1752" t="s">
        <v>2173</v>
      </c>
      <c r="C102" s="1741"/>
      <c r="D102" s="682">
        <v>1</v>
      </c>
      <c r="E102" s="1699" t="s">
        <v>666</v>
      </c>
      <c r="F102" s="1699"/>
      <c r="G102" s="646"/>
      <c r="H102" s="1726" t="s">
        <v>669</v>
      </c>
      <c r="I102" s="1536"/>
      <c r="J102" s="1659" t="s">
        <v>654</v>
      </c>
      <c r="K102" s="1536"/>
      <c r="L102" s="1726" t="s">
        <v>669</v>
      </c>
      <c r="M102" s="1536"/>
      <c r="N102" s="1726" t="s">
        <v>669</v>
      </c>
      <c r="O102" s="1536"/>
      <c r="P102" s="1726" t="s">
        <v>669</v>
      </c>
      <c r="Q102" s="1536"/>
      <c r="R102" s="1726" t="s">
        <v>669</v>
      </c>
      <c r="S102" s="1536"/>
      <c r="T102" s="1726" t="s">
        <v>669</v>
      </c>
      <c r="U102" s="1536"/>
      <c r="V102" s="1726" t="s">
        <v>669</v>
      </c>
      <c r="W102" s="1536"/>
      <c r="X102" s="1726" t="s">
        <v>669</v>
      </c>
      <c r="Y102" s="1536"/>
      <c r="Z102" s="1726" t="s">
        <v>669</v>
      </c>
      <c r="AA102" s="1536"/>
      <c r="AB102" s="1726" t="s">
        <v>669</v>
      </c>
      <c r="AC102" s="1536"/>
      <c r="AD102" s="1726" t="s">
        <v>671</v>
      </c>
      <c r="AE102" s="1536"/>
      <c r="AF102" s="1726" t="s">
        <v>669</v>
      </c>
      <c r="AG102" s="1536"/>
      <c r="AH102" s="1726" t="s">
        <v>671</v>
      </c>
      <c r="AI102" s="1536"/>
      <c r="AJ102" s="1726"/>
      <c r="AK102" s="1536"/>
      <c r="AL102" s="1726"/>
      <c r="AM102" s="1536"/>
      <c r="AN102" s="1726"/>
      <c r="AO102" s="1536"/>
    </row>
    <row r="103" spans="1:41" ht="14.5" x14ac:dyDescent="0.35">
      <c r="A103" s="1538"/>
      <c r="B103" s="1752" t="s">
        <v>2174</v>
      </c>
      <c r="C103" s="1741"/>
      <c r="D103" s="682">
        <v>1</v>
      </c>
      <c r="E103" s="1699" t="s">
        <v>666</v>
      </c>
      <c r="F103" s="1699"/>
      <c r="G103" s="646"/>
      <c r="H103" s="1726" t="s">
        <v>669</v>
      </c>
      <c r="I103" s="1536"/>
      <c r="J103" s="1726" t="s">
        <v>669</v>
      </c>
      <c r="K103" s="1536"/>
      <c r="L103" s="1726" t="s">
        <v>669</v>
      </c>
      <c r="M103" s="1536"/>
      <c r="N103" s="1726" t="s">
        <v>669</v>
      </c>
      <c r="O103" s="1536"/>
      <c r="P103" s="1726" t="s">
        <v>669</v>
      </c>
      <c r="Q103" s="1536"/>
      <c r="R103" s="1726" t="s">
        <v>669</v>
      </c>
      <c r="S103" s="1536"/>
      <c r="T103" s="1726" t="s">
        <v>669</v>
      </c>
      <c r="U103" s="1536"/>
      <c r="V103" s="1726" t="s">
        <v>669</v>
      </c>
      <c r="W103" s="1536"/>
      <c r="X103" s="1726" t="s">
        <v>669</v>
      </c>
      <c r="Y103" s="1536"/>
      <c r="Z103" s="1726" t="s">
        <v>669</v>
      </c>
      <c r="AA103" s="1536"/>
      <c r="AB103" s="1726" t="s">
        <v>669</v>
      </c>
      <c r="AC103" s="1536"/>
      <c r="AD103" s="1726" t="s">
        <v>669</v>
      </c>
      <c r="AE103" s="1536"/>
      <c r="AF103" s="1726" t="s">
        <v>669</v>
      </c>
      <c r="AG103" s="1536"/>
      <c r="AH103" s="1726" t="s">
        <v>671</v>
      </c>
      <c r="AI103" s="1536"/>
      <c r="AJ103" s="1726"/>
      <c r="AK103" s="1536"/>
      <c r="AL103" s="1726"/>
      <c r="AM103" s="1536"/>
      <c r="AN103" s="1726"/>
      <c r="AO103" s="1536"/>
    </row>
    <row r="104" spans="1:41" ht="14.5" x14ac:dyDescent="0.35">
      <c r="A104" s="1538"/>
      <c r="B104" s="1752" t="s">
        <v>2175</v>
      </c>
      <c r="C104" s="1741"/>
      <c r="D104" s="682">
        <v>3</v>
      </c>
      <c r="E104" s="1699" t="s">
        <v>666</v>
      </c>
      <c r="F104" s="1699"/>
      <c r="G104" s="646"/>
      <c r="H104" s="1726" t="s">
        <v>669</v>
      </c>
      <c r="I104" s="1536"/>
      <c r="J104" s="1726" t="s">
        <v>669</v>
      </c>
      <c r="K104" s="1536"/>
      <c r="L104" s="1726" t="s">
        <v>669</v>
      </c>
      <c r="M104" s="1536"/>
      <c r="N104" s="1726" t="s">
        <v>669</v>
      </c>
      <c r="O104" s="1536"/>
      <c r="P104" s="1726" t="s">
        <v>669</v>
      </c>
      <c r="Q104" s="1536"/>
      <c r="R104" s="1726" t="s">
        <v>669</v>
      </c>
      <c r="S104" s="1536"/>
      <c r="T104" s="1726" t="s">
        <v>669</v>
      </c>
      <c r="U104" s="1536"/>
      <c r="V104" s="1726" t="s">
        <v>669</v>
      </c>
      <c r="W104" s="1536"/>
      <c r="X104" s="1726" t="s">
        <v>669</v>
      </c>
      <c r="Y104" s="1536"/>
      <c r="Z104" s="1726" t="s">
        <v>669</v>
      </c>
      <c r="AA104" s="1536"/>
      <c r="AB104" s="1726" t="s">
        <v>669</v>
      </c>
      <c r="AC104" s="1536"/>
      <c r="AD104" s="1726" t="s">
        <v>669</v>
      </c>
      <c r="AE104" s="1536"/>
      <c r="AF104" s="1726" t="s">
        <v>669</v>
      </c>
      <c r="AG104" s="1536"/>
      <c r="AH104" s="1726" t="s">
        <v>671</v>
      </c>
      <c r="AI104" s="1536"/>
      <c r="AJ104" s="1726"/>
      <c r="AK104" s="1536"/>
      <c r="AL104" s="1726"/>
      <c r="AM104" s="1536"/>
      <c r="AN104" s="1726"/>
      <c r="AO104" s="1536"/>
    </row>
    <row r="105" spans="1:41" ht="14.5" x14ac:dyDescent="0.35">
      <c r="A105" s="1538"/>
      <c r="B105" s="1752" t="s">
        <v>2176</v>
      </c>
      <c r="C105" s="1741"/>
      <c r="D105" s="682">
        <v>2</v>
      </c>
      <c r="E105" s="1699" t="s">
        <v>666</v>
      </c>
      <c r="F105" s="1699"/>
      <c r="G105" s="646"/>
      <c r="H105" s="1726" t="s">
        <v>669</v>
      </c>
      <c r="I105" s="1536"/>
      <c r="J105" s="1726" t="s">
        <v>669</v>
      </c>
      <c r="K105" s="1536"/>
      <c r="L105" s="1726" t="s">
        <v>669</v>
      </c>
      <c r="M105" s="1536"/>
      <c r="N105" s="1726" t="s">
        <v>669</v>
      </c>
      <c r="O105" s="1536"/>
      <c r="P105" s="1726" t="s">
        <v>669</v>
      </c>
      <c r="Q105" s="1536"/>
      <c r="R105" s="1726" t="s">
        <v>669</v>
      </c>
      <c r="S105" s="1536"/>
      <c r="T105" s="1726" t="s">
        <v>669</v>
      </c>
      <c r="U105" s="1536"/>
      <c r="V105" s="1726" t="s">
        <v>669</v>
      </c>
      <c r="W105" s="1536"/>
      <c r="X105" s="1726" t="s">
        <v>669</v>
      </c>
      <c r="Y105" s="1536"/>
      <c r="Z105" s="1726" t="s">
        <v>669</v>
      </c>
      <c r="AA105" s="1536"/>
      <c r="AB105" s="1726" t="s">
        <v>669</v>
      </c>
      <c r="AC105" s="1536"/>
      <c r="AD105" s="1726" t="s">
        <v>669</v>
      </c>
      <c r="AE105" s="1536"/>
      <c r="AF105" s="1726" t="s">
        <v>669</v>
      </c>
      <c r="AG105" s="1536"/>
      <c r="AH105" s="1726" t="s">
        <v>671</v>
      </c>
      <c r="AI105" s="1536"/>
      <c r="AJ105" s="1726"/>
      <c r="AK105" s="1536"/>
      <c r="AL105" s="1726"/>
      <c r="AM105" s="1536"/>
      <c r="AN105" s="1726"/>
      <c r="AO105" s="1536"/>
    </row>
    <row r="106" spans="1:41" ht="14.5" x14ac:dyDescent="0.35">
      <c r="A106" s="1538"/>
      <c r="B106" s="1751"/>
      <c r="C106" s="1741"/>
      <c r="D106" s="682"/>
      <c r="E106" s="1699"/>
      <c r="F106" s="1699"/>
      <c r="G106" s="646"/>
      <c r="H106" s="1726"/>
      <c r="I106" s="1536"/>
      <c r="J106" s="1726"/>
      <c r="K106" s="1536"/>
      <c r="L106" s="1726"/>
      <c r="M106" s="1536"/>
      <c r="N106" s="1726"/>
      <c r="O106" s="1536"/>
      <c r="P106" s="1726"/>
      <c r="Q106" s="1536"/>
      <c r="R106" s="1726"/>
      <c r="S106" s="1536"/>
      <c r="T106" s="1726"/>
      <c r="U106" s="1536"/>
      <c r="V106" s="1726"/>
      <c r="W106" s="1536"/>
      <c r="X106" s="1726"/>
      <c r="Y106" s="1536"/>
      <c r="Z106" s="1726"/>
      <c r="AA106" s="1536"/>
      <c r="AB106" s="1536"/>
      <c r="AC106" s="1536"/>
      <c r="AD106" s="1726"/>
      <c r="AE106" s="1536"/>
      <c r="AF106" s="1726"/>
      <c r="AG106" s="1536"/>
      <c r="AH106" s="1726"/>
      <c r="AI106" s="1536"/>
      <c r="AJ106" s="1726"/>
      <c r="AK106" s="1536"/>
      <c r="AL106" s="1726"/>
      <c r="AM106" s="1536"/>
      <c r="AN106" s="1726"/>
      <c r="AO106" s="1536"/>
    </row>
    <row r="107" spans="1:41" ht="14.5" x14ac:dyDescent="0.35">
      <c r="A107" s="1538"/>
      <c r="B107" s="1751" t="s">
        <v>795</v>
      </c>
      <c r="C107" s="1741"/>
      <c r="D107" s="682"/>
      <c r="E107" s="1699"/>
      <c r="F107" s="1699"/>
      <c r="G107" s="646"/>
      <c r="H107" s="1726" t="s">
        <v>669</v>
      </c>
      <c r="I107" s="1533">
        <v>1777.98</v>
      </c>
      <c r="J107" s="1726" t="s">
        <v>669</v>
      </c>
      <c r="K107" s="1536"/>
      <c r="L107" s="1726" t="s">
        <v>669</v>
      </c>
      <c r="M107" s="1536"/>
      <c r="N107" s="1726" t="s">
        <v>669</v>
      </c>
      <c r="O107" s="1536"/>
      <c r="P107" s="1726" t="s">
        <v>669</v>
      </c>
      <c r="Q107" s="1536"/>
      <c r="R107" s="1726" t="s">
        <v>669</v>
      </c>
      <c r="S107" s="1536"/>
      <c r="T107" s="1726" t="s">
        <v>669</v>
      </c>
      <c r="U107" s="1536"/>
      <c r="V107" s="1726" t="s">
        <v>669</v>
      </c>
      <c r="W107" s="1536"/>
      <c r="X107" s="1726" t="s">
        <v>669</v>
      </c>
      <c r="Y107" s="1536"/>
      <c r="Z107" s="1726" t="s">
        <v>671</v>
      </c>
      <c r="AA107" s="1536"/>
      <c r="AB107" s="1726" t="s">
        <v>669</v>
      </c>
      <c r="AC107" s="1533">
        <v>2000</v>
      </c>
      <c r="AD107" s="1726" t="s">
        <v>669</v>
      </c>
      <c r="AE107" s="1533">
        <v>5677.99</v>
      </c>
      <c r="AF107" s="1726" t="s">
        <v>669</v>
      </c>
      <c r="AG107" s="1533">
        <v>8546.4</v>
      </c>
      <c r="AH107" s="1726" t="s">
        <v>671</v>
      </c>
      <c r="AI107" s="1536"/>
      <c r="AJ107" s="1726" t="s">
        <v>669</v>
      </c>
      <c r="AK107" s="1536"/>
      <c r="AL107" s="1726"/>
      <c r="AM107" s="1536"/>
      <c r="AN107" s="1726"/>
      <c r="AO107" s="1536"/>
    </row>
    <row r="108" spans="1:41" ht="14.5" x14ac:dyDescent="0.35">
      <c r="A108" s="1538"/>
      <c r="B108" s="1752" t="s">
        <v>2177</v>
      </c>
      <c r="C108" s="1741"/>
      <c r="D108" s="682">
        <v>3</v>
      </c>
      <c r="E108" s="1699" t="s">
        <v>666</v>
      </c>
      <c r="F108" s="1699"/>
      <c r="G108" s="646"/>
      <c r="H108" s="1726" t="s">
        <v>669</v>
      </c>
      <c r="I108" s="1536"/>
      <c r="J108" s="1726" t="s">
        <v>669</v>
      </c>
      <c r="K108" s="1536"/>
      <c r="L108" s="1726" t="s">
        <v>669</v>
      </c>
      <c r="M108" s="1536"/>
      <c r="N108" s="1726" t="s">
        <v>669</v>
      </c>
      <c r="O108" s="1536"/>
      <c r="P108" s="1726" t="s">
        <v>669</v>
      </c>
      <c r="Q108" s="1536"/>
      <c r="R108" s="1726" t="s">
        <v>669</v>
      </c>
      <c r="S108" s="1536"/>
      <c r="T108" s="1726" t="s">
        <v>669</v>
      </c>
      <c r="U108" s="1536"/>
      <c r="V108" s="1726" t="s">
        <v>669</v>
      </c>
      <c r="W108" s="1536"/>
      <c r="X108" s="1726" t="s">
        <v>669</v>
      </c>
      <c r="Y108" s="1536"/>
      <c r="Z108" s="1726" t="s">
        <v>671</v>
      </c>
      <c r="AA108" s="1536"/>
      <c r="AB108" s="1726" t="s">
        <v>669</v>
      </c>
      <c r="AC108" s="1536"/>
      <c r="AD108" s="1726" t="s">
        <v>669</v>
      </c>
      <c r="AE108" s="1536"/>
      <c r="AF108" s="1726" t="s">
        <v>669</v>
      </c>
      <c r="AG108" s="1536"/>
      <c r="AH108" s="1726" t="s">
        <v>671</v>
      </c>
      <c r="AI108" s="1536"/>
      <c r="AJ108" s="1726"/>
      <c r="AK108" s="1536"/>
      <c r="AL108" s="1726"/>
      <c r="AM108" s="1536"/>
      <c r="AN108" s="1726"/>
      <c r="AO108" s="1536"/>
    </row>
    <row r="109" spans="1:41" ht="14.5" x14ac:dyDescent="0.35">
      <c r="A109" s="1538"/>
      <c r="B109" s="1751" t="s">
        <v>1155</v>
      </c>
      <c r="C109" s="1741"/>
      <c r="D109" s="682"/>
      <c r="E109" s="1699"/>
      <c r="F109" s="1699"/>
      <c r="G109" s="646"/>
      <c r="H109" s="1726" t="s">
        <v>669</v>
      </c>
      <c r="I109" s="1533">
        <f>1255.68+2511.36+2511.36</f>
        <v>6278.4</v>
      </c>
      <c r="J109" s="1726" t="s">
        <v>669</v>
      </c>
      <c r="K109" s="1536"/>
      <c r="L109" s="1726" t="s">
        <v>669</v>
      </c>
      <c r="M109" s="1536"/>
      <c r="N109" s="1726" t="s">
        <v>669</v>
      </c>
      <c r="O109" s="1536"/>
      <c r="P109" s="1726" t="s">
        <v>669</v>
      </c>
      <c r="Q109" s="1536"/>
      <c r="R109" s="1726" t="s">
        <v>669</v>
      </c>
      <c r="S109" s="1536"/>
      <c r="T109" s="1726" t="s">
        <v>669</v>
      </c>
      <c r="U109" s="1536"/>
      <c r="V109" s="1726" t="s">
        <v>669</v>
      </c>
      <c r="W109" s="1536"/>
      <c r="X109" s="1726" t="s">
        <v>669</v>
      </c>
      <c r="Y109" s="1536"/>
      <c r="Z109" s="1726" t="s">
        <v>671</v>
      </c>
      <c r="AA109" s="1536"/>
      <c r="AB109" s="1726" t="s">
        <v>669</v>
      </c>
      <c r="AC109" s="1533">
        <v>10280</v>
      </c>
      <c r="AD109" s="1726" t="s">
        <v>669</v>
      </c>
      <c r="AE109" s="1533">
        <v>16940.580000000002</v>
      </c>
      <c r="AF109" s="1726" t="s">
        <v>669</v>
      </c>
      <c r="AG109" s="1533">
        <v>12163</v>
      </c>
      <c r="AH109" s="1726" t="s">
        <v>671</v>
      </c>
      <c r="AI109" s="1536"/>
      <c r="AJ109" s="1726"/>
      <c r="AK109" s="1536"/>
      <c r="AL109" s="1726"/>
      <c r="AM109" s="1536"/>
      <c r="AN109" s="1726"/>
      <c r="AO109" s="1536"/>
    </row>
    <row r="110" spans="1:41" ht="14.5" x14ac:dyDescent="0.35">
      <c r="A110" s="1538"/>
      <c r="B110" s="1752" t="s">
        <v>2178</v>
      </c>
      <c r="C110" s="1741"/>
      <c r="D110" s="682">
        <v>4</v>
      </c>
      <c r="E110" s="1699" t="s">
        <v>666</v>
      </c>
      <c r="F110" s="1699"/>
      <c r="G110" s="646"/>
      <c r="H110" s="1726" t="s">
        <v>669</v>
      </c>
      <c r="I110" s="1533"/>
      <c r="J110" s="1726" t="s">
        <v>669</v>
      </c>
      <c r="K110" s="1536"/>
      <c r="L110" s="1726" t="s">
        <v>669</v>
      </c>
      <c r="M110" s="1536"/>
      <c r="N110" s="1726" t="s">
        <v>669</v>
      </c>
      <c r="O110" s="1536"/>
      <c r="P110" s="1726" t="s">
        <v>669</v>
      </c>
      <c r="Q110" s="1536"/>
      <c r="R110" s="1726" t="s">
        <v>669</v>
      </c>
      <c r="S110" s="1536"/>
      <c r="T110" s="1726" t="s">
        <v>669</v>
      </c>
      <c r="U110" s="1536"/>
      <c r="V110" s="1726" t="s">
        <v>669</v>
      </c>
      <c r="W110" s="1536"/>
      <c r="X110" s="1726" t="s">
        <v>669</v>
      </c>
      <c r="Y110" s="1536"/>
      <c r="Z110" s="1726" t="s">
        <v>671</v>
      </c>
      <c r="AA110" s="1536"/>
      <c r="AB110" s="1726" t="s">
        <v>669</v>
      </c>
      <c r="AC110" s="1536"/>
      <c r="AD110" s="1726" t="s">
        <v>669</v>
      </c>
      <c r="AE110" s="1536"/>
      <c r="AF110" s="1726" t="s">
        <v>669</v>
      </c>
      <c r="AG110" s="1533"/>
      <c r="AH110" s="1726" t="s">
        <v>671</v>
      </c>
      <c r="AI110" s="1536"/>
      <c r="AJ110" s="1726"/>
      <c r="AK110" s="1536"/>
      <c r="AL110" s="1726"/>
      <c r="AM110" s="1536"/>
      <c r="AN110" s="1726"/>
      <c r="AO110" s="1536"/>
    </row>
    <row r="111" spans="1:41" ht="14.5" x14ac:dyDescent="0.35">
      <c r="A111" s="1538"/>
      <c r="B111" s="1751" t="s">
        <v>1157</v>
      </c>
      <c r="C111" s="1741"/>
      <c r="D111" s="682"/>
      <c r="E111" s="1699"/>
      <c r="F111" s="1699"/>
      <c r="G111" s="646"/>
      <c r="H111" s="1726" t="s">
        <v>669</v>
      </c>
      <c r="I111" s="1536"/>
      <c r="J111" s="1726" t="s">
        <v>669</v>
      </c>
      <c r="K111" s="1536"/>
      <c r="L111" s="1726" t="s">
        <v>669</v>
      </c>
      <c r="M111" s="1536"/>
      <c r="N111" s="1726" t="s">
        <v>669</v>
      </c>
      <c r="O111" s="1536"/>
      <c r="P111" s="1726" t="s">
        <v>669</v>
      </c>
      <c r="Q111" s="1536"/>
      <c r="R111" s="1726" t="s">
        <v>669</v>
      </c>
      <c r="S111" s="1536"/>
      <c r="T111" s="1726" t="s">
        <v>669</v>
      </c>
      <c r="U111" s="1536"/>
      <c r="V111" s="1726" t="s">
        <v>669</v>
      </c>
      <c r="W111" s="1536"/>
      <c r="X111" s="1726" t="s">
        <v>669</v>
      </c>
      <c r="Y111" s="1536"/>
      <c r="Z111" s="1726" t="s">
        <v>671</v>
      </c>
      <c r="AA111" s="1536"/>
      <c r="AB111" s="1726" t="s">
        <v>669</v>
      </c>
      <c r="AC111" s="1536"/>
      <c r="AD111" s="1726" t="s">
        <v>669</v>
      </c>
      <c r="AE111" s="1536"/>
      <c r="AF111" s="1726" t="s">
        <v>669</v>
      </c>
      <c r="AG111" s="1536"/>
      <c r="AH111" s="1726" t="s">
        <v>671</v>
      </c>
      <c r="AI111" s="1536"/>
      <c r="AJ111" s="1726"/>
      <c r="AK111" s="1536"/>
      <c r="AL111" s="1726"/>
      <c r="AM111" s="1536"/>
      <c r="AN111" s="1726"/>
      <c r="AO111" s="1536"/>
    </row>
    <row r="112" spans="1:41" ht="14.5" x14ac:dyDescent="0.35">
      <c r="A112" s="1538"/>
      <c r="B112" s="1752" t="s">
        <v>2178</v>
      </c>
      <c r="C112" s="1741"/>
      <c r="D112" s="682">
        <v>4</v>
      </c>
      <c r="E112" s="1699" t="s">
        <v>666</v>
      </c>
      <c r="F112" s="1699"/>
      <c r="G112" s="646"/>
      <c r="H112" s="1726" t="s">
        <v>669</v>
      </c>
      <c r="I112" s="1536"/>
      <c r="J112" s="1726" t="s">
        <v>669</v>
      </c>
      <c r="K112" s="1536"/>
      <c r="L112" s="1726" t="s">
        <v>669</v>
      </c>
      <c r="M112" s="1536"/>
      <c r="N112" s="1726" t="s">
        <v>669</v>
      </c>
      <c r="O112" s="1536"/>
      <c r="P112" s="1726" t="s">
        <v>669</v>
      </c>
      <c r="Q112" s="1536"/>
      <c r="R112" s="1726" t="s">
        <v>669</v>
      </c>
      <c r="S112" s="1536"/>
      <c r="T112" s="1726" t="s">
        <v>669</v>
      </c>
      <c r="U112" s="1536"/>
      <c r="V112" s="1726" t="s">
        <v>669</v>
      </c>
      <c r="W112" s="1536"/>
      <c r="X112" s="1726" t="s">
        <v>669</v>
      </c>
      <c r="Y112" s="1536"/>
      <c r="Z112" s="1726" t="s">
        <v>671</v>
      </c>
      <c r="AA112" s="1536"/>
      <c r="AB112" s="1726" t="s">
        <v>669</v>
      </c>
      <c r="AC112" s="1536"/>
      <c r="AD112" s="1726" t="s">
        <v>669</v>
      </c>
      <c r="AE112" s="1536"/>
      <c r="AF112" s="1726" t="s">
        <v>669</v>
      </c>
      <c r="AG112" s="1536"/>
      <c r="AH112" s="1726" t="s">
        <v>671</v>
      </c>
      <c r="AI112" s="1536"/>
      <c r="AJ112" s="1726"/>
      <c r="AK112" s="1536"/>
      <c r="AL112" s="1726"/>
      <c r="AM112" s="1536"/>
      <c r="AN112" s="1726"/>
      <c r="AO112" s="1536"/>
    </row>
    <row r="113" spans="1:41" ht="14.5" x14ac:dyDescent="0.35">
      <c r="A113" s="1538"/>
      <c r="B113" s="1751" t="s">
        <v>1158</v>
      </c>
      <c r="C113" s="1741"/>
      <c r="D113" s="682"/>
      <c r="E113" s="1699"/>
      <c r="F113" s="1699"/>
      <c r="G113" s="646"/>
      <c r="H113" s="1726" t="s">
        <v>669</v>
      </c>
      <c r="I113" s="1536"/>
      <c r="J113" s="1726" t="s">
        <v>669</v>
      </c>
      <c r="K113" s="1536"/>
      <c r="L113" s="1726" t="s">
        <v>669</v>
      </c>
      <c r="M113" s="1536"/>
      <c r="N113" s="1726" t="s">
        <v>669</v>
      </c>
      <c r="O113" s="1536"/>
      <c r="P113" s="1726" t="s">
        <v>669</v>
      </c>
      <c r="Q113" s="1536"/>
      <c r="R113" s="1726" t="s">
        <v>669</v>
      </c>
      <c r="S113" s="1536"/>
      <c r="T113" s="1726" t="s">
        <v>669</v>
      </c>
      <c r="U113" s="1536"/>
      <c r="V113" s="1726" t="s">
        <v>669</v>
      </c>
      <c r="W113" s="1536"/>
      <c r="X113" s="1726" t="s">
        <v>669</v>
      </c>
      <c r="Y113" s="1536"/>
      <c r="Z113" s="1726" t="s">
        <v>671</v>
      </c>
      <c r="AA113" s="1536"/>
      <c r="AB113" s="1726" t="s">
        <v>669</v>
      </c>
      <c r="AC113" s="1536"/>
      <c r="AD113" s="1726" t="s">
        <v>669</v>
      </c>
      <c r="AE113" s="1536"/>
      <c r="AF113" s="1726" t="s">
        <v>669</v>
      </c>
      <c r="AG113" s="1536"/>
      <c r="AH113" s="1726" t="s">
        <v>671</v>
      </c>
      <c r="AI113" s="1536"/>
      <c r="AJ113" s="1726"/>
      <c r="AK113" s="1536"/>
      <c r="AL113" s="1726"/>
      <c r="AM113" s="1536"/>
      <c r="AN113" s="1726"/>
      <c r="AO113" s="1536"/>
    </row>
    <row r="114" spans="1:41" ht="14.5" x14ac:dyDescent="0.35">
      <c r="A114" s="1538"/>
      <c r="B114" s="1752" t="s">
        <v>2178</v>
      </c>
      <c r="C114" s="1741"/>
      <c r="D114" s="682">
        <v>4</v>
      </c>
      <c r="E114" s="1699" t="s">
        <v>666</v>
      </c>
      <c r="F114" s="1699"/>
      <c r="G114" s="646"/>
      <c r="H114" s="1726" t="s">
        <v>669</v>
      </c>
      <c r="I114" s="1536"/>
      <c r="J114" s="1726" t="s">
        <v>669</v>
      </c>
      <c r="K114" s="1536"/>
      <c r="L114" s="1726" t="s">
        <v>669</v>
      </c>
      <c r="M114" s="1536"/>
      <c r="N114" s="1726" t="s">
        <v>669</v>
      </c>
      <c r="O114" s="1536"/>
      <c r="P114" s="1726" t="s">
        <v>669</v>
      </c>
      <c r="Q114" s="1536"/>
      <c r="R114" s="1726" t="s">
        <v>669</v>
      </c>
      <c r="S114" s="1536"/>
      <c r="T114" s="1726" t="s">
        <v>669</v>
      </c>
      <c r="U114" s="1536"/>
      <c r="V114" s="1726" t="s">
        <v>669</v>
      </c>
      <c r="W114" s="1536"/>
      <c r="X114" s="1726" t="s">
        <v>669</v>
      </c>
      <c r="Y114" s="1536"/>
      <c r="Z114" s="1726" t="s">
        <v>671</v>
      </c>
      <c r="AA114" s="1536"/>
      <c r="AB114" s="1726" t="s">
        <v>669</v>
      </c>
      <c r="AC114" s="1536"/>
      <c r="AD114" s="1726" t="s">
        <v>669</v>
      </c>
      <c r="AE114" s="1536"/>
      <c r="AF114" s="1726" t="s">
        <v>669</v>
      </c>
      <c r="AG114" s="1536"/>
      <c r="AH114" s="1726" t="s">
        <v>671</v>
      </c>
      <c r="AI114" s="1536"/>
      <c r="AJ114" s="1726"/>
      <c r="AK114" s="1536"/>
      <c r="AL114" s="1726"/>
      <c r="AM114" s="1536"/>
      <c r="AN114" s="1726"/>
      <c r="AO114" s="1536"/>
    </row>
    <row r="115" spans="1:41" ht="14.5" x14ac:dyDescent="0.35">
      <c r="A115" s="1538"/>
      <c r="B115" s="1752"/>
      <c r="C115" s="1741"/>
      <c r="D115" s="682"/>
      <c r="E115" s="1699"/>
      <c r="F115" s="1699"/>
      <c r="G115" s="646"/>
      <c r="H115" s="1726"/>
      <c r="I115" s="1536"/>
      <c r="J115" s="1726"/>
      <c r="K115" s="1536"/>
      <c r="L115" s="1726"/>
      <c r="M115" s="1536"/>
      <c r="N115" s="1726"/>
      <c r="O115" s="1536"/>
      <c r="P115" s="1726"/>
      <c r="Q115" s="1536"/>
      <c r="R115" s="1726"/>
      <c r="S115" s="1536"/>
      <c r="T115" s="1726"/>
      <c r="U115" s="1536"/>
      <c r="V115" s="1726"/>
      <c r="W115" s="1536"/>
      <c r="X115" s="1726"/>
      <c r="Y115" s="1536"/>
      <c r="Z115" s="1726"/>
      <c r="AA115" s="1536"/>
      <c r="AB115" s="1726"/>
      <c r="AC115" s="1536"/>
      <c r="AD115" s="1726"/>
      <c r="AE115" s="1536"/>
      <c r="AF115" s="1726"/>
      <c r="AG115" s="1536"/>
      <c r="AH115" s="1726"/>
      <c r="AI115" s="1536"/>
      <c r="AJ115" s="1726"/>
      <c r="AK115" s="1536"/>
      <c r="AL115" s="1726"/>
      <c r="AM115" s="1536"/>
      <c r="AN115" s="1726"/>
      <c r="AO115" s="1536"/>
    </row>
    <row r="116" spans="1:41" ht="14.5" x14ac:dyDescent="0.35">
      <c r="A116" s="1538"/>
      <c r="B116" s="1752" t="s">
        <v>2179</v>
      </c>
      <c r="C116" s="1741"/>
      <c r="D116" s="682"/>
      <c r="E116" s="1699"/>
      <c r="F116" s="1699"/>
      <c r="G116" s="646"/>
      <c r="H116" s="1726" t="s">
        <v>669</v>
      </c>
      <c r="I116" s="1536"/>
      <c r="J116" s="1726" t="s">
        <v>669</v>
      </c>
      <c r="K116" s="1536"/>
      <c r="L116" s="1726" t="s">
        <v>669</v>
      </c>
      <c r="M116" s="1536"/>
      <c r="N116" s="1726" t="s">
        <v>669</v>
      </c>
      <c r="O116" s="1536"/>
      <c r="P116" s="1726" t="s">
        <v>669</v>
      </c>
      <c r="Q116" s="1536"/>
      <c r="R116" s="1726" t="s">
        <v>669</v>
      </c>
      <c r="S116" s="1536"/>
      <c r="T116" s="1726" t="s">
        <v>669</v>
      </c>
      <c r="U116" s="1536"/>
      <c r="V116" s="1726" t="s">
        <v>669</v>
      </c>
      <c r="W116" s="1536"/>
      <c r="X116" s="1726" t="s">
        <v>669</v>
      </c>
      <c r="Y116" s="1536"/>
      <c r="Z116" s="1726" t="s">
        <v>669</v>
      </c>
      <c r="AA116" s="1536"/>
      <c r="AB116" s="1726" t="s">
        <v>669</v>
      </c>
      <c r="AC116" s="1536"/>
      <c r="AD116" s="1726" t="s">
        <v>669</v>
      </c>
      <c r="AE116" s="1536"/>
      <c r="AF116" s="1726" t="s">
        <v>669</v>
      </c>
      <c r="AG116" s="1536"/>
      <c r="AH116" s="1726" t="s">
        <v>671</v>
      </c>
      <c r="AI116" s="1536"/>
      <c r="AJ116" s="1726" t="s">
        <v>669</v>
      </c>
      <c r="AK116" s="1536"/>
      <c r="AL116" s="1726"/>
      <c r="AM116" s="1536"/>
      <c r="AN116" s="1726"/>
      <c r="AO116" s="1536"/>
    </row>
    <row r="117" spans="1:41" ht="14.5" x14ac:dyDescent="0.35">
      <c r="A117" s="1538"/>
      <c r="B117" s="1752" t="s">
        <v>2180</v>
      </c>
      <c r="C117" s="1741"/>
      <c r="D117" s="682"/>
      <c r="E117" s="1699"/>
      <c r="F117" s="1699"/>
      <c r="G117" s="646"/>
      <c r="H117" s="1726" t="s">
        <v>669</v>
      </c>
      <c r="I117" s="1536"/>
      <c r="J117" s="1726" t="s">
        <v>669</v>
      </c>
      <c r="K117" s="1536"/>
      <c r="L117" s="1726" t="s">
        <v>669</v>
      </c>
      <c r="M117" s="1536"/>
      <c r="N117" s="1726" t="s">
        <v>669</v>
      </c>
      <c r="O117" s="1536"/>
      <c r="P117" s="1726" t="s">
        <v>669</v>
      </c>
      <c r="Q117" s="1536"/>
      <c r="R117" s="1726" t="s">
        <v>669</v>
      </c>
      <c r="S117" s="1536"/>
      <c r="T117" s="1726" t="s">
        <v>669</v>
      </c>
      <c r="U117" s="1536"/>
      <c r="V117" s="1726" t="s">
        <v>669</v>
      </c>
      <c r="W117" s="1536"/>
      <c r="X117" s="1726" t="s">
        <v>669</v>
      </c>
      <c r="Y117" s="1536"/>
      <c r="Z117" s="1726" t="s">
        <v>669</v>
      </c>
      <c r="AA117" s="1536"/>
      <c r="AB117" s="1726" t="s">
        <v>669</v>
      </c>
      <c r="AC117" s="1536"/>
      <c r="AD117" s="1726" t="s">
        <v>669</v>
      </c>
      <c r="AE117" s="1536"/>
      <c r="AF117" s="1726" t="s">
        <v>1613</v>
      </c>
      <c r="AG117" s="1536"/>
      <c r="AH117" s="1726" t="s">
        <v>671</v>
      </c>
      <c r="AI117" s="1536"/>
      <c r="AJ117" s="1726" t="s">
        <v>669</v>
      </c>
      <c r="AK117" s="1536"/>
      <c r="AL117" s="1726"/>
      <c r="AM117" s="1536"/>
      <c r="AN117" s="1726"/>
      <c r="AO117" s="1536"/>
    </row>
    <row r="118" spans="1:41" ht="14.5" x14ac:dyDescent="0.35">
      <c r="A118" s="1538"/>
      <c r="B118" s="1752" t="s">
        <v>2181</v>
      </c>
      <c r="C118" s="1741"/>
      <c r="D118" s="682"/>
      <c r="E118" s="1699"/>
      <c r="F118" s="1699"/>
      <c r="G118" s="646"/>
      <c r="H118" s="1726" t="s">
        <v>669</v>
      </c>
      <c r="I118" s="1536"/>
      <c r="J118" s="1726" t="s">
        <v>669</v>
      </c>
      <c r="K118" s="1536"/>
      <c r="L118" s="1726" t="s">
        <v>669</v>
      </c>
      <c r="M118" s="1536"/>
      <c r="N118" s="1726" t="s">
        <v>669</v>
      </c>
      <c r="O118" s="1536"/>
      <c r="P118" s="1726" t="s">
        <v>669</v>
      </c>
      <c r="Q118" s="1536"/>
      <c r="R118" s="1726" t="s">
        <v>669</v>
      </c>
      <c r="S118" s="1536"/>
      <c r="T118" s="1726" t="s">
        <v>669</v>
      </c>
      <c r="U118" s="1536"/>
      <c r="V118" s="1726" t="s">
        <v>669</v>
      </c>
      <c r="W118" s="1536"/>
      <c r="X118" s="1726" t="s">
        <v>669</v>
      </c>
      <c r="Y118" s="1536"/>
      <c r="Z118" s="1726" t="s">
        <v>669</v>
      </c>
      <c r="AA118" s="1536"/>
      <c r="AB118" s="1726" t="s">
        <v>669</v>
      </c>
      <c r="AC118" s="1536"/>
      <c r="AD118" s="1726" t="s">
        <v>1613</v>
      </c>
      <c r="AE118" s="1536"/>
      <c r="AF118" s="1726" t="s">
        <v>669</v>
      </c>
      <c r="AG118" s="1536"/>
      <c r="AH118" s="1726" t="s">
        <v>671</v>
      </c>
      <c r="AI118" s="1536"/>
      <c r="AJ118" s="1726" t="s">
        <v>669</v>
      </c>
      <c r="AK118" s="1536"/>
      <c r="AL118" s="1726"/>
      <c r="AM118" s="1536"/>
      <c r="AN118" s="1726"/>
      <c r="AO118" s="1536"/>
    </row>
    <row r="119" spans="1:41" ht="14.5" x14ac:dyDescent="0.35">
      <c r="A119" s="1538"/>
      <c r="B119" s="1761" t="s">
        <v>2182</v>
      </c>
      <c r="C119" s="1741"/>
      <c r="D119" s="682"/>
      <c r="E119" s="1699"/>
      <c r="F119" s="1699"/>
      <c r="G119" s="646"/>
      <c r="H119" s="1726" t="s">
        <v>671</v>
      </c>
      <c r="I119" s="1536"/>
      <c r="J119" s="1726" t="s">
        <v>671</v>
      </c>
      <c r="K119" s="1536"/>
      <c r="L119" s="1726" t="s">
        <v>671</v>
      </c>
      <c r="M119" s="1536"/>
      <c r="N119" s="1726" t="s">
        <v>671</v>
      </c>
      <c r="O119" s="1536"/>
      <c r="P119" s="1726" t="s">
        <v>671</v>
      </c>
      <c r="Q119" s="1536"/>
      <c r="R119" s="1726" t="s">
        <v>671</v>
      </c>
      <c r="S119" s="1536"/>
      <c r="T119" s="1726" t="s">
        <v>671</v>
      </c>
      <c r="U119" s="1536"/>
      <c r="V119" s="1726" t="s">
        <v>671</v>
      </c>
      <c r="W119" s="1536"/>
      <c r="X119" s="1726" t="s">
        <v>671</v>
      </c>
      <c r="Y119" s="1536"/>
      <c r="Z119" s="1726" t="s">
        <v>671</v>
      </c>
      <c r="AA119" s="1536"/>
      <c r="AB119" s="1726" t="s">
        <v>671</v>
      </c>
      <c r="AC119" s="1536"/>
      <c r="AD119" s="1726" t="s">
        <v>671</v>
      </c>
      <c r="AE119" s="1536"/>
      <c r="AF119" s="1726" t="s">
        <v>671</v>
      </c>
      <c r="AG119" s="1536"/>
      <c r="AH119" s="1726" t="s">
        <v>671</v>
      </c>
      <c r="AI119" s="1536"/>
      <c r="AJ119" s="1726"/>
      <c r="AK119" s="1536"/>
      <c r="AL119" s="1726"/>
      <c r="AM119" s="1536"/>
      <c r="AN119" s="1726"/>
      <c r="AO119" s="1536"/>
    </row>
    <row r="120" spans="1:41" ht="14.5" x14ac:dyDescent="0.35">
      <c r="A120" s="1538"/>
      <c r="B120" s="1752" t="s">
        <v>2183</v>
      </c>
      <c r="C120" s="1741"/>
      <c r="D120" s="682"/>
      <c r="E120" s="1699"/>
      <c r="F120" s="1699"/>
      <c r="G120" s="646"/>
      <c r="H120" s="1726" t="s">
        <v>671</v>
      </c>
      <c r="I120" s="1536"/>
      <c r="J120" s="1726" t="s">
        <v>671</v>
      </c>
      <c r="K120" s="1536"/>
      <c r="L120" s="1726" t="s">
        <v>671</v>
      </c>
      <c r="M120" s="1536"/>
      <c r="N120" s="1726" t="s">
        <v>671</v>
      </c>
      <c r="O120" s="1536"/>
      <c r="P120" s="1726" t="s">
        <v>671</v>
      </c>
      <c r="Q120" s="1536"/>
      <c r="R120" s="1726" t="s">
        <v>671</v>
      </c>
      <c r="S120" s="1536"/>
      <c r="T120" s="1726" t="s">
        <v>671</v>
      </c>
      <c r="U120" s="1536"/>
      <c r="V120" s="1726" t="s">
        <v>671</v>
      </c>
      <c r="W120" s="1536"/>
      <c r="X120" s="1726" t="s">
        <v>671</v>
      </c>
      <c r="Y120" s="1536"/>
      <c r="Z120" s="1726" t="s">
        <v>671</v>
      </c>
      <c r="AA120" s="1536"/>
      <c r="AB120" s="1726" t="s">
        <v>671</v>
      </c>
      <c r="AC120" s="1536"/>
      <c r="AD120" s="1726" t="s">
        <v>671</v>
      </c>
      <c r="AE120" s="1536"/>
      <c r="AF120" s="1726" t="s">
        <v>671</v>
      </c>
      <c r="AG120" s="1536"/>
      <c r="AH120" s="1726" t="s">
        <v>671</v>
      </c>
      <c r="AI120" s="1536"/>
      <c r="AJ120" s="1726"/>
      <c r="AK120" s="1536"/>
      <c r="AL120" s="1726"/>
      <c r="AM120" s="1536"/>
      <c r="AN120" s="1726"/>
      <c r="AO120" s="1536"/>
    </row>
    <row r="121" spans="1:41" ht="14.5" x14ac:dyDescent="0.35">
      <c r="A121" s="1538"/>
      <c r="B121" s="1752" t="s">
        <v>2184</v>
      </c>
      <c r="C121" s="1741"/>
      <c r="D121" s="682"/>
      <c r="E121" s="1699"/>
      <c r="F121" s="1699"/>
      <c r="G121" s="646"/>
      <c r="H121" s="1726"/>
      <c r="I121" s="1536"/>
      <c r="J121" s="1726"/>
      <c r="K121" s="1536"/>
      <c r="L121" s="1726" t="s">
        <v>669</v>
      </c>
      <c r="M121" s="1536"/>
      <c r="N121" s="1726"/>
      <c r="O121" s="1536"/>
      <c r="P121" s="1726" t="s">
        <v>669</v>
      </c>
      <c r="Q121" s="1762">
        <v>143000</v>
      </c>
      <c r="R121" s="1726" t="s">
        <v>669</v>
      </c>
      <c r="S121" s="1762">
        <v>143000</v>
      </c>
      <c r="T121" s="1726"/>
      <c r="U121" s="1536"/>
      <c r="V121" s="1726"/>
      <c r="W121" s="1536"/>
      <c r="X121" s="1726"/>
      <c r="Y121" s="1536"/>
      <c r="Z121" s="1726"/>
      <c r="AA121" s="1536"/>
      <c r="AB121" s="1763"/>
      <c r="AC121" s="1536"/>
      <c r="AD121" s="1726"/>
      <c r="AE121" s="1536"/>
      <c r="AF121" s="1726"/>
      <c r="AG121" s="1536"/>
      <c r="AH121" s="1726"/>
      <c r="AI121" s="1536"/>
      <c r="AJ121" s="1726"/>
      <c r="AK121" s="1536"/>
      <c r="AL121" s="1726"/>
      <c r="AM121" s="1536"/>
      <c r="AN121" s="1726"/>
      <c r="AO121" s="1536"/>
    </row>
    <row r="122" spans="1:41" ht="14.5" x14ac:dyDescent="0.35">
      <c r="A122" s="1728"/>
      <c r="B122" s="1756" t="s">
        <v>2185</v>
      </c>
      <c r="C122" s="1741"/>
      <c r="D122" s="682"/>
      <c r="E122" s="1699"/>
      <c r="F122" s="1699"/>
      <c r="G122" s="646"/>
      <c r="H122" s="1726"/>
      <c r="I122" s="1536"/>
      <c r="J122" s="1726"/>
      <c r="K122" s="1629"/>
      <c r="L122" s="1726"/>
      <c r="M122" s="1536"/>
      <c r="N122" s="1726"/>
      <c r="O122" s="1536"/>
      <c r="P122" s="1726"/>
      <c r="Q122" s="1536"/>
      <c r="R122" s="1726"/>
      <c r="S122" s="1764"/>
      <c r="T122" s="1726"/>
      <c r="U122" s="1536"/>
      <c r="V122" s="1726"/>
      <c r="W122" s="1536"/>
      <c r="X122" s="1726"/>
      <c r="Y122" s="1536"/>
      <c r="Z122" s="1726"/>
      <c r="AA122" s="1536"/>
      <c r="AB122" s="1629"/>
      <c r="AC122" s="1629"/>
      <c r="AD122" s="1726"/>
      <c r="AE122" s="1629"/>
      <c r="AF122" s="1726"/>
      <c r="AG122" s="1536"/>
      <c r="AH122" s="1726"/>
      <c r="AI122" s="1536"/>
      <c r="AJ122" s="1726"/>
      <c r="AK122" s="1536"/>
      <c r="AL122" s="1726"/>
      <c r="AM122" s="1536"/>
      <c r="AN122" s="1726"/>
      <c r="AO122" s="1536"/>
    </row>
    <row r="123" spans="1:41" ht="14.5" x14ac:dyDescent="0.35">
      <c r="A123" s="14"/>
      <c r="B123" s="15"/>
      <c r="C123" s="16"/>
      <c r="D123" s="16"/>
      <c r="E123" s="17"/>
      <c r="F123" s="18" t="s">
        <v>715</v>
      </c>
      <c r="G123" s="19"/>
      <c r="H123" s="20"/>
      <c r="I123" s="50">
        <f>SUM(I26:I122)</f>
        <v>2473004.4500000002</v>
      </c>
      <c r="J123" s="20"/>
      <c r="K123" s="50">
        <f>SUM(K23:K122)</f>
        <v>3016000</v>
      </c>
      <c r="L123" s="20"/>
      <c r="M123" s="50">
        <f>SUM(M26:M122)</f>
        <v>2748727.52</v>
      </c>
      <c r="N123" s="20"/>
      <c r="O123" s="50">
        <f>SUM(O26:O122)</f>
        <v>3010775</v>
      </c>
      <c r="P123" s="20"/>
      <c r="Q123" s="50">
        <f>SUM(Q26:Q122)</f>
        <v>2986825</v>
      </c>
      <c r="R123" s="20"/>
      <c r="S123" s="50">
        <f>SUM(S23:S122)</f>
        <v>3045844</v>
      </c>
      <c r="T123" s="20"/>
      <c r="U123" s="50">
        <f>SUM(U23:U122)</f>
        <v>2977844</v>
      </c>
      <c r="V123" s="20"/>
      <c r="W123" s="50">
        <f>SUM(W23:W122)</f>
        <v>3016900</v>
      </c>
      <c r="X123" s="20"/>
      <c r="Y123" s="50">
        <f>SUM(Y26:Y122)</f>
        <v>3015637</v>
      </c>
      <c r="Z123" s="20"/>
      <c r="AA123" s="50">
        <f>SUM(AA26:AA122)</f>
        <v>3088925</v>
      </c>
      <c r="AB123" s="20"/>
      <c r="AC123" s="50">
        <f>SUM(AC23:AC122)</f>
        <v>3204780</v>
      </c>
      <c r="AD123" s="20"/>
      <c r="AE123" s="50">
        <f>SUM(AE23:AE122)</f>
        <v>3371078.41</v>
      </c>
      <c r="AF123" s="20"/>
      <c r="AG123" s="50">
        <f>SUM(AG26:AG122)</f>
        <v>3914838.8000000003</v>
      </c>
      <c r="AH123" s="20"/>
      <c r="AI123" s="50">
        <f>SUM(AI26:AI122)</f>
        <v>55811.99</v>
      </c>
      <c r="AJ123" s="20"/>
      <c r="AK123" s="50">
        <f>SUM(AK23:AK122)</f>
        <v>4402761.76</v>
      </c>
      <c r="AL123" s="20"/>
      <c r="AM123" s="50">
        <f>SUM(AM26:AM122)</f>
        <v>5406241.1200000001</v>
      </c>
      <c r="AN123" s="20"/>
      <c r="AO123" s="50">
        <f>SUM(AO26:AO122)</f>
        <v>5035000</v>
      </c>
    </row>
    <row r="124" spans="1:41" ht="14.5" x14ac:dyDescent="0.35">
      <c r="A124" s="1662"/>
      <c r="B124" s="1663"/>
      <c r="C124" s="1664"/>
      <c r="D124" s="1664"/>
      <c r="E124" s="1665"/>
      <c r="F124" s="1666" t="s">
        <v>716</v>
      </c>
      <c r="G124" s="659"/>
      <c r="H124" s="1667">
        <v>0</v>
      </c>
      <c r="I124" s="1737"/>
      <c r="J124" s="1736">
        <v>1.7500000000000002E-2</v>
      </c>
      <c r="K124" s="1737"/>
      <c r="L124" s="1667">
        <v>0</v>
      </c>
      <c r="M124" s="1737"/>
      <c r="N124" s="1667">
        <v>0</v>
      </c>
      <c r="O124" s="1737"/>
      <c r="P124" s="1667">
        <v>0</v>
      </c>
      <c r="Q124" s="1737"/>
      <c r="R124" s="1736">
        <v>1.7500000000000002E-2</v>
      </c>
      <c r="S124" s="1737"/>
      <c r="T124" s="1736">
        <v>1.7500000000000002E-2</v>
      </c>
      <c r="U124" s="1737"/>
      <c r="V124" s="1765">
        <v>5.0000000000000001E-3</v>
      </c>
      <c r="W124" s="1737"/>
      <c r="X124" s="1667">
        <v>0</v>
      </c>
      <c r="Y124" s="1737"/>
      <c r="Z124" s="1736">
        <v>1.4999999999999999E-2</v>
      </c>
      <c r="AA124" s="1737"/>
      <c r="AB124" s="1667">
        <v>0</v>
      </c>
      <c r="AC124" s="1737"/>
      <c r="AD124" s="1667">
        <v>0</v>
      </c>
      <c r="AE124" s="1737"/>
      <c r="AF124" s="1667">
        <v>0</v>
      </c>
      <c r="AG124" s="1737"/>
      <c r="AH124" s="1667">
        <v>0</v>
      </c>
      <c r="AI124" s="1737"/>
      <c r="AJ124" s="1736">
        <v>0</v>
      </c>
      <c r="AK124" s="1737"/>
      <c r="AL124" s="1667">
        <v>0</v>
      </c>
      <c r="AM124" s="1737"/>
      <c r="AN124" s="1667">
        <v>0</v>
      </c>
      <c r="AO124" s="1737"/>
    </row>
    <row r="125" spans="1:41" ht="14.5" x14ac:dyDescent="0.35">
      <c r="A125" s="1662"/>
      <c r="B125" s="1663"/>
      <c r="C125" s="1664"/>
      <c r="D125" s="1664"/>
      <c r="E125" s="1665"/>
      <c r="F125" s="1666" t="s">
        <v>717</v>
      </c>
      <c r="G125" s="659"/>
      <c r="H125" s="1669"/>
      <c r="I125" s="1738">
        <f>H124*I123</f>
        <v>0</v>
      </c>
      <c r="J125" s="1669"/>
      <c r="K125" s="1738">
        <f>J124*K123</f>
        <v>52780.000000000007</v>
      </c>
      <c r="L125" s="1669"/>
      <c r="M125" s="1738">
        <f>L124*M123</f>
        <v>0</v>
      </c>
      <c r="N125" s="1669"/>
      <c r="O125" s="1738">
        <f>N124*O123</f>
        <v>0</v>
      </c>
      <c r="P125" s="1669"/>
      <c r="Q125" s="1738">
        <f>P124*Q123</f>
        <v>0</v>
      </c>
      <c r="R125" s="1669"/>
      <c r="S125" s="1738">
        <f>R124*S123</f>
        <v>53302.270000000004</v>
      </c>
      <c r="T125" s="1669"/>
      <c r="U125" s="1738">
        <f>T124*U123</f>
        <v>52112.270000000004</v>
      </c>
      <c r="V125" s="1669"/>
      <c r="W125" s="1738">
        <f>V124*W123</f>
        <v>15084.5</v>
      </c>
      <c r="X125" s="1669"/>
      <c r="Y125" s="1738">
        <f>X124*Y123</f>
        <v>0</v>
      </c>
      <c r="Z125" s="1669"/>
      <c r="AA125" s="1738">
        <f>Z124*AA123</f>
        <v>46333.875</v>
      </c>
      <c r="AB125" s="1669"/>
      <c r="AC125" s="1738">
        <f>AB124*AC123</f>
        <v>0</v>
      </c>
      <c r="AD125" s="1669"/>
      <c r="AE125" s="1738">
        <f>AD124*AE123</f>
        <v>0</v>
      </c>
      <c r="AF125" s="1669"/>
      <c r="AG125" s="1738">
        <f>AF124*AG123</f>
        <v>0</v>
      </c>
      <c r="AH125" s="1669"/>
      <c r="AI125" s="1738">
        <f>AH124*AI123</f>
        <v>0</v>
      </c>
      <c r="AJ125" s="1669"/>
      <c r="AK125" s="1738">
        <f>AJ124*AK123</f>
        <v>0</v>
      </c>
      <c r="AL125" s="1669"/>
      <c r="AM125" s="1738">
        <f>AL124*AM123</f>
        <v>0</v>
      </c>
      <c r="AN125" s="1669"/>
      <c r="AO125" s="1738">
        <f>AN124*AO123</f>
        <v>0</v>
      </c>
    </row>
    <row r="126" spans="1:41" ht="14.5" x14ac:dyDescent="0.35">
      <c r="A126" s="1662"/>
      <c r="B126" s="1663"/>
      <c r="C126" s="1664"/>
      <c r="D126" s="1664"/>
      <c r="E126" s="1665"/>
      <c r="F126" s="1666"/>
      <c r="G126" s="659"/>
      <c r="H126" s="1669"/>
      <c r="I126" s="1739"/>
      <c r="J126" s="1669"/>
      <c r="K126" s="1739"/>
      <c r="L126" s="1669"/>
      <c r="M126" s="1739"/>
      <c r="N126" s="1669"/>
      <c r="O126" s="1739"/>
      <c r="P126" s="1669"/>
      <c r="Q126" s="1739"/>
      <c r="R126" s="1669"/>
      <c r="S126" s="1739"/>
      <c r="T126" s="1669"/>
      <c r="U126" s="1739"/>
      <c r="V126" s="1669"/>
      <c r="W126" s="1739"/>
      <c r="X126" s="1669"/>
      <c r="Y126" s="1739"/>
      <c r="Z126" s="1669"/>
      <c r="AA126" s="1739"/>
      <c r="AB126" s="1669"/>
      <c r="AC126" s="1739"/>
      <c r="AD126" s="1669"/>
      <c r="AE126" s="1739"/>
      <c r="AF126" s="1669"/>
      <c r="AG126" s="1739"/>
      <c r="AH126" s="1669"/>
      <c r="AI126" s="1739"/>
      <c r="AJ126" s="1669"/>
      <c r="AK126" s="1739"/>
      <c r="AL126" s="1669"/>
      <c r="AM126" s="1739"/>
      <c r="AN126" s="1669"/>
      <c r="AO126" s="1739"/>
    </row>
    <row r="127" spans="1:41" ht="14.5" x14ac:dyDescent="0.35">
      <c r="A127" s="1662"/>
      <c r="B127" s="1663"/>
      <c r="C127" s="1664"/>
      <c r="D127" s="1664"/>
      <c r="E127" s="1665"/>
      <c r="F127" s="1666" t="s">
        <v>718</v>
      </c>
      <c r="G127" s="659"/>
      <c r="H127" s="1671"/>
      <c r="I127" s="1740">
        <f>SUM(I123:I125)</f>
        <v>2473004.4500000002</v>
      </c>
      <c r="J127" s="1671"/>
      <c r="K127" s="1740">
        <f>SUM(K123:K125)</f>
        <v>3068780</v>
      </c>
      <c r="L127" s="1671"/>
      <c r="M127" s="1740">
        <f>SUM(M123:M125)</f>
        <v>2748727.52</v>
      </c>
      <c r="N127" s="1671"/>
      <c r="O127" s="1740">
        <f>SUM(O123:O125)</f>
        <v>3010775</v>
      </c>
      <c r="P127" s="1671"/>
      <c r="Q127" s="1740">
        <f>SUM(Q123:Q125)</f>
        <v>2986825</v>
      </c>
      <c r="R127" s="1671"/>
      <c r="S127" s="1740">
        <f>SUM(S123:S125)</f>
        <v>3099146.27</v>
      </c>
      <c r="T127" s="1671"/>
      <c r="U127" s="1740">
        <f>SUM(U123:U125)</f>
        <v>3029956.27</v>
      </c>
      <c r="V127" s="1671"/>
      <c r="W127" s="1740">
        <f>SUM(W123:W125)</f>
        <v>3031984.5</v>
      </c>
      <c r="X127" s="1671"/>
      <c r="Y127" s="1740">
        <f>SUM(Y123:Y125)</f>
        <v>3015637</v>
      </c>
      <c r="Z127" s="1671"/>
      <c r="AA127" s="1740">
        <f>SUM(AA123:AA125)</f>
        <v>3135258.875</v>
      </c>
      <c r="AB127" s="1671"/>
      <c r="AC127" s="1740">
        <f>SUM(AC123:AC125)</f>
        <v>3204780</v>
      </c>
      <c r="AD127" s="1671"/>
      <c r="AE127" s="1740">
        <f>SUM(AE123:AE125)</f>
        <v>3371078.41</v>
      </c>
      <c r="AF127" s="1671"/>
      <c r="AG127" s="1740">
        <f>SUM(AG123:AG125)</f>
        <v>3914838.8000000003</v>
      </c>
      <c r="AH127" s="1671"/>
      <c r="AI127" s="1740">
        <f>SUM(AI123:AI125)</f>
        <v>55811.99</v>
      </c>
      <c r="AJ127" s="1671"/>
      <c r="AK127" s="1740">
        <f>SUM(AK123:AK125)</f>
        <v>4402761.76</v>
      </c>
      <c r="AL127" s="1671"/>
      <c r="AM127" s="1740">
        <f>SUM(AM123:AM125)</f>
        <v>5406241.1200000001</v>
      </c>
      <c r="AN127" s="1671"/>
      <c r="AO127" s="1740">
        <f>SUM(AO123:AO125)</f>
        <v>5035000</v>
      </c>
    </row>
    <row r="128" spans="1:41" ht="14.5" x14ac:dyDescent="0.35">
      <c r="A128" s="1662"/>
      <c r="B128" s="1663"/>
      <c r="C128" s="1664"/>
      <c r="D128" s="1664"/>
      <c r="E128" s="1665"/>
      <c r="F128" s="1673" t="s">
        <v>719</v>
      </c>
      <c r="G128" s="661"/>
      <c r="H128" s="1674"/>
      <c r="I128" s="1675" t="e">
        <f>I127/#REF!</f>
        <v>#REF!</v>
      </c>
      <c r="J128" s="1674"/>
      <c r="K128" s="1675" t="e">
        <f>K127/#REF!</f>
        <v>#REF!</v>
      </c>
      <c r="L128" s="1674"/>
      <c r="M128" s="1675" t="e">
        <f>M127/#REF!</f>
        <v>#REF!</v>
      </c>
      <c r="N128" s="1674"/>
      <c r="O128" s="1675" t="e">
        <f>O127/#REF!</f>
        <v>#REF!</v>
      </c>
      <c r="P128" s="1674"/>
      <c r="Q128" s="1675" t="e">
        <f>Q127/#REF!</f>
        <v>#REF!</v>
      </c>
      <c r="R128" s="1674"/>
      <c r="S128" s="1675" t="e">
        <f>S127/#REF!</f>
        <v>#REF!</v>
      </c>
      <c r="T128" s="1674"/>
      <c r="U128" s="1675" t="e">
        <f>U127/#REF!</f>
        <v>#REF!</v>
      </c>
      <c r="V128" s="1674"/>
      <c r="W128" s="1675" t="e">
        <f>W127/#REF!</f>
        <v>#REF!</v>
      </c>
      <c r="X128" s="1674"/>
      <c r="Y128" s="1675" t="e">
        <f>Y127/#REF!</f>
        <v>#REF!</v>
      </c>
      <c r="Z128" s="1674"/>
      <c r="AA128" s="1675" t="e">
        <f>AA127/#REF!</f>
        <v>#REF!</v>
      </c>
      <c r="AB128" s="1674"/>
      <c r="AC128" s="1675" t="e">
        <f>AC127/#REF!</f>
        <v>#REF!</v>
      </c>
      <c r="AD128" s="1674"/>
      <c r="AE128" s="1675" t="e">
        <f>AE127/#REF!</f>
        <v>#REF!</v>
      </c>
      <c r="AF128" s="1674"/>
      <c r="AG128" s="1675" t="e">
        <f>AG127/#REF!</f>
        <v>#REF!</v>
      </c>
      <c r="AH128" s="1674"/>
      <c r="AI128" s="1675" t="e">
        <f>AI127/#REF!</f>
        <v>#REF!</v>
      </c>
      <c r="AJ128" s="1674"/>
      <c r="AK128" s="1675" t="e">
        <f>AK127/#REF!</f>
        <v>#REF!</v>
      </c>
      <c r="AL128" s="1674"/>
      <c r="AM128" s="1675" t="e">
        <f>AM127/#REF!</f>
        <v>#REF!</v>
      </c>
      <c r="AN128" s="1674"/>
      <c r="AO128" s="1675" t="e">
        <f>AO127/#REF!</f>
        <v>#REF!</v>
      </c>
    </row>
    <row r="129" spans="1:41" ht="14.5" x14ac:dyDescent="0.35">
      <c r="A129" s="1662"/>
      <c r="B129" s="1663"/>
      <c r="C129" s="1664"/>
      <c r="D129" s="1664"/>
      <c r="E129" s="1665"/>
      <c r="F129" s="1673" t="s">
        <v>720</v>
      </c>
      <c r="G129" s="662"/>
      <c r="H129" s="1674"/>
      <c r="I129" s="1675" t="e">
        <f>I127/#REF!</f>
        <v>#REF!</v>
      </c>
      <c r="J129" s="1674"/>
      <c r="K129" s="1675" t="e">
        <f>K127/#REF!</f>
        <v>#REF!</v>
      </c>
      <c r="L129" s="1674"/>
      <c r="M129" s="1675" t="e">
        <f>M127/#REF!</f>
        <v>#REF!</v>
      </c>
      <c r="N129" s="1674"/>
      <c r="O129" s="1675" t="e">
        <f>O127/#REF!</f>
        <v>#REF!</v>
      </c>
      <c r="P129" s="1674"/>
      <c r="Q129" s="1675" t="e">
        <f>Q127/#REF!</f>
        <v>#REF!</v>
      </c>
      <c r="R129" s="1674"/>
      <c r="S129" s="1675" t="e">
        <f>S127/#REF!</f>
        <v>#REF!</v>
      </c>
      <c r="T129" s="1674"/>
      <c r="U129" s="1675" t="e">
        <f>U127/#REF!</f>
        <v>#REF!</v>
      </c>
      <c r="V129" s="1674"/>
      <c r="W129" s="1675" t="e">
        <f>W127/#REF!</f>
        <v>#REF!</v>
      </c>
      <c r="X129" s="1674"/>
      <c r="Y129" s="1675" t="e">
        <f>Y127/#REF!</f>
        <v>#REF!</v>
      </c>
      <c r="Z129" s="1674"/>
      <c r="AA129" s="1675" t="e">
        <f>AA127/#REF!</f>
        <v>#REF!</v>
      </c>
      <c r="AB129" s="1674"/>
      <c r="AC129" s="1675" t="e">
        <f>AC127/#REF!</f>
        <v>#REF!</v>
      </c>
      <c r="AD129" s="1674"/>
      <c r="AE129" s="1675" t="e">
        <f>AE127/#REF!</f>
        <v>#REF!</v>
      </c>
      <c r="AF129" s="1674"/>
      <c r="AG129" s="1675" t="e">
        <f>AG127/#REF!</f>
        <v>#REF!</v>
      </c>
      <c r="AH129" s="1674"/>
      <c r="AI129" s="1675" t="e">
        <f>AI127/#REF!</f>
        <v>#REF!</v>
      </c>
      <c r="AJ129" s="1674"/>
      <c r="AK129" s="1675" t="e">
        <f>AK127/#REF!</f>
        <v>#REF!</v>
      </c>
      <c r="AL129" s="1674"/>
      <c r="AM129" s="1675" t="e">
        <f>AM127/#REF!</f>
        <v>#REF!</v>
      </c>
      <c r="AN129" s="1674"/>
      <c r="AO129" s="1675" t="e">
        <f>AO127/#REF!</f>
        <v>#REF!</v>
      </c>
    </row>
    <row r="130" spans="1:41" ht="14.5" x14ac:dyDescent="0.35">
      <c r="A130" s="1662"/>
      <c r="B130" s="1663"/>
      <c r="C130" s="1664"/>
      <c r="D130" s="1664"/>
      <c r="E130" s="1665"/>
      <c r="F130" s="1666"/>
      <c r="G130" s="663"/>
      <c r="H130" s="1676"/>
      <c r="I130" s="1766"/>
      <c r="J130" s="1676"/>
      <c r="K130" s="1676"/>
      <c r="L130" s="1676"/>
      <c r="M130" s="1766"/>
      <c r="N130" s="1676"/>
      <c r="O130" s="1766"/>
      <c r="P130" s="1676"/>
      <c r="Q130" s="1766"/>
      <c r="R130" s="1676"/>
      <c r="S130" s="1676"/>
      <c r="T130" s="1676"/>
      <c r="U130" s="1676"/>
      <c r="V130" s="1676"/>
      <c r="W130" s="1676"/>
      <c r="X130" s="1676"/>
      <c r="Y130" s="1766"/>
      <c r="Z130" s="1676"/>
      <c r="AA130" s="1766"/>
      <c r="AB130" s="1676"/>
      <c r="AC130" s="1676"/>
      <c r="AD130" s="1676"/>
      <c r="AE130" s="1676"/>
      <c r="AF130" s="1676"/>
      <c r="AG130" s="1766"/>
      <c r="AH130" s="1676"/>
      <c r="AI130" s="1766"/>
      <c r="AJ130" s="1677"/>
      <c r="AK130" s="1678"/>
      <c r="AL130" s="1676"/>
      <c r="AM130" s="1766"/>
      <c r="AN130" s="1676"/>
      <c r="AO130" s="1766"/>
    </row>
    <row r="131" spans="1:41" ht="14.5" x14ac:dyDescent="0.35">
      <c r="A131" s="3764" t="s">
        <v>721</v>
      </c>
      <c r="B131" s="3765"/>
      <c r="C131" s="12"/>
      <c r="D131" s="12"/>
      <c r="E131" s="12"/>
      <c r="F131" s="12"/>
      <c r="G131" s="13"/>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42"/>
      <c r="AK131" s="21"/>
      <c r="AL131" s="21"/>
      <c r="AM131" s="21"/>
      <c r="AN131" s="21"/>
      <c r="AO131" s="21"/>
    </row>
    <row r="132" spans="1:41" ht="14.5" x14ac:dyDescent="0.35">
      <c r="A132" s="1619"/>
      <c r="B132" s="1698"/>
      <c r="C132" s="1620"/>
      <c r="D132" s="1620"/>
      <c r="E132" s="1620"/>
      <c r="F132" s="1620"/>
      <c r="G132" s="1621"/>
      <c r="H132" s="1572"/>
      <c r="I132" s="1572"/>
      <c r="J132" s="1572"/>
      <c r="K132" s="1572"/>
      <c r="L132" s="1572"/>
      <c r="M132" s="1572"/>
      <c r="N132" s="1572"/>
      <c r="O132" s="1572"/>
      <c r="P132" s="1572"/>
      <c r="Q132" s="1572"/>
      <c r="R132" s="1572"/>
      <c r="S132" s="1572"/>
      <c r="T132" s="1572"/>
      <c r="U132" s="1572"/>
      <c r="V132" s="1572"/>
      <c r="W132" s="1572"/>
      <c r="X132" s="1572"/>
      <c r="Y132" s="1572"/>
      <c r="Z132" s="1572"/>
      <c r="AA132" s="1572"/>
      <c r="AB132" s="1572"/>
      <c r="AC132" s="1572"/>
      <c r="AD132" s="1572"/>
      <c r="AE132" s="1572"/>
      <c r="AF132" s="1572"/>
      <c r="AG132" s="1572"/>
      <c r="AH132" s="1572"/>
      <c r="AI132" s="1572"/>
      <c r="AJ132" s="1654"/>
      <c r="AK132" s="1572"/>
      <c r="AL132" s="1572"/>
      <c r="AM132" s="1572"/>
      <c r="AN132" s="1572"/>
      <c r="AO132" s="1572"/>
    </row>
    <row r="133" spans="1:41" ht="14.5" x14ac:dyDescent="0.35">
      <c r="A133" s="1619"/>
      <c r="B133" s="1698"/>
      <c r="C133" s="1620"/>
      <c r="D133" s="1620"/>
      <c r="E133" s="1620"/>
      <c r="F133" s="1620"/>
      <c r="G133" s="1621"/>
      <c r="H133" s="1572"/>
      <c r="I133" s="1572"/>
      <c r="J133" s="1572"/>
      <c r="K133" s="1572"/>
      <c r="L133" s="1572"/>
      <c r="M133" s="1572"/>
      <c r="N133" s="1572"/>
      <c r="O133" s="1572"/>
      <c r="P133" s="1572"/>
      <c r="Q133" s="1572"/>
      <c r="R133" s="1572"/>
      <c r="S133" s="1572"/>
      <c r="T133" s="1572"/>
      <c r="U133" s="1572"/>
      <c r="V133" s="1572"/>
      <c r="W133" s="1572"/>
      <c r="X133" s="1572"/>
      <c r="Y133" s="1572"/>
      <c r="Z133" s="1572"/>
      <c r="AA133" s="1572"/>
      <c r="AB133" s="1572"/>
      <c r="AC133" s="1572"/>
      <c r="AD133" s="1572"/>
      <c r="AE133" s="1572"/>
      <c r="AF133" s="1572"/>
      <c r="AG133" s="1572"/>
      <c r="AH133" s="1572"/>
      <c r="AI133" s="1572"/>
      <c r="AJ133" s="1654"/>
      <c r="AK133" s="1572"/>
      <c r="AL133" s="1572"/>
      <c r="AM133" s="1572"/>
      <c r="AN133" s="1572"/>
      <c r="AO133" s="1572"/>
    </row>
    <row r="134" spans="1:41" ht="14.5" x14ac:dyDescent="0.35">
      <c r="A134" s="1619"/>
      <c r="B134" s="1698"/>
      <c r="C134" s="1620"/>
      <c r="D134" s="1620"/>
      <c r="E134" s="1620"/>
      <c r="F134" s="1620"/>
      <c r="G134" s="1621"/>
      <c r="H134" s="1572"/>
      <c r="I134" s="1572"/>
      <c r="J134" s="1572"/>
      <c r="K134" s="1572"/>
      <c r="L134" s="1572"/>
      <c r="M134" s="1572"/>
      <c r="N134" s="1572"/>
      <c r="O134" s="1572"/>
      <c r="P134" s="1572"/>
      <c r="Q134" s="1572"/>
      <c r="R134" s="1572"/>
      <c r="S134" s="1572"/>
      <c r="T134" s="1572"/>
      <c r="U134" s="1572"/>
      <c r="V134" s="1572"/>
      <c r="W134" s="1572"/>
      <c r="X134" s="1572"/>
      <c r="Y134" s="1572"/>
      <c r="Z134" s="1572"/>
      <c r="AA134" s="1572"/>
      <c r="AB134" s="1572"/>
      <c r="AC134" s="1572"/>
      <c r="AD134" s="1572"/>
      <c r="AE134" s="1572"/>
      <c r="AF134" s="1572"/>
      <c r="AG134" s="1572"/>
      <c r="AH134" s="1572"/>
      <c r="AI134" s="1572"/>
      <c r="AJ134" s="1654"/>
      <c r="AK134" s="1572"/>
      <c r="AL134" s="1572"/>
      <c r="AM134" s="1572"/>
      <c r="AN134" s="1572"/>
      <c r="AO134" s="1572"/>
    </row>
    <row r="135" spans="1:41" s="2" customFormat="1" ht="14.5" x14ac:dyDescent="0.35">
      <c r="A135" s="3764" t="s">
        <v>722</v>
      </c>
      <c r="B135" s="3765"/>
      <c r="C135" s="12"/>
      <c r="D135" s="12"/>
      <c r="E135" s="12"/>
      <c r="F135" s="12"/>
      <c r="G135" s="13"/>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42"/>
      <c r="AK135" s="21"/>
      <c r="AL135" s="21"/>
      <c r="AM135" s="21"/>
      <c r="AN135" s="21"/>
      <c r="AO135" s="21"/>
    </row>
    <row r="136" spans="1:41" s="2" customFormat="1" ht="14.5" x14ac:dyDescent="0.35">
      <c r="A136" s="1619"/>
      <c r="B136" s="1698"/>
      <c r="C136" s="1620"/>
      <c r="D136" s="1620"/>
      <c r="E136" s="1620"/>
      <c r="F136" s="1620"/>
      <c r="G136" s="1621"/>
      <c r="H136" s="1572"/>
      <c r="I136" s="1572"/>
      <c r="J136" s="1572"/>
      <c r="K136" s="1572"/>
      <c r="L136" s="1572"/>
      <c r="M136" s="1572"/>
      <c r="N136" s="1572"/>
      <c r="O136" s="1572"/>
      <c r="P136" s="1572"/>
      <c r="Q136" s="1572"/>
      <c r="R136" s="1572"/>
      <c r="S136" s="1572"/>
      <c r="T136" s="1572"/>
      <c r="U136" s="1572"/>
      <c r="V136" s="1572"/>
      <c r="W136" s="1572"/>
      <c r="X136" s="1572"/>
      <c r="Y136" s="1572"/>
      <c r="Z136" s="1572"/>
      <c r="AA136" s="1572"/>
      <c r="AB136" s="1572"/>
      <c r="AC136" s="1572"/>
      <c r="AD136" s="1572"/>
      <c r="AE136" s="1572"/>
      <c r="AF136" s="1572"/>
      <c r="AG136" s="1572"/>
      <c r="AH136" s="1572"/>
      <c r="AI136" s="1572"/>
      <c r="AJ136" s="1654"/>
      <c r="AK136" s="1572"/>
      <c r="AL136" s="1572"/>
      <c r="AM136" s="1572"/>
      <c r="AN136" s="1572"/>
      <c r="AO136" s="1572"/>
    </row>
    <row r="137" spans="1:41" s="2" customFormat="1" ht="14.5" x14ac:dyDescent="0.35">
      <c r="A137" s="1619"/>
      <c r="B137" s="1698"/>
      <c r="C137" s="1620"/>
      <c r="D137" s="1620"/>
      <c r="E137" s="1620"/>
      <c r="F137" s="1620"/>
      <c r="G137" s="1621"/>
      <c r="H137" s="1572"/>
      <c r="I137" s="1572"/>
      <c r="J137" s="1572"/>
      <c r="K137" s="1572"/>
      <c r="L137" s="1572"/>
      <c r="M137" s="1572"/>
      <c r="N137" s="1572"/>
      <c r="O137" s="1572"/>
      <c r="P137" s="1572"/>
      <c r="Q137" s="1572"/>
      <c r="R137" s="1572"/>
      <c r="S137" s="1572"/>
      <c r="T137" s="1572"/>
      <c r="U137" s="1572"/>
      <c r="V137" s="1572"/>
      <c r="W137" s="1572"/>
      <c r="X137" s="1572"/>
      <c r="Y137" s="1572"/>
      <c r="Z137" s="1572"/>
      <c r="AA137" s="1572"/>
      <c r="AB137" s="1572"/>
      <c r="AC137" s="1572"/>
      <c r="AD137" s="1572"/>
      <c r="AE137" s="1572"/>
      <c r="AF137" s="1572"/>
      <c r="AG137" s="1572"/>
      <c r="AH137" s="1572"/>
      <c r="AI137" s="1572"/>
      <c r="AJ137" s="1654"/>
      <c r="AK137" s="1572"/>
      <c r="AL137" s="1572"/>
      <c r="AM137" s="1572"/>
      <c r="AN137" s="1572"/>
      <c r="AO137" s="1572"/>
    </row>
    <row r="138" spans="1:41" ht="14.5" x14ac:dyDescent="0.35">
      <c r="A138" s="1619"/>
      <c r="B138" s="1698"/>
      <c r="C138" s="1620"/>
      <c r="D138" s="1620"/>
      <c r="E138" s="1620"/>
      <c r="F138" s="1620"/>
      <c r="G138" s="1621"/>
      <c r="H138" s="1572"/>
      <c r="I138" s="1572"/>
      <c r="J138" s="1572"/>
      <c r="K138" s="1572"/>
      <c r="L138" s="1572"/>
      <c r="M138" s="1572"/>
      <c r="N138" s="1572"/>
      <c r="O138" s="1572"/>
      <c r="P138" s="1572"/>
      <c r="Q138" s="1572"/>
      <c r="R138" s="1572"/>
      <c r="S138" s="1572"/>
      <c r="T138" s="1572"/>
      <c r="U138" s="1572"/>
      <c r="V138" s="1572"/>
      <c r="W138" s="1572"/>
      <c r="X138" s="1572"/>
      <c r="Y138" s="1572"/>
      <c r="Z138" s="1572"/>
      <c r="AA138" s="1572"/>
      <c r="AB138" s="1572"/>
      <c r="AC138" s="1572"/>
      <c r="AD138" s="1572"/>
      <c r="AE138" s="1572"/>
      <c r="AF138" s="1572"/>
      <c r="AG138" s="1572"/>
      <c r="AH138" s="1572"/>
      <c r="AI138" s="1572"/>
      <c r="AJ138" s="1654"/>
      <c r="AK138" s="1572"/>
      <c r="AL138" s="1572"/>
      <c r="AM138" s="1572"/>
      <c r="AN138" s="1572"/>
      <c r="AO138" s="1572"/>
    </row>
    <row r="139" spans="1:41" s="2" customFormat="1" ht="14.5" x14ac:dyDescent="0.35">
      <c r="A139" s="3764" t="s">
        <v>723</v>
      </c>
      <c r="B139" s="3765"/>
      <c r="C139" s="12"/>
      <c r="D139" s="12"/>
      <c r="E139" s="12"/>
      <c r="F139" s="12"/>
      <c r="G139" s="13"/>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42"/>
      <c r="AK139" s="21"/>
      <c r="AL139" s="21"/>
      <c r="AM139" s="21"/>
      <c r="AN139" s="21"/>
      <c r="AO139" s="21"/>
    </row>
    <row r="140" spans="1:41" s="2" customFormat="1" ht="14.5" x14ac:dyDescent="0.35">
      <c r="A140" s="1619"/>
      <c r="B140" s="1698" t="s">
        <v>2186</v>
      </c>
      <c r="C140" s="1620"/>
      <c r="D140" s="1620"/>
      <c r="E140" s="1620"/>
      <c r="F140" s="1620"/>
      <c r="G140" s="1621"/>
      <c r="H140" s="1572"/>
      <c r="I140" s="1572"/>
      <c r="J140" s="1726" t="s">
        <v>669</v>
      </c>
      <c r="K140" s="1572">
        <f>248000</f>
        <v>248000</v>
      </c>
      <c r="L140" s="1572"/>
      <c r="M140" s="1572"/>
      <c r="N140" s="1572"/>
      <c r="O140" s="1572"/>
      <c r="P140" s="1572"/>
      <c r="Q140" s="1572"/>
      <c r="R140" s="1726" t="s">
        <v>669</v>
      </c>
      <c r="S140" s="1682">
        <f>248000</f>
        <v>248000</v>
      </c>
      <c r="T140" s="1726" t="s">
        <v>669</v>
      </c>
      <c r="U140" s="1572">
        <f>248000</f>
        <v>248000</v>
      </c>
      <c r="V140" s="1572"/>
      <c r="W140" s="1572"/>
      <c r="X140" s="1572"/>
      <c r="Y140" s="1572"/>
      <c r="Z140" s="1572"/>
      <c r="AA140" s="1572"/>
      <c r="AB140" s="1572"/>
      <c r="AC140" s="1572"/>
      <c r="AD140" s="1572"/>
      <c r="AE140" s="1572"/>
      <c r="AF140" s="1572"/>
      <c r="AG140" s="1572"/>
      <c r="AH140" s="1572"/>
      <c r="AI140" s="1572"/>
      <c r="AJ140" s="1654"/>
      <c r="AK140" s="1572"/>
      <c r="AL140" s="1572"/>
      <c r="AM140" s="1572"/>
      <c r="AN140" s="1572"/>
      <c r="AO140" s="1572"/>
    </row>
    <row r="141" spans="1:41" s="2" customFormat="1" ht="14.5" x14ac:dyDescent="0.35">
      <c r="A141" s="1703"/>
      <c r="B141" s="1698" t="s">
        <v>2187</v>
      </c>
      <c r="C141" s="1699"/>
      <c r="D141" s="1699"/>
      <c r="E141" s="1699"/>
      <c r="F141" s="1699"/>
      <c r="G141" s="646"/>
      <c r="H141" s="1679"/>
      <c r="I141" s="1679"/>
      <c r="J141" s="1679"/>
      <c r="K141" s="1679"/>
      <c r="L141" s="1726" t="s">
        <v>669</v>
      </c>
      <c r="M141" s="1679">
        <v>274310</v>
      </c>
      <c r="N141" s="1679"/>
      <c r="O141" s="1679"/>
      <c r="P141" s="1726" t="s">
        <v>669</v>
      </c>
      <c r="Q141" s="1679">
        <v>141205</v>
      </c>
      <c r="R141" s="1679"/>
      <c r="S141" s="1679"/>
      <c r="T141" s="1679"/>
      <c r="U141" s="1679"/>
      <c r="V141" s="1679"/>
      <c r="W141" s="1679"/>
      <c r="X141" s="1679"/>
      <c r="Y141" s="1679"/>
      <c r="Z141" s="1679"/>
      <c r="AA141" s="1679"/>
      <c r="AB141" s="1679"/>
      <c r="AC141" s="1679"/>
      <c r="AD141" s="1679"/>
      <c r="AE141" s="1679"/>
      <c r="AF141" s="1679"/>
      <c r="AG141" s="1679"/>
      <c r="AH141" s="1679"/>
      <c r="AI141" s="1679"/>
      <c r="AJ141" s="664"/>
      <c r="AK141" s="1679"/>
      <c r="AL141" s="1679"/>
      <c r="AM141" s="1679"/>
      <c r="AN141" s="1679"/>
      <c r="AO141" s="1679"/>
    </row>
    <row r="142" spans="1:41" s="2" customFormat="1" ht="15.75" customHeight="1" x14ac:dyDescent="0.35">
      <c r="A142" s="1680"/>
      <c r="B142" s="1681" t="s">
        <v>2188</v>
      </c>
      <c r="C142" s="1699"/>
      <c r="D142" s="1699"/>
      <c r="E142" s="1699"/>
      <c r="F142" s="1699"/>
      <c r="G142" s="646"/>
      <c r="H142" s="1682"/>
      <c r="I142" s="1682"/>
      <c r="J142" s="1682"/>
      <c r="K142" s="1682"/>
      <c r="L142" s="1682"/>
      <c r="M142" s="1682"/>
      <c r="N142" s="1682"/>
      <c r="O142" s="1682"/>
      <c r="P142" s="1682"/>
      <c r="Q142" s="1682"/>
      <c r="R142" s="1682"/>
      <c r="S142" s="1682">
        <v>143000</v>
      </c>
      <c r="T142" s="1682"/>
      <c r="U142" s="1682"/>
      <c r="V142" s="1682"/>
      <c r="W142" s="1682"/>
      <c r="X142" s="1682"/>
      <c r="Y142" s="1682"/>
      <c r="Z142" s="1682"/>
      <c r="AA142" s="1682"/>
      <c r="AB142" s="1682"/>
      <c r="AC142" s="1682"/>
      <c r="AD142" s="1682"/>
      <c r="AE142" s="1682"/>
      <c r="AF142" s="1682"/>
      <c r="AG142" s="1682"/>
      <c r="AH142" s="1682"/>
      <c r="AI142" s="1682"/>
      <c r="AJ142" s="666"/>
      <c r="AK142" s="1682"/>
      <c r="AL142" s="1682"/>
      <c r="AM142" s="1682"/>
      <c r="AN142" s="1682"/>
      <c r="AO142" s="1682"/>
    </row>
    <row r="143" spans="1:41" s="2" customFormat="1" ht="14.5" x14ac:dyDescent="0.35">
      <c r="A143" s="3764" t="s">
        <v>724</v>
      </c>
      <c r="B143" s="3765"/>
      <c r="C143" s="12"/>
      <c r="D143" s="12"/>
      <c r="E143" s="12"/>
      <c r="F143" s="12"/>
      <c r="G143" s="13"/>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42"/>
      <c r="AK143" s="21"/>
      <c r="AL143" s="21"/>
      <c r="AM143" s="21"/>
      <c r="AN143" s="21"/>
      <c r="AO143" s="21"/>
    </row>
    <row r="144" spans="1:41" ht="29" x14ac:dyDescent="0.35">
      <c r="A144" s="1623"/>
      <c r="B144" s="1624" t="s">
        <v>2189</v>
      </c>
      <c r="C144" s="1620"/>
      <c r="D144" s="1620"/>
      <c r="E144" s="1620"/>
      <c r="F144" s="1620"/>
      <c r="G144" s="1621"/>
      <c r="H144" s="1572"/>
      <c r="I144" s="1572"/>
      <c r="J144" s="1726" t="s">
        <v>669</v>
      </c>
      <c r="K144" s="1572">
        <v>-187001</v>
      </c>
      <c r="L144" s="1726" t="s">
        <v>669</v>
      </c>
      <c r="M144" s="1572">
        <v>-228722.74</v>
      </c>
      <c r="N144" s="1572"/>
      <c r="O144" s="1572"/>
      <c r="P144" s="1726" t="s">
        <v>669</v>
      </c>
      <c r="Q144" s="1572">
        <v>-201740</v>
      </c>
      <c r="R144" s="1726" t="s">
        <v>669</v>
      </c>
      <c r="S144" s="1572">
        <v>-247145</v>
      </c>
      <c r="T144" s="1726" t="s">
        <v>669</v>
      </c>
      <c r="U144" s="1572">
        <v>-187001</v>
      </c>
      <c r="V144" s="1572"/>
      <c r="W144" s="1572"/>
      <c r="X144" s="1572"/>
      <c r="Y144" s="1572"/>
      <c r="Z144" s="1572"/>
      <c r="AA144" s="1572"/>
      <c r="AB144" s="1572"/>
      <c r="AC144" s="1572"/>
      <c r="AD144" s="1572"/>
      <c r="AE144" s="1572"/>
      <c r="AF144" s="1572"/>
      <c r="AG144" s="1572"/>
      <c r="AH144" s="1572"/>
      <c r="AI144" s="1572"/>
      <c r="AJ144" s="1654"/>
      <c r="AK144" s="1572"/>
      <c r="AL144" s="1572"/>
      <c r="AM144" s="1572"/>
      <c r="AN144" s="1572"/>
      <c r="AO144" s="1572"/>
    </row>
    <row r="145" spans="1:41" ht="29" x14ac:dyDescent="0.35">
      <c r="A145" s="1680"/>
      <c r="B145" s="1681" t="s">
        <v>2190</v>
      </c>
      <c r="C145" s="1699"/>
      <c r="D145" s="1699"/>
      <c r="E145" s="1699"/>
      <c r="F145" s="1699"/>
      <c r="G145" s="646"/>
      <c r="H145" s="1683"/>
      <c r="I145" s="1683"/>
      <c r="J145" s="1726" t="s">
        <v>669</v>
      </c>
      <c r="K145" s="1683">
        <v>-140548</v>
      </c>
      <c r="L145" s="1726" t="s">
        <v>669</v>
      </c>
      <c r="M145" s="1683">
        <f>-164889.26</f>
        <v>-164889.26</v>
      </c>
      <c r="N145" s="1683"/>
      <c r="O145" s="1683"/>
      <c r="P145" s="1726" t="s">
        <v>669</v>
      </c>
      <c r="Q145" s="1683">
        <v>-98385</v>
      </c>
      <c r="R145" s="1726" t="s">
        <v>669</v>
      </c>
      <c r="S145" s="1683">
        <f>-178180</f>
        <v>-178180</v>
      </c>
      <c r="T145" s="1726" t="s">
        <v>669</v>
      </c>
      <c r="U145" s="1683">
        <v>-140548</v>
      </c>
      <c r="V145" s="1683"/>
      <c r="W145" s="1683"/>
      <c r="X145" s="1683"/>
      <c r="Y145" s="1683"/>
      <c r="Z145" s="1683"/>
      <c r="AA145" s="1683"/>
      <c r="AB145" s="1683"/>
      <c r="AC145" s="1683"/>
      <c r="AD145" s="1683"/>
      <c r="AE145" s="1683"/>
      <c r="AF145" s="1683"/>
      <c r="AG145" s="1683"/>
      <c r="AH145" s="1683"/>
      <c r="AI145" s="1683"/>
      <c r="AJ145" s="667"/>
      <c r="AK145" s="1683"/>
      <c r="AL145" s="1683"/>
      <c r="AM145" s="1683"/>
      <c r="AN145" s="1683"/>
      <c r="AO145" s="1683"/>
    </row>
    <row r="146" spans="1:41" ht="29" x14ac:dyDescent="0.35">
      <c r="A146" s="1680"/>
      <c r="B146" s="1681" t="s">
        <v>2191</v>
      </c>
      <c r="C146" s="1699"/>
      <c r="D146" s="1699"/>
      <c r="E146" s="1699"/>
      <c r="F146" s="1699"/>
      <c r="G146" s="646"/>
      <c r="H146" s="1683"/>
      <c r="I146" s="1683"/>
      <c r="J146" s="1726" t="s">
        <v>669</v>
      </c>
      <c r="K146" s="1683">
        <v>-178068</v>
      </c>
      <c r="L146" s="1726" t="s">
        <v>669</v>
      </c>
      <c r="M146" s="1683">
        <v>-263335.12</v>
      </c>
      <c r="N146" s="1683"/>
      <c r="O146" s="1683"/>
      <c r="P146" s="1726" t="s">
        <v>669</v>
      </c>
      <c r="Q146" s="1683">
        <v>-201740</v>
      </c>
      <c r="R146" s="1726" t="s">
        <v>669</v>
      </c>
      <c r="S146" s="1683">
        <v>-225745</v>
      </c>
      <c r="T146" s="1726" t="s">
        <v>669</v>
      </c>
      <c r="U146" s="1683">
        <v>-178068</v>
      </c>
      <c r="V146" s="1683"/>
      <c r="W146" s="1683"/>
      <c r="X146" s="1683"/>
      <c r="Y146" s="1683"/>
      <c r="Z146" s="1683"/>
      <c r="AA146" s="1683"/>
      <c r="AB146" s="1683"/>
      <c r="AC146" s="1683"/>
      <c r="AD146" s="1683"/>
      <c r="AE146" s="1683"/>
      <c r="AF146" s="1683"/>
      <c r="AG146" s="1683"/>
      <c r="AH146" s="1683"/>
      <c r="AI146" s="1683"/>
      <c r="AJ146" s="667"/>
      <c r="AK146" s="1683"/>
      <c r="AL146" s="1683"/>
      <c r="AM146" s="1683"/>
      <c r="AN146" s="1683"/>
      <c r="AO146" s="1683"/>
    </row>
    <row r="147" spans="1:41" ht="29" x14ac:dyDescent="0.35">
      <c r="A147" s="1680"/>
      <c r="B147" s="1681" t="s">
        <v>2192</v>
      </c>
      <c r="C147" s="1699"/>
      <c r="D147" s="1699"/>
      <c r="E147" s="1699"/>
      <c r="F147" s="1699"/>
      <c r="G147" s="646"/>
      <c r="H147" s="1683"/>
      <c r="I147" s="1683"/>
      <c r="J147" s="1726" t="s">
        <v>669</v>
      </c>
      <c r="K147" s="1683">
        <v>-200698</v>
      </c>
      <c r="L147" s="1726" t="s">
        <v>669</v>
      </c>
      <c r="M147" s="1683">
        <v>-292689.02</v>
      </c>
      <c r="N147" s="1683"/>
      <c r="O147" s="1683"/>
      <c r="P147" s="1726" t="s">
        <v>669</v>
      </c>
      <c r="Q147" s="1683">
        <v>-227580</v>
      </c>
      <c r="R147" s="1726" t="s">
        <v>669</v>
      </c>
      <c r="S147" s="1683">
        <v>-254435</v>
      </c>
      <c r="T147" s="1726" t="s">
        <v>669</v>
      </c>
      <c r="U147" s="1683">
        <v>-200698</v>
      </c>
      <c r="V147" s="1683"/>
      <c r="W147" s="1683"/>
      <c r="X147" s="1683"/>
      <c r="Y147" s="1683"/>
      <c r="Z147" s="1683"/>
      <c r="AA147" s="1683"/>
      <c r="AB147" s="1683"/>
      <c r="AC147" s="1683"/>
      <c r="AD147" s="1683"/>
      <c r="AE147" s="1683"/>
      <c r="AF147" s="1683"/>
      <c r="AG147" s="1683"/>
      <c r="AH147" s="1683"/>
      <c r="AI147" s="1683"/>
      <c r="AJ147" s="667"/>
      <c r="AK147" s="1683"/>
      <c r="AL147" s="1683"/>
      <c r="AM147" s="1683"/>
      <c r="AN147" s="1683"/>
      <c r="AO147" s="1683"/>
    </row>
    <row r="148" spans="1:41" ht="14.5" x14ac:dyDescent="0.35">
      <c r="A148" s="3764" t="s">
        <v>725</v>
      </c>
      <c r="B148" s="3765"/>
      <c r="C148" s="12"/>
      <c r="D148" s="12"/>
      <c r="E148" s="12"/>
      <c r="F148" s="12"/>
      <c r="G148" s="13"/>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42"/>
      <c r="AK148" s="21"/>
      <c r="AL148" s="21"/>
      <c r="AM148" s="21"/>
      <c r="AN148" s="21"/>
      <c r="AO148" s="21"/>
    </row>
    <row r="149" spans="1:41" ht="14.5" x14ac:dyDescent="0.35">
      <c r="A149" s="1703"/>
      <c r="B149" s="1698" t="s">
        <v>726</v>
      </c>
      <c r="C149" s="1699"/>
      <c r="D149" s="1699"/>
      <c r="E149" s="1699"/>
      <c r="F149" s="1699"/>
      <c r="G149" s="646"/>
      <c r="H149" s="1683"/>
      <c r="I149" s="1683"/>
      <c r="J149" s="1683"/>
      <c r="K149" s="1683"/>
      <c r="L149" s="1683"/>
      <c r="M149" s="1683"/>
      <c r="N149" s="1683"/>
      <c r="O149" s="1683"/>
      <c r="P149" s="1683"/>
      <c r="Q149" s="1683"/>
      <c r="R149" s="1683"/>
      <c r="S149" s="1683"/>
      <c r="T149" s="1683"/>
      <c r="U149" s="1683"/>
      <c r="V149" s="1683"/>
      <c r="W149" s="1683"/>
      <c r="X149" s="1683"/>
      <c r="Y149" s="1683"/>
      <c r="Z149" s="1683"/>
      <c r="AA149" s="1683"/>
      <c r="AB149" s="1683"/>
      <c r="AC149" s="1683"/>
      <c r="AD149" s="1683"/>
      <c r="AE149" s="1683"/>
      <c r="AF149" s="1683"/>
      <c r="AG149" s="1683"/>
      <c r="AH149" s="1683"/>
      <c r="AI149" s="1683"/>
      <c r="AJ149" s="667"/>
      <c r="AK149" s="1683"/>
      <c r="AL149" s="1683"/>
      <c r="AM149" s="1683"/>
      <c r="AN149" s="1683"/>
      <c r="AO149" s="1683"/>
    </row>
    <row r="150" spans="1:41" ht="14.5" x14ac:dyDescent="0.35">
      <c r="A150" s="1703"/>
      <c r="B150" s="1698" t="s">
        <v>727</v>
      </c>
      <c r="C150" s="1699"/>
      <c r="D150" s="1699"/>
      <c r="E150" s="1699"/>
      <c r="F150" s="1699"/>
      <c r="G150" s="646"/>
      <c r="H150" s="1683"/>
      <c r="I150" s="1683"/>
      <c r="J150" s="1683"/>
      <c r="K150" s="1683"/>
      <c r="L150" s="1683"/>
      <c r="M150" s="1683"/>
      <c r="N150" s="1683"/>
      <c r="O150" s="1683"/>
      <c r="P150" s="1683"/>
      <c r="Q150" s="1683"/>
      <c r="R150" s="1683"/>
      <c r="S150" s="1683"/>
      <c r="T150" s="1683"/>
      <c r="U150" s="1683"/>
      <c r="V150" s="1683"/>
      <c r="W150" s="1683"/>
      <c r="X150" s="1683"/>
      <c r="Y150" s="1683"/>
      <c r="Z150" s="1683"/>
      <c r="AA150" s="1683"/>
      <c r="AB150" s="1683"/>
      <c r="AC150" s="1683"/>
      <c r="AD150" s="1683"/>
      <c r="AE150" s="1683"/>
      <c r="AF150" s="1683"/>
      <c r="AG150" s="1683"/>
      <c r="AH150" s="1683"/>
      <c r="AI150" s="1683"/>
      <c r="AJ150" s="667"/>
      <c r="AK150" s="1683"/>
      <c r="AL150" s="1683"/>
      <c r="AM150" s="1683"/>
      <c r="AN150" s="1683"/>
      <c r="AO150" s="1683"/>
    </row>
    <row r="151" spans="1:41" ht="14.5" x14ac:dyDescent="0.35">
      <c r="A151" s="1703"/>
      <c r="B151" s="1698" t="s">
        <v>728</v>
      </c>
      <c r="C151" s="1699"/>
      <c r="D151" s="1699"/>
      <c r="E151" s="1699"/>
      <c r="F151" s="1699"/>
      <c r="G151" s="646"/>
      <c r="H151" s="1683"/>
      <c r="I151" s="1683"/>
      <c r="J151" s="1683"/>
      <c r="K151" s="1683"/>
      <c r="L151" s="1683"/>
      <c r="M151" s="1683"/>
      <c r="N151" s="1683"/>
      <c r="O151" s="1683"/>
      <c r="P151" s="1683"/>
      <c r="Q151" s="1683"/>
      <c r="R151" s="1683"/>
      <c r="S151" s="1683"/>
      <c r="T151" s="1683"/>
      <c r="U151" s="1683"/>
      <c r="V151" s="1683"/>
      <c r="W151" s="1683"/>
      <c r="X151" s="1683"/>
      <c r="Y151" s="1683"/>
      <c r="Z151" s="1683"/>
      <c r="AA151" s="1683"/>
      <c r="AB151" s="1683"/>
      <c r="AC151" s="1683"/>
      <c r="AD151" s="1683"/>
      <c r="AE151" s="1683"/>
      <c r="AF151" s="1683"/>
      <c r="AG151" s="1683"/>
      <c r="AH151" s="1683"/>
      <c r="AI151" s="1683"/>
      <c r="AJ151" s="667"/>
      <c r="AK151" s="1683"/>
      <c r="AL151" s="1683"/>
      <c r="AM151" s="1683"/>
      <c r="AN151" s="1683"/>
      <c r="AO151" s="1683"/>
    </row>
    <row r="152" spans="1:41" ht="14.5" x14ac:dyDescent="0.35">
      <c r="A152" s="1703"/>
      <c r="B152" s="1698" t="s">
        <v>729</v>
      </c>
      <c r="C152" s="1699"/>
      <c r="D152" s="1699"/>
      <c r="E152" s="1699"/>
      <c r="F152" s="1699"/>
      <c r="G152" s="646"/>
      <c r="H152" s="1683"/>
      <c r="I152" s="1683"/>
      <c r="J152" s="1683"/>
      <c r="K152" s="1683"/>
      <c r="L152" s="1683"/>
      <c r="M152" s="1683"/>
      <c r="N152" s="1683"/>
      <c r="O152" s="1683"/>
      <c r="P152" s="1683"/>
      <c r="Q152" s="1683"/>
      <c r="R152" s="1683"/>
      <c r="S152" s="1683"/>
      <c r="T152" s="1683"/>
      <c r="U152" s="1683"/>
      <c r="V152" s="1683"/>
      <c r="W152" s="1683"/>
      <c r="X152" s="1683"/>
      <c r="Y152" s="1683"/>
      <c r="Z152" s="1683"/>
      <c r="AA152" s="1683"/>
      <c r="AB152" s="1683"/>
      <c r="AC152" s="1683"/>
      <c r="AD152" s="1683"/>
      <c r="AE152" s="1683"/>
      <c r="AF152" s="1683"/>
      <c r="AG152" s="1683"/>
      <c r="AH152" s="1683"/>
      <c r="AI152" s="1683"/>
      <c r="AJ152" s="667"/>
      <c r="AK152" s="1683"/>
      <c r="AL152" s="1683"/>
      <c r="AM152" s="1683"/>
      <c r="AN152" s="1683"/>
      <c r="AO152" s="1683"/>
    </row>
    <row r="153" spans="1:41" ht="14.5" x14ac:dyDescent="0.35">
      <c r="A153" s="978"/>
      <c r="B153" s="939"/>
      <c r="C153" s="940"/>
      <c r="D153" s="940"/>
      <c r="E153" s="940"/>
      <c r="F153" s="940"/>
      <c r="G153" s="1039"/>
      <c r="H153" s="981"/>
      <c r="I153" s="981"/>
      <c r="J153" s="981"/>
      <c r="K153" s="981"/>
      <c r="L153" s="981"/>
      <c r="M153" s="981"/>
      <c r="N153" s="981"/>
      <c r="O153" s="981"/>
      <c r="P153" s="981"/>
      <c r="Q153" s="981"/>
      <c r="R153" s="981"/>
      <c r="S153" s="981"/>
      <c r="T153" s="981"/>
      <c r="U153" s="981"/>
      <c r="V153" s="981"/>
      <c r="W153" s="981"/>
      <c r="X153" s="981"/>
      <c r="Y153" s="981"/>
      <c r="Z153" s="981"/>
      <c r="AA153" s="981"/>
      <c r="AB153" s="981"/>
      <c r="AC153" s="981"/>
      <c r="AD153" s="981"/>
      <c r="AE153" s="981"/>
      <c r="AF153" s="981"/>
      <c r="AG153" s="981"/>
      <c r="AH153" s="981"/>
      <c r="AI153" s="981"/>
      <c r="AJ153" s="980"/>
      <c r="AK153" s="981"/>
      <c r="AL153" s="981"/>
      <c r="AM153" s="981"/>
      <c r="AN153" s="981"/>
      <c r="AO153" s="981"/>
    </row>
    <row r="154" spans="1:41" ht="14.5" x14ac:dyDescent="0.35">
      <c r="A154" s="7" t="s">
        <v>730</v>
      </c>
      <c r="B154" s="8"/>
      <c r="C154" s="12"/>
      <c r="D154" s="12"/>
      <c r="E154" s="12"/>
      <c r="F154" s="12"/>
      <c r="G154" s="13"/>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42"/>
      <c r="AK154" s="21"/>
      <c r="AL154" s="21"/>
      <c r="AM154" s="21"/>
      <c r="AN154" s="21"/>
      <c r="AO154" s="21"/>
    </row>
    <row r="155" spans="1:41" ht="14.5" x14ac:dyDescent="0.35">
      <c r="A155" s="1619"/>
      <c r="B155" s="1625" t="s">
        <v>731</v>
      </c>
      <c r="C155" s="1620"/>
      <c r="D155" s="1620"/>
      <c r="E155" s="1620"/>
      <c r="F155" s="1620"/>
      <c r="G155" s="1621"/>
      <c r="H155" s="1576"/>
      <c r="I155" s="1576"/>
      <c r="J155" s="1576"/>
      <c r="K155" s="1576"/>
      <c r="L155" s="1576"/>
      <c r="M155" s="1576"/>
      <c r="N155" s="1576"/>
      <c r="O155" s="1576"/>
      <c r="P155" s="1576"/>
      <c r="Q155" s="1576"/>
      <c r="R155" s="1576"/>
      <c r="S155" s="1576"/>
      <c r="T155" s="1576"/>
      <c r="U155" s="1576"/>
      <c r="V155" s="1576"/>
      <c r="W155" s="1576"/>
      <c r="X155" s="1576"/>
      <c r="Y155" s="1576"/>
      <c r="Z155" s="1576"/>
      <c r="AA155" s="1576"/>
      <c r="AB155" s="1576"/>
      <c r="AC155" s="1576"/>
      <c r="AD155" s="1576"/>
      <c r="AE155" s="1576"/>
      <c r="AF155" s="1576"/>
      <c r="AG155" s="1576"/>
      <c r="AH155" s="1576"/>
      <c r="AI155" s="1576"/>
      <c r="AJ155" s="1629"/>
      <c r="AK155" s="1576"/>
      <c r="AL155" s="1576"/>
      <c r="AM155" s="1576"/>
      <c r="AN155" s="1576"/>
      <c r="AO155" s="1576"/>
    </row>
    <row r="156" spans="1:41" ht="14.5" x14ac:dyDescent="0.35">
      <c r="A156" s="1703"/>
      <c r="B156" s="1698" t="s">
        <v>732</v>
      </c>
      <c r="C156" s="1699"/>
      <c r="D156" s="1699"/>
      <c r="E156" s="1699"/>
      <c r="F156" s="1699"/>
      <c r="G156" s="646"/>
      <c r="H156" s="1684"/>
      <c r="I156" s="1684"/>
      <c r="J156" s="1684"/>
      <c r="K156" s="1684"/>
      <c r="L156" s="1684"/>
      <c r="M156" s="1684"/>
      <c r="N156" s="1684"/>
      <c r="O156" s="1684"/>
      <c r="P156" s="1684"/>
      <c r="Q156" s="1684"/>
      <c r="R156" s="1684"/>
      <c r="S156" s="1684"/>
      <c r="T156" s="1684"/>
      <c r="U156" s="1684"/>
      <c r="V156" s="1684"/>
      <c r="W156" s="1684"/>
      <c r="X156" s="1684"/>
      <c r="Y156" s="1684"/>
      <c r="Z156" s="1684"/>
      <c r="AA156" s="1684"/>
      <c r="AB156" s="1684"/>
      <c r="AC156" s="1684"/>
      <c r="AD156" s="1684"/>
      <c r="AE156" s="1684"/>
      <c r="AF156" s="1684"/>
      <c r="AG156" s="1684"/>
      <c r="AH156" s="1684"/>
      <c r="AI156" s="1684"/>
      <c r="AJ156" s="668"/>
      <c r="AK156" s="1684"/>
      <c r="AL156" s="1684"/>
      <c r="AM156" s="1684"/>
      <c r="AN156" s="1684"/>
      <c r="AO156" s="1684"/>
    </row>
    <row r="157" spans="1:41" ht="14.5" x14ac:dyDescent="0.35">
      <c r="A157" s="1685"/>
      <c r="B157" s="1686" t="s">
        <v>733</v>
      </c>
      <c r="C157" s="1687"/>
      <c r="D157" s="1687"/>
      <c r="E157" s="1687"/>
      <c r="F157" s="1687"/>
      <c r="G157" s="1688"/>
      <c r="H157" s="1689"/>
      <c r="I157" s="1689"/>
      <c r="J157" s="1689"/>
      <c r="K157" s="1689"/>
      <c r="L157" s="1689"/>
      <c r="M157" s="1689"/>
      <c r="N157" s="1689"/>
      <c r="O157" s="1689"/>
      <c r="P157" s="1689"/>
      <c r="Q157" s="1689"/>
      <c r="R157" s="1689"/>
      <c r="S157" s="1689"/>
      <c r="T157" s="1689"/>
      <c r="U157" s="1689"/>
      <c r="V157" s="1689"/>
      <c r="W157" s="1689"/>
      <c r="X157" s="1689"/>
      <c r="Y157" s="1689"/>
      <c r="Z157" s="1689"/>
      <c r="AA157" s="1689"/>
      <c r="AB157" s="1689"/>
      <c r="AC157" s="1689"/>
      <c r="AD157" s="1689"/>
      <c r="AE157" s="1689"/>
      <c r="AF157" s="1689"/>
      <c r="AG157" s="1689"/>
      <c r="AH157" s="1689"/>
      <c r="AI157" s="1689"/>
      <c r="AJ157" s="1725"/>
      <c r="AK157" s="1689"/>
      <c r="AL157" s="1689"/>
      <c r="AM157" s="1689"/>
      <c r="AN157" s="1689"/>
      <c r="AO157" s="1689"/>
    </row>
    <row r="158" spans="1:41" ht="14.5" x14ac:dyDescent="0.35">
      <c r="AN158" s="2"/>
      <c r="AO158" s="2"/>
    </row>
    <row r="159" spans="1:41" ht="14.5" x14ac:dyDescent="0.35">
      <c r="A159" s="78" t="s">
        <v>734</v>
      </c>
      <c r="B159" s="80"/>
      <c r="AN159" s="2"/>
      <c r="AO159" s="2"/>
    </row>
    <row r="160" spans="1:41" ht="14.5" x14ac:dyDescent="0.35">
      <c r="A160" s="79" t="s">
        <v>632</v>
      </c>
      <c r="B160" s="1691" t="str">
        <f>T4</f>
        <v>All American Windows</v>
      </c>
    </row>
    <row r="161" spans="1:4" ht="14.5" x14ac:dyDescent="0.35">
      <c r="A161" s="1690" t="s">
        <v>636</v>
      </c>
      <c r="B161" s="1691" t="str">
        <f>T5</f>
        <v>Vicente Fernandez</v>
      </c>
    </row>
    <row r="162" spans="1:4" ht="14.5" x14ac:dyDescent="0.35">
      <c r="A162" s="1692" t="s">
        <v>639</v>
      </c>
      <c r="B162" s="1693" t="str">
        <f>T6</f>
        <v>954-786-8525</v>
      </c>
    </row>
    <row r="163" spans="1:4" ht="14.5" x14ac:dyDescent="0.35">
      <c r="A163" s="1692" t="s">
        <v>642</v>
      </c>
      <c r="B163" s="1694" t="str">
        <f>T7</f>
        <v>vfernandez@aawimpact.com&gt;</v>
      </c>
    </row>
    <row r="164" spans="1:4" ht="14.5" x14ac:dyDescent="0.35">
      <c r="A164" s="1695" t="s">
        <v>735</v>
      </c>
      <c r="B164" s="1696">
        <f>T8</f>
        <v>3029956.27</v>
      </c>
      <c r="C164" s="169"/>
      <c r="D164" s="562"/>
    </row>
    <row r="166" spans="1:4" ht="14.5" x14ac:dyDescent="0.35">
      <c r="A166" s="81"/>
      <c r="B166" s="1" t="s">
        <v>736</v>
      </c>
    </row>
    <row r="167" spans="1:4" ht="14.5" x14ac:dyDescent="0.35">
      <c r="A167" s="82"/>
      <c r="B167" s="1" t="s">
        <v>737</v>
      </c>
    </row>
  </sheetData>
  <mergeCells count="133">
    <mergeCell ref="Z1:AA1"/>
    <mergeCell ref="X1:Y1"/>
    <mergeCell ref="N1:O1"/>
    <mergeCell ref="P1:Q1"/>
    <mergeCell ref="V3:W3"/>
    <mergeCell ref="V4:W4"/>
    <mergeCell ref="N3:O3"/>
    <mergeCell ref="N4:O4"/>
    <mergeCell ref="N5:O5"/>
    <mergeCell ref="P4:Q4"/>
    <mergeCell ref="R2:S2"/>
    <mergeCell ref="R3:S3"/>
    <mergeCell ref="R4:S4"/>
    <mergeCell ref="N6:O6"/>
    <mergeCell ref="N7:O7"/>
    <mergeCell ref="X4:Y4"/>
    <mergeCell ref="AB4:AC4"/>
    <mergeCell ref="N8:O8"/>
    <mergeCell ref="AD8:AE8"/>
    <mergeCell ref="Z8:AA8"/>
    <mergeCell ref="AD5:AE5"/>
    <mergeCell ref="Z7:AA7"/>
    <mergeCell ref="Z5:AA5"/>
    <mergeCell ref="Z6:AA6"/>
    <mergeCell ref="AB6:AC6"/>
    <mergeCell ref="AB7:AC7"/>
    <mergeCell ref="AB8:AC8"/>
    <mergeCell ref="AB5:AC5"/>
    <mergeCell ref="AD6:AE6"/>
    <mergeCell ref="AD7:AE7"/>
    <mergeCell ref="T5:U5"/>
    <mergeCell ref="T6:U6"/>
    <mergeCell ref="T7:U7"/>
    <mergeCell ref="X7:Y7"/>
    <mergeCell ref="P5:Q5"/>
    <mergeCell ref="P6:Q6"/>
    <mergeCell ref="P7:Q7"/>
    <mergeCell ref="P8:Q8"/>
    <mergeCell ref="R5:S5"/>
    <mergeCell ref="R6:S6"/>
    <mergeCell ref="R7:S7"/>
    <mergeCell ref="J2:K2"/>
    <mergeCell ref="Z4:AA4"/>
    <mergeCell ref="AB3:AC3"/>
    <mergeCell ref="AD2:AE2"/>
    <mergeCell ref="AD3:AE3"/>
    <mergeCell ref="AB2:AC2"/>
    <mergeCell ref="Z2:AA2"/>
    <mergeCell ref="Z3:AA3"/>
    <mergeCell ref="T2:U2"/>
    <mergeCell ref="T3:U3"/>
    <mergeCell ref="T4:U4"/>
    <mergeCell ref="X2:Y2"/>
    <mergeCell ref="X3:Y3"/>
    <mergeCell ref="AD4:AE4"/>
    <mergeCell ref="N2:O2"/>
    <mergeCell ref="L2:M2"/>
    <mergeCell ref="L3:M3"/>
    <mergeCell ref="L4:M4"/>
    <mergeCell ref="P2:Q2"/>
    <mergeCell ref="P3:Q3"/>
    <mergeCell ref="A143:B143"/>
    <mergeCell ref="A148:B148"/>
    <mergeCell ref="J8:K8"/>
    <mergeCell ref="X8:Y8"/>
    <mergeCell ref="X5:Y5"/>
    <mergeCell ref="A135:B135"/>
    <mergeCell ref="A139:B139"/>
    <mergeCell ref="L7:M7"/>
    <mergeCell ref="L8:M8"/>
    <mergeCell ref="A131:B131"/>
    <mergeCell ref="H6:I6"/>
    <mergeCell ref="H7:I7"/>
    <mergeCell ref="H8:I8"/>
    <mergeCell ref="V7:W7"/>
    <mergeCell ref="V8:W8"/>
    <mergeCell ref="V6:W6"/>
    <mergeCell ref="J5:K5"/>
    <mergeCell ref="J6:K6"/>
    <mergeCell ref="J7:K7"/>
    <mergeCell ref="X6:Y6"/>
    <mergeCell ref="V5:W5"/>
    <mergeCell ref="T8:U8"/>
    <mergeCell ref="L5:M5"/>
    <mergeCell ref="L6:M6"/>
    <mergeCell ref="H1:I1"/>
    <mergeCell ref="H2:I2"/>
    <mergeCell ref="H3:I3"/>
    <mergeCell ref="H4:I4"/>
    <mergeCell ref="H5:I5"/>
    <mergeCell ref="J4:K4"/>
    <mergeCell ref="L1:M1"/>
    <mergeCell ref="J3:K3"/>
    <mergeCell ref="AN7:AO7"/>
    <mergeCell ref="AF1:AG1"/>
    <mergeCell ref="AF2:AG2"/>
    <mergeCell ref="AF3:AG3"/>
    <mergeCell ref="AF4:AG4"/>
    <mergeCell ref="AF5:AG5"/>
    <mergeCell ref="AH2:AI2"/>
    <mergeCell ref="AH3:AI3"/>
    <mergeCell ref="AJ4:AK4"/>
    <mergeCell ref="AJ5:AK5"/>
    <mergeCell ref="AJ6:AK6"/>
    <mergeCell ref="AJ7:AK7"/>
    <mergeCell ref="AJ3:AK3"/>
    <mergeCell ref="AJ2:AK2"/>
    <mergeCell ref="AH4:AI4"/>
    <mergeCell ref="AH5:AI5"/>
    <mergeCell ref="R8:S8"/>
    <mergeCell ref="R1:S1"/>
    <mergeCell ref="AN8:AO8"/>
    <mergeCell ref="AN2:AO2"/>
    <mergeCell ref="AN3:AO3"/>
    <mergeCell ref="AN4:AO4"/>
    <mergeCell ref="AN5:AO5"/>
    <mergeCell ref="AN6:AO6"/>
    <mergeCell ref="AF6:AG6"/>
    <mergeCell ref="AF7:AG7"/>
    <mergeCell ref="AF8:AG8"/>
    <mergeCell ref="AL7:AM7"/>
    <mergeCell ref="AL8:AM8"/>
    <mergeCell ref="AL2:AM2"/>
    <mergeCell ref="AL3:AM3"/>
    <mergeCell ref="AL4:AM4"/>
    <mergeCell ref="AL5:AM5"/>
    <mergeCell ref="AL6:AM6"/>
    <mergeCell ref="AJ8:AK8"/>
    <mergeCell ref="AH8:AI8"/>
    <mergeCell ref="AH6:AI6"/>
    <mergeCell ref="AH7:AI7"/>
    <mergeCell ref="AB1:AC1"/>
    <mergeCell ref="V2:W2"/>
  </mergeCells>
  <conditionalFormatting sqref="H20:H32 H34:H122 J34:J122 T34:T122 V34:V122 X34:X122 Z34:Z122 AD34:AD122 AF34:AF122 AH34:AH122 AJ34:AJ122 AL34:AL122 AN34:AN122">
    <cfRule type="cellIs" dxfId="1949" priority="303" operator="equal">
      <formula>"X"</formula>
    </cfRule>
    <cfRule type="cellIs" dxfId="1948" priority="304" operator="equal">
      <formula>"I"</formula>
    </cfRule>
  </conditionalFormatting>
  <conditionalFormatting sqref="J20:J32">
    <cfRule type="cellIs" dxfId="1947" priority="529" operator="equal">
      <formula>"X"</formula>
    </cfRule>
    <cfRule type="cellIs" dxfId="1946" priority="530" operator="equal">
      <formula>"I"</formula>
    </cfRule>
  </conditionalFormatting>
  <conditionalFormatting sqref="J140">
    <cfRule type="cellIs" dxfId="1945" priority="143" operator="equal">
      <formula>"X"</formula>
    </cfRule>
    <cfRule type="cellIs" dxfId="1944" priority="144" operator="equal">
      <formula>"I"</formula>
    </cfRule>
  </conditionalFormatting>
  <conditionalFormatting sqref="J144:J147">
    <cfRule type="cellIs" dxfId="1943" priority="61" operator="equal">
      <formula>"X"</formula>
    </cfRule>
    <cfRule type="cellIs" dxfId="1942" priority="62" operator="equal">
      <formula>"I"</formula>
    </cfRule>
  </conditionalFormatting>
  <conditionalFormatting sqref="L20:L32">
    <cfRule type="cellIs" dxfId="1941" priority="57" operator="equal">
      <formula>"X"</formula>
    </cfRule>
    <cfRule type="cellIs" dxfId="1940" priority="58" operator="equal">
      <formula>"I"</formula>
    </cfRule>
  </conditionalFormatting>
  <conditionalFormatting sqref="L34:L122">
    <cfRule type="cellIs" dxfId="1939" priority="33" operator="equal">
      <formula>"X"</formula>
    </cfRule>
    <cfRule type="cellIs" dxfId="1938" priority="34" operator="equal">
      <formula>"I"</formula>
    </cfRule>
  </conditionalFormatting>
  <conditionalFormatting sqref="L141">
    <cfRule type="cellIs" dxfId="1937" priority="5" operator="equal">
      <formula>"X"</formula>
    </cfRule>
    <cfRule type="cellIs" dxfId="1936" priority="6" operator="equal">
      <formula>"I"</formula>
    </cfRule>
  </conditionalFormatting>
  <conditionalFormatting sqref="L144:L147">
    <cfRule type="cellIs" dxfId="1935" priority="25" operator="equal">
      <formula>"X"</formula>
    </cfRule>
    <cfRule type="cellIs" dxfId="1934" priority="26" operator="equal">
      <formula>"I"</formula>
    </cfRule>
  </conditionalFormatting>
  <conditionalFormatting sqref="N20:N32">
    <cfRule type="cellIs" dxfId="1933" priority="21" operator="equal">
      <formula>"X"</formula>
    </cfRule>
    <cfRule type="cellIs" dxfId="1932" priority="22" operator="equal">
      <formula>"I"</formula>
    </cfRule>
  </conditionalFormatting>
  <conditionalFormatting sqref="N34:N122">
    <cfRule type="cellIs" dxfId="1931" priority="23" operator="equal">
      <formula>"X"</formula>
    </cfRule>
    <cfRule type="cellIs" dxfId="1930" priority="24" operator="equal">
      <formula>"I"</formula>
    </cfRule>
  </conditionalFormatting>
  <conditionalFormatting sqref="P20:P32">
    <cfRule type="cellIs" dxfId="1929" priority="17" operator="equal">
      <formula>"X"</formula>
    </cfRule>
    <cfRule type="cellIs" dxfId="1928" priority="18" operator="equal">
      <formula>"I"</formula>
    </cfRule>
  </conditionalFormatting>
  <conditionalFormatting sqref="P34:P122">
    <cfRule type="cellIs" dxfId="1927" priority="7" operator="equal">
      <formula>"X"</formula>
    </cfRule>
    <cfRule type="cellIs" dxfId="1926" priority="8" operator="equal">
      <formula>"I"</formula>
    </cfRule>
  </conditionalFormatting>
  <conditionalFormatting sqref="P141">
    <cfRule type="cellIs" dxfId="1925" priority="3" operator="equal">
      <formula>"X"</formula>
    </cfRule>
    <cfRule type="cellIs" dxfId="1924" priority="4" operator="equal">
      <formula>"I"</formula>
    </cfRule>
  </conditionalFormatting>
  <conditionalFormatting sqref="P144:P147">
    <cfRule type="cellIs" dxfId="1923" priority="1" operator="equal">
      <formula>"X"</formula>
    </cfRule>
    <cfRule type="cellIs" dxfId="1922" priority="2" operator="equal">
      <formula>"I"</formula>
    </cfRule>
  </conditionalFormatting>
  <conditionalFormatting sqref="R20:R32">
    <cfRule type="cellIs" dxfId="1921" priority="13" operator="equal">
      <formula>"X"</formula>
    </cfRule>
    <cfRule type="cellIs" dxfId="1920" priority="14" operator="equal">
      <formula>"I"</formula>
    </cfRule>
  </conditionalFormatting>
  <conditionalFormatting sqref="R34:R122">
    <cfRule type="cellIs" dxfId="1919" priority="15" operator="equal">
      <formula>"X"</formula>
    </cfRule>
    <cfRule type="cellIs" dxfId="1918" priority="16" operator="equal">
      <formula>"I"</formula>
    </cfRule>
  </conditionalFormatting>
  <conditionalFormatting sqref="R140">
    <cfRule type="cellIs" dxfId="1917" priority="11" operator="equal">
      <formula>"X"</formula>
    </cfRule>
    <cfRule type="cellIs" dxfId="1916" priority="12" operator="equal">
      <formula>"I"</formula>
    </cfRule>
  </conditionalFormatting>
  <conditionalFormatting sqref="R144:R147">
    <cfRule type="cellIs" dxfId="1915" priority="9" operator="equal">
      <formula>"X"</formula>
    </cfRule>
    <cfRule type="cellIs" dxfId="1914" priority="10" operator="equal">
      <formula>"I"</formula>
    </cfRule>
  </conditionalFormatting>
  <conditionalFormatting sqref="T20:T32">
    <cfRule type="cellIs" dxfId="1913" priority="141" operator="equal">
      <formula>"X"</formula>
    </cfRule>
    <cfRule type="cellIs" dxfId="1912" priority="142" operator="equal">
      <formula>"I"</formula>
    </cfRule>
  </conditionalFormatting>
  <conditionalFormatting sqref="T140">
    <cfRule type="cellIs" dxfId="1911" priority="137" operator="equal">
      <formula>"X"</formula>
    </cfRule>
    <cfRule type="cellIs" dxfId="1910" priority="138" operator="equal">
      <formula>"I"</formula>
    </cfRule>
  </conditionalFormatting>
  <conditionalFormatting sqref="T144:T147">
    <cfRule type="cellIs" dxfId="1909" priority="63" operator="equal">
      <formula>"X"</formula>
    </cfRule>
    <cfRule type="cellIs" dxfId="1908" priority="64" operator="equal">
      <formula>"I"</formula>
    </cfRule>
  </conditionalFormatting>
  <conditionalFormatting sqref="V20:V32">
    <cfRule type="cellIs" dxfId="1907" priority="165" operator="equal">
      <formula>"X"</formula>
    </cfRule>
    <cfRule type="cellIs" dxfId="1906" priority="166" operator="equal">
      <formula>"I"</formula>
    </cfRule>
  </conditionalFormatting>
  <conditionalFormatting sqref="X20:X32">
    <cfRule type="cellIs" dxfId="1905" priority="119" operator="equal">
      <formula>"X"</formula>
    </cfRule>
    <cfRule type="cellIs" dxfId="1904" priority="120" operator="equal">
      <formula>"I"</formula>
    </cfRule>
  </conditionalFormatting>
  <conditionalFormatting sqref="Z20:Z32">
    <cfRule type="cellIs" dxfId="1903" priority="533" operator="equal">
      <formula>"X"</formula>
    </cfRule>
    <cfRule type="cellIs" dxfId="1902" priority="534" operator="equal">
      <formula>"I"</formula>
    </cfRule>
  </conditionalFormatting>
  <conditionalFormatting sqref="AB23:AB32">
    <cfRule type="cellIs" dxfId="1901" priority="519" operator="equal">
      <formula>"X"</formula>
    </cfRule>
    <cfRule type="cellIs" dxfId="1900" priority="520" operator="equal">
      <formula>"I"</formula>
    </cfRule>
  </conditionalFormatting>
  <conditionalFormatting sqref="AB36:AB45">
    <cfRule type="cellIs" dxfId="1899" priority="515" operator="equal">
      <formula>"X"</formula>
    </cfRule>
    <cfRule type="cellIs" dxfId="1898" priority="516" operator="equal">
      <formula>"I"</formula>
    </cfRule>
  </conditionalFormatting>
  <conditionalFormatting sqref="AB47:AB50">
    <cfRule type="cellIs" dxfId="1897" priority="317" operator="equal">
      <formula>"X"</formula>
    </cfRule>
    <cfRule type="cellIs" dxfId="1896" priority="318" operator="equal">
      <formula>"I"</formula>
    </cfRule>
  </conditionalFormatting>
  <conditionalFormatting sqref="AB52:AB70">
    <cfRule type="cellIs" dxfId="1895" priority="551" operator="equal">
      <formula>"X"</formula>
    </cfRule>
    <cfRule type="cellIs" dxfId="1894" priority="552" operator="equal">
      <formula>"I"</formula>
    </cfRule>
  </conditionalFormatting>
  <conditionalFormatting sqref="AB72:AB105">
    <cfRule type="cellIs" dxfId="1893" priority="479" operator="equal">
      <formula>"X"</formula>
    </cfRule>
    <cfRule type="cellIs" dxfId="1892" priority="480" operator="equal">
      <formula>"I"</formula>
    </cfRule>
  </conditionalFormatting>
  <conditionalFormatting sqref="AB107:AB121">
    <cfRule type="cellIs" dxfId="1891" priority="495" operator="equal">
      <formula>"X"</formula>
    </cfRule>
    <cfRule type="cellIs" dxfId="1890" priority="496" operator="equal">
      <formula>"I"</formula>
    </cfRule>
  </conditionalFormatting>
  <conditionalFormatting sqref="AD20:AD32">
    <cfRule type="cellIs" dxfId="1889" priority="521" operator="equal">
      <formula>"X"</formula>
    </cfRule>
    <cfRule type="cellIs" dxfId="1888" priority="522" operator="equal">
      <formula>"I"</formula>
    </cfRule>
  </conditionalFormatting>
  <conditionalFormatting sqref="AF20:AF32">
    <cfRule type="cellIs" dxfId="1887" priority="417" operator="equal">
      <formula>"X"</formula>
    </cfRule>
    <cfRule type="cellIs" dxfId="1886" priority="418" operator="equal">
      <formula>"I"</formula>
    </cfRule>
  </conditionalFormatting>
  <conditionalFormatting sqref="AH20:AH32">
    <cfRule type="cellIs" dxfId="1885" priority="113" operator="equal">
      <formula>"X"</formula>
    </cfRule>
    <cfRule type="cellIs" dxfId="1884" priority="114" operator="equal">
      <formula>"I"</formula>
    </cfRule>
  </conditionalFormatting>
  <conditionalFormatting sqref="AJ20:AJ32">
    <cfRule type="cellIs" dxfId="1883" priority="537" operator="equal">
      <formula>"X"</formula>
    </cfRule>
    <cfRule type="cellIs" dxfId="1882" priority="538" operator="equal">
      <formula>"I"</formula>
    </cfRule>
  </conditionalFormatting>
  <conditionalFormatting sqref="AL20:AL22">
    <cfRule type="cellIs" dxfId="1881" priority="219" operator="equal">
      <formula>"X"</formula>
    </cfRule>
    <cfRule type="cellIs" dxfId="1880" priority="220" operator="equal">
      <formula>"I"</formula>
    </cfRule>
  </conditionalFormatting>
  <conditionalFormatting sqref="AL25">
    <cfRule type="cellIs" dxfId="1879" priority="217" operator="equal">
      <formula>"X"</formula>
    </cfRule>
    <cfRule type="cellIs" dxfId="1878" priority="218" operator="equal">
      <formula>"I"</formula>
    </cfRule>
  </conditionalFormatting>
  <conditionalFormatting sqref="AL29:AL32">
    <cfRule type="cellIs" dxfId="1877" priority="215" operator="equal">
      <formula>"X"</formula>
    </cfRule>
    <cfRule type="cellIs" dxfId="1876" priority="216" operator="equal">
      <formula>"I"</formula>
    </cfRule>
  </conditionalFormatting>
  <conditionalFormatting sqref="AN20:AN22">
    <cfRule type="cellIs" dxfId="1875" priority="175" operator="equal">
      <formula>"X"</formula>
    </cfRule>
    <cfRule type="cellIs" dxfId="1874" priority="176" operator="equal">
      <formula>"I"</formula>
    </cfRule>
  </conditionalFormatting>
  <conditionalFormatting sqref="AN25">
    <cfRule type="cellIs" dxfId="1873" priority="173" operator="equal">
      <formula>"X"</formula>
    </cfRule>
    <cfRule type="cellIs" dxfId="1872" priority="174" operator="equal">
      <formula>"I"</formula>
    </cfRule>
  </conditionalFormatting>
  <conditionalFormatting sqref="AN29:AN32">
    <cfRule type="cellIs" dxfId="1871" priority="171" operator="equal">
      <formula>"X"</formula>
    </cfRule>
    <cfRule type="cellIs" dxfId="1870" priority="172" operator="equal">
      <formula>"I"</formula>
    </cfRule>
  </conditionalFormatting>
  <hyperlinks>
    <hyperlink ref="B3" location="'Cost Summary'!A1" display="BACK TO SUMMARY SHEET" xr:uid="{545AC3D9-4AF1-45E0-A6E5-8244F1AA43B6}"/>
    <hyperlink ref="AH7:AI7" r:id="rId1" display="jjensen@slidingdoorco.com" xr:uid="{8D2A2E15-82A6-4F16-AF92-FA4B8C2857FF}"/>
    <hyperlink ref="Z7:AA7" r:id="rId2" display="giovanni@uwdinstalls.com" xr:uid="{DC510C7F-1986-4937-8556-949357317679}"/>
    <hyperlink ref="J7:K7" r:id="rId3" display="vfernandez@aawimpact.com&gt;" xr:uid="{22CFBB19-B9DB-44AF-B6ED-82D9804F6461}"/>
    <hyperlink ref="AD7:AE7" r:id="rId4" display="esteban@infinitewindows.em" xr:uid="{A27FDF41-94D1-40EB-BB26-A719358D8E0D}"/>
    <hyperlink ref="AB7:AC7" r:id="rId5" display="&lt;alex@newimagegc.com&gt; " xr:uid="{1E2F16BB-0CD5-4441-9F46-03C4DC416800}"/>
    <hyperlink ref="AF7:AG7" r:id="rId6" display="giovanni@uwdinstalls.com" xr:uid="{BDD219E8-BC89-4A50-887E-C3868DDB417D}"/>
    <hyperlink ref="H7:I7" r:id="rId7" display="giovanni@uwdinstalls.com" xr:uid="{1D932F6C-27B9-4E7E-9CBC-91FDDDEC3CE2}"/>
    <hyperlink ref="V7:W7" r:id="rId8" display="sales@sapwindows.com" xr:uid="{A6C5CA07-C249-49E8-B1C1-58FD17FCEB9A}"/>
    <hyperlink ref="T7:U7" r:id="rId9" display="vfernandez@aawimpact.com&gt;" xr:uid="{BA13ECA0-8EFE-4ABB-AC7C-24406745E186}"/>
    <hyperlink ref="AJ7:AK7" r:id="rId10" display="sullivan@intuswindows.com" xr:uid="{1628B1FF-8651-41EF-9EE9-6F23F1D451EC}"/>
    <hyperlink ref="L7:M7" r:id="rId11" display="&lt;johnny@div8windowsanddoors.com&gt;" xr:uid="{D2A1C150-A7EA-4839-A924-B0FE29C1FC0A}"/>
    <hyperlink ref="N7:O7" r:id="rId12" display="jake@a-christianglass.com" xr:uid="{599AC88A-86E2-4977-BB28-6A3EAD36A770}"/>
    <hyperlink ref="P7:Q7" r:id="rId13" display="jake@a-christianglass.com" xr:uid="{580308DA-2AFE-431D-8B1B-D51F07F56D23}"/>
    <hyperlink ref="R7:S7" r:id="rId14" display="vfernandez@aawimpact.com&gt;" xr:uid="{739D5DA1-C2BC-4150-B441-6F72668C1961}"/>
  </hyperlinks>
  <pageMargins left="0.7" right="0.7" top="0.75" bottom="0.75" header="0.3" footer="0.3"/>
  <pageSetup scale="71" orientation="portrait" horizontalDpi="1200" verticalDpi="1200" r:id="rId1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1A23-B2BE-4C42-801B-B54F3D59A569}">
  <sheetPr>
    <tabColor rgb="FF92D050"/>
  </sheetPr>
  <dimension ref="A1:S87"/>
  <sheetViews>
    <sheetView zoomScale="85" zoomScaleNormal="85"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2.1796875" style="1" bestFit="1" customWidth="1"/>
    <col min="3" max="3" width="10.81640625" style="2" bestFit="1" customWidth="1"/>
    <col min="4" max="5" width="7.54296875" style="2" customWidth="1"/>
    <col min="6" max="6" width="7.7265625" style="2" customWidth="1"/>
    <col min="7" max="7" width="12.26953125" style="2" customWidth="1"/>
    <col min="8" max="8" width="8.54296875" style="2" customWidth="1"/>
    <col min="9" max="9" width="13.81640625" style="2" customWidth="1"/>
    <col min="10" max="10" width="7.453125" style="2" bestFit="1" customWidth="1"/>
    <col min="11" max="11" width="14.81640625" style="2" customWidth="1"/>
    <col min="12" max="12" width="7.453125" style="2" bestFit="1" customWidth="1"/>
    <col min="13" max="13" width="14.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s>
  <sheetData>
    <row r="1" spans="1:19" x14ac:dyDescent="0.35">
      <c r="E1" s="152"/>
      <c r="F1" s="125"/>
      <c r="G1" s="123" t="s">
        <v>621</v>
      </c>
    </row>
    <row r="2" spans="1:19" x14ac:dyDescent="0.35">
      <c r="E2" s="152"/>
      <c r="F2" s="122" t="s">
        <v>622</v>
      </c>
      <c r="G2" s="123" t="s">
        <v>451</v>
      </c>
      <c r="H2" s="3751"/>
      <c r="I2" s="3751"/>
      <c r="J2" s="3866"/>
      <c r="K2" s="3866"/>
      <c r="L2" s="3866"/>
      <c r="M2" s="3866"/>
      <c r="N2" s="3866"/>
      <c r="O2" s="3866"/>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697" t="s">
        <v>634</v>
      </c>
      <c r="B5" s="1698" t="s">
        <v>2193</v>
      </c>
      <c r="C5" s="1699"/>
      <c r="D5" s="1699"/>
      <c r="E5" s="1699"/>
      <c r="F5" s="1699"/>
      <c r="G5" s="643" t="s">
        <v>636</v>
      </c>
      <c r="H5" s="3880"/>
      <c r="I5" s="3759"/>
      <c r="J5" s="3880"/>
      <c r="K5" s="3759"/>
      <c r="L5" s="3880"/>
      <c r="M5" s="3759"/>
      <c r="N5" s="3880"/>
      <c r="O5" s="3759"/>
      <c r="P5" s="3880"/>
      <c r="Q5" s="3759"/>
      <c r="R5" s="3880"/>
      <c r="S5" s="3759"/>
    </row>
    <row r="6" spans="1:19" x14ac:dyDescent="0.35">
      <c r="A6" s="1697" t="s">
        <v>638</v>
      </c>
      <c r="B6" s="1700" t="s">
        <v>2194</v>
      </c>
      <c r="C6" s="1699"/>
      <c r="D6" s="1699"/>
      <c r="E6" s="1699"/>
      <c r="F6" s="1699"/>
      <c r="G6" s="643" t="s">
        <v>639</v>
      </c>
      <c r="H6" s="3881"/>
      <c r="I6" s="3757"/>
      <c r="J6" s="3881"/>
      <c r="K6" s="3757"/>
      <c r="L6" s="3881"/>
      <c r="M6" s="3757"/>
      <c r="N6" s="3881"/>
      <c r="O6" s="3757"/>
      <c r="P6" s="3881"/>
      <c r="Q6" s="3757"/>
      <c r="R6" s="3881"/>
      <c r="S6" s="3757"/>
    </row>
    <row r="7" spans="1:19" x14ac:dyDescent="0.35">
      <c r="A7" s="1697" t="s">
        <v>641</v>
      </c>
      <c r="B7" s="1702"/>
      <c r="C7" s="1699"/>
      <c r="D7" s="1699"/>
      <c r="E7" s="1699"/>
      <c r="F7" s="1699"/>
      <c r="G7" s="643" t="s">
        <v>642</v>
      </c>
      <c r="H7" s="3879"/>
      <c r="I7" s="3763"/>
      <c r="J7" s="3879"/>
      <c r="K7" s="3763"/>
      <c r="L7" s="3879"/>
      <c r="M7" s="3763"/>
      <c r="N7" s="3879"/>
      <c r="O7" s="3763"/>
      <c r="P7" s="3879"/>
      <c r="Q7" s="3763"/>
      <c r="R7" s="3879"/>
      <c r="S7" s="3763"/>
    </row>
    <row r="8" spans="1:19" x14ac:dyDescent="0.35">
      <c r="A8" s="938" t="s">
        <v>644</v>
      </c>
      <c r="B8" s="939"/>
      <c r="C8" s="940"/>
      <c r="D8" s="940"/>
      <c r="E8" s="940"/>
      <c r="F8" s="940"/>
      <c r="G8" s="1024" t="s">
        <v>644</v>
      </c>
      <c r="H8" s="3877">
        <f>I48</f>
        <v>0</v>
      </c>
      <c r="I8" s="3878"/>
      <c r="J8" s="3877">
        <f>K48</f>
        <v>0</v>
      </c>
      <c r="K8" s="3878"/>
      <c r="L8" s="3877">
        <f>M48</f>
        <v>0</v>
      </c>
      <c r="M8" s="3878"/>
      <c r="N8" s="3877">
        <f>O48</f>
        <v>0</v>
      </c>
      <c r="O8" s="3878"/>
      <c r="P8" s="3877">
        <f>Q48</f>
        <v>0</v>
      </c>
      <c r="Q8" s="3878"/>
      <c r="R8" s="3877">
        <f>S46</f>
        <v>0</v>
      </c>
      <c r="S8" s="3878"/>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1703"/>
      <c r="B10" s="1628" t="s">
        <v>653</v>
      </c>
      <c r="C10" s="1699"/>
      <c r="D10" s="1699"/>
      <c r="E10" s="1699"/>
      <c r="F10" s="1699"/>
      <c r="G10" s="646"/>
      <c r="H10" s="1704"/>
      <c r="I10" s="1704"/>
      <c r="J10" s="1704"/>
      <c r="K10" s="1704"/>
      <c r="L10" s="1704"/>
      <c r="M10" s="1704"/>
      <c r="N10" s="1704"/>
      <c r="O10" s="1704"/>
      <c r="P10" s="1704"/>
      <c r="Q10" s="1704"/>
      <c r="R10" s="1704"/>
      <c r="S10" s="1704"/>
    </row>
    <row r="11" spans="1:19" hidden="1" x14ac:dyDescent="0.35">
      <c r="A11" s="1703"/>
      <c r="B11" s="1698" t="e">
        <f>#REF!</f>
        <v>#REF!</v>
      </c>
      <c r="C11" s="1705" t="s">
        <v>654</v>
      </c>
      <c r="D11" s="1699"/>
      <c r="E11" s="1699"/>
      <c r="F11" s="1699"/>
      <c r="G11" s="646"/>
      <c r="H11" s="1704"/>
      <c r="I11" s="1704"/>
      <c r="J11" s="1704"/>
      <c r="K11" s="1704"/>
      <c r="L11" s="1704"/>
      <c r="M11" s="1704"/>
      <c r="N11" s="1704"/>
      <c r="O11" s="1704"/>
      <c r="P11" s="1704"/>
      <c r="Q11" s="1704"/>
      <c r="R11" s="1704"/>
      <c r="S11" s="1704"/>
    </row>
    <row r="12" spans="1:19" hidden="1" x14ac:dyDescent="0.35">
      <c r="A12" s="1703"/>
      <c r="B12" s="1698" t="e">
        <f>#REF!</f>
        <v>#REF!</v>
      </c>
      <c r="C12" s="1705" t="s">
        <v>654</v>
      </c>
      <c r="D12" s="1699"/>
      <c r="E12" s="1699"/>
      <c r="F12" s="1699"/>
      <c r="G12" s="646"/>
      <c r="H12" s="1704"/>
      <c r="I12" s="1704"/>
      <c r="J12" s="1704"/>
      <c r="K12" s="1704"/>
      <c r="L12" s="1704"/>
      <c r="M12" s="1704"/>
      <c r="N12" s="1704"/>
      <c r="O12" s="1704"/>
      <c r="P12" s="1704"/>
      <c r="Q12" s="1704"/>
      <c r="R12" s="1704"/>
      <c r="S12" s="1704"/>
    </row>
    <row r="13" spans="1:19" hidden="1" x14ac:dyDescent="0.35">
      <c r="A13" s="1703"/>
      <c r="B13" s="1698" t="e">
        <f>#REF!</f>
        <v>#REF!</v>
      </c>
      <c r="C13" s="1705" t="s">
        <v>654</v>
      </c>
      <c r="D13" s="1699"/>
      <c r="E13" s="1699"/>
      <c r="F13" s="1699"/>
      <c r="G13" s="646"/>
      <c r="H13" s="1704"/>
      <c r="I13" s="1704"/>
      <c r="J13" s="1704"/>
      <c r="K13" s="1704"/>
      <c r="L13" s="1704"/>
      <c r="M13" s="1704"/>
      <c r="N13" s="1704"/>
      <c r="O13" s="1704"/>
      <c r="P13" s="1704"/>
      <c r="Q13" s="1704"/>
      <c r="R13" s="1704"/>
      <c r="S13" s="1704"/>
    </row>
    <row r="14" spans="1:19" hidden="1" x14ac:dyDescent="0.35">
      <c r="A14" s="1703"/>
      <c r="B14" s="1698" t="e">
        <f>#REF!</f>
        <v>#REF!</v>
      </c>
      <c r="C14" s="1705" t="s">
        <v>654</v>
      </c>
      <c r="D14" s="1699"/>
      <c r="E14" s="1699"/>
      <c r="F14" s="1699"/>
      <c r="G14" s="646"/>
      <c r="H14" s="1704"/>
      <c r="I14" s="1704"/>
      <c r="J14" s="1704"/>
      <c r="K14" s="1704"/>
      <c r="L14" s="1704"/>
      <c r="M14" s="1704"/>
      <c r="N14" s="1704"/>
      <c r="O14" s="1704"/>
      <c r="P14" s="1704"/>
      <c r="Q14" s="1704"/>
      <c r="R14" s="1704"/>
      <c r="S14" s="1704"/>
    </row>
    <row r="15" spans="1:19" hidden="1" x14ac:dyDescent="0.35">
      <c r="A15" s="1703"/>
      <c r="B15" s="1698" t="e">
        <f>#REF!</f>
        <v>#REF!</v>
      </c>
      <c r="C15" s="1705" t="s">
        <v>654</v>
      </c>
      <c r="D15" s="1699"/>
      <c r="E15" s="1699"/>
      <c r="F15" s="1699"/>
      <c r="G15" s="646"/>
      <c r="H15" s="1704"/>
      <c r="I15" s="1704"/>
      <c r="J15" s="1704"/>
      <c r="K15" s="1704"/>
      <c r="L15" s="1704"/>
      <c r="M15" s="1704"/>
      <c r="N15" s="1704"/>
      <c r="O15" s="1704"/>
      <c r="P15" s="1704"/>
      <c r="Q15" s="1704"/>
      <c r="R15" s="1704"/>
      <c r="S15" s="1704"/>
    </row>
    <row r="16" spans="1:19" hidden="1" x14ac:dyDescent="0.35">
      <c r="A16" s="1703"/>
      <c r="B16" s="1698" t="e">
        <f>#REF!</f>
        <v>#REF!</v>
      </c>
      <c r="C16" s="1705" t="s">
        <v>654</v>
      </c>
      <c r="D16" s="1699"/>
      <c r="E16" s="1699"/>
      <c r="F16" s="1699"/>
      <c r="G16" s="646"/>
      <c r="H16" s="1704"/>
      <c r="I16" s="1704"/>
      <c r="J16" s="1704"/>
      <c r="K16" s="1704"/>
      <c r="L16" s="1704"/>
      <c r="M16" s="1704"/>
      <c r="N16" s="1704"/>
      <c r="O16" s="1704"/>
      <c r="P16" s="1704"/>
      <c r="Q16" s="1704"/>
      <c r="R16" s="1704"/>
      <c r="S16" s="1704"/>
    </row>
    <row r="17" spans="1:19" hidden="1" x14ac:dyDescent="0.35">
      <c r="A17" s="1703"/>
      <c r="B17" s="1698" t="e">
        <f>#REF!</f>
        <v>#REF!</v>
      </c>
      <c r="C17" s="1705" t="s">
        <v>654</v>
      </c>
      <c r="D17" s="1699"/>
      <c r="E17" s="1699"/>
      <c r="F17" s="1699"/>
      <c r="G17" s="646"/>
      <c r="H17" s="1704"/>
      <c r="I17" s="1704"/>
      <c r="J17" s="1704"/>
      <c r="K17" s="1704"/>
      <c r="L17" s="1704"/>
      <c r="M17" s="1704"/>
      <c r="N17" s="1704"/>
      <c r="O17" s="1704"/>
      <c r="P17" s="1704"/>
      <c r="Q17" s="1704"/>
      <c r="R17" s="1704"/>
      <c r="S17" s="1704"/>
    </row>
    <row r="18" spans="1:19" hidden="1" x14ac:dyDescent="0.35">
      <c r="A18" s="1703"/>
      <c r="B18" s="1698" t="e">
        <f>#REF!</f>
        <v>#REF!</v>
      </c>
      <c r="C18" s="1705" t="s">
        <v>654</v>
      </c>
      <c r="D18" s="1699"/>
      <c r="E18" s="1699"/>
      <c r="F18" s="1699"/>
      <c r="G18" s="646"/>
      <c r="H18" s="1704"/>
      <c r="I18" s="1704"/>
      <c r="J18" s="1704"/>
      <c r="K18" s="1704"/>
      <c r="L18" s="1704"/>
      <c r="M18" s="1704"/>
      <c r="N18" s="1704"/>
      <c r="O18" s="1704"/>
      <c r="P18" s="1704"/>
      <c r="Q18" s="1704"/>
      <c r="R18" s="1704"/>
      <c r="S18" s="1704"/>
    </row>
    <row r="19" spans="1:19" hidden="1" x14ac:dyDescent="0.35">
      <c r="A19" s="1703"/>
      <c r="B19" s="1698" t="e">
        <f>#REF!</f>
        <v>#REF!</v>
      </c>
      <c r="C19" s="1705" t="s">
        <v>654</v>
      </c>
      <c r="D19" s="1699"/>
      <c r="E19" s="1699"/>
      <c r="F19" s="1699"/>
      <c r="G19" s="646"/>
      <c r="H19" s="1704"/>
      <c r="I19" s="1704"/>
      <c r="J19" s="1704"/>
      <c r="K19" s="1704"/>
      <c r="L19" s="1704"/>
      <c r="M19" s="1704"/>
      <c r="N19" s="1704"/>
      <c r="O19" s="1704"/>
      <c r="P19" s="1704"/>
      <c r="Q19" s="1704"/>
      <c r="R19" s="1704"/>
      <c r="S19" s="1704"/>
    </row>
    <row r="20" spans="1:19" x14ac:dyDescent="0.35">
      <c r="A20" s="1703"/>
      <c r="B20" s="1698"/>
      <c r="C20" s="1705"/>
      <c r="D20" s="1699"/>
      <c r="E20" s="1699"/>
      <c r="F20" s="1699"/>
      <c r="G20" s="646"/>
      <c r="H20" s="1726"/>
      <c r="I20" s="1704"/>
      <c r="J20" s="1726"/>
      <c r="K20" s="1704"/>
      <c r="L20" s="1726"/>
      <c r="M20" s="1704"/>
      <c r="N20" s="1726"/>
      <c r="O20" s="1704"/>
      <c r="P20" s="1726"/>
      <c r="Q20" s="1704"/>
      <c r="R20" s="1726"/>
      <c r="S20" s="1704"/>
    </row>
    <row r="21" spans="1:19" x14ac:dyDescent="0.35">
      <c r="A21" s="48"/>
      <c r="B21" s="1706" t="s">
        <v>2193</v>
      </c>
      <c r="C21" s="45"/>
      <c r="D21" s="46"/>
      <c r="E21" s="46"/>
      <c r="F21" s="46"/>
      <c r="G21" s="52"/>
      <c r="H21" s="1726"/>
      <c r="I21" s="1704"/>
      <c r="J21" s="1726"/>
      <c r="K21" s="1704"/>
      <c r="L21" s="1726"/>
      <c r="M21" s="1704"/>
      <c r="N21" s="1726"/>
      <c r="O21" s="1704"/>
      <c r="P21" s="1726"/>
      <c r="Q21" s="1704"/>
      <c r="R21" s="1726"/>
      <c r="S21" s="1704"/>
    </row>
    <row r="22" spans="1:19" x14ac:dyDescent="0.35">
      <c r="A22" s="1538"/>
      <c r="B22" s="604" t="s">
        <v>657</v>
      </c>
      <c r="C22" s="1705"/>
      <c r="D22" s="1699"/>
      <c r="E22" s="1699"/>
      <c r="F22" s="1699"/>
      <c r="G22" s="646"/>
      <c r="H22" s="1726"/>
      <c r="I22" s="1684"/>
      <c r="J22" s="1726"/>
      <c r="K22" s="668"/>
      <c r="L22" s="1726"/>
      <c r="M22" s="668"/>
      <c r="N22" s="1726"/>
      <c r="O22" s="668"/>
      <c r="P22" s="1726"/>
      <c r="Q22" s="668"/>
      <c r="R22" s="1726"/>
      <c r="S22" s="668"/>
    </row>
    <row r="23" spans="1:19" x14ac:dyDescent="0.35">
      <c r="A23" s="1538"/>
      <c r="B23" s="603" t="s">
        <v>658</v>
      </c>
      <c r="C23" s="1741"/>
      <c r="D23" s="682"/>
      <c r="E23" s="1699"/>
      <c r="F23" s="1699"/>
      <c r="G23" s="646"/>
      <c r="H23" s="1726"/>
      <c r="I23" s="1536"/>
      <c r="J23" s="1726"/>
      <c r="K23" s="1536"/>
      <c r="L23" s="1726"/>
      <c r="M23" s="1536"/>
      <c r="N23" s="1726"/>
      <c r="O23" s="1629"/>
      <c r="P23" s="1726"/>
      <c r="Q23" s="1629"/>
      <c r="R23" s="1726"/>
      <c r="S23" s="1629"/>
    </row>
    <row r="24" spans="1:19" x14ac:dyDescent="0.35">
      <c r="A24" s="1538"/>
      <c r="B24" s="1630" t="s">
        <v>659</v>
      </c>
      <c r="C24" s="1741"/>
      <c r="D24" s="682"/>
      <c r="E24" s="1699"/>
      <c r="F24" s="1699"/>
      <c r="G24" s="646"/>
      <c r="H24" s="1726"/>
      <c r="I24" s="1629"/>
      <c r="J24" s="1726"/>
      <c r="K24" s="1536"/>
      <c r="L24" s="1726"/>
      <c r="M24" s="1536"/>
      <c r="N24" s="1726"/>
      <c r="O24" s="1629"/>
      <c r="P24" s="1726"/>
      <c r="Q24" s="1629"/>
      <c r="R24" s="1726"/>
      <c r="S24" s="1629"/>
    </row>
    <row r="25" spans="1:19" x14ac:dyDescent="0.35">
      <c r="A25" s="1538"/>
      <c r="B25" s="1497" t="s">
        <v>660</v>
      </c>
      <c r="C25" s="646"/>
      <c r="D25" s="1699"/>
      <c r="E25" s="1699"/>
      <c r="F25" s="1699"/>
      <c r="G25" s="646"/>
      <c r="H25" s="1726"/>
      <c r="I25" s="1629"/>
      <c r="J25" s="1726"/>
      <c r="K25" s="1629"/>
      <c r="L25" s="1726"/>
      <c r="M25" s="1536"/>
      <c r="N25" s="1726"/>
      <c r="O25" s="1629"/>
      <c r="P25" s="1726"/>
      <c r="Q25" s="1629"/>
      <c r="R25" s="1726"/>
      <c r="S25" s="1629"/>
    </row>
    <row r="26" spans="1:19" x14ac:dyDescent="0.35">
      <c r="A26" s="1538"/>
      <c r="B26" s="1497" t="s">
        <v>661</v>
      </c>
      <c r="C26" s="646"/>
      <c r="D26" s="1699"/>
      <c r="E26" s="1699"/>
      <c r="F26" s="1699"/>
      <c r="G26" s="646"/>
      <c r="H26" s="1726"/>
      <c r="I26" s="1536"/>
      <c r="J26" s="1726"/>
      <c r="K26" s="1536"/>
      <c r="L26" s="1726"/>
      <c r="M26" s="1536"/>
      <c r="N26" s="1726"/>
      <c r="O26" s="1536"/>
      <c r="P26" s="1726"/>
      <c r="Q26" s="1536"/>
      <c r="R26" s="1726"/>
      <c r="S26" s="1536"/>
    </row>
    <row r="27" spans="1:19" hidden="1" x14ac:dyDescent="0.35">
      <c r="A27" s="1538"/>
      <c r="B27" s="1497" t="s">
        <v>662</v>
      </c>
      <c r="C27" s="646"/>
      <c r="D27" s="1699"/>
      <c r="E27" s="1699"/>
      <c r="F27" s="1699"/>
      <c r="G27" s="646"/>
      <c r="H27" s="1726"/>
      <c r="I27" s="1536"/>
      <c r="J27" s="1726"/>
      <c r="K27" s="1536"/>
      <c r="L27" s="1726"/>
      <c r="M27" s="1536"/>
      <c r="N27" s="1726"/>
      <c r="O27" s="1536"/>
      <c r="P27" s="1726"/>
      <c r="Q27" s="1536"/>
      <c r="R27" s="1726"/>
      <c r="S27" s="1536"/>
    </row>
    <row r="28" spans="1:19" x14ac:dyDescent="0.35">
      <c r="A28" s="1538"/>
      <c r="B28" s="1497" t="s">
        <v>663</v>
      </c>
      <c r="C28" s="646"/>
      <c r="D28" s="1699"/>
      <c r="E28" s="1699"/>
      <c r="F28" s="1699"/>
      <c r="G28" s="646"/>
      <c r="H28" s="1726"/>
      <c r="I28" s="1536"/>
      <c r="J28" s="1726"/>
      <c r="K28" s="1536"/>
      <c r="L28" s="1726"/>
      <c r="M28" s="1536"/>
      <c r="N28" s="1726"/>
      <c r="O28" s="1536"/>
      <c r="P28" s="1726"/>
      <c r="Q28" s="1536"/>
      <c r="R28" s="1726"/>
      <c r="S28" s="1536"/>
    </row>
    <row r="29" spans="1:19" x14ac:dyDescent="0.35">
      <c r="A29" s="1538"/>
      <c r="B29" s="1497" t="s">
        <v>742</v>
      </c>
      <c r="C29" s="646"/>
      <c r="D29" s="1699"/>
      <c r="E29" s="1699"/>
      <c r="F29" s="1699"/>
      <c r="G29" s="646"/>
      <c r="H29" s="1726"/>
      <c r="I29" s="1536"/>
      <c r="J29" s="1726"/>
      <c r="K29" s="1536"/>
      <c r="L29" s="1726"/>
      <c r="M29" s="1536"/>
      <c r="N29" s="1726"/>
      <c r="O29" s="1536"/>
      <c r="P29" s="1726"/>
      <c r="Q29" s="1536"/>
      <c r="R29" s="1726"/>
      <c r="S29" s="1536"/>
    </row>
    <row r="30" spans="1:19" x14ac:dyDescent="0.35">
      <c r="A30" s="1538"/>
      <c r="B30" s="1633" t="s">
        <v>664</v>
      </c>
      <c r="C30" s="646"/>
      <c r="D30" s="1699"/>
      <c r="E30" s="1699"/>
      <c r="F30" s="1699"/>
      <c r="G30" s="646"/>
      <c r="H30" s="1726"/>
      <c r="I30" s="1536"/>
      <c r="J30" s="1726"/>
      <c r="K30" s="1536"/>
      <c r="L30" s="1726"/>
      <c r="M30" s="1536"/>
      <c r="N30" s="1726"/>
      <c r="O30" s="1536"/>
      <c r="P30" s="1726"/>
      <c r="Q30" s="1536"/>
      <c r="R30" s="1726"/>
      <c r="S30" s="1536"/>
    </row>
    <row r="31" spans="1:19" x14ac:dyDescent="0.35">
      <c r="A31" s="1538"/>
      <c r="B31" s="635" t="s">
        <v>665</v>
      </c>
      <c r="C31" s="952"/>
      <c r="D31" s="1713"/>
      <c r="E31" s="1713"/>
      <c r="F31" s="1731"/>
      <c r="G31" s="651"/>
      <c r="H31" s="636"/>
      <c r="I31" s="1715"/>
      <c r="J31" s="636"/>
      <c r="K31" s="1715"/>
      <c r="L31" s="636"/>
      <c r="M31" s="1715"/>
      <c r="N31" s="636"/>
      <c r="O31" s="1715"/>
      <c r="P31" s="636"/>
      <c r="Q31" s="1715"/>
      <c r="R31" s="636"/>
      <c r="S31" s="1715"/>
    </row>
    <row r="32" spans="1:19" x14ac:dyDescent="0.35">
      <c r="A32" s="1538"/>
      <c r="B32" s="1767" t="s">
        <v>874</v>
      </c>
      <c r="C32" s="646"/>
      <c r="D32" s="1699"/>
      <c r="E32" s="1699"/>
      <c r="F32" s="1642"/>
      <c r="G32" s="652"/>
      <c r="H32" s="1726"/>
      <c r="I32" s="1536"/>
      <c r="J32" s="1726"/>
      <c r="K32" s="1536"/>
      <c r="L32" s="1726"/>
      <c r="M32" s="1536"/>
      <c r="N32" s="1726"/>
      <c r="O32" s="1536"/>
      <c r="P32" s="1726"/>
      <c r="Q32" s="1536"/>
      <c r="R32" s="1726"/>
      <c r="S32" s="1536"/>
    </row>
    <row r="33" spans="1:19" x14ac:dyDescent="0.35">
      <c r="A33" s="1538"/>
      <c r="B33" s="633" t="s">
        <v>191</v>
      </c>
      <c r="C33" s="646"/>
      <c r="D33" s="1699"/>
      <c r="E33" s="1699"/>
      <c r="F33" s="1642"/>
      <c r="G33" s="652"/>
      <c r="H33" s="1726"/>
      <c r="I33" s="1536"/>
      <c r="J33" s="1726"/>
      <c r="K33" s="1536"/>
      <c r="L33" s="1726"/>
      <c r="M33" s="1536"/>
      <c r="N33" s="1726"/>
      <c r="O33" s="1536"/>
      <c r="P33" s="1726"/>
      <c r="Q33" s="1536"/>
      <c r="R33" s="1726"/>
      <c r="S33" s="1536"/>
    </row>
    <row r="34" spans="1:19" x14ac:dyDescent="0.35">
      <c r="A34" s="1538"/>
      <c r="B34" s="1768"/>
      <c r="C34" s="646"/>
      <c r="D34" s="1699"/>
      <c r="E34" s="1699"/>
      <c r="F34" s="1642"/>
      <c r="G34" s="652"/>
      <c r="H34" s="1726"/>
      <c r="I34" s="1536"/>
      <c r="J34" s="1726"/>
      <c r="K34" s="1536"/>
      <c r="L34" s="1726"/>
      <c r="M34" s="1536"/>
      <c r="N34" s="1726"/>
      <c r="O34" s="1536"/>
      <c r="P34" s="1726"/>
      <c r="Q34" s="1536"/>
      <c r="R34" s="1726"/>
      <c r="S34" s="1536"/>
    </row>
    <row r="35" spans="1:19" x14ac:dyDescent="0.35">
      <c r="A35" s="1538"/>
      <c r="B35" s="1769"/>
      <c r="C35" s="646"/>
      <c r="D35" s="1699"/>
      <c r="E35" s="1699"/>
      <c r="F35" s="1642"/>
      <c r="G35" s="652"/>
      <c r="H35" s="1726"/>
      <c r="I35" s="1536"/>
      <c r="J35" s="1726"/>
      <c r="K35" s="1536"/>
      <c r="L35" s="1726"/>
      <c r="M35" s="1536"/>
      <c r="N35" s="1726"/>
      <c r="O35" s="1536"/>
      <c r="P35" s="1726"/>
      <c r="Q35" s="1536"/>
      <c r="R35" s="1726"/>
      <c r="S35" s="1536"/>
    </row>
    <row r="36" spans="1:19" x14ac:dyDescent="0.35">
      <c r="A36" s="1538"/>
      <c r="B36" s="1770"/>
      <c r="C36" s="646"/>
      <c r="D36" s="1699"/>
      <c r="E36" s="1699"/>
      <c r="F36" s="1642"/>
      <c r="G36" s="652"/>
      <c r="H36" s="1726" t="s">
        <v>669</v>
      </c>
      <c r="I36" s="1536"/>
      <c r="J36" s="1726"/>
      <c r="K36" s="1536"/>
      <c r="L36" s="1726"/>
      <c r="M36" s="1536"/>
      <c r="N36" s="1726"/>
      <c r="O36" s="1536"/>
      <c r="P36" s="1726"/>
      <c r="Q36" s="1536"/>
      <c r="R36" s="1726"/>
      <c r="S36" s="1536"/>
    </row>
    <row r="37" spans="1:19" x14ac:dyDescent="0.35">
      <c r="A37" s="1538"/>
      <c r="B37" s="1771"/>
      <c r="C37" s="646"/>
      <c r="D37" s="1699"/>
      <c r="E37" s="1699"/>
      <c r="F37" s="1642"/>
      <c r="G37" s="652"/>
      <c r="H37" s="1726"/>
      <c r="I37" s="1536"/>
      <c r="J37" s="1726"/>
      <c r="K37" s="1536"/>
      <c r="L37" s="1726"/>
      <c r="M37" s="1536"/>
      <c r="N37" s="1726"/>
      <c r="O37" s="1536"/>
      <c r="P37" s="1726"/>
      <c r="Q37" s="1536"/>
      <c r="R37" s="1726"/>
      <c r="S37" s="1536"/>
    </row>
    <row r="38" spans="1:19" x14ac:dyDescent="0.35">
      <c r="A38" s="1538"/>
      <c r="B38" s="1770"/>
      <c r="C38" s="646"/>
      <c r="D38" s="1699"/>
      <c r="E38" s="1699"/>
      <c r="F38" s="1642"/>
      <c r="G38" s="652"/>
      <c r="H38" s="1726"/>
      <c r="I38" s="1536"/>
      <c r="J38" s="1726"/>
      <c r="K38" s="1536"/>
      <c r="L38" s="1726"/>
      <c r="M38" s="1536"/>
      <c r="N38" s="1726"/>
      <c r="O38" s="1536"/>
      <c r="P38" s="1726"/>
      <c r="Q38" s="1536"/>
      <c r="R38" s="1726"/>
      <c r="S38" s="1536"/>
    </row>
    <row r="39" spans="1:19" x14ac:dyDescent="0.35">
      <c r="A39" s="1538"/>
      <c r="B39" s="1770"/>
      <c r="C39" s="646"/>
      <c r="D39" s="1699"/>
      <c r="E39" s="1699"/>
      <c r="F39" s="1642"/>
      <c r="G39" s="652"/>
      <c r="H39" s="1726"/>
      <c r="I39" s="1536"/>
      <c r="J39" s="1726"/>
      <c r="K39" s="1536"/>
      <c r="L39" s="1726"/>
      <c r="M39" s="1536"/>
      <c r="N39" s="1726"/>
      <c r="O39" s="1536"/>
      <c r="P39" s="1726"/>
      <c r="Q39" s="1536"/>
      <c r="R39" s="1726"/>
      <c r="S39" s="1536"/>
    </row>
    <row r="40" spans="1:19" x14ac:dyDescent="0.35">
      <c r="A40" s="1538"/>
      <c r="B40" s="1771"/>
      <c r="C40" s="646"/>
      <c r="D40" s="1699"/>
      <c r="E40" s="1699"/>
      <c r="F40" s="1642"/>
      <c r="G40" s="652"/>
      <c r="H40" s="1726"/>
      <c r="I40" s="1536"/>
      <c r="J40" s="1726"/>
      <c r="K40" s="1536"/>
      <c r="L40" s="1726"/>
      <c r="M40" s="1536"/>
      <c r="N40" s="1726"/>
      <c r="O40" s="1536"/>
      <c r="P40" s="1726"/>
      <c r="Q40" s="1536"/>
      <c r="R40" s="1726"/>
      <c r="S40" s="1536"/>
    </row>
    <row r="41" spans="1:19" x14ac:dyDescent="0.35">
      <c r="A41" s="1538"/>
      <c r="B41" s="633" t="s">
        <v>191</v>
      </c>
      <c r="C41" s="646"/>
      <c r="D41" s="1699"/>
      <c r="E41" s="1699"/>
      <c r="F41" s="1642"/>
      <c r="G41" s="652"/>
      <c r="H41" s="1726"/>
      <c r="I41" s="1536"/>
      <c r="J41" s="1726"/>
      <c r="K41" s="1536"/>
      <c r="L41" s="1726"/>
      <c r="M41" s="1536"/>
      <c r="N41" s="1726"/>
      <c r="O41" s="1536"/>
      <c r="P41" s="1726"/>
      <c r="Q41" s="1536"/>
      <c r="R41" s="1726"/>
      <c r="S41" s="1536"/>
    </row>
    <row r="42" spans="1:19" x14ac:dyDescent="0.35">
      <c r="A42" s="1538"/>
      <c r="B42" s="1772" t="s">
        <v>191</v>
      </c>
      <c r="C42" s="646"/>
      <c r="D42" s="1699"/>
      <c r="E42" s="1699"/>
      <c r="F42" s="1642"/>
      <c r="G42" s="652"/>
      <c r="H42" s="1726"/>
      <c r="I42" s="1536"/>
      <c r="J42" s="1726"/>
      <c r="K42" s="1536"/>
      <c r="L42" s="1726"/>
      <c r="M42" s="1536"/>
      <c r="N42" s="1726"/>
      <c r="O42" s="1536"/>
      <c r="P42" s="1726"/>
      <c r="Q42" s="1536"/>
      <c r="R42" s="1726"/>
      <c r="S42" s="1536"/>
    </row>
    <row r="43" spans="1:19" x14ac:dyDescent="0.35">
      <c r="A43" s="1538"/>
      <c r="B43" s="1772" t="s">
        <v>191</v>
      </c>
      <c r="C43" s="646"/>
      <c r="D43" s="1699"/>
      <c r="E43" s="1699"/>
      <c r="F43" s="1642"/>
      <c r="G43" s="652"/>
      <c r="H43" s="1726"/>
      <c r="I43" s="1536"/>
      <c r="J43" s="1726"/>
      <c r="K43" s="1536"/>
      <c r="L43" s="1726"/>
      <c r="M43" s="1536"/>
      <c r="N43" s="1726"/>
      <c r="O43" s="1536"/>
      <c r="P43" s="1726"/>
      <c r="Q43" s="1536"/>
      <c r="R43" s="1726"/>
      <c r="S43" s="1536"/>
    </row>
    <row r="44" spans="1:19" x14ac:dyDescent="0.35">
      <c r="A44" s="14"/>
      <c r="B44" s="15"/>
      <c r="C44" s="16"/>
      <c r="D44" s="16"/>
      <c r="E44" s="17"/>
      <c r="F44" s="18" t="s">
        <v>715</v>
      </c>
      <c r="G44" s="19"/>
      <c r="H44" s="20"/>
      <c r="I44" s="50">
        <f>SUM(I23:I43)</f>
        <v>0</v>
      </c>
      <c r="J44" s="20"/>
      <c r="K44" s="50">
        <f>SUM(K23:K43)</f>
        <v>0</v>
      </c>
      <c r="L44" s="20"/>
      <c r="M44" s="50">
        <f>SUM(M23:M43)</f>
        <v>0</v>
      </c>
      <c r="N44" s="20"/>
      <c r="O44" s="50">
        <f>SUM(O26:O43)</f>
        <v>0</v>
      </c>
      <c r="P44" s="20"/>
      <c r="Q44" s="50">
        <f>SUM(Q26:Q43)</f>
        <v>0</v>
      </c>
      <c r="R44" s="20"/>
      <c r="S44" s="50">
        <f>SUM(S26:S43)</f>
        <v>0</v>
      </c>
    </row>
    <row r="45" spans="1:19" x14ac:dyDescent="0.35">
      <c r="A45" s="1773"/>
      <c r="B45" s="1774"/>
      <c r="C45" s="1775"/>
      <c r="D45" s="1775"/>
      <c r="E45" s="1776"/>
      <c r="F45" s="1777" t="s">
        <v>716</v>
      </c>
      <c r="G45" s="1778"/>
      <c r="H45" s="1779">
        <v>0</v>
      </c>
      <c r="I45" s="1780"/>
      <c r="J45" s="1781">
        <v>0</v>
      </c>
      <c r="K45" s="1780"/>
      <c r="L45" s="1781">
        <v>0</v>
      </c>
      <c r="M45" s="1780"/>
      <c r="N45" s="1779">
        <v>0</v>
      </c>
      <c r="O45" s="1780"/>
      <c r="P45" s="1779">
        <v>0</v>
      </c>
      <c r="Q45" s="1780"/>
      <c r="R45" s="1779">
        <v>0</v>
      </c>
      <c r="S45" s="1780"/>
    </row>
    <row r="46" spans="1:19" x14ac:dyDescent="0.35">
      <c r="A46" s="1773"/>
      <c r="B46" s="1774"/>
      <c r="C46" s="1775"/>
      <c r="D46" s="1775"/>
      <c r="E46" s="1776"/>
      <c r="F46" s="1777" t="s">
        <v>717</v>
      </c>
      <c r="G46" s="1778"/>
      <c r="H46" s="1782"/>
      <c r="I46" s="1783">
        <f>H45*I44</f>
        <v>0</v>
      </c>
      <c r="J46" s="1782"/>
      <c r="K46" s="1783">
        <f>J45*K44</f>
        <v>0</v>
      </c>
      <c r="L46" s="1782"/>
      <c r="M46" s="1783">
        <f>L45*M44</f>
        <v>0</v>
      </c>
      <c r="N46" s="1782"/>
      <c r="O46" s="1783">
        <f>N45*O44</f>
        <v>0</v>
      </c>
      <c r="P46" s="1782"/>
      <c r="Q46" s="1783">
        <f>P45*Q44</f>
        <v>0</v>
      </c>
      <c r="R46" s="1782"/>
      <c r="S46" s="1783">
        <f>R45*S44</f>
        <v>0</v>
      </c>
    </row>
    <row r="47" spans="1:19" x14ac:dyDescent="0.35">
      <c r="A47" s="1773"/>
      <c r="B47" s="1774"/>
      <c r="C47" s="1775"/>
      <c r="D47" s="1775"/>
      <c r="E47" s="1776"/>
      <c r="F47" s="1777"/>
      <c r="G47" s="1778"/>
      <c r="H47" s="1782"/>
      <c r="I47" s="1784"/>
      <c r="J47" s="1782"/>
      <c r="K47" s="1784"/>
      <c r="L47" s="1782"/>
      <c r="M47" s="1784"/>
      <c r="N47" s="1782"/>
      <c r="O47" s="1784"/>
      <c r="P47" s="1782"/>
      <c r="Q47" s="1784"/>
      <c r="R47" s="1782"/>
      <c r="S47" s="1784"/>
    </row>
    <row r="48" spans="1:19" x14ac:dyDescent="0.35">
      <c r="A48" s="1773"/>
      <c r="B48" s="1774"/>
      <c r="C48" s="1775"/>
      <c r="D48" s="1775"/>
      <c r="E48" s="1776"/>
      <c r="F48" s="1777" t="s">
        <v>718</v>
      </c>
      <c r="G48" s="1778"/>
      <c r="H48" s="1785"/>
      <c r="I48" s="1786">
        <f>SUM(I44:I46)</f>
        <v>0</v>
      </c>
      <c r="J48" s="1785"/>
      <c r="K48" s="1786">
        <f>SUM(K44:K46)</f>
        <v>0</v>
      </c>
      <c r="L48" s="1785"/>
      <c r="M48" s="1786">
        <f>SUM(M44:M46)</f>
        <v>0</v>
      </c>
      <c r="N48" s="1785"/>
      <c r="O48" s="1786">
        <f>SUM(O44:O46)</f>
        <v>0</v>
      </c>
      <c r="P48" s="1785"/>
      <c r="Q48" s="1786">
        <f>SUM(Q44:Q46)</f>
        <v>0</v>
      </c>
      <c r="R48" s="1785"/>
      <c r="S48" s="1786">
        <f>SUM(S44:S46)</f>
        <v>0</v>
      </c>
    </row>
    <row r="49" spans="1:19" x14ac:dyDescent="0.35">
      <c r="A49" s="1773"/>
      <c r="B49" s="1774"/>
      <c r="C49" s="1775"/>
      <c r="D49" s="1775"/>
      <c r="E49" s="1776"/>
      <c r="F49" s="1787" t="s">
        <v>719</v>
      </c>
      <c r="G49" s="1788"/>
      <c r="H49" s="1789"/>
      <c r="I49" s="1790" t="e">
        <f>I48/#REF!</f>
        <v>#REF!</v>
      </c>
      <c r="J49" s="1789"/>
      <c r="K49" s="1790" t="e">
        <f>K48/#REF!</f>
        <v>#REF!</v>
      </c>
      <c r="L49" s="1789"/>
      <c r="M49" s="1790" t="e">
        <f>M48/#REF!</f>
        <v>#REF!</v>
      </c>
      <c r="N49" s="1789"/>
      <c r="O49" s="1790" t="e">
        <f>O48/#REF!</f>
        <v>#REF!</v>
      </c>
      <c r="P49" s="1789"/>
      <c r="Q49" s="1790" t="e">
        <f>Q48/#REF!</f>
        <v>#REF!</v>
      </c>
      <c r="R49" s="1789"/>
      <c r="S49" s="1790" t="e">
        <f>S48/#REF!</f>
        <v>#REF!</v>
      </c>
    </row>
    <row r="50" spans="1:19" x14ac:dyDescent="0.35">
      <c r="A50" s="1773"/>
      <c r="B50" s="1774"/>
      <c r="C50" s="1775"/>
      <c r="D50" s="1775"/>
      <c r="E50" s="1776"/>
      <c r="F50" s="1787" t="s">
        <v>720</v>
      </c>
      <c r="G50" s="1791"/>
      <c r="H50" s="1789"/>
      <c r="I50" s="1790" t="e">
        <f>I48/#REF!</f>
        <v>#REF!</v>
      </c>
      <c r="J50" s="1789"/>
      <c r="K50" s="1790" t="e">
        <f>K48/#REF!</f>
        <v>#REF!</v>
      </c>
      <c r="L50" s="1789"/>
      <c r="M50" s="1790" t="e">
        <f>M48/#REF!</f>
        <v>#REF!</v>
      </c>
      <c r="N50" s="1789"/>
      <c r="O50" s="1790" t="e">
        <f>O48/#REF!</f>
        <v>#REF!</v>
      </c>
      <c r="P50" s="1789"/>
      <c r="Q50" s="1790" t="e">
        <f>Q48/#REF!</f>
        <v>#REF!</v>
      </c>
      <c r="R50" s="1789"/>
      <c r="S50" s="1790" t="e">
        <f>S48/#REF!</f>
        <v>#REF!</v>
      </c>
    </row>
    <row r="51" spans="1:19" x14ac:dyDescent="0.35">
      <c r="A51" s="1773"/>
      <c r="B51" s="1774"/>
      <c r="C51" s="1775"/>
      <c r="D51" s="1775"/>
      <c r="E51" s="1776"/>
      <c r="F51" s="1777"/>
      <c r="G51" s="1792"/>
      <c r="H51" s="1793"/>
      <c r="I51" s="1794"/>
      <c r="J51" s="1795"/>
      <c r="K51" s="1795"/>
      <c r="L51" s="1795"/>
      <c r="M51" s="1795"/>
      <c r="N51" s="1795"/>
      <c r="O51" s="1796"/>
      <c r="P51" s="1795"/>
      <c r="Q51" s="1796"/>
      <c r="R51" s="1795"/>
      <c r="S51" s="1796"/>
    </row>
    <row r="52" spans="1:19" x14ac:dyDescent="0.35">
      <c r="A52" s="3764" t="s">
        <v>721</v>
      </c>
      <c r="B52" s="3765"/>
      <c r="C52" s="12"/>
      <c r="D52" s="12"/>
      <c r="E52" s="12"/>
      <c r="F52" s="12"/>
      <c r="G52" s="13"/>
      <c r="H52" s="21"/>
      <c r="I52" s="21"/>
      <c r="J52" s="21"/>
      <c r="K52" s="21"/>
      <c r="L52" s="21"/>
      <c r="M52" s="21"/>
      <c r="N52" s="21"/>
      <c r="O52" s="21"/>
      <c r="P52" s="21"/>
      <c r="Q52" s="21"/>
      <c r="R52" s="21"/>
      <c r="S52" s="21"/>
    </row>
    <row r="53" spans="1:19" x14ac:dyDescent="0.35">
      <c r="A53" s="1619"/>
      <c r="B53" s="1698"/>
      <c r="C53" s="1620"/>
      <c r="D53" s="1620"/>
      <c r="E53" s="1620"/>
      <c r="F53" s="1620"/>
      <c r="G53" s="1621"/>
      <c r="H53" s="1572"/>
      <c r="I53" s="1572"/>
      <c r="J53" s="1572"/>
      <c r="K53" s="1572"/>
      <c r="L53" s="1572"/>
      <c r="M53" s="1572"/>
      <c r="N53" s="1572"/>
      <c r="O53" s="1572"/>
      <c r="P53" s="1572"/>
      <c r="Q53" s="1572"/>
      <c r="R53" s="1572"/>
      <c r="S53" s="1572"/>
    </row>
    <row r="54" spans="1:19" x14ac:dyDescent="0.35">
      <c r="A54" s="1619"/>
      <c r="B54" s="1698"/>
      <c r="C54" s="1620"/>
      <c r="D54" s="1620"/>
      <c r="E54" s="1620"/>
      <c r="F54" s="1620"/>
      <c r="G54" s="1621"/>
      <c r="H54" s="1572"/>
      <c r="I54" s="1572"/>
      <c r="J54" s="1572"/>
      <c r="K54" s="1572"/>
      <c r="L54" s="1572"/>
      <c r="M54" s="1572"/>
      <c r="N54" s="1572"/>
      <c r="O54" s="1572"/>
      <c r="P54" s="1572"/>
      <c r="Q54" s="1572"/>
      <c r="R54" s="1572"/>
      <c r="S54" s="1572"/>
    </row>
    <row r="55" spans="1:19" x14ac:dyDescent="0.35">
      <c r="A55" s="1619"/>
      <c r="B55" s="1698"/>
      <c r="C55" s="1620"/>
      <c r="D55" s="1620"/>
      <c r="E55" s="1620"/>
      <c r="F55" s="1620"/>
      <c r="G55" s="1621"/>
      <c r="H55" s="1572"/>
      <c r="I55" s="1572"/>
      <c r="J55" s="1572"/>
      <c r="K55" s="1572"/>
      <c r="L55" s="1572"/>
      <c r="M55" s="1572"/>
      <c r="N55" s="1572"/>
      <c r="O55" s="1572"/>
      <c r="P55" s="1572"/>
      <c r="Q55" s="1572"/>
      <c r="R55" s="1572"/>
      <c r="S55" s="1572"/>
    </row>
    <row r="56" spans="1:19" s="2" customFormat="1" x14ac:dyDescent="0.35">
      <c r="A56" s="3764" t="s">
        <v>722</v>
      </c>
      <c r="B56" s="3765"/>
      <c r="C56" s="12"/>
      <c r="D56" s="12"/>
      <c r="E56" s="12"/>
      <c r="F56" s="12"/>
      <c r="G56" s="13"/>
      <c r="H56" s="21"/>
      <c r="I56" s="21"/>
      <c r="J56" s="21"/>
      <c r="K56" s="21"/>
      <c r="L56" s="21"/>
      <c r="M56" s="21"/>
      <c r="N56" s="21"/>
      <c r="O56" s="21"/>
      <c r="P56" s="21"/>
      <c r="Q56" s="21"/>
      <c r="R56" s="21"/>
      <c r="S56" s="21"/>
    </row>
    <row r="57" spans="1:19" s="2" customFormat="1" x14ac:dyDescent="0.35">
      <c r="A57" s="1619"/>
      <c r="B57" s="1698"/>
      <c r="C57" s="1620"/>
      <c r="D57" s="1620"/>
      <c r="E57" s="1620"/>
      <c r="F57" s="1620"/>
      <c r="G57" s="1621"/>
      <c r="H57" s="1572"/>
      <c r="I57" s="1572"/>
      <c r="J57" s="1572"/>
      <c r="K57" s="1572"/>
      <c r="L57" s="1572"/>
      <c r="M57" s="1572"/>
      <c r="N57" s="1572"/>
      <c r="O57" s="1572"/>
      <c r="P57" s="1572"/>
      <c r="Q57" s="1572"/>
      <c r="R57" s="1572"/>
      <c r="S57" s="1572"/>
    </row>
    <row r="58" spans="1:19" s="2" customFormat="1" x14ac:dyDescent="0.35">
      <c r="A58" s="1619"/>
      <c r="B58" s="1698"/>
      <c r="C58" s="1620"/>
      <c r="D58" s="1620"/>
      <c r="E58" s="1620"/>
      <c r="F58" s="1620"/>
      <c r="G58" s="1621"/>
      <c r="H58" s="1572"/>
      <c r="I58" s="1572"/>
      <c r="J58" s="1572"/>
      <c r="K58" s="1572"/>
      <c r="L58" s="1572"/>
      <c r="M58" s="1572"/>
      <c r="N58" s="1572"/>
      <c r="O58" s="1572"/>
      <c r="P58" s="1572"/>
      <c r="Q58" s="1572"/>
      <c r="R58" s="1572"/>
      <c r="S58" s="1572"/>
    </row>
    <row r="59" spans="1:19" x14ac:dyDescent="0.35">
      <c r="A59" s="1619"/>
      <c r="B59" s="1698"/>
      <c r="C59" s="1620"/>
      <c r="D59" s="1620"/>
      <c r="E59" s="1620"/>
      <c r="F59" s="1620"/>
      <c r="G59" s="1621"/>
      <c r="H59" s="1572"/>
      <c r="I59" s="1572"/>
      <c r="J59" s="1572"/>
      <c r="K59" s="1572"/>
      <c r="L59" s="1572"/>
      <c r="M59" s="1572"/>
      <c r="N59" s="1572"/>
      <c r="O59" s="1572"/>
      <c r="P59" s="1572"/>
      <c r="Q59" s="1572"/>
      <c r="R59" s="1572"/>
      <c r="S59" s="1572"/>
    </row>
    <row r="60" spans="1:19" s="2" customFormat="1" x14ac:dyDescent="0.35">
      <c r="A60" s="3764" t="s">
        <v>723</v>
      </c>
      <c r="B60" s="3765"/>
      <c r="C60" s="12"/>
      <c r="D60" s="12"/>
      <c r="E60" s="12"/>
      <c r="F60" s="12"/>
      <c r="G60" s="13"/>
      <c r="H60" s="21"/>
      <c r="I60" s="21"/>
      <c r="J60" s="21"/>
      <c r="K60" s="21"/>
      <c r="L60" s="21"/>
      <c r="M60" s="21"/>
      <c r="N60" s="21"/>
      <c r="O60" s="21"/>
      <c r="P60" s="21"/>
      <c r="Q60" s="21"/>
      <c r="R60" s="21"/>
      <c r="S60" s="21"/>
    </row>
    <row r="61" spans="1:19" s="2" customFormat="1" x14ac:dyDescent="0.35">
      <c r="A61" s="1619"/>
      <c r="B61" s="1698"/>
      <c r="C61" s="1620"/>
      <c r="D61" s="1620"/>
      <c r="E61" s="1620"/>
      <c r="F61" s="1620"/>
      <c r="G61" s="1621"/>
      <c r="H61" s="1572"/>
      <c r="I61" s="1572"/>
      <c r="J61" s="1572"/>
      <c r="K61" s="1572"/>
      <c r="L61" s="1572"/>
      <c r="M61" s="1572"/>
      <c r="N61" s="1572"/>
      <c r="O61" s="1572"/>
      <c r="P61" s="1572"/>
      <c r="Q61" s="1572"/>
      <c r="R61" s="1572"/>
      <c r="S61" s="1572"/>
    </row>
    <row r="62" spans="1:19" s="2" customFormat="1" x14ac:dyDescent="0.35">
      <c r="A62" s="1703"/>
      <c r="B62" s="1698"/>
      <c r="C62" s="1699"/>
      <c r="D62" s="1699"/>
      <c r="E62" s="1699"/>
      <c r="F62" s="1699"/>
      <c r="G62" s="646"/>
      <c r="H62" s="973"/>
      <c r="I62" s="973"/>
      <c r="J62" s="973"/>
      <c r="K62" s="973"/>
      <c r="L62" s="973"/>
      <c r="M62" s="973"/>
      <c r="N62" s="973"/>
      <c r="O62" s="973"/>
      <c r="P62" s="973"/>
      <c r="Q62" s="973"/>
      <c r="R62" s="973"/>
      <c r="S62" s="973"/>
    </row>
    <row r="63" spans="1:19" s="2" customFormat="1" x14ac:dyDescent="0.35">
      <c r="A63" s="1416"/>
      <c r="B63" s="1417"/>
      <c r="C63" s="1699"/>
      <c r="D63" s="1699"/>
      <c r="E63" s="1699"/>
      <c r="F63" s="1699"/>
      <c r="G63" s="646"/>
      <c r="H63" s="974"/>
      <c r="I63" s="974"/>
      <c r="J63" s="974"/>
      <c r="K63" s="974"/>
      <c r="L63" s="974"/>
      <c r="M63" s="974"/>
      <c r="N63" s="974"/>
      <c r="O63" s="974"/>
      <c r="P63" s="974"/>
      <c r="Q63" s="974"/>
      <c r="R63" s="974"/>
      <c r="S63" s="974"/>
    </row>
    <row r="64" spans="1:19" s="2" customFormat="1" x14ac:dyDescent="0.35">
      <c r="A64" s="3764" t="s">
        <v>724</v>
      </c>
      <c r="B64" s="3765"/>
      <c r="C64" s="12"/>
      <c r="D64" s="12"/>
      <c r="E64" s="12"/>
      <c r="F64" s="12"/>
      <c r="G64" s="13"/>
      <c r="H64" s="21"/>
      <c r="I64" s="21"/>
      <c r="J64" s="21"/>
      <c r="K64" s="21"/>
      <c r="L64" s="21"/>
      <c r="M64" s="21"/>
      <c r="N64" s="21"/>
      <c r="O64" s="21"/>
      <c r="P64" s="21"/>
      <c r="Q64" s="21"/>
      <c r="R64" s="21"/>
      <c r="S64" s="21"/>
    </row>
    <row r="65" spans="1:19" x14ac:dyDescent="0.35">
      <c r="A65" s="1623"/>
      <c r="B65" s="1624"/>
      <c r="C65" s="1620"/>
      <c r="D65" s="1620"/>
      <c r="E65" s="1620"/>
      <c r="F65" s="1620"/>
      <c r="G65" s="1621"/>
      <c r="H65" s="1572"/>
      <c r="I65" s="1572"/>
      <c r="J65" s="1572"/>
      <c r="K65" s="1572"/>
      <c r="L65" s="1572"/>
      <c r="M65" s="1572"/>
      <c r="N65" s="1572"/>
      <c r="O65" s="1572"/>
      <c r="P65" s="1572"/>
      <c r="Q65" s="1572"/>
      <c r="R65" s="1572"/>
      <c r="S65" s="1572"/>
    </row>
    <row r="66" spans="1:19" x14ac:dyDescent="0.35">
      <c r="A66" s="1416"/>
      <c r="B66" s="1417"/>
      <c r="C66" s="1699"/>
      <c r="D66" s="1699"/>
      <c r="E66" s="1699"/>
      <c r="F66" s="1699"/>
      <c r="G66" s="646"/>
      <c r="H66" s="977"/>
      <c r="I66" s="977"/>
      <c r="J66" s="977"/>
      <c r="K66" s="977"/>
      <c r="L66" s="977"/>
      <c r="M66" s="977"/>
      <c r="N66" s="977"/>
      <c r="O66" s="977"/>
      <c r="P66" s="977"/>
      <c r="Q66" s="977"/>
      <c r="R66" s="977"/>
      <c r="S66" s="977"/>
    </row>
    <row r="67" spans="1:19" x14ac:dyDescent="0.35">
      <c r="A67" s="1416"/>
      <c r="B67" s="1417"/>
      <c r="C67" s="1699"/>
      <c r="D67" s="1699"/>
      <c r="E67" s="1699"/>
      <c r="F67" s="1699"/>
      <c r="G67" s="646"/>
      <c r="H67" s="977"/>
      <c r="I67" s="977"/>
      <c r="J67" s="977"/>
      <c r="K67" s="977"/>
      <c r="L67" s="977"/>
      <c r="M67" s="977"/>
      <c r="N67" s="977"/>
      <c r="O67" s="977"/>
      <c r="P67" s="977"/>
      <c r="Q67" s="977"/>
      <c r="R67" s="977"/>
      <c r="S67" s="977"/>
    </row>
    <row r="68" spans="1:19" x14ac:dyDescent="0.35">
      <c r="A68" s="3764" t="s">
        <v>725</v>
      </c>
      <c r="B68" s="3765"/>
      <c r="C68" s="12"/>
      <c r="D68" s="12"/>
      <c r="E68" s="12"/>
      <c r="F68" s="12"/>
      <c r="G68" s="13"/>
      <c r="H68" s="21"/>
      <c r="I68" s="21"/>
      <c r="J68" s="21"/>
      <c r="K68" s="21"/>
      <c r="L68" s="21"/>
      <c r="M68" s="21"/>
      <c r="N68" s="21"/>
      <c r="O68" s="21"/>
      <c r="P68" s="21"/>
      <c r="Q68" s="21"/>
      <c r="R68" s="21"/>
      <c r="S68" s="21"/>
    </row>
    <row r="69" spans="1:19" x14ac:dyDescent="0.35">
      <c r="A69" s="1703"/>
      <c r="B69" s="1698" t="s">
        <v>726</v>
      </c>
      <c r="C69" s="1699"/>
      <c r="D69" s="1699"/>
      <c r="E69" s="1699"/>
      <c r="F69" s="1699"/>
      <c r="G69" s="646"/>
      <c r="H69" s="977"/>
      <c r="I69" s="977"/>
      <c r="J69" s="977"/>
      <c r="K69" s="977"/>
      <c r="L69" s="977"/>
      <c r="M69" s="977"/>
      <c r="N69" s="977"/>
      <c r="O69" s="977"/>
      <c r="P69" s="977"/>
      <c r="Q69" s="977"/>
      <c r="R69" s="977"/>
      <c r="S69" s="977"/>
    </row>
    <row r="70" spans="1:19" x14ac:dyDescent="0.35">
      <c r="A70" s="1703"/>
      <c r="B70" s="1698" t="s">
        <v>727</v>
      </c>
      <c r="C70" s="1699"/>
      <c r="D70" s="1699"/>
      <c r="E70" s="1699"/>
      <c r="F70" s="1699"/>
      <c r="G70" s="646"/>
      <c r="H70" s="977"/>
      <c r="I70" s="977"/>
      <c r="J70" s="977"/>
      <c r="K70" s="977"/>
      <c r="L70" s="977"/>
      <c r="M70" s="977"/>
      <c r="N70" s="977"/>
      <c r="O70" s="977"/>
      <c r="P70" s="977"/>
      <c r="Q70" s="977"/>
      <c r="R70" s="977"/>
      <c r="S70" s="977"/>
    </row>
    <row r="71" spans="1:19" x14ac:dyDescent="0.35">
      <c r="A71" s="1703"/>
      <c r="B71" s="1698" t="s">
        <v>728</v>
      </c>
      <c r="C71" s="1699"/>
      <c r="D71" s="1699"/>
      <c r="E71" s="1699"/>
      <c r="F71" s="1699"/>
      <c r="G71" s="646"/>
      <c r="H71" s="977"/>
      <c r="I71" s="977"/>
      <c r="J71" s="977"/>
      <c r="K71" s="977"/>
      <c r="L71" s="977"/>
      <c r="M71" s="977"/>
      <c r="N71" s="977"/>
      <c r="O71" s="977"/>
      <c r="P71" s="977"/>
      <c r="Q71" s="977"/>
      <c r="R71" s="977"/>
      <c r="S71" s="977"/>
    </row>
    <row r="72" spans="1:19" x14ac:dyDescent="0.35">
      <c r="A72" s="1703"/>
      <c r="B72" s="1698" t="s">
        <v>729</v>
      </c>
      <c r="C72" s="1699"/>
      <c r="D72" s="1699"/>
      <c r="E72" s="1699"/>
      <c r="F72" s="1699"/>
      <c r="G72" s="646"/>
      <c r="H72" s="977"/>
      <c r="I72" s="977"/>
      <c r="J72" s="977"/>
      <c r="K72" s="977"/>
      <c r="L72" s="977"/>
      <c r="M72" s="977"/>
      <c r="N72" s="977"/>
      <c r="O72" s="977"/>
      <c r="P72" s="977"/>
      <c r="Q72" s="977"/>
      <c r="R72" s="977"/>
      <c r="S72" s="977"/>
    </row>
    <row r="73" spans="1:19" x14ac:dyDescent="0.35">
      <c r="A73" s="978"/>
      <c r="B73" s="939"/>
      <c r="C73" s="940"/>
      <c r="D73" s="940"/>
      <c r="E73" s="940"/>
      <c r="F73" s="940"/>
      <c r="G73" s="1039"/>
      <c r="H73" s="981"/>
      <c r="I73" s="981"/>
      <c r="J73" s="981"/>
      <c r="K73" s="981"/>
      <c r="L73" s="981"/>
      <c r="M73" s="981"/>
      <c r="N73" s="981"/>
      <c r="O73" s="981"/>
      <c r="P73" s="981"/>
      <c r="Q73" s="981"/>
      <c r="R73" s="981"/>
      <c r="S73" s="981"/>
    </row>
    <row r="74" spans="1:19" x14ac:dyDescent="0.35">
      <c r="A74" s="7" t="s">
        <v>730</v>
      </c>
      <c r="B74" s="8"/>
      <c r="C74" s="12"/>
      <c r="D74" s="12"/>
      <c r="E74" s="12"/>
      <c r="F74" s="12"/>
      <c r="G74" s="13"/>
      <c r="H74" s="21"/>
      <c r="I74" s="21"/>
      <c r="J74" s="21"/>
      <c r="K74" s="21"/>
      <c r="L74" s="21"/>
      <c r="M74" s="21"/>
      <c r="N74" s="21"/>
      <c r="O74" s="21"/>
      <c r="P74" s="21"/>
      <c r="Q74" s="21"/>
      <c r="R74" s="21"/>
      <c r="S74" s="21"/>
    </row>
    <row r="75" spans="1:19" x14ac:dyDescent="0.35">
      <c r="A75" s="1619"/>
      <c r="B75" s="1625" t="s">
        <v>731</v>
      </c>
      <c r="C75" s="1620"/>
      <c r="D75" s="1620"/>
      <c r="E75" s="1620"/>
      <c r="F75" s="1620"/>
      <c r="G75" s="1621"/>
      <c r="H75" s="1576"/>
      <c r="I75" s="1576"/>
      <c r="J75" s="1576"/>
      <c r="K75" s="1576"/>
      <c r="L75" s="1576"/>
      <c r="M75" s="1576"/>
      <c r="N75" s="1576"/>
      <c r="O75" s="1576"/>
      <c r="P75" s="1576"/>
      <c r="Q75" s="1576"/>
      <c r="R75" s="1576"/>
      <c r="S75" s="1576"/>
    </row>
    <row r="76" spans="1:19" x14ac:dyDescent="0.35">
      <c r="A76" s="1703"/>
      <c r="B76" s="1698" t="s">
        <v>732</v>
      </c>
      <c r="C76" s="1699"/>
      <c r="D76" s="1699"/>
      <c r="E76" s="1699"/>
      <c r="F76" s="1699"/>
      <c r="G76" s="646"/>
      <c r="H76" s="1684"/>
      <c r="I76" s="1684"/>
      <c r="J76" s="1684"/>
      <c r="K76" s="1684"/>
      <c r="L76" s="1684"/>
      <c r="M76" s="1684"/>
      <c r="N76" s="1684"/>
      <c r="O76" s="1684"/>
      <c r="P76" s="1684"/>
      <c r="Q76" s="1684"/>
      <c r="R76" s="1684"/>
      <c r="S76" s="1684"/>
    </row>
    <row r="77" spans="1:19" x14ac:dyDescent="0.35">
      <c r="A77" s="985"/>
      <c r="B77" s="986" t="s">
        <v>733</v>
      </c>
      <c r="C77" s="987"/>
      <c r="D77" s="987"/>
      <c r="E77" s="987"/>
      <c r="F77" s="987"/>
      <c r="G77" s="1040"/>
      <c r="H77" s="990"/>
      <c r="I77" s="990"/>
      <c r="J77" s="990"/>
      <c r="K77" s="990"/>
      <c r="L77" s="990"/>
      <c r="M77" s="990"/>
      <c r="N77" s="990"/>
      <c r="O77" s="990"/>
      <c r="P77" s="990"/>
      <c r="Q77" s="990"/>
      <c r="R77" s="990"/>
      <c r="S77" s="990"/>
    </row>
    <row r="79" spans="1:19" x14ac:dyDescent="0.35">
      <c r="A79" s="78" t="s">
        <v>734</v>
      </c>
      <c r="B79" s="80"/>
    </row>
    <row r="80" spans="1:19" x14ac:dyDescent="0.35">
      <c r="A80" s="79" t="s">
        <v>632</v>
      </c>
      <c r="B80" s="80"/>
    </row>
    <row r="81" spans="1:2" x14ac:dyDescent="0.35">
      <c r="A81" s="1465" t="s">
        <v>636</v>
      </c>
      <c r="B81" s="991"/>
    </row>
    <row r="82" spans="1:2" x14ac:dyDescent="0.35">
      <c r="A82" s="992" t="s">
        <v>639</v>
      </c>
      <c r="B82" s="993"/>
    </row>
    <row r="83" spans="1:2" x14ac:dyDescent="0.35">
      <c r="A83" s="992" t="s">
        <v>642</v>
      </c>
      <c r="B83" s="994"/>
    </row>
    <row r="84" spans="1:2" x14ac:dyDescent="0.35">
      <c r="A84" s="995" t="s">
        <v>735</v>
      </c>
      <c r="B84" s="996"/>
    </row>
    <row r="86" spans="1:2" x14ac:dyDescent="0.35">
      <c r="A86" s="81"/>
      <c r="B86" s="1" t="s">
        <v>736</v>
      </c>
    </row>
    <row r="87" spans="1:2" x14ac:dyDescent="0.35">
      <c r="A87" s="82"/>
      <c r="B87" s="1" t="s">
        <v>737</v>
      </c>
    </row>
  </sheetData>
  <mergeCells count="47">
    <mergeCell ref="A52:B52"/>
    <mergeCell ref="A56:B56"/>
    <mergeCell ref="A60:B60"/>
    <mergeCell ref="A64:B64"/>
    <mergeCell ref="A68:B6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869" priority="3" operator="equal">
      <formula>"X"</formula>
    </cfRule>
    <cfRule type="cellIs" dxfId="1868" priority="4" operator="equal">
      <formula>"I"</formula>
    </cfRule>
  </conditionalFormatting>
  <conditionalFormatting sqref="H32:H43">
    <cfRule type="cellIs" dxfId="1867" priority="1" operator="equal">
      <formula>"X"</formula>
    </cfRule>
    <cfRule type="cellIs" dxfId="1866" priority="2" operator="equal">
      <formula>"I"</formula>
    </cfRule>
  </conditionalFormatting>
  <conditionalFormatting sqref="J20:J30">
    <cfRule type="cellIs" dxfId="1865" priority="7" operator="equal">
      <formula>"X"</formula>
    </cfRule>
    <cfRule type="cellIs" dxfId="1864" priority="8" operator="equal">
      <formula>"I"</formula>
    </cfRule>
  </conditionalFormatting>
  <conditionalFormatting sqref="J32:J43">
    <cfRule type="cellIs" dxfId="1863" priority="5" operator="equal">
      <formula>"X"</formula>
    </cfRule>
    <cfRule type="cellIs" dxfId="1862" priority="6" operator="equal">
      <formula>"I"</formula>
    </cfRule>
  </conditionalFormatting>
  <conditionalFormatting sqref="L20:L30">
    <cfRule type="cellIs" dxfId="1861" priority="11" operator="equal">
      <formula>"X"</formula>
    </cfRule>
    <cfRule type="cellIs" dxfId="1860" priority="12" operator="equal">
      <formula>"I"</formula>
    </cfRule>
  </conditionalFormatting>
  <conditionalFormatting sqref="L32:L43">
    <cfRule type="cellIs" dxfId="1859" priority="9" operator="equal">
      <formula>"X"</formula>
    </cfRule>
    <cfRule type="cellIs" dxfId="1858" priority="10" operator="equal">
      <formula>"I"</formula>
    </cfRule>
  </conditionalFormatting>
  <conditionalFormatting sqref="N20:N30">
    <cfRule type="cellIs" dxfId="1857" priority="15" operator="equal">
      <formula>"X"</formula>
    </cfRule>
    <cfRule type="cellIs" dxfId="1856" priority="16" operator="equal">
      <formula>"I"</formula>
    </cfRule>
  </conditionalFormatting>
  <conditionalFormatting sqref="N32:N43">
    <cfRule type="cellIs" dxfId="1855" priority="13" operator="equal">
      <formula>"X"</formula>
    </cfRule>
    <cfRule type="cellIs" dxfId="1854" priority="14" operator="equal">
      <formula>"I"</formula>
    </cfRule>
  </conditionalFormatting>
  <conditionalFormatting sqref="P20:P30">
    <cfRule type="cellIs" dxfId="1853" priority="19" operator="equal">
      <formula>"X"</formula>
    </cfRule>
    <cfRule type="cellIs" dxfId="1852" priority="20" operator="equal">
      <formula>"I"</formula>
    </cfRule>
  </conditionalFormatting>
  <conditionalFormatting sqref="P32:P43">
    <cfRule type="cellIs" dxfId="1851" priority="17" operator="equal">
      <formula>"X"</formula>
    </cfRule>
    <cfRule type="cellIs" dxfId="1850" priority="18" operator="equal">
      <formula>"I"</formula>
    </cfRule>
  </conditionalFormatting>
  <conditionalFormatting sqref="R20:R30">
    <cfRule type="cellIs" dxfId="1849" priority="23" operator="equal">
      <formula>"X"</formula>
    </cfRule>
    <cfRule type="cellIs" dxfId="1848" priority="24" operator="equal">
      <formula>"I"</formula>
    </cfRule>
  </conditionalFormatting>
  <conditionalFormatting sqref="R32:R43">
    <cfRule type="cellIs" dxfId="1847" priority="21" operator="equal">
      <formula>"X"</formula>
    </cfRule>
    <cfRule type="cellIs" dxfId="1846" priority="22" operator="equal">
      <formula>"I"</formula>
    </cfRule>
  </conditionalFormatting>
  <hyperlinks>
    <hyperlink ref="B3" location="'Cost Summary'!A1" display="BACK TO SUMMARY SHEET" xr:uid="{21B3B895-A42F-47AF-B70D-C0309CF7E5D9}"/>
  </hyperlink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F009-3979-4E06-A7EA-C7D0DDF848F1}">
  <sheetPr>
    <tabColor rgb="FFFFC000"/>
  </sheetPr>
  <dimension ref="A1:U96"/>
  <sheetViews>
    <sheetView zoomScale="85" zoomScaleNormal="85" workbookViewId="0">
      <pane xSplit="2" ySplit="13" topLeftCell="C42" activePane="bottomRight" state="frozen"/>
      <selection pane="topRight" activeCell="C1" sqref="C1"/>
      <selection pane="bottomLeft" activeCell="A11" sqref="A11"/>
      <selection pane="bottomRight" activeCell="O49" sqref="O49"/>
    </sheetView>
  </sheetViews>
  <sheetFormatPr defaultRowHeight="14.5" x14ac:dyDescent="0.35"/>
  <cols>
    <col min="1" max="1" width="11" customWidth="1"/>
    <col min="2" max="2" width="72.1796875" style="1" bestFit="1" customWidth="1"/>
    <col min="3" max="3" width="10.81640625" style="2" bestFit="1" customWidth="1"/>
    <col min="4" max="5" width="7.54296875" style="2" customWidth="1"/>
    <col min="6" max="6" width="9.7265625" style="2" customWidth="1"/>
    <col min="7" max="7" width="22.54296875" style="2" customWidth="1"/>
    <col min="8" max="8" width="6.7265625" style="2" customWidth="1"/>
    <col min="9" max="9" width="16.54296875" style="2" customWidth="1"/>
    <col min="10" max="10" width="7.453125" style="2" bestFit="1" customWidth="1"/>
    <col min="11" max="11" width="14.81640625" style="2" customWidth="1"/>
    <col min="12" max="12" width="7" style="2" customWidth="1"/>
    <col min="13" max="13" width="13.81640625" style="2" customWidth="1"/>
    <col min="14" max="14" width="7.453125" style="2" customWidth="1"/>
    <col min="15" max="15" width="12.26953125" style="2" customWidth="1"/>
    <col min="16" max="16" width="6.7265625" style="2" customWidth="1"/>
    <col min="17" max="17" width="13.81640625" style="2" customWidth="1"/>
    <col min="18" max="18" width="7" style="2" hidden="1" customWidth="1"/>
    <col min="19" max="19" width="13.81640625" style="2" hidden="1" customWidth="1"/>
    <col min="20" max="20" width="8.54296875" style="2" customWidth="1"/>
    <col min="21" max="21" width="13.81640625" style="2" customWidth="1"/>
  </cols>
  <sheetData>
    <row r="1" spans="1:21" x14ac:dyDescent="0.35">
      <c r="E1" s="152"/>
      <c r="F1" s="125"/>
      <c r="G1" s="123" t="s">
        <v>621</v>
      </c>
      <c r="H1" s="3874" t="s">
        <v>2195</v>
      </c>
      <c r="I1" s="3874"/>
      <c r="L1" s="3785" t="s">
        <v>4325</v>
      </c>
      <c r="M1" s="3785"/>
    </row>
    <row r="2" spans="1:21" ht="15" thickBot="1" x14ac:dyDescent="0.4">
      <c r="E2" s="152"/>
      <c r="F2" s="122" t="s">
        <v>622</v>
      </c>
      <c r="G2" s="123" t="s">
        <v>451</v>
      </c>
      <c r="H2" s="3895" t="s">
        <v>1141</v>
      </c>
      <c r="I2" s="3895"/>
      <c r="J2" s="3897" t="s">
        <v>1141</v>
      </c>
      <c r="K2" s="3897"/>
      <c r="L2" s="3897" t="s">
        <v>1141</v>
      </c>
      <c r="M2" s="3897"/>
      <c r="N2" s="3866" t="s">
        <v>2196</v>
      </c>
      <c r="O2" s="3866"/>
      <c r="P2" s="3895" t="s">
        <v>1141</v>
      </c>
      <c r="Q2" s="3895"/>
      <c r="R2" s="3897" t="s">
        <v>1141</v>
      </c>
      <c r="S2" s="3897"/>
      <c r="T2" s="3751"/>
      <c r="U2" s="3751"/>
    </row>
    <row r="3" spans="1:21" ht="20" thickBot="1" x14ac:dyDescent="0.4">
      <c r="B3" s="137" t="s">
        <v>623</v>
      </c>
      <c r="E3" s="152"/>
      <c r="F3" s="124" t="s">
        <v>624</v>
      </c>
      <c r="G3" s="123" t="s">
        <v>557</v>
      </c>
      <c r="H3" s="3754" t="s">
        <v>625</v>
      </c>
      <c r="I3" s="3755"/>
      <c r="J3" s="3754" t="s">
        <v>626</v>
      </c>
      <c r="K3" s="3755"/>
      <c r="L3" s="3754" t="s">
        <v>627</v>
      </c>
      <c r="M3" s="3755"/>
      <c r="N3" s="3823" t="s">
        <v>628</v>
      </c>
      <c r="O3" s="3824"/>
      <c r="P3" s="3754" t="s">
        <v>772</v>
      </c>
      <c r="Q3" s="3755"/>
      <c r="R3" s="3754" t="s">
        <v>628</v>
      </c>
      <c r="S3" s="3755"/>
      <c r="T3" s="3754" t="s">
        <v>773</v>
      </c>
      <c r="U3" s="3755"/>
    </row>
    <row r="4" spans="1:21" ht="15.75" customHeight="1" thickTop="1" x14ac:dyDescent="0.35">
      <c r="A4" s="3" t="s">
        <v>631</v>
      </c>
      <c r="B4" s="4" t="str">
        <f>'AREA CALC''s'!B4</f>
        <v>Alton Hilltop Gardens</v>
      </c>
      <c r="C4" s="5"/>
      <c r="D4" s="5"/>
      <c r="E4" s="5"/>
      <c r="F4" s="5"/>
      <c r="G4" s="6" t="s">
        <v>632</v>
      </c>
      <c r="H4" s="3898" t="s">
        <v>2197</v>
      </c>
      <c r="I4" s="3898"/>
      <c r="J4" s="3752" t="s">
        <v>1554</v>
      </c>
      <c r="K4" s="3753"/>
      <c r="L4" s="3898" t="s">
        <v>2200</v>
      </c>
      <c r="M4" s="3898"/>
      <c r="N4" s="3898" t="s">
        <v>2198</v>
      </c>
      <c r="O4" s="3898"/>
      <c r="P4" s="3752" t="s">
        <v>1334</v>
      </c>
      <c r="Q4" s="3753"/>
      <c r="R4" s="3898" t="s">
        <v>2199</v>
      </c>
      <c r="S4" s="3898"/>
      <c r="T4" s="3898" t="s">
        <v>2201</v>
      </c>
      <c r="U4" s="3898"/>
    </row>
    <row r="5" spans="1:21" x14ac:dyDescent="0.35">
      <c r="A5" s="1421" t="s">
        <v>634</v>
      </c>
      <c r="B5" s="1422" t="s">
        <v>503</v>
      </c>
      <c r="C5" s="1423"/>
      <c r="D5" s="1423"/>
      <c r="E5" s="1423"/>
      <c r="F5" s="1423"/>
      <c r="G5" s="643" t="s">
        <v>636</v>
      </c>
      <c r="H5" s="3899" t="s">
        <v>2202</v>
      </c>
      <c r="I5" s="3899"/>
      <c r="J5" s="3851" t="s">
        <v>1706</v>
      </c>
      <c r="K5" s="3759"/>
      <c r="L5" s="3899" t="s">
        <v>2204</v>
      </c>
      <c r="M5" s="3899"/>
      <c r="N5" s="3899" t="s">
        <v>2203</v>
      </c>
      <c r="O5" s="3899"/>
      <c r="P5" s="3851" t="s">
        <v>1342</v>
      </c>
      <c r="Q5" s="3759"/>
      <c r="R5" s="3899" t="s">
        <v>1343</v>
      </c>
      <c r="S5" s="3899"/>
      <c r="T5" s="3899" t="s">
        <v>2205</v>
      </c>
      <c r="U5" s="3899"/>
    </row>
    <row r="6" spans="1:21" x14ac:dyDescent="0.35">
      <c r="A6" s="1421" t="s">
        <v>638</v>
      </c>
      <c r="B6" s="1424" t="s">
        <v>502</v>
      </c>
      <c r="C6" s="1423"/>
      <c r="D6" s="1423"/>
      <c r="E6" s="1423"/>
      <c r="F6" s="1423"/>
      <c r="G6" s="643" t="s">
        <v>639</v>
      </c>
      <c r="H6" s="3900" t="s">
        <v>2206</v>
      </c>
      <c r="I6" s="3900"/>
      <c r="J6" s="3852" t="s">
        <v>1718</v>
      </c>
      <c r="K6" s="3757"/>
      <c r="L6" s="3900" t="s">
        <v>2209</v>
      </c>
      <c r="M6" s="3900"/>
      <c r="N6" s="3900" t="s">
        <v>2207</v>
      </c>
      <c r="O6" s="3900"/>
      <c r="P6" s="3852" t="s">
        <v>1348</v>
      </c>
      <c r="Q6" s="3757"/>
      <c r="R6" s="3900" t="s">
        <v>2208</v>
      </c>
      <c r="S6" s="3900"/>
      <c r="T6" s="3900" t="s">
        <v>2210</v>
      </c>
      <c r="U6" s="3900"/>
    </row>
    <row r="7" spans="1:21" x14ac:dyDescent="0.35">
      <c r="A7" s="1421" t="s">
        <v>641</v>
      </c>
      <c r="B7" s="1425"/>
      <c r="C7" s="1423"/>
      <c r="D7" s="1423"/>
      <c r="E7" s="1423"/>
      <c r="F7" s="1423"/>
      <c r="G7" s="643" t="s">
        <v>642</v>
      </c>
      <c r="H7" s="3901" t="s">
        <v>2211</v>
      </c>
      <c r="I7" s="3901"/>
      <c r="J7" s="3853" t="s">
        <v>1730</v>
      </c>
      <c r="K7" s="3854"/>
      <c r="L7" s="3901" t="s">
        <v>2214</v>
      </c>
      <c r="M7" s="3901"/>
      <c r="N7" s="3901" t="s">
        <v>2212</v>
      </c>
      <c r="O7" s="3901"/>
      <c r="P7" s="3855" t="s">
        <v>1354</v>
      </c>
      <c r="Q7" s="3820"/>
      <c r="R7" s="3901" t="s">
        <v>2213</v>
      </c>
      <c r="S7" s="3901"/>
      <c r="T7" s="3901" t="s">
        <v>2215</v>
      </c>
      <c r="U7" s="3901"/>
    </row>
    <row r="8" spans="1:21" ht="15.75" customHeight="1" thickBot="1" x14ac:dyDescent="0.4">
      <c r="A8" s="938" t="s">
        <v>644</v>
      </c>
      <c r="B8" s="939"/>
      <c r="C8" s="940"/>
      <c r="D8" s="940"/>
      <c r="E8" s="940"/>
      <c r="F8" s="940"/>
      <c r="G8" s="1024" t="s">
        <v>644</v>
      </c>
      <c r="H8" s="3760">
        <f>I57</f>
        <v>143000</v>
      </c>
      <c r="I8" s="3761"/>
      <c r="J8" s="3760">
        <f>K57</f>
        <v>148600</v>
      </c>
      <c r="K8" s="3761"/>
      <c r="L8" s="3760">
        <f>M57</f>
        <v>168740</v>
      </c>
      <c r="M8" s="3761"/>
      <c r="N8" s="3760">
        <f>O57</f>
        <v>229579.01879999999</v>
      </c>
      <c r="O8" s="3761"/>
      <c r="P8" s="3760">
        <f>Q57</f>
        <v>226035</v>
      </c>
      <c r="Q8" s="3761"/>
      <c r="R8" s="3760">
        <f>S57</f>
        <v>159452</v>
      </c>
      <c r="S8" s="3761"/>
      <c r="T8" s="3760">
        <f>U57</f>
        <v>342933</v>
      </c>
      <c r="U8" s="3761"/>
    </row>
    <row r="9" spans="1:21" ht="15.75" hidden="1" customHeight="1" x14ac:dyDescent="0.35">
      <c r="A9" s="558"/>
      <c r="B9" s="44"/>
      <c r="C9" s="46"/>
      <c r="D9" s="46"/>
      <c r="E9" s="46"/>
      <c r="F9" s="46"/>
      <c r="G9" s="559" t="s">
        <v>2216</v>
      </c>
      <c r="H9" s="3902">
        <f>'10C Toilet Partitions &amp; Bath'!H8</f>
        <v>317675.48</v>
      </c>
      <c r="I9" s="3903"/>
      <c r="J9" s="560"/>
      <c r="K9" s="561"/>
      <c r="L9" s="560"/>
      <c r="M9" s="561"/>
      <c r="N9" s="3902">
        <f>'10C Toilet Partitions &amp; Bath'!J8</f>
        <v>334170.87080000003</v>
      </c>
      <c r="O9" s="3903"/>
      <c r="P9" s="3902">
        <f>'10C Toilet Partitions &amp; Bath'!L8</f>
        <v>352460</v>
      </c>
      <c r="Q9" s="3903"/>
      <c r="R9" s="560"/>
      <c r="S9" s="561"/>
      <c r="T9" s="560"/>
      <c r="U9" s="561"/>
    </row>
    <row r="10" spans="1:21" ht="15.75" hidden="1" customHeight="1" x14ac:dyDescent="0.35">
      <c r="A10" s="558"/>
      <c r="B10" s="44"/>
      <c r="C10" s="46"/>
      <c r="D10" s="46"/>
      <c r="E10" s="46"/>
      <c r="F10" s="46"/>
      <c r="G10" s="559" t="s">
        <v>2217</v>
      </c>
      <c r="H10" s="3902">
        <f>'10I Fire Extinguishers&amp;Cabinet'!J8</f>
        <v>56200</v>
      </c>
      <c r="I10" s="3903"/>
      <c r="J10" s="560"/>
      <c r="K10" s="561"/>
      <c r="L10" s="560"/>
      <c r="M10" s="561"/>
      <c r="N10" s="3902">
        <f>'10I Fire Extinguishers&amp;Cabinet'!L8</f>
        <v>58832.098800000014</v>
      </c>
      <c r="O10" s="3903"/>
      <c r="P10" s="3902">
        <f>'10I Fire Extinguishers&amp;Cabinet'!H8</f>
        <v>44555</v>
      </c>
      <c r="Q10" s="3903"/>
      <c r="R10" s="560"/>
      <c r="S10" s="561"/>
      <c r="T10" s="560"/>
      <c r="U10" s="561"/>
    </row>
    <row r="11" spans="1:21" ht="15.75" hidden="1" customHeight="1" x14ac:dyDescent="0.35">
      <c r="A11" s="558"/>
      <c r="B11" s="44"/>
      <c r="C11" s="46"/>
      <c r="D11" s="46"/>
      <c r="E11" s="46"/>
      <c r="F11" s="46"/>
      <c r="G11" s="559" t="s">
        <v>522</v>
      </c>
      <c r="H11" s="3902">
        <f>'10J Postal Specialties'!L8</f>
        <v>143500</v>
      </c>
      <c r="I11" s="3903"/>
      <c r="J11" s="560"/>
      <c r="K11" s="561"/>
      <c r="L11" s="560"/>
      <c r="M11" s="561"/>
      <c r="N11" s="3904">
        <f>'10J Postal Specialties'!H8</f>
        <v>84260.78</v>
      </c>
      <c r="O11" s="3905"/>
      <c r="P11" s="3902">
        <f>'10J Postal Specialties'!N8</f>
        <v>179570</v>
      </c>
      <c r="Q11" s="3903"/>
      <c r="R11" s="560"/>
      <c r="S11" s="561"/>
      <c r="T11" s="560"/>
      <c r="U11" s="561"/>
    </row>
    <row r="12" spans="1:21" ht="15.75" hidden="1" customHeight="1" x14ac:dyDescent="0.35">
      <c r="A12" s="558"/>
      <c r="B12" s="44"/>
      <c r="C12" s="46"/>
      <c r="D12" s="46"/>
      <c r="E12" s="46"/>
      <c r="F12" s="46"/>
      <c r="G12" s="559" t="s">
        <v>5</v>
      </c>
      <c r="H12" s="3902">
        <f>SUM(H8:I11)</f>
        <v>660375.48</v>
      </c>
      <c r="I12" s="3903"/>
      <c r="J12" s="560"/>
      <c r="K12" s="561"/>
      <c r="L12" s="560"/>
      <c r="M12" s="561"/>
      <c r="N12" s="3902">
        <f>SUM(N8:O11)</f>
        <v>706842.76840000006</v>
      </c>
      <c r="O12" s="3903"/>
      <c r="P12" s="3902">
        <f>SUM(P8:Q11)</f>
        <v>802620</v>
      </c>
      <c r="Q12" s="3903"/>
      <c r="R12" s="560"/>
      <c r="S12" s="561"/>
      <c r="T12" s="560"/>
      <c r="U12" s="561"/>
    </row>
    <row r="13" spans="1:21" ht="30" thickTop="1" thickBot="1" x14ac:dyDescent="0.4">
      <c r="A13" s="7" t="s">
        <v>645</v>
      </c>
      <c r="B13" s="8"/>
      <c r="C13" s="9" t="s">
        <v>646</v>
      </c>
      <c r="D13" s="9" t="s">
        <v>647</v>
      </c>
      <c r="E13" s="9" t="s">
        <v>648</v>
      </c>
      <c r="F13" s="9" t="s">
        <v>649</v>
      </c>
      <c r="G13" s="10" t="s">
        <v>650</v>
      </c>
      <c r="H13" s="11" t="s">
        <v>651</v>
      </c>
      <c r="I13" s="11" t="s">
        <v>652</v>
      </c>
      <c r="J13" s="11" t="s">
        <v>651</v>
      </c>
      <c r="K13" s="11" t="s">
        <v>652</v>
      </c>
      <c r="L13" s="11" t="s">
        <v>651</v>
      </c>
      <c r="M13" s="11" t="s">
        <v>652</v>
      </c>
      <c r="N13" s="11" t="s">
        <v>651</v>
      </c>
      <c r="O13" s="11" t="s">
        <v>652</v>
      </c>
      <c r="P13" s="11" t="s">
        <v>651</v>
      </c>
      <c r="Q13" s="11" t="s">
        <v>652</v>
      </c>
      <c r="R13" s="11" t="s">
        <v>651</v>
      </c>
      <c r="S13" s="11" t="s">
        <v>652</v>
      </c>
      <c r="T13" s="11" t="s">
        <v>651</v>
      </c>
      <c r="U13" s="11" t="s">
        <v>652</v>
      </c>
    </row>
    <row r="14" spans="1:21" ht="15" hidden="1" thickTop="1" x14ac:dyDescent="0.35">
      <c r="A14" s="1426"/>
      <c r="B14" s="1628" t="s">
        <v>653</v>
      </c>
      <c r="C14" s="1423"/>
      <c r="D14" s="1423"/>
      <c r="E14" s="1423"/>
      <c r="F14" s="1423"/>
      <c r="G14" s="646"/>
      <c r="H14" s="942"/>
      <c r="I14" s="942"/>
      <c r="J14" s="942"/>
      <c r="K14" s="942"/>
      <c r="L14" s="942"/>
      <c r="M14" s="942"/>
      <c r="N14" s="942"/>
      <c r="O14" s="942"/>
      <c r="P14" s="942"/>
      <c r="Q14" s="942"/>
      <c r="R14" s="942"/>
      <c r="S14" s="942"/>
      <c r="T14" s="942"/>
      <c r="U14" s="942"/>
    </row>
    <row r="15" spans="1:21" ht="15" hidden="1" thickTop="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c r="T15" s="942"/>
      <c r="U15" s="942"/>
    </row>
    <row r="16" spans="1:21" ht="15" hidden="1" thickTop="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c r="T16" s="942"/>
      <c r="U16" s="942"/>
    </row>
    <row r="17" spans="1:21" ht="15" hidden="1" thickTop="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c r="T17" s="942"/>
      <c r="U17" s="942"/>
    </row>
    <row r="18" spans="1:21" ht="15" hidden="1" thickTop="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c r="T18" s="942"/>
      <c r="U18" s="942"/>
    </row>
    <row r="19" spans="1:21" ht="15" hidden="1" thickTop="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c r="T19" s="942"/>
      <c r="U19" s="942"/>
    </row>
    <row r="20" spans="1:21" ht="15" hidden="1" thickTop="1" x14ac:dyDescent="0.35">
      <c r="A20" s="1426"/>
      <c r="B20" s="1422" t="e">
        <f>#REF!</f>
        <v>#REF!</v>
      </c>
      <c r="C20" s="1427" t="s">
        <v>654</v>
      </c>
      <c r="D20" s="1423"/>
      <c r="E20" s="1423"/>
      <c r="F20" s="1423"/>
      <c r="G20" s="646"/>
      <c r="H20" s="942"/>
      <c r="I20" s="942"/>
      <c r="J20" s="942"/>
      <c r="K20" s="942"/>
      <c r="L20" s="942"/>
      <c r="M20" s="942"/>
      <c r="N20" s="942"/>
      <c r="O20" s="942"/>
      <c r="P20" s="942"/>
      <c r="Q20" s="942"/>
      <c r="R20" s="942"/>
      <c r="S20" s="942"/>
      <c r="T20" s="942"/>
      <c r="U20" s="942"/>
    </row>
    <row r="21" spans="1:21" ht="15" hidden="1" thickTop="1" x14ac:dyDescent="0.35">
      <c r="A21" s="1426"/>
      <c r="B21" s="1422" t="e">
        <f>#REF!</f>
        <v>#REF!</v>
      </c>
      <c r="C21" s="1427" t="s">
        <v>654</v>
      </c>
      <c r="D21" s="1423"/>
      <c r="E21" s="1423"/>
      <c r="F21" s="1423"/>
      <c r="G21" s="646"/>
      <c r="H21" s="942"/>
      <c r="I21" s="942"/>
      <c r="J21" s="942"/>
      <c r="K21" s="942"/>
      <c r="L21" s="942"/>
      <c r="M21" s="942"/>
      <c r="N21" s="942"/>
      <c r="O21" s="942"/>
      <c r="P21" s="942"/>
      <c r="Q21" s="942"/>
      <c r="R21" s="942"/>
      <c r="S21" s="942"/>
      <c r="T21" s="942"/>
      <c r="U21" s="942"/>
    </row>
    <row r="22" spans="1:21" ht="15" hidden="1" thickTop="1" x14ac:dyDescent="0.35">
      <c r="A22" s="1426"/>
      <c r="B22" s="1422" t="e">
        <f>#REF!</f>
        <v>#REF!</v>
      </c>
      <c r="C22" s="1427" t="s">
        <v>654</v>
      </c>
      <c r="D22" s="1423"/>
      <c r="E22" s="1423"/>
      <c r="F22" s="1423"/>
      <c r="G22" s="646"/>
      <c r="H22" s="942"/>
      <c r="I22" s="942"/>
      <c r="J22" s="942"/>
      <c r="K22" s="942"/>
      <c r="L22" s="942"/>
      <c r="M22" s="942"/>
      <c r="N22" s="942"/>
      <c r="O22" s="942"/>
      <c r="P22" s="942"/>
      <c r="Q22" s="942"/>
      <c r="R22" s="942"/>
      <c r="S22" s="942"/>
      <c r="T22" s="942"/>
      <c r="U22" s="942"/>
    </row>
    <row r="23" spans="1:21" ht="15" hidden="1" thickTop="1" x14ac:dyDescent="0.35">
      <c r="A23" s="1426"/>
      <c r="B23" s="1422" t="e">
        <f>#REF!</f>
        <v>#REF!</v>
      </c>
      <c r="C23" s="1427" t="s">
        <v>654</v>
      </c>
      <c r="D23" s="1423"/>
      <c r="E23" s="1423"/>
      <c r="F23" s="1423"/>
      <c r="G23" s="646"/>
      <c r="H23" s="942"/>
      <c r="I23" s="942"/>
      <c r="J23" s="942"/>
      <c r="K23" s="942"/>
      <c r="L23" s="942"/>
      <c r="M23" s="942"/>
      <c r="N23" s="942"/>
      <c r="O23" s="942"/>
      <c r="P23" s="942"/>
      <c r="Q23" s="942"/>
      <c r="R23" s="942"/>
      <c r="S23" s="942"/>
      <c r="T23" s="942"/>
      <c r="U23" s="942"/>
    </row>
    <row r="24" spans="1:21" ht="15" thickTop="1" x14ac:dyDescent="0.35">
      <c r="A24" s="1426"/>
      <c r="B24" s="1422"/>
      <c r="C24" s="1427"/>
      <c r="D24" s="1423"/>
      <c r="E24" s="1423"/>
      <c r="F24" s="1423"/>
      <c r="G24" s="646"/>
      <c r="H24" s="943"/>
      <c r="I24" s="942"/>
      <c r="J24" s="943"/>
      <c r="K24" s="942"/>
      <c r="L24" s="943"/>
      <c r="M24" s="942"/>
      <c r="N24" s="943"/>
      <c r="O24" s="942"/>
      <c r="P24" s="943"/>
      <c r="Q24" s="942"/>
      <c r="R24" s="943"/>
      <c r="S24" s="942"/>
      <c r="T24" s="943"/>
      <c r="U24" s="942"/>
    </row>
    <row r="25" spans="1:21" ht="15" thickBot="1" x14ac:dyDescent="0.4">
      <c r="A25" s="48"/>
      <c r="B25" s="1428" t="s">
        <v>503</v>
      </c>
      <c r="C25" s="45"/>
      <c r="D25" s="46"/>
      <c r="E25" s="46"/>
      <c r="F25" s="46"/>
      <c r="G25" s="52"/>
      <c r="H25" s="943"/>
      <c r="I25" s="942"/>
      <c r="J25" s="943"/>
      <c r="K25" s="942"/>
      <c r="L25" s="943"/>
      <c r="M25" s="942"/>
      <c r="N25" s="943"/>
      <c r="O25" s="942"/>
      <c r="P25" s="943"/>
      <c r="Q25" s="942"/>
      <c r="R25" s="943"/>
      <c r="S25" s="942"/>
      <c r="T25" s="943"/>
      <c r="U25" s="942"/>
    </row>
    <row r="26" spans="1:21" ht="15" thickBot="1" x14ac:dyDescent="0.4">
      <c r="A26" s="1538"/>
      <c r="B26" s="604" t="s">
        <v>657</v>
      </c>
      <c r="C26" s="1427"/>
      <c r="D26" s="1423"/>
      <c r="E26" s="1423"/>
      <c r="F26" s="1423"/>
      <c r="G26" s="646"/>
      <c r="H26" s="943"/>
      <c r="I26" s="984"/>
      <c r="J26" s="943"/>
      <c r="K26" s="668"/>
      <c r="L26" s="943"/>
      <c r="M26" s="668"/>
      <c r="N26" s="943"/>
      <c r="O26" s="668"/>
      <c r="P26" s="943"/>
      <c r="Q26" s="984"/>
      <c r="R26" s="943"/>
      <c r="S26" s="668"/>
      <c r="T26" s="943"/>
      <c r="U26" s="668"/>
    </row>
    <row r="27" spans="1:21" x14ac:dyDescent="0.35">
      <c r="A27" s="1538"/>
      <c r="B27" s="603" t="s">
        <v>658</v>
      </c>
      <c r="C27" s="1797"/>
      <c r="D27" s="682"/>
      <c r="E27" s="1423"/>
      <c r="F27" s="1423"/>
      <c r="G27" s="646"/>
      <c r="H27" s="943" t="s">
        <v>669</v>
      </c>
      <c r="I27" s="1536"/>
      <c r="J27" s="943" t="s">
        <v>671</v>
      </c>
      <c r="K27" s="1536"/>
      <c r="L27" s="943" t="s">
        <v>671</v>
      </c>
      <c r="M27" s="1629"/>
      <c r="N27" s="943" t="s">
        <v>669</v>
      </c>
      <c r="O27" s="1536"/>
      <c r="P27" s="943" t="s">
        <v>669</v>
      </c>
      <c r="Q27" s="1536"/>
      <c r="R27" s="943" t="s">
        <v>671</v>
      </c>
      <c r="S27" s="1629"/>
      <c r="T27" s="943" t="s">
        <v>671</v>
      </c>
      <c r="U27" s="1629"/>
    </row>
    <row r="28" spans="1:21" x14ac:dyDescent="0.35">
      <c r="A28" s="1538"/>
      <c r="B28" s="1630" t="s">
        <v>659</v>
      </c>
      <c r="C28" s="1797"/>
      <c r="D28" s="682"/>
      <c r="E28" s="1423"/>
      <c r="F28" s="1423"/>
      <c r="G28" s="646"/>
      <c r="H28" s="943" t="s">
        <v>669</v>
      </c>
      <c r="I28" s="1629"/>
      <c r="J28" s="943" t="s">
        <v>669</v>
      </c>
      <c r="K28" s="1536"/>
      <c r="L28" s="943" t="s">
        <v>669</v>
      </c>
      <c r="M28" s="1629"/>
      <c r="N28" s="943" t="s">
        <v>669</v>
      </c>
      <c r="O28" s="1536"/>
      <c r="P28" s="943" t="s">
        <v>669</v>
      </c>
      <c r="Q28" s="1629"/>
      <c r="R28" s="943" t="s">
        <v>669</v>
      </c>
      <c r="S28" s="1629"/>
      <c r="T28" s="943" t="s">
        <v>669</v>
      </c>
      <c r="U28" s="1629"/>
    </row>
    <row r="29" spans="1:21" x14ac:dyDescent="0.35">
      <c r="A29" s="1538"/>
      <c r="B29" s="1497" t="s">
        <v>660</v>
      </c>
      <c r="C29" s="646"/>
      <c r="D29" s="1423"/>
      <c r="E29" s="1423"/>
      <c r="F29" s="1423"/>
      <c r="G29" s="646"/>
      <c r="H29" s="943" t="s">
        <v>671</v>
      </c>
      <c r="I29" s="1629"/>
      <c r="J29" s="943" t="s">
        <v>671</v>
      </c>
      <c r="K29" s="1629"/>
      <c r="L29" s="943" t="s">
        <v>671</v>
      </c>
      <c r="M29" s="1629"/>
      <c r="N29" s="943" t="s">
        <v>671</v>
      </c>
      <c r="O29" s="1536"/>
      <c r="P29" s="943" t="s">
        <v>671</v>
      </c>
      <c r="Q29" s="1629"/>
      <c r="R29" s="943" t="s">
        <v>671</v>
      </c>
      <c r="S29" s="1629"/>
      <c r="T29" s="943" t="s">
        <v>671</v>
      </c>
      <c r="U29" s="1629"/>
    </row>
    <row r="30" spans="1:21" x14ac:dyDescent="0.35">
      <c r="A30" s="1538"/>
      <c r="B30" s="1497" t="s">
        <v>661</v>
      </c>
      <c r="C30" s="646"/>
      <c r="D30" s="1423"/>
      <c r="E30" s="1423"/>
      <c r="F30" s="1423"/>
      <c r="G30" s="646"/>
      <c r="H30" s="943" t="s">
        <v>669</v>
      </c>
      <c r="I30" s="1536"/>
      <c r="J30" s="943" t="s">
        <v>669</v>
      </c>
      <c r="K30" s="1536"/>
      <c r="L30" s="943" t="s">
        <v>669</v>
      </c>
      <c r="M30" s="1536"/>
      <c r="N30" s="943" t="s">
        <v>669</v>
      </c>
      <c r="O30" s="1536"/>
      <c r="P30" s="943" t="s">
        <v>669</v>
      </c>
      <c r="Q30" s="1536"/>
      <c r="R30" s="943" t="s">
        <v>669</v>
      </c>
      <c r="S30" s="1536"/>
      <c r="T30" s="943" t="s">
        <v>669</v>
      </c>
      <c r="U30" s="1536"/>
    </row>
    <row r="31" spans="1:21" x14ac:dyDescent="0.35">
      <c r="A31" s="1538"/>
      <c r="B31" s="1497" t="s">
        <v>662</v>
      </c>
      <c r="C31" s="646"/>
      <c r="D31" s="1423"/>
      <c r="E31" s="1423"/>
      <c r="F31" s="1423"/>
      <c r="G31" s="646"/>
      <c r="H31" s="943" t="s">
        <v>669</v>
      </c>
      <c r="I31" s="1536"/>
      <c r="J31" s="943" t="s">
        <v>669</v>
      </c>
      <c r="K31" s="1536"/>
      <c r="L31" s="943" t="s">
        <v>669</v>
      </c>
      <c r="M31" s="1536"/>
      <c r="N31" s="943" t="s">
        <v>669</v>
      </c>
      <c r="O31" s="1536"/>
      <c r="P31" s="943" t="s">
        <v>669</v>
      </c>
      <c r="Q31" s="1536"/>
      <c r="R31" s="943" t="s">
        <v>669</v>
      </c>
      <c r="S31" s="1536"/>
      <c r="T31" s="943" t="s">
        <v>669</v>
      </c>
      <c r="U31" s="1536"/>
    </row>
    <row r="32" spans="1:21" x14ac:dyDescent="0.35">
      <c r="A32" s="1538"/>
      <c r="B32" s="1497" t="s">
        <v>663</v>
      </c>
      <c r="C32" s="646"/>
      <c r="D32" s="1423"/>
      <c r="E32" s="1423"/>
      <c r="F32" s="1423"/>
      <c r="G32" s="646"/>
      <c r="H32" s="943" t="s">
        <v>669</v>
      </c>
      <c r="I32" s="1536"/>
      <c r="J32" s="943" t="s">
        <v>669</v>
      </c>
      <c r="K32" s="1536"/>
      <c r="L32" s="943" t="s">
        <v>669</v>
      </c>
      <c r="M32" s="1536"/>
      <c r="N32" s="943" t="s">
        <v>669</v>
      </c>
      <c r="O32" s="1536"/>
      <c r="P32" s="943" t="s">
        <v>669</v>
      </c>
      <c r="Q32" s="1536"/>
      <c r="R32" s="943" t="s">
        <v>669</v>
      </c>
      <c r="S32" s="1536"/>
      <c r="T32" s="943" t="s">
        <v>669</v>
      </c>
      <c r="U32" s="1536"/>
    </row>
    <row r="33" spans="1:21" x14ac:dyDescent="0.35">
      <c r="A33" s="1391"/>
      <c r="B33" s="1497" t="s">
        <v>789</v>
      </c>
      <c r="C33" s="646"/>
      <c r="D33" s="1423"/>
      <c r="E33" s="1423"/>
      <c r="F33" s="1423"/>
      <c r="G33" s="646"/>
      <c r="H33" s="943" t="s">
        <v>671</v>
      </c>
      <c r="I33" s="1536"/>
      <c r="J33" s="943" t="s">
        <v>671</v>
      </c>
      <c r="K33" s="1536"/>
      <c r="L33" s="943" t="s">
        <v>671</v>
      </c>
      <c r="M33" s="1536"/>
      <c r="N33" s="943" t="s">
        <v>671</v>
      </c>
      <c r="O33" s="1536"/>
      <c r="P33" s="943" t="s">
        <v>671</v>
      </c>
      <c r="Q33" s="1536"/>
      <c r="R33" s="943" t="s">
        <v>671</v>
      </c>
      <c r="S33" s="1536"/>
      <c r="T33" s="943" t="s">
        <v>671</v>
      </c>
      <c r="U33" s="1536"/>
    </row>
    <row r="34" spans="1:21" x14ac:dyDescent="0.35">
      <c r="A34" s="1391"/>
      <c r="B34" s="1497" t="s">
        <v>790</v>
      </c>
      <c r="C34" s="646"/>
      <c r="D34" s="1423"/>
      <c r="E34" s="1423"/>
      <c r="F34" s="1423"/>
      <c r="G34" s="646"/>
      <c r="H34" s="943" t="s">
        <v>671</v>
      </c>
      <c r="I34" s="1393"/>
      <c r="J34" s="943" t="s">
        <v>671</v>
      </c>
      <c r="K34" s="1393"/>
      <c r="L34" s="943" t="s">
        <v>671</v>
      </c>
      <c r="M34" s="1393"/>
      <c r="N34" s="943" t="s">
        <v>671</v>
      </c>
      <c r="O34" s="1393"/>
      <c r="P34" s="943" t="s">
        <v>671</v>
      </c>
      <c r="Q34" s="1393"/>
      <c r="R34" s="943" t="s">
        <v>671</v>
      </c>
      <c r="S34" s="1393"/>
      <c r="T34" s="943" t="s">
        <v>671</v>
      </c>
      <c r="U34" s="1393"/>
    </row>
    <row r="35" spans="1:21" x14ac:dyDescent="0.35">
      <c r="A35" s="1391"/>
      <c r="B35" s="1497" t="s">
        <v>791</v>
      </c>
      <c r="C35" s="646"/>
      <c r="D35" s="1423"/>
      <c r="E35" s="1423"/>
      <c r="F35" s="1423"/>
      <c r="G35" s="646"/>
      <c r="H35" s="943" t="s">
        <v>671</v>
      </c>
      <c r="I35" s="1393"/>
      <c r="J35" s="943" t="s">
        <v>671</v>
      </c>
      <c r="K35" s="1393"/>
      <c r="L35" s="943" t="s">
        <v>671</v>
      </c>
      <c r="M35" s="1393"/>
      <c r="N35" s="943" t="s">
        <v>671</v>
      </c>
      <c r="O35" s="1393"/>
      <c r="P35" s="943" t="s">
        <v>671</v>
      </c>
      <c r="Q35" s="1393"/>
      <c r="R35" s="943" t="s">
        <v>671</v>
      </c>
      <c r="S35" s="1393"/>
      <c r="T35" s="943" t="s">
        <v>671</v>
      </c>
      <c r="U35" s="1393"/>
    </row>
    <row r="36" spans="1:21" x14ac:dyDescent="0.35">
      <c r="A36" s="1538"/>
      <c r="B36" s="1527" t="s">
        <v>664</v>
      </c>
      <c r="C36" s="646"/>
      <c r="D36" s="1423"/>
      <c r="E36" s="1423"/>
      <c r="F36" s="1423"/>
      <c r="G36" s="646"/>
      <c r="H36" s="943"/>
      <c r="I36" s="1536"/>
      <c r="J36" s="943"/>
      <c r="K36" s="1536"/>
      <c r="L36" s="943"/>
      <c r="M36" s="1536"/>
      <c r="N36" s="943"/>
      <c r="O36" s="1536"/>
      <c r="P36" s="943"/>
      <c r="Q36" s="1536"/>
      <c r="R36" s="943"/>
      <c r="S36" s="1536"/>
      <c r="T36" s="943"/>
      <c r="U36" s="1536"/>
    </row>
    <row r="37" spans="1:21" x14ac:dyDescent="0.35">
      <c r="A37" s="1538"/>
      <c r="B37" s="1798" t="s">
        <v>665</v>
      </c>
      <c r="C37" s="952"/>
      <c r="D37" s="1431"/>
      <c r="E37" s="1431"/>
      <c r="F37" s="1501"/>
      <c r="G37" s="651"/>
      <c r="H37" s="1799"/>
      <c r="I37" s="1502">
        <v>139500</v>
      </c>
      <c r="J37" s="1799"/>
      <c r="K37" s="1502">
        <v>139000</v>
      </c>
      <c r="L37" s="1799"/>
      <c r="M37" s="1398">
        <v>149815</v>
      </c>
      <c r="N37" s="1799"/>
      <c r="O37" s="1398"/>
      <c r="P37" s="1799"/>
      <c r="Q37" s="1502">
        <f>144885+35775</f>
        <v>180660</v>
      </c>
      <c r="R37" s="1799"/>
      <c r="S37" s="1502">
        <v>146712</v>
      </c>
      <c r="T37" s="1799"/>
      <c r="U37" s="1398"/>
    </row>
    <row r="38" spans="1:21" x14ac:dyDescent="0.35">
      <c r="A38" s="1538"/>
      <c r="B38" s="1800" t="s">
        <v>874</v>
      </c>
      <c r="C38" s="646"/>
      <c r="D38" s="1423"/>
      <c r="E38" s="1423"/>
      <c r="F38" s="1484"/>
      <c r="G38" s="652"/>
      <c r="H38" s="943"/>
      <c r="I38" s="1536"/>
      <c r="J38" s="943"/>
      <c r="K38" s="1536"/>
      <c r="L38" s="943"/>
      <c r="M38" s="1536"/>
      <c r="N38" s="943"/>
      <c r="O38" s="1536"/>
      <c r="P38" s="943"/>
      <c r="Q38" s="1536"/>
      <c r="R38" s="943"/>
      <c r="S38" s="1536"/>
      <c r="T38" s="943"/>
      <c r="U38" s="1536"/>
    </row>
    <row r="39" spans="1:21" x14ac:dyDescent="0.35">
      <c r="A39" s="1538"/>
      <c r="B39" s="1801" t="s">
        <v>191</v>
      </c>
      <c r="C39" s="646"/>
      <c r="D39" s="1423"/>
      <c r="E39" s="1423"/>
      <c r="F39" s="1484"/>
      <c r="G39" s="652"/>
      <c r="H39" s="943"/>
      <c r="I39" s="1536"/>
      <c r="J39" s="943"/>
      <c r="K39" s="1536"/>
      <c r="L39" s="943"/>
      <c r="M39" s="1536"/>
      <c r="N39" s="943"/>
      <c r="O39" s="1536"/>
      <c r="P39" s="943"/>
      <c r="Q39" s="1536"/>
      <c r="R39" s="943"/>
      <c r="S39" s="1536"/>
      <c r="T39" s="943"/>
      <c r="U39" s="1536"/>
    </row>
    <row r="40" spans="1:21" x14ac:dyDescent="0.35">
      <c r="A40" s="1538"/>
      <c r="B40" s="1802" t="s">
        <v>2218</v>
      </c>
      <c r="C40" s="646"/>
      <c r="D40" s="1423"/>
      <c r="E40" s="1423"/>
      <c r="F40" s="1484"/>
      <c r="G40" s="652"/>
      <c r="H40" s="943" t="s">
        <v>669</v>
      </c>
      <c r="I40" s="1536"/>
      <c r="J40" s="943" t="s">
        <v>669</v>
      </c>
      <c r="K40" s="1536"/>
      <c r="L40" s="943" t="s">
        <v>669</v>
      </c>
      <c r="M40" s="1536"/>
      <c r="N40" s="943" t="s">
        <v>669</v>
      </c>
      <c r="O40" s="1536"/>
      <c r="P40" s="943" t="s">
        <v>669</v>
      </c>
      <c r="Q40" s="1536"/>
      <c r="R40" s="943" t="s">
        <v>669</v>
      </c>
      <c r="S40" s="1536"/>
      <c r="T40" s="943" t="s">
        <v>669</v>
      </c>
      <c r="U40" s="1536"/>
    </row>
    <row r="41" spans="1:21" ht="24.5" x14ac:dyDescent="0.35">
      <c r="A41" s="1538"/>
      <c r="B41" s="1803" t="s">
        <v>2219</v>
      </c>
      <c r="C41" s="646"/>
      <c r="D41" s="1423">
        <f>SUM(D42:D43)</f>
        <v>980</v>
      </c>
      <c r="E41" s="1423" t="s">
        <v>666</v>
      </c>
      <c r="F41" s="1484">
        <v>190</v>
      </c>
      <c r="G41" s="652">
        <f>F41*D41</f>
        <v>186200</v>
      </c>
      <c r="H41" s="943" t="s">
        <v>669</v>
      </c>
      <c r="I41" s="1536"/>
      <c r="J41" s="943" t="s">
        <v>669</v>
      </c>
      <c r="K41" s="1804" t="s">
        <v>2221</v>
      </c>
      <c r="L41" s="943" t="s">
        <v>669</v>
      </c>
      <c r="M41" s="1536" t="s">
        <v>2223</v>
      </c>
      <c r="N41" s="943" t="s">
        <v>669</v>
      </c>
      <c r="O41" s="1518">
        <f>35792.02*3+38220.03*2+29267.86</f>
        <v>213083.97999999998</v>
      </c>
      <c r="P41" s="943" t="s">
        <v>669</v>
      </c>
      <c r="Q41" s="1804" t="s">
        <v>2220</v>
      </c>
      <c r="R41" s="943" t="s">
        <v>669</v>
      </c>
      <c r="S41" s="1536" t="s">
        <v>2222</v>
      </c>
      <c r="T41" s="943" t="s">
        <v>669</v>
      </c>
      <c r="U41" s="1518">
        <v>329952</v>
      </c>
    </row>
    <row r="42" spans="1:21" x14ac:dyDescent="0.35">
      <c r="A42" s="1538"/>
      <c r="B42" s="1803" t="s">
        <v>2224</v>
      </c>
      <c r="C42" s="646"/>
      <c r="D42" s="1423">
        <v>937</v>
      </c>
      <c r="E42" s="1423" t="s">
        <v>666</v>
      </c>
      <c r="F42" s="1484"/>
      <c r="G42" s="652"/>
      <c r="H42" s="943" t="s">
        <v>669</v>
      </c>
      <c r="I42" s="1536"/>
      <c r="J42" s="943" t="s">
        <v>669</v>
      </c>
      <c r="K42" s="1536"/>
      <c r="L42" s="943" t="s">
        <v>669</v>
      </c>
      <c r="M42" s="1536"/>
      <c r="N42" s="943" t="s">
        <v>669</v>
      </c>
      <c r="O42" s="1518"/>
      <c r="P42" s="943" t="s">
        <v>669</v>
      </c>
      <c r="Q42" s="1536"/>
      <c r="R42" s="943" t="s">
        <v>669</v>
      </c>
      <c r="S42" s="1536"/>
      <c r="T42" s="943" t="s">
        <v>669</v>
      </c>
      <c r="U42" s="1518"/>
    </row>
    <row r="43" spans="1:21" x14ac:dyDescent="0.35">
      <c r="A43" s="1538"/>
      <c r="B43" s="1803" t="s">
        <v>2225</v>
      </c>
      <c r="C43" s="646"/>
      <c r="D43" s="1423">
        <v>43</v>
      </c>
      <c r="E43" s="1423" t="s">
        <v>666</v>
      </c>
      <c r="F43" s="1484"/>
      <c r="G43" s="652"/>
      <c r="H43" s="943" t="s">
        <v>669</v>
      </c>
      <c r="I43" s="1536"/>
      <c r="J43" s="943" t="s">
        <v>669</v>
      </c>
      <c r="K43" s="1536"/>
      <c r="L43" s="943" t="s">
        <v>669</v>
      </c>
      <c r="M43" s="1536"/>
      <c r="N43" s="943" t="s">
        <v>669</v>
      </c>
      <c r="O43" s="1518"/>
      <c r="P43" s="943" t="s">
        <v>669</v>
      </c>
      <c r="Q43" s="1536"/>
      <c r="R43" s="943" t="s">
        <v>669</v>
      </c>
      <c r="S43" s="1536"/>
      <c r="T43" s="943" t="s">
        <v>669</v>
      </c>
      <c r="U43" s="1518"/>
    </row>
    <row r="44" spans="1:21" x14ac:dyDescent="0.35">
      <c r="A44" s="1538"/>
      <c r="B44" s="1805"/>
      <c r="C44" s="646"/>
      <c r="D44" s="1423"/>
      <c r="E44" s="1423"/>
      <c r="F44" s="1484"/>
      <c r="G44" s="652"/>
      <c r="H44" s="943"/>
      <c r="I44" s="1536"/>
      <c r="J44" s="943"/>
      <c r="K44" s="1536"/>
      <c r="L44" s="943"/>
      <c r="M44" s="1536"/>
      <c r="N44" s="943"/>
      <c r="O44" s="1518"/>
      <c r="P44" s="943"/>
      <c r="Q44" s="1536"/>
      <c r="R44" s="943"/>
      <c r="S44" s="1536"/>
      <c r="T44" s="943"/>
      <c r="U44" s="1518"/>
    </row>
    <row r="45" spans="1:21" x14ac:dyDescent="0.35">
      <c r="A45" s="1538"/>
      <c r="B45" s="1802" t="s">
        <v>2226</v>
      </c>
      <c r="C45" s="646"/>
      <c r="D45" s="1423"/>
      <c r="E45" s="1423"/>
      <c r="F45" s="1484"/>
      <c r="G45" s="652"/>
      <c r="H45" s="943" t="s">
        <v>669</v>
      </c>
      <c r="I45" s="1536"/>
      <c r="J45" s="943" t="s">
        <v>669</v>
      </c>
      <c r="K45" s="1518">
        <f>9600</f>
        <v>9600</v>
      </c>
      <c r="L45" s="943" t="s">
        <v>669</v>
      </c>
      <c r="M45" s="4041">
        <v>18925</v>
      </c>
      <c r="N45" s="943" t="s">
        <v>669</v>
      </c>
      <c r="O45" s="1518"/>
      <c r="P45" s="1101" t="s">
        <v>654</v>
      </c>
      <c r="Q45" s="1518">
        <f>K45</f>
        <v>9600</v>
      </c>
      <c r="R45" s="943" t="s">
        <v>669</v>
      </c>
      <c r="S45" s="4041">
        <f>12740</f>
        <v>12740</v>
      </c>
      <c r="T45" s="943" t="s">
        <v>669</v>
      </c>
      <c r="U45" s="1518">
        <v>9481</v>
      </c>
    </row>
    <row r="46" spans="1:21" x14ac:dyDescent="0.35">
      <c r="A46" s="1538"/>
      <c r="B46" s="1806" t="s">
        <v>2227</v>
      </c>
      <c r="C46" s="646"/>
      <c r="D46" s="1423"/>
      <c r="E46" s="1423"/>
      <c r="F46" s="1484"/>
      <c r="G46" s="652"/>
      <c r="H46" s="943" t="s">
        <v>671</v>
      </c>
      <c r="I46" s="1518"/>
      <c r="J46" s="943" t="s">
        <v>671</v>
      </c>
      <c r="K46" s="1536"/>
      <c r="L46" s="943" t="s">
        <v>669</v>
      </c>
      <c r="M46" s="1536"/>
      <c r="N46" s="943" t="s">
        <v>671</v>
      </c>
      <c r="O46" s="1518"/>
      <c r="P46" s="943" t="s">
        <v>671</v>
      </c>
      <c r="Q46" s="1518"/>
      <c r="R46" s="943" t="s">
        <v>669</v>
      </c>
      <c r="S46" s="1536"/>
      <c r="T46" s="943" t="s">
        <v>671</v>
      </c>
      <c r="U46" s="1518"/>
    </row>
    <row r="47" spans="1:21" ht="29" x14ac:dyDescent="0.35">
      <c r="A47" s="1538"/>
      <c r="B47" s="1805" t="s">
        <v>2228</v>
      </c>
      <c r="C47" s="1444" t="s">
        <v>2229</v>
      </c>
      <c r="D47" s="1423">
        <v>4</v>
      </c>
      <c r="E47" s="1423" t="s">
        <v>666</v>
      </c>
      <c r="F47" s="1484">
        <v>500</v>
      </c>
      <c r="G47" s="652">
        <f>F47*D47</f>
        <v>2000</v>
      </c>
      <c r="H47" s="943" t="s">
        <v>669</v>
      </c>
      <c r="I47" s="1518"/>
      <c r="J47" s="943" t="s">
        <v>669</v>
      </c>
      <c r="K47" s="1536"/>
      <c r="L47" s="4029" t="s">
        <v>669</v>
      </c>
      <c r="M47" s="4040"/>
      <c r="N47" s="943" t="s">
        <v>669</v>
      </c>
      <c r="O47" s="1518"/>
      <c r="P47" s="1101" t="s">
        <v>654</v>
      </c>
      <c r="Q47" s="1518"/>
      <c r="R47" s="943" t="s">
        <v>669</v>
      </c>
      <c r="S47" s="1536"/>
      <c r="T47" s="943" t="s">
        <v>669</v>
      </c>
      <c r="U47" s="1536"/>
    </row>
    <row r="48" spans="1:21" x14ac:dyDescent="0.35">
      <c r="A48" s="1538"/>
      <c r="B48" s="1805" t="s">
        <v>2230</v>
      </c>
      <c r="C48" s="646" t="s">
        <v>1452</v>
      </c>
      <c r="D48" s="1423">
        <v>4</v>
      </c>
      <c r="E48" s="1423" t="s">
        <v>666</v>
      </c>
      <c r="F48" s="1484">
        <v>500</v>
      </c>
      <c r="G48" s="652">
        <f>F48*D48</f>
        <v>2000</v>
      </c>
      <c r="H48" s="943" t="s">
        <v>669</v>
      </c>
      <c r="I48" s="1518"/>
      <c r="J48" s="943" t="s">
        <v>669</v>
      </c>
      <c r="K48" s="1536"/>
      <c r="L48" s="4029" t="s">
        <v>669</v>
      </c>
      <c r="M48" s="4040"/>
      <c r="N48" s="943" t="s">
        <v>669</v>
      </c>
      <c r="O48" s="1518"/>
      <c r="P48" s="1101" t="s">
        <v>654</v>
      </c>
      <c r="Q48" s="1518"/>
      <c r="R48" s="943" t="s">
        <v>1613</v>
      </c>
      <c r="S48" s="1536"/>
      <c r="T48" s="943" t="s">
        <v>669</v>
      </c>
      <c r="U48" s="1536"/>
    </row>
    <row r="49" spans="1:21" x14ac:dyDescent="0.35">
      <c r="A49" s="1391"/>
      <c r="B49" s="1805" t="s">
        <v>2231</v>
      </c>
      <c r="C49" s="646" t="s">
        <v>2232</v>
      </c>
      <c r="D49" s="1423">
        <v>1</v>
      </c>
      <c r="E49" s="1423" t="s">
        <v>755</v>
      </c>
      <c r="F49" s="1484">
        <v>1000</v>
      </c>
      <c r="G49" s="652">
        <f>F49*D49</f>
        <v>1000</v>
      </c>
      <c r="H49" s="943" t="s">
        <v>671</v>
      </c>
      <c r="I49" s="1518"/>
      <c r="J49" s="943" t="s">
        <v>671</v>
      </c>
      <c r="K49" s="1393"/>
      <c r="L49" s="943" t="s">
        <v>669</v>
      </c>
      <c r="M49" s="4040"/>
      <c r="N49" s="943" t="s">
        <v>671</v>
      </c>
      <c r="O49" s="1518"/>
      <c r="P49" s="943" t="s">
        <v>671</v>
      </c>
      <c r="Q49" s="1518"/>
      <c r="R49" s="943"/>
      <c r="S49" s="1393"/>
      <c r="T49" s="943" t="s">
        <v>671</v>
      </c>
      <c r="U49" s="1393"/>
    </row>
    <row r="50" spans="1:21" x14ac:dyDescent="0.35">
      <c r="A50" s="1538"/>
      <c r="B50" s="1805" t="s">
        <v>2233</v>
      </c>
      <c r="C50" s="646" t="s">
        <v>2234</v>
      </c>
      <c r="D50" s="1423">
        <v>3</v>
      </c>
      <c r="E50" s="1423" t="s">
        <v>666</v>
      </c>
      <c r="F50" s="1484">
        <v>1000</v>
      </c>
      <c r="G50" s="652">
        <f>F50*D50</f>
        <v>3000</v>
      </c>
      <c r="H50" s="943" t="s">
        <v>669</v>
      </c>
      <c r="I50" s="1518">
        <v>3500</v>
      </c>
      <c r="J50" s="943" t="s">
        <v>669</v>
      </c>
      <c r="K50" s="1536"/>
      <c r="L50" s="4029" t="s">
        <v>669</v>
      </c>
      <c r="M50" s="4040"/>
      <c r="N50" s="1101" t="s">
        <v>654</v>
      </c>
      <c r="O50" s="1807">
        <f>I50</f>
        <v>3500</v>
      </c>
      <c r="P50" s="1101" t="s">
        <v>654</v>
      </c>
      <c r="Q50" s="1518"/>
      <c r="R50" s="943" t="s">
        <v>669</v>
      </c>
      <c r="S50" s="1536"/>
      <c r="T50" s="1101" t="s">
        <v>654</v>
      </c>
      <c r="U50" s="1807">
        <f>O50</f>
        <v>3500</v>
      </c>
    </row>
    <row r="51" spans="1:21" x14ac:dyDescent="0.35">
      <c r="A51" s="1538"/>
      <c r="B51" s="1805" t="s">
        <v>1152</v>
      </c>
      <c r="C51" s="646"/>
      <c r="D51" s="1423">
        <v>980</v>
      </c>
      <c r="E51" s="1423" t="s">
        <v>666</v>
      </c>
      <c r="F51" s="1484"/>
      <c r="G51" s="652"/>
      <c r="H51" s="943" t="s">
        <v>669</v>
      </c>
      <c r="I51" s="1518"/>
      <c r="J51" s="943" t="s">
        <v>669</v>
      </c>
      <c r="K51" s="1536"/>
      <c r="L51" s="943" t="s">
        <v>669</v>
      </c>
      <c r="M51" s="1536"/>
      <c r="N51" s="943" t="s">
        <v>669</v>
      </c>
      <c r="O51" s="1518"/>
      <c r="P51" s="943" t="s">
        <v>669</v>
      </c>
      <c r="Q51" s="1518">
        <v>35775</v>
      </c>
      <c r="R51" s="943" t="s">
        <v>669</v>
      </c>
      <c r="S51" s="1536"/>
      <c r="T51" s="943" t="s">
        <v>669</v>
      </c>
      <c r="U51" s="1536"/>
    </row>
    <row r="52" spans="1:21" ht="15" thickBot="1" x14ac:dyDescent="0.4">
      <c r="A52" s="1391"/>
      <c r="B52" s="1805" t="s">
        <v>1125</v>
      </c>
      <c r="C52" s="1384"/>
      <c r="D52" s="1383"/>
      <c r="E52" s="1383"/>
      <c r="F52" s="1523"/>
      <c r="G52" s="1524"/>
      <c r="H52" s="943" t="s">
        <v>669</v>
      </c>
      <c r="I52" s="1518"/>
      <c r="J52" s="943" t="s">
        <v>669</v>
      </c>
      <c r="K52" s="1393"/>
      <c r="L52" s="943" t="s">
        <v>669</v>
      </c>
      <c r="M52" s="1393"/>
      <c r="N52" s="943" t="s">
        <v>669</v>
      </c>
      <c r="O52" s="1518">
        <f>0.06*SUM(O40:O51)</f>
        <v>12995.038799999998</v>
      </c>
      <c r="P52" s="943" t="s">
        <v>669</v>
      </c>
      <c r="Q52" s="1518"/>
      <c r="R52" s="943" t="s">
        <v>669</v>
      </c>
      <c r="S52" s="1393"/>
      <c r="T52" s="943" t="s">
        <v>669</v>
      </c>
      <c r="U52" s="1393"/>
    </row>
    <row r="53" spans="1:21" ht="15" thickTop="1" x14ac:dyDescent="0.35">
      <c r="A53" s="14"/>
      <c r="B53" s="15"/>
      <c r="C53" s="16"/>
      <c r="D53" s="16"/>
      <c r="E53" s="17"/>
      <c r="F53" s="18" t="s">
        <v>715</v>
      </c>
      <c r="G53" s="328">
        <f>SUM(G37:G50)</f>
        <v>194200</v>
      </c>
      <c r="H53" s="20"/>
      <c r="I53" s="50">
        <f>SUM(I27:I52)</f>
        <v>143000</v>
      </c>
      <c r="J53" s="20"/>
      <c r="K53" s="50">
        <f>SUM(K27:K52)</f>
        <v>148600</v>
      </c>
      <c r="L53" s="20"/>
      <c r="M53" s="50">
        <f>SUM(M27:M52)</f>
        <v>168740</v>
      </c>
      <c r="N53" s="20"/>
      <c r="O53" s="50">
        <f>SUM(O27:O52)</f>
        <v>229579.01879999999</v>
      </c>
      <c r="P53" s="20"/>
      <c r="Q53" s="50">
        <f>SUM(Q27:Q52)</f>
        <v>226035</v>
      </c>
      <c r="R53" s="20"/>
      <c r="S53" s="50">
        <f>SUM(S27:S52)</f>
        <v>159452</v>
      </c>
      <c r="T53" s="20"/>
      <c r="U53" s="50">
        <f>SUM(U30:U52)</f>
        <v>342933</v>
      </c>
    </row>
    <row r="54" spans="1:21" x14ac:dyDescent="0.35">
      <c r="A54" s="1452"/>
      <c r="B54" s="1453"/>
      <c r="C54" s="1454"/>
      <c r="D54" s="1454"/>
      <c r="E54" s="1455"/>
      <c r="F54" s="1456" t="s">
        <v>716</v>
      </c>
      <c r="G54" s="659"/>
      <c r="H54" s="959">
        <v>0</v>
      </c>
      <c r="I54" s="1121"/>
      <c r="J54" s="959">
        <v>0</v>
      </c>
      <c r="K54" s="1121"/>
      <c r="L54" s="1153">
        <v>0</v>
      </c>
      <c r="M54" s="1121"/>
      <c r="N54" s="959">
        <v>0</v>
      </c>
      <c r="O54" s="1121"/>
      <c r="P54" s="959">
        <v>0</v>
      </c>
      <c r="Q54" s="1121"/>
      <c r="R54" s="1153">
        <v>0</v>
      </c>
      <c r="S54" s="1121"/>
      <c r="T54" s="1153">
        <v>0</v>
      </c>
      <c r="U54" s="1121"/>
    </row>
    <row r="55" spans="1:21" x14ac:dyDescent="0.35">
      <c r="A55" s="1452"/>
      <c r="B55" s="1453"/>
      <c r="C55" s="1454"/>
      <c r="D55" s="1454"/>
      <c r="E55" s="1455"/>
      <c r="F55" s="1456" t="s">
        <v>717</v>
      </c>
      <c r="G55" s="659"/>
      <c r="H55" s="961"/>
      <c r="I55" s="1122">
        <f>H54*I53</f>
        <v>0</v>
      </c>
      <c r="J55" s="961"/>
      <c r="K55" s="1122">
        <f>J54*K53</f>
        <v>0</v>
      </c>
      <c r="L55" s="961"/>
      <c r="M55" s="1122">
        <f>L54*M53</f>
        <v>0</v>
      </c>
      <c r="N55" s="961"/>
      <c r="O55" s="1122">
        <f>N54*O53</f>
        <v>0</v>
      </c>
      <c r="P55" s="961"/>
      <c r="Q55" s="1122">
        <f>P54*Q53</f>
        <v>0</v>
      </c>
      <c r="R55" s="961"/>
      <c r="S55" s="1122">
        <f>R54*S53</f>
        <v>0</v>
      </c>
      <c r="T55" s="961"/>
      <c r="U55" s="1122">
        <f>T54*U53</f>
        <v>0</v>
      </c>
    </row>
    <row r="56" spans="1:21" x14ac:dyDescent="0.35">
      <c r="A56" s="1452"/>
      <c r="B56" s="1453"/>
      <c r="C56" s="1454"/>
      <c r="D56" s="1454"/>
      <c r="E56" s="1455"/>
      <c r="F56" s="1456"/>
      <c r="G56" s="659"/>
      <c r="H56" s="961"/>
      <c r="I56" s="963"/>
      <c r="J56" s="961"/>
      <c r="K56" s="963"/>
      <c r="L56" s="961"/>
      <c r="M56" s="963"/>
      <c r="N56" s="961"/>
      <c r="O56" s="963"/>
      <c r="P56" s="961"/>
      <c r="Q56" s="963"/>
      <c r="R56" s="961"/>
      <c r="S56" s="963"/>
      <c r="T56" s="961"/>
      <c r="U56" s="963"/>
    </row>
    <row r="57" spans="1:21" x14ac:dyDescent="0.35">
      <c r="A57" s="1452"/>
      <c r="B57" s="1453"/>
      <c r="C57" s="1454"/>
      <c r="D57" s="1454"/>
      <c r="E57" s="1455"/>
      <c r="F57" s="1456" t="s">
        <v>718</v>
      </c>
      <c r="G57" s="659"/>
      <c r="H57" s="964"/>
      <c r="I57" s="962">
        <f>SUM(I53:I55)</f>
        <v>143000</v>
      </c>
      <c r="J57" s="964"/>
      <c r="K57" s="962">
        <f>SUM(K53:K55)</f>
        <v>148600</v>
      </c>
      <c r="L57" s="964"/>
      <c r="M57" s="962">
        <f>SUM(M53:M55)</f>
        <v>168740</v>
      </c>
      <c r="N57" s="964"/>
      <c r="O57" s="962">
        <f>SUM(O53:O55)</f>
        <v>229579.01879999999</v>
      </c>
      <c r="P57" s="964"/>
      <c r="Q57" s="962">
        <f>SUM(Q53:Q55)</f>
        <v>226035</v>
      </c>
      <c r="R57" s="964"/>
      <c r="S57" s="962">
        <f>SUM(S53:S55)</f>
        <v>159452</v>
      </c>
      <c r="T57" s="964"/>
      <c r="U57" s="962">
        <f>SUM(U53:U55)</f>
        <v>342933</v>
      </c>
    </row>
    <row r="58" spans="1:21" x14ac:dyDescent="0.35">
      <c r="A58" s="1452"/>
      <c r="B58" s="1453"/>
      <c r="C58" s="1454"/>
      <c r="D58" s="1454"/>
      <c r="E58" s="1455"/>
      <c r="F58" s="1409" t="s">
        <v>719</v>
      </c>
      <c r="G58" s="661"/>
      <c r="H58" s="965"/>
      <c r="I58" s="966" t="e">
        <f>I57/#REF!</f>
        <v>#REF!</v>
      </c>
      <c r="J58" s="965"/>
      <c r="K58" s="966" t="e">
        <f>K57/#REF!</f>
        <v>#REF!</v>
      </c>
      <c r="L58" s="965"/>
      <c r="M58" s="966" t="e">
        <f>M57/#REF!</f>
        <v>#REF!</v>
      </c>
      <c r="N58" s="965"/>
      <c r="O58" s="966" t="e">
        <f>O57/#REF!</f>
        <v>#REF!</v>
      </c>
      <c r="P58" s="965"/>
      <c r="Q58" s="966" t="e">
        <f>Q57/#REF!</f>
        <v>#REF!</v>
      </c>
      <c r="R58" s="965"/>
      <c r="S58" s="966" t="e">
        <f>S57/#REF!</f>
        <v>#REF!</v>
      </c>
      <c r="T58" s="965"/>
      <c r="U58" s="966" t="e">
        <f>U57/#REF!</f>
        <v>#REF!</v>
      </c>
    </row>
    <row r="59" spans="1:21" x14ac:dyDescent="0.35">
      <c r="A59" s="1452"/>
      <c r="B59" s="1453"/>
      <c r="C59" s="1454"/>
      <c r="D59" s="1454"/>
      <c r="E59" s="1455"/>
      <c r="F59" s="1409" t="s">
        <v>720</v>
      </c>
      <c r="G59" s="662"/>
      <c r="H59" s="965"/>
      <c r="I59" s="966" t="e">
        <f>I57/#REF!</f>
        <v>#REF!</v>
      </c>
      <c r="J59" s="965"/>
      <c r="K59" s="966" t="e">
        <f>K57/#REF!</f>
        <v>#REF!</v>
      </c>
      <c r="L59" s="965"/>
      <c r="M59" s="966" t="e">
        <f>M57/#REF!</f>
        <v>#REF!</v>
      </c>
      <c r="N59" s="965"/>
      <c r="O59" s="966" t="e">
        <f>O57/#REF!</f>
        <v>#REF!</v>
      </c>
      <c r="P59" s="965"/>
      <c r="Q59" s="966" t="e">
        <f>Q57/#REF!</f>
        <v>#REF!</v>
      </c>
      <c r="R59" s="965"/>
      <c r="S59" s="966" t="e">
        <f>S57/#REF!</f>
        <v>#REF!</v>
      </c>
      <c r="T59" s="965"/>
      <c r="U59" s="966" t="e">
        <f>U57/#REF!</f>
        <v>#REF!</v>
      </c>
    </row>
    <row r="60" spans="1:21" ht="15" thickBot="1" x14ac:dyDescent="0.4">
      <c r="A60" s="1452"/>
      <c r="B60" s="1453"/>
      <c r="C60" s="1454"/>
      <c r="D60" s="1454"/>
      <c r="E60" s="1455"/>
      <c r="F60" s="1456"/>
      <c r="G60" s="663"/>
      <c r="H60" s="967"/>
      <c r="I60" s="967"/>
      <c r="J60" s="967"/>
      <c r="K60" s="967"/>
      <c r="L60" s="967"/>
      <c r="M60" s="1596"/>
      <c r="N60" s="967"/>
      <c r="O60" s="967"/>
      <c r="P60" s="967"/>
      <c r="Q60" s="967"/>
      <c r="R60" s="967"/>
      <c r="S60" s="1596"/>
      <c r="T60" s="967"/>
      <c r="U60" s="1596"/>
    </row>
    <row r="61" spans="1:21" ht="15.5" thickTop="1" thickBot="1" x14ac:dyDescent="0.4">
      <c r="A61" s="3764" t="s">
        <v>721</v>
      </c>
      <c r="B61" s="3765"/>
      <c r="C61" s="12"/>
      <c r="D61" s="12"/>
      <c r="E61" s="12"/>
      <c r="F61" s="12"/>
      <c r="G61" s="13"/>
      <c r="H61" s="21"/>
      <c r="I61" s="21"/>
      <c r="J61" s="21"/>
      <c r="K61" s="21"/>
      <c r="L61" s="21"/>
      <c r="M61" s="21"/>
      <c r="N61" s="21"/>
      <c r="O61" s="21"/>
      <c r="P61" s="21"/>
      <c r="Q61" s="21"/>
      <c r="R61" s="21"/>
      <c r="S61" s="21"/>
      <c r="T61" s="21"/>
      <c r="U61" s="21"/>
    </row>
    <row r="62" spans="1:21" ht="15" thickTop="1" x14ac:dyDescent="0.35">
      <c r="A62" s="1382"/>
      <c r="B62" s="1422" t="s">
        <v>2235</v>
      </c>
      <c r="C62" s="1383"/>
      <c r="D62" s="1383"/>
      <c r="E62" s="1383"/>
      <c r="F62" s="1383"/>
      <c r="G62" s="1384"/>
      <c r="H62" s="1572"/>
      <c r="I62" s="1572"/>
      <c r="J62" s="943" t="s">
        <v>669</v>
      </c>
      <c r="K62" s="1572">
        <f>74800-J8</f>
        <v>-73800</v>
      </c>
      <c r="L62" s="1572"/>
      <c r="M62" s="1572"/>
      <c r="N62" s="943" t="s">
        <v>669</v>
      </c>
      <c r="O62" s="1572"/>
      <c r="P62" s="1572"/>
      <c r="Q62" s="1572"/>
      <c r="R62" s="1572"/>
      <c r="S62" s="1572"/>
      <c r="T62" s="1572"/>
      <c r="U62" s="1572"/>
    </row>
    <row r="63" spans="1:21" x14ac:dyDescent="0.35">
      <c r="A63" s="1382"/>
      <c r="B63" s="1422"/>
      <c r="C63" s="1383"/>
      <c r="D63" s="1383"/>
      <c r="E63" s="1383"/>
      <c r="F63" s="1383"/>
      <c r="G63" s="1384"/>
      <c r="H63" s="1572"/>
      <c r="I63" s="1572"/>
      <c r="J63" s="1572"/>
      <c r="K63" s="1572"/>
      <c r="L63" s="1572"/>
      <c r="M63" s="1572"/>
      <c r="N63" s="1572"/>
      <c r="O63" s="1572"/>
      <c r="P63" s="1572"/>
      <c r="Q63" s="1572"/>
      <c r="R63" s="1572"/>
      <c r="S63" s="1572"/>
      <c r="T63" s="1572"/>
      <c r="U63" s="1572"/>
    </row>
    <row r="64" spans="1:21" ht="15" thickBot="1" x14ac:dyDescent="0.4">
      <c r="A64" s="1382"/>
      <c r="B64" s="1422"/>
      <c r="C64" s="1383"/>
      <c r="D64" s="1383"/>
      <c r="E64" s="1383"/>
      <c r="F64" s="1383"/>
      <c r="G64" s="1384"/>
      <c r="H64" s="1572"/>
      <c r="I64" s="1572"/>
      <c r="J64" s="1572"/>
      <c r="K64" s="1572"/>
      <c r="L64" s="1572"/>
      <c r="M64" s="1572"/>
      <c r="N64" s="1572"/>
      <c r="O64" s="1572"/>
      <c r="P64" s="1572"/>
      <c r="Q64" s="1572"/>
      <c r="R64" s="1572"/>
      <c r="S64" s="1572"/>
      <c r="T64" s="1572"/>
      <c r="U64" s="1572"/>
    </row>
    <row r="65" spans="1:21" s="2" customFormat="1" ht="15.5" thickTop="1" thickBot="1" x14ac:dyDescent="0.4">
      <c r="A65" s="3764" t="s">
        <v>722</v>
      </c>
      <c r="B65" s="3765"/>
      <c r="C65" s="12"/>
      <c r="D65" s="12"/>
      <c r="E65" s="12"/>
      <c r="F65" s="12"/>
      <c r="G65" s="13"/>
      <c r="H65" s="21"/>
      <c r="I65" s="21"/>
      <c r="J65" s="21"/>
      <c r="K65" s="21"/>
      <c r="L65" s="21"/>
      <c r="M65" s="21"/>
      <c r="N65" s="21"/>
      <c r="O65" s="21"/>
      <c r="P65" s="21"/>
      <c r="Q65" s="21"/>
      <c r="R65" s="21"/>
      <c r="S65" s="21"/>
      <c r="T65" s="21"/>
      <c r="U65" s="21"/>
    </row>
    <row r="66" spans="1:21" s="2" customFormat="1" ht="15" thickTop="1" x14ac:dyDescent="0.35">
      <c r="A66" s="1382"/>
      <c r="B66" s="1422"/>
      <c r="C66" s="1383"/>
      <c r="D66" s="1383"/>
      <c r="E66" s="1383"/>
      <c r="F66" s="1383"/>
      <c r="G66" s="1384"/>
      <c r="H66" s="1572"/>
      <c r="I66" s="1572"/>
      <c r="J66" s="1572"/>
      <c r="K66" s="1572"/>
      <c r="L66" s="1572"/>
      <c r="M66" s="1572"/>
      <c r="N66" s="1572"/>
      <c r="O66" s="1572"/>
      <c r="P66" s="1572"/>
      <c r="Q66" s="1572"/>
      <c r="R66" s="1572"/>
      <c r="S66" s="1572"/>
      <c r="T66" s="1572"/>
      <c r="U66" s="1572"/>
    </row>
    <row r="67" spans="1:21" s="2" customFormat="1" x14ac:dyDescent="0.35">
      <c r="A67" s="1382"/>
      <c r="B67" s="1422"/>
      <c r="C67" s="1383"/>
      <c r="D67" s="1383"/>
      <c r="E67" s="1383"/>
      <c r="F67" s="1383"/>
      <c r="G67" s="1384"/>
      <c r="H67" s="1572"/>
      <c r="I67" s="1572"/>
      <c r="J67" s="1572"/>
      <c r="K67" s="1572"/>
      <c r="L67" s="1572"/>
      <c r="M67" s="1572"/>
      <c r="N67" s="1572"/>
      <c r="O67" s="1572"/>
      <c r="P67" s="1572"/>
      <c r="Q67" s="1572"/>
      <c r="R67" s="1572"/>
      <c r="S67" s="1572"/>
      <c r="T67" s="1572"/>
      <c r="U67" s="1572"/>
    </row>
    <row r="68" spans="1:21" ht="15" thickBot="1" x14ac:dyDescent="0.4">
      <c r="A68" s="1382"/>
      <c r="B68" s="1422"/>
      <c r="C68" s="1383"/>
      <c r="D68" s="1383"/>
      <c r="E68" s="1383"/>
      <c r="F68" s="1383"/>
      <c r="G68" s="1384"/>
      <c r="H68" s="1572"/>
      <c r="I68" s="1572"/>
      <c r="J68" s="1572"/>
      <c r="K68" s="1572"/>
      <c r="L68" s="1572"/>
      <c r="M68" s="1572"/>
      <c r="N68" s="1572"/>
      <c r="O68" s="1572"/>
      <c r="P68" s="1572"/>
      <c r="Q68" s="1572"/>
      <c r="R68" s="1572"/>
      <c r="S68" s="1572"/>
      <c r="T68" s="1572"/>
      <c r="U68" s="1572"/>
    </row>
    <row r="69" spans="1:21" s="2" customFormat="1" ht="15.5" thickTop="1" thickBot="1" x14ac:dyDescent="0.4">
      <c r="A69" s="3764" t="s">
        <v>723</v>
      </c>
      <c r="B69" s="3765"/>
      <c r="C69" s="12"/>
      <c r="D69" s="12"/>
      <c r="E69" s="12"/>
      <c r="F69" s="12"/>
      <c r="G69" s="13"/>
      <c r="H69" s="21"/>
      <c r="I69" s="21"/>
      <c r="J69" s="21"/>
      <c r="K69" s="21"/>
      <c r="L69" s="21"/>
      <c r="M69" s="21"/>
      <c r="N69" s="21"/>
      <c r="O69" s="21"/>
      <c r="P69" s="21"/>
      <c r="Q69" s="21"/>
      <c r="R69" s="21"/>
      <c r="S69" s="21"/>
      <c r="T69" s="21"/>
      <c r="U69" s="21"/>
    </row>
    <row r="70" spans="1:21" s="2" customFormat="1" ht="15" thickTop="1" x14ac:dyDescent="0.35">
      <c r="A70" s="1382"/>
      <c r="B70" s="1422"/>
      <c r="C70" s="1383"/>
      <c r="D70" s="1383"/>
      <c r="E70" s="1383"/>
      <c r="F70" s="1383"/>
      <c r="G70" s="1384"/>
      <c r="H70" s="1572"/>
      <c r="I70" s="1572"/>
      <c r="J70" s="1572"/>
      <c r="K70" s="1572"/>
      <c r="L70" s="1572"/>
      <c r="M70" s="1572"/>
      <c r="N70" s="1572"/>
      <c r="O70" s="1572"/>
      <c r="P70" s="1572"/>
      <c r="Q70" s="1572"/>
      <c r="R70" s="1572"/>
      <c r="S70" s="1572"/>
      <c r="T70" s="1572"/>
      <c r="U70" s="1572"/>
    </row>
    <row r="71" spans="1:21" s="2" customFormat="1" x14ac:dyDescent="0.35">
      <c r="A71" s="1426"/>
      <c r="B71" s="1422"/>
      <c r="C71" s="1423"/>
      <c r="D71" s="1423"/>
      <c r="E71" s="1423"/>
      <c r="F71" s="1423"/>
      <c r="G71" s="646"/>
      <c r="H71" s="973"/>
      <c r="I71" s="973"/>
      <c r="J71" s="973"/>
      <c r="K71" s="973"/>
      <c r="L71" s="973"/>
      <c r="M71" s="973"/>
      <c r="N71" s="973"/>
      <c r="O71" s="973"/>
      <c r="P71" s="973"/>
      <c r="Q71" s="973"/>
      <c r="R71" s="973"/>
      <c r="S71" s="973"/>
      <c r="T71" s="973"/>
      <c r="U71" s="973"/>
    </row>
    <row r="72" spans="1:21" s="2" customFormat="1" ht="15" thickBot="1" x14ac:dyDescent="0.4">
      <c r="A72" s="1416"/>
      <c r="B72" s="1417"/>
      <c r="C72" s="1423"/>
      <c r="D72" s="1423"/>
      <c r="E72" s="1423"/>
      <c r="F72" s="1423"/>
      <c r="G72" s="646"/>
      <c r="H72" s="974"/>
      <c r="I72" s="974"/>
      <c r="J72" s="974"/>
      <c r="K72" s="974"/>
      <c r="L72" s="974"/>
      <c r="M72" s="974"/>
      <c r="N72" s="974"/>
      <c r="O72" s="974"/>
      <c r="P72" s="974"/>
      <c r="Q72" s="974"/>
      <c r="R72" s="974"/>
      <c r="S72" s="974"/>
      <c r="T72" s="974"/>
      <c r="U72" s="974"/>
    </row>
    <row r="73" spans="1:21" s="2" customFormat="1" ht="15.5" thickTop="1" thickBot="1" x14ac:dyDescent="0.4">
      <c r="A73" s="3764" t="s">
        <v>724</v>
      </c>
      <c r="B73" s="3765"/>
      <c r="C73" s="12"/>
      <c r="D73" s="12"/>
      <c r="E73" s="12"/>
      <c r="F73" s="12"/>
      <c r="G73" s="13"/>
      <c r="H73" s="21"/>
      <c r="I73" s="21"/>
      <c r="J73" s="21"/>
      <c r="K73" s="21"/>
      <c r="L73" s="21"/>
      <c r="M73" s="21"/>
      <c r="N73" s="21"/>
      <c r="O73" s="21"/>
      <c r="P73" s="21"/>
      <c r="Q73" s="21"/>
      <c r="R73" s="21"/>
      <c r="S73" s="21"/>
      <c r="T73" s="21"/>
      <c r="U73" s="21"/>
    </row>
    <row r="74" spans="1:21" ht="15" thickTop="1" x14ac:dyDescent="0.35">
      <c r="A74" s="1386"/>
      <c r="B74" s="1387" t="s">
        <v>2236</v>
      </c>
      <c r="C74" s="1383"/>
      <c r="D74" s="1383"/>
      <c r="E74" s="1383"/>
      <c r="F74" s="1383"/>
      <c r="G74" s="1384"/>
      <c r="H74" s="943"/>
      <c r="I74" s="1572"/>
      <c r="J74" s="1572"/>
      <c r="K74" s="1572"/>
      <c r="L74" s="1572"/>
      <c r="M74" s="1572"/>
      <c r="N74" s="943" t="s">
        <v>669</v>
      </c>
      <c r="O74" s="1572">
        <f>(32981.33*3+35533.84*2+27176.55)-N8</f>
        <v>-32390.798800000019</v>
      </c>
      <c r="P74" s="943"/>
      <c r="Q74" s="1572"/>
      <c r="R74" s="1572"/>
      <c r="S74" s="1572"/>
      <c r="T74" s="1572"/>
      <c r="U74" s="1572"/>
    </row>
    <row r="75" spans="1:21" x14ac:dyDescent="0.35">
      <c r="A75" s="1416"/>
      <c r="B75" s="1417" t="s">
        <v>2237</v>
      </c>
      <c r="C75" s="1423"/>
      <c r="D75" s="1423"/>
      <c r="E75" s="1423"/>
      <c r="F75" s="1423"/>
      <c r="G75" s="646"/>
      <c r="H75" s="977"/>
      <c r="I75" s="977"/>
      <c r="J75" s="977"/>
      <c r="K75" s="977"/>
      <c r="L75" s="943" t="s">
        <v>669</v>
      </c>
      <c r="M75" s="977">
        <f>-15518</f>
        <v>-15518</v>
      </c>
      <c r="N75" s="977"/>
      <c r="O75" s="977"/>
      <c r="P75" s="977"/>
      <c r="Q75" s="977"/>
      <c r="R75" s="977"/>
      <c r="S75" s="977"/>
      <c r="T75" s="977"/>
      <c r="U75" s="977"/>
    </row>
    <row r="76" spans="1:21" ht="15" thickBot="1" x14ac:dyDescent="0.4">
      <c r="A76" s="1416"/>
      <c r="B76" s="1417"/>
      <c r="C76" s="1423"/>
      <c r="D76" s="1423"/>
      <c r="E76" s="1423"/>
      <c r="F76" s="1423"/>
      <c r="G76" s="646"/>
      <c r="H76" s="977"/>
      <c r="I76" s="977"/>
      <c r="J76" s="977"/>
      <c r="K76" s="977"/>
      <c r="L76" s="977"/>
      <c r="M76" s="977"/>
      <c r="N76" s="977"/>
      <c r="O76" s="977"/>
      <c r="P76" s="977"/>
      <c r="Q76" s="977"/>
      <c r="R76" s="977"/>
      <c r="S76" s="977"/>
      <c r="T76" s="977"/>
      <c r="U76" s="977"/>
    </row>
    <row r="77" spans="1:21" ht="15.5" thickTop="1" thickBot="1" x14ac:dyDescent="0.4">
      <c r="A77" s="3764" t="s">
        <v>725</v>
      </c>
      <c r="B77" s="3765"/>
      <c r="C77" s="12"/>
      <c r="D77" s="12"/>
      <c r="E77" s="12"/>
      <c r="F77" s="12"/>
      <c r="G77" s="13"/>
      <c r="H77" s="21"/>
      <c r="I77" s="21"/>
      <c r="J77" s="21"/>
      <c r="K77" s="21"/>
      <c r="L77" s="21"/>
      <c r="M77" s="21"/>
      <c r="N77" s="21"/>
      <c r="O77" s="21"/>
      <c r="P77" s="21"/>
      <c r="Q77" s="21"/>
      <c r="R77" s="21"/>
      <c r="S77" s="21"/>
      <c r="T77" s="21"/>
      <c r="U77" s="21"/>
    </row>
    <row r="78" spans="1:21" ht="15" thickTop="1" x14ac:dyDescent="0.35">
      <c r="A78" s="1426"/>
      <c r="B78" s="1422" t="s">
        <v>726</v>
      </c>
      <c r="C78" s="1423"/>
      <c r="D78" s="1423"/>
      <c r="E78" s="1423"/>
      <c r="F78" s="1423"/>
      <c r="G78" s="646"/>
      <c r="H78" s="977"/>
      <c r="I78" s="977"/>
      <c r="J78" s="977"/>
      <c r="K78" s="977"/>
      <c r="L78" s="977"/>
      <c r="M78" s="977"/>
      <c r="N78" s="977"/>
      <c r="O78" s="977"/>
      <c r="P78" s="977"/>
      <c r="Q78" s="977"/>
      <c r="R78" s="977"/>
      <c r="S78" s="977"/>
      <c r="T78" s="977"/>
      <c r="U78" s="977"/>
    </row>
    <row r="79" spans="1:21" x14ac:dyDescent="0.35">
      <c r="A79" s="1426"/>
      <c r="B79" s="1422" t="s">
        <v>727</v>
      </c>
      <c r="C79" s="1423"/>
      <c r="D79" s="1423"/>
      <c r="E79" s="1423"/>
      <c r="F79" s="1423"/>
      <c r="G79" s="646"/>
      <c r="H79" s="977"/>
      <c r="I79" s="977"/>
      <c r="J79" s="977"/>
      <c r="K79" s="977"/>
      <c r="L79" s="977"/>
      <c r="M79" s="977"/>
      <c r="N79" s="977"/>
      <c r="O79" s="977"/>
      <c r="P79" s="977"/>
      <c r="Q79" s="977"/>
      <c r="R79" s="977"/>
      <c r="S79" s="977"/>
      <c r="T79" s="977"/>
      <c r="U79" s="977"/>
    </row>
    <row r="80" spans="1:21" x14ac:dyDescent="0.35">
      <c r="A80" s="1426"/>
      <c r="B80" s="1422" t="s">
        <v>728</v>
      </c>
      <c r="C80" s="1423"/>
      <c r="D80" s="1423"/>
      <c r="E80" s="1423"/>
      <c r="F80" s="1423"/>
      <c r="G80" s="646"/>
      <c r="H80" s="977"/>
      <c r="I80" s="977"/>
      <c r="J80" s="977"/>
      <c r="K80" s="977"/>
      <c r="L80" s="977"/>
      <c r="M80" s="977"/>
      <c r="N80" s="977"/>
      <c r="O80" s="977"/>
      <c r="P80" s="977"/>
      <c r="Q80" s="977"/>
      <c r="R80" s="977"/>
      <c r="S80" s="977"/>
      <c r="T80" s="977"/>
      <c r="U80" s="977"/>
    </row>
    <row r="81" spans="1:21" x14ac:dyDescent="0.35">
      <c r="A81" s="1426"/>
      <c r="B81" s="1422" t="s">
        <v>729</v>
      </c>
      <c r="C81" s="1423"/>
      <c r="D81" s="1423"/>
      <c r="E81" s="1423"/>
      <c r="F81" s="1423"/>
      <c r="G81" s="646"/>
      <c r="H81" s="977"/>
      <c r="I81" s="977"/>
      <c r="J81" s="977"/>
      <c r="K81" s="977"/>
      <c r="L81" s="977"/>
      <c r="M81" s="977"/>
      <c r="N81" s="977"/>
      <c r="O81" s="977"/>
      <c r="P81" s="977"/>
      <c r="Q81" s="977"/>
      <c r="R81" s="977"/>
      <c r="S81" s="977"/>
      <c r="T81" s="977"/>
      <c r="U81" s="977"/>
    </row>
    <row r="82" spans="1:21" ht="15" thickBot="1" x14ac:dyDescent="0.4">
      <c r="A82" s="978"/>
      <c r="B82" s="939"/>
      <c r="C82" s="940"/>
      <c r="D82" s="940"/>
      <c r="E82" s="940"/>
      <c r="F82" s="940"/>
      <c r="G82" s="1039"/>
      <c r="H82" s="981"/>
      <c r="I82" s="981"/>
      <c r="J82" s="981"/>
      <c r="K82" s="981"/>
      <c r="L82" s="981"/>
      <c r="M82" s="981"/>
      <c r="N82" s="981"/>
      <c r="O82" s="981"/>
      <c r="P82" s="981"/>
      <c r="Q82" s="981"/>
      <c r="R82" s="981"/>
      <c r="S82" s="981"/>
      <c r="T82" s="981"/>
      <c r="U82" s="981"/>
    </row>
    <row r="83" spans="1:21" ht="15.5" thickTop="1" thickBot="1" x14ac:dyDescent="0.4">
      <c r="A83" s="7" t="s">
        <v>730</v>
      </c>
      <c r="B83" s="8"/>
      <c r="C83" s="12"/>
      <c r="D83" s="12"/>
      <c r="E83" s="12"/>
      <c r="F83" s="12"/>
      <c r="G83" s="13"/>
      <c r="H83" s="21"/>
      <c r="I83" s="21"/>
      <c r="J83" s="21"/>
      <c r="K83" s="21"/>
      <c r="L83" s="21"/>
      <c r="M83" s="21"/>
      <c r="N83" s="21"/>
      <c r="O83" s="21"/>
      <c r="P83" s="21"/>
      <c r="Q83" s="21"/>
      <c r="R83" s="21"/>
      <c r="S83" s="21"/>
      <c r="T83" s="21"/>
      <c r="U83" s="21"/>
    </row>
    <row r="84" spans="1:21" ht="15" thickTop="1" x14ac:dyDescent="0.35">
      <c r="A84" s="1382"/>
      <c r="B84" s="1388" t="s">
        <v>731</v>
      </c>
      <c r="C84" s="1383"/>
      <c r="D84" s="1383"/>
      <c r="E84" s="1383"/>
      <c r="F84" s="1383"/>
      <c r="G84" s="1384"/>
      <c r="H84" s="1576"/>
      <c r="I84" s="1576"/>
      <c r="J84" s="1576"/>
      <c r="K84" s="1576"/>
      <c r="L84" s="1576"/>
      <c r="M84" s="1576"/>
      <c r="N84" s="1576"/>
      <c r="O84" s="1576"/>
      <c r="P84" s="1576"/>
      <c r="Q84" s="1576"/>
      <c r="R84" s="1576"/>
      <c r="S84" s="1576"/>
      <c r="T84" s="1576"/>
      <c r="U84" s="1576"/>
    </row>
    <row r="85" spans="1:21" x14ac:dyDescent="0.35">
      <c r="A85" s="1426"/>
      <c r="B85" s="1422" t="s">
        <v>732</v>
      </c>
      <c r="C85" s="1423"/>
      <c r="D85" s="1423"/>
      <c r="E85" s="1423"/>
      <c r="F85" s="1423"/>
      <c r="G85" s="646"/>
      <c r="H85" s="984"/>
      <c r="I85" s="984"/>
      <c r="J85" s="984"/>
      <c r="K85" s="984"/>
      <c r="L85" s="984"/>
      <c r="M85" s="984"/>
      <c r="N85" s="984"/>
      <c r="O85" s="984"/>
      <c r="P85" s="984"/>
      <c r="Q85" s="984"/>
      <c r="R85" s="984"/>
      <c r="S85" s="984"/>
      <c r="T85" s="984"/>
      <c r="U85" s="984"/>
    </row>
    <row r="86" spans="1:21" ht="15" thickBot="1" x14ac:dyDescent="0.4">
      <c r="A86" s="985"/>
      <c r="B86" s="986" t="s">
        <v>733</v>
      </c>
      <c r="C86" s="987"/>
      <c r="D86" s="987"/>
      <c r="E86" s="987"/>
      <c r="F86" s="987"/>
      <c r="G86" s="1040"/>
      <c r="H86" s="990"/>
      <c r="I86" s="990"/>
      <c r="J86" s="990"/>
      <c r="K86" s="990"/>
      <c r="L86" s="990"/>
      <c r="M86" s="990"/>
      <c r="N86" s="990"/>
      <c r="O86" s="990"/>
      <c r="P86" s="990"/>
      <c r="Q86" s="990"/>
      <c r="R86" s="990"/>
      <c r="S86" s="990"/>
      <c r="T86" s="990"/>
      <c r="U86" s="990"/>
    </row>
    <row r="87" spans="1:21" ht="15.5" thickTop="1" thickBot="1" x14ac:dyDescent="0.4"/>
    <row r="88" spans="1:21" ht="15.5" thickTop="1" thickBot="1" x14ac:dyDescent="0.4">
      <c r="A88" s="78" t="s">
        <v>734</v>
      </c>
      <c r="B88" s="80"/>
    </row>
    <row r="89" spans="1:21" ht="15.5" thickTop="1" thickBot="1" x14ac:dyDescent="0.4">
      <c r="A89" s="79" t="s">
        <v>632</v>
      </c>
      <c r="B89" s="80" t="str">
        <f>N4</f>
        <v>Interior Specialties</v>
      </c>
    </row>
    <row r="90" spans="1:21" ht="15" thickTop="1" x14ac:dyDescent="0.35">
      <c r="A90" s="1465" t="s">
        <v>636</v>
      </c>
      <c r="B90" s="991" t="str">
        <f>N5</f>
        <v>Christopher Smith</v>
      </c>
    </row>
    <row r="91" spans="1:21" x14ac:dyDescent="0.35">
      <c r="A91" s="992" t="s">
        <v>639</v>
      </c>
      <c r="B91" s="993" t="str">
        <f>N6</f>
        <v xml:space="preserve">407-331-4564 </v>
      </c>
    </row>
    <row r="92" spans="1:21" x14ac:dyDescent="0.35">
      <c r="A92" s="992" t="s">
        <v>642</v>
      </c>
      <c r="B92" s="994" t="str">
        <f>N7</f>
        <v xml:space="preserve"> csmith@interiorspecialties.com</v>
      </c>
    </row>
    <row r="93" spans="1:21" ht="15" thickBot="1" x14ac:dyDescent="0.4">
      <c r="A93" s="995" t="s">
        <v>735</v>
      </c>
      <c r="B93" s="996">
        <f>N8</f>
        <v>229579.01879999999</v>
      </c>
    </row>
    <row r="94" spans="1:21" ht="15" thickTop="1" x14ac:dyDescent="0.35"/>
    <row r="95" spans="1:21" x14ac:dyDescent="0.35">
      <c r="A95" s="81"/>
      <c r="B95" s="1" t="s">
        <v>736</v>
      </c>
    </row>
    <row r="96" spans="1:21" x14ac:dyDescent="0.35">
      <c r="A96" s="82"/>
      <c r="B96" s="1" t="s">
        <v>737</v>
      </c>
    </row>
  </sheetData>
  <mergeCells count="68">
    <mergeCell ref="P9:Q9"/>
    <mergeCell ref="P10:Q10"/>
    <mergeCell ref="P11:Q11"/>
    <mergeCell ref="P12:Q12"/>
    <mergeCell ref="H2:I2"/>
    <mergeCell ref="N11:O11"/>
    <mergeCell ref="N12:O12"/>
    <mergeCell ref="H9:I9"/>
    <mergeCell ref="H10:I10"/>
    <mergeCell ref="H11:I11"/>
    <mergeCell ref="H12:I12"/>
    <mergeCell ref="H6:I6"/>
    <mergeCell ref="H7:I7"/>
    <mergeCell ref="H8:I8"/>
    <mergeCell ref="N9:O9"/>
    <mergeCell ref="N10:O10"/>
    <mergeCell ref="A61:B61"/>
    <mergeCell ref="A65:B65"/>
    <mergeCell ref="A69:B69"/>
    <mergeCell ref="A73:B73"/>
    <mergeCell ref="A77:B77"/>
    <mergeCell ref="N6:O6"/>
    <mergeCell ref="T7:U7"/>
    <mergeCell ref="T8:U8"/>
    <mergeCell ref="P7:Q7"/>
    <mergeCell ref="J7:K7"/>
    <mergeCell ref="N7:O7"/>
    <mergeCell ref="R7:S7"/>
    <mergeCell ref="L7:M7"/>
    <mergeCell ref="P8:Q8"/>
    <mergeCell ref="J8:K8"/>
    <mergeCell ref="N8:O8"/>
    <mergeCell ref="R8:S8"/>
    <mergeCell ref="L8:M8"/>
    <mergeCell ref="R6:S6"/>
    <mergeCell ref="L6:M6"/>
    <mergeCell ref="T6:U6"/>
    <mergeCell ref="N5:O5"/>
    <mergeCell ref="R5:S5"/>
    <mergeCell ref="L5:M5"/>
    <mergeCell ref="P4:Q4"/>
    <mergeCell ref="J4:K4"/>
    <mergeCell ref="N4:O4"/>
    <mergeCell ref="R4:S4"/>
    <mergeCell ref="L4:M4"/>
    <mergeCell ref="H4:I4"/>
    <mergeCell ref="H5:I5"/>
    <mergeCell ref="P6:Q6"/>
    <mergeCell ref="T3:U3"/>
    <mergeCell ref="P2:Q2"/>
    <mergeCell ref="J2:K2"/>
    <mergeCell ref="T5:U5"/>
    <mergeCell ref="T4:U4"/>
    <mergeCell ref="P5:Q5"/>
    <mergeCell ref="J5:K5"/>
    <mergeCell ref="J6:K6"/>
    <mergeCell ref="P3:Q3"/>
    <mergeCell ref="J3:K3"/>
    <mergeCell ref="T2:U2"/>
    <mergeCell ref="N3:O3"/>
    <mergeCell ref="R3:S3"/>
    <mergeCell ref="H3:I3"/>
    <mergeCell ref="H1:I1"/>
    <mergeCell ref="L3:M3"/>
    <mergeCell ref="L1:M1"/>
    <mergeCell ref="N2:O2"/>
    <mergeCell ref="R2:S2"/>
    <mergeCell ref="L2:M2"/>
  </mergeCells>
  <conditionalFormatting sqref="H24:H36">
    <cfRule type="cellIs" dxfId="1845" priority="7" operator="equal">
      <formula>"X"</formula>
    </cfRule>
    <cfRule type="cellIs" dxfId="1844" priority="8" operator="equal">
      <formula>"I"</formula>
    </cfRule>
  </conditionalFormatting>
  <conditionalFormatting sqref="H38:H52">
    <cfRule type="cellIs" dxfId="1843" priority="11" operator="equal">
      <formula>"X"</formula>
    </cfRule>
    <cfRule type="cellIs" dxfId="1842" priority="12" operator="equal">
      <formula>"I"</formula>
    </cfRule>
  </conditionalFormatting>
  <conditionalFormatting sqref="H74">
    <cfRule type="cellIs" dxfId="1841" priority="9" operator="equal">
      <formula>"X"</formula>
    </cfRule>
    <cfRule type="cellIs" dxfId="1840" priority="10" operator="equal">
      <formula>"I"</formula>
    </cfRule>
  </conditionalFormatting>
  <conditionalFormatting sqref="N24:N36">
    <cfRule type="cellIs" dxfId="1839" priority="17" operator="equal">
      <formula>"X"</formula>
    </cfRule>
    <cfRule type="cellIs" dxfId="1838" priority="18" operator="equal">
      <formula>"I"</formula>
    </cfRule>
  </conditionalFormatting>
  <conditionalFormatting sqref="N38:N52 J38:J52 R38:R52 T38:T52 L38:L52 P38:P52">
    <cfRule type="cellIs" dxfId="1837" priority="37" operator="equal">
      <formula>"X"</formula>
    </cfRule>
    <cfRule type="cellIs" dxfId="1836" priority="38" operator="equal">
      <formula>"I"</formula>
    </cfRule>
  </conditionalFormatting>
  <conditionalFormatting sqref="N62">
    <cfRule type="cellIs" dxfId="1835" priority="23" operator="equal">
      <formula>"X"</formula>
    </cfRule>
    <cfRule type="cellIs" dxfId="1834" priority="24" operator="equal">
      <formula>"I"</formula>
    </cfRule>
  </conditionalFormatting>
  <conditionalFormatting sqref="N74">
    <cfRule type="cellIs" dxfId="1833" priority="15" operator="equal">
      <formula>"X"</formula>
    </cfRule>
    <cfRule type="cellIs" dxfId="1832" priority="16" operator="equal">
      <formula>"I"</formula>
    </cfRule>
  </conditionalFormatting>
  <conditionalFormatting sqref="P24:P36">
    <cfRule type="cellIs" dxfId="1831" priority="27" operator="equal">
      <formula>"X"</formula>
    </cfRule>
    <cfRule type="cellIs" dxfId="1830" priority="28" operator="equal">
      <formula>"I"</formula>
    </cfRule>
  </conditionalFormatting>
  <conditionalFormatting sqref="P74">
    <cfRule type="cellIs" dxfId="1829" priority="33" operator="equal">
      <formula>"X"</formula>
    </cfRule>
    <cfRule type="cellIs" dxfId="1828" priority="34" operator="equal">
      <formula>"I"</formula>
    </cfRule>
  </conditionalFormatting>
  <conditionalFormatting sqref="J24:J36">
    <cfRule type="cellIs" dxfId="1827" priority="31" operator="equal">
      <formula>"X"</formula>
    </cfRule>
    <cfRule type="cellIs" dxfId="1826" priority="32" operator="equal">
      <formula>"I"</formula>
    </cfRule>
  </conditionalFormatting>
  <conditionalFormatting sqref="J62">
    <cfRule type="cellIs" dxfId="1825" priority="25" operator="equal">
      <formula>"X"</formula>
    </cfRule>
    <cfRule type="cellIs" dxfId="1824" priority="26" operator="equal">
      <formula>"I"</formula>
    </cfRule>
  </conditionalFormatting>
  <conditionalFormatting sqref="R24:R36">
    <cfRule type="cellIs" dxfId="1823" priority="13" operator="equal">
      <formula>"X"</formula>
    </cfRule>
    <cfRule type="cellIs" dxfId="1822" priority="14" operator="equal">
      <formula>"I"</formula>
    </cfRule>
  </conditionalFormatting>
  <conditionalFormatting sqref="L24:L36">
    <cfRule type="cellIs" dxfId="1821" priority="5" operator="equal">
      <formula>"X"</formula>
    </cfRule>
    <cfRule type="cellIs" dxfId="1820" priority="6" operator="equal">
      <formula>"I"</formula>
    </cfRule>
  </conditionalFormatting>
  <conditionalFormatting sqref="L75">
    <cfRule type="cellIs" dxfId="1819" priority="3" operator="equal">
      <formula>"X"</formula>
    </cfRule>
    <cfRule type="cellIs" dxfId="1818" priority="4" operator="equal">
      <formula>"I"</formula>
    </cfRule>
  </conditionalFormatting>
  <conditionalFormatting sqref="T24:T26 T36">
    <cfRule type="cellIs" dxfId="1817" priority="57" operator="equal">
      <formula>"X"</formula>
    </cfRule>
    <cfRule type="cellIs" dxfId="1816" priority="58" operator="equal">
      <formula>"I"</formula>
    </cfRule>
  </conditionalFormatting>
  <conditionalFormatting sqref="T27:T35">
    <cfRule type="cellIs" dxfId="1815" priority="1" operator="equal">
      <formula>"X"</formula>
    </cfRule>
    <cfRule type="cellIs" dxfId="1814" priority="2" operator="equal">
      <formula>"I"</formula>
    </cfRule>
  </conditionalFormatting>
  <hyperlinks>
    <hyperlink ref="B3" location="'Cost Summary'!A1" display="BACK TO SUMMARY SHEET" xr:uid="{9D388C71-1BC1-42F7-9305-2FFD982FB7A2}"/>
    <hyperlink ref="P7:Q7" r:id="rId1" display="rwaggoner@nationalmillworkinc.com" xr:uid="{D81CE0DC-6A3C-4299-84E0-8C120AE6E8E2}"/>
    <hyperlink ref="J7:K7" r:id="rId2" display="jeff.thomas@truteam.com" xr:uid="{5C3424A9-AE99-40C2-9A50-B1C9F89BD5EB}"/>
    <hyperlink ref="R7:S7" r:id="rId3" display="hanna@asterakb.com" xr:uid="{E9064FF9-6AE6-4E7A-B8F6-884E2D3E7C4C}"/>
    <hyperlink ref="H7:I7" r:id="rId4" display="Michael@nationalkb.com" xr:uid="{E8DD40FF-DEFA-4666-907E-946DB2958674}"/>
    <hyperlink ref="T7:U7" r:id="rId5" display="eddy@granitestatespecialties.com" xr:uid="{03A68B25-1CCE-4C36-A22E-F7F4055A7734}"/>
  </hyperlinks>
  <pageMargins left="0.7" right="0.7" top="0.75" bottom="0.75" header="0.3" footer="0.3"/>
  <pageSetup orientation="portrait"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52F2-65D6-4CAC-B510-7F76D3DC4B4F}">
  <sheetPr>
    <tabColor rgb="FF92D050"/>
  </sheetPr>
  <dimension ref="A1:AY131"/>
  <sheetViews>
    <sheetView zoomScale="86" zoomScaleNormal="86" workbookViewId="0">
      <pane xSplit="2" ySplit="9" topLeftCell="C77" activePane="bottomRight" state="frozen"/>
      <selection pane="topRight" activeCell="C1" sqref="C1"/>
      <selection pane="bottomLeft" activeCell="A11" sqref="A11"/>
      <selection pane="bottomRight" activeCell="E81" sqref="E81"/>
    </sheetView>
  </sheetViews>
  <sheetFormatPr defaultRowHeight="15" customHeight="1" x14ac:dyDescent="0.35"/>
  <cols>
    <col min="1" max="1" width="11" customWidth="1"/>
    <col min="2" max="2" width="72.1796875" style="1" bestFit="1" customWidth="1"/>
    <col min="3" max="3" width="10.81640625" style="2" bestFit="1" customWidth="1"/>
    <col min="4" max="4" width="15.1796875" style="2" customWidth="1"/>
    <col min="5" max="5" width="7.54296875" style="2" customWidth="1"/>
    <col min="6" max="6" width="7.7265625" style="2" customWidth="1"/>
    <col min="7" max="7" width="12.26953125" style="2" customWidth="1"/>
    <col min="8" max="8" width="8.54296875" style="2" customWidth="1"/>
    <col min="9" max="9" width="12.453125" style="2" customWidth="1"/>
    <col min="10" max="10" width="8.54296875" style="2" customWidth="1"/>
    <col min="11" max="11" width="12.453125" style="2" customWidth="1"/>
    <col min="12" max="12" width="8.54296875" style="2" customWidth="1"/>
    <col min="13" max="13" width="12.453125" style="2" customWidth="1"/>
    <col min="14" max="14" width="8.54296875" style="2" customWidth="1"/>
    <col min="15" max="15" width="13.81640625" style="2" customWidth="1"/>
    <col min="16" max="16" width="6.453125" style="2" hidden="1" customWidth="1"/>
    <col min="17" max="17" width="14.81640625" style="2" hidden="1" customWidth="1"/>
    <col min="18" max="18" width="6.26953125" style="2" hidden="1" customWidth="1"/>
    <col min="19" max="19" width="14.81640625" style="2" hidden="1" customWidth="1"/>
    <col min="20" max="20" width="6.26953125" style="2" customWidth="1"/>
    <col min="21" max="21" width="14.81640625" style="2" customWidth="1"/>
    <col min="22" max="22" width="6.81640625" style="2" customWidth="1"/>
    <col min="23" max="23" width="14.54296875" style="2" bestFit="1" customWidth="1"/>
    <col min="24" max="24" width="6.81640625" style="2" customWidth="1"/>
    <col min="25" max="25" width="14.54296875" style="2" bestFit="1" customWidth="1"/>
    <col min="26" max="26" width="8.54296875" style="2" customWidth="1"/>
    <col min="27" max="27" width="12.453125" style="2" customWidth="1"/>
    <col min="28" max="28" width="6.81640625" style="2" customWidth="1"/>
    <col min="29" max="29" width="14.54296875" style="2" bestFit="1" customWidth="1"/>
    <col min="30" max="30" width="6.81640625" style="2" customWidth="1"/>
    <col min="31" max="31" width="14.54296875" style="2" bestFit="1" customWidth="1"/>
    <col min="32" max="32" width="8.54296875" style="2" customWidth="1"/>
    <col min="33" max="33" width="13.81640625" style="2" customWidth="1"/>
    <col min="34" max="34" width="7.453125" style="2" customWidth="1"/>
    <col min="35" max="35" width="14.81640625" style="2" customWidth="1"/>
    <col min="36" max="36" width="6.81640625" style="2" customWidth="1"/>
    <col min="37" max="37" width="14.54296875" style="2" bestFit="1" customWidth="1"/>
    <col min="38" max="38" width="7.453125" style="2" bestFit="1" customWidth="1"/>
    <col min="39" max="39" width="14.81640625" style="2" customWidth="1"/>
    <col min="40" max="40" width="7.453125" style="2" bestFit="1" customWidth="1"/>
    <col min="41" max="41" width="14.81640625" style="2" customWidth="1"/>
    <col min="42" max="42" width="9.1796875" style="2" hidden="1" customWidth="1"/>
    <col min="43" max="43" width="14.81640625" style="2" hidden="1" customWidth="1"/>
    <col min="44" max="44" width="7.453125" style="2" hidden="1" customWidth="1"/>
    <col min="45" max="45" width="14.81640625" style="2" hidden="1" customWidth="1"/>
    <col min="46" max="46" width="8.54296875" style="2" customWidth="1"/>
    <col min="47" max="47" width="13.81640625" style="2" customWidth="1"/>
    <col min="48" max="48" width="8.54296875" style="2" customWidth="1"/>
    <col min="49" max="49" width="13.81640625" style="2" customWidth="1"/>
    <col min="50" max="50" width="8.54296875" style="2" customWidth="1"/>
    <col min="51" max="51" width="13.81640625" style="2" customWidth="1"/>
  </cols>
  <sheetData>
    <row r="1" spans="1:51" ht="14.5" x14ac:dyDescent="0.35">
      <c r="E1" s="152"/>
      <c r="F1" s="125"/>
      <c r="G1" s="123" t="s">
        <v>621</v>
      </c>
      <c r="M1" s="2" t="s">
        <v>770</v>
      </c>
      <c r="U1" s="2" t="s">
        <v>770</v>
      </c>
      <c r="Y1" s="2" t="s">
        <v>770</v>
      </c>
    </row>
    <row r="2" spans="1:51" ht="14.5" x14ac:dyDescent="0.35">
      <c r="E2" s="152"/>
      <c r="F2" s="122" t="s">
        <v>622</v>
      </c>
      <c r="G2" s="123" t="s">
        <v>451</v>
      </c>
      <c r="H2" s="3866">
        <v>5613583058</v>
      </c>
      <c r="I2" s="3866"/>
      <c r="J2" s="3866">
        <v>5613583058</v>
      </c>
      <c r="K2" s="3866"/>
      <c r="L2" s="3866">
        <v>5613583058</v>
      </c>
      <c r="M2" s="3866"/>
      <c r="N2" s="3866"/>
      <c r="O2" s="3866"/>
      <c r="P2" s="3866"/>
      <c r="Q2" s="3866"/>
      <c r="R2" s="3866">
        <v>7546101167</v>
      </c>
      <c r="S2" s="3866"/>
      <c r="T2" s="3866">
        <v>7546101167</v>
      </c>
      <c r="U2" s="3866"/>
      <c r="V2" s="3866">
        <v>7722000990</v>
      </c>
      <c r="W2" s="3866"/>
      <c r="X2" s="3866">
        <v>7722000990</v>
      </c>
      <c r="Y2" s="3866"/>
      <c r="Z2" s="3866"/>
      <c r="AA2" s="3866"/>
      <c r="AB2" s="3866"/>
      <c r="AC2" s="3866"/>
      <c r="AD2" s="3866"/>
      <c r="AE2" s="3866"/>
      <c r="AF2" s="3866"/>
      <c r="AG2" s="3866"/>
      <c r="AH2" s="3866"/>
      <c r="AI2" s="3866"/>
      <c r="AJ2" s="3866">
        <v>7722000990</v>
      </c>
      <c r="AK2" s="3866"/>
      <c r="AL2" s="3866"/>
      <c r="AM2" s="3866"/>
      <c r="AN2" s="3866">
        <v>9547649130</v>
      </c>
      <c r="AO2" s="3866"/>
      <c r="AP2" s="3866" t="s">
        <v>2238</v>
      </c>
      <c r="AQ2" s="3866"/>
      <c r="AR2" s="3866" t="s">
        <v>2239</v>
      </c>
      <c r="AS2" s="3866"/>
      <c r="AT2" s="3866"/>
      <c r="AU2" s="3866"/>
      <c r="AV2" s="3751"/>
      <c r="AW2" s="3751"/>
      <c r="AX2" s="3751"/>
      <c r="AY2" s="3751"/>
    </row>
    <row r="3" spans="1:51" ht="19.5" x14ac:dyDescent="0.35">
      <c r="B3" s="137" t="s">
        <v>623</v>
      </c>
      <c r="E3" s="152"/>
      <c r="F3" s="124" t="s">
        <v>624</v>
      </c>
      <c r="G3" s="123" t="s">
        <v>557</v>
      </c>
      <c r="H3" s="3772" t="s">
        <v>625</v>
      </c>
      <c r="I3" s="3773"/>
      <c r="J3" s="3772" t="s">
        <v>625</v>
      </c>
      <c r="K3" s="3773"/>
      <c r="L3" s="3772" t="s">
        <v>625</v>
      </c>
      <c r="M3" s="3773"/>
      <c r="N3" s="3754" t="s">
        <v>628</v>
      </c>
      <c r="O3" s="3755"/>
      <c r="P3" s="3754" t="s">
        <v>627</v>
      </c>
      <c r="Q3" s="3755"/>
      <c r="R3" s="3754" t="s">
        <v>627</v>
      </c>
      <c r="S3" s="3755"/>
      <c r="T3" s="3754" t="s">
        <v>627</v>
      </c>
      <c r="U3" s="3755"/>
      <c r="V3" s="3754" t="s">
        <v>630</v>
      </c>
      <c r="W3" s="3755"/>
      <c r="X3" s="3754" t="s">
        <v>630</v>
      </c>
      <c r="Y3" s="3755"/>
      <c r="Z3" s="3754" t="s">
        <v>626</v>
      </c>
      <c r="AA3" s="3755"/>
      <c r="AB3" s="3754" t="s">
        <v>2240</v>
      </c>
      <c r="AC3" s="3755"/>
      <c r="AD3" s="3754" t="s">
        <v>2240</v>
      </c>
      <c r="AE3" s="3755"/>
      <c r="AF3" s="3754" t="s">
        <v>628</v>
      </c>
      <c r="AG3" s="3755"/>
      <c r="AH3" s="3754" t="s">
        <v>772</v>
      </c>
      <c r="AI3" s="3755"/>
      <c r="AJ3" s="3754" t="s">
        <v>630</v>
      </c>
      <c r="AK3" s="3755"/>
      <c r="AL3" s="3754" t="s">
        <v>1678</v>
      </c>
      <c r="AM3" s="3755"/>
      <c r="AN3" s="3754" t="s">
        <v>2045</v>
      </c>
      <c r="AO3" s="3755"/>
      <c r="AP3" s="3891" t="s">
        <v>625</v>
      </c>
      <c r="AQ3" s="3892"/>
      <c r="AR3" s="3754" t="s">
        <v>625</v>
      </c>
      <c r="AS3" s="3755"/>
      <c r="AT3" s="3891" t="s">
        <v>627</v>
      </c>
      <c r="AU3" s="3892"/>
      <c r="AV3" s="3754" t="s">
        <v>772</v>
      </c>
      <c r="AW3" s="3755"/>
      <c r="AX3" s="3754" t="s">
        <v>773</v>
      </c>
      <c r="AY3" s="3755"/>
    </row>
    <row r="4" spans="1:51" ht="15.75" customHeight="1" x14ac:dyDescent="0.35">
      <c r="A4" s="3" t="s">
        <v>631</v>
      </c>
      <c r="B4" s="4" t="str">
        <f>'AREA CALC''s'!B4</f>
        <v>Alton Hilltop Gardens</v>
      </c>
      <c r="C4" s="5"/>
      <c r="D4" s="5"/>
      <c r="E4" s="5"/>
      <c r="F4" s="5"/>
      <c r="G4" s="6" t="s">
        <v>632</v>
      </c>
      <c r="H4" s="3752" t="s">
        <v>2241</v>
      </c>
      <c r="I4" s="3753"/>
      <c r="J4" s="3752" t="s">
        <v>2242</v>
      </c>
      <c r="K4" s="3753"/>
      <c r="L4" s="3752" t="s">
        <v>2242</v>
      </c>
      <c r="M4" s="3753"/>
      <c r="N4" s="3752" t="s">
        <v>2243</v>
      </c>
      <c r="O4" s="3753"/>
      <c r="P4" s="3752" t="s">
        <v>2244</v>
      </c>
      <c r="Q4" s="3753"/>
      <c r="R4" s="3752" t="s">
        <v>2245</v>
      </c>
      <c r="S4" s="3753"/>
      <c r="T4" s="3752" t="s">
        <v>2245</v>
      </c>
      <c r="U4" s="3753"/>
      <c r="V4" s="3752" t="s">
        <v>2246</v>
      </c>
      <c r="W4" s="3753"/>
      <c r="X4" s="3752" t="s">
        <v>2247</v>
      </c>
      <c r="Y4" s="3753"/>
      <c r="Z4" s="3752" t="s">
        <v>2248</v>
      </c>
      <c r="AA4" s="3753"/>
      <c r="AB4" s="3752" t="s">
        <v>2249</v>
      </c>
      <c r="AC4" s="3753"/>
      <c r="AD4" s="3752" t="s">
        <v>2250</v>
      </c>
      <c r="AE4" s="3753"/>
      <c r="AF4" s="3752" t="s">
        <v>2243</v>
      </c>
      <c r="AG4" s="3753"/>
      <c r="AH4" s="3752" t="s">
        <v>2251</v>
      </c>
      <c r="AI4" s="3753"/>
      <c r="AJ4" s="3752" t="s">
        <v>1185</v>
      </c>
      <c r="AK4" s="3753"/>
      <c r="AL4" s="3752" t="s">
        <v>989</v>
      </c>
      <c r="AM4" s="3753"/>
      <c r="AN4" s="3752" t="s">
        <v>2252</v>
      </c>
      <c r="AO4" s="3753"/>
      <c r="AP4" s="3752" t="s">
        <v>2253</v>
      </c>
      <c r="AQ4" s="3753"/>
      <c r="AR4" s="3752" t="s">
        <v>2253</v>
      </c>
      <c r="AS4" s="3753"/>
      <c r="AT4" s="3752" t="s">
        <v>2254</v>
      </c>
      <c r="AU4" s="3753"/>
      <c r="AV4" s="3752"/>
      <c r="AW4" s="3753"/>
      <c r="AX4" s="3752"/>
      <c r="AY4" s="3753"/>
    </row>
    <row r="5" spans="1:51" ht="14.5" x14ac:dyDescent="0.35">
      <c r="A5" s="1421" t="s">
        <v>634</v>
      </c>
      <c r="B5" s="1422" t="s">
        <v>505</v>
      </c>
      <c r="C5" s="1423"/>
      <c r="D5" s="1423"/>
      <c r="E5" s="1423"/>
      <c r="F5" s="1423"/>
      <c r="G5" s="643" t="s">
        <v>636</v>
      </c>
      <c r="H5" s="3851" t="s">
        <v>1195</v>
      </c>
      <c r="I5" s="3759"/>
      <c r="J5" s="3851" t="s">
        <v>1195</v>
      </c>
      <c r="K5" s="3759"/>
      <c r="L5" s="3851" t="s">
        <v>1195</v>
      </c>
      <c r="M5" s="3759"/>
      <c r="N5" s="3851" t="s">
        <v>2255</v>
      </c>
      <c r="O5" s="3759"/>
      <c r="P5" s="3851" t="s">
        <v>2256</v>
      </c>
      <c r="Q5" s="3759"/>
      <c r="R5" s="3851" t="s">
        <v>2256</v>
      </c>
      <c r="S5" s="3759"/>
      <c r="T5" s="3851" t="s">
        <v>2256</v>
      </c>
      <c r="U5" s="3759"/>
      <c r="V5" s="3851" t="s">
        <v>1194</v>
      </c>
      <c r="W5" s="3759"/>
      <c r="X5" s="3851" t="s">
        <v>1194</v>
      </c>
      <c r="Y5" s="3759"/>
      <c r="Z5" s="3851" t="s">
        <v>2257</v>
      </c>
      <c r="AA5" s="3759"/>
      <c r="AB5" s="3851" t="s">
        <v>2258</v>
      </c>
      <c r="AC5" s="3759"/>
      <c r="AD5" s="3851" t="s">
        <v>2258</v>
      </c>
      <c r="AE5" s="3759"/>
      <c r="AF5" s="3851" t="s">
        <v>2255</v>
      </c>
      <c r="AG5" s="3759"/>
      <c r="AH5" s="3851" t="s">
        <v>2259</v>
      </c>
      <c r="AI5" s="3759"/>
      <c r="AJ5" s="3851" t="s">
        <v>1194</v>
      </c>
      <c r="AK5" s="3759"/>
      <c r="AL5" s="3851" t="s">
        <v>995</v>
      </c>
      <c r="AM5" s="3759"/>
      <c r="AN5" s="3851" t="s">
        <v>2260</v>
      </c>
      <c r="AO5" s="3759"/>
      <c r="AP5" s="3851" t="s">
        <v>2259</v>
      </c>
      <c r="AQ5" s="3759"/>
      <c r="AR5" s="3851" t="s">
        <v>2259</v>
      </c>
      <c r="AS5" s="3759"/>
      <c r="AT5" s="3851" t="s">
        <v>2261</v>
      </c>
      <c r="AU5" s="3759"/>
      <c r="AV5" s="3851"/>
      <c r="AW5" s="3759"/>
      <c r="AX5" s="3851"/>
      <c r="AY5" s="3759"/>
    </row>
    <row r="6" spans="1:51" ht="14.5" x14ac:dyDescent="0.35">
      <c r="A6" s="1421" t="s">
        <v>638</v>
      </c>
      <c r="B6" s="1424" t="s">
        <v>504</v>
      </c>
      <c r="C6" s="1423"/>
      <c r="D6" s="1423"/>
      <c r="E6" s="1423"/>
      <c r="F6" s="1423"/>
      <c r="G6" s="643" t="s">
        <v>639</v>
      </c>
      <c r="H6" s="3852">
        <v>5613355021</v>
      </c>
      <c r="I6" s="3757"/>
      <c r="J6" s="3852">
        <v>5613355021</v>
      </c>
      <c r="K6" s="3757"/>
      <c r="L6" s="3852">
        <v>5613355021</v>
      </c>
      <c r="M6" s="3757"/>
      <c r="N6" s="3852" t="s">
        <v>2262</v>
      </c>
      <c r="O6" s="3757"/>
      <c r="P6" s="3852">
        <v>546101167</v>
      </c>
      <c r="Q6" s="3757"/>
      <c r="R6" s="3852">
        <v>546101167</v>
      </c>
      <c r="S6" s="3757"/>
      <c r="T6" s="3852">
        <v>546101167</v>
      </c>
      <c r="U6" s="3757"/>
      <c r="V6" s="3852">
        <v>7726172281</v>
      </c>
      <c r="W6" s="3757"/>
      <c r="X6" s="3852">
        <v>7726172281</v>
      </c>
      <c r="Y6" s="3757"/>
      <c r="Z6" s="3852">
        <v>2676646131</v>
      </c>
      <c r="AA6" s="3757"/>
      <c r="AB6" s="3852">
        <v>9543747474</v>
      </c>
      <c r="AC6" s="3757"/>
      <c r="AD6" s="3852">
        <v>9543747474</v>
      </c>
      <c r="AE6" s="3757"/>
      <c r="AF6" s="3852" t="s">
        <v>2262</v>
      </c>
      <c r="AG6" s="3757"/>
      <c r="AH6" s="3852">
        <v>8139850850</v>
      </c>
      <c r="AI6" s="3757"/>
      <c r="AJ6" s="3852">
        <v>7726172281</v>
      </c>
      <c r="AK6" s="3757"/>
      <c r="AL6" s="3852">
        <v>3217257751</v>
      </c>
      <c r="AM6" s="3757"/>
      <c r="AN6" s="3852">
        <v>9547729007</v>
      </c>
      <c r="AO6" s="3757"/>
      <c r="AP6" s="3852">
        <v>8139850850</v>
      </c>
      <c r="AQ6" s="3757"/>
      <c r="AR6" s="3852">
        <v>8139850850</v>
      </c>
      <c r="AS6" s="3757"/>
      <c r="AT6" s="3852">
        <v>5617363515</v>
      </c>
      <c r="AU6" s="3757"/>
      <c r="AV6" s="3852"/>
      <c r="AW6" s="3757"/>
      <c r="AX6" s="3852"/>
      <c r="AY6" s="3757"/>
    </row>
    <row r="7" spans="1:51" ht="14.5" x14ac:dyDescent="0.35">
      <c r="A7" s="1421" t="s">
        <v>641</v>
      </c>
      <c r="B7" s="1425"/>
      <c r="C7" s="1423"/>
      <c r="D7" s="1423"/>
      <c r="E7" s="1423"/>
      <c r="F7" s="1423"/>
      <c r="G7" s="643" t="s">
        <v>642</v>
      </c>
      <c r="H7" s="3860" t="s">
        <v>2263</v>
      </c>
      <c r="I7" s="3763"/>
      <c r="J7" s="3860" t="s">
        <v>2263</v>
      </c>
      <c r="K7" s="3763"/>
      <c r="L7" s="3860" t="s">
        <v>2263</v>
      </c>
      <c r="M7" s="3763"/>
      <c r="N7" s="3860" t="s">
        <v>2264</v>
      </c>
      <c r="O7" s="3763"/>
      <c r="P7" s="3860" t="s">
        <v>2265</v>
      </c>
      <c r="Q7" s="3763"/>
      <c r="R7" s="3860" t="s">
        <v>2265</v>
      </c>
      <c r="S7" s="3763"/>
      <c r="T7" s="3860" t="s">
        <v>2265</v>
      </c>
      <c r="U7" s="3763"/>
      <c r="V7" s="3860" t="s">
        <v>2266</v>
      </c>
      <c r="W7" s="3763"/>
      <c r="X7" s="3860" t="s">
        <v>2266</v>
      </c>
      <c r="Y7" s="3763"/>
      <c r="Z7" s="3860" t="s">
        <v>2267</v>
      </c>
      <c r="AA7" s="3763"/>
      <c r="AB7" s="3860" t="s">
        <v>2268</v>
      </c>
      <c r="AC7" s="3763"/>
      <c r="AD7" s="3860" t="s">
        <v>2268</v>
      </c>
      <c r="AE7" s="3763"/>
      <c r="AF7" s="3860" t="s">
        <v>2264</v>
      </c>
      <c r="AG7" s="3763"/>
      <c r="AH7" s="3860" t="s">
        <v>2269</v>
      </c>
      <c r="AI7" s="3763"/>
      <c r="AJ7" s="3860" t="s">
        <v>2266</v>
      </c>
      <c r="AK7" s="3763"/>
      <c r="AL7" s="3860" t="s">
        <v>1005</v>
      </c>
      <c r="AM7" s="3763"/>
      <c r="AN7" s="3860" t="s">
        <v>2270</v>
      </c>
      <c r="AO7" s="3763"/>
      <c r="AP7" s="3860" t="s">
        <v>2269</v>
      </c>
      <c r="AQ7" s="3763"/>
      <c r="AR7" s="3860" t="s">
        <v>2269</v>
      </c>
      <c r="AS7" s="3763"/>
      <c r="AT7" s="3860" t="s">
        <v>2271</v>
      </c>
      <c r="AU7" s="3763"/>
      <c r="AV7" s="3860"/>
      <c r="AW7" s="3763"/>
      <c r="AX7" s="3860"/>
      <c r="AY7" s="3763"/>
    </row>
    <row r="8" spans="1:51" ht="14.5" x14ac:dyDescent="0.35">
      <c r="A8" s="938" t="s">
        <v>644</v>
      </c>
      <c r="B8" s="939"/>
      <c r="C8" s="940"/>
      <c r="D8" s="940"/>
      <c r="E8" s="940"/>
      <c r="F8" s="940"/>
      <c r="G8" s="1024" t="s">
        <v>644</v>
      </c>
      <c r="H8" s="3760">
        <f>I92</f>
        <v>2859000</v>
      </c>
      <c r="I8" s="3761"/>
      <c r="J8" s="3760">
        <f>K92</f>
        <v>3144000</v>
      </c>
      <c r="K8" s="3761"/>
      <c r="L8" s="3760">
        <f>M92</f>
        <v>2998000</v>
      </c>
      <c r="M8" s="3761"/>
      <c r="N8" s="3760">
        <f>O92</f>
        <v>3370563</v>
      </c>
      <c r="O8" s="3761"/>
      <c r="P8" s="3760">
        <f>Q92</f>
        <v>3413100</v>
      </c>
      <c r="Q8" s="3761"/>
      <c r="R8" s="3760">
        <f>S92</f>
        <v>3062000</v>
      </c>
      <c r="S8" s="3761"/>
      <c r="T8" s="3760">
        <f>U92</f>
        <v>2922000</v>
      </c>
      <c r="U8" s="3761"/>
      <c r="V8" s="3760">
        <f>W92</f>
        <v>3354706</v>
      </c>
      <c r="W8" s="3761"/>
      <c r="X8" s="3760">
        <f>Y92</f>
        <v>2900000</v>
      </c>
      <c r="Y8" s="3761"/>
      <c r="Z8" s="3760">
        <f>AA92</f>
        <v>3138171</v>
      </c>
      <c r="AA8" s="3761"/>
      <c r="AB8" s="3760">
        <f>AC92</f>
        <v>3883800</v>
      </c>
      <c r="AC8" s="3761"/>
      <c r="AD8" s="3760">
        <f>AE92</f>
        <v>3254000</v>
      </c>
      <c r="AE8" s="3761"/>
      <c r="AF8" s="3760">
        <f>AG92</f>
        <v>3370563</v>
      </c>
      <c r="AG8" s="3761"/>
      <c r="AH8" s="3760">
        <f>AI92</f>
        <v>3442418</v>
      </c>
      <c r="AI8" s="3761"/>
      <c r="AJ8" s="3760">
        <f>AK92</f>
        <v>3404868</v>
      </c>
      <c r="AK8" s="3761"/>
      <c r="AL8" s="3760">
        <f>AM92</f>
        <v>4292449</v>
      </c>
      <c r="AM8" s="3761"/>
      <c r="AN8" s="3760">
        <f>AO92</f>
        <v>5267000</v>
      </c>
      <c r="AO8" s="3761"/>
      <c r="AP8" s="3760">
        <f>AQ92</f>
        <v>4337628</v>
      </c>
      <c r="AQ8" s="3761"/>
      <c r="AR8" s="3760">
        <f>AS92</f>
        <v>5481181</v>
      </c>
      <c r="AS8" s="3761"/>
      <c r="AT8" s="3760">
        <f>AU92</f>
        <v>4711300</v>
      </c>
      <c r="AU8" s="3761"/>
      <c r="AV8" s="3760">
        <f>AW92</f>
        <v>0</v>
      </c>
      <c r="AW8" s="3761"/>
      <c r="AX8" s="3760">
        <f>AY92</f>
        <v>0</v>
      </c>
      <c r="AY8" s="3761"/>
    </row>
    <row r="9" spans="1:5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t="s">
        <v>651</v>
      </c>
      <c r="AE9" s="11" t="s">
        <v>652</v>
      </c>
      <c r="AF9" s="11" t="s">
        <v>651</v>
      </c>
      <c r="AG9" s="11" t="s">
        <v>652</v>
      </c>
      <c r="AH9" s="11" t="s">
        <v>651</v>
      </c>
      <c r="AI9" s="11" t="s">
        <v>652</v>
      </c>
      <c r="AJ9" s="11" t="s">
        <v>651</v>
      </c>
      <c r="AK9" s="11" t="s">
        <v>652</v>
      </c>
      <c r="AL9" s="11" t="s">
        <v>651</v>
      </c>
      <c r="AM9" s="11" t="s">
        <v>652</v>
      </c>
      <c r="AN9" s="11" t="s">
        <v>651</v>
      </c>
      <c r="AO9" s="11" t="s">
        <v>652</v>
      </c>
      <c r="AP9" s="11" t="s">
        <v>651</v>
      </c>
      <c r="AQ9" s="11" t="s">
        <v>652</v>
      </c>
      <c r="AR9" s="11" t="s">
        <v>651</v>
      </c>
      <c r="AS9" s="11" t="s">
        <v>652</v>
      </c>
      <c r="AT9" s="11" t="s">
        <v>651</v>
      </c>
      <c r="AU9" s="11" t="s">
        <v>652</v>
      </c>
      <c r="AV9" s="11" t="s">
        <v>651</v>
      </c>
      <c r="AW9" s="11" t="s">
        <v>652</v>
      </c>
      <c r="AX9" s="11" t="s">
        <v>651</v>
      </c>
      <c r="AY9" s="11" t="s">
        <v>652</v>
      </c>
    </row>
    <row r="10" spans="1:51" ht="14.5" hidden="1" x14ac:dyDescent="0.35">
      <c r="A10" s="1426"/>
      <c r="B10" s="1390" t="s">
        <v>653</v>
      </c>
      <c r="C10" s="1423"/>
      <c r="D10" s="1423"/>
      <c r="E10" s="1423"/>
      <c r="F10" s="1423"/>
      <c r="G10" s="646"/>
      <c r="H10" s="942"/>
      <c r="I10" s="942"/>
      <c r="J10" s="942"/>
      <c r="K10" s="942"/>
      <c r="L10" s="942"/>
      <c r="M10" s="942"/>
      <c r="N10" s="942"/>
      <c r="O10" s="942"/>
      <c r="P10" s="942"/>
      <c r="Q10" s="942"/>
      <c r="R10" s="942"/>
      <c r="S10" s="942"/>
      <c r="T10" s="942"/>
      <c r="U10" s="942"/>
      <c r="V10" s="942"/>
      <c r="W10" s="942"/>
      <c r="X10" s="942"/>
      <c r="Y10" s="942"/>
      <c r="Z10" s="942"/>
      <c r="AA10" s="942"/>
      <c r="AB10" s="942"/>
      <c r="AC10" s="942"/>
      <c r="AD10" s="942"/>
      <c r="AE10" s="942"/>
      <c r="AF10" s="942"/>
      <c r="AG10" s="942"/>
      <c r="AH10" s="942"/>
      <c r="AI10" s="942"/>
      <c r="AJ10" s="942"/>
      <c r="AK10" s="942"/>
      <c r="AL10" s="942"/>
      <c r="AM10" s="942"/>
      <c r="AN10" s="942"/>
      <c r="AO10" s="942"/>
      <c r="AP10" s="942"/>
      <c r="AQ10" s="942"/>
      <c r="AR10" s="942"/>
      <c r="AS10" s="942"/>
      <c r="AT10" s="942"/>
      <c r="AU10" s="942"/>
      <c r="AV10" s="942"/>
      <c r="AW10" s="942"/>
      <c r="AX10" s="942"/>
      <c r="AY10" s="942"/>
    </row>
    <row r="11" spans="1:51" ht="14.5" hidden="1" x14ac:dyDescent="0.35">
      <c r="A11" s="1426"/>
      <c r="B11" s="1422" t="e">
        <f>#REF!</f>
        <v>#REF!</v>
      </c>
      <c r="C11" s="1427" t="s">
        <v>654</v>
      </c>
      <c r="D11" s="1423"/>
      <c r="E11" s="1423"/>
      <c r="F11" s="1423"/>
      <c r="G11" s="646"/>
      <c r="H11" s="942"/>
      <c r="I11" s="942"/>
      <c r="J11" s="942"/>
      <c r="K11" s="942"/>
      <c r="L11" s="942"/>
      <c r="M11" s="942"/>
      <c r="N11" s="942"/>
      <c r="O11" s="942"/>
      <c r="P11" s="942"/>
      <c r="Q11" s="942"/>
      <c r="R11" s="942"/>
      <c r="S11" s="942"/>
      <c r="T11" s="942"/>
      <c r="U11" s="942"/>
      <c r="V11" s="942"/>
      <c r="W11" s="942"/>
      <c r="X11" s="942"/>
      <c r="Y11" s="942"/>
      <c r="Z11" s="942"/>
      <c r="AA11" s="942"/>
      <c r="AB11" s="942"/>
      <c r="AC11" s="942"/>
      <c r="AD11" s="942"/>
      <c r="AE11" s="942"/>
      <c r="AF11" s="942"/>
      <c r="AG11" s="942"/>
      <c r="AH11" s="942"/>
      <c r="AI11" s="942"/>
      <c r="AJ11" s="942"/>
      <c r="AK11" s="942"/>
      <c r="AL11" s="942"/>
      <c r="AM11" s="942"/>
      <c r="AN11" s="942"/>
      <c r="AO11" s="942"/>
      <c r="AP11" s="942"/>
      <c r="AQ11" s="942"/>
      <c r="AR11" s="942"/>
      <c r="AS11" s="942"/>
      <c r="AT11" s="942"/>
      <c r="AU11" s="942"/>
      <c r="AV11" s="942"/>
      <c r="AW11" s="942"/>
      <c r="AX11" s="942"/>
      <c r="AY11" s="942"/>
    </row>
    <row r="12" spans="1:51" ht="14.5" hidden="1" x14ac:dyDescent="0.35">
      <c r="A12" s="1426"/>
      <c r="B12" s="1422" t="e">
        <f>#REF!</f>
        <v>#REF!</v>
      </c>
      <c r="C12" s="1427" t="s">
        <v>654</v>
      </c>
      <c r="D12" s="1423"/>
      <c r="E12" s="1423"/>
      <c r="F12" s="1423"/>
      <c r="G12" s="646"/>
      <c r="H12" s="942"/>
      <c r="I12" s="942"/>
      <c r="J12" s="942"/>
      <c r="K12" s="942"/>
      <c r="L12" s="942"/>
      <c r="M12" s="942"/>
      <c r="N12" s="942"/>
      <c r="O12" s="942"/>
      <c r="P12" s="942"/>
      <c r="Q12" s="942"/>
      <c r="R12" s="942"/>
      <c r="S12" s="942"/>
      <c r="T12" s="942"/>
      <c r="U12" s="942"/>
      <c r="V12" s="942"/>
      <c r="W12" s="942"/>
      <c r="X12" s="942"/>
      <c r="Y12" s="942"/>
      <c r="Z12" s="942"/>
      <c r="AA12" s="942"/>
      <c r="AB12" s="942"/>
      <c r="AC12" s="942"/>
      <c r="AD12" s="942"/>
      <c r="AE12" s="942"/>
      <c r="AF12" s="942"/>
      <c r="AG12" s="942"/>
      <c r="AH12" s="942"/>
      <c r="AI12" s="942"/>
      <c r="AJ12" s="942"/>
      <c r="AK12" s="942"/>
      <c r="AL12" s="942"/>
      <c r="AM12" s="942"/>
      <c r="AN12" s="942"/>
      <c r="AO12" s="942"/>
      <c r="AP12" s="942"/>
      <c r="AQ12" s="942"/>
      <c r="AR12" s="942"/>
      <c r="AS12" s="942"/>
      <c r="AT12" s="942"/>
      <c r="AU12" s="942"/>
      <c r="AV12" s="942"/>
      <c r="AW12" s="942"/>
      <c r="AX12" s="942"/>
      <c r="AY12" s="942"/>
    </row>
    <row r="13" spans="1:51" ht="14.5" hidden="1" x14ac:dyDescent="0.35">
      <c r="A13" s="1426"/>
      <c r="B13" s="1422" t="e">
        <f>#REF!</f>
        <v>#REF!</v>
      </c>
      <c r="C13" s="1427" t="s">
        <v>654</v>
      </c>
      <c r="D13" s="1423"/>
      <c r="E13" s="1423"/>
      <c r="F13" s="1423"/>
      <c r="G13" s="646"/>
      <c r="H13" s="942"/>
      <c r="I13" s="942"/>
      <c r="J13" s="942"/>
      <c r="K13" s="942"/>
      <c r="L13" s="942"/>
      <c r="M13" s="942"/>
      <c r="N13" s="942"/>
      <c r="O13" s="942"/>
      <c r="P13" s="942"/>
      <c r="Q13" s="942"/>
      <c r="R13" s="942"/>
      <c r="S13" s="942"/>
      <c r="T13" s="942"/>
      <c r="U13" s="942"/>
      <c r="V13" s="942"/>
      <c r="W13" s="942"/>
      <c r="X13" s="942"/>
      <c r="Y13" s="942"/>
      <c r="Z13" s="942"/>
      <c r="AA13" s="942"/>
      <c r="AB13" s="942"/>
      <c r="AC13" s="942"/>
      <c r="AD13" s="942"/>
      <c r="AE13" s="942"/>
      <c r="AF13" s="942"/>
      <c r="AG13" s="942"/>
      <c r="AH13" s="942"/>
      <c r="AI13" s="942"/>
      <c r="AJ13" s="942"/>
      <c r="AK13" s="942"/>
      <c r="AL13" s="942"/>
      <c r="AM13" s="942"/>
      <c r="AN13" s="942"/>
      <c r="AO13" s="942"/>
      <c r="AP13" s="942"/>
      <c r="AQ13" s="942"/>
      <c r="AR13" s="942"/>
      <c r="AS13" s="942"/>
      <c r="AT13" s="942"/>
      <c r="AU13" s="942"/>
      <c r="AV13" s="942"/>
      <c r="AW13" s="942"/>
      <c r="AX13" s="942"/>
      <c r="AY13" s="942"/>
    </row>
    <row r="14" spans="1:51" ht="14.5" hidden="1" x14ac:dyDescent="0.35">
      <c r="A14" s="1426"/>
      <c r="B14" s="1422" t="e">
        <f>#REF!</f>
        <v>#REF!</v>
      </c>
      <c r="C14" s="1427" t="s">
        <v>654</v>
      </c>
      <c r="D14" s="1423"/>
      <c r="E14" s="1423"/>
      <c r="F14" s="1423"/>
      <c r="G14" s="646"/>
      <c r="H14" s="942"/>
      <c r="I14" s="942"/>
      <c r="J14" s="942"/>
      <c r="K14" s="942"/>
      <c r="L14" s="942"/>
      <c r="M14" s="942"/>
      <c r="N14" s="942"/>
      <c r="O14" s="942"/>
      <c r="P14" s="942"/>
      <c r="Q14" s="942"/>
      <c r="R14" s="942"/>
      <c r="S14" s="942"/>
      <c r="T14" s="942"/>
      <c r="U14" s="942"/>
      <c r="V14" s="942"/>
      <c r="W14" s="942"/>
      <c r="X14" s="942"/>
      <c r="Y14" s="942"/>
      <c r="Z14" s="942"/>
      <c r="AA14" s="942"/>
      <c r="AB14" s="942"/>
      <c r="AC14" s="942"/>
      <c r="AD14" s="942"/>
      <c r="AE14" s="942"/>
      <c r="AF14" s="942"/>
      <c r="AG14" s="942"/>
      <c r="AH14" s="942"/>
      <c r="AI14" s="942"/>
      <c r="AJ14" s="942"/>
      <c r="AK14" s="942"/>
      <c r="AL14" s="942"/>
      <c r="AM14" s="942"/>
      <c r="AN14" s="942"/>
      <c r="AO14" s="942"/>
      <c r="AP14" s="942"/>
      <c r="AQ14" s="942"/>
      <c r="AR14" s="942"/>
      <c r="AS14" s="942"/>
      <c r="AT14" s="942"/>
      <c r="AU14" s="942"/>
      <c r="AV14" s="942"/>
      <c r="AW14" s="942"/>
      <c r="AX14" s="942"/>
      <c r="AY14" s="942"/>
    </row>
    <row r="15" spans="1:51" ht="14.5" hidden="1" x14ac:dyDescent="0.35">
      <c r="A15" s="1426"/>
      <c r="B15" s="1422" t="e">
        <f>#REF!</f>
        <v>#REF!</v>
      </c>
      <c r="C15" s="1427" t="s">
        <v>654</v>
      </c>
      <c r="D15" s="1423"/>
      <c r="E15" s="1423"/>
      <c r="F15" s="1423"/>
      <c r="G15" s="646"/>
      <c r="H15" s="942"/>
      <c r="I15" s="942"/>
      <c r="J15" s="942"/>
      <c r="K15" s="942"/>
      <c r="L15" s="942"/>
      <c r="M15" s="942"/>
      <c r="N15" s="942"/>
      <c r="O15" s="942"/>
      <c r="P15" s="942"/>
      <c r="Q15" s="942"/>
      <c r="R15" s="942"/>
      <c r="S15" s="942"/>
      <c r="T15" s="942"/>
      <c r="U15" s="942"/>
      <c r="V15" s="942"/>
      <c r="W15" s="942"/>
      <c r="X15" s="942"/>
      <c r="Y15" s="942"/>
      <c r="Z15" s="942"/>
      <c r="AA15" s="942"/>
      <c r="AB15" s="942"/>
      <c r="AC15" s="942"/>
      <c r="AD15" s="942"/>
      <c r="AE15" s="942"/>
      <c r="AF15" s="942"/>
      <c r="AG15" s="942"/>
      <c r="AH15" s="942"/>
      <c r="AI15" s="942"/>
      <c r="AJ15" s="942"/>
      <c r="AK15" s="942"/>
      <c r="AL15" s="942"/>
      <c r="AM15" s="942"/>
      <c r="AN15" s="942"/>
      <c r="AO15" s="942"/>
      <c r="AP15" s="942"/>
      <c r="AQ15" s="942"/>
      <c r="AR15" s="942"/>
      <c r="AS15" s="942"/>
      <c r="AT15" s="942"/>
      <c r="AU15" s="942"/>
      <c r="AV15" s="942"/>
      <c r="AW15" s="942"/>
      <c r="AX15" s="942"/>
      <c r="AY15" s="942"/>
    </row>
    <row r="16" spans="1:51" ht="14.5" hidden="1" x14ac:dyDescent="0.35">
      <c r="A16" s="1426"/>
      <c r="B16" s="1422" t="e">
        <f>#REF!</f>
        <v>#REF!</v>
      </c>
      <c r="C16" s="1427" t="s">
        <v>654</v>
      </c>
      <c r="D16" s="1423"/>
      <c r="E16" s="1423"/>
      <c r="F16" s="1423"/>
      <c r="G16" s="646"/>
      <c r="H16" s="942"/>
      <c r="I16" s="942"/>
      <c r="J16" s="942"/>
      <c r="K16" s="942"/>
      <c r="L16" s="942"/>
      <c r="M16" s="942"/>
      <c r="N16" s="942"/>
      <c r="O16" s="942"/>
      <c r="P16" s="942"/>
      <c r="Q16" s="942"/>
      <c r="R16" s="942"/>
      <c r="S16" s="942"/>
      <c r="T16" s="942"/>
      <c r="U16" s="942"/>
      <c r="V16" s="942"/>
      <c r="W16" s="942"/>
      <c r="X16" s="942"/>
      <c r="Y16" s="942"/>
      <c r="Z16" s="942"/>
      <c r="AA16" s="942"/>
      <c r="AB16" s="942"/>
      <c r="AC16" s="942"/>
      <c r="AD16" s="942"/>
      <c r="AE16" s="942"/>
      <c r="AF16" s="942"/>
      <c r="AG16" s="942"/>
      <c r="AH16" s="942"/>
      <c r="AI16" s="942"/>
      <c r="AJ16" s="942"/>
      <c r="AK16" s="942"/>
      <c r="AL16" s="942"/>
      <c r="AM16" s="942"/>
      <c r="AN16" s="942"/>
      <c r="AO16" s="942"/>
      <c r="AP16" s="942"/>
      <c r="AQ16" s="942"/>
      <c r="AR16" s="942"/>
      <c r="AS16" s="942"/>
      <c r="AT16" s="942"/>
      <c r="AU16" s="942"/>
      <c r="AV16" s="942"/>
      <c r="AW16" s="942"/>
      <c r="AX16" s="942"/>
      <c r="AY16" s="942"/>
    </row>
    <row r="17" spans="1:51" ht="14.5" hidden="1" x14ac:dyDescent="0.35">
      <c r="A17" s="1426"/>
      <c r="B17" s="1422" t="e">
        <f>#REF!</f>
        <v>#REF!</v>
      </c>
      <c r="C17" s="1427" t="s">
        <v>654</v>
      </c>
      <c r="D17" s="1423"/>
      <c r="E17" s="1423"/>
      <c r="F17" s="1423"/>
      <c r="G17" s="646"/>
      <c r="H17" s="942"/>
      <c r="I17" s="942"/>
      <c r="J17" s="942"/>
      <c r="K17" s="942"/>
      <c r="L17" s="942"/>
      <c r="M17" s="942"/>
      <c r="N17" s="942"/>
      <c r="O17" s="942"/>
      <c r="P17" s="942"/>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R17" s="942"/>
      <c r="AS17" s="942"/>
      <c r="AT17" s="942"/>
      <c r="AU17" s="942"/>
      <c r="AV17" s="942"/>
      <c r="AW17" s="942"/>
      <c r="AX17" s="942"/>
      <c r="AY17" s="942"/>
    </row>
    <row r="18" spans="1:51" ht="14.5" hidden="1" x14ac:dyDescent="0.35">
      <c r="A18" s="1426"/>
      <c r="B18" s="1422" t="e">
        <f>#REF!</f>
        <v>#REF!</v>
      </c>
      <c r="C18" s="1427" t="s">
        <v>654</v>
      </c>
      <c r="D18" s="1423"/>
      <c r="E18" s="1423"/>
      <c r="F18" s="1423"/>
      <c r="G18" s="646"/>
      <c r="H18" s="942"/>
      <c r="I18" s="942"/>
      <c r="J18" s="942"/>
      <c r="K18" s="942"/>
      <c r="L18" s="942"/>
      <c r="M18" s="942"/>
      <c r="N18" s="942"/>
      <c r="O18" s="942"/>
      <c r="P18" s="942"/>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R18" s="942"/>
      <c r="AS18" s="942"/>
      <c r="AT18" s="942"/>
      <c r="AU18" s="942"/>
      <c r="AV18" s="942"/>
      <c r="AW18" s="942"/>
      <c r="AX18" s="942"/>
      <c r="AY18" s="942"/>
    </row>
    <row r="19" spans="1:51" ht="14.5" hidden="1" x14ac:dyDescent="0.35">
      <c r="A19" s="1426"/>
      <c r="B19" s="1422" t="e">
        <f>#REF!</f>
        <v>#REF!</v>
      </c>
      <c r="C19" s="1427" t="s">
        <v>654</v>
      </c>
      <c r="D19" s="1423"/>
      <c r="E19" s="1423"/>
      <c r="F19" s="1423"/>
      <c r="G19" s="646"/>
      <c r="H19" s="942"/>
      <c r="I19" s="942"/>
      <c r="J19" s="942"/>
      <c r="K19" s="942"/>
      <c r="L19" s="942"/>
      <c r="M19" s="942"/>
      <c r="N19" s="942"/>
      <c r="O19" s="942"/>
      <c r="P19" s="942"/>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R19" s="942"/>
      <c r="AS19" s="942"/>
      <c r="AT19" s="942"/>
      <c r="AU19" s="942"/>
      <c r="AV19" s="942"/>
      <c r="AW19" s="942"/>
      <c r="AX19" s="942"/>
      <c r="AY19" s="942"/>
    </row>
    <row r="20" spans="1:51" ht="14.5" x14ac:dyDescent="0.35">
      <c r="A20" s="1426"/>
      <c r="B20" s="1422"/>
      <c r="C20" s="1427"/>
      <c r="D20" s="1423"/>
      <c r="E20" s="1423"/>
      <c r="F20" s="1423"/>
      <c r="G20" s="646"/>
      <c r="H20" s="943"/>
      <c r="I20" s="1392"/>
      <c r="J20" s="943"/>
      <c r="K20" s="1392"/>
      <c r="L20" s="943"/>
      <c r="M20" s="1392"/>
      <c r="N20" s="943"/>
      <c r="O20" s="1392"/>
      <c r="P20" s="943"/>
      <c r="Q20" s="1393"/>
      <c r="R20" s="943"/>
      <c r="S20" s="1393"/>
      <c r="T20" s="943"/>
      <c r="U20" s="1393"/>
      <c r="V20" s="943"/>
      <c r="W20" s="1392"/>
      <c r="X20" s="943"/>
      <c r="Y20" s="1392"/>
      <c r="Z20" s="943"/>
      <c r="AA20" s="1392"/>
      <c r="AB20" s="943"/>
      <c r="AC20" s="1392"/>
      <c r="AD20" s="943"/>
      <c r="AE20" s="1392"/>
      <c r="AF20" s="943"/>
      <c r="AG20" s="1392"/>
      <c r="AH20" s="943"/>
      <c r="AI20" s="1392"/>
      <c r="AJ20" s="943"/>
      <c r="AK20" s="1392"/>
      <c r="AL20" s="943"/>
      <c r="AM20" s="1393"/>
      <c r="AN20" s="943"/>
      <c r="AO20" s="1393"/>
      <c r="AP20" s="943"/>
      <c r="AQ20" s="1392"/>
      <c r="AR20" s="943"/>
      <c r="AS20" s="1392"/>
      <c r="AT20" s="943"/>
      <c r="AU20" s="1392"/>
      <c r="AV20" s="943"/>
      <c r="AW20" s="1392"/>
      <c r="AX20" s="943"/>
      <c r="AY20" s="1392"/>
    </row>
    <row r="21" spans="1:51" ht="14.5" x14ac:dyDescent="0.35">
      <c r="A21" s="1426"/>
      <c r="B21" s="1428" t="s">
        <v>505</v>
      </c>
      <c r="C21" s="1427"/>
      <c r="D21" s="1423"/>
      <c r="E21" s="1423"/>
      <c r="F21" s="1423"/>
      <c r="G21" s="646"/>
      <c r="H21" s="943"/>
      <c r="I21" s="1393"/>
      <c r="J21" s="943"/>
      <c r="K21" s="1393"/>
      <c r="L21" s="943"/>
      <c r="M21" s="1393"/>
      <c r="N21" s="943"/>
      <c r="O21" s="1393"/>
      <c r="P21" s="943"/>
      <c r="Q21" s="1393"/>
      <c r="R21" s="943"/>
      <c r="S21" s="1393"/>
      <c r="T21" s="943"/>
      <c r="U21" s="1393"/>
      <c r="V21" s="943"/>
      <c r="W21" s="1393"/>
      <c r="X21" s="943"/>
      <c r="Y21" s="1393"/>
      <c r="Z21" s="943"/>
      <c r="AA21" s="1393"/>
      <c r="AB21" s="943"/>
      <c r="AC21" s="1393"/>
      <c r="AD21" s="943"/>
      <c r="AE21" s="1393"/>
      <c r="AF21" s="943"/>
      <c r="AG21" s="1393"/>
      <c r="AH21" s="943"/>
      <c r="AI21" s="1393"/>
      <c r="AJ21" s="943"/>
      <c r="AK21" s="1393"/>
      <c r="AL21" s="943"/>
      <c r="AM21" s="1393"/>
      <c r="AN21" s="943"/>
      <c r="AO21" s="1393"/>
      <c r="AP21" s="943"/>
      <c r="AQ21" s="1393"/>
      <c r="AR21" s="943"/>
      <c r="AS21" s="1393"/>
      <c r="AT21" s="943"/>
      <c r="AU21" s="1393"/>
      <c r="AV21" s="943"/>
      <c r="AW21" s="1393"/>
      <c r="AX21" s="943"/>
      <c r="AY21" s="1393"/>
    </row>
    <row r="22" spans="1:51" ht="14.5" x14ac:dyDescent="0.35">
      <c r="A22" s="1391"/>
      <c r="B22" s="604" t="s">
        <v>657</v>
      </c>
      <c r="C22" s="1427"/>
      <c r="D22" s="1423"/>
      <c r="E22" s="1423"/>
      <c r="F22" s="1423"/>
      <c r="G22" s="646"/>
      <c r="H22" s="943"/>
      <c r="I22" s="1393"/>
      <c r="J22" s="943"/>
      <c r="K22" s="1393"/>
      <c r="L22" s="943"/>
      <c r="M22" s="1393"/>
      <c r="N22" s="943"/>
      <c r="O22" s="1393"/>
      <c r="P22" s="943"/>
      <c r="Q22" s="1393"/>
      <c r="R22" s="943"/>
      <c r="S22" s="1393"/>
      <c r="T22" s="943"/>
      <c r="U22" s="1393"/>
      <c r="V22" s="943"/>
      <c r="W22" s="1393"/>
      <c r="X22" s="943"/>
      <c r="Y22" s="1393"/>
      <c r="Z22" s="943"/>
      <c r="AA22" s="1393"/>
      <c r="AB22" s="943"/>
      <c r="AC22" s="1393"/>
      <c r="AD22" s="943"/>
      <c r="AE22" s="1393"/>
      <c r="AF22" s="943"/>
      <c r="AG22" s="1393"/>
      <c r="AH22" s="943"/>
      <c r="AI22" s="1393"/>
      <c r="AJ22" s="943"/>
      <c r="AK22" s="1393"/>
      <c r="AL22" s="943"/>
      <c r="AM22" s="1393"/>
      <c r="AN22" s="943"/>
      <c r="AO22" s="1393"/>
      <c r="AP22" s="943"/>
      <c r="AQ22" s="1393"/>
      <c r="AR22" s="943"/>
      <c r="AS22" s="1393"/>
      <c r="AT22" s="943"/>
      <c r="AU22" s="1393"/>
      <c r="AV22" s="943"/>
      <c r="AW22" s="1393"/>
      <c r="AX22" s="943"/>
      <c r="AY22" s="1393"/>
    </row>
    <row r="23" spans="1:51" ht="14.5" x14ac:dyDescent="0.35">
      <c r="A23" s="1391"/>
      <c r="B23" s="603" t="s">
        <v>658</v>
      </c>
      <c r="C23" s="1797"/>
      <c r="D23" s="682"/>
      <c r="E23" s="1423"/>
      <c r="F23" s="1423"/>
      <c r="G23" s="646"/>
      <c r="H23" s="943" t="s">
        <v>669</v>
      </c>
      <c r="I23" s="1393"/>
      <c r="J23" s="943" t="s">
        <v>669</v>
      </c>
      <c r="K23" s="1393"/>
      <c r="L23" s="943" t="s">
        <v>669</v>
      </c>
      <c r="M23" s="1393"/>
      <c r="N23" s="943" t="s">
        <v>669</v>
      </c>
      <c r="O23" s="1393"/>
      <c r="P23" s="943"/>
      <c r="Q23" s="1393"/>
      <c r="R23" s="943"/>
      <c r="S23" s="1393"/>
      <c r="T23" s="943" t="s">
        <v>669</v>
      </c>
      <c r="U23" s="1393"/>
      <c r="V23" s="943" t="s">
        <v>669</v>
      </c>
      <c r="W23" s="1393"/>
      <c r="X23" s="943" t="s">
        <v>669</v>
      </c>
      <c r="Y23" s="1393"/>
      <c r="Z23" s="943" t="s">
        <v>669</v>
      </c>
      <c r="AA23" s="1393"/>
      <c r="AB23" s="943" t="s">
        <v>669</v>
      </c>
      <c r="AC23" s="1393"/>
      <c r="AD23" s="943" t="s">
        <v>669</v>
      </c>
      <c r="AE23" s="1393"/>
      <c r="AF23" s="943" t="s">
        <v>669</v>
      </c>
      <c r="AG23" s="1393"/>
      <c r="AH23" s="943" t="s">
        <v>669</v>
      </c>
      <c r="AI23" s="1393"/>
      <c r="AJ23" s="943" t="s">
        <v>669</v>
      </c>
      <c r="AK23" s="1393"/>
      <c r="AL23" s="943"/>
      <c r="AM23" s="1393"/>
      <c r="AN23" s="943"/>
      <c r="AO23" s="1393"/>
      <c r="AP23" s="943" t="s">
        <v>669</v>
      </c>
      <c r="AQ23" s="1393"/>
      <c r="AR23" s="943" t="s">
        <v>669</v>
      </c>
      <c r="AS23" s="1393"/>
      <c r="AT23" s="943" t="s">
        <v>669</v>
      </c>
      <c r="AU23" s="1393"/>
      <c r="AV23" s="943"/>
      <c r="AW23" s="1393"/>
      <c r="AX23" s="943"/>
      <c r="AY23" s="1393"/>
    </row>
    <row r="24" spans="1:51" ht="14.5" x14ac:dyDescent="0.35">
      <c r="A24" s="1391"/>
      <c r="B24" s="1708" t="s">
        <v>659</v>
      </c>
      <c r="C24" s="1797"/>
      <c r="D24" s="682"/>
      <c r="E24" s="1423"/>
      <c r="F24" s="1423"/>
      <c r="G24" s="646"/>
      <c r="H24" s="943" t="s">
        <v>669</v>
      </c>
      <c r="I24" s="1393"/>
      <c r="J24" s="943" t="s">
        <v>669</v>
      </c>
      <c r="K24" s="1393"/>
      <c r="L24" s="943" t="s">
        <v>669</v>
      </c>
      <c r="M24" s="1393"/>
      <c r="N24" s="943" t="s">
        <v>669</v>
      </c>
      <c r="O24" s="1393"/>
      <c r="P24" s="943"/>
      <c r="Q24" s="1393"/>
      <c r="R24" s="943"/>
      <c r="S24" s="1393"/>
      <c r="T24" s="943" t="s">
        <v>669</v>
      </c>
      <c r="U24" s="1393"/>
      <c r="V24" s="943" t="s">
        <v>669</v>
      </c>
      <c r="W24" s="1393"/>
      <c r="X24" s="943" t="s">
        <v>669</v>
      </c>
      <c r="Y24" s="1393"/>
      <c r="Z24" s="943" t="s">
        <v>669</v>
      </c>
      <c r="AA24" s="1393"/>
      <c r="AB24" s="943" t="s">
        <v>669</v>
      </c>
      <c r="AC24" s="1393"/>
      <c r="AD24" s="943" t="s">
        <v>669</v>
      </c>
      <c r="AE24" s="1393"/>
      <c r="AF24" s="943" t="s">
        <v>669</v>
      </c>
      <c r="AG24" s="1393"/>
      <c r="AH24" s="943" t="s">
        <v>669</v>
      </c>
      <c r="AI24" s="1393"/>
      <c r="AJ24" s="943" t="s">
        <v>669</v>
      </c>
      <c r="AK24" s="1393"/>
      <c r="AL24" s="943"/>
      <c r="AM24" s="1393"/>
      <c r="AN24" s="943"/>
      <c r="AO24" s="1393"/>
      <c r="AP24" s="943" t="s">
        <v>669</v>
      </c>
      <c r="AQ24" s="1393"/>
      <c r="AR24" s="943" t="s">
        <v>669</v>
      </c>
      <c r="AS24" s="1393"/>
      <c r="AT24" s="943" t="s">
        <v>669</v>
      </c>
      <c r="AU24" s="1393"/>
      <c r="AV24" s="943"/>
      <c r="AW24" s="1393"/>
      <c r="AX24" s="943"/>
      <c r="AY24" s="1393"/>
    </row>
    <row r="25" spans="1:51" ht="14.5" x14ac:dyDescent="0.35">
      <c r="A25" s="1391"/>
      <c r="B25" s="1710" t="s">
        <v>660</v>
      </c>
      <c r="C25" s="646"/>
      <c r="D25" s="1423"/>
      <c r="E25" s="1423"/>
      <c r="F25" s="1423"/>
      <c r="G25" s="646"/>
      <c r="H25" s="943" t="s">
        <v>671</v>
      </c>
      <c r="I25" s="1393"/>
      <c r="J25" s="943" t="s">
        <v>671</v>
      </c>
      <c r="K25" s="1393"/>
      <c r="L25" s="943" t="s">
        <v>671</v>
      </c>
      <c r="M25" s="1393"/>
      <c r="N25" s="943" t="s">
        <v>671</v>
      </c>
      <c r="O25" s="1393"/>
      <c r="P25" s="943"/>
      <c r="Q25" s="1393"/>
      <c r="R25" s="943"/>
      <c r="S25" s="1393"/>
      <c r="T25" s="943" t="s">
        <v>671</v>
      </c>
      <c r="U25" s="1393"/>
      <c r="V25" s="943" t="s">
        <v>671</v>
      </c>
      <c r="W25" s="1393"/>
      <c r="X25" s="943" t="s">
        <v>671</v>
      </c>
      <c r="Y25" s="1393"/>
      <c r="Z25" s="943" t="s">
        <v>671</v>
      </c>
      <c r="AA25" s="1393"/>
      <c r="AB25" s="943" t="s">
        <v>671</v>
      </c>
      <c r="AC25" s="1393"/>
      <c r="AD25" s="943" t="s">
        <v>671</v>
      </c>
      <c r="AE25" s="1393"/>
      <c r="AF25" s="943" t="s">
        <v>671</v>
      </c>
      <c r="AG25" s="1393"/>
      <c r="AH25" s="943" t="s">
        <v>671</v>
      </c>
      <c r="AI25" s="1393"/>
      <c r="AJ25" s="943" t="s">
        <v>671</v>
      </c>
      <c r="AK25" s="1393"/>
      <c r="AL25" s="943"/>
      <c r="AM25" s="1393"/>
      <c r="AN25" s="943"/>
      <c r="AO25" s="1393"/>
      <c r="AP25" s="943" t="s">
        <v>671</v>
      </c>
      <c r="AQ25" s="1393"/>
      <c r="AR25" s="943" t="s">
        <v>671</v>
      </c>
      <c r="AS25" s="1393"/>
      <c r="AT25" s="943" t="s">
        <v>671</v>
      </c>
      <c r="AU25" s="1393"/>
      <c r="AV25" s="943"/>
      <c r="AW25" s="1393"/>
      <c r="AX25" s="943"/>
      <c r="AY25" s="1393"/>
    </row>
    <row r="26" spans="1:51" ht="14.5" x14ac:dyDescent="0.35">
      <c r="A26" s="1391"/>
      <c r="B26" s="1710" t="s">
        <v>661</v>
      </c>
      <c r="C26" s="646"/>
      <c r="D26" s="1423"/>
      <c r="E26" s="1423"/>
      <c r="F26" s="1423"/>
      <c r="G26" s="646"/>
      <c r="H26" s="943" t="s">
        <v>669</v>
      </c>
      <c r="I26" s="1393"/>
      <c r="J26" s="943" t="s">
        <v>669</v>
      </c>
      <c r="K26" s="1393"/>
      <c r="L26" s="943" t="s">
        <v>669</v>
      </c>
      <c r="M26" s="1393"/>
      <c r="N26" s="943" t="s">
        <v>669</v>
      </c>
      <c r="O26" s="1393"/>
      <c r="P26" s="943"/>
      <c r="Q26" s="1393"/>
      <c r="R26" s="943"/>
      <c r="S26" s="1393"/>
      <c r="T26" s="943" t="s">
        <v>669</v>
      </c>
      <c r="U26" s="1393"/>
      <c r="V26" s="943" t="s">
        <v>669</v>
      </c>
      <c r="W26" s="1393"/>
      <c r="X26" s="943" t="s">
        <v>669</v>
      </c>
      <c r="Y26" s="1393"/>
      <c r="Z26" s="943" t="s">
        <v>669</v>
      </c>
      <c r="AA26" s="1393"/>
      <c r="AB26" s="943" t="s">
        <v>669</v>
      </c>
      <c r="AC26" s="1393"/>
      <c r="AD26" s="943" t="s">
        <v>669</v>
      </c>
      <c r="AE26" s="1393"/>
      <c r="AF26" s="943" t="s">
        <v>669</v>
      </c>
      <c r="AG26" s="1393"/>
      <c r="AH26" s="943" t="s">
        <v>669</v>
      </c>
      <c r="AI26" s="1393"/>
      <c r="AJ26" s="943" t="s">
        <v>669</v>
      </c>
      <c r="AK26" s="1393"/>
      <c r="AL26" s="943"/>
      <c r="AM26" s="1393"/>
      <c r="AN26" s="943"/>
      <c r="AO26" s="1393"/>
      <c r="AP26" s="943" t="s">
        <v>669</v>
      </c>
      <c r="AQ26" s="1393"/>
      <c r="AR26" s="943" t="s">
        <v>669</v>
      </c>
      <c r="AS26" s="1393"/>
      <c r="AT26" s="943" t="s">
        <v>669</v>
      </c>
      <c r="AU26" s="1393"/>
      <c r="AV26" s="943"/>
      <c r="AW26" s="1393"/>
      <c r="AX26" s="943"/>
      <c r="AY26" s="1393"/>
    </row>
    <row r="27" spans="1:51" ht="15" customHeight="1" x14ac:dyDescent="0.35">
      <c r="A27" s="1391"/>
      <c r="B27" s="1710" t="s">
        <v>662</v>
      </c>
      <c r="C27" s="646"/>
      <c r="D27" s="1423"/>
      <c r="E27" s="1423"/>
      <c r="F27" s="1423"/>
      <c r="G27" s="646"/>
      <c r="H27" s="943" t="s">
        <v>669</v>
      </c>
      <c r="I27" s="1393"/>
      <c r="J27" s="943" t="s">
        <v>669</v>
      </c>
      <c r="K27" s="1393"/>
      <c r="L27" s="943" t="s">
        <v>669</v>
      </c>
      <c r="M27" s="1393"/>
      <c r="N27" s="943" t="s">
        <v>669</v>
      </c>
      <c r="O27" s="1393"/>
      <c r="P27" s="943"/>
      <c r="Q27" s="1393"/>
      <c r="R27" s="943"/>
      <c r="S27" s="1393"/>
      <c r="T27" s="943" t="s">
        <v>669</v>
      </c>
      <c r="U27" s="1393"/>
      <c r="V27" s="943" t="s">
        <v>669</v>
      </c>
      <c r="W27" s="1393"/>
      <c r="X27" s="943" t="s">
        <v>669</v>
      </c>
      <c r="Y27" s="1393"/>
      <c r="Z27" s="943" t="s">
        <v>669</v>
      </c>
      <c r="AA27" s="1393"/>
      <c r="AB27" s="943" t="s">
        <v>669</v>
      </c>
      <c r="AC27" s="1393"/>
      <c r="AD27" s="943" t="s">
        <v>669</v>
      </c>
      <c r="AE27" s="1393"/>
      <c r="AF27" s="943" t="s">
        <v>669</v>
      </c>
      <c r="AG27" s="1393"/>
      <c r="AH27" s="943" t="s">
        <v>669</v>
      </c>
      <c r="AI27" s="1393"/>
      <c r="AJ27" s="943" t="s">
        <v>669</v>
      </c>
      <c r="AK27" s="1393"/>
      <c r="AL27" s="943"/>
      <c r="AM27" s="1393"/>
      <c r="AN27" s="943"/>
      <c r="AO27" s="1393"/>
      <c r="AP27" s="943" t="s">
        <v>669</v>
      </c>
      <c r="AQ27" s="1393"/>
      <c r="AR27" s="943" t="s">
        <v>669</v>
      </c>
      <c r="AS27" s="1393"/>
      <c r="AT27" s="943" t="s">
        <v>669</v>
      </c>
      <c r="AU27" s="1393"/>
      <c r="AV27" s="943"/>
      <c r="AW27" s="1393"/>
      <c r="AX27" s="943"/>
      <c r="AY27" s="1393"/>
    </row>
    <row r="28" spans="1:51" ht="14.5" x14ac:dyDescent="0.35">
      <c r="A28" s="1391"/>
      <c r="B28" s="1710" t="s">
        <v>663</v>
      </c>
      <c r="C28" s="646"/>
      <c r="D28" s="1423"/>
      <c r="E28" s="1423"/>
      <c r="F28" s="1423"/>
      <c r="G28" s="646"/>
      <c r="H28" s="943" t="s">
        <v>669</v>
      </c>
      <c r="I28" s="1393"/>
      <c r="J28" s="943" t="s">
        <v>669</v>
      </c>
      <c r="K28" s="1393"/>
      <c r="L28" s="943" t="s">
        <v>669</v>
      </c>
      <c r="M28" s="1393"/>
      <c r="N28" s="943" t="s">
        <v>669</v>
      </c>
      <c r="O28" s="1393"/>
      <c r="P28" s="943"/>
      <c r="Q28" s="1393"/>
      <c r="R28" s="943"/>
      <c r="S28" s="1393"/>
      <c r="T28" s="943" t="s">
        <v>669</v>
      </c>
      <c r="U28" s="1393"/>
      <c r="V28" s="943" t="s">
        <v>669</v>
      </c>
      <c r="W28" s="1393"/>
      <c r="X28" s="943" t="s">
        <v>669</v>
      </c>
      <c r="Y28" s="1393"/>
      <c r="Z28" s="943" t="s">
        <v>669</v>
      </c>
      <c r="AA28" s="1393"/>
      <c r="AB28" s="943" t="s">
        <v>669</v>
      </c>
      <c r="AC28" s="1393"/>
      <c r="AD28" s="943" t="s">
        <v>669</v>
      </c>
      <c r="AE28" s="1393"/>
      <c r="AF28" s="943" t="s">
        <v>669</v>
      </c>
      <c r="AG28" s="1393"/>
      <c r="AH28" s="943" t="s">
        <v>669</v>
      </c>
      <c r="AI28" s="1393"/>
      <c r="AJ28" s="943" t="s">
        <v>669</v>
      </c>
      <c r="AK28" s="1393"/>
      <c r="AL28" s="943"/>
      <c r="AM28" s="1393"/>
      <c r="AN28" s="943"/>
      <c r="AO28" s="1393"/>
      <c r="AP28" s="943" t="s">
        <v>669</v>
      </c>
      <c r="AQ28" s="1393"/>
      <c r="AR28" s="943" t="s">
        <v>669</v>
      </c>
      <c r="AS28" s="1393"/>
      <c r="AT28" s="943" t="s">
        <v>669</v>
      </c>
      <c r="AU28" s="1393"/>
      <c r="AV28" s="943"/>
      <c r="AW28" s="1393"/>
      <c r="AX28" s="943"/>
      <c r="AY28" s="1393"/>
    </row>
    <row r="29" spans="1:51" ht="14.5" x14ac:dyDescent="0.35">
      <c r="A29" s="1391"/>
      <c r="B29" s="1710" t="s">
        <v>789</v>
      </c>
      <c r="C29" s="646"/>
      <c r="D29" s="1423"/>
      <c r="E29" s="1423"/>
      <c r="F29" s="1423"/>
      <c r="G29" s="646"/>
      <c r="H29" s="943" t="s">
        <v>669</v>
      </c>
      <c r="I29" s="1393" t="s">
        <v>1099</v>
      </c>
      <c r="J29" s="943" t="s">
        <v>669</v>
      </c>
      <c r="K29" s="1393" t="s">
        <v>1099</v>
      </c>
      <c r="L29" s="943" t="s">
        <v>669</v>
      </c>
      <c r="M29" s="1393" t="s">
        <v>1099</v>
      </c>
      <c r="N29" s="943" t="s">
        <v>671</v>
      </c>
      <c r="O29" s="1564" t="s">
        <v>2272</v>
      </c>
      <c r="P29" s="943"/>
      <c r="Q29" s="1393"/>
      <c r="R29" s="943"/>
      <c r="S29" s="1393"/>
      <c r="T29" s="943" t="s">
        <v>671</v>
      </c>
      <c r="U29" s="1393" t="s">
        <v>1581</v>
      </c>
      <c r="V29" s="943" t="s">
        <v>671</v>
      </c>
      <c r="W29" s="1564" t="s">
        <v>2273</v>
      </c>
      <c r="X29" s="943" t="s">
        <v>671</v>
      </c>
      <c r="Y29" s="1564" t="s">
        <v>2273</v>
      </c>
      <c r="Z29" s="943" t="s">
        <v>671</v>
      </c>
      <c r="AA29" s="1393" t="s">
        <v>2273</v>
      </c>
      <c r="AB29" s="943" t="s">
        <v>671</v>
      </c>
      <c r="AC29" s="1564" t="s">
        <v>2273</v>
      </c>
      <c r="AD29" s="943" t="s">
        <v>671</v>
      </c>
      <c r="AE29" s="1564" t="s">
        <v>2273</v>
      </c>
      <c r="AF29" s="943" t="s">
        <v>671</v>
      </c>
      <c r="AG29" s="1564" t="s">
        <v>2272</v>
      </c>
      <c r="AH29" s="943" t="s">
        <v>671</v>
      </c>
      <c r="AI29" s="1564" t="s">
        <v>2274</v>
      </c>
      <c r="AJ29" s="943" t="s">
        <v>671</v>
      </c>
      <c r="AK29" s="1564" t="s">
        <v>2273</v>
      </c>
      <c r="AL29" s="943"/>
      <c r="AM29" s="1564"/>
      <c r="AN29" s="943"/>
      <c r="AO29" s="1393"/>
      <c r="AP29" s="943" t="s">
        <v>671</v>
      </c>
      <c r="AQ29" s="1393" t="s">
        <v>2274</v>
      </c>
      <c r="AR29" s="943" t="s">
        <v>671</v>
      </c>
      <c r="AS29" s="1393" t="s">
        <v>2274</v>
      </c>
      <c r="AT29" s="943" t="s">
        <v>671</v>
      </c>
      <c r="AU29" s="1564" t="s">
        <v>2273</v>
      </c>
      <c r="AV29" s="943"/>
      <c r="AW29" s="1564"/>
      <c r="AX29" s="943"/>
      <c r="AY29" s="1564"/>
    </row>
    <row r="30" spans="1:51" ht="14.5" x14ac:dyDescent="0.35">
      <c r="A30" s="1808"/>
      <c r="B30" s="1809" t="s">
        <v>790</v>
      </c>
      <c r="C30" s="646"/>
      <c r="D30" s="1423"/>
      <c r="E30" s="1423"/>
      <c r="F30" s="1423"/>
      <c r="G30" s="646"/>
      <c r="H30" s="943" t="s">
        <v>669</v>
      </c>
      <c r="I30" s="1393" t="s">
        <v>1100</v>
      </c>
      <c r="J30" s="943" t="s">
        <v>669</v>
      </c>
      <c r="K30" s="1393" t="s">
        <v>1100</v>
      </c>
      <c r="L30" s="943" t="s">
        <v>669</v>
      </c>
      <c r="M30" s="1393" t="s">
        <v>1100</v>
      </c>
      <c r="N30" s="943"/>
      <c r="O30" s="1810"/>
      <c r="P30" s="943"/>
      <c r="Q30" s="1393"/>
      <c r="R30" s="943"/>
      <c r="S30" s="1393"/>
      <c r="T30" s="943" t="s">
        <v>671</v>
      </c>
      <c r="U30" s="1393" t="s">
        <v>1393</v>
      </c>
      <c r="V30" s="943"/>
      <c r="W30" s="1810"/>
      <c r="X30" s="943"/>
      <c r="Y30" s="1810"/>
      <c r="Z30" s="943"/>
      <c r="AA30" s="1393"/>
      <c r="AB30" s="943"/>
      <c r="AC30" s="1810"/>
      <c r="AD30" s="943"/>
      <c r="AE30" s="1810"/>
      <c r="AF30" s="943"/>
      <c r="AG30" s="1810"/>
      <c r="AH30" s="943"/>
      <c r="AI30" s="1810"/>
      <c r="AJ30" s="943"/>
      <c r="AK30" s="1810"/>
      <c r="AL30" s="943"/>
      <c r="AM30" s="1810"/>
      <c r="AN30" s="943"/>
      <c r="AO30" s="1393"/>
      <c r="AP30" s="943"/>
      <c r="AQ30" s="1810"/>
      <c r="AR30" s="943"/>
      <c r="AS30" s="1810"/>
      <c r="AT30" s="943"/>
      <c r="AU30" s="1810"/>
      <c r="AV30" s="943"/>
      <c r="AW30" s="1810"/>
      <c r="AX30" s="943"/>
      <c r="AY30" s="1810"/>
    </row>
    <row r="31" spans="1:51" ht="14.5" x14ac:dyDescent="0.35">
      <c r="A31" s="1811"/>
      <c r="B31" s="1812" t="s">
        <v>791</v>
      </c>
      <c r="C31" s="646"/>
      <c r="D31" s="1423"/>
      <c r="E31" s="1423"/>
      <c r="F31" s="1423"/>
      <c r="G31" s="646"/>
      <c r="H31" s="943" t="s">
        <v>669</v>
      </c>
      <c r="I31" s="1393"/>
      <c r="J31" s="943" t="s">
        <v>669</v>
      </c>
      <c r="K31" s="1393"/>
      <c r="L31" s="943" t="s">
        <v>669</v>
      </c>
      <c r="M31" s="1393"/>
      <c r="N31" s="943"/>
      <c r="O31" s="1813"/>
      <c r="P31" s="943"/>
      <c r="Q31" s="1393"/>
      <c r="R31" s="943"/>
      <c r="S31" s="1393"/>
      <c r="T31" s="943" t="s">
        <v>671</v>
      </c>
      <c r="U31" s="1393" t="s">
        <v>2275</v>
      </c>
      <c r="V31" s="943"/>
      <c r="W31" s="1813"/>
      <c r="X31" s="943"/>
      <c r="Y31" s="1813"/>
      <c r="Z31" s="943"/>
      <c r="AA31" s="1393"/>
      <c r="AB31" s="943"/>
      <c r="AC31" s="1813"/>
      <c r="AD31" s="943"/>
      <c r="AE31" s="1813"/>
      <c r="AF31" s="943"/>
      <c r="AG31" s="1813"/>
      <c r="AH31" s="943"/>
      <c r="AI31" s="1813"/>
      <c r="AJ31" s="943"/>
      <c r="AK31" s="1813"/>
      <c r="AL31" s="943"/>
      <c r="AM31" s="1813"/>
      <c r="AN31" s="943"/>
      <c r="AO31" s="1393"/>
      <c r="AP31" s="943"/>
      <c r="AQ31" s="1813"/>
      <c r="AR31" s="943"/>
      <c r="AS31" s="1813"/>
      <c r="AT31" s="943"/>
      <c r="AU31" s="1813"/>
      <c r="AV31" s="943"/>
      <c r="AW31" s="1813"/>
      <c r="AX31" s="943"/>
      <c r="AY31" s="1813"/>
    </row>
    <row r="32" spans="1:51" ht="14.5" x14ac:dyDescent="0.35">
      <c r="A32" s="1391"/>
      <c r="B32" s="1814" t="s">
        <v>664</v>
      </c>
      <c r="C32" s="646"/>
      <c r="D32" s="1423"/>
      <c r="E32" s="1423"/>
      <c r="F32" s="1423"/>
      <c r="G32" s="646"/>
      <c r="H32" s="943"/>
      <c r="I32" s="1393"/>
      <c r="J32" s="943"/>
      <c r="K32" s="1393"/>
      <c r="L32" s="943"/>
      <c r="M32" s="1393"/>
      <c r="N32" s="943"/>
      <c r="O32" s="1393"/>
      <c r="P32" s="943"/>
      <c r="Q32" s="1393"/>
      <c r="R32" s="943"/>
      <c r="S32" s="1393"/>
      <c r="T32" s="943"/>
      <c r="U32" s="1393"/>
      <c r="V32" s="943"/>
      <c r="W32" s="1393"/>
      <c r="X32" s="943"/>
      <c r="Y32" s="1393"/>
      <c r="Z32" s="943"/>
      <c r="AA32" s="1393"/>
      <c r="AB32" s="943"/>
      <c r="AC32" s="1393"/>
      <c r="AD32" s="943"/>
      <c r="AE32" s="1393"/>
      <c r="AF32" s="943"/>
      <c r="AG32" s="1393"/>
      <c r="AH32" s="943"/>
      <c r="AI32" s="1393"/>
      <c r="AJ32" s="943"/>
      <c r="AK32" s="1393"/>
      <c r="AL32" s="943"/>
      <c r="AM32" s="1393"/>
      <c r="AN32" s="943"/>
      <c r="AO32" s="1393"/>
      <c r="AP32" s="943"/>
      <c r="AQ32" s="1393"/>
      <c r="AR32" s="943"/>
      <c r="AS32" s="1393"/>
      <c r="AT32" s="943"/>
      <c r="AU32" s="1393"/>
      <c r="AV32" s="943"/>
      <c r="AW32" s="1393"/>
      <c r="AX32" s="943"/>
      <c r="AY32" s="1393"/>
    </row>
    <row r="33" spans="1:51" ht="14.5" x14ac:dyDescent="0.35">
      <c r="A33" s="1391"/>
      <c r="B33" s="1798" t="s">
        <v>665</v>
      </c>
      <c r="C33" s="952"/>
      <c r="D33" s="1431"/>
      <c r="E33" s="1431"/>
      <c r="F33" s="1501"/>
      <c r="G33" s="651"/>
      <c r="H33" s="1799"/>
      <c r="I33" s="1815"/>
      <c r="J33" s="1799"/>
      <c r="K33" s="1815"/>
      <c r="L33" s="1799"/>
      <c r="M33" s="1815"/>
      <c r="N33" s="1799"/>
      <c r="O33" s="1815"/>
      <c r="P33" s="1799"/>
      <c r="Q33" s="1815"/>
      <c r="R33" s="1799"/>
      <c r="S33" s="1815">
        <v>2922000</v>
      </c>
      <c r="T33" s="1799"/>
      <c r="U33" s="1815">
        <v>2922000</v>
      </c>
      <c r="V33" s="1799"/>
      <c r="W33" s="1815"/>
      <c r="X33" s="1799"/>
      <c r="Y33" s="1815"/>
      <c r="Z33" s="1799"/>
      <c r="AA33" s="1815">
        <v>2950000</v>
      </c>
      <c r="AB33" s="1799"/>
      <c r="AC33" s="1815"/>
      <c r="AD33" s="1799"/>
      <c r="AE33" s="1815"/>
      <c r="AF33" s="1799"/>
      <c r="AG33" s="1815"/>
      <c r="AH33" s="1799"/>
      <c r="AI33" s="1815"/>
      <c r="AJ33" s="1799"/>
      <c r="AK33" s="1815"/>
      <c r="AL33" s="1799"/>
      <c r="AM33" s="1815"/>
      <c r="AN33" s="1799"/>
      <c r="AO33" s="1815"/>
      <c r="AP33" s="1799"/>
      <c r="AQ33" s="1815"/>
      <c r="AR33" s="1799"/>
      <c r="AS33" s="1815"/>
      <c r="AT33" s="1799"/>
      <c r="AU33" s="1815"/>
      <c r="AV33" s="1799"/>
      <c r="AW33" s="1815"/>
      <c r="AX33" s="1799"/>
      <c r="AY33" s="1815"/>
    </row>
    <row r="34" spans="1:51" ht="14.5" x14ac:dyDescent="0.35">
      <c r="A34" s="1391"/>
      <c r="B34" s="1800" t="s">
        <v>874</v>
      </c>
      <c r="C34" s="646"/>
      <c r="D34" s="1423"/>
      <c r="E34" s="1423"/>
      <c r="F34" s="1484"/>
      <c r="G34" s="652"/>
      <c r="H34" s="943"/>
      <c r="I34" s="1393"/>
      <c r="J34" s="943"/>
      <c r="K34" s="1393"/>
      <c r="L34" s="943"/>
      <c r="M34" s="1393"/>
      <c r="N34" s="943"/>
      <c r="O34" s="1393"/>
      <c r="P34" s="943"/>
      <c r="Q34" s="1393"/>
      <c r="R34" s="943"/>
      <c r="S34" s="1393"/>
      <c r="T34" s="943"/>
      <c r="U34" s="1393"/>
      <c r="V34" s="943"/>
      <c r="W34" s="1393"/>
      <c r="X34" s="943"/>
      <c r="Y34" s="1393"/>
      <c r="Z34" s="943"/>
      <c r="AA34" s="1393"/>
      <c r="AB34" s="943"/>
      <c r="AC34" s="1393"/>
      <c r="AD34" s="943"/>
      <c r="AE34" s="1393"/>
      <c r="AF34" s="943"/>
      <c r="AG34" s="1393"/>
      <c r="AH34" s="943"/>
      <c r="AI34" s="1393"/>
      <c r="AJ34" s="943"/>
      <c r="AK34" s="1393"/>
      <c r="AL34" s="943"/>
      <c r="AM34" s="1393"/>
      <c r="AN34" s="943"/>
      <c r="AO34" s="1393"/>
      <c r="AP34" s="943"/>
      <c r="AQ34" s="1393"/>
      <c r="AR34" s="943"/>
      <c r="AS34" s="1393"/>
      <c r="AT34" s="943"/>
      <c r="AU34" s="1393"/>
      <c r="AV34" s="943"/>
      <c r="AW34" s="1393"/>
      <c r="AX34" s="943"/>
      <c r="AY34" s="1393"/>
    </row>
    <row r="35" spans="1:51" ht="14.5" x14ac:dyDescent="0.35">
      <c r="A35" s="1391"/>
      <c r="B35" s="1816" t="s">
        <v>191</v>
      </c>
      <c r="C35" s="646"/>
      <c r="D35" s="1423"/>
      <c r="E35" s="1423"/>
      <c r="F35" s="1484"/>
      <c r="G35" s="652"/>
      <c r="H35" s="943"/>
      <c r="I35" s="1393"/>
      <c r="J35" s="943"/>
      <c r="K35" s="1393"/>
      <c r="L35" s="943"/>
      <c r="M35" s="1393"/>
      <c r="N35" s="943"/>
      <c r="O35" s="1393"/>
      <c r="P35" s="943"/>
      <c r="Q35" s="1393"/>
      <c r="R35" s="943"/>
      <c r="S35" s="1393"/>
      <c r="T35" s="943"/>
      <c r="U35" s="1393"/>
      <c r="V35" s="943"/>
      <c r="W35" s="1393"/>
      <c r="X35" s="943"/>
      <c r="Y35" s="1393"/>
      <c r="Z35" s="943"/>
      <c r="AA35" s="1393"/>
      <c r="AB35" s="943"/>
      <c r="AC35" s="1393"/>
      <c r="AD35" s="943"/>
      <c r="AE35" s="1393"/>
      <c r="AF35" s="943"/>
      <c r="AG35" s="1393"/>
      <c r="AH35" s="943"/>
      <c r="AI35" s="1393"/>
      <c r="AJ35" s="943"/>
      <c r="AK35" s="1393"/>
      <c r="AL35" s="943"/>
      <c r="AM35" s="1393"/>
      <c r="AN35" s="943"/>
      <c r="AO35" s="1393"/>
      <c r="AP35" s="943"/>
      <c r="AQ35" s="1393"/>
      <c r="AR35" s="943"/>
      <c r="AS35" s="1393"/>
      <c r="AT35" s="943"/>
      <c r="AU35" s="1393"/>
      <c r="AV35" s="943"/>
      <c r="AW35" s="1393"/>
      <c r="AX35" s="943"/>
      <c r="AY35" s="1393"/>
    </row>
    <row r="36" spans="1:51" ht="14.5" x14ac:dyDescent="0.35">
      <c r="A36" s="1817"/>
      <c r="B36" s="1818" t="s">
        <v>2276</v>
      </c>
      <c r="C36" s="646"/>
      <c r="D36" s="1423"/>
      <c r="E36" s="1423"/>
      <c r="F36" s="1484"/>
      <c r="G36" s="652"/>
      <c r="H36" s="943" t="s">
        <v>669</v>
      </c>
      <c r="I36" s="1393"/>
      <c r="J36" s="943" t="s">
        <v>669</v>
      </c>
      <c r="K36" s="1393"/>
      <c r="L36" s="943" t="s">
        <v>669</v>
      </c>
      <c r="M36" s="1393"/>
      <c r="N36" s="943" t="s">
        <v>669</v>
      </c>
      <c r="O36" s="1564"/>
      <c r="P36" s="943" t="s">
        <v>669</v>
      </c>
      <c r="Q36" s="1393"/>
      <c r="R36" s="943" t="s">
        <v>669</v>
      </c>
      <c r="S36" s="1393"/>
      <c r="T36" s="943" t="s">
        <v>669</v>
      </c>
      <c r="U36" s="1393"/>
      <c r="V36" s="943" t="s">
        <v>669</v>
      </c>
      <c r="W36" s="1564"/>
      <c r="X36" s="943" t="s">
        <v>669</v>
      </c>
      <c r="Y36" s="1564"/>
      <c r="Z36" s="943" t="s">
        <v>669</v>
      </c>
      <c r="AA36" s="1393"/>
      <c r="AB36" s="943" t="s">
        <v>669</v>
      </c>
      <c r="AC36" s="1564"/>
      <c r="AD36" s="943" t="s">
        <v>669</v>
      </c>
      <c r="AE36" s="1564"/>
      <c r="AF36" s="943" t="s">
        <v>669</v>
      </c>
      <c r="AG36" s="1564"/>
      <c r="AH36" s="943" t="s">
        <v>669</v>
      </c>
      <c r="AI36" s="1564"/>
      <c r="AJ36" s="943" t="s">
        <v>669</v>
      </c>
      <c r="AK36" s="1564"/>
      <c r="AL36" s="943" t="s">
        <v>669</v>
      </c>
      <c r="AM36" s="1564"/>
      <c r="AN36" s="943" t="s">
        <v>669</v>
      </c>
      <c r="AO36" s="1393"/>
      <c r="AP36" s="943" t="s">
        <v>669</v>
      </c>
      <c r="AQ36" s="1393"/>
      <c r="AR36" s="943" t="s">
        <v>669</v>
      </c>
      <c r="AS36" s="1393"/>
      <c r="AT36" s="943" t="s">
        <v>669</v>
      </c>
      <c r="AU36" s="1564"/>
      <c r="AV36" s="943"/>
      <c r="AW36" s="1564"/>
      <c r="AX36" s="943"/>
      <c r="AY36" s="1564"/>
    </row>
    <row r="37" spans="1:51" ht="14.5" x14ac:dyDescent="0.35">
      <c r="A37" s="1817"/>
      <c r="B37" s="1818" t="s">
        <v>2277</v>
      </c>
      <c r="C37" s="646"/>
      <c r="D37" s="1423"/>
      <c r="E37" s="1423"/>
      <c r="F37" s="1484"/>
      <c r="G37" s="652"/>
      <c r="H37" s="943" t="s">
        <v>669</v>
      </c>
      <c r="I37" s="1393"/>
      <c r="J37" s="943" t="s">
        <v>669</v>
      </c>
      <c r="K37" s="1393"/>
      <c r="L37" s="943" t="s">
        <v>669</v>
      </c>
      <c r="M37" s="1393"/>
      <c r="N37" s="943" t="s">
        <v>669</v>
      </c>
      <c r="O37" s="1564"/>
      <c r="P37" s="943" t="s">
        <v>669</v>
      </c>
      <c r="Q37" s="1393"/>
      <c r="R37" s="943" t="s">
        <v>669</v>
      </c>
      <c r="S37" s="1393"/>
      <c r="T37" s="943" t="s">
        <v>669</v>
      </c>
      <c r="U37" s="1393"/>
      <c r="V37" s="943" t="s">
        <v>669</v>
      </c>
      <c r="W37" s="1564"/>
      <c r="X37" s="943" t="s">
        <v>669</v>
      </c>
      <c r="Y37" s="1564"/>
      <c r="Z37" s="943" t="s">
        <v>669</v>
      </c>
      <c r="AA37" s="1393"/>
      <c r="AB37" s="943" t="s">
        <v>669</v>
      </c>
      <c r="AC37" s="1564"/>
      <c r="AD37" s="943" t="s">
        <v>669</v>
      </c>
      <c r="AE37" s="1564"/>
      <c r="AF37" s="943" t="s">
        <v>669</v>
      </c>
      <c r="AG37" s="1564"/>
      <c r="AH37" s="943" t="s">
        <v>669</v>
      </c>
      <c r="AI37" s="1564"/>
      <c r="AJ37" s="943" t="s">
        <v>669</v>
      </c>
      <c r="AK37" s="1564"/>
      <c r="AL37" s="943" t="s">
        <v>669</v>
      </c>
      <c r="AM37" s="1564"/>
      <c r="AN37" s="943" t="s">
        <v>669</v>
      </c>
      <c r="AO37" s="1393"/>
      <c r="AP37" s="943" t="s">
        <v>669</v>
      </c>
      <c r="AQ37" s="1393"/>
      <c r="AR37" s="943" t="s">
        <v>669</v>
      </c>
      <c r="AS37" s="1393"/>
      <c r="AT37" s="943" t="s">
        <v>669</v>
      </c>
      <c r="AU37" s="1564"/>
      <c r="AV37" s="943"/>
      <c r="AW37" s="1564"/>
      <c r="AX37" s="943"/>
      <c r="AY37" s="1564"/>
    </row>
    <row r="38" spans="1:51" ht="14.5" x14ac:dyDescent="0.35">
      <c r="A38" s="1817"/>
      <c r="B38" s="1818" t="s">
        <v>2278</v>
      </c>
      <c r="C38" s="646"/>
      <c r="D38" s="1819"/>
      <c r="E38" s="1423"/>
      <c r="F38" s="1484"/>
      <c r="G38" s="652"/>
      <c r="H38" s="943" t="s">
        <v>669</v>
      </c>
      <c r="I38" s="1393"/>
      <c r="J38" s="943" t="s">
        <v>669</v>
      </c>
      <c r="K38" s="1393"/>
      <c r="L38" s="943" t="s">
        <v>669</v>
      </c>
      <c r="M38" s="1393"/>
      <c r="N38" s="943" t="s">
        <v>669</v>
      </c>
      <c r="O38" s="1564"/>
      <c r="P38" s="943" t="s">
        <v>669</v>
      </c>
      <c r="Q38" s="1393"/>
      <c r="R38" s="943" t="s">
        <v>669</v>
      </c>
      <c r="S38" s="1393"/>
      <c r="T38" s="943" t="s">
        <v>669</v>
      </c>
      <c r="U38" s="1393"/>
      <c r="V38" s="943" t="s">
        <v>669</v>
      </c>
      <c r="W38" s="1564"/>
      <c r="X38" s="943" t="s">
        <v>669</v>
      </c>
      <c r="Y38" s="1564"/>
      <c r="Z38" s="943" t="s">
        <v>669</v>
      </c>
      <c r="AA38" s="1393"/>
      <c r="AB38" s="943" t="s">
        <v>669</v>
      </c>
      <c r="AC38" s="1564"/>
      <c r="AD38" s="943" t="s">
        <v>669</v>
      </c>
      <c r="AE38" s="1564"/>
      <c r="AF38" s="943" t="s">
        <v>669</v>
      </c>
      <c r="AG38" s="1564"/>
      <c r="AH38" s="943" t="s">
        <v>669</v>
      </c>
      <c r="AI38" s="1564"/>
      <c r="AJ38" s="943" t="s">
        <v>669</v>
      </c>
      <c r="AK38" s="1564"/>
      <c r="AL38" s="943" t="s">
        <v>669</v>
      </c>
      <c r="AM38" s="1564"/>
      <c r="AN38" s="943" t="s">
        <v>669</v>
      </c>
      <c r="AO38" s="1393"/>
      <c r="AP38" s="943" t="s">
        <v>669</v>
      </c>
      <c r="AQ38" s="1393"/>
      <c r="AR38" s="943" t="s">
        <v>669</v>
      </c>
      <c r="AS38" s="1393"/>
      <c r="AT38" s="943" t="s">
        <v>669</v>
      </c>
      <c r="AU38" s="1564"/>
      <c r="AV38" s="943"/>
      <c r="AW38" s="1564"/>
      <c r="AX38" s="943"/>
      <c r="AY38" s="1564"/>
    </row>
    <row r="39" spans="1:51" ht="14.5" x14ac:dyDescent="0.35">
      <c r="A39" s="1817"/>
      <c r="B39" s="1818" t="s">
        <v>2279</v>
      </c>
      <c r="C39" s="646"/>
      <c r="D39" s="1819"/>
      <c r="E39" s="1423"/>
      <c r="F39" s="1484"/>
      <c r="G39" s="652"/>
      <c r="H39" s="943" t="s">
        <v>669</v>
      </c>
      <c r="I39" s="1393"/>
      <c r="J39" s="943" t="s">
        <v>669</v>
      </c>
      <c r="K39" s="1393"/>
      <c r="L39" s="943" t="s">
        <v>669</v>
      </c>
      <c r="M39" s="1393"/>
      <c r="N39" s="943" t="s">
        <v>669</v>
      </c>
      <c r="O39" s="1564"/>
      <c r="P39" s="943" t="s">
        <v>669</v>
      </c>
      <c r="Q39" s="1393"/>
      <c r="R39" s="943" t="s">
        <v>669</v>
      </c>
      <c r="S39" s="1393"/>
      <c r="T39" s="943" t="s">
        <v>669</v>
      </c>
      <c r="U39" s="1393"/>
      <c r="V39" s="943" t="s">
        <v>669</v>
      </c>
      <c r="W39" s="1564"/>
      <c r="X39" s="943" t="s">
        <v>669</v>
      </c>
      <c r="Y39" s="1564"/>
      <c r="Z39" s="943" t="s">
        <v>669</v>
      </c>
      <c r="AA39" s="1393"/>
      <c r="AB39" s="943" t="s">
        <v>669</v>
      </c>
      <c r="AC39" s="1564"/>
      <c r="AD39" s="943" t="s">
        <v>669</v>
      </c>
      <c r="AE39" s="1564"/>
      <c r="AF39" s="943" t="s">
        <v>669</v>
      </c>
      <c r="AG39" s="1564"/>
      <c r="AH39" s="943" t="s">
        <v>669</v>
      </c>
      <c r="AI39" s="1564"/>
      <c r="AJ39" s="943" t="s">
        <v>669</v>
      </c>
      <c r="AK39" s="1564"/>
      <c r="AL39" s="943" t="s">
        <v>669</v>
      </c>
      <c r="AM39" s="1564"/>
      <c r="AN39" s="943" t="s">
        <v>669</v>
      </c>
      <c r="AO39" s="1393"/>
      <c r="AP39" s="943" t="s">
        <v>669</v>
      </c>
      <c r="AQ39" s="1393"/>
      <c r="AR39" s="943" t="s">
        <v>669</v>
      </c>
      <c r="AS39" s="1393"/>
      <c r="AT39" s="943" t="s">
        <v>669</v>
      </c>
      <c r="AU39" s="1564"/>
      <c r="AV39" s="943"/>
      <c r="AW39" s="1564"/>
      <c r="AX39" s="943"/>
      <c r="AY39" s="1564"/>
    </row>
    <row r="40" spans="1:51" ht="14.5" x14ac:dyDescent="0.35">
      <c r="A40" s="1391"/>
      <c r="B40" s="1820" t="s">
        <v>2280</v>
      </c>
      <c r="C40" s="646"/>
      <c r="D40" s="1423"/>
      <c r="E40" s="1423"/>
      <c r="F40" s="1484"/>
      <c r="G40" s="652"/>
      <c r="H40" s="1101" t="s">
        <v>671</v>
      </c>
      <c r="I40" s="1393"/>
      <c r="J40" s="1101" t="s">
        <v>671</v>
      </c>
      <c r="K40" s="1393"/>
      <c r="L40" s="1101" t="s">
        <v>671</v>
      </c>
      <c r="M40" s="1393"/>
      <c r="N40" s="1101" t="s">
        <v>671</v>
      </c>
      <c r="O40" s="1393"/>
      <c r="P40" s="1101" t="s">
        <v>671</v>
      </c>
      <c r="Q40" s="1393"/>
      <c r="R40" s="1101" t="s">
        <v>671</v>
      </c>
      <c r="S40" s="1393"/>
      <c r="T40" s="1101" t="s">
        <v>671</v>
      </c>
      <c r="U40" s="1393"/>
      <c r="V40" s="1101" t="s">
        <v>671</v>
      </c>
      <c r="W40" s="1393"/>
      <c r="X40" s="1101" t="s">
        <v>671</v>
      </c>
      <c r="Y40" s="1393"/>
      <c r="Z40" s="1101" t="s">
        <v>671</v>
      </c>
      <c r="AA40" s="1393"/>
      <c r="AB40" s="1101" t="s">
        <v>671</v>
      </c>
      <c r="AC40" s="1393"/>
      <c r="AD40" s="1101" t="s">
        <v>671</v>
      </c>
      <c r="AE40" s="1393"/>
      <c r="AF40" s="1101" t="s">
        <v>671</v>
      </c>
      <c r="AG40" s="1393"/>
      <c r="AH40" s="1101" t="s">
        <v>669</v>
      </c>
      <c r="AI40" s="1393"/>
      <c r="AJ40" s="1101" t="s">
        <v>671</v>
      </c>
      <c r="AK40" s="1393"/>
      <c r="AL40" s="1101" t="s">
        <v>671</v>
      </c>
      <c r="AM40" s="1393"/>
      <c r="AN40" s="1101" t="s">
        <v>671</v>
      </c>
      <c r="AO40" s="1393"/>
      <c r="AP40" s="1101" t="s">
        <v>671</v>
      </c>
      <c r="AQ40" s="1393"/>
      <c r="AR40" s="1101" t="s">
        <v>671</v>
      </c>
      <c r="AS40" s="1393"/>
      <c r="AT40" s="1101" t="s">
        <v>671</v>
      </c>
      <c r="AU40" s="1393"/>
      <c r="AV40" s="943"/>
      <c r="AW40" s="1393"/>
      <c r="AX40" s="943"/>
      <c r="AY40" s="1393"/>
    </row>
    <row r="41" spans="1:51" ht="14.5" x14ac:dyDescent="0.35">
      <c r="A41" s="1391"/>
      <c r="B41" s="1818" t="s">
        <v>2281</v>
      </c>
      <c r="C41" s="646"/>
      <c r="D41" s="1819"/>
      <c r="E41" s="1423"/>
      <c r="F41" s="1484"/>
      <c r="G41" s="652"/>
      <c r="H41" s="943" t="s">
        <v>669</v>
      </c>
      <c r="I41" s="1393"/>
      <c r="J41" s="943" t="s">
        <v>669</v>
      </c>
      <c r="K41" s="1393"/>
      <c r="L41" s="943" t="s">
        <v>669</v>
      </c>
      <c r="M41" s="1393"/>
      <c r="N41" s="943" t="s">
        <v>669</v>
      </c>
      <c r="O41" s="1393"/>
      <c r="P41" s="943" t="s">
        <v>669</v>
      </c>
      <c r="Q41" s="1393"/>
      <c r="R41" s="943" t="s">
        <v>669</v>
      </c>
      <c r="S41" s="1393"/>
      <c r="T41" s="943" t="s">
        <v>669</v>
      </c>
      <c r="U41" s="1393"/>
      <c r="V41" s="943" t="s">
        <v>669</v>
      </c>
      <c r="W41" s="1393"/>
      <c r="X41" s="943" t="s">
        <v>669</v>
      </c>
      <c r="Y41" s="1393"/>
      <c r="Z41" s="943" t="s">
        <v>669</v>
      </c>
      <c r="AA41" s="1393"/>
      <c r="AB41" s="943" t="s">
        <v>669</v>
      </c>
      <c r="AC41" s="1393"/>
      <c r="AD41" s="943" t="s">
        <v>669</v>
      </c>
      <c r="AE41" s="1393"/>
      <c r="AF41" s="943" t="s">
        <v>669</v>
      </c>
      <c r="AG41" s="1393"/>
      <c r="AH41" s="943" t="s">
        <v>669</v>
      </c>
      <c r="AI41" s="1393"/>
      <c r="AJ41" s="943" t="s">
        <v>669</v>
      </c>
      <c r="AK41" s="1393"/>
      <c r="AL41" s="943" t="s">
        <v>669</v>
      </c>
      <c r="AM41" s="1393"/>
      <c r="AN41" s="943" t="s">
        <v>669</v>
      </c>
      <c r="AO41" s="1393"/>
      <c r="AP41" s="943" t="s">
        <v>669</v>
      </c>
      <c r="AQ41" s="1393"/>
      <c r="AR41" s="943" t="s">
        <v>669</v>
      </c>
      <c r="AS41" s="1393"/>
      <c r="AT41" s="943" t="s">
        <v>669</v>
      </c>
      <c r="AU41" s="1393"/>
      <c r="AV41" s="943"/>
      <c r="AW41" s="1393"/>
      <c r="AX41" s="943"/>
      <c r="AY41" s="1393"/>
    </row>
    <row r="42" spans="1:51" ht="26" x14ac:dyDescent="0.35">
      <c r="A42" s="1391"/>
      <c r="B42" s="1821" t="s">
        <v>2282</v>
      </c>
      <c r="C42" s="646"/>
      <c r="D42" s="1819"/>
      <c r="E42" s="1423"/>
      <c r="F42" s="1484"/>
      <c r="G42" s="652"/>
      <c r="H42" s="943" t="s">
        <v>669</v>
      </c>
      <c r="I42" s="1393"/>
      <c r="J42" s="943" t="s">
        <v>669</v>
      </c>
      <c r="K42" s="1393"/>
      <c r="L42" s="943" t="s">
        <v>669</v>
      </c>
      <c r="M42" s="1393"/>
      <c r="N42" s="943" t="s">
        <v>669</v>
      </c>
      <c r="O42" s="1393"/>
      <c r="P42" s="943" t="s">
        <v>669</v>
      </c>
      <c r="Q42" s="1393"/>
      <c r="R42" s="943" t="s">
        <v>669</v>
      </c>
      <c r="S42" s="1393"/>
      <c r="T42" s="943" t="s">
        <v>669</v>
      </c>
      <c r="U42" s="1393"/>
      <c r="V42" s="943" t="s">
        <v>669</v>
      </c>
      <c r="W42" s="1393"/>
      <c r="X42" s="943" t="s">
        <v>669</v>
      </c>
      <c r="Y42" s="1393"/>
      <c r="Z42" s="943" t="s">
        <v>669</v>
      </c>
      <c r="AA42" s="1393"/>
      <c r="AB42" s="943" t="s">
        <v>669</v>
      </c>
      <c r="AC42" s="1393"/>
      <c r="AD42" s="943" t="s">
        <v>669</v>
      </c>
      <c r="AE42" s="1393"/>
      <c r="AF42" s="943" t="s">
        <v>669</v>
      </c>
      <c r="AG42" s="1393"/>
      <c r="AH42" s="943" t="s">
        <v>669</v>
      </c>
      <c r="AI42" s="1393"/>
      <c r="AJ42" s="943" t="s">
        <v>669</v>
      </c>
      <c r="AK42" s="1393"/>
      <c r="AL42" s="943" t="s">
        <v>669</v>
      </c>
      <c r="AM42" s="1393"/>
      <c r="AN42" s="943" t="s">
        <v>669</v>
      </c>
      <c r="AO42" s="1393"/>
      <c r="AP42" s="943" t="s">
        <v>669</v>
      </c>
      <c r="AQ42" s="1393"/>
      <c r="AR42" s="943" t="s">
        <v>669</v>
      </c>
      <c r="AS42" s="1393"/>
      <c r="AT42" s="943" t="s">
        <v>669</v>
      </c>
      <c r="AU42" s="1393"/>
      <c r="AV42" s="943"/>
      <c r="AW42" s="1393"/>
      <c r="AX42" s="943"/>
      <c r="AY42" s="1393"/>
    </row>
    <row r="43" spans="1:51" ht="14.5" x14ac:dyDescent="0.35">
      <c r="A43" s="1391"/>
      <c r="B43" s="1818" t="s">
        <v>2283</v>
      </c>
      <c r="C43" s="646"/>
      <c r="D43" s="1423"/>
      <c r="E43" s="1423"/>
      <c r="F43" s="1484"/>
      <c r="G43" s="652"/>
      <c r="H43" s="943" t="s">
        <v>669</v>
      </c>
      <c r="I43" s="1393"/>
      <c r="J43" s="943" t="s">
        <v>669</v>
      </c>
      <c r="K43" s="1393"/>
      <c r="L43" s="943" t="s">
        <v>669</v>
      </c>
      <c r="M43" s="1393"/>
      <c r="N43" s="943" t="s">
        <v>669</v>
      </c>
      <c r="O43" s="1393"/>
      <c r="P43" s="943" t="s">
        <v>669</v>
      </c>
      <c r="Q43" s="1393"/>
      <c r="R43" s="943" t="s">
        <v>669</v>
      </c>
      <c r="S43" s="1393"/>
      <c r="T43" s="943" t="s">
        <v>669</v>
      </c>
      <c r="U43" s="1393"/>
      <c r="V43" s="943" t="s">
        <v>669</v>
      </c>
      <c r="W43" s="1393"/>
      <c r="X43" s="943" t="s">
        <v>669</v>
      </c>
      <c r="Y43" s="1393"/>
      <c r="Z43" s="943" t="s">
        <v>669</v>
      </c>
      <c r="AA43" s="1393"/>
      <c r="AB43" s="943" t="s">
        <v>669</v>
      </c>
      <c r="AC43" s="1393"/>
      <c r="AD43" s="943" t="s">
        <v>669</v>
      </c>
      <c r="AE43" s="1393"/>
      <c r="AF43" s="943" t="s">
        <v>669</v>
      </c>
      <c r="AG43" s="1393"/>
      <c r="AH43" s="943" t="s">
        <v>669</v>
      </c>
      <c r="AI43" s="1393"/>
      <c r="AJ43" s="943" t="s">
        <v>669</v>
      </c>
      <c r="AK43" s="1393"/>
      <c r="AL43" s="943" t="s">
        <v>669</v>
      </c>
      <c r="AM43" s="1393"/>
      <c r="AN43" s="943" t="s">
        <v>669</v>
      </c>
      <c r="AO43" s="1393"/>
      <c r="AP43" s="943" t="s">
        <v>669</v>
      </c>
      <c r="AQ43" s="1393"/>
      <c r="AR43" s="943" t="s">
        <v>669</v>
      </c>
      <c r="AS43" s="1393"/>
      <c r="AT43" s="943" t="s">
        <v>669</v>
      </c>
      <c r="AU43" s="1393"/>
      <c r="AV43" s="943"/>
      <c r="AW43" s="1393"/>
      <c r="AX43" s="943"/>
      <c r="AY43" s="1393"/>
    </row>
    <row r="44" spans="1:51" ht="14.5" x14ac:dyDescent="0.35">
      <c r="A44" s="1391"/>
      <c r="B44" s="1818"/>
      <c r="C44" s="646"/>
      <c r="D44" s="1423"/>
      <c r="E44" s="1423"/>
      <c r="F44" s="1484"/>
      <c r="G44" s="652"/>
      <c r="H44" s="943"/>
      <c r="I44" s="1393"/>
      <c r="J44" s="943"/>
      <c r="K44" s="1393"/>
      <c r="L44" s="943"/>
      <c r="M44" s="1393"/>
      <c r="N44" s="943"/>
      <c r="O44" s="1393"/>
      <c r="P44" s="943"/>
      <c r="Q44" s="1393"/>
      <c r="R44" s="943"/>
      <c r="S44" s="1393"/>
      <c r="T44" s="943"/>
      <c r="U44" s="1393"/>
      <c r="V44" s="943"/>
      <c r="W44" s="1393"/>
      <c r="X44" s="943"/>
      <c r="Y44" s="1393"/>
      <c r="Z44" s="943"/>
      <c r="AA44" s="1393"/>
      <c r="AB44" s="943"/>
      <c r="AC44" s="1393"/>
      <c r="AD44" s="943"/>
      <c r="AE44" s="1393"/>
      <c r="AF44" s="943"/>
      <c r="AG44" s="1393"/>
      <c r="AH44" s="943"/>
      <c r="AI44" s="1393"/>
      <c r="AJ44" s="943"/>
      <c r="AK44" s="1393"/>
      <c r="AL44" s="943"/>
      <c r="AM44" s="1393"/>
      <c r="AN44" s="943"/>
      <c r="AO44" s="1393"/>
      <c r="AP44" s="943"/>
      <c r="AQ44" s="1393"/>
      <c r="AR44" s="943"/>
      <c r="AS44" s="1393"/>
      <c r="AT44" s="943"/>
      <c r="AU44" s="1393"/>
      <c r="AV44" s="943"/>
      <c r="AW44" s="1393"/>
      <c r="AX44" s="943"/>
      <c r="AY44" s="1393"/>
    </row>
    <row r="45" spans="1:51" ht="14.5" x14ac:dyDescent="0.35">
      <c r="A45" s="1391"/>
      <c r="B45" s="1822" t="s">
        <v>747</v>
      </c>
      <c r="C45" s="646"/>
      <c r="D45" s="1423"/>
      <c r="E45" s="1423"/>
      <c r="F45" s="1484"/>
      <c r="G45" s="652"/>
      <c r="H45" s="943"/>
      <c r="I45" s="1393">
        <v>2732500</v>
      </c>
      <c r="J45" s="943"/>
      <c r="K45" s="1393">
        <v>2877500</v>
      </c>
      <c r="L45" s="943"/>
      <c r="M45" s="1393">
        <v>2877500</v>
      </c>
      <c r="N45" s="943"/>
      <c r="O45" s="1393"/>
      <c r="P45" s="943"/>
      <c r="Q45" s="1393"/>
      <c r="R45" s="943"/>
      <c r="S45" s="1393"/>
      <c r="T45" s="943"/>
      <c r="U45" s="1393"/>
      <c r="V45" s="943"/>
      <c r="W45" s="1393"/>
      <c r="X45" s="943"/>
      <c r="Y45" s="1393"/>
      <c r="Z45" s="943"/>
      <c r="AA45" s="1393"/>
      <c r="AB45" s="943"/>
      <c r="AC45" s="1393">
        <v>3510700</v>
      </c>
      <c r="AD45" s="943"/>
      <c r="AE45" s="1393">
        <v>3058000</v>
      </c>
      <c r="AF45" s="943"/>
      <c r="AG45" s="1393"/>
      <c r="AH45" s="943"/>
      <c r="AI45" s="1393">
        <f>3442418-AI67-AI71-AI74-AI77-AI79</f>
        <v>3189673</v>
      </c>
      <c r="AJ45" s="943"/>
      <c r="AK45" s="1393"/>
      <c r="AL45" s="943"/>
      <c r="AM45" s="1393"/>
      <c r="AN45" s="943"/>
      <c r="AO45" s="1393">
        <v>4970000</v>
      </c>
      <c r="AP45" s="943"/>
      <c r="AQ45" s="1393"/>
      <c r="AR45" s="943"/>
      <c r="AS45" s="1393"/>
      <c r="AT45" s="943"/>
      <c r="AU45" s="1393"/>
      <c r="AV45" s="943"/>
      <c r="AW45" s="1393"/>
      <c r="AX45" s="943"/>
      <c r="AY45" s="1393"/>
    </row>
    <row r="46" spans="1:51" ht="14.5" x14ac:dyDescent="0.35">
      <c r="A46" s="1391"/>
      <c r="B46" s="1823" t="s">
        <v>2284</v>
      </c>
      <c r="C46" s="646"/>
      <c r="D46" s="1423"/>
      <c r="E46" s="1423"/>
      <c r="F46" s="1484"/>
      <c r="G46" s="652"/>
      <c r="H46" s="943" t="s">
        <v>669</v>
      </c>
      <c r="I46" s="1393"/>
      <c r="J46" s="943" t="s">
        <v>669</v>
      </c>
      <c r="K46" s="1393"/>
      <c r="L46" s="943" t="s">
        <v>669</v>
      </c>
      <c r="M46" s="1393"/>
      <c r="N46" s="943" t="s">
        <v>669</v>
      </c>
      <c r="O46" s="1393">
        <f>480268*3</f>
        <v>1440804</v>
      </c>
      <c r="P46" s="943" t="s">
        <v>669</v>
      </c>
      <c r="Q46" s="1393">
        <f>972000+140000+258000</f>
        <v>1370000</v>
      </c>
      <c r="R46" s="943" t="s">
        <v>669</v>
      </c>
      <c r="S46" s="1393"/>
      <c r="T46" s="943" t="s">
        <v>669</v>
      </c>
      <c r="U46" s="1393"/>
      <c r="V46" s="943" t="s">
        <v>669</v>
      </c>
      <c r="W46" s="1393">
        <f>496963*3</f>
        <v>1490889</v>
      </c>
      <c r="X46" s="943" t="s">
        <v>669</v>
      </c>
      <c r="Y46" s="1393">
        <f>429873*3</f>
        <v>1289619</v>
      </c>
      <c r="Z46" s="943" t="s">
        <v>669</v>
      </c>
      <c r="AA46" s="1393"/>
      <c r="AB46" s="943" t="s">
        <v>669</v>
      </c>
      <c r="AC46" s="1393"/>
      <c r="AD46" s="943" t="s">
        <v>669</v>
      </c>
      <c r="AE46" s="1393"/>
      <c r="AF46" s="943" t="s">
        <v>669</v>
      </c>
      <c r="AG46" s="1393">
        <f>480268*3</f>
        <v>1440804</v>
      </c>
      <c r="AH46" s="943" t="s">
        <v>669</v>
      </c>
      <c r="AI46" s="1393"/>
      <c r="AJ46" s="943" t="s">
        <v>669</v>
      </c>
      <c r="AK46" s="1393">
        <v>1586049</v>
      </c>
      <c r="AL46" s="943" t="s">
        <v>669</v>
      </c>
      <c r="AM46" s="1393">
        <f>665464*3</f>
        <v>1996392</v>
      </c>
      <c r="AN46" s="943" t="s">
        <v>669</v>
      </c>
      <c r="AO46" s="1393"/>
      <c r="AP46" s="943" t="s">
        <v>669</v>
      </c>
      <c r="AQ46" s="1393"/>
      <c r="AR46" s="943" t="s">
        <v>669</v>
      </c>
      <c r="AS46" s="1393"/>
      <c r="AT46" s="943" t="s">
        <v>669</v>
      </c>
      <c r="AU46" s="1393">
        <f>703000*3</f>
        <v>2109000</v>
      </c>
      <c r="AV46" s="943"/>
      <c r="AW46" s="1393"/>
      <c r="AX46" s="943"/>
      <c r="AY46" s="1393"/>
    </row>
    <row r="47" spans="1:51" ht="14.5" x14ac:dyDescent="0.35">
      <c r="A47" s="1391"/>
      <c r="B47" s="1818" t="s">
        <v>505</v>
      </c>
      <c r="C47" s="646"/>
      <c r="D47" s="1423"/>
      <c r="E47" s="1423"/>
      <c r="F47" s="1484"/>
      <c r="G47" s="652"/>
      <c r="H47" s="943" t="s">
        <v>669</v>
      </c>
      <c r="I47" s="1393"/>
      <c r="J47" s="943" t="s">
        <v>669</v>
      </c>
      <c r="K47" s="1393"/>
      <c r="L47" s="943" t="s">
        <v>669</v>
      </c>
      <c r="M47" s="1393"/>
      <c r="N47" s="943" t="s">
        <v>669</v>
      </c>
      <c r="O47" s="1393" t="s">
        <v>337</v>
      </c>
      <c r="P47" s="943" t="s">
        <v>669</v>
      </c>
      <c r="Q47" s="1393"/>
      <c r="R47" s="943" t="s">
        <v>669</v>
      </c>
      <c r="S47" s="1393"/>
      <c r="T47" s="943" t="s">
        <v>669</v>
      </c>
      <c r="U47" s="1393"/>
      <c r="V47" s="943" t="s">
        <v>669</v>
      </c>
      <c r="W47" s="1393"/>
      <c r="X47" s="943" t="s">
        <v>669</v>
      </c>
      <c r="Y47" s="1393"/>
      <c r="Z47" s="943" t="s">
        <v>669</v>
      </c>
      <c r="AA47" s="1393"/>
      <c r="AB47" s="943" t="s">
        <v>669</v>
      </c>
      <c r="AC47" s="1393"/>
      <c r="AD47" s="943" t="s">
        <v>669</v>
      </c>
      <c r="AE47" s="1393"/>
      <c r="AF47" s="943" t="s">
        <v>669</v>
      </c>
      <c r="AG47" s="1393" t="s">
        <v>337</v>
      </c>
      <c r="AH47" s="943" t="s">
        <v>669</v>
      </c>
      <c r="AI47" s="1393"/>
      <c r="AJ47" s="943" t="s">
        <v>669</v>
      </c>
      <c r="AK47" s="1393"/>
      <c r="AL47" s="943" t="s">
        <v>669</v>
      </c>
      <c r="AM47" s="1393"/>
      <c r="AN47" s="943" t="s">
        <v>669</v>
      </c>
      <c r="AO47" s="1393"/>
      <c r="AP47" s="943" t="s">
        <v>669</v>
      </c>
      <c r="AQ47" s="1393">
        <v>753120</v>
      </c>
      <c r="AR47" s="943" t="s">
        <v>669</v>
      </c>
      <c r="AS47" s="1393">
        <v>1349935</v>
      </c>
      <c r="AT47" s="943" t="s">
        <v>669</v>
      </c>
      <c r="AU47" s="1393"/>
      <c r="AV47" s="943"/>
      <c r="AW47" s="1393"/>
      <c r="AX47" s="943"/>
      <c r="AY47" s="1393"/>
    </row>
    <row r="48" spans="1:51" ht="14.5" x14ac:dyDescent="0.35">
      <c r="A48" s="1391"/>
      <c r="B48" s="1818" t="s">
        <v>2278</v>
      </c>
      <c r="C48" s="646"/>
      <c r="D48" s="1819"/>
      <c r="E48" s="1423"/>
      <c r="F48" s="1484"/>
      <c r="G48" s="652"/>
      <c r="H48" s="943" t="s">
        <v>669</v>
      </c>
      <c r="I48" s="1393"/>
      <c r="J48" s="943" t="s">
        <v>669</v>
      </c>
      <c r="K48" s="1393"/>
      <c r="L48" s="943" t="s">
        <v>669</v>
      </c>
      <c r="M48" s="1393"/>
      <c r="N48" s="943" t="s">
        <v>669</v>
      </c>
      <c r="O48" s="1393" t="s">
        <v>337</v>
      </c>
      <c r="P48" s="943" t="s">
        <v>669</v>
      </c>
      <c r="Q48" s="1393"/>
      <c r="R48" s="943" t="s">
        <v>669</v>
      </c>
      <c r="S48" s="1393"/>
      <c r="T48" s="943" t="s">
        <v>669</v>
      </c>
      <c r="U48" s="1393"/>
      <c r="V48" s="943" t="s">
        <v>669</v>
      </c>
      <c r="W48" s="1393"/>
      <c r="X48" s="943" t="s">
        <v>669</v>
      </c>
      <c r="Y48" s="1393"/>
      <c r="Z48" s="943" t="s">
        <v>669</v>
      </c>
      <c r="AA48" s="1393"/>
      <c r="AB48" s="943" t="s">
        <v>669</v>
      </c>
      <c r="AC48" s="1393"/>
      <c r="AD48" s="943" t="s">
        <v>669</v>
      </c>
      <c r="AE48" s="1393"/>
      <c r="AF48" s="943" t="s">
        <v>669</v>
      </c>
      <c r="AG48" s="1393" t="s">
        <v>337</v>
      </c>
      <c r="AH48" s="943" t="s">
        <v>669</v>
      </c>
      <c r="AI48" s="1393"/>
      <c r="AJ48" s="943" t="s">
        <v>669</v>
      </c>
      <c r="AK48" s="1393"/>
      <c r="AL48" s="943" t="s">
        <v>669</v>
      </c>
      <c r="AM48" s="1393"/>
      <c r="AN48" s="943" t="s">
        <v>669</v>
      </c>
      <c r="AO48" s="1393"/>
      <c r="AP48" s="943" t="s">
        <v>669</v>
      </c>
      <c r="AQ48" s="1393">
        <v>222782</v>
      </c>
      <c r="AR48" s="943" t="s">
        <v>669</v>
      </c>
      <c r="AS48" s="1393">
        <v>228772</v>
      </c>
      <c r="AT48" s="943" t="s">
        <v>669</v>
      </c>
      <c r="AU48" s="1393"/>
      <c r="AV48" s="943"/>
      <c r="AW48" s="1393"/>
      <c r="AX48" s="943"/>
      <c r="AY48" s="1393"/>
    </row>
    <row r="49" spans="1:51" ht="14.5" x14ac:dyDescent="0.35">
      <c r="A49" s="1391"/>
      <c r="B49" s="1818" t="s">
        <v>2285</v>
      </c>
      <c r="C49" s="646"/>
      <c r="D49" s="1819"/>
      <c r="E49" s="1423"/>
      <c r="F49" s="1484"/>
      <c r="G49" s="652"/>
      <c r="H49" s="943" t="s">
        <v>669</v>
      </c>
      <c r="I49" s="1393"/>
      <c r="J49" s="943" t="s">
        <v>669</v>
      </c>
      <c r="K49" s="1393"/>
      <c r="L49" s="943" t="s">
        <v>669</v>
      </c>
      <c r="M49" s="1393"/>
      <c r="N49" s="943" t="s">
        <v>669</v>
      </c>
      <c r="O49" s="1393" t="s">
        <v>337</v>
      </c>
      <c r="P49" s="943" t="s">
        <v>669</v>
      </c>
      <c r="Q49" s="1393"/>
      <c r="R49" s="943" t="s">
        <v>669</v>
      </c>
      <c r="S49" s="1393"/>
      <c r="T49" s="943" t="s">
        <v>669</v>
      </c>
      <c r="U49" s="1393"/>
      <c r="V49" s="943" t="s">
        <v>669</v>
      </c>
      <c r="W49" s="1393"/>
      <c r="X49" s="943" t="s">
        <v>669</v>
      </c>
      <c r="Y49" s="1393"/>
      <c r="Z49" s="943" t="s">
        <v>669</v>
      </c>
      <c r="AA49" s="1393"/>
      <c r="AB49" s="943" t="s">
        <v>669</v>
      </c>
      <c r="AC49" s="1393"/>
      <c r="AD49" s="943" t="s">
        <v>669</v>
      </c>
      <c r="AE49" s="1393"/>
      <c r="AF49" s="943" t="s">
        <v>669</v>
      </c>
      <c r="AG49" s="1393" t="s">
        <v>337</v>
      </c>
      <c r="AH49" s="943" t="s">
        <v>669</v>
      </c>
      <c r="AI49" s="1393"/>
      <c r="AJ49" s="943" t="s">
        <v>669</v>
      </c>
      <c r="AK49" s="1393"/>
      <c r="AL49" s="943" t="s">
        <v>669</v>
      </c>
      <c r="AM49" s="1393"/>
      <c r="AN49" s="943" t="s">
        <v>669</v>
      </c>
      <c r="AO49" s="1393"/>
      <c r="AP49" s="943" t="s">
        <v>669</v>
      </c>
      <c r="AQ49" s="1393">
        <v>97062</v>
      </c>
      <c r="AR49" s="1101" t="s">
        <v>654</v>
      </c>
      <c r="AS49" s="1393">
        <v>97062</v>
      </c>
      <c r="AT49" s="943" t="s">
        <v>669</v>
      </c>
      <c r="AU49" s="1393"/>
      <c r="AV49" s="943"/>
      <c r="AW49" s="1393"/>
      <c r="AX49" s="943"/>
      <c r="AY49" s="1393"/>
    </row>
    <row r="50" spans="1:51" ht="14.5" x14ac:dyDescent="0.35">
      <c r="A50" s="1391"/>
      <c r="B50" s="1818" t="s">
        <v>2286</v>
      </c>
      <c r="C50" s="646"/>
      <c r="D50" s="1819"/>
      <c r="E50" s="1423"/>
      <c r="F50" s="1484"/>
      <c r="G50" s="652"/>
      <c r="H50" s="1101" t="s">
        <v>669</v>
      </c>
      <c r="I50" s="1393"/>
      <c r="J50" s="1101" t="s">
        <v>669</v>
      </c>
      <c r="K50" s="1393"/>
      <c r="L50" s="1101" t="s">
        <v>669</v>
      </c>
      <c r="M50" s="1393"/>
      <c r="N50" s="1101" t="s">
        <v>669</v>
      </c>
      <c r="O50" s="1393"/>
      <c r="P50" s="1101" t="s">
        <v>669</v>
      </c>
      <c r="Q50" s="1393"/>
      <c r="R50" s="1101" t="s">
        <v>669</v>
      </c>
      <c r="S50" s="1393"/>
      <c r="T50" s="1101" t="s">
        <v>669</v>
      </c>
      <c r="U50" s="1393"/>
      <c r="V50" s="1101" t="s">
        <v>669</v>
      </c>
      <c r="W50" s="1393"/>
      <c r="X50" s="1101" t="s">
        <v>669</v>
      </c>
      <c r="Y50" s="1393"/>
      <c r="Z50" s="1101" t="s">
        <v>669</v>
      </c>
      <c r="AA50" s="1393"/>
      <c r="AB50" s="1101" t="s">
        <v>669</v>
      </c>
      <c r="AC50" s="1393"/>
      <c r="AD50" s="1101" t="s">
        <v>669</v>
      </c>
      <c r="AE50" s="1393"/>
      <c r="AF50" s="1101" t="s">
        <v>669</v>
      </c>
      <c r="AG50" s="1393"/>
      <c r="AH50" s="1101" t="s">
        <v>669</v>
      </c>
      <c r="AI50" s="1393"/>
      <c r="AJ50" s="1101" t="s">
        <v>669</v>
      </c>
      <c r="AK50" s="1393"/>
      <c r="AL50" s="1101" t="s">
        <v>669</v>
      </c>
      <c r="AM50" s="1393"/>
      <c r="AN50" s="1101"/>
      <c r="AO50" s="1393"/>
      <c r="AP50" s="1101" t="s">
        <v>669</v>
      </c>
      <c r="AQ50" s="1393">
        <v>196494</v>
      </c>
      <c r="AR50" s="1101" t="s">
        <v>654</v>
      </c>
      <c r="AS50" s="1393">
        <v>196494</v>
      </c>
      <c r="AT50" s="1101" t="s">
        <v>669</v>
      </c>
      <c r="AU50" s="1393"/>
      <c r="AV50" s="943"/>
      <c r="AW50" s="1393"/>
      <c r="AX50" s="943"/>
      <c r="AY50" s="1393"/>
    </row>
    <row r="51" spans="1:51" ht="14.5" x14ac:dyDescent="0.35">
      <c r="A51" s="1817"/>
      <c r="B51" s="1818" t="s">
        <v>2287</v>
      </c>
      <c r="C51" s="646"/>
      <c r="D51" s="1819"/>
      <c r="E51" s="1423"/>
      <c r="F51" s="1484"/>
      <c r="G51" s="652"/>
      <c r="H51" s="1101" t="s">
        <v>669</v>
      </c>
      <c r="I51" s="1393"/>
      <c r="J51" s="1101" t="s">
        <v>669</v>
      </c>
      <c r="K51" s="1393"/>
      <c r="L51" s="1101" t="s">
        <v>669</v>
      </c>
      <c r="M51" s="1393"/>
      <c r="N51" s="1101" t="s">
        <v>669</v>
      </c>
      <c r="O51" s="1393" t="s">
        <v>337</v>
      </c>
      <c r="P51" s="1101" t="s">
        <v>669</v>
      </c>
      <c r="Q51" s="1393"/>
      <c r="R51" s="1101" t="s">
        <v>669</v>
      </c>
      <c r="S51" s="1393"/>
      <c r="T51" s="1101" t="s">
        <v>669</v>
      </c>
      <c r="U51" s="1393"/>
      <c r="V51" s="1101" t="s">
        <v>669</v>
      </c>
      <c r="W51" s="1564"/>
      <c r="X51" s="1101" t="s">
        <v>669</v>
      </c>
      <c r="Y51" s="1564"/>
      <c r="Z51" s="1101" t="s">
        <v>669</v>
      </c>
      <c r="AA51" s="1393"/>
      <c r="AB51" s="1101" t="s">
        <v>669</v>
      </c>
      <c r="AC51" s="1564"/>
      <c r="AD51" s="1101" t="s">
        <v>669</v>
      </c>
      <c r="AE51" s="1564"/>
      <c r="AF51" s="1101" t="s">
        <v>669</v>
      </c>
      <c r="AG51" s="1393" t="s">
        <v>337</v>
      </c>
      <c r="AH51" s="1101" t="s">
        <v>669</v>
      </c>
      <c r="AI51" s="1564"/>
      <c r="AJ51" s="1101" t="s">
        <v>669</v>
      </c>
      <c r="AK51" s="1564"/>
      <c r="AL51" s="1101" t="s">
        <v>669</v>
      </c>
      <c r="AM51" s="1564"/>
      <c r="AN51" s="1101" t="s">
        <v>669</v>
      </c>
      <c r="AO51" s="1393"/>
      <c r="AP51" s="1101" t="s">
        <v>669</v>
      </c>
      <c r="AQ51" s="1393">
        <v>539364</v>
      </c>
      <c r="AR51" s="1101" t="s">
        <v>654</v>
      </c>
      <c r="AS51" s="1393">
        <v>539364</v>
      </c>
      <c r="AT51" s="1101" t="s">
        <v>669</v>
      </c>
      <c r="AU51" s="1564"/>
      <c r="AV51" s="943"/>
      <c r="AW51" s="1564"/>
      <c r="AX51" s="943"/>
      <c r="AY51" s="1564"/>
    </row>
    <row r="52" spans="1:51" ht="14.5" x14ac:dyDescent="0.35">
      <c r="A52" s="1391"/>
      <c r="B52" s="1818" t="s">
        <v>2288</v>
      </c>
      <c r="C52" s="646"/>
      <c r="D52" s="1423"/>
      <c r="E52" s="1423"/>
      <c r="F52" s="1484"/>
      <c r="G52" s="652"/>
      <c r="H52" s="1101" t="s">
        <v>671</v>
      </c>
      <c r="I52" s="1393"/>
      <c r="J52" s="1101" t="s">
        <v>671</v>
      </c>
      <c r="K52" s="1393"/>
      <c r="L52" s="1101" t="s">
        <v>671</v>
      </c>
      <c r="M52" s="1393"/>
      <c r="N52" s="1101" t="s">
        <v>669</v>
      </c>
      <c r="O52" s="1393"/>
      <c r="P52" s="1101" t="s">
        <v>671</v>
      </c>
      <c r="Q52" s="1393"/>
      <c r="R52" s="1101" t="s">
        <v>671</v>
      </c>
      <c r="S52" s="1393"/>
      <c r="T52" s="1101" t="s">
        <v>671</v>
      </c>
      <c r="U52" s="1393"/>
      <c r="V52" s="1101" t="s">
        <v>671</v>
      </c>
      <c r="W52" s="1393"/>
      <c r="X52" s="1101" t="s">
        <v>671</v>
      </c>
      <c r="Y52" s="1393"/>
      <c r="Z52" s="1101" t="s">
        <v>671</v>
      </c>
      <c r="AA52" s="1393"/>
      <c r="AB52" s="1101" t="s">
        <v>671</v>
      </c>
      <c r="AC52" s="1393"/>
      <c r="AD52" s="1101" t="s">
        <v>671</v>
      </c>
      <c r="AE52" s="1393"/>
      <c r="AF52" s="1101" t="s">
        <v>669</v>
      </c>
      <c r="AG52" s="1393"/>
      <c r="AH52" s="1101" t="s">
        <v>671</v>
      </c>
      <c r="AI52" s="1393"/>
      <c r="AJ52" s="1101" t="s">
        <v>671</v>
      </c>
      <c r="AK52" s="1393"/>
      <c r="AL52" s="1101" t="s">
        <v>671</v>
      </c>
      <c r="AM52" s="1393"/>
      <c r="AN52" s="1101" t="s">
        <v>671</v>
      </c>
      <c r="AO52" s="1393"/>
      <c r="AP52" s="1101" t="s">
        <v>671</v>
      </c>
      <c r="AQ52" s="1393">
        <v>123614</v>
      </c>
      <c r="AR52" s="1101" t="s">
        <v>671</v>
      </c>
      <c r="AS52" s="1393"/>
      <c r="AT52" s="1101" t="s">
        <v>669</v>
      </c>
      <c r="AU52" s="1393"/>
      <c r="AV52" s="943"/>
      <c r="AW52" s="1393"/>
      <c r="AX52" s="943"/>
      <c r="AY52" s="1393"/>
    </row>
    <row r="53" spans="1:51" ht="14.5" x14ac:dyDescent="0.35">
      <c r="A53" s="1391"/>
      <c r="B53" s="1822" t="s">
        <v>2289</v>
      </c>
      <c r="C53" s="1423"/>
      <c r="D53" s="1423"/>
      <c r="E53" s="1423"/>
      <c r="F53" s="1484"/>
      <c r="G53" s="652"/>
      <c r="H53" s="943" t="s">
        <v>669</v>
      </c>
      <c r="I53" s="1393"/>
      <c r="J53" s="943" t="s">
        <v>669</v>
      </c>
      <c r="K53" s="1393"/>
      <c r="L53" s="943" t="s">
        <v>669</v>
      </c>
      <c r="M53" s="1393"/>
      <c r="N53" s="943" t="s">
        <v>669</v>
      </c>
      <c r="O53" s="1393">
        <f>550382*2</f>
        <v>1100764</v>
      </c>
      <c r="P53" s="943" t="s">
        <v>669</v>
      </c>
      <c r="Q53" s="1393">
        <f>806000+136000+210000</f>
        <v>1152000</v>
      </c>
      <c r="R53" s="943" t="s">
        <v>669</v>
      </c>
      <c r="S53" s="1393"/>
      <c r="T53" s="943" t="s">
        <v>669</v>
      </c>
      <c r="U53" s="1393"/>
      <c r="V53" s="943" t="s">
        <v>669</v>
      </c>
      <c r="W53" s="1564">
        <f>531833*2</f>
        <v>1063666</v>
      </c>
      <c r="X53" s="943" t="s">
        <v>669</v>
      </c>
      <c r="Y53" s="1564">
        <f>460036*2</f>
        <v>920072</v>
      </c>
      <c r="Z53" s="943" t="s">
        <v>669</v>
      </c>
      <c r="AA53" s="1393"/>
      <c r="AB53" s="943" t="s">
        <v>669</v>
      </c>
      <c r="AC53" s="1564"/>
      <c r="AD53" s="943" t="s">
        <v>669</v>
      </c>
      <c r="AE53" s="1564"/>
      <c r="AF53" s="943" t="s">
        <v>669</v>
      </c>
      <c r="AG53" s="1393">
        <f>550382*2</f>
        <v>1100764</v>
      </c>
      <c r="AH53" s="943" t="s">
        <v>669</v>
      </c>
      <c r="AI53" s="1393"/>
      <c r="AJ53" s="943" t="s">
        <v>669</v>
      </c>
      <c r="AK53" s="1564">
        <v>1252558</v>
      </c>
      <c r="AL53" s="943" t="s">
        <v>669</v>
      </c>
      <c r="AM53" s="1393">
        <f>721211*2</f>
        <v>1442422</v>
      </c>
      <c r="AN53" s="943" t="s">
        <v>669</v>
      </c>
      <c r="AO53" s="1393"/>
      <c r="AP53" s="943" t="s">
        <v>669</v>
      </c>
      <c r="AQ53" s="1392"/>
      <c r="AR53" s="943" t="s">
        <v>669</v>
      </c>
      <c r="AS53" s="1392"/>
      <c r="AT53" s="943" t="s">
        <v>669</v>
      </c>
      <c r="AU53" s="1564">
        <f>832900*2</f>
        <v>1665800</v>
      </c>
      <c r="AV53" s="943"/>
      <c r="AW53" s="1824"/>
      <c r="AX53" s="943"/>
      <c r="AY53" s="1824"/>
    </row>
    <row r="54" spans="1:51" ht="14.5" x14ac:dyDescent="0.35">
      <c r="A54" s="1391"/>
      <c r="B54" s="1818" t="s">
        <v>505</v>
      </c>
      <c r="C54" s="1423"/>
      <c r="D54" s="1423"/>
      <c r="E54" s="1423"/>
      <c r="F54" s="1484"/>
      <c r="G54" s="652"/>
      <c r="H54" s="943" t="s">
        <v>669</v>
      </c>
      <c r="I54" s="1393"/>
      <c r="J54" s="943" t="s">
        <v>669</v>
      </c>
      <c r="K54" s="1393"/>
      <c r="L54" s="943" t="s">
        <v>669</v>
      </c>
      <c r="M54" s="1393"/>
      <c r="N54" s="943" t="s">
        <v>669</v>
      </c>
      <c r="O54" s="1393" t="s">
        <v>337</v>
      </c>
      <c r="P54" s="943" t="s">
        <v>669</v>
      </c>
      <c r="Q54" s="1825"/>
      <c r="R54" s="943" t="s">
        <v>669</v>
      </c>
      <c r="S54" s="1825"/>
      <c r="T54" s="943" t="s">
        <v>669</v>
      </c>
      <c r="U54" s="1825"/>
      <c r="V54" s="943" t="s">
        <v>669</v>
      </c>
      <c r="W54" s="1564"/>
      <c r="X54" s="943" t="s">
        <v>669</v>
      </c>
      <c r="Y54" s="1564"/>
      <c r="Z54" s="943" t="s">
        <v>669</v>
      </c>
      <c r="AA54" s="1393"/>
      <c r="AB54" s="943" t="s">
        <v>669</v>
      </c>
      <c r="AC54" s="1564"/>
      <c r="AD54" s="943" t="s">
        <v>669</v>
      </c>
      <c r="AE54" s="1564"/>
      <c r="AF54" s="943" t="s">
        <v>669</v>
      </c>
      <c r="AG54" s="1393" t="s">
        <v>337</v>
      </c>
      <c r="AH54" s="943" t="s">
        <v>669</v>
      </c>
      <c r="AI54" s="1564"/>
      <c r="AJ54" s="943" t="s">
        <v>669</v>
      </c>
      <c r="AK54" s="1564"/>
      <c r="AL54" s="943" t="s">
        <v>669</v>
      </c>
      <c r="AM54" s="1392"/>
      <c r="AN54" s="943" t="s">
        <v>669</v>
      </c>
      <c r="AO54" s="1825"/>
      <c r="AP54" s="943" t="s">
        <v>669</v>
      </c>
      <c r="AQ54" s="1393">
        <v>617503</v>
      </c>
      <c r="AR54" s="943" t="s">
        <v>669</v>
      </c>
      <c r="AS54" s="1393">
        <v>956782</v>
      </c>
      <c r="AT54" s="943" t="s">
        <v>669</v>
      </c>
      <c r="AU54" s="1564"/>
      <c r="AV54" s="943"/>
      <c r="AW54" s="1824"/>
      <c r="AX54" s="943"/>
      <c r="AY54" s="1824"/>
    </row>
    <row r="55" spans="1:51" ht="14.5" x14ac:dyDescent="0.35">
      <c r="A55" s="1391"/>
      <c r="B55" s="1818" t="s">
        <v>2290</v>
      </c>
      <c r="C55" s="1423"/>
      <c r="D55" s="1423"/>
      <c r="E55" s="1423"/>
      <c r="F55" s="1484"/>
      <c r="G55" s="652"/>
      <c r="H55" s="943" t="s">
        <v>669</v>
      </c>
      <c r="I55" s="1393"/>
      <c r="J55" s="943" t="s">
        <v>669</v>
      </c>
      <c r="K55" s="1393"/>
      <c r="L55" s="943" t="s">
        <v>669</v>
      </c>
      <c r="M55" s="1393"/>
      <c r="N55" s="943" t="s">
        <v>669</v>
      </c>
      <c r="O55" s="1393" t="s">
        <v>337</v>
      </c>
      <c r="P55" s="943" t="s">
        <v>669</v>
      </c>
      <c r="Q55" s="1825"/>
      <c r="R55" s="943" t="s">
        <v>669</v>
      </c>
      <c r="S55" s="1825"/>
      <c r="T55" s="943" t="s">
        <v>669</v>
      </c>
      <c r="U55" s="1825"/>
      <c r="V55" s="943" t="s">
        <v>669</v>
      </c>
      <c r="W55" s="1564"/>
      <c r="X55" s="943" t="s">
        <v>669</v>
      </c>
      <c r="Y55" s="1564"/>
      <c r="Z55" s="943" t="s">
        <v>669</v>
      </c>
      <c r="AA55" s="1393"/>
      <c r="AB55" s="943" t="s">
        <v>669</v>
      </c>
      <c r="AC55" s="1564"/>
      <c r="AD55" s="943" t="s">
        <v>669</v>
      </c>
      <c r="AE55" s="1564"/>
      <c r="AF55" s="943" t="s">
        <v>669</v>
      </c>
      <c r="AG55" s="1393" t="s">
        <v>337</v>
      </c>
      <c r="AH55" s="943" t="s">
        <v>669</v>
      </c>
      <c r="AI55" s="1564"/>
      <c r="AJ55" s="943" t="s">
        <v>669</v>
      </c>
      <c r="AK55" s="1564"/>
      <c r="AL55" s="943" t="s">
        <v>669</v>
      </c>
      <c r="AM55" s="1825"/>
      <c r="AN55" s="943" t="s">
        <v>669</v>
      </c>
      <c r="AO55" s="1825"/>
      <c r="AP55" s="943" t="s">
        <v>669</v>
      </c>
      <c r="AQ55" s="1393">
        <v>161728</v>
      </c>
      <c r="AR55" s="943" t="s">
        <v>669</v>
      </c>
      <c r="AS55" s="1393">
        <v>153490</v>
      </c>
      <c r="AT55" s="943" t="s">
        <v>669</v>
      </c>
      <c r="AU55" s="1564"/>
      <c r="AV55" s="943"/>
      <c r="AW55" s="1824"/>
      <c r="AX55" s="943"/>
      <c r="AY55" s="1824"/>
    </row>
    <row r="56" spans="1:51" ht="14.5" x14ac:dyDescent="0.35">
      <c r="A56" s="1817"/>
      <c r="B56" s="1818" t="s">
        <v>2285</v>
      </c>
      <c r="C56" s="1423"/>
      <c r="D56" s="1423"/>
      <c r="E56" s="1423"/>
      <c r="F56" s="1484"/>
      <c r="G56" s="652"/>
      <c r="H56" s="943" t="s">
        <v>669</v>
      </c>
      <c r="I56" s="1393"/>
      <c r="J56" s="943" t="s">
        <v>669</v>
      </c>
      <c r="K56" s="1393"/>
      <c r="L56" s="943" t="s">
        <v>669</v>
      </c>
      <c r="M56" s="1393"/>
      <c r="N56" s="943" t="s">
        <v>669</v>
      </c>
      <c r="O56" s="1393" t="s">
        <v>337</v>
      </c>
      <c r="P56" s="943" t="s">
        <v>669</v>
      </c>
      <c r="Q56" s="1825"/>
      <c r="R56" s="943" t="s">
        <v>669</v>
      </c>
      <c r="S56" s="1825"/>
      <c r="T56" s="943" t="s">
        <v>669</v>
      </c>
      <c r="U56" s="1825"/>
      <c r="V56" s="943" t="s">
        <v>669</v>
      </c>
      <c r="W56" s="1564"/>
      <c r="X56" s="943" t="s">
        <v>669</v>
      </c>
      <c r="Y56" s="1564"/>
      <c r="Z56" s="943" t="s">
        <v>669</v>
      </c>
      <c r="AA56" s="1393"/>
      <c r="AB56" s="943" t="s">
        <v>669</v>
      </c>
      <c r="AC56" s="1564"/>
      <c r="AD56" s="943" t="s">
        <v>669</v>
      </c>
      <c r="AE56" s="1564"/>
      <c r="AF56" s="943" t="s">
        <v>669</v>
      </c>
      <c r="AG56" s="1393" t="s">
        <v>337</v>
      </c>
      <c r="AH56" s="943" t="s">
        <v>669</v>
      </c>
      <c r="AI56" s="1564"/>
      <c r="AJ56" s="943" t="s">
        <v>669</v>
      </c>
      <c r="AK56" s="1564"/>
      <c r="AL56" s="943" t="s">
        <v>669</v>
      </c>
      <c r="AM56" s="1825"/>
      <c r="AN56" s="943" t="s">
        <v>669</v>
      </c>
      <c r="AO56" s="1825"/>
      <c r="AP56" s="943" t="s">
        <v>669</v>
      </c>
      <c r="AQ56" s="1393">
        <v>60060</v>
      </c>
      <c r="AR56" s="1101" t="s">
        <v>654</v>
      </c>
      <c r="AS56" s="1393">
        <v>60060</v>
      </c>
      <c r="AT56" s="943" t="s">
        <v>669</v>
      </c>
      <c r="AU56" s="1564"/>
      <c r="AV56" s="943"/>
      <c r="AW56" s="1824"/>
      <c r="AX56" s="943"/>
      <c r="AY56" s="1824"/>
    </row>
    <row r="57" spans="1:51" ht="14.5" x14ac:dyDescent="0.35">
      <c r="A57" s="1391"/>
      <c r="B57" s="1818" t="s">
        <v>2286</v>
      </c>
      <c r="C57" s="646"/>
      <c r="D57" s="1819"/>
      <c r="E57" s="1423"/>
      <c r="F57" s="1484"/>
      <c r="G57" s="652"/>
      <c r="H57" s="1101" t="s">
        <v>669</v>
      </c>
      <c r="I57" s="1393"/>
      <c r="J57" s="1101" t="s">
        <v>669</v>
      </c>
      <c r="K57" s="1393"/>
      <c r="L57" s="1101" t="s">
        <v>669</v>
      </c>
      <c r="M57" s="1393"/>
      <c r="N57" s="1101" t="s">
        <v>669</v>
      </c>
      <c r="O57" s="1393"/>
      <c r="P57" s="1101" t="s">
        <v>669</v>
      </c>
      <c r="Q57" s="1393"/>
      <c r="R57" s="1101" t="s">
        <v>669</v>
      </c>
      <c r="S57" s="1393"/>
      <c r="T57" s="1101" t="s">
        <v>669</v>
      </c>
      <c r="U57" s="1393"/>
      <c r="V57" s="1101" t="s">
        <v>669</v>
      </c>
      <c r="W57" s="1393"/>
      <c r="X57" s="1101" t="s">
        <v>669</v>
      </c>
      <c r="Y57" s="1393"/>
      <c r="Z57" s="1101" t="s">
        <v>669</v>
      </c>
      <c r="AA57" s="1393"/>
      <c r="AB57" s="1101" t="s">
        <v>669</v>
      </c>
      <c r="AC57" s="1393"/>
      <c r="AD57" s="1101" t="s">
        <v>669</v>
      </c>
      <c r="AE57" s="1393"/>
      <c r="AF57" s="1101" t="s">
        <v>669</v>
      </c>
      <c r="AG57" s="1393"/>
      <c r="AH57" s="1101" t="s">
        <v>669</v>
      </c>
      <c r="AI57" s="1393"/>
      <c r="AJ57" s="1101" t="s">
        <v>669</v>
      </c>
      <c r="AK57" s="1393"/>
      <c r="AL57" s="1101" t="s">
        <v>669</v>
      </c>
      <c r="AM57" s="1393"/>
      <c r="AN57" s="1101"/>
      <c r="AO57" s="1393"/>
      <c r="AP57" s="1101" t="s">
        <v>669</v>
      </c>
      <c r="AQ57" s="1393">
        <v>134240</v>
      </c>
      <c r="AR57" s="1101" t="s">
        <v>654</v>
      </c>
      <c r="AS57" s="1393">
        <v>134240</v>
      </c>
      <c r="AT57" s="1101" t="s">
        <v>669</v>
      </c>
      <c r="AU57" s="1393"/>
      <c r="AV57" s="943"/>
      <c r="AW57" s="1393"/>
      <c r="AX57" s="943"/>
      <c r="AY57" s="1393"/>
    </row>
    <row r="58" spans="1:51" ht="14.5" x14ac:dyDescent="0.35">
      <c r="A58" s="1817"/>
      <c r="B58" s="1818" t="s">
        <v>2287</v>
      </c>
      <c r="C58" s="646"/>
      <c r="D58" s="1819"/>
      <c r="E58" s="1423"/>
      <c r="F58" s="1484"/>
      <c r="G58" s="652"/>
      <c r="H58" s="1101" t="s">
        <v>669</v>
      </c>
      <c r="I58" s="1393"/>
      <c r="J58" s="1101" t="s">
        <v>669</v>
      </c>
      <c r="K58" s="1393"/>
      <c r="L58" s="1101" t="s">
        <v>669</v>
      </c>
      <c r="M58" s="1393"/>
      <c r="N58" s="1101" t="s">
        <v>669</v>
      </c>
      <c r="O58" s="1393"/>
      <c r="P58" s="1101" t="s">
        <v>669</v>
      </c>
      <c r="Q58" s="1393"/>
      <c r="R58" s="1101" t="s">
        <v>669</v>
      </c>
      <c r="S58" s="1393"/>
      <c r="T58" s="1101" t="s">
        <v>669</v>
      </c>
      <c r="U58" s="1393"/>
      <c r="V58" s="1101" t="s">
        <v>669</v>
      </c>
      <c r="W58" s="1564"/>
      <c r="X58" s="1101" t="s">
        <v>669</v>
      </c>
      <c r="Y58" s="1564"/>
      <c r="Z58" s="1101" t="s">
        <v>669</v>
      </c>
      <c r="AA58" s="1393"/>
      <c r="AB58" s="1101" t="s">
        <v>669</v>
      </c>
      <c r="AC58" s="1564"/>
      <c r="AD58" s="1101" t="s">
        <v>669</v>
      </c>
      <c r="AE58" s="1564"/>
      <c r="AF58" s="1101" t="s">
        <v>669</v>
      </c>
      <c r="AG58" s="1393"/>
      <c r="AH58" s="1101" t="s">
        <v>669</v>
      </c>
      <c r="AI58" s="1564"/>
      <c r="AJ58" s="1101" t="s">
        <v>669</v>
      </c>
      <c r="AK58" s="1564"/>
      <c r="AL58" s="1101" t="s">
        <v>669</v>
      </c>
      <c r="AM58" s="1564"/>
      <c r="AN58" s="1101" t="s">
        <v>669</v>
      </c>
      <c r="AO58" s="1393"/>
      <c r="AP58" s="1101" t="s">
        <v>669</v>
      </c>
      <c r="AQ58" s="1393">
        <v>480869</v>
      </c>
      <c r="AR58" s="1101" t="s">
        <v>654</v>
      </c>
      <c r="AS58" s="1393">
        <v>480869</v>
      </c>
      <c r="AT58" s="1101" t="s">
        <v>669</v>
      </c>
      <c r="AU58" s="1564"/>
      <c r="AV58" s="943"/>
      <c r="AW58" s="1564"/>
      <c r="AX58" s="943"/>
      <c r="AY58" s="1564"/>
    </row>
    <row r="59" spans="1:51" ht="14.5" x14ac:dyDescent="0.35">
      <c r="A59" s="1391"/>
      <c r="B59" s="1818" t="s">
        <v>2280</v>
      </c>
      <c r="C59" s="646"/>
      <c r="D59" s="1423"/>
      <c r="E59" s="1423"/>
      <c r="F59" s="1484"/>
      <c r="G59" s="652"/>
      <c r="H59" s="1101" t="s">
        <v>671</v>
      </c>
      <c r="I59" s="1393"/>
      <c r="J59" s="1101" t="s">
        <v>671</v>
      </c>
      <c r="K59" s="1393"/>
      <c r="L59" s="1101" t="s">
        <v>671</v>
      </c>
      <c r="M59" s="1393"/>
      <c r="N59" s="1101" t="s">
        <v>669</v>
      </c>
      <c r="O59" s="1393"/>
      <c r="P59" s="1101" t="s">
        <v>671</v>
      </c>
      <c r="Q59" s="1393"/>
      <c r="R59" s="1101" t="s">
        <v>671</v>
      </c>
      <c r="S59" s="1393"/>
      <c r="T59" s="1101" t="s">
        <v>671</v>
      </c>
      <c r="U59" s="1393"/>
      <c r="V59" s="1101" t="s">
        <v>671</v>
      </c>
      <c r="W59" s="1393"/>
      <c r="X59" s="1101" t="s">
        <v>671</v>
      </c>
      <c r="Y59" s="1393"/>
      <c r="Z59" s="1101" t="s">
        <v>671</v>
      </c>
      <c r="AA59" s="1393"/>
      <c r="AB59" s="1101" t="s">
        <v>671</v>
      </c>
      <c r="AC59" s="1393"/>
      <c r="AD59" s="1101" t="s">
        <v>671</v>
      </c>
      <c r="AE59" s="1393"/>
      <c r="AF59" s="1101" t="s">
        <v>669</v>
      </c>
      <c r="AG59" s="1393"/>
      <c r="AH59" s="1101" t="s">
        <v>671</v>
      </c>
      <c r="AI59" s="1393"/>
      <c r="AJ59" s="1101" t="s">
        <v>671</v>
      </c>
      <c r="AK59" s="1393"/>
      <c r="AL59" s="1101" t="s">
        <v>671</v>
      </c>
      <c r="AM59" s="1393"/>
      <c r="AN59" s="1101" t="s">
        <v>671</v>
      </c>
      <c r="AO59" s="1393"/>
      <c r="AP59" s="1101" t="s">
        <v>671</v>
      </c>
      <c r="AQ59" s="1393">
        <v>73560</v>
      </c>
      <c r="AR59" s="1101" t="s">
        <v>671</v>
      </c>
      <c r="AS59" s="1393"/>
      <c r="AT59" s="1101" t="s">
        <v>669</v>
      </c>
      <c r="AU59" s="1393"/>
      <c r="AV59" s="943"/>
      <c r="AW59" s="1393"/>
      <c r="AX59" s="943"/>
      <c r="AY59" s="1393"/>
    </row>
    <row r="60" spans="1:51" ht="14.5" x14ac:dyDescent="0.35">
      <c r="A60" s="1817"/>
      <c r="B60" s="1822" t="s">
        <v>2291</v>
      </c>
      <c r="C60" s="1423"/>
      <c r="D60" s="1423"/>
      <c r="E60" s="1423"/>
      <c r="F60" s="1484"/>
      <c r="G60" s="652"/>
      <c r="H60" s="943" t="s">
        <v>669</v>
      </c>
      <c r="I60" s="1393"/>
      <c r="J60" s="943" t="s">
        <v>669</v>
      </c>
      <c r="K60" s="1393"/>
      <c r="L60" s="943" t="s">
        <v>669</v>
      </c>
      <c r="M60" s="1393"/>
      <c r="N60" s="943" t="s">
        <v>669</v>
      </c>
      <c r="O60" s="1393">
        <v>490889</v>
      </c>
      <c r="P60" s="943" t="s">
        <v>669</v>
      </c>
      <c r="Q60" s="1393">
        <f>365000+70000+100000</f>
        <v>535000</v>
      </c>
      <c r="R60" s="943" t="s">
        <v>669</v>
      </c>
      <c r="S60" s="1393"/>
      <c r="T60" s="943" t="s">
        <v>669</v>
      </c>
      <c r="U60" s="1393"/>
      <c r="V60" s="943" t="s">
        <v>669</v>
      </c>
      <c r="W60" s="1564">
        <v>425467</v>
      </c>
      <c r="X60" s="943" t="s">
        <v>669</v>
      </c>
      <c r="Y60" s="1564">
        <v>368029</v>
      </c>
      <c r="Z60" s="943" t="s">
        <v>669</v>
      </c>
      <c r="AA60" s="1393"/>
      <c r="AB60" s="943" t="s">
        <v>669</v>
      </c>
      <c r="AC60" s="1564"/>
      <c r="AD60" s="943" t="s">
        <v>669</v>
      </c>
      <c r="AE60" s="1564"/>
      <c r="AF60" s="943" t="s">
        <v>669</v>
      </c>
      <c r="AG60" s="1393">
        <v>490889</v>
      </c>
      <c r="AH60" s="943" t="s">
        <v>669</v>
      </c>
      <c r="AI60" s="1564"/>
      <c r="AJ60" s="943" t="s">
        <v>669</v>
      </c>
      <c r="AK60" s="1564">
        <v>513124</v>
      </c>
      <c r="AL60" s="943" t="s">
        <v>669</v>
      </c>
      <c r="AM60" s="1393">
        <v>627038</v>
      </c>
      <c r="AN60" s="943" t="s">
        <v>669</v>
      </c>
      <c r="AO60" s="1393"/>
      <c r="AP60" s="943" t="s">
        <v>669</v>
      </c>
      <c r="AQ60" s="1393"/>
      <c r="AR60" s="943" t="s">
        <v>669</v>
      </c>
      <c r="AS60" s="1393"/>
      <c r="AT60" s="943" t="s">
        <v>669</v>
      </c>
      <c r="AU60" s="1564">
        <v>740600</v>
      </c>
      <c r="AV60" s="943"/>
      <c r="AW60" s="1824"/>
      <c r="AX60" s="943"/>
      <c r="AY60" s="1824"/>
    </row>
    <row r="61" spans="1:51" ht="14.5" x14ac:dyDescent="0.35">
      <c r="A61" s="1817"/>
      <c r="B61" s="1818" t="s">
        <v>2292</v>
      </c>
      <c r="C61" s="1423"/>
      <c r="D61" s="1423"/>
      <c r="E61" s="1423"/>
      <c r="F61" s="1484"/>
      <c r="G61" s="652"/>
      <c r="H61" s="943" t="s">
        <v>669</v>
      </c>
      <c r="I61" s="1393"/>
      <c r="J61" s="943" t="s">
        <v>669</v>
      </c>
      <c r="K61" s="1393"/>
      <c r="L61" s="943" t="s">
        <v>669</v>
      </c>
      <c r="M61" s="1393"/>
      <c r="N61" s="943" t="s">
        <v>669</v>
      </c>
      <c r="O61" s="1393"/>
      <c r="P61" s="943" t="s">
        <v>669</v>
      </c>
      <c r="Q61" s="1825"/>
      <c r="R61" s="943" t="s">
        <v>669</v>
      </c>
      <c r="S61" s="1825"/>
      <c r="T61" s="943" t="s">
        <v>669</v>
      </c>
      <c r="U61" s="1825"/>
      <c r="V61" s="943" t="s">
        <v>669</v>
      </c>
      <c r="W61" s="1564"/>
      <c r="X61" s="943" t="s">
        <v>669</v>
      </c>
      <c r="Y61" s="1564"/>
      <c r="Z61" s="943" t="s">
        <v>669</v>
      </c>
      <c r="AA61" s="1393"/>
      <c r="AB61" s="943" t="s">
        <v>669</v>
      </c>
      <c r="AC61" s="1564"/>
      <c r="AD61" s="943" t="s">
        <v>669</v>
      </c>
      <c r="AE61" s="1564"/>
      <c r="AF61" s="943" t="s">
        <v>669</v>
      </c>
      <c r="AG61" s="1393"/>
      <c r="AH61" s="943" t="s">
        <v>669</v>
      </c>
      <c r="AI61" s="1564"/>
      <c r="AJ61" s="943" t="s">
        <v>669</v>
      </c>
      <c r="AK61" s="1564"/>
      <c r="AL61" s="943" t="s">
        <v>669</v>
      </c>
      <c r="AM61" s="1825"/>
      <c r="AN61" s="943" t="s">
        <v>669</v>
      </c>
      <c r="AO61" s="1825"/>
      <c r="AP61" s="943" t="s">
        <v>669</v>
      </c>
      <c r="AQ61" s="1393">
        <v>275579</v>
      </c>
      <c r="AR61" s="943" t="s">
        <v>669</v>
      </c>
      <c r="AS61" s="1393">
        <v>424039</v>
      </c>
      <c r="AT61" s="943" t="s">
        <v>669</v>
      </c>
      <c r="AU61" s="1564"/>
      <c r="AV61" s="943"/>
      <c r="AW61" s="1824"/>
      <c r="AX61" s="943"/>
      <c r="AY61" s="1824"/>
    </row>
    <row r="62" spans="1:51" ht="14.5" x14ac:dyDescent="0.35">
      <c r="A62" s="1817"/>
      <c r="B62" s="1818" t="s">
        <v>2290</v>
      </c>
      <c r="C62" s="1423"/>
      <c r="D62" s="1423"/>
      <c r="E62" s="1423"/>
      <c r="F62" s="1484"/>
      <c r="G62" s="652"/>
      <c r="H62" s="943" t="s">
        <v>669</v>
      </c>
      <c r="I62" s="1393"/>
      <c r="J62" s="943" t="s">
        <v>669</v>
      </c>
      <c r="K62" s="1393"/>
      <c r="L62" s="943" t="s">
        <v>669</v>
      </c>
      <c r="M62" s="1393"/>
      <c r="N62" s="943" t="s">
        <v>669</v>
      </c>
      <c r="O62" s="1393"/>
      <c r="P62" s="943" t="s">
        <v>669</v>
      </c>
      <c r="Q62" s="1825"/>
      <c r="R62" s="943" t="s">
        <v>669</v>
      </c>
      <c r="S62" s="1825"/>
      <c r="T62" s="943" t="s">
        <v>669</v>
      </c>
      <c r="U62" s="1825"/>
      <c r="V62" s="943" t="s">
        <v>669</v>
      </c>
      <c r="W62" s="1564"/>
      <c r="X62" s="943" t="s">
        <v>669</v>
      </c>
      <c r="Y62" s="1564"/>
      <c r="Z62" s="943" t="s">
        <v>669</v>
      </c>
      <c r="AA62" s="1393"/>
      <c r="AB62" s="943" t="s">
        <v>669</v>
      </c>
      <c r="AC62" s="1564"/>
      <c r="AD62" s="943" t="s">
        <v>669</v>
      </c>
      <c r="AE62" s="1564"/>
      <c r="AF62" s="943" t="s">
        <v>669</v>
      </c>
      <c r="AG62" s="1393"/>
      <c r="AH62" s="943" t="s">
        <v>669</v>
      </c>
      <c r="AI62" s="1564"/>
      <c r="AJ62" s="943" t="s">
        <v>669</v>
      </c>
      <c r="AK62" s="1564"/>
      <c r="AL62" s="943" t="s">
        <v>669</v>
      </c>
      <c r="AM62" s="1825"/>
      <c r="AN62" s="943" t="s">
        <v>669</v>
      </c>
      <c r="AO62" s="1825"/>
      <c r="AP62" s="943" t="s">
        <v>669</v>
      </c>
      <c r="AQ62" s="1393">
        <v>70235</v>
      </c>
      <c r="AR62" s="943" t="s">
        <v>669</v>
      </c>
      <c r="AS62" s="1393">
        <v>76656</v>
      </c>
      <c r="AT62" s="943" t="s">
        <v>669</v>
      </c>
      <c r="AU62" s="1564"/>
      <c r="AV62" s="943"/>
      <c r="AW62" s="1824"/>
      <c r="AX62" s="943"/>
      <c r="AY62" s="1824"/>
    </row>
    <row r="63" spans="1:51" ht="14.5" x14ac:dyDescent="0.35">
      <c r="A63" s="1817"/>
      <c r="B63" s="1818" t="s">
        <v>2285</v>
      </c>
      <c r="C63" s="1423"/>
      <c r="D63" s="1423"/>
      <c r="E63" s="1423"/>
      <c r="F63" s="1484"/>
      <c r="G63" s="652"/>
      <c r="H63" s="943" t="s">
        <v>669</v>
      </c>
      <c r="I63" s="1393"/>
      <c r="J63" s="943" t="s">
        <v>669</v>
      </c>
      <c r="K63" s="1393"/>
      <c r="L63" s="943" t="s">
        <v>669</v>
      </c>
      <c r="M63" s="1393"/>
      <c r="N63" s="943" t="s">
        <v>669</v>
      </c>
      <c r="O63" s="1393"/>
      <c r="P63" s="943" t="s">
        <v>669</v>
      </c>
      <c r="Q63" s="1825"/>
      <c r="R63" s="943" t="s">
        <v>669</v>
      </c>
      <c r="S63" s="1825"/>
      <c r="T63" s="943" t="s">
        <v>669</v>
      </c>
      <c r="U63" s="1825"/>
      <c r="V63" s="943" t="s">
        <v>669</v>
      </c>
      <c r="W63" s="1564"/>
      <c r="X63" s="943" t="s">
        <v>669</v>
      </c>
      <c r="Y63" s="1564"/>
      <c r="Z63" s="943" t="s">
        <v>669</v>
      </c>
      <c r="AA63" s="1393"/>
      <c r="AB63" s="943" t="s">
        <v>669</v>
      </c>
      <c r="AC63" s="1564"/>
      <c r="AD63" s="943" t="s">
        <v>669</v>
      </c>
      <c r="AE63" s="1564"/>
      <c r="AF63" s="943" t="s">
        <v>669</v>
      </c>
      <c r="AG63" s="1393"/>
      <c r="AH63" s="943" t="s">
        <v>669</v>
      </c>
      <c r="AI63" s="1564"/>
      <c r="AJ63" s="943" t="s">
        <v>669</v>
      </c>
      <c r="AK63" s="1564"/>
      <c r="AL63" s="943" t="s">
        <v>669</v>
      </c>
      <c r="AM63" s="1825"/>
      <c r="AN63" s="943" t="s">
        <v>669</v>
      </c>
      <c r="AO63" s="1825"/>
      <c r="AP63" s="943" t="s">
        <v>669</v>
      </c>
      <c r="AQ63" s="1393">
        <v>22603</v>
      </c>
      <c r="AR63" s="1101" t="s">
        <v>654</v>
      </c>
      <c r="AS63" s="1393">
        <v>22603</v>
      </c>
      <c r="AT63" s="943" t="s">
        <v>669</v>
      </c>
      <c r="AU63" s="1564"/>
      <c r="AV63" s="943"/>
      <c r="AW63" s="1824"/>
      <c r="AX63" s="943"/>
      <c r="AY63" s="1824"/>
    </row>
    <row r="64" spans="1:51" ht="14.5" x14ac:dyDescent="0.35">
      <c r="A64" s="1391"/>
      <c r="B64" s="1818" t="s">
        <v>2286</v>
      </c>
      <c r="C64" s="646"/>
      <c r="D64" s="1819"/>
      <c r="E64" s="1423"/>
      <c r="F64" s="1484"/>
      <c r="G64" s="652"/>
      <c r="H64" s="1101" t="s">
        <v>669</v>
      </c>
      <c r="I64" s="1393"/>
      <c r="J64" s="1101" t="s">
        <v>669</v>
      </c>
      <c r="K64" s="1393"/>
      <c r="L64" s="1101" t="s">
        <v>669</v>
      </c>
      <c r="M64" s="1393"/>
      <c r="N64" s="1101" t="s">
        <v>669</v>
      </c>
      <c r="O64" s="1393"/>
      <c r="P64" s="1101" t="s">
        <v>669</v>
      </c>
      <c r="Q64" s="1393"/>
      <c r="R64" s="1101" t="s">
        <v>669</v>
      </c>
      <c r="S64" s="1393"/>
      <c r="T64" s="1101" t="s">
        <v>669</v>
      </c>
      <c r="U64" s="1393"/>
      <c r="V64" s="1101" t="s">
        <v>669</v>
      </c>
      <c r="W64" s="1393"/>
      <c r="X64" s="1101" t="s">
        <v>669</v>
      </c>
      <c r="Y64" s="1393"/>
      <c r="Z64" s="1101" t="s">
        <v>669</v>
      </c>
      <c r="AA64" s="1393"/>
      <c r="AB64" s="1101" t="s">
        <v>669</v>
      </c>
      <c r="AC64" s="1393"/>
      <c r="AD64" s="1101" t="s">
        <v>669</v>
      </c>
      <c r="AE64" s="1393"/>
      <c r="AF64" s="1101" t="s">
        <v>669</v>
      </c>
      <c r="AG64" s="1393"/>
      <c r="AH64" s="1101" t="s">
        <v>669</v>
      </c>
      <c r="AI64" s="1393"/>
      <c r="AJ64" s="1101" t="s">
        <v>669</v>
      </c>
      <c r="AK64" s="1393"/>
      <c r="AL64" s="1101" t="s">
        <v>669</v>
      </c>
      <c r="AM64" s="1393"/>
      <c r="AN64" s="1101"/>
      <c r="AO64" s="1393"/>
      <c r="AP64" s="1101" t="s">
        <v>669</v>
      </c>
      <c r="AQ64" s="1393">
        <v>65044</v>
      </c>
      <c r="AR64" s="1101" t="s">
        <v>654</v>
      </c>
      <c r="AS64" s="1393">
        <f>AQ64</f>
        <v>65044</v>
      </c>
      <c r="AT64" s="1101" t="s">
        <v>669</v>
      </c>
      <c r="AU64" s="1393"/>
      <c r="AV64" s="943"/>
      <c r="AW64" s="1393"/>
      <c r="AX64" s="943"/>
      <c r="AY64" s="1393"/>
    </row>
    <row r="65" spans="1:51" ht="14.5" x14ac:dyDescent="0.35">
      <c r="A65" s="1817"/>
      <c r="B65" s="1818" t="s">
        <v>2287</v>
      </c>
      <c r="C65" s="646"/>
      <c r="D65" s="1819"/>
      <c r="E65" s="1423"/>
      <c r="F65" s="1484"/>
      <c r="G65" s="652"/>
      <c r="H65" s="1101" t="s">
        <v>669</v>
      </c>
      <c r="I65" s="1393"/>
      <c r="J65" s="1101" t="s">
        <v>669</v>
      </c>
      <c r="K65" s="1393"/>
      <c r="L65" s="1101" t="s">
        <v>669</v>
      </c>
      <c r="M65" s="1393"/>
      <c r="N65" s="1101" t="s">
        <v>669</v>
      </c>
      <c r="O65" s="1393"/>
      <c r="P65" s="1101" t="s">
        <v>669</v>
      </c>
      <c r="Q65" s="1393"/>
      <c r="R65" s="1101" t="s">
        <v>669</v>
      </c>
      <c r="S65" s="1393"/>
      <c r="T65" s="1101" t="s">
        <v>669</v>
      </c>
      <c r="U65" s="1393"/>
      <c r="V65" s="1101" t="s">
        <v>669</v>
      </c>
      <c r="W65" s="1564"/>
      <c r="X65" s="1101" t="s">
        <v>669</v>
      </c>
      <c r="Y65" s="1564"/>
      <c r="Z65" s="1101" t="s">
        <v>669</v>
      </c>
      <c r="AA65" s="1393"/>
      <c r="AB65" s="1101" t="s">
        <v>669</v>
      </c>
      <c r="AC65" s="1564"/>
      <c r="AD65" s="1101" t="s">
        <v>669</v>
      </c>
      <c r="AE65" s="1564"/>
      <c r="AF65" s="1101" t="s">
        <v>669</v>
      </c>
      <c r="AG65" s="1393"/>
      <c r="AH65" s="1101" t="s">
        <v>669</v>
      </c>
      <c r="AI65" s="1564"/>
      <c r="AJ65" s="1101" t="s">
        <v>669</v>
      </c>
      <c r="AK65" s="1564"/>
      <c r="AL65" s="1101" t="s">
        <v>669</v>
      </c>
      <c r="AM65" s="1564"/>
      <c r="AN65" s="1101" t="s">
        <v>669</v>
      </c>
      <c r="AO65" s="1393"/>
      <c r="AP65" s="1101" t="s">
        <v>669</v>
      </c>
      <c r="AQ65" s="1393">
        <v>216356</v>
      </c>
      <c r="AR65" s="1101" t="s">
        <v>654</v>
      </c>
      <c r="AS65" s="1393">
        <f>AQ65</f>
        <v>216356</v>
      </c>
      <c r="AT65" s="1101" t="s">
        <v>669</v>
      </c>
      <c r="AU65" s="1564"/>
      <c r="AV65" s="943"/>
      <c r="AW65" s="1564"/>
      <c r="AX65" s="943"/>
      <c r="AY65" s="1564"/>
    </row>
    <row r="66" spans="1:51" ht="14.5" x14ac:dyDescent="0.35">
      <c r="A66" s="1391"/>
      <c r="B66" s="1818" t="s">
        <v>2280</v>
      </c>
      <c r="C66" s="646"/>
      <c r="D66" s="1423"/>
      <c r="E66" s="1423"/>
      <c r="F66" s="1484"/>
      <c r="G66" s="652"/>
      <c r="H66" s="1101" t="s">
        <v>671</v>
      </c>
      <c r="I66" s="1393"/>
      <c r="J66" s="1101" t="s">
        <v>671</v>
      </c>
      <c r="K66" s="1393"/>
      <c r="L66" s="1101" t="s">
        <v>671</v>
      </c>
      <c r="M66" s="1393"/>
      <c r="N66" s="1101" t="s">
        <v>669</v>
      </c>
      <c r="O66" s="1393"/>
      <c r="P66" s="1101" t="s">
        <v>671</v>
      </c>
      <c r="Q66" s="1393"/>
      <c r="R66" s="1101" t="s">
        <v>671</v>
      </c>
      <c r="S66" s="1393"/>
      <c r="T66" s="1101" t="s">
        <v>671</v>
      </c>
      <c r="U66" s="1393"/>
      <c r="V66" s="1101" t="s">
        <v>671</v>
      </c>
      <c r="W66" s="1393"/>
      <c r="X66" s="1101" t="s">
        <v>671</v>
      </c>
      <c r="Y66" s="1393"/>
      <c r="Z66" s="1101" t="s">
        <v>669</v>
      </c>
      <c r="AA66" s="1393"/>
      <c r="AB66" s="1101" t="s">
        <v>671</v>
      </c>
      <c r="AC66" s="1393"/>
      <c r="AD66" s="1101" t="s">
        <v>671</v>
      </c>
      <c r="AE66" s="1393"/>
      <c r="AF66" s="1101" t="s">
        <v>669</v>
      </c>
      <c r="AG66" s="1393"/>
      <c r="AH66" s="1101" t="s">
        <v>671</v>
      </c>
      <c r="AI66" s="1393"/>
      <c r="AJ66" s="1101" t="s">
        <v>671</v>
      </c>
      <c r="AK66" s="1393"/>
      <c r="AL66" s="1101" t="s">
        <v>671</v>
      </c>
      <c r="AM66" s="1393"/>
      <c r="AN66" s="1101" t="s">
        <v>671</v>
      </c>
      <c r="AO66" s="1393"/>
      <c r="AP66" s="1101" t="s">
        <v>671</v>
      </c>
      <c r="AQ66" s="1393">
        <v>33275</v>
      </c>
      <c r="AR66" s="1101" t="s">
        <v>671</v>
      </c>
      <c r="AS66" s="1393"/>
      <c r="AT66" s="1101" t="s">
        <v>669</v>
      </c>
      <c r="AU66" s="1393"/>
      <c r="AV66" s="943"/>
      <c r="AW66" s="1393"/>
      <c r="AX66" s="943"/>
      <c r="AY66" s="1393"/>
    </row>
    <row r="67" spans="1:51" ht="14.5" x14ac:dyDescent="0.35">
      <c r="A67" s="1817"/>
      <c r="B67" s="1822" t="s">
        <v>80</v>
      </c>
      <c r="C67" s="1423"/>
      <c r="D67" s="1423"/>
      <c r="E67" s="1423"/>
      <c r="F67" s="1484"/>
      <c r="G67" s="652"/>
      <c r="H67" s="943" t="s">
        <v>669</v>
      </c>
      <c r="I67" s="1393">
        <v>80000</v>
      </c>
      <c r="J67" s="943" t="s">
        <v>669</v>
      </c>
      <c r="K67" s="1393">
        <v>80000</v>
      </c>
      <c r="L67" s="943" t="s">
        <v>669</v>
      </c>
      <c r="M67" s="1393">
        <v>80000</v>
      </c>
      <c r="N67" s="943" t="s">
        <v>669</v>
      </c>
      <c r="O67" s="1393">
        <v>105504</v>
      </c>
      <c r="P67" s="943" t="s">
        <v>669</v>
      </c>
      <c r="Q67" s="1393">
        <f>60000+35000</f>
        <v>95000</v>
      </c>
      <c r="R67" s="943" t="s">
        <v>669</v>
      </c>
      <c r="S67" s="1393"/>
      <c r="T67" s="943" t="s">
        <v>669</v>
      </c>
      <c r="U67" s="1393"/>
      <c r="V67" s="943" t="s">
        <v>669</v>
      </c>
      <c r="W67" s="1564">
        <v>122850</v>
      </c>
      <c r="X67" s="943" t="s">
        <v>669</v>
      </c>
      <c r="Y67" s="1564">
        <v>106266</v>
      </c>
      <c r="Z67" s="943" t="s">
        <v>669</v>
      </c>
      <c r="AA67" s="1393"/>
      <c r="AB67" s="943" t="s">
        <v>669</v>
      </c>
      <c r="AC67" s="1564">
        <v>124500</v>
      </c>
      <c r="AD67" s="943" t="s">
        <v>669</v>
      </c>
      <c r="AE67" s="1564">
        <v>105500</v>
      </c>
      <c r="AF67" s="943" t="s">
        <v>669</v>
      </c>
      <c r="AG67" s="1393">
        <v>105504</v>
      </c>
      <c r="AH67" s="943" t="s">
        <v>669</v>
      </c>
      <c r="AI67" s="1564">
        <f>110352+32292</f>
        <v>142644</v>
      </c>
      <c r="AJ67" s="943" t="s">
        <v>669</v>
      </c>
      <c r="AK67" s="1564">
        <v>130692</v>
      </c>
      <c r="AL67" s="943" t="s">
        <v>669</v>
      </c>
      <c r="AM67" s="1393">
        <v>128648</v>
      </c>
      <c r="AN67" s="943" t="s">
        <v>669</v>
      </c>
      <c r="AO67" s="1393">
        <v>170000</v>
      </c>
      <c r="AP67" s="943" t="s">
        <v>669</v>
      </c>
      <c r="AQ67" s="1393"/>
      <c r="AR67" s="943" t="s">
        <v>669</v>
      </c>
      <c r="AS67" s="1393"/>
      <c r="AT67" s="943" t="s">
        <v>669</v>
      </c>
      <c r="AU67" s="1564">
        <v>137300</v>
      </c>
      <c r="AV67" s="943"/>
      <c r="AW67" s="1824"/>
      <c r="AX67" s="943"/>
      <c r="AY67" s="1824"/>
    </row>
    <row r="68" spans="1:51" ht="14.5" x14ac:dyDescent="0.35">
      <c r="A68" s="1817"/>
      <c r="B68" s="1818" t="s">
        <v>2293</v>
      </c>
      <c r="C68" s="1423"/>
      <c r="D68" s="1423"/>
      <c r="E68" s="1423"/>
      <c r="F68" s="1484"/>
      <c r="G68" s="652"/>
      <c r="H68" s="943" t="s">
        <v>669</v>
      </c>
      <c r="I68" s="1393"/>
      <c r="J68" s="943" t="s">
        <v>669</v>
      </c>
      <c r="K68" s="1393"/>
      <c r="L68" s="943" t="s">
        <v>669</v>
      </c>
      <c r="M68" s="1393"/>
      <c r="N68" s="943" t="s">
        <v>669</v>
      </c>
      <c r="O68" s="1393"/>
      <c r="P68" s="943" t="s">
        <v>669</v>
      </c>
      <c r="Q68" s="1825"/>
      <c r="R68" s="943" t="s">
        <v>669</v>
      </c>
      <c r="S68" s="1825"/>
      <c r="T68" s="943" t="s">
        <v>669</v>
      </c>
      <c r="U68" s="1825"/>
      <c r="V68" s="943" t="s">
        <v>669</v>
      </c>
      <c r="W68" s="1564"/>
      <c r="X68" s="943" t="s">
        <v>669</v>
      </c>
      <c r="Y68" s="1564"/>
      <c r="Z68" s="943" t="s">
        <v>669</v>
      </c>
      <c r="AA68" s="1393"/>
      <c r="AB68" s="943" t="s">
        <v>669</v>
      </c>
      <c r="AC68" s="1564"/>
      <c r="AD68" s="943" t="s">
        <v>669</v>
      </c>
      <c r="AE68" s="1564"/>
      <c r="AF68" s="943" t="s">
        <v>669</v>
      </c>
      <c r="AG68" s="1393"/>
      <c r="AH68" s="943" t="s">
        <v>669</v>
      </c>
      <c r="AI68" s="1564"/>
      <c r="AJ68" s="943" t="s">
        <v>669</v>
      </c>
      <c r="AK68" s="1564"/>
      <c r="AL68" s="943" t="s">
        <v>669</v>
      </c>
      <c r="AM68" s="1825"/>
      <c r="AN68" s="943" t="s">
        <v>669</v>
      </c>
      <c r="AO68" s="1825"/>
      <c r="AP68" s="943" t="s">
        <v>669</v>
      </c>
      <c r="AQ68" s="1393">
        <v>74224</v>
      </c>
      <c r="AR68" s="943" t="s">
        <v>669</v>
      </c>
      <c r="AS68" s="1393">
        <v>110351</v>
      </c>
      <c r="AT68" s="943" t="s">
        <v>669</v>
      </c>
      <c r="AU68" s="1564"/>
      <c r="AV68" s="943"/>
      <c r="AW68" s="1824"/>
      <c r="AX68" s="943"/>
      <c r="AY68" s="1824"/>
    </row>
    <row r="69" spans="1:51" ht="14.5" x14ac:dyDescent="0.35">
      <c r="A69" s="1817"/>
      <c r="B69" s="1818" t="s">
        <v>2294</v>
      </c>
      <c r="C69" s="1423"/>
      <c r="D69" s="1423"/>
      <c r="E69" s="1423"/>
      <c r="F69" s="1484"/>
      <c r="G69" s="652"/>
      <c r="H69" s="943" t="s">
        <v>669</v>
      </c>
      <c r="I69" s="1393"/>
      <c r="J69" s="943" t="s">
        <v>669</v>
      </c>
      <c r="K69" s="1393"/>
      <c r="L69" s="943" t="s">
        <v>669</v>
      </c>
      <c r="M69" s="1393"/>
      <c r="N69" s="943" t="s">
        <v>669</v>
      </c>
      <c r="O69" s="1393"/>
      <c r="P69" s="943" t="s">
        <v>669</v>
      </c>
      <c r="Q69" s="1825"/>
      <c r="R69" s="943" t="s">
        <v>669</v>
      </c>
      <c r="S69" s="1825"/>
      <c r="T69" s="943" t="s">
        <v>669</v>
      </c>
      <c r="U69" s="1825"/>
      <c r="V69" s="943" t="s">
        <v>669</v>
      </c>
      <c r="W69" s="1564"/>
      <c r="X69" s="943" t="s">
        <v>669</v>
      </c>
      <c r="Y69" s="1564"/>
      <c r="Z69" s="943" t="s">
        <v>669</v>
      </c>
      <c r="AA69" s="1393"/>
      <c r="AB69" s="943" t="s">
        <v>669</v>
      </c>
      <c r="AC69" s="1564"/>
      <c r="AD69" s="943" t="s">
        <v>669</v>
      </c>
      <c r="AE69" s="1564"/>
      <c r="AF69" s="943" t="s">
        <v>669</v>
      </c>
      <c r="AG69" s="1393"/>
      <c r="AH69" s="943" t="s">
        <v>669</v>
      </c>
      <c r="AI69" s="1564"/>
      <c r="AJ69" s="943" t="s">
        <v>669</v>
      </c>
      <c r="AK69" s="1564"/>
      <c r="AL69" s="943" t="s">
        <v>669</v>
      </c>
      <c r="AM69" s="1825"/>
      <c r="AN69" s="943" t="s">
        <v>669</v>
      </c>
      <c r="AO69" s="1825"/>
      <c r="AP69" s="943" t="s">
        <v>669</v>
      </c>
      <c r="AQ69" s="1393">
        <v>26466</v>
      </c>
      <c r="AR69" s="943" t="s">
        <v>669</v>
      </c>
      <c r="AS69" s="1393">
        <v>32292</v>
      </c>
      <c r="AT69" s="943" t="s">
        <v>669</v>
      </c>
      <c r="AU69" s="1564"/>
      <c r="AV69" s="943"/>
      <c r="AW69" s="1824"/>
      <c r="AX69" s="943"/>
      <c r="AY69" s="1824"/>
    </row>
    <row r="70" spans="1:51" ht="14.5" x14ac:dyDescent="0.35">
      <c r="A70" s="1817"/>
      <c r="B70" s="1818" t="s">
        <v>2285</v>
      </c>
      <c r="C70" s="1423"/>
      <c r="D70" s="1423"/>
      <c r="E70" s="1423"/>
      <c r="F70" s="1484"/>
      <c r="G70" s="652"/>
      <c r="H70" s="943" t="s">
        <v>669</v>
      </c>
      <c r="I70" s="1393"/>
      <c r="J70" s="943" t="s">
        <v>669</v>
      </c>
      <c r="K70" s="1393"/>
      <c r="L70" s="943" t="s">
        <v>669</v>
      </c>
      <c r="M70" s="1393"/>
      <c r="N70" s="943" t="s">
        <v>669</v>
      </c>
      <c r="O70" s="1393"/>
      <c r="P70" s="943" t="s">
        <v>669</v>
      </c>
      <c r="Q70" s="1825"/>
      <c r="R70" s="943" t="s">
        <v>669</v>
      </c>
      <c r="S70" s="1825"/>
      <c r="T70" s="943" t="s">
        <v>669</v>
      </c>
      <c r="U70" s="1825"/>
      <c r="V70" s="943" t="s">
        <v>669</v>
      </c>
      <c r="W70" s="1564"/>
      <c r="X70" s="943" t="s">
        <v>669</v>
      </c>
      <c r="Y70" s="1564"/>
      <c r="Z70" s="943" t="s">
        <v>669</v>
      </c>
      <c r="AA70" s="1393"/>
      <c r="AB70" s="943" t="s">
        <v>669</v>
      </c>
      <c r="AC70" s="1564"/>
      <c r="AD70" s="943" t="s">
        <v>669</v>
      </c>
      <c r="AE70" s="1564"/>
      <c r="AF70" s="943" t="s">
        <v>669</v>
      </c>
      <c r="AG70" s="1393"/>
      <c r="AH70" s="943" t="s">
        <v>669</v>
      </c>
      <c r="AI70" s="1564"/>
      <c r="AJ70" s="943" t="s">
        <v>669</v>
      </c>
      <c r="AK70" s="1564"/>
      <c r="AL70" s="943" t="s">
        <v>669</v>
      </c>
      <c r="AM70" s="1825"/>
      <c r="AN70" s="943" t="s">
        <v>669</v>
      </c>
      <c r="AO70" s="1825"/>
      <c r="AP70" s="943" t="s">
        <v>669</v>
      </c>
      <c r="AQ70" s="1393">
        <v>9639</v>
      </c>
      <c r="AR70" s="1101" t="s">
        <v>654</v>
      </c>
      <c r="AS70" s="1393">
        <f>AQ70</f>
        <v>9639</v>
      </c>
      <c r="AT70" s="943" t="s">
        <v>669</v>
      </c>
      <c r="AU70" s="1564"/>
      <c r="AV70" s="943"/>
      <c r="AW70" s="1824"/>
      <c r="AX70" s="943"/>
      <c r="AY70" s="1824"/>
    </row>
    <row r="71" spans="1:51" ht="14.5" x14ac:dyDescent="0.35">
      <c r="A71" s="1817"/>
      <c r="B71" s="1822" t="s">
        <v>2295</v>
      </c>
      <c r="C71" s="1423"/>
      <c r="D71" s="1423"/>
      <c r="E71" s="1423"/>
      <c r="F71" s="1484"/>
      <c r="G71" s="652"/>
      <c r="H71" s="943" t="s">
        <v>669</v>
      </c>
      <c r="I71" s="1393">
        <v>25000</v>
      </c>
      <c r="J71" s="943" t="s">
        <v>669</v>
      </c>
      <c r="K71" s="1393">
        <v>25000</v>
      </c>
      <c r="L71" s="943" t="s">
        <v>669</v>
      </c>
      <c r="M71" s="1393">
        <v>25000</v>
      </c>
      <c r="N71" s="943" t="s">
        <v>669</v>
      </c>
      <c r="O71" s="1393">
        <v>92602</v>
      </c>
      <c r="P71" s="943" t="s">
        <v>669</v>
      </c>
      <c r="Q71" s="1393">
        <v>60000</v>
      </c>
      <c r="R71" s="943" t="s">
        <v>669</v>
      </c>
      <c r="S71" s="1393"/>
      <c r="T71" s="943" t="s">
        <v>669</v>
      </c>
      <c r="U71" s="1393"/>
      <c r="V71" s="943" t="s">
        <v>669</v>
      </c>
      <c r="W71" s="1564">
        <f>15260+(14645*2)</f>
        <v>44550</v>
      </c>
      <c r="X71" s="943" t="s">
        <v>669</v>
      </c>
      <c r="Y71" s="1564">
        <f>(12668*2)+13200</f>
        <v>38536</v>
      </c>
      <c r="Z71" s="943" t="s">
        <v>669</v>
      </c>
      <c r="AA71" s="1393"/>
      <c r="AB71" s="943" t="s">
        <v>669</v>
      </c>
      <c r="AC71" s="1564">
        <v>43200</v>
      </c>
      <c r="AD71" s="943" t="s">
        <v>669</v>
      </c>
      <c r="AE71" s="1564">
        <v>35400</v>
      </c>
      <c r="AF71" s="943" t="s">
        <v>669</v>
      </c>
      <c r="AG71" s="1393">
        <v>92602</v>
      </c>
      <c r="AH71" s="943" t="s">
        <v>669</v>
      </c>
      <c r="AI71" s="1564">
        <f>54114+21971</f>
        <v>76085</v>
      </c>
      <c r="AJ71" s="943" t="s">
        <v>669</v>
      </c>
      <c r="AK71" s="1564">
        <f>16234+(15579*2)</f>
        <v>47392</v>
      </c>
      <c r="AL71" s="943" t="s">
        <v>669</v>
      </c>
      <c r="AM71" s="1393">
        <f>17545+32976</f>
        <v>50521</v>
      </c>
      <c r="AN71" s="943" t="s">
        <v>669</v>
      </c>
      <c r="AO71" s="1393">
        <v>66000</v>
      </c>
      <c r="AP71" s="943" t="s">
        <v>669</v>
      </c>
      <c r="AQ71" s="1393"/>
      <c r="AR71" s="943" t="s">
        <v>669</v>
      </c>
      <c r="AS71" s="1393"/>
      <c r="AT71" s="943" t="s">
        <v>669</v>
      </c>
      <c r="AU71" s="1564">
        <f>16800+(15950*2)</f>
        <v>48700</v>
      </c>
      <c r="AV71" s="943"/>
      <c r="AW71" s="1824"/>
      <c r="AX71" s="943"/>
      <c r="AY71" s="1824"/>
    </row>
    <row r="72" spans="1:51" ht="14.5" x14ac:dyDescent="0.35">
      <c r="A72" s="1817"/>
      <c r="B72" s="1818" t="s">
        <v>2296</v>
      </c>
      <c r="C72" s="1423"/>
      <c r="D72" s="1423"/>
      <c r="E72" s="1423"/>
      <c r="F72" s="1484"/>
      <c r="G72" s="652"/>
      <c r="H72" s="943" t="s">
        <v>669</v>
      </c>
      <c r="I72" s="1393"/>
      <c r="J72" s="943" t="s">
        <v>669</v>
      </c>
      <c r="K72" s="1393"/>
      <c r="L72" s="943" t="s">
        <v>669</v>
      </c>
      <c r="M72" s="1393"/>
      <c r="N72" s="943" t="s">
        <v>669</v>
      </c>
      <c r="O72" s="1393"/>
      <c r="P72" s="943" t="s">
        <v>669</v>
      </c>
      <c r="Q72" s="1825"/>
      <c r="R72" s="943" t="s">
        <v>669</v>
      </c>
      <c r="S72" s="1825"/>
      <c r="T72" s="943" t="s">
        <v>669</v>
      </c>
      <c r="U72" s="1825"/>
      <c r="V72" s="943" t="s">
        <v>669</v>
      </c>
      <c r="W72" s="1564"/>
      <c r="X72" s="943" t="s">
        <v>669</v>
      </c>
      <c r="Y72" s="1564"/>
      <c r="Z72" s="943" t="s">
        <v>669</v>
      </c>
      <c r="AA72" s="1393"/>
      <c r="AB72" s="943" t="s">
        <v>669</v>
      </c>
      <c r="AC72" s="1564"/>
      <c r="AD72" s="943" t="s">
        <v>669</v>
      </c>
      <c r="AE72" s="1564"/>
      <c r="AF72" s="943" t="s">
        <v>669</v>
      </c>
      <c r="AG72" s="1393"/>
      <c r="AH72" s="943" t="s">
        <v>669</v>
      </c>
      <c r="AI72" s="1564"/>
      <c r="AJ72" s="943" t="s">
        <v>669</v>
      </c>
      <c r="AK72" s="1564"/>
      <c r="AL72" s="943" t="s">
        <v>669</v>
      </c>
      <c r="AM72" s="1825"/>
      <c r="AN72" s="943" t="s">
        <v>669</v>
      </c>
      <c r="AO72" s="1825"/>
      <c r="AP72" s="943" t="s">
        <v>669</v>
      </c>
      <c r="AQ72" s="1393">
        <f>40253+21119</f>
        <v>61372</v>
      </c>
      <c r="AR72" s="943" t="s">
        <v>669</v>
      </c>
      <c r="AS72" s="1393">
        <f>54114+21970</f>
        <v>76084</v>
      </c>
      <c r="AT72" s="943" t="s">
        <v>669</v>
      </c>
      <c r="AU72" s="1564"/>
      <c r="AV72" s="943"/>
      <c r="AW72" s="1824"/>
      <c r="AX72" s="943"/>
      <c r="AY72" s="1824"/>
    </row>
    <row r="73" spans="1:51" ht="14.5" x14ac:dyDescent="0.35">
      <c r="A73" s="1817"/>
      <c r="B73" s="1818" t="s">
        <v>2297</v>
      </c>
      <c r="C73" s="1423"/>
      <c r="D73" s="1423"/>
      <c r="E73" s="1423"/>
      <c r="F73" s="1484"/>
      <c r="G73" s="652"/>
      <c r="H73" s="943" t="s">
        <v>669</v>
      </c>
      <c r="I73" s="1393"/>
      <c r="J73" s="943" t="s">
        <v>669</v>
      </c>
      <c r="K73" s="1393"/>
      <c r="L73" s="943" t="s">
        <v>669</v>
      </c>
      <c r="M73" s="1393"/>
      <c r="N73" s="943" t="s">
        <v>669</v>
      </c>
      <c r="O73" s="1393"/>
      <c r="P73" s="943" t="s">
        <v>669</v>
      </c>
      <c r="Q73" s="1825"/>
      <c r="R73" s="943" t="s">
        <v>669</v>
      </c>
      <c r="S73" s="1825"/>
      <c r="T73" s="943" t="s">
        <v>669</v>
      </c>
      <c r="U73" s="1825"/>
      <c r="V73" s="943" t="s">
        <v>669</v>
      </c>
      <c r="W73" s="1564"/>
      <c r="X73" s="943" t="s">
        <v>669</v>
      </c>
      <c r="Y73" s="1564"/>
      <c r="Z73" s="943" t="s">
        <v>669</v>
      </c>
      <c r="AA73" s="1393"/>
      <c r="AB73" s="943" t="s">
        <v>669</v>
      </c>
      <c r="AC73" s="1564"/>
      <c r="AD73" s="943" t="s">
        <v>669</v>
      </c>
      <c r="AE73" s="1564"/>
      <c r="AF73" s="943" t="s">
        <v>669</v>
      </c>
      <c r="AG73" s="1393"/>
      <c r="AH73" s="943" t="s">
        <v>669</v>
      </c>
      <c r="AI73" s="1564"/>
      <c r="AJ73" s="943" t="s">
        <v>669</v>
      </c>
      <c r="AK73" s="1564"/>
      <c r="AL73" s="943" t="s">
        <v>669</v>
      </c>
      <c r="AM73" s="1825"/>
      <c r="AN73" s="943" t="s">
        <v>669</v>
      </c>
      <c r="AO73" s="1825"/>
      <c r="AP73" s="943" t="s">
        <v>669</v>
      </c>
      <c r="AQ73" s="1393">
        <f>4431+8260</f>
        <v>12691</v>
      </c>
      <c r="AR73" s="1101" t="s">
        <v>654</v>
      </c>
      <c r="AS73" s="1393">
        <f>4431+8260</f>
        <v>12691</v>
      </c>
      <c r="AT73" s="943" t="s">
        <v>669</v>
      </c>
      <c r="AU73" s="1564"/>
      <c r="AV73" s="943"/>
      <c r="AW73" s="1824"/>
      <c r="AX73" s="943"/>
      <c r="AY73" s="1824"/>
    </row>
    <row r="74" spans="1:51" ht="14.5" x14ac:dyDescent="0.35">
      <c r="A74" s="1391"/>
      <c r="B74" s="1822" t="s">
        <v>2298</v>
      </c>
      <c r="C74" s="1423"/>
      <c r="D74" s="1423"/>
      <c r="E74" s="1423"/>
      <c r="F74" s="1484"/>
      <c r="G74" s="652"/>
      <c r="H74" s="943" t="s">
        <v>669</v>
      </c>
      <c r="I74" s="1393">
        <v>8000</v>
      </c>
      <c r="J74" s="943" t="s">
        <v>669</v>
      </c>
      <c r="K74" s="1393">
        <v>8000</v>
      </c>
      <c r="L74" s="943" t="s">
        <v>669</v>
      </c>
      <c r="M74" s="1393">
        <v>8000</v>
      </c>
      <c r="N74" s="1826" t="s">
        <v>669</v>
      </c>
      <c r="O74" s="1393"/>
      <c r="P74" s="943" t="s">
        <v>669</v>
      </c>
      <c r="Q74" s="1393">
        <v>9000</v>
      </c>
      <c r="R74" s="943" t="s">
        <v>669</v>
      </c>
      <c r="S74" s="1393"/>
      <c r="T74" s="943" t="s">
        <v>669</v>
      </c>
      <c r="U74" s="1393"/>
      <c r="V74" s="943" t="s">
        <v>669</v>
      </c>
      <c r="W74" s="1564">
        <f>5135+2284</f>
        <v>7419</v>
      </c>
      <c r="X74" s="943" t="s">
        <v>669</v>
      </c>
      <c r="Y74" s="1564">
        <f>4442+1976</f>
        <v>6418</v>
      </c>
      <c r="Z74" s="943" t="s">
        <v>669</v>
      </c>
      <c r="AA74" s="1393"/>
      <c r="AB74" s="943" t="s">
        <v>669</v>
      </c>
      <c r="AC74" s="1564">
        <v>8400</v>
      </c>
      <c r="AD74" s="943" t="s">
        <v>669</v>
      </c>
      <c r="AE74" s="1564">
        <v>7600</v>
      </c>
      <c r="AF74" s="1826" t="s">
        <v>669</v>
      </c>
      <c r="AG74" s="1393"/>
      <c r="AH74" s="943" t="s">
        <v>669</v>
      </c>
      <c r="AI74" s="1564">
        <v>10190</v>
      </c>
      <c r="AJ74" s="943" t="s">
        <v>669</v>
      </c>
      <c r="AK74" s="1564">
        <v>7893</v>
      </c>
      <c r="AL74" s="943" t="s">
        <v>669</v>
      </c>
      <c r="AM74" s="1393">
        <v>9478</v>
      </c>
      <c r="AN74" s="943" t="s">
        <v>669</v>
      </c>
      <c r="AO74" s="1393">
        <v>15000</v>
      </c>
      <c r="AP74" s="943" t="s">
        <v>669</v>
      </c>
      <c r="AQ74" s="1393"/>
      <c r="AR74" s="943" t="s">
        <v>669</v>
      </c>
      <c r="AS74" s="1393"/>
      <c r="AT74" s="943" t="s">
        <v>669</v>
      </c>
      <c r="AU74" s="1564">
        <v>9900</v>
      </c>
      <c r="AV74" s="943"/>
      <c r="AW74" s="1824"/>
      <c r="AX74" s="943"/>
      <c r="AY74" s="1824"/>
    </row>
    <row r="75" spans="1:51" ht="14.5" x14ac:dyDescent="0.35">
      <c r="A75" s="1391"/>
      <c r="B75" s="1818" t="s">
        <v>2299</v>
      </c>
      <c r="C75" s="1423"/>
      <c r="D75" s="1423"/>
      <c r="E75" s="1423"/>
      <c r="F75" s="1484"/>
      <c r="G75" s="652"/>
      <c r="H75" s="943" t="s">
        <v>669</v>
      </c>
      <c r="I75" s="1393"/>
      <c r="J75" s="943" t="s">
        <v>669</v>
      </c>
      <c r="K75" s="1393"/>
      <c r="L75" s="943" t="s">
        <v>669</v>
      </c>
      <c r="M75" s="1393"/>
      <c r="N75" s="943" t="s">
        <v>669</v>
      </c>
      <c r="O75" s="1393"/>
      <c r="P75" s="943" t="s">
        <v>669</v>
      </c>
      <c r="Q75" s="1825"/>
      <c r="R75" s="943" t="s">
        <v>669</v>
      </c>
      <c r="S75" s="1825"/>
      <c r="T75" s="943" t="s">
        <v>669</v>
      </c>
      <c r="U75" s="1825"/>
      <c r="V75" s="943" t="s">
        <v>669</v>
      </c>
      <c r="W75" s="1564"/>
      <c r="X75" s="943" t="s">
        <v>669</v>
      </c>
      <c r="Y75" s="1564"/>
      <c r="Z75" s="943" t="s">
        <v>669</v>
      </c>
      <c r="AA75" s="1393"/>
      <c r="AB75" s="943" t="s">
        <v>669</v>
      </c>
      <c r="AC75" s="1564"/>
      <c r="AD75" s="943" t="s">
        <v>669</v>
      </c>
      <c r="AE75" s="1564"/>
      <c r="AF75" s="943" t="s">
        <v>669</v>
      </c>
      <c r="AG75" s="1393"/>
      <c r="AH75" s="943" t="s">
        <v>669</v>
      </c>
      <c r="AI75" s="1564"/>
      <c r="AJ75" s="943" t="s">
        <v>669</v>
      </c>
      <c r="AK75" s="1564"/>
      <c r="AL75" s="943" t="s">
        <v>669</v>
      </c>
      <c r="AM75" s="1825"/>
      <c r="AN75" s="943" t="s">
        <v>669</v>
      </c>
      <c r="AO75" s="1825"/>
      <c r="AP75" s="943" t="s">
        <v>669</v>
      </c>
      <c r="AQ75" s="1393">
        <v>7823</v>
      </c>
      <c r="AR75" s="943" t="s">
        <v>669</v>
      </c>
      <c r="AS75" s="1393">
        <v>191</v>
      </c>
      <c r="AT75" s="943" t="s">
        <v>669</v>
      </c>
      <c r="AU75" s="1564"/>
      <c r="AV75" s="943"/>
      <c r="AW75" s="1824"/>
      <c r="AX75" s="943"/>
      <c r="AY75" s="1824"/>
    </row>
    <row r="76" spans="1:51" ht="14.5" x14ac:dyDescent="0.35">
      <c r="A76" s="1391"/>
      <c r="B76" s="1818" t="s">
        <v>2285</v>
      </c>
      <c r="C76" s="1423"/>
      <c r="D76" s="1423"/>
      <c r="E76" s="1423"/>
      <c r="F76" s="1484"/>
      <c r="G76" s="652"/>
      <c r="H76" s="943" t="s">
        <v>669</v>
      </c>
      <c r="I76" s="1393"/>
      <c r="J76" s="943" t="s">
        <v>669</v>
      </c>
      <c r="K76" s="1393"/>
      <c r="L76" s="943" t="s">
        <v>669</v>
      </c>
      <c r="M76" s="1393"/>
      <c r="N76" s="943" t="s">
        <v>669</v>
      </c>
      <c r="O76" s="1393"/>
      <c r="P76" s="943" t="s">
        <v>669</v>
      </c>
      <c r="Q76" s="1825"/>
      <c r="R76" s="943" t="s">
        <v>669</v>
      </c>
      <c r="S76" s="1825"/>
      <c r="T76" s="943" t="s">
        <v>669</v>
      </c>
      <c r="U76" s="1825"/>
      <c r="V76" s="943" t="s">
        <v>669</v>
      </c>
      <c r="W76" s="1564"/>
      <c r="X76" s="943" t="s">
        <v>669</v>
      </c>
      <c r="Y76" s="1564"/>
      <c r="Z76" s="943" t="s">
        <v>669</v>
      </c>
      <c r="AA76" s="1393"/>
      <c r="AB76" s="943" t="s">
        <v>669</v>
      </c>
      <c r="AC76" s="1564"/>
      <c r="AD76" s="943" t="s">
        <v>669</v>
      </c>
      <c r="AE76" s="1564"/>
      <c r="AF76" s="943" t="s">
        <v>669</v>
      </c>
      <c r="AG76" s="1393"/>
      <c r="AH76" s="943" t="s">
        <v>669</v>
      </c>
      <c r="AI76" s="1564"/>
      <c r="AJ76" s="943" t="s">
        <v>669</v>
      </c>
      <c r="AK76" s="1564"/>
      <c r="AL76" s="943" t="s">
        <v>669</v>
      </c>
      <c r="AM76" s="1825"/>
      <c r="AN76" s="943" t="s">
        <v>669</v>
      </c>
      <c r="AO76" s="1825"/>
      <c r="AP76" s="943" t="s">
        <v>669</v>
      </c>
      <c r="AQ76" s="1393">
        <v>1925</v>
      </c>
      <c r="AR76" s="1101" t="s">
        <v>654</v>
      </c>
      <c r="AS76" s="1393">
        <v>1925</v>
      </c>
      <c r="AT76" s="943" t="s">
        <v>669</v>
      </c>
      <c r="AU76" s="1564"/>
      <c r="AV76" s="943"/>
      <c r="AW76" s="1824"/>
      <c r="AX76" s="943"/>
      <c r="AY76" s="1824"/>
    </row>
    <row r="77" spans="1:51" ht="14.5" x14ac:dyDescent="0.35">
      <c r="A77" s="1391"/>
      <c r="B77" s="1822" t="s">
        <v>2300</v>
      </c>
      <c r="C77" s="1423"/>
      <c r="D77" s="1423"/>
      <c r="E77" s="1423"/>
      <c r="F77" s="1484"/>
      <c r="G77" s="652"/>
      <c r="H77" s="943" t="s">
        <v>669</v>
      </c>
      <c r="I77" s="1393">
        <v>4500</v>
      </c>
      <c r="J77" s="943" t="s">
        <v>669</v>
      </c>
      <c r="K77" s="1393">
        <v>4500</v>
      </c>
      <c r="L77" s="943" t="s">
        <v>669</v>
      </c>
      <c r="M77" s="1393">
        <v>4500</v>
      </c>
      <c r="N77" s="1826" t="s">
        <v>669</v>
      </c>
      <c r="O77" s="1393"/>
      <c r="P77" s="943" t="s">
        <v>669</v>
      </c>
      <c r="Q77" s="1393">
        <f>20000+15000</f>
        <v>35000</v>
      </c>
      <c r="R77" s="943" t="s">
        <v>669</v>
      </c>
      <c r="S77" s="1393"/>
      <c r="T77" s="943" t="s">
        <v>669</v>
      </c>
      <c r="U77" s="1393"/>
      <c r="V77" s="943" t="s">
        <v>669</v>
      </c>
      <c r="W77" s="1564">
        <v>29255</v>
      </c>
      <c r="X77" s="943" t="s">
        <v>669</v>
      </c>
      <c r="Y77" s="1564">
        <v>25305</v>
      </c>
      <c r="Z77" s="943" t="s">
        <v>669</v>
      </c>
      <c r="AA77" s="1393"/>
      <c r="AB77" s="943" t="s">
        <v>669</v>
      </c>
      <c r="AC77" s="1564">
        <v>43200</v>
      </c>
      <c r="AD77" s="943" t="s">
        <v>669</v>
      </c>
      <c r="AE77" s="1564">
        <v>34900</v>
      </c>
      <c r="AF77" s="1826" t="s">
        <v>669</v>
      </c>
      <c r="AG77" s="1393"/>
      <c r="AH77" s="943" t="s">
        <v>669</v>
      </c>
      <c r="AI77" s="1393">
        <v>20807</v>
      </c>
      <c r="AJ77" s="943" t="s">
        <v>669</v>
      </c>
      <c r="AK77" s="1564"/>
      <c r="AL77" s="943" t="s">
        <v>669</v>
      </c>
      <c r="AM77" s="1393">
        <v>35215</v>
      </c>
      <c r="AN77" s="943" t="s">
        <v>669</v>
      </c>
      <c r="AO77" s="1393">
        <v>43000</v>
      </c>
      <c r="AP77" s="943"/>
      <c r="AQ77" s="1392"/>
      <c r="AR77" s="943" t="s">
        <v>669</v>
      </c>
      <c r="AS77" s="1393">
        <v>20807</v>
      </c>
      <c r="AT77" s="943"/>
      <c r="AU77" s="1564"/>
      <c r="AV77" s="943"/>
      <c r="AW77" s="1824"/>
      <c r="AX77" s="943"/>
      <c r="AY77" s="1824"/>
    </row>
    <row r="78" spans="1:51" ht="14.5" x14ac:dyDescent="0.35">
      <c r="A78" s="1391"/>
      <c r="B78" s="1818"/>
      <c r="C78" s="1423"/>
      <c r="D78" s="1423"/>
      <c r="E78" s="1423"/>
      <c r="F78" s="1484"/>
      <c r="G78" s="652"/>
      <c r="H78" s="943"/>
      <c r="I78" s="1824"/>
      <c r="J78" s="943"/>
      <c r="K78" s="1824"/>
      <c r="L78" s="943"/>
      <c r="M78" s="1824"/>
      <c r="N78" s="943"/>
      <c r="O78" s="1824"/>
      <c r="P78" s="943"/>
      <c r="Q78" s="1825"/>
      <c r="R78" s="943"/>
      <c r="S78" s="1825"/>
      <c r="T78" s="943"/>
      <c r="U78" s="1825"/>
      <c r="V78" s="943"/>
      <c r="W78" s="1824"/>
      <c r="X78" s="943"/>
      <c r="Y78" s="1824"/>
      <c r="Z78" s="943"/>
      <c r="AA78" s="1824"/>
      <c r="AB78" s="943"/>
      <c r="AC78" s="1564"/>
      <c r="AD78" s="943"/>
      <c r="AE78" s="1564"/>
      <c r="AF78" s="943"/>
      <c r="AG78" s="1824"/>
      <c r="AH78" s="943"/>
      <c r="AI78" s="1393"/>
      <c r="AJ78" s="943"/>
      <c r="AK78" s="1824"/>
      <c r="AL78" s="943"/>
      <c r="AM78" s="1825"/>
      <c r="AN78" s="943"/>
      <c r="AO78" s="1825"/>
      <c r="AP78" s="943"/>
      <c r="AQ78" s="1392"/>
      <c r="AR78" s="943"/>
      <c r="AS78" s="1393"/>
      <c r="AT78" s="943"/>
      <c r="AU78" s="1824"/>
      <c r="AV78" s="943"/>
      <c r="AW78" s="1824"/>
      <c r="AX78" s="943"/>
      <c r="AY78" s="1824"/>
    </row>
    <row r="79" spans="1:51" ht="14.5" x14ac:dyDescent="0.35">
      <c r="A79" s="1391"/>
      <c r="B79" s="1822" t="s">
        <v>2301</v>
      </c>
      <c r="C79" s="1423"/>
      <c r="D79" s="1423"/>
      <c r="E79" s="1423"/>
      <c r="F79" s="1484"/>
      <c r="G79" s="652"/>
      <c r="H79" s="1101" t="s">
        <v>654</v>
      </c>
      <c r="I79" s="1813">
        <v>9000</v>
      </c>
      <c r="J79" s="1101" t="s">
        <v>654</v>
      </c>
      <c r="K79" s="1813">
        <v>9000</v>
      </c>
      <c r="L79" s="1101" t="s">
        <v>669</v>
      </c>
      <c r="M79" s="1813">
        <v>9000</v>
      </c>
      <c r="N79" s="1826" t="s">
        <v>669</v>
      </c>
      <c r="O79" s="1813"/>
      <c r="P79" s="943" t="s">
        <v>669</v>
      </c>
      <c r="Q79" s="1393">
        <v>5000</v>
      </c>
      <c r="R79" s="943" t="s">
        <v>669</v>
      </c>
      <c r="S79" s="1393"/>
      <c r="T79" s="943" t="s">
        <v>669</v>
      </c>
      <c r="U79" s="1393"/>
      <c r="V79" s="943"/>
      <c r="W79" s="1824"/>
      <c r="X79" s="943" t="s">
        <v>669</v>
      </c>
      <c r="Y79" s="1824"/>
      <c r="Z79" s="1826" t="s">
        <v>654</v>
      </c>
      <c r="AA79" s="1813">
        <f>Q79</f>
        <v>5000</v>
      </c>
      <c r="AB79" s="943" t="s">
        <v>669</v>
      </c>
      <c r="AC79" s="1564">
        <v>1700</v>
      </c>
      <c r="AD79" s="943" t="s">
        <v>669</v>
      </c>
      <c r="AE79" s="1564">
        <v>1500</v>
      </c>
      <c r="AF79" s="1826" t="s">
        <v>669</v>
      </c>
      <c r="AG79" s="1813"/>
      <c r="AH79" s="943" t="s">
        <v>669</v>
      </c>
      <c r="AI79" s="1393">
        <v>3019</v>
      </c>
      <c r="AJ79" s="943"/>
      <c r="AK79" s="1824"/>
      <c r="AL79" s="943" t="s">
        <v>669</v>
      </c>
      <c r="AM79" s="1393">
        <v>2735</v>
      </c>
      <c r="AN79" s="943" t="s">
        <v>669</v>
      </c>
      <c r="AO79" s="1393">
        <v>3000</v>
      </c>
      <c r="AP79" s="943"/>
      <c r="AQ79" s="1392"/>
      <c r="AR79" s="943" t="s">
        <v>669</v>
      </c>
      <c r="AS79" s="1393">
        <v>3019</v>
      </c>
      <c r="AT79" s="943"/>
      <c r="AU79" s="1824"/>
      <c r="AV79" s="943"/>
      <c r="AW79" s="1824"/>
      <c r="AX79" s="943"/>
      <c r="AY79" s="1824"/>
    </row>
    <row r="80" spans="1:51" ht="14.5" x14ac:dyDescent="0.35">
      <c r="A80" s="1391"/>
      <c r="B80" s="1818" t="s">
        <v>2302</v>
      </c>
      <c r="C80" s="1423"/>
      <c r="D80" s="1423"/>
      <c r="E80" s="1423"/>
      <c r="F80" s="1484"/>
      <c r="G80" s="652"/>
      <c r="H80" s="943" t="s">
        <v>669</v>
      </c>
      <c r="I80" s="1824"/>
      <c r="J80" s="943" t="s">
        <v>669</v>
      </c>
      <c r="K80" s="1824"/>
      <c r="L80" s="943" t="s">
        <v>669</v>
      </c>
      <c r="M80" s="1824"/>
      <c r="N80" s="943" t="s">
        <v>669</v>
      </c>
      <c r="O80" s="1824"/>
      <c r="P80" s="1826" t="s">
        <v>654</v>
      </c>
      <c r="Q80" s="1393">
        <f>AC80</f>
        <v>900</v>
      </c>
      <c r="R80" s="943" t="s">
        <v>669</v>
      </c>
      <c r="S80" s="1393"/>
      <c r="T80" s="943" t="s">
        <v>669</v>
      </c>
      <c r="U80" s="1393"/>
      <c r="V80" s="943"/>
      <c r="W80" s="1824"/>
      <c r="X80" s="943" t="s">
        <v>669</v>
      </c>
      <c r="Y80" s="1824"/>
      <c r="Z80" s="1826" t="s">
        <v>654</v>
      </c>
      <c r="AA80" s="1813">
        <f>Q80</f>
        <v>900</v>
      </c>
      <c r="AB80" s="943" t="s">
        <v>669</v>
      </c>
      <c r="AC80" s="1813">
        <v>900</v>
      </c>
      <c r="AD80" s="943" t="s">
        <v>669</v>
      </c>
      <c r="AE80" s="1564">
        <v>900</v>
      </c>
      <c r="AF80" s="943" t="s">
        <v>669</v>
      </c>
      <c r="AG80" s="1824"/>
      <c r="AH80" s="943"/>
      <c r="AI80" s="1393"/>
      <c r="AJ80" s="943"/>
      <c r="AK80" s="1824"/>
      <c r="AL80" s="943"/>
      <c r="AM80" s="1825"/>
      <c r="AN80" s="943"/>
      <c r="AO80" s="1825"/>
      <c r="AP80" s="943"/>
      <c r="AQ80" s="1392"/>
      <c r="AR80" s="943"/>
      <c r="AS80" s="1392"/>
      <c r="AT80" s="943"/>
      <c r="AU80" s="1824"/>
      <c r="AV80" s="943"/>
      <c r="AW80" s="1824"/>
      <c r="AX80" s="943"/>
      <c r="AY80" s="1824"/>
    </row>
    <row r="81" spans="1:51" ht="14.5" x14ac:dyDescent="0.35">
      <c r="A81" s="1817"/>
      <c r="B81" s="1827" t="s">
        <v>2303</v>
      </c>
      <c r="C81" s="1423"/>
      <c r="D81" s="1423"/>
      <c r="E81" s="1423"/>
      <c r="F81" s="1828"/>
      <c r="G81" s="652"/>
      <c r="H81" s="943" t="s">
        <v>669</v>
      </c>
      <c r="I81" s="1824"/>
      <c r="J81" s="943" t="s">
        <v>669</v>
      </c>
      <c r="K81" s="1824"/>
      <c r="L81" s="943" t="s">
        <v>669</v>
      </c>
      <c r="M81" s="1824"/>
      <c r="N81" s="943" t="s">
        <v>669</v>
      </c>
      <c r="O81" s="1824"/>
      <c r="P81" s="1826" t="s">
        <v>654</v>
      </c>
      <c r="Q81" s="1813">
        <f>AC81</f>
        <v>10300</v>
      </c>
      <c r="R81" s="943" t="s">
        <v>669</v>
      </c>
      <c r="S81" s="1813"/>
      <c r="T81" s="943" t="s">
        <v>669</v>
      </c>
      <c r="U81" s="1813"/>
      <c r="V81" s="943"/>
      <c r="W81" s="1824"/>
      <c r="X81" s="943" t="s">
        <v>669</v>
      </c>
      <c r="Y81" s="1824"/>
      <c r="Z81" s="1826" t="s">
        <v>654</v>
      </c>
      <c r="AA81" s="1813">
        <f>Q81</f>
        <v>10300</v>
      </c>
      <c r="AB81" s="943" t="s">
        <v>669</v>
      </c>
      <c r="AC81" s="1564">
        <v>10300</v>
      </c>
      <c r="AD81" s="943" t="s">
        <v>669</v>
      </c>
      <c r="AE81" s="1564">
        <v>9300</v>
      </c>
      <c r="AF81" s="943"/>
      <c r="AG81" s="1824"/>
      <c r="AH81" s="943"/>
      <c r="AI81" s="1813"/>
      <c r="AJ81" s="943"/>
      <c r="AK81" s="1824"/>
      <c r="AL81" s="943"/>
      <c r="AM81" s="1825"/>
      <c r="AN81" s="943"/>
      <c r="AO81" s="1825"/>
      <c r="AP81" s="943"/>
      <c r="AQ81" s="1825"/>
      <c r="AR81" s="943"/>
      <c r="AS81" s="1825"/>
      <c r="AT81" s="943"/>
      <c r="AU81" s="1824"/>
      <c r="AV81" s="943"/>
      <c r="AW81" s="1824"/>
      <c r="AX81" s="943"/>
      <c r="AY81" s="1824"/>
    </row>
    <row r="82" spans="1:51" ht="14.5" x14ac:dyDescent="0.35">
      <c r="A82" s="1817"/>
      <c r="B82" s="1827" t="s">
        <v>2304</v>
      </c>
      <c r="C82" s="1423"/>
      <c r="D82" s="1423"/>
      <c r="E82" s="1423"/>
      <c r="F82" s="1828"/>
      <c r="G82" s="652"/>
      <c r="H82" s="943" t="s">
        <v>669</v>
      </c>
      <c r="I82" s="1824"/>
      <c r="J82" s="943" t="s">
        <v>669</v>
      </c>
      <c r="K82" s="1824"/>
      <c r="L82" s="943" t="s">
        <v>669</v>
      </c>
      <c r="M82" s="1824"/>
      <c r="N82" s="943" t="s">
        <v>669</v>
      </c>
      <c r="O82" s="1824"/>
      <c r="P82" s="1826" t="s">
        <v>654</v>
      </c>
      <c r="Q82" s="1813">
        <f>AC82</f>
        <v>600</v>
      </c>
      <c r="R82" s="943" t="s">
        <v>669</v>
      </c>
      <c r="S82" s="1813"/>
      <c r="T82" s="943" t="s">
        <v>669</v>
      </c>
      <c r="U82" s="1813"/>
      <c r="V82" s="943"/>
      <c r="W82" s="1824"/>
      <c r="X82" s="943" t="s">
        <v>669</v>
      </c>
      <c r="Y82" s="1824"/>
      <c r="Z82" s="1826" t="s">
        <v>654</v>
      </c>
      <c r="AA82" s="1813">
        <f>Q82</f>
        <v>600</v>
      </c>
      <c r="AB82" s="943" t="s">
        <v>669</v>
      </c>
      <c r="AC82" s="1564">
        <v>600</v>
      </c>
      <c r="AD82" s="943" t="s">
        <v>669</v>
      </c>
      <c r="AE82" s="1564">
        <v>600</v>
      </c>
      <c r="AF82" s="943"/>
      <c r="AG82" s="1824"/>
      <c r="AH82" s="943"/>
      <c r="AI82" s="1813"/>
      <c r="AJ82" s="943"/>
      <c r="AK82" s="1824"/>
      <c r="AL82" s="943"/>
      <c r="AM82" s="1825"/>
      <c r="AN82" s="943"/>
      <c r="AO82" s="1825"/>
      <c r="AP82" s="943"/>
      <c r="AQ82" s="1825"/>
      <c r="AR82" s="943"/>
      <c r="AS82" s="1825"/>
      <c r="AT82" s="943"/>
      <c r="AU82" s="1824"/>
      <c r="AV82" s="943"/>
      <c r="AW82" s="1824"/>
      <c r="AX82" s="943"/>
      <c r="AY82" s="1824"/>
    </row>
    <row r="83" spans="1:51" ht="14.5" x14ac:dyDescent="0.35">
      <c r="A83" s="1817"/>
      <c r="B83" s="1818" t="s">
        <v>2305</v>
      </c>
      <c r="C83" s="1423"/>
      <c r="D83" s="1423"/>
      <c r="E83" s="1423"/>
      <c r="F83" s="1828"/>
      <c r="G83" s="652"/>
      <c r="H83" s="943" t="s">
        <v>669</v>
      </c>
      <c r="I83" s="1824"/>
      <c r="J83" s="943" t="s">
        <v>669</v>
      </c>
      <c r="K83" s="1824"/>
      <c r="L83" s="943" t="s">
        <v>669</v>
      </c>
      <c r="M83" s="1824"/>
      <c r="N83" s="943" t="s">
        <v>669</v>
      </c>
      <c r="O83" s="1824"/>
      <c r="P83" s="1826" t="s">
        <v>654</v>
      </c>
      <c r="Q83" s="1813">
        <f>AC83</f>
        <v>300</v>
      </c>
      <c r="R83" s="943" t="s">
        <v>669</v>
      </c>
      <c r="S83" s="1813"/>
      <c r="T83" s="943" t="s">
        <v>669</v>
      </c>
      <c r="U83" s="1813"/>
      <c r="V83" s="943"/>
      <c r="W83" s="1824"/>
      <c r="X83" s="943" t="s">
        <v>669</v>
      </c>
      <c r="Y83" s="1824"/>
      <c r="Z83" s="1826" t="s">
        <v>654</v>
      </c>
      <c r="AA83" s="1813">
        <f>Q83</f>
        <v>300</v>
      </c>
      <c r="AB83" s="943" t="s">
        <v>669</v>
      </c>
      <c r="AC83" s="1564">
        <v>300</v>
      </c>
      <c r="AD83" s="943" t="s">
        <v>669</v>
      </c>
      <c r="AE83" s="1564">
        <v>300</v>
      </c>
      <c r="AF83" s="943"/>
      <c r="AG83" s="1824"/>
      <c r="AH83" s="943"/>
      <c r="AI83" s="1813"/>
      <c r="AJ83" s="943"/>
      <c r="AK83" s="1824"/>
      <c r="AL83" s="943"/>
      <c r="AM83" s="1825"/>
      <c r="AN83" s="943"/>
      <c r="AO83" s="1825"/>
      <c r="AP83" s="943"/>
      <c r="AQ83" s="1825"/>
      <c r="AR83" s="943"/>
      <c r="AS83" s="1825"/>
      <c r="AT83" s="943"/>
      <c r="AU83" s="1824"/>
      <c r="AV83" s="943"/>
      <c r="AW83" s="1824"/>
      <c r="AX83" s="943"/>
      <c r="AY83" s="1824"/>
    </row>
    <row r="84" spans="1:51" ht="14.5" x14ac:dyDescent="0.35">
      <c r="A84" s="1817"/>
      <c r="B84" s="1818" t="s">
        <v>2306</v>
      </c>
      <c r="C84" s="1423"/>
      <c r="D84" s="1423"/>
      <c r="E84" s="1423"/>
      <c r="F84" s="1828"/>
      <c r="G84" s="652"/>
      <c r="H84" s="943"/>
      <c r="I84" s="1824"/>
      <c r="J84" s="943"/>
      <c r="K84" s="1824"/>
      <c r="L84" s="943"/>
      <c r="M84" s="1824"/>
      <c r="N84" s="943"/>
      <c r="O84" s="1824"/>
      <c r="P84" s="943"/>
      <c r="Q84" s="1813"/>
      <c r="R84" s="943"/>
      <c r="S84" s="1813"/>
      <c r="T84" s="943"/>
      <c r="U84" s="1813"/>
      <c r="V84" s="943"/>
      <c r="W84" s="1824"/>
      <c r="X84" s="943" t="s">
        <v>669</v>
      </c>
      <c r="Y84" s="1824"/>
      <c r="Z84" s="943"/>
      <c r="AA84" s="1824"/>
      <c r="AB84" s="943"/>
      <c r="AC84" s="1824"/>
      <c r="AD84" s="943"/>
      <c r="AE84" s="1824"/>
      <c r="AF84" s="943"/>
      <c r="AG84" s="1824"/>
      <c r="AH84" s="943"/>
      <c r="AI84" s="1813"/>
      <c r="AJ84" s="943"/>
      <c r="AK84" s="1824"/>
      <c r="AL84" s="943"/>
      <c r="AM84" s="1825"/>
      <c r="AN84" s="943"/>
      <c r="AO84" s="1825"/>
      <c r="AP84" s="943"/>
      <c r="AQ84" s="1825"/>
      <c r="AR84" s="943"/>
      <c r="AS84" s="1825"/>
      <c r="AT84" s="943"/>
      <c r="AU84" s="1824"/>
      <c r="AV84" s="943"/>
      <c r="AW84" s="1824"/>
      <c r="AX84" s="943"/>
      <c r="AY84" s="1824"/>
    </row>
    <row r="85" spans="1:51" ht="14.5" x14ac:dyDescent="0.35">
      <c r="A85" s="1817"/>
      <c r="B85" s="538" t="s">
        <v>2307</v>
      </c>
      <c r="C85" s="1423"/>
      <c r="D85" s="1423"/>
      <c r="E85" s="1423"/>
      <c r="F85" s="1484"/>
      <c r="G85" s="652"/>
      <c r="H85" s="943"/>
      <c r="I85" s="1824"/>
      <c r="J85" s="943" t="s">
        <v>624</v>
      </c>
      <c r="K85" s="1813">
        <v>140000</v>
      </c>
      <c r="L85" s="943" t="s">
        <v>624</v>
      </c>
      <c r="M85" s="1813">
        <v>140000</v>
      </c>
      <c r="N85" s="1101" t="s">
        <v>654</v>
      </c>
      <c r="O85" s="1829">
        <v>140000</v>
      </c>
      <c r="P85" s="1826" t="s">
        <v>654</v>
      </c>
      <c r="Q85" s="1393">
        <v>140000</v>
      </c>
      <c r="R85" s="1826" t="s">
        <v>654</v>
      </c>
      <c r="S85" s="1393">
        <v>140000</v>
      </c>
      <c r="T85" s="1826" t="s">
        <v>669</v>
      </c>
      <c r="U85" s="1393"/>
      <c r="V85" s="943" t="s">
        <v>671</v>
      </c>
      <c r="W85" s="1830"/>
      <c r="X85" s="943" t="s">
        <v>671</v>
      </c>
      <c r="Y85" s="1830"/>
      <c r="Z85" s="1826" t="s">
        <v>654</v>
      </c>
      <c r="AA85" s="1813">
        <v>140000</v>
      </c>
      <c r="AB85" s="1826" t="s">
        <v>654</v>
      </c>
      <c r="AC85" s="1813">
        <v>140000</v>
      </c>
      <c r="AD85" s="943" t="s">
        <v>671</v>
      </c>
      <c r="AE85" s="1830"/>
      <c r="AF85" s="943" t="s">
        <v>654</v>
      </c>
      <c r="AG85" s="1824">
        <v>140000</v>
      </c>
      <c r="AH85" s="1831"/>
      <c r="AI85" s="1393"/>
      <c r="AJ85" s="943" t="s">
        <v>671</v>
      </c>
      <c r="AK85" s="1830">
        <f>-64800-19440-48600</f>
        <v>-132840</v>
      </c>
      <c r="AL85" s="943"/>
      <c r="AM85" s="1393"/>
      <c r="AN85" s="1831"/>
      <c r="AO85" s="1393"/>
      <c r="AP85" s="943"/>
      <c r="AQ85" s="1825"/>
      <c r="AR85" s="943" t="s">
        <v>669</v>
      </c>
      <c r="AS85" s="1825">
        <v>212416</v>
      </c>
      <c r="AT85" s="943"/>
      <c r="AU85" s="1824"/>
      <c r="AV85" s="943"/>
      <c r="AW85" s="1824"/>
      <c r="AX85" s="943"/>
      <c r="AY85" s="1824"/>
    </row>
    <row r="86" spans="1:51" ht="14.5" x14ac:dyDescent="0.35">
      <c r="A86" s="1391"/>
      <c r="B86" s="1832" t="s">
        <v>2308</v>
      </c>
      <c r="C86" s="1423"/>
      <c r="D86" s="1423"/>
      <c r="E86" s="1423"/>
      <c r="F86" s="1484"/>
      <c r="G86" s="652"/>
      <c r="H86" s="943"/>
      <c r="I86" s="1824"/>
      <c r="J86" s="943"/>
      <c r="K86" s="1824"/>
      <c r="L86" s="943"/>
      <c r="M86" s="1824"/>
      <c r="N86" s="943"/>
      <c r="O86" s="1824"/>
      <c r="P86" s="943"/>
      <c r="Q86" s="1825"/>
      <c r="R86" s="943"/>
      <c r="S86" s="1825"/>
      <c r="T86" s="943"/>
      <c r="U86" s="1825"/>
      <c r="V86" s="943"/>
      <c r="W86" s="1824">
        <v>170610</v>
      </c>
      <c r="X86" s="943" t="s">
        <v>669</v>
      </c>
      <c r="Y86" s="1564">
        <v>145755</v>
      </c>
      <c r="Z86" s="943"/>
      <c r="AA86" s="1824"/>
      <c r="AB86" s="943"/>
      <c r="AC86" s="1824"/>
      <c r="AD86" s="943"/>
      <c r="AE86" s="1824"/>
      <c r="AF86" s="943"/>
      <c r="AG86" s="1824"/>
      <c r="AH86" s="943"/>
      <c r="AI86" s="1392"/>
      <c r="AJ86" s="943"/>
      <c r="AK86" s="1824"/>
      <c r="AL86" s="943"/>
      <c r="AM86" s="1392"/>
      <c r="AN86" s="943"/>
      <c r="AO86" s="1825"/>
      <c r="AP86" s="943"/>
      <c r="AQ86" s="1392"/>
      <c r="AR86" s="943"/>
      <c r="AS86" s="1392"/>
      <c r="AT86" s="943"/>
      <c r="AU86" s="1824"/>
      <c r="AV86" s="943"/>
      <c r="AW86" s="1824"/>
      <c r="AX86" s="943"/>
      <c r="AY86" s="1824"/>
    </row>
    <row r="87" spans="1:51" ht="14.5" x14ac:dyDescent="0.35">
      <c r="A87" s="1817"/>
      <c r="B87" s="550" t="s">
        <v>869</v>
      </c>
      <c r="C87" s="1833"/>
      <c r="D87" s="1833"/>
      <c r="E87" s="1833"/>
      <c r="F87" s="1834"/>
      <c r="G87" s="1835"/>
      <c r="H87" s="1836"/>
      <c r="I87" s="1824"/>
      <c r="J87" s="1836"/>
      <c r="K87" s="1824"/>
      <c r="L87" s="1836"/>
      <c r="M87" s="1837">
        <f>-84000-62000</f>
        <v>-146000</v>
      </c>
      <c r="N87" s="1836"/>
      <c r="O87" s="1824"/>
      <c r="P87" s="1836"/>
      <c r="Q87" s="1825"/>
      <c r="R87" s="1836"/>
      <c r="S87" s="1825"/>
      <c r="T87" s="1836"/>
      <c r="U87" s="1825"/>
      <c r="V87" s="1836"/>
      <c r="W87" s="1824"/>
      <c r="X87" s="1836"/>
      <c r="Y87" s="1824"/>
      <c r="Z87" s="1836"/>
      <c r="AA87" s="1824"/>
      <c r="AB87" s="1836"/>
      <c r="AC87" s="1824"/>
      <c r="AD87" s="1836"/>
      <c r="AE87" s="1824"/>
      <c r="AF87" s="1836"/>
      <c r="AG87" s="1824"/>
      <c r="AH87" s="1836"/>
      <c r="AI87" s="1825"/>
      <c r="AJ87" s="1836"/>
      <c r="AK87" s="1824"/>
      <c r="AL87" s="1836"/>
      <c r="AM87" s="1825"/>
      <c r="AN87" s="1836"/>
      <c r="AO87" s="1825"/>
      <c r="AP87" s="1836"/>
      <c r="AQ87" s="1825"/>
      <c r="AR87" s="1836"/>
      <c r="AS87" s="1825"/>
      <c r="AT87" s="1836"/>
      <c r="AU87" s="1824"/>
      <c r="AV87" s="1836"/>
      <c r="AW87" s="1824"/>
      <c r="AX87" s="1836"/>
      <c r="AY87" s="1824"/>
    </row>
    <row r="88" spans="1:51" ht="14.5" x14ac:dyDescent="0.35">
      <c r="A88" s="14"/>
      <c r="B88" s="15"/>
      <c r="C88" s="16"/>
      <c r="D88" s="16"/>
      <c r="E88" s="17"/>
      <c r="F88" s="18" t="s">
        <v>715</v>
      </c>
      <c r="G88" s="19"/>
      <c r="H88" s="20"/>
      <c r="I88" s="50">
        <f>SUM(I23:I86)</f>
        <v>2859000</v>
      </c>
      <c r="J88" s="20"/>
      <c r="K88" s="50">
        <f>SUM(K23:K86)</f>
        <v>3144000</v>
      </c>
      <c r="L88" s="20"/>
      <c r="M88" s="50">
        <f>SUM(M23:M87)</f>
        <v>2998000</v>
      </c>
      <c r="N88" s="20"/>
      <c r="O88" s="50">
        <f>SUM(O26:O86)</f>
        <v>3370563</v>
      </c>
      <c r="P88" s="20"/>
      <c r="Q88" s="50">
        <f>SUM(Q23:Q86)</f>
        <v>3413100</v>
      </c>
      <c r="R88" s="20"/>
      <c r="S88" s="50">
        <f>SUM(S23:S86)</f>
        <v>3062000</v>
      </c>
      <c r="T88" s="20"/>
      <c r="U88" s="50">
        <f>SUM(U23:U86)</f>
        <v>2922000</v>
      </c>
      <c r="V88" s="20"/>
      <c r="W88" s="50">
        <f>SUM(W23:W86)</f>
        <v>3354706</v>
      </c>
      <c r="X88" s="20"/>
      <c r="Y88" s="50">
        <f>SUM(Y23:Y86)</f>
        <v>2900000</v>
      </c>
      <c r="Z88" s="20"/>
      <c r="AA88" s="50">
        <f>SUM(AA32:AA86)</f>
        <v>3107100</v>
      </c>
      <c r="AB88" s="20"/>
      <c r="AC88" s="50">
        <f>SUM(AC23:AC86)</f>
        <v>3883800</v>
      </c>
      <c r="AD88" s="20"/>
      <c r="AE88" s="50">
        <f>SUM(AE23:AE86)</f>
        <v>3254000</v>
      </c>
      <c r="AF88" s="20"/>
      <c r="AG88" s="50">
        <f>SUM(AG26:AG86)</f>
        <v>3370563</v>
      </c>
      <c r="AH88" s="20"/>
      <c r="AI88" s="50">
        <f>SUM(AI23:AI86)</f>
        <v>3442418</v>
      </c>
      <c r="AJ88" s="20"/>
      <c r="AK88" s="50">
        <f>SUM(AK23:AK86)</f>
        <v>3404868</v>
      </c>
      <c r="AL88" s="20"/>
      <c r="AM88" s="50">
        <f>SUM(AM23:AM86)</f>
        <v>4292449</v>
      </c>
      <c r="AN88" s="20"/>
      <c r="AO88" s="50">
        <f>SUM(AO23:AO86)</f>
        <v>5267000</v>
      </c>
      <c r="AP88" s="20"/>
      <c r="AQ88" s="50">
        <f>SUM(AQ23:AQ86)</f>
        <v>4337628</v>
      </c>
      <c r="AR88" s="20"/>
      <c r="AS88" s="50">
        <f>SUM(AS23:AS86)</f>
        <v>5481181</v>
      </c>
      <c r="AT88" s="20"/>
      <c r="AU88" s="50">
        <f>SUM(AU23:AU86)</f>
        <v>4711300</v>
      </c>
      <c r="AV88" s="20"/>
      <c r="AW88" s="50">
        <f>SUM(AW26:AW86)</f>
        <v>0</v>
      </c>
      <c r="AX88" s="20"/>
      <c r="AY88" s="50">
        <f>SUM(AY26:AY86)</f>
        <v>0</v>
      </c>
    </row>
    <row r="89" spans="1:51" ht="14.5" x14ac:dyDescent="0.35">
      <c r="A89" s="1838"/>
      <c r="B89" s="1839"/>
      <c r="C89" s="1840"/>
      <c r="D89" s="1840"/>
      <c r="E89" s="1841"/>
      <c r="F89" s="1842" t="s">
        <v>716</v>
      </c>
      <c r="G89" s="659"/>
      <c r="H89" s="1843">
        <v>0</v>
      </c>
      <c r="I89" s="1844"/>
      <c r="J89" s="1843">
        <v>0</v>
      </c>
      <c r="K89" s="1844"/>
      <c r="L89" s="1843">
        <v>0</v>
      </c>
      <c r="M89" s="1844"/>
      <c r="N89" s="1843">
        <v>0</v>
      </c>
      <c r="O89" s="1844"/>
      <c r="P89" s="1843">
        <v>0</v>
      </c>
      <c r="Q89" s="1844"/>
      <c r="R89" s="1843">
        <v>0</v>
      </c>
      <c r="S89" s="1844"/>
      <c r="T89" s="1843">
        <v>0</v>
      </c>
      <c r="U89" s="1844"/>
      <c r="V89" s="1843">
        <v>0</v>
      </c>
      <c r="W89" s="1844"/>
      <c r="X89" s="1843">
        <v>0</v>
      </c>
      <c r="Y89" s="1844"/>
      <c r="Z89" s="1843">
        <v>0.01</v>
      </c>
      <c r="AA89" s="1844"/>
      <c r="AB89" s="1843">
        <v>0</v>
      </c>
      <c r="AC89" s="1844"/>
      <c r="AD89" s="1843">
        <v>0</v>
      </c>
      <c r="AE89" s="1844"/>
      <c r="AF89" s="1843">
        <v>0</v>
      </c>
      <c r="AG89" s="1844"/>
      <c r="AH89" s="1843">
        <v>0</v>
      </c>
      <c r="AI89" s="1844"/>
      <c r="AJ89" s="1843">
        <v>0</v>
      </c>
      <c r="AK89" s="1844"/>
      <c r="AL89" s="1843">
        <v>0</v>
      </c>
      <c r="AM89" s="1844"/>
      <c r="AN89" s="1843">
        <v>0</v>
      </c>
      <c r="AO89" s="1844"/>
      <c r="AP89" s="1843">
        <v>0</v>
      </c>
      <c r="AQ89" s="1844"/>
      <c r="AR89" s="1843">
        <v>0</v>
      </c>
      <c r="AS89" s="1844"/>
      <c r="AT89" s="1843">
        <v>0</v>
      </c>
      <c r="AU89" s="1844"/>
      <c r="AV89" s="1843">
        <v>0</v>
      </c>
      <c r="AW89" s="1844"/>
      <c r="AX89" s="1843">
        <v>0</v>
      </c>
      <c r="AY89" s="1844"/>
    </row>
    <row r="90" spans="1:51" ht="14.5" x14ac:dyDescent="0.35">
      <c r="A90" s="1838"/>
      <c r="B90" s="1839"/>
      <c r="C90" s="1840"/>
      <c r="D90" s="1840"/>
      <c r="E90" s="1841"/>
      <c r="F90" s="1842" t="s">
        <v>717</v>
      </c>
      <c r="G90" s="659"/>
      <c r="H90" s="1845"/>
      <c r="I90" s="1846">
        <f>H89*I88</f>
        <v>0</v>
      </c>
      <c r="J90" s="1845"/>
      <c r="K90" s="1846">
        <f>J89*K88</f>
        <v>0</v>
      </c>
      <c r="L90" s="1845"/>
      <c r="M90" s="1846">
        <f>L89*M88</f>
        <v>0</v>
      </c>
      <c r="N90" s="1845"/>
      <c r="O90" s="1846">
        <f>N89*O88</f>
        <v>0</v>
      </c>
      <c r="P90" s="1845"/>
      <c r="Q90" s="1846">
        <f>P89*Q88</f>
        <v>0</v>
      </c>
      <c r="R90" s="1845"/>
      <c r="S90" s="1846">
        <f>R89*S88</f>
        <v>0</v>
      </c>
      <c r="T90" s="1845"/>
      <c r="U90" s="1846">
        <f>T89*U88</f>
        <v>0</v>
      </c>
      <c r="V90" s="1845"/>
      <c r="W90" s="1846">
        <f>V89*W88</f>
        <v>0</v>
      </c>
      <c r="X90" s="1845"/>
      <c r="Y90" s="1846">
        <f>X89*Y88</f>
        <v>0</v>
      </c>
      <c r="Z90" s="1845"/>
      <c r="AA90" s="1846">
        <f>Z89*AA88</f>
        <v>31071</v>
      </c>
      <c r="AB90" s="1845"/>
      <c r="AC90" s="1846">
        <f>AB89*AC88</f>
        <v>0</v>
      </c>
      <c r="AD90" s="1845"/>
      <c r="AE90" s="1846">
        <f>AD89*AE88</f>
        <v>0</v>
      </c>
      <c r="AF90" s="1845"/>
      <c r="AG90" s="1846">
        <f>AF89*AG88</f>
        <v>0</v>
      </c>
      <c r="AH90" s="1845"/>
      <c r="AI90" s="1846">
        <f>AH89*AI88</f>
        <v>0</v>
      </c>
      <c r="AJ90" s="1845"/>
      <c r="AK90" s="1846">
        <f>AJ89*AK88</f>
        <v>0</v>
      </c>
      <c r="AL90" s="1845"/>
      <c r="AM90" s="1846">
        <f>AL89*AM88</f>
        <v>0</v>
      </c>
      <c r="AN90" s="1845"/>
      <c r="AO90" s="1846">
        <f>AN89*AO88</f>
        <v>0</v>
      </c>
      <c r="AP90" s="1845"/>
      <c r="AQ90" s="1846">
        <f>AP89*AQ88</f>
        <v>0</v>
      </c>
      <c r="AR90" s="1845"/>
      <c r="AS90" s="1846">
        <f>AR89*AS88</f>
        <v>0</v>
      </c>
      <c r="AT90" s="1845"/>
      <c r="AU90" s="1846">
        <f>AT89*AU88</f>
        <v>0</v>
      </c>
      <c r="AV90" s="1845"/>
      <c r="AW90" s="1846">
        <f>AV89*AW88</f>
        <v>0</v>
      </c>
      <c r="AX90" s="1845"/>
      <c r="AY90" s="1846">
        <f>AX89*AY88</f>
        <v>0</v>
      </c>
    </row>
    <row r="91" spans="1:51" ht="14.5" x14ac:dyDescent="0.35">
      <c r="A91" s="1838"/>
      <c r="B91" s="1839"/>
      <c r="C91" s="1840"/>
      <c r="D91" s="1840"/>
      <c r="E91" s="1841"/>
      <c r="F91" s="1842"/>
      <c r="G91" s="659"/>
      <c r="H91" s="1845"/>
      <c r="I91" s="1847"/>
      <c r="J91" s="1845"/>
      <c r="K91" s="1847"/>
      <c r="L91" s="1845"/>
      <c r="M91" s="1847"/>
      <c r="N91" s="1845"/>
      <c r="O91" s="1847"/>
      <c r="P91" s="1845"/>
      <c r="Q91" s="1847"/>
      <c r="R91" s="1845"/>
      <c r="S91" s="1847"/>
      <c r="T91" s="1845"/>
      <c r="U91" s="1847"/>
      <c r="V91" s="1845"/>
      <c r="W91" s="1847"/>
      <c r="X91" s="1845"/>
      <c r="Y91" s="1847"/>
      <c r="Z91" s="1845"/>
      <c r="AA91" s="1847"/>
      <c r="AB91" s="1845"/>
      <c r="AC91" s="1847"/>
      <c r="AD91" s="1845"/>
      <c r="AE91" s="1847"/>
      <c r="AF91" s="1845"/>
      <c r="AG91" s="1847"/>
      <c r="AH91" s="1845"/>
      <c r="AI91" s="1847"/>
      <c r="AJ91" s="1845"/>
      <c r="AK91" s="1847"/>
      <c r="AL91" s="1845"/>
      <c r="AM91" s="1847"/>
      <c r="AN91" s="1845"/>
      <c r="AO91" s="1847"/>
      <c r="AP91" s="1845"/>
      <c r="AQ91" s="1847"/>
      <c r="AR91" s="1845"/>
      <c r="AS91" s="1847"/>
      <c r="AT91" s="1845"/>
      <c r="AU91" s="1847"/>
      <c r="AV91" s="1845"/>
      <c r="AW91" s="1847"/>
      <c r="AX91" s="1845"/>
      <c r="AY91" s="1847"/>
    </row>
    <row r="92" spans="1:51" ht="14.5" x14ac:dyDescent="0.35">
      <c r="A92" s="1838"/>
      <c r="B92" s="1839"/>
      <c r="C92" s="1840"/>
      <c r="D92" s="1840"/>
      <c r="E92" s="1841"/>
      <c r="F92" s="1842" t="s">
        <v>718</v>
      </c>
      <c r="G92" s="659"/>
      <c r="H92" s="1848"/>
      <c r="I92" s="1849">
        <f>SUM(I88:I90)</f>
        <v>2859000</v>
      </c>
      <c r="J92" s="1848"/>
      <c r="K92" s="1849">
        <f>SUM(K88:K90)</f>
        <v>3144000</v>
      </c>
      <c r="L92" s="1848"/>
      <c r="M92" s="1849">
        <f>SUM(M88:M90)</f>
        <v>2998000</v>
      </c>
      <c r="N92" s="1848"/>
      <c r="O92" s="1849">
        <f>SUM(O88:O90)</f>
        <v>3370563</v>
      </c>
      <c r="P92" s="1848"/>
      <c r="Q92" s="1849">
        <f>SUM(Q88:Q90)</f>
        <v>3413100</v>
      </c>
      <c r="R92" s="1848"/>
      <c r="S92" s="1849">
        <f>SUM(S88:S90)</f>
        <v>3062000</v>
      </c>
      <c r="T92" s="1848"/>
      <c r="U92" s="1849">
        <f>SUM(U88:U90)</f>
        <v>2922000</v>
      </c>
      <c r="V92" s="1848"/>
      <c r="W92" s="1849">
        <f>SUM(W88:W90)</f>
        <v>3354706</v>
      </c>
      <c r="X92" s="1848"/>
      <c r="Y92" s="1849">
        <f>SUM(Y88:Y90)</f>
        <v>2900000</v>
      </c>
      <c r="Z92" s="1848"/>
      <c r="AA92" s="1849">
        <f>SUM(AA88:AA90)</f>
        <v>3138171</v>
      </c>
      <c r="AB92" s="1848"/>
      <c r="AC92" s="1849">
        <f>SUM(AC88:AC90)</f>
        <v>3883800</v>
      </c>
      <c r="AD92" s="1848"/>
      <c r="AE92" s="1849">
        <f>SUM(AE88:AE90)</f>
        <v>3254000</v>
      </c>
      <c r="AF92" s="1848"/>
      <c r="AG92" s="1849">
        <f>SUM(AG88:AG90)</f>
        <v>3370563</v>
      </c>
      <c r="AH92" s="1848"/>
      <c r="AI92" s="1849">
        <f>SUM(AI88:AI90)</f>
        <v>3442418</v>
      </c>
      <c r="AJ92" s="1848"/>
      <c r="AK92" s="1849">
        <f>SUM(AK88:AK90)</f>
        <v>3404868</v>
      </c>
      <c r="AL92" s="1848"/>
      <c r="AM92" s="1849">
        <f>SUM(AM88:AM90)</f>
        <v>4292449</v>
      </c>
      <c r="AN92" s="1848"/>
      <c r="AO92" s="1849">
        <f>SUM(AO88:AO90)</f>
        <v>5267000</v>
      </c>
      <c r="AP92" s="1848"/>
      <c r="AQ92" s="1849">
        <f>SUM(AQ88:AQ90)</f>
        <v>4337628</v>
      </c>
      <c r="AR92" s="1848"/>
      <c r="AS92" s="1849">
        <f>SUM(AS88:AS90)</f>
        <v>5481181</v>
      </c>
      <c r="AT92" s="1848"/>
      <c r="AU92" s="1849">
        <f>SUM(AU88:AU90)</f>
        <v>4711300</v>
      </c>
      <c r="AV92" s="1848"/>
      <c r="AW92" s="1849">
        <f>SUM(AW88:AW90)</f>
        <v>0</v>
      </c>
      <c r="AX92" s="1848"/>
      <c r="AY92" s="1849">
        <f>SUM(AY88:AY90)</f>
        <v>0</v>
      </c>
    </row>
    <row r="93" spans="1:51" ht="14.5" x14ac:dyDescent="0.35">
      <c r="A93" s="1838"/>
      <c r="B93" s="1839"/>
      <c r="C93" s="1840"/>
      <c r="D93" s="1840"/>
      <c r="E93" s="1841"/>
      <c r="F93" s="1850" t="s">
        <v>719</v>
      </c>
      <c r="G93" s="661"/>
      <c r="H93" s="1851"/>
      <c r="I93" s="1852">
        <f>I92/'Cost Summary'!$G$6</f>
        <v>5.5604739958861442</v>
      </c>
      <c r="J93" s="1851"/>
      <c r="K93" s="1852">
        <f>K92/'Cost Summary'!$G$6</f>
        <v>6.114770983933556</v>
      </c>
      <c r="L93" s="1851"/>
      <c r="M93" s="1852">
        <f>M92/'Cost Summary'!$G$6</f>
        <v>5.8308153339162851</v>
      </c>
      <c r="N93" s="1851"/>
      <c r="O93" s="1852">
        <f>O92/'Cost Summary'!$G$6</f>
        <v>6.5554137506106995</v>
      </c>
      <c r="P93" s="1851"/>
      <c r="Q93" s="1852">
        <f>Q92/'Cost Summary'!$G$6</f>
        <v>6.6381440347530596</v>
      </c>
      <c r="R93" s="1851"/>
      <c r="S93" s="1852">
        <f>S92/'Cost Summary'!$G$6</f>
        <v>5.9552890435128969</v>
      </c>
      <c r="T93" s="1851"/>
      <c r="U93" s="1852">
        <f>U92/'Cost Summary'!$G$6</f>
        <v>5.6830028037703091</v>
      </c>
      <c r="V93" s="1851"/>
      <c r="W93" s="1852">
        <f>W92/'Cost Summary'!$G$6</f>
        <v>6.5245734441564265</v>
      </c>
      <c r="X93" s="1851"/>
      <c r="Y93" s="1852">
        <f>Y92/'Cost Summary'!$G$6</f>
        <v>5.6402149660964733</v>
      </c>
      <c r="Z93" s="1851"/>
      <c r="AA93" s="1852">
        <f>AA92/'Cost Summary'!$G$6</f>
        <v>6.1034341518517019</v>
      </c>
      <c r="AB93" s="1851"/>
      <c r="AC93" s="1852">
        <f>AC92/'Cost Summary'!$G$6</f>
        <v>7.5536092708018909</v>
      </c>
      <c r="AD93" s="1851"/>
      <c r="AE93" s="1852">
        <f>AE92/'Cost Summary'!$G$6</f>
        <v>6.328710172302733</v>
      </c>
      <c r="AF93" s="1851"/>
      <c r="AG93" s="1852">
        <f>AG92/'Cost Summary'!$G$6</f>
        <v>6.5554137506106995</v>
      </c>
      <c r="AH93" s="1851"/>
      <c r="AI93" s="1852">
        <f>AI92/'Cost Summary'!$G$6</f>
        <v>6.6951646631585824</v>
      </c>
      <c r="AJ93" s="1851"/>
      <c r="AK93" s="1852">
        <f>AK92/'Cost Summary'!$G$6</f>
        <v>6.622133603856196</v>
      </c>
      <c r="AL93" s="1851"/>
      <c r="AM93" s="1852">
        <f>AM92/'Cost Summary'!$G$6</f>
        <v>8.3483914106916703</v>
      </c>
      <c r="AN93" s="1851"/>
      <c r="AO93" s="1852">
        <f>AO92/'Cost Summary'!$G$6</f>
        <v>10.243797319458665</v>
      </c>
      <c r="AP93" s="1851"/>
      <c r="AQ93" s="1852">
        <f>AQ92/'Cost Summary'!$G$6</f>
        <v>8.4362601251583147</v>
      </c>
      <c r="AR93" s="1851"/>
      <c r="AS93" s="1852">
        <f>AS92/'Cost Summary'!$G$6</f>
        <v>10.660358313132289</v>
      </c>
      <c r="AT93" s="1851"/>
      <c r="AU93" s="1852">
        <f>AU92/'Cost Summary'!$G$6</f>
        <v>9.1630154378518327</v>
      </c>
      <c r="AV93" s="1851"/>
      <c r="AW93" s="1852">
        <f>AW92/'Cost Summary'!$G$6</f>
        <v>0</v>
      </c>
      <c r="AX93" s="1851"/>
      <c r="AY93" s="1852">
        <f>AY92/'Cost Summary'!$G$6</f>
        <v>0</v>
      </c>
    </row>
    <row r="94" spans="1:51" ht="14.5" x14ac:dyDescent="0.35">
      <c r="A94" s="1838"/>
      <c r="B94" s="1839"/>
      <c r="C94" s="1840"/>
      <c r="D94" s="1840"/>
      <c r="E94" s="1841"/>
      <c r="F94" s="1850" t="s">
        <v>720</v>
      </c>
      <c r="G94" s="662"/>
      <c r="H94" s="1851"/>
      <c r="I94" s="1852">
        <f>I92/'Cost Summary'!$G$8</f>
        <v>6618.0555555555557</v>
      </c>
      <c r="J94" s="1851"/>
      <c r="K94" s="1852">
        <f>K92/'Cost Summary'!$G$8</f>
        <v>7277.7777777777774</v>
      </c>
      <c r="L94" s="1851"/>
      <c r="M94" s="1852">
        <f>M92/'Cost Summary'!$G$8</f>
        <v>6939.8148148148148</v>
      </c>
      <c r="N94" s="1851"/>
      <c r="O94" s="1852">
        <f>O92/'Cost Summary'!$G$8</f>
        <v>7802.229166666667</v>
      </c>
      <c r="P94" s="1851"/>
      <c r="Q94" s="1852">
        <f>Q92/'Cost Summary'!$G$8</f>
        <v>7900.6944444444443</v>
      </c>
      <c r="R94" s="1851"/>
      <c r="S94" s="1852">
        <f>S92/'Cost Summary'!$G$8</f>
        <v>7087.9629629629626</v>
      </c>
      <c r="T94" s="1851"/>
      <c r="U94" s="1852">
        <f>U92/'Cost Summary'!$G$8</f>
        <v>6763.8888888888887</v>
      </c>
      <c r="V94" s="1851"/>
      <c r="W94" s="1852">
        <f>W92/'Cost Summary'!$G$8</f>
        <v>7765.5231481481478</v>
      </c>
      <c r="X94" s="1851"/>
      <c r="Y94" s="1852">
        <f>Y92/'Cost Summary'!$G$8</f>
        <v>6712.9629629629626</v>
      </c>
      <c r="Z94" s="1851"/>
      <c r="AA94" s="1852">
        <f>AA92/'Cost Summary'!$G$8</f>
        <v>7264.2847222222226</v>
      </c>
      <c r="AB94" s="1851"/>
      <c r="AC94" s="1852">
        <f>AC92/'Cost Summary'!$G$8</f>
        <v>8990.2777777777774</v>
      </c>
      <c r="AD94" s="1851"/>
      <c r="AE94" s="1852">
        <f>AE92/'Cost Summary'!$G$8</f>
        <v>7532.4074074074078</v>
      </c>
      <c r="AF94" s="1851"/>
      <c r="AG94" s="1852">
        <f>AG92/'Cost Summary'!$G$8</f>
        <v>7802.229166666667</v>
      </c>
      <c r="AH94" s="1851"/>
      <c r="AI94" s="1852">
        <f>AI92/'Cost Summary'!$G$8</f>
        <v>7968.5601851851852</v>
      </c>
      <c r="AJ94" s="1851"/>
      <c r="AK94" s="1852">
        <f>AK92/'Cost Summary'!$G$8</f>
        <v>7881.6388888888887</v>
      </c>
      <c r="AL94" s="1851"/>
      <c r="AM94" s="1852">
        <f>AM92/'Cost Summary'!$G$8</f>
        <v>9936.2245370370365</v>
      </c>
      <c r="AN94" s="1851"/>
      <c r="AO94" s="1852">
        <f>AO92/'Cost Summary'!$G$8</f>
        <v>12192.12962962963</v>
      </c>
      <c r="AP94" s="1851"/>
      <c r="AQ94" s="1852">
        <f>AQ92/'Cost Summary'!$G$8</f>
        <v>10040.805555555555</v>
      </c>
      <c r="AR94" s="1851"/>
      <c r="AS94" s="1852">
        <f>AS92/'Cost Summary'!$G$8</f>
        <v>12687.918981481482</v>
      </c>
      <c r="AT94" s="1851"/>
      <c r="AU94" s="1852">
        <f>AU92/'Cost Summary'!$G$8</f>
        <v>10905.787037037036</v>
      </c>
      <c r="AV94" s="1851"/>
      <c r="AW94" s="1852">
        <f>AW92/'Cost Summary'!$G$8</f>
        <v>0</v>
      </c>
      <c r="AX94" s="1851"/>
      <c r="AY94" s="1852">
        <f>AY92/'Cost Summary'!$G$8</f>
        <v>0</v>
      </c>
    </row>
    <row r="95" spans="1:51" ht="14.5" x14ac:dyDescent="0.35">
      <c r="A95" s="1838"/>
      <c r="B95" s="1839"/>
      <c r="C95" s="1840"/>
      <c r="D95" s="1840"/>
      <c r="E95" s="1841"/>
      <c r="F95" s="1842"/>
      <c r="G95" s="663"/>
      <c r="H95" s="1853"/>
      <c r="I95" s="1854"/>
      <c r="J95" s="1853"/>
      <c r="K95" s="1854"/>
      <c r="L95" s="1853"/>
      <c r="M95" s="1854"/>
      <c r="N95" s="1855"/>
      <c r="O95" s="1856"/>
      <c r="P95" s="1855"/>
      <c r="Q95" s="1855"/>
      <c r="R95" s="1855"/>
      <c r="S95" s="1855"/>
      <c r="T95" s="1855"/>
      <c r="U95" s="1855"/>
      <c r="V95" s="1853"/>
      <c r="W95" s="1854"/>
      <c r="X95" s="1853"/>
      <c r="Y95" s="1854"/>
      <c r="Z95" s="1853"/>
      <c r="AA95" s="1854"/>
      <c r="AB95" s="1853"/>
      <c r="AC95" s="1854"/>
      <c r="AD95" s="1853"/>
      <c r="AE95" s="1854"/>
      <c r="AF95" s="1855"/>
      <c r="AG95" s="1856"/>
      <c r="AH95" s="1855"/>
      <c r="AI95" s="1855"/>
      <c r="AJ95" s="1853"/>
      <c r="AK95" s="1854"/>
      <c r="AL95" s="1855"/>
      <c r="AM95" s="1855"/>
      <c r="AN95" s="1855"/>
      <c r="AO95" s="1855"/>
      <c r="AP95" s="1855"/>
      <c r="AQ95" s="1855"/>
      <c r="AR95" s="1855"/>
      <c r="AS95" s="1855"/>
      <c r="AT95" s="1853"/>
      <c r="AU95" s="1854"/>
      <c r="AV95" s="1855"/>
      <c r="AW95" s="1856"/>
      <c r="AX95" s="1855"/>
      <c r="AY95" s="1856"/>
    </row>
    <row r="96" spans="1:51" ht="14.5" x14ac:dyDescent="0.35">
      <c r="A96" s="3764" t="s">
        <v>721</v>
      </c>
      <c r="B96" s="3765"/>
      <c r="C96" s="12"/>
      <c r="D96" s="12"/>
      <c r="E96" s="12"/>
      <c r="F96" s="12"/>
      <c r="G96" s="13"/>
      <c r="H96" s="42"/>
      <c r="I96" s="21"/>
      <c r="J96" s="42"/>
      <c r="K96" s="21"/>
      <c r="L96" s="42"/>
      <c r="M96" s="21"/>
      <c r="N96" s="21"/>
      <c r="O96" s="21"/>
      <c r="P96" s="21"/>
      <c r="Q96" s="21"/>
      <c r="R96" s="21"/>
      <c r="S96" s="21"/>
      <c r="T96" s="21"/>
      <c r="U96" s="21"/>
      <c r="V96" s="42"/>
      <c r="W96" s="21"/>
      <c r="X96" s="42"/>
      <c r="Y96" s="21"/>
      <c r="Z96" s="42"/>
      <c r="AA96" s="21"/>
      <c r="AB96" s="42"/>
      <c r="AC96" s="21"/>
      <c r="AD96" s="42"/>
      <c r="AE96" s="21"/>
      <c r="AF96" s="21"/>
      <c r="AG96" s="21"/>
      <c r="AH96" s="21"/>
      <c r="AI96" s="21"/>
      <c r="AJ96" s="42"/>
      <c r="AK96" s="21"/>
      <c r="AL96" s="21"/>
      <c r="AM96" s="21"/>
      <c r="AN96" s="21"/>
      <c r="AO96" s="21"/>
      <c r="AP96" s="21"/>
      <c r="AQ96" s="21"/>
      <c r="AR96" s="21"/>
      <c r="AS96" s="21"/>
      <c r="AT96" s="42"/>
      <c r="AU96" s="21"/>
      <c r="AV96" s="21"/>
      <c r="AW96" s="21"/>
      <c r="AX96" s="21"/>
      <c r="AY96" s="21"/>
    </row>
    <row r="97" spans="1:51" ht="14.5" x14ac:dyDescent="0.35">
      <c r="A97" s="1857"/>
      <c r="B97" s="1422"/>
      <c r="C97" s="1833"/>
      <c r="D97" s="1833"/>
      <c r="E97" s="1833"/>
      <c r="F97" s="1833"/>
      <c r="G97" s="1858"/>
      <c r="H97" s="1859"/>
      <c r="I97" s="1860"/>
      <c r="J97" s="1859"/>
      <c r="K97" s="1860"/>
      <c r="L97" s="1859"/>
      <c r="M97" s="1860"/>
      <c r="N97" s="1860"/>
      <c r="O97" s="1860"/>
      <c r="P97" s="1860"/>
      <c r="Q97" s="1860"/>
      <c r="R97" s="1860"/>
      <c r="S97" s="1860"/>
      <c r="T97" s="1860"/>
      <c r="U97" s="1860"/>
      <c r="V97" s="1859"/>
      <c r="W97" s="1860"/>
      <c r="X97" s="1859"/>
      <c r="Y97" s="1860"/>
      <c r="Z97" s="1859"/>
      <c r="AA97" s="1860"/>
      <c r="AB97" s="1859"/>
      <c r="AC97" s="1860"/>
      <c r="AD97" s="1859"/>
      <c r="AE97" s="1860"/>
      <c r="AF97" s="1860"/>
      <c r="AG97" s="1860"/>
      <c r="AH97" s="1860"/>
      <c r="AI97" s="1860"/>
      <c r="AJ97" s="1859"/>
      <c r="AK97" s="1860"/>
      <c r="AL97" s="1860"/>
      <c r="AM97" s="1860"/>
      <c r="AN97" s="1860"/>
      <c r="AO97" s="1860"/>
      <c r="AP97" s="1860"/>
      <c r="AQ97" s="1860"/>
      <c r="AR97" s="1860"/>
      <c r="AS97" s="1860"/>
      <c r="AT97" s="1859"/>
      <c r="AU97" s="1860"/>
      <c r="AV97" s="1860"/>
      <c r="AW97" s="1860"/>
      <c r="AX97" s="1860"/>
      <c r="AY97" s="1860"/>
    </row>
    <row r="98" spans="1:51" ht="14.5" x14ac:dyDescent="0.35">
      <c r="A98" s="1857"/>
      <c r="B98" s="1422"/>
      <c r="C98" s="1833"/>
      <c r="D98" s="1833"/>
      <c r="E98" s="1833"/>
      <c r="F98" s="1833"/>
      <c r="G98" s="1858"/>
      <c r="H98" s="1859"/>
      <c r="I98" s="1860"/>
      <c r="J98" s="1859"/>
      <c r="K98" s="1860"/>
      <c r="L98" s="1859"/>
      <c r="M98" s="1860"/>
      <c r="N98" s="1860"/>
      <c r="O98" s="1860"/>
      <c r="P98" s="1860"/>
      <c r="Q98" s="1860"/>
      <c r="R98" s="1860"/>
      <c r="S98" s="1860"/>
      <c r="T98" s="1860"/>
      <c r="U98" s="1860"/>
      <c r="V98" s="1859"/>
      <c r="W98" s="1860"/>
      <c r="X98" s="1859"/>
      <c r="Y98" s="1860"/>
      <c r="Z98" s="1859"/>
      <c r="AA98" s="1860"/>
      <c r="AB98" s="1859"/>
      <c r="AC98" s="1860"/>
      <c r="AD98" s="1859"/>
      <c r="AE98" s="1860"/>
      <c r="AF98" s="1860"/>
      <c r="AG98" s="1860"/>
      <c r="AH98" s="1860"/>
      <c r="AI98" s="1860"/>
      <c r="AJ98" s="1859"/>
      <c r="AK98" s="1860"/>
      <c r="AL98" s="1860"/>
      <c r="AM98" s="1860"/>
      <c r="AN98" s="1860"/>
      <c r="AO98" s="1860"/>
      <c r="AP98" s="1860"/>
      <c r="AQ98" s="1860"/>
      <c r="AR98" s="1860"/>
      <c r="AS98" s="1860"/>
      <c r="AT98" s="1859"/>
      <c r="AU98" s="1860"/>
      <c r="AV98" s="1860"/>
      <c r="AW98" s="1860"/>
      <c r="AX98" s="1860"/>
      <c r="AY98" s="1860"/>
    </row>
    <row r="99" spans="1:51" ht="14.5" x14ac:dyDescent="0.35">
      <c r="A99" s="1857"/>
      <c r="B99" s="1422"/>
      <c r="C99" s="1833"/>
      <c r="D99" s="1833"/>
      <c r="E99" s="1833"/>
      <c r="F99" s="1833"/>
      <c r="G99" s="1858"/>
      <c r="H99" s="1859"/>
      <c r="I99" s="1860"/>
      <c r="J99" s="1859"/>
      <c r="K99" s="1860"/>
      <c r="L99" s="1859"/>
      <c r="M99" s="1860"/>
      <c r="N99" s="1860"/>
      <c r="O99" s="1860"/>
      <c r="P99" s="1860"/>
      <c r="Q99" s="1860"/>
      <c r="R99" s="1860"/>
      <c r="S99" s="1860"/>
      <c r="T99" s="1860"/>
      <c r="U99" s="1860"/>
      <c r="V99" s="1859"/>
      <c r="W99" s="1860"/>
      <c r="X99" s="1859"/>
      <c r="Y99" s="1860"/>
      <c r="Z99" s="1859"/>
      <c r="AA99" s="1860"/>
      <c r="AB99" s="1859"/>
      <c r="AC99" s="1860"/>
      <c r="AD99" s="1859"/>
      <c r="AE99" s="1860"/>
      <c r="AF99" s="1860"/>
      <c r="AG99" s="1860"/>
      <c r="AH99" s="1860"/>
      <c r="AI99" s="1860"/>
      <c r="AJ99" s="1859"/>
      <c r="AK99" s="1860"/>
      <c r="AL99" s="1860"/>
      <c r="AM99" s="1860"/>
      <c r="AN99" s="1860"/>
      <c r="AO99" s="1860"/>
      <c r="AP99" s="1860"/>
      <c r="AQ99" s="1860"/>
      <c r="AR99" s="1860"/>
      <c r="AS99" s="1860"/>
      <c r="AT99" s="1859"/>
      <c r="AU99" s="1860"/>
      <c r="AV99" s="1860"/>
      <c r="AW99" s="1860"/>
      <c r="AX99" s="1860"/>
      <c r="AY99" s="1860"/>
    </row>
    <row r="100" spans="1:51" s="2" customFormat="1" ht="14.5" x14ac:dyDescent="0.35">
      <c r="A100" s="3764" t="s">
        <v>722</v>
      </c>
      <c r="B100" s="3765"/>
      <c r="C100" s="12"/>
      <c r="D100" s="12"/>
      <c r="E100" s="12"/>
      <c r="F100" s="12"/>
      <c r="G100" s="13"/>
      <c r="H100" s="42"/>
      <c r="I100" s="21"/>
      <c r="J100" s="42"/>
      <c r="K100" s="21"/>
      <c r="L100" s="42"/>
      <c r="M100" s="21"/>
      <c r="N100" s="21"/>
      <c r="O100" s="21"/>
      <c r="P100" s="21"/>
      <c r="Q100" s="21"/>
      <c r="R100" s="21"/>
      <c r="S100" s="21"/>
      <c r="T100" s="21"/>
      <c r="U100" s="21"/>
      <c r="V100" s="42"/>
      <c r="W100" s="21"/>
      <c r="X100" s="42"/>
      <c r="Y100" s="21"/>
      <c r="Z100" s="42"/>
      <c r="AA100" s="21"/>
      <c r="AB100" s="42"/>
      <c r="AC100" s="21"/>
      <c r="AD100" s="42"/>
      <c r="AE100" s="21"/>
      <c r="AF100" s="21"/>
      <c r="AG100" s="21"/>
      <c r="AH100" s="21"/>
      <c r="AI100" s="21"/>
      <c r="AJ100" s="42"/>
      <c r="AK100" s="21"/>
      <c r="AL100" s="21"/>
      <c r="AM100" s="21"/>
      <c r="AN100" s="21"/>
      <c r="AO100" s="21"/>
      <c r="AP100" s="21"/>
      <c r="AQ100" s="21"/>
      <c r="AR100" s="21"/>
      <c r="AS100" s="21"/>
      <c r="AT100" s="42"/>
      <c r="AU100" s="21"/>
      <c r="AV100" s="21"/>
      <c r="AW100" s="21"/>
      <c r="AX100" s="21"/>
      <c r="AY100" s="21"/>
    </row>
    <row r="101" spans="1:51" s="2" customFormat="1" ht="14.5" x14ac:dyDescent="0.35">
      <c r="A101" s="1857"/>
      <c r="B101" s="1422"/>
      <c r="C101" s="1833"/>
      <c r="D101" s="1833"/>
      <c r="E101" s="1833"/>
      <c r="F101" s="1833"/>
      <c r="G101" s="1858"/>
      <c r="H101" s="1859"/>
      <c r="I101" s="1860"/>
      <c r="J101" s="1859"/>
      <c r="K101" s="1860"/>
      <c r="L101" s="1859"/>
      <c r="M101" s="1860"/>
      <c r="N101" s="1860"/>
      <c r="O101" s="1860"/>
      <c r="P101" s="1860"/>
      <c r="Q101" s="1860"/>
      <c r="R101" s="1860"/>
      <c r="S101" s="1860"/>
      <c r="T101" s="1860"/>
      <c r="U101" s="1860"/>
      <c r="V101" s="1859"/>
      <c r="W101" s="1860"/>
      <c r="X101" s="1859"/>
      <c r="Y101" s="1860"/>
      <c r="Z101" s="1859"/>
      <c r="AA101" s="1860"/>
      <c r="AB101" s="1859"/>
      <c r="AC101" s="1860"/>
      <c r="AD101" s="1859"/>
      <c r="AE101" s="1860"/>
      <c r="AF101" s="1860"/>
      <c r="AG101" s="1860"/>
      <c r="AH101" s="1860"/>
      <c r="AI101" s="1860"/>
      <c r="AJ101" s="1859"/>
      <c r="AK101" s="1860"/>
      <c r="AL101" s="1860"/>
      <c r="AM101" s="1860"/>
      <c r="AN101" s="1860"/>
      <c r="AO101" s="1860"/>
      <c r="AP101" s="1860"/>
      <c r="AQ101" s="1860"/>
      <c r="AR101" s="1860"/>
      <c r="AS101" s="1860"/>
      <c r="AT101" s="1859"/>
      <c r="AU101" s="1860"/>
      <c r="AV101" s="1860"/>
      <c r="AW101" s="1860"/>
      <c r="AX101" s="1860"/>
      <c r="AY101" s="1860"/>
    </row>
    <row r="102" spans="1:51" s="2" customFormat="1" ht="14.5" x14ac:dyDescent="0.35">
      <c r="A102" s="1857"/>
      <c r="B102" s="1422"/>
      <c r="C102" s="1833"/>
      <c r="D102" s="1833"/>
      <c r="E102" s="1833"/>
      <c r="F102" s="1833"/>
      <c r="G102" s="1858"/>
      <c r="H102" s="1859"/>
      <c r="I102" s="1860"/>
      <c r="J102" s="1859"/>
      <c r="K102" s="1860"/>
      <c r="L102" s="1859"/>
      <c r="M102" s="1860"/>
      <c r="N102" s="1860"/>
      <c r="O102" s="1860"/>
      <c r="P102" s="1860"/>
      <c r="Q102" s="1860"/>
      <c r="R102" s="1860"/>
      <c r="S102" s="1860"/>
      <c r="T102" s="1860"/>
      <c r="U102" s="1860"/>
      <c r="V102" s="1859"/>
      <c r="W102" s="1860"/>
      <c r="X102" s="1859"/>
      <c r="Y102" s="1860"/>
      <c r="Z102" s="1859"/>
      <c r="AA102" s="1860"/>
      <c r="AB102" s="1859"/>
      <c r="AC102" s="1860"/>
      <c r="AD102" s="1859"/>
      <c r="AE102" s="1860"/>
      <c r="AF102" s="1860"/>
      <c r="AG102" s="1860"/>
      <c r="AH102" s="1860"/>
      <c r="AI102" s="1860"/>
      <c r="AJ102" s="1859"/>
      <c r="AK102" s="1860"/>
      <c r="AL102" s="1860"/>
      <c r="AM102" s="1860"/>
      <c r="AN102" s="1860"/>
      <c r="AO102" s="1860"/>
      <c r="AP102" s="1860"/>
      <c r="AQ102" s="1860"/>
      <c r="AR102" s="1860"/>
      <c r="AS102" s="1860"/>
      <c r="AT102" s="1859"/>
      <c r="AU102" s="1860"/>
      <c r="AV102" s="1860"/>
      <c r="AW102" s="1860"/>
      <c r="AX102" s="1860"/>
      <c r="AY102" s="1860"/>
    </row>
    <row r="103" spans="1:51" ht="14.5" x14ac:dyDescent="0.35">
      <c r="A103" s="1857"/>
      <c r="B103" s="1422"/>
      <c r="C103" s="1833"/>
      <c r="D103" s="1833"/>
      <c r="E103" s="1833"/>
      <c r="F103" s="1833"/>
      <c r="G103" s="1858"/>
      <c r="H103" s="1859"/>
      <c r="I103" s="1860"/>
      <c r="J103" s="1859"/>
      <c r="K103" s="1860"/>
      <c r="L103" s="1859"/>
      <c r="M103" s="1860"/>
      <c r="N103" s="1860"/>
      <c r="O103" s="1860"/>
      <c r="P103" s="1860"/>
      <c r="Q103" s="1860"/>
      <c r="R103" s="1860"/>
      <c r="S103" s="1860"/>
      <c r="T103" s="1860"/>
      <c r="U103" s="1860"/>
      <c r="V103" s="1859"/>
      <c r="W103" s="1860"/>
      <c r="X103" s="1859"/>
      <c r="Y103" s="1860"/>
      <c r="Z103" s="1859"/>
      <c r="AA103" s="1860"/>
      <c r="AB103" s="1859"/>
      <c r="AC103" s="1860"/>
      <c r="AD103" s="1859"/>
      <c r="AE103" s="1860"/>
      <c r="AF103" s="1860"/>
      <c r="AG103" s="1860"/>
      <c r="AH103" s="1860"/>
      <c r="AI103" s="1860"/>
      <c r="AJ103" s="1859"/>
      <c r="AK103" s="1860"/>
      <c r="AL103" s="1860"/>
      <c r="AM103" s="1860"/>
      <c r="AN103" s="1860"/>
      <c r="AO103" s="1860"/>
      <c r="AP103" s="1860"/>
      <c r="AQ103" s="1860"/>
      <c r="AR103" s="1860"/>
      <c r="AS103" s="1860"/>
      <c r="AT103" s="1859"/>
      <c r="AU103" s="1860"/>
      <c r="AV103" s="1860"/>
      <c r="AW103" s="1860"/>
      <c r="AX103" s="1860"/>
      <c r="AY103" s="1860"/>
    </row>
    <row r="104" spans="1:51" s="2" customFormat="1" ht="14.5" x14ac:dyDescent="0.35">
      <c r="A104" s="3764" t="s">
        <v>723</v>
      </c>
      <c r="B104" s="3765"/>
      <c r="C104" s="12"/>
      <c r="D104" s="12"/>
      <c r="E104" s="12"/>
      <c r="F104" s="12"/>
      <c r="G104" s="13"/>
      <c r="H104" s="42"/>
      <c r="I104" s="21"/>
      <c r="J104" s="42"/>
      <c r="K104" s="21"/>
      <c r="L104" s="42"/>
      <c r="M104" s="21"/>
      <c r="N104" s="21"/>
      <c r="O104" s="21"/>
      <c r="P104" s="21"/>
      <c r="Q104" s="21"/>
      <c r="R104" s="21"/>
      <c r="S104" s="21"/>
      <c r="T104" s="21"/>
      <c r="U104" s="21"/>
      <c r="V104" s="42"/>
      <c r="W104" s="21"/>
      <c r="X104" s="42"/>
      <c r="Y104" s="21"/>
      <c r="Z104" s="42"/>
      <c r="AA104" s="21"/>
      <c r="AB104" s="42"/>
      <c r="AC104" s="21"/>
      <c r="AD104" s="42"/>
      <c r="AE104" s="21"/>
      <c r="AF104" s="21"/>
      <c r="AG104" s="21"/>
      <c r="AH104" s="21"/>
      <c r="AI104" s="21"/>
      <c r="AJ104" s="42"/>
      <c r="AK104" s="21"/>
      <c r="AL104" s="21"/>
      <c r="AM104" s="21"/>
      <c r="AN104" s="21"/>
      <c r="AO104" s="21"/>
      <c r="AP104" s="21"/>
      <c r="AQ104" s="21"/>
      <c r="AR104" s="21"/>
      <c r="AS104" s="21"/>
      <c r="AT104" s="42"/>
      <c r="AU104" s="21"/>
      <c r="AV104" s="21"/>
      <c r="AW104" s="21"/>
      <c r="AX104" s="21"/>
      <c r="AY104" s="21"/>
    </row>
    <row r="105" spans="1:51" s="2" customFormat="1" ht="14.5" x14ac:dyDescent="0.35">
      <c r="A105" s="1857"/>
      <c r="B105" s="1422" t="s">
        <v>2309</v>
      </c>
      <c r="C105" s="1833"/>
      <c r="D105" s="1833"/>
      <c r="E105" s="1833"/>
      <c r="F105" s="1833"/>
      <c r="G105" s="1858"/>
      <c r="H105" s="1859"/>
      <c r="I105" s="1860"/>
      <c r="J105" s="1859"/>
      <c r="K105" s="1860"/>
      <c r="L105" s="1859"/>
      <c r="M105" s="1860"/>
      <c r="N105" s="1860"/>
      <c r="O105" s="1860"/>
      <c r="P105" s="1860"/>
      <c r="Q105" s="1860"/>
      <c r="R105" s="1860"/>
      <c r="S105" s="1860"/>
      <c r="T105" s="1860"/>
      <c r="U105" s="1860"/>
      <c r="V105" s="1859"/>
      <c r="W105" s="1860"/>
      <c r="X105" s="1859"/>
      <c r="Y105" s="1860"/>
      <c r="Z105" s="1859"/>
      <c r="AA105" s="1860"/>
      <c r="AB105" s="1859"/>
      <c r="AC105" s="1860"/>
      <c r="AD105" s="1859"/>
      <c r="AE105" s="1860"/>
      <c r="AF105" s="1860"/>
      <c r="AG105" s="1860"/>
      <c r="AH105" s="1860"/>
      <c r="AI105" s="1860">
        <f>410325-AI48-AI55-AI62-AI69</f>
        <v>410325</v>
      </c>
      <c r="AJ105" s="1859"/>
      <c r="AK105" s="1860"/>
      <c r="AL105" s="1860"/>
      <c r="AM105" s="1860"/>
      <c r="AN105" s="1860"/>
      <c r="AO105" s="1860"/>
      <c r="AP105" s="1860"/>
      <c r="AQ105" s="1860">
        <f>410325-AQ48-AQ55-AQ62-AQ69</f>
        <v>-70886</v>
      </c>
      <c r="AR105" s="1860"/>
      <c r="AS105" s="1860">
        <f>410325-AS48-AS55-AS62-AS69</f>
        <v>-80885</v>
      </c>
      <c r="AT105" s="1859"/>
      <c r="AU105" s="1860"/>
      <c r="AV105" s="1860"/>
      <c r="AW105" s="1860"/>
      <c r="AX105" s="1860"/>
      <c r="AY105" s="1860"/>
    </row>
    <row r="106" spans="1:51" s="2" customFormat="1" ht="14.5" x14ac:dyDescent="0.35">
      <c r="A106" s="1426"/>
      <c r="B106" s="1422" t="s">
        <v>2310</v>
      </c>
      <c r="C106" s="1423"/>
      <c r="D106" s="1423"/>
      <c r="E106" s="1423"/>
      <c r="F106" s="1423"/>
      <c r="G106" s="646"/>
      <c r="H106" s="664"/>
      <c r="I106" s="1861">
        <v>140000</v>
      </c>
      <c r="J106" s="664"/>
      <c r="K106" s="1861">
        <v>140000</v>
      </c>
      <c r="L106" s="664"/>
      <c r="M106" s="1861">
        <v>140000</v>
      </c>
      <c r="N106" s="1861"/>
      <c r="O106" s="1861"/>
      <c r="P106" s="1861"/>
      <c r="Q106" s="1861">
        <v>146489</v>
      </c>
      <c r="R106" s="1861"/>
      <c r="S106" s="1861">
        <v>146489</v>
      </c>
      <c r="T106" s="1861"/>
      <c r="U106" s="1861">
        <v>146489</v>
      </c>
      <c r="V106" s="664"/>
      <c r="W106" s="1861"/>
      <c r="X106" s="664"/>
      <c r="Y106" s="1861"/>
      <c r="Z106" s="664"/>
      <c r="AA106" s="1861"/>
      <c r="AB106" s="664"/>
      <c r="AC106" s="1861"/>
      <c r="AD106" s="664"/>
      <c r="AE106" s="1861"/>
      <c r="AF106" s="1861"/>
      <c r="AG106" s="1861"/>
      <c r="AH106" s="1861"/>
      <c r="AI106" s="1861">
        <v>212416</v>
      </c>
      <c r="AJ106" s="664"/>
      <c r="AK106" s="1861"/>
      <c r="AL106" s="1861"/>
      <c r="AM106" s="1861">
        <v>146489</v>
      </c>
      <c r="AN106" s="1861"/>
      <c r="AO106" s="1861"/>
      <c r="AP106" s="1861"/>
      <c r="AQ106" s="1861"/>
      <c r="AR106" s="1861"/>
      <c r="AS106" s="1861"/>
      <c r="AT106" s="664"/>
      <c r="AU106" s="1861"/>
      <c r="AV106" s="1861"/>
      <c r="AW106" s="1861"/>
      <c r="AX106" s="1861"/>
      <c r="AY106" s="1861"/>
    </row>
    <row r="107" spans="1:51" s="2" customFormat="1" ht="14.5" x14ac:dyDescent="0.35">
      <c r="A107" s="1862"/>
      <c r="B107" s="1863"/>
      <c r="C107" s="1423"/>
      <c r="D107" s="1423"/>
      <c r="E107" s="1423"/>
      <c r="F107" s="1423"/>
      <c r="G107" s="646"/>
      <c r="H107" s="666"/>
      <c r="I107" s="1864"/>
      <c r="J107" s="666"/>
      <c r="K107" s="1864"/>
      <c r="L107" s="666"/>
      <c r="M107" s="1864"/>
      <c r="N107" s="1864"/>
      <c r="O107" s="1864"/>
      <c r="P107" s="1864"/>
      <c r="Q107" s="1864"/>
      <c r="R107" s="1864"/>
      <c r="S107" s="1864"/>
      <c r="T107" s="1864"/>
      <c r="U107" s="1864"/>
      <c r="V107" s="666"/>
      <c r="W107" s="1864"/>
      <c r="X107" s="666"/>
      <c r="Y107" s="1864"/>
      <c r="Z107" s="666"/>
      <c r="AA107" s="1864"/>
      <c r="AB107" s="666"/>
      <c r="AC107" s="1864"/>
      <c r="AD107" s="666"/>
      <c r="AE107" s="1864"/>
      <c r="AF107" s="1864"/>
      <c r="AG107" s="1864"/>
      <c r="AH107" s="1864"/>
      <c r="AI107" s="1864"/>
      <c r="AJ107" s="666"/>
      <c r="AK107" s="1864"/>
      <c r="AL107" s="1864"/>
      <c r="AM107" s="1864"/>
      <c r="AN107" s="1864"/>
      <c r="AO107" s="1864"/>
      <c r="AP107" s="1864"/>
      <c r="AQ107" s="1864"/>
      <c r="AR107" s="1864"/>
      <c r="AS107" s="1864"/>
      <c r="AT107" s="666"/>
      <c r="AU107" s="1864"/>
      <c r="AV107" s="1864"/>
      <c r="AW107" s="1864"/>
      <c r="AX107" s="1864"/>
      <c r="AY107" s="1864"/>
    </row>
    <row r="108" spans="1:51" s="2" customFormat="1" ht="14.5" x14ac:dyDescent="0.35">
      <c r="A108" s="3764" t="s">
        <v>724</v>
      </c>
      <c r="B108" s="3765"/>
      <c r="C108" s="12"/>
      <c r="D108" s="12"/>
      <c r="E108" s="12"/>
      <c r="F108" s="12"/>
      <c r="G108" s="13"/>
      <c r="H108" s="42"/>
      <c r="I108" s="21"/>
      <c r="J108" s="42"/>
      <c r="K108" s="21"/>
      <c r="L108" s="42"/>
      <c r="M108" s="21"/>
      <c r="N108" s="21"/>
      <c r="O108" s="21"/>
      <c r="P108" s="21"/>
      <c r="Q108" s="21"/>
      <c r="R108" s="21"/>
      <c r="S108" s="21"/>
      <c r="T108" s="21"/>
      <c r="U108" s="21"/>
      <c r="V108" s="42"/>
      <c r="W108" s="21"/>
      <c r="X108" s="42"/>
      <c r="Y108" s="21"/>
      <c r="Z108" s="42"/>
      <c r="AA108" s="21"/>
      <c r="AB108" s="42"/>
      <c r="AC108" s="21"/>
      <c r="AD108" s="42"/>
      <c r="AE108" s="21"/>
      <c r="AF108" s="21"/>
      <c r="AG108" s="21"/>
      <c r="AH108" s="21"/>
      <c r="AI108" s="21"/>
      <c r="AJ108" s="42"/>
      <c r="AK108" s="21"/>
      <c r="AL108" s="21"/>
      <c r="AM108" s="21"/>
      <c r="AN108" s="21"/>
      <c r="AO108" s="21"/>
      <c r="AP108" s="21"/>
      <c r="AQ108" s="21"/>
      <c r="AR108" s="21"/>
      <c r="AS108" s="21"/>
      <c r="AT108" s="42"/>
      <c r="AU108" s="21"/>
      <c r="AV108" s="21"/>
      <c r="AW108" s="21"/>
      <c r="AX108" s="21"/>
      <c r="AY108" s="21"/>
    </row>
    <row r="109" spans="1:51" ht="14.5" x14ac:dyDescent="0.35">
      <c r="A109" s="1865"/>
      <c r="B109" s="1866"/>
      <c r="C109" s="1833"/>
      <c r="D109" s="1833"/>
      <c r="E109" s="1833"/>
      <c r="F109" s="1833"/>
      <c r="G109" s="1858"/>
      <c r="H109" s="1859"/>
      <c r="I109" s="1860"/>
      <c r="J109" s="1859"/>
      <c r="K109" s="1860"/>
      <c r="L109" s="1859"/>
      <c r="M109" s="1860"/>
      <c r="N109" s="1860"/>
      <c r="O109" s="1860"/>
      <c r="P109" s="1860"/>
      <c r="Q109" s="1860"/>
      <c r="R109" s="1860"/>
      <c r="S109" s="1860"/>
      <c r="T109" s="1860"/>
      <c r="U109" s="1860"/>
      <c r="V109" s="1859"/>
      <c r="W109" s="1860"/>
      <c r="X109" s="1859"/>
      <c r="Y109" s="1860"/>
      <c r="Z109" s="1859"/>
      <c r="AA109" s="1860"/>
      <c r="AB109" s="1859"/>
      <c r="AC109" s="1860"/>
      <c r="AD109" s="1859"/>
      <c r="AE109" s="1860"/>
      <c r="AF109" s="1860"/>
      <c r="AG109" s="1860"/>
      <c r="AH109" s="1860"/>
      <c r="AI109" s="1860"/>
      <c r="AJ109" s="1859"/>
      <c r="AK109" s="1860"/>
      <c r="AL109" s="1860"/>
      <c r="AM109" s="1860"/>
      <c r="AN109" s="1860"/>
      <c r="AO109" s="1860"/>
      <c r="AP109" s="1860"/>
      <c r="AQ109" s="1860"/>
      <c r="AR109" s="1860"/>
      <c r="AS109" s="1860"/>
      <c r="AT109" s="1859"/>
      <c r="AU109" s="1860"/>
      <c r="AV109" s="1860"/>
      <c r="AW109" s="1860"/>
      <c r="AX109" s="1860"/>
      <c r="AY109" s="1860"/>
    </row>
    <row r="110" spans="1:51" ht="14.5" x14ac:dyDescent="0.35">
      <c r="A110" s="1862"/>
      <c r="B110" s="1863"/>
      <c r="C110" s="1423"/>
      <c r="D110" s="1423"/>
      <c r="E110" s="1423"/>
      <c r="F110" s="1423"/>
      <c r="G110" s="646"/>
      <c r="H110" s="667"/>
      <c r="I110" s="1867"/>
      <c r="J110" s="667"/>
      <c r="K110" s="1867"/>
      <c r="L110" s="667"/>
      <c r="M110" s="1867"/>
      <c r="N110" s="1867"/>
      <c r="O110" s="1867"/>
      <c r="P110" s="1867"/>
      <c r="Q110" s="1867"/>
      <c r="R110" s="1867"/>
      <c r="S110" s="1867"/>
      <c r="T110" s="1867"/>
      <c r="U110" s="1867"/>
      <c r="V110" s="667"/>
      <c r="W110" s="1867"/>
      <c r="X110" s="667"/>
      <c r="Y110" s="1867"/>
      <c r="Z110" s="667"/>
      <c r="AA110" s="1867"/>
      <c r="AB110" s="667"/>
      <c r="AC110" s="1867"/>
      <c r="AD110" s="667"/>
      <c r="AE110" s="1867"/>
      <c r="AF110" s="1867"/>
      <c r="AG110" s="1867"/>
      <c r="AH110" s="1867"/>
      <c r="AI110" s="1867"/>
      <c r="AJ110" s="667"/>
      <c r="AK110" s="1867"/>
      <c r="AL110" s="1867"/>
      <c r="AM110" s="1867"/>
      <c r="AN110" s="1867"/>
      <c r="AO110" s="1867"/>
      <c r="AP110" s="1867"/>
      <c r="AQ110" s="1867"/>
      <c r="AR110" s="1867"/>
      <c r="AS110" s="1867"/>
      <c r="AT110" s="667"/>
      <c r="AU110" s="1867"/>
      <c r="AV110" s="1867"/>
      <c r="AW110" s="1867"/>
      <c r="AX110" s="1867"/>
      <c r="AY110" s="1867"/>
    </row>
    <row r="111" spans="1:51" ht="14.5" x14ac:dyDescent="0.35">
      <c r="A111" s="1862"/>
      <c r="B111" s="1863"/>
      <c r="C111" s="1423"/>
      <c r="D111" s="1423"/>
      <c r="E111" s="1423"/>
      <c r="F111" s="1423"/>
      <c r="G111" s="646"/>
      <c r="H111" s="667"/>
      <c r="I111" s="1867"/>
      <c r="J111" s="667"/>
      <c r="K111" s="1867"/>
      <c r="L111" s="667"/>
      <c r="M111" s="1867"/>
      <c r="N111" s="1867"/>
      <c r="O111" s="1867"/>
      <c r="P111" s="1867"/>
      <c r="Q111" s="1867"/>
      <c r="R111" s="1867"/>
      <c r="S111" s="1867"/>
      <c r="T111" s="1867"/>
      <c r="U111" s="1867"/>
      <c r="V111" s="667"/>
      <c r="W111" s="1867"/>
      <c r="X111" s="667"/>
      <c r="Y111" s="1867"/>
      <c r="Z111" s="667"/>
      <c r="AA111" s="1867"/>
      <c r="AB111" s="667"/>
      <c r="AC111" s="1867"/>
      <c r="AD111" s="667"/>
      <c r="AE111" s="1867"/>
      <c r="AF111" s="1867"/>
      <c r="AG111" s="1867"/>
      <c r="AH111" s="1867"/>
      <c r="AI111" s="1867"/>
      <c r="AJ111" s="667"/>
      <c r="AK111" s="1867"/>
      <c r="AL111" s="1867"/>
      <c r="AM111" s="1867"/>
      <c r="AN111" s="1867"/>
      <c r="AO111" s="1867"/>
      <c r="AP111" s="1867"/>
      <c r="AQ111" s="1867"/>
      <c r="AR111" s="1867"/>
      <c r="AS111" s="1867"/>
      <c r="AT111" s="667"/>
      <c r="AU111" s="1867"/>
      <c r="AV111" s="1867"/>
      <c r="AW111" s="1867"/>
      <c r="AX111" s="1867"/>
      <c r="AY111" s="1867"/>
    </row>
    <row r="112" spans="1:51" ht="14.5" x14ac:dyDescent="0.35">
      <c r="A112" s="3764" t="s">
        <v>725</v>
      </c>
      <c r="B112" s="3765"/>
      <c r="C112" s="12"/>
      <c r="D112" s="12"/>
      <c r="E112" s="12"/>
      <c r="F112" s="12"/>
      <c r="G112" s="13"/>
      <c r="H112" s="42"/>
      <c r="I112" s="21"/>
      <c r="J112" s="42"/>
      <c r="K112" s="21"/>
      <c r="L112" s="42"/>
      <c r="M112" s="21"/>
      <c r="N112" s="21"/>
      <c r="O112" s="21"/>
      <c r="P112" s="21"/>
      <c r="Q112" s="21"/>
      <c r="R112" s="21"/>
      <c r="S112" s="21"/>
      <c r="T112" s="21"/>
      <c r="U112" s="21"/>
      <c r="V112" s="42"/>
      <c r="W112" s="21"/>
      <c r="X112" s="42"/>
      <c r="Y112" s="21"/>
      <c r="Z112" s="42"/>
      <c r="AA112" s="21"/>
      <c r="AB112" s="42"/>
      <c r="AC112" s="21"/>
      <c r="AD112" s="42"/>
      <c r="AE112" s="21"/>
      <c r="AF112" s="21"/>
      <c r="AG112" s="21"/>
      <c r="AH112" s="21"/>
      <c r="AI112" s="21"/>
      <c r="AJ112" s="42"/>
      <c r="AK112" s="21"/>
      <c r="AL112" s="21"/>
      <c r="AM112" s="21"/>
      <c r="AN112" s="21"/>
      <c r="AO112" s="21"/>
      <c r="AP112" s="21"/>
      <c r="AQ112" s="21"/>
      <c r="AR112" s="21"/>
      <c r="AS112" s="21"/>
      <c r="AT112" s="42"/>
      <c r="AU112" s="21"/>
      <c r="AV112" s="21"/>
      <c r="AW112" s="21"/>
      <c r="AX112" s="21"/>
      <c r="AY112" s="21"/>
    </row>
    <row r="113" spans="1:51" ht="14.5" x14ac:dyDescent="0.35">
      <c r="A113" s="1426"/>
      <c r="B113" s="1422" t="s">
        <v>726</v>
      </c>
      <c r="C113" s="1423"/>
      <c r="D113" s="1423"/>
      <c r="E113" s="1423"/>
      <c r="F113" s="1423"/>
      <c r="G113" s="646"/>
      <c r="H113" s="667"/>
      <c r="I113" s="1867"/>
      <c r="J113" s="667"/>
      <c r="K113" s="1867"/>
      <c r="L113" s="667"/>
      <c r="M113" s="1867"/>
      <c r="N113" s="1867"/>
      <c r="O113" s="1867"/>
      <c r="P113" s="1867"/>
      <c r="Q113" s="1867"/>
      <c r="R113" s="1867"/>
      <c r="S113" s="1867"/>
      <c r="T113" s="1867"/>
      <c r="U113" s="1867"/>
      <c r="V113" s="667"/>
      <c r="W113" s="1867"/>
      <c r="X113" s="667"/>
      <c r="Y113" s="1867"/>
      <c r="Z113" s="667"/>
      <c r="AA113" s="1867"/>
      <c r="AB113" s="667"/>
      <c r="AC113" s="1867"/>
      <c r="AD113" s="667"/>
      <c r="AE113" s="1867"/>
      <c r="AF113" s="1867"/>
      <c r="AG113" s="1867"/>
      <c r="AH113" s="1867"/>
      <c r="AI113" s="1867"/>
      <c r="AJ113" s="667"/>
      <c r="AK113" s="1867"/>
      <c r="AL113" s="1867"/>
      <c r="AM113" s="1867"/>
      <c r="AN113" s="1867"/>
      <c r="AO113" s="1867"/>
      <c r="AP113" s="1867"/>
      <c r="AQ113" s="1867"/>
      <c r="AR113" s="1867"/>
      <c r="AS113" s="1867"/>
      <c r="AT113" s="667"/>
      <c r="AU113" s="1867"/>
      <c r="AV113" s="1867"/>
      <c r="AW113" s="1867"/>
      <c r="AX113" s="1867"/>
      <c r="AY113" s="1867"/>
    </row>
    <row r="114" spans="1:51" ht="14.5" x14ac:dyDescent="0.35">
      <c r="A114" s="1426"/>
      <c r="B114" s="1422" t="s">
        <v>727</v>
      </c>
      <c r="C114" s="1423"/>
      <c r="D114" s="1423"/>
      <c r="E114" s="1423"/>
      <c r="F114" s="1423"/>
      <c r="G114" s="646"/>
      <c r="H114" s="667"/>
      <c r="I114" s="1867"/>
      <c r="J114" s="667"/>
      <c r="K114" s="1867"/>
      <c r="L114" s="667"/>
      <c r="M114" s="1867"/>
      <c r="N114" s="1867"/>
      <c r="O114" s="1867"/>
      <c r="P114" s="1867"/>
      <c r="Q114" s="1867"/>
      <c r="R114" s="1867"/>
      <c r="S114" s="1867"/>
      <c r="T114" s="1867"/>
      <c r="U114" s="1867"/>
      <c r="V114" s="667"/>
      <c r="W114" s="1867"/>
      <c r="X114" s="667"/>
      <c r="Y114" s="1867"/>
      <c r="Z114" s="667"/>
      <c r="AA114" s="1867"/>
      <c r="AB114" s="667"/>
      <c r="AC114" s="1867"/>
      <c r="AD114" s="667"/>
      <c r="AE114" s="1867"/>
      <c r="AF114" s="1867"/>
      <c r="AG114" s="1867"/>
      <c r="AH114" s="1867"/>
      <c r="AI114" s="1867"/>
      <c r="AJ114" s="667"/>
      <c r="AK114" s="1867"/>
      <c r="AL114" s="1867"/>
      <c r="AM114" s="1867"/>
      <c r="AN114" s="1867"/>
      <c r="AO114" s="1867"/>
      <c r="AP114" s="1867"/>
      <c r="AQ114" s="1867"/>
      <c r="AR114" s="1867"/>
      <c r="AS114" s="1867"/>
      <c r="AT114" s="667"/>
      <c r="AU114" s="1867"/>
      <c r="AV114" s="1867"/>
      <c r="AW114" s="1867"/>
      <c r="AX114" s="1867"/>
      <c r="AY114" s="1867"/>
    </row>
    <row r="115" spans="1:51" ht="14.5" x14ac:dyDescent="0.35">
      <c r="A115" s="1426"/>
      <c r="B115" s="1422" t="s">
        <v>728</v>
      </c>
      <c r="C115" s="1423"/>
      <c r="D115" s="1423"/>
      <c r="E115" s="1423"/>
      <c r="F115" s="1423"/>
      <c r="G115" s="646"/>
      <c r="H115" s="667"/>
      <c r="I115" s="1867"/>
      <c r="J115" s="667"/>
      <c r="K115" s="1867"/>
      <c r="L115" s="667"/>
      <c r="M115" s="1867"/>
      <c r="N115" s="1867"/>
      <c r="O115" s="1867"/>
      <c r="P115" s="1867"/>
      <c r="Q115" s="1867"/>
      <c r="R115" s="1867"/>
      <c r="S115" s="1867"/>
      <c r="T115" s="1867"/>
      <c r="U115" s="1867"/>
      <c r="V115" s="667"/>
      <c r="W115" s="1867"/>
      <c r="X115" s="667"/>
      <c r="Y115" s="1867"/>
      <c r="Z115" s="667"/>
      <c r="AA115" s="1867"/>
      <c r="AB115" s="667"/>
      <c r="AC115" s="1867"/>
      <c r="AD115" s="667"/>
      <c r="AE115" s="1867"/>
      <c r="AF115" s="1867"/>
      <c r="AG115" s="1867"/>
      <c r="AH115" s="1867"/>
      <c r="AI115" s="1867"/>
      <c r="AJ115" s="667"/>
      <c r="AK115" s="1867"/>
      <c r="AL115" s="1867"/>
      <c r="AM115" s="1867"/>
      <c r="AN115" s="1867"/>
      <c r="AO115" s="1867"/>
      <c r="AP115" s="1867"/>
      <c r="AQ115" s="1867"/>
      <c r="AR115" s="1867"/>
      <c r="AS115" s="1867"/>
      <c r="AT115" s="667"/>
      <c r="AU115" s="1867"/>
      <c r="AV115" s="1867"/>
      <c r="AW115" s="1867"/>
      <c r="AX115" s="1867"/>
      <c r="AY115" s="1867"/>
    </row>
    <row r="116" spans="1:51" ht="14.5" x14ac:dyDescent="0.35">
      <c r="A116" s="1426"/>
      <c r="B116" s="1422" t="s">
        <v>729</v>
      </c>
      <c r="C116" s="1423"/>
      <c r="D116" s="1423"/>
      <c r="E116" s="1423"/>
      <c r="F116" s="1423"/>
      <c r="G116" s="646"/>
      <c r="H116" s="667"/>
      <c r="I116" s="1867"/>
      <c r="J116" s="667"/>
      <c r="K116" s="1867"/>
      <c r="L116" s="667"/>
      <c r="M116" s="1867"/>
      <c r="N116" s="1867"/>
      <c r="O116" s="1867"/>
      <c r="P116" s="1867"/>
      <c r="Q116" s="1867"/>
      <c r="R116" s="1867"/>
      <c r="S116" s="1867"/>
      <c r="T116" s="1867"/>
      <c r="U116" s="1867"/>
      <c r="V116" s="667"/>
      <c r="W116" s="1867"/>
      <c r="X116" s="667"/>
      <c r="Y116" s="1867"/>
      <c r="Z116" s="667"/>
      <c r="AA116" s="1867"/>
      <c r="AB116" s="667"/>
      <c r="AC116" s="1867"/>
      <c r="AD116" s="667"/>
      <c r="AE116" s="1867"/>
      <c r="AF116" s="1867"/>
      <c r="AG116" s="1867"/>
      <c r="AH116" s="1867"/>
      <c r="AI116" s="1867"/>
      <c r="AJ116" s="667"/>
      <c r="AK116" s="1867"/>
      <c r="AL116" s="1867"/>
      <c r="AM116" s="1867"/>
      <c r="AN116" s="1867"/>
      <c r="AO116" s="1867"/>
      <c r="AP116" s="1867"/>
      <c r="AQ116" s="1867"/>
      <c r="AR116" s="1867"/>
      <c r="AS116" s="1867"/>
      <c r="AT116" s="667"/>
      <c r="AU116" s="1867"/>
      <c r="AV116" s="1867"/>
      <c r="AW116" s="1867"/>
      <c r="AX116" s="1867"/>
      <c r="AY116" s="1867"/>
    </row>
    <row r="117" spans="1:51" ht="14.5" x14ac:dyDescent="0.35">
      <c r="A117" s="978"/>
      <c r="B117" s="939"/>
      <c r="C117" s="940"/>
      <c r="D117" s="940"/>
      <c r="E117" s="940"/>
      <c r="F117" s="940"/>
      <c r="G117" s="1039"/>
      <c r="H117" s="980"/>
      <c r="I117" s="981"/>
      <c r="J117" s="980"/>
      <c r="K117" s="981"/>
      <c r="L117" s="980"/>
      <c r="M117" s="981"/>
      <c r="N117" s="981"/>
      <c r="O117" s="981"/>
      <c r="P117" s="981"/>
      <c r="Q117" s="981"/>
      <c r="R117" s="981"/>
      <c r="S117" s="981"/>
      <c r="T117" s="981"/>
      <c r="U117" s="981"/>
      <c r="V117" s="980"/>
      <c r="W117" s="981"/>
      <c r="X117" s="980"/>
      <c r="Y117" s="981"/>
      <c r="Z117" s="980"/>
      <c r="AA117" s="981"/>
      <c r="AB117" s="980"/>
      <c r="AC117" s="981"/>
      <c r="AD117" s="980"/>
      <c r="AE117" s="981"/>
      <c r="AF117" s="981"/>
      <c r="AG117" s="981"/>
      <c r="AH117" s="981"/>
      <c r="AI117" s="981"/>
      <c r="AJ117" s="980"/>
      <c r="AK117" s="981"/>
      <c r="AL117" s="981"/>
      <c r="AM117" s="981"/>
      <c r="AN117" s="981"/>
      <c r="AO117" s="981"/>
      <c r="AP117" s="981"/>
      <c r="AQ117" s="981"/>
      <c r="AR117" s="981"/>
      <c r="AS117" s="981"/>
      <c r="AT117" s="980"/>
      <c r="AU117" s="981"/>
      <c r="AV117" s="981"/>
      <c r="AW117" s="981"/>
      <c r="AX117" s="981"/>
      <c r="AY117" s="981"/>
    </row>
    <row r="118" spans="1:51" ht="14.5" x14ac:dyDescent="0.35">
      <c r="A118" s="7" t="s">
        <v>730</v>
      </c>
      <c r="B118" s="8"/>
      <c r="C118" s="12"/>
      <c r="D118" s="12"/>
      <c r="E118" s="12"/>
      <c r="F118" s="12"/>
      <c r="G118" s="13"/>
      <c r="H118" s="42"/>
      <c r="I118" s="21"/>
      <c r="J118" s="42"/>
      <c r="K118" s="21"/>
      <c r="L118" s="42"/>
      <c r="M118" s="21"/>
      <c r="N118" s="21"/>
      <c r="O118" s="21"/>
      <c r="P118" s="21"/>
      <c r="Q118" s="21"/>
      <c r="R118" s="21"/>
      <c r="S118" s="21"/>
      <c r="T118" s="21"/>
      <c r="U118" s="21"/>
      <c r="V118" s="42"/>
      <c r="W118" s="21"/>
      <c r="X118" s="42"/>
      <c r="Y118" s="21"/>
      <c r="Z118" s="42"/>
      <c r="AA118" s="21"/>
      <c r="AB118" s="42"/>
      <c r="AC118" s="21"/>
      <c r="AD118" s="42"/>
      <c r="AE118" s="21"/>
      <c r="AF118" s="21"/>
      <c r="AG118" s="21"/>
      <c r="AH118" s="21"/>
      <c r="AI118" s="21"/>
      <c r="AJ118" s="42"/>
      <c r="AK118" s="21"/>
      <c r="AL118" s="21"/>
      <c r="AM118" s="21"/>
      <c r="AN118" s="21"/>
      <c r="AO118" s="21"/>
      <c r="AP118" s="21"/>
      <c r="AQ118" s="21"/>
      <c r="AR118" s="21"/>
      <c r="AS118" s="21"/>
      <c r="AT118" s="42"/>
      <c r="AU118" s="21"/>
      <c r="AV118" s="21"/>
      <c r="AW118" s="21"/>
      <c r="AX118" s="21"/>
      <c r="AY118" s="21"/>
    </row>
    <row r="119" spans="1:51" ht="14.5" x14ac:dyDescent="0.35">
      <c r="A119" s="1857"/>
      <c r="B119" s="1868" t="s">
        <v>731</v>
      </c>
      <c r="C119" s="1833"/>
      <c r="D119" s="1833"/>
      <c r="E119" s="1833"/>
      <c r="F119" s="1833"/>
      <c r="G119" s="1858"/>
      <c r="H119" s="1392"/>
      <c r="I119" s="1869"/>
      <c r="J119" s="1392"/>
      <c r="K119" s="1869"/>
      <c r="L119" s="1392"/>
      <c r="M119" s="1869"/>
      <c r="N119" s="1869"/>
      <c r="O119" s="1869"/>
      <c r="P119" s="1869"/>
      <c r="Q119" s="1869"/>
      <c r="R119" s="1869"/>
      <c r="S119" s="1869"/>
      <c r="T119" s="1869"/>
      <c r="U119" s="1869"/>
      <c r="V119" s="1392"/>
      <c r="W119" s="1869"/>
      <c r="X119" s="1392"/>
      <c r="Y119" s="1869"/>
      <c r="Z119" s="1392"/>
      <c r="AA119" s="1869"/>
      <c r="AB119" s="1392"/>
      <c r="AC119" s="1869"/>
      <c r="AD119" s="1392"/>
      <c r="AE119" s="1869"/>
      <c r="AF119" s="1869"/>
      <c r="AG119" s="1869"/>
      <c r="AH119" s="1869"/>
      <c r="AI119" s="1869"/>
      <c r="AJ119" s="1392"/>
      <c r="AK119" s="1869"/>
      <c r="AL119" s="1869"/>
      <c r="AM119" s="1869"/>
      <c r="AN119" s="1869"/>
      <c r="AO119" s="1869"/>
      <c r="AP119" s="1869"/>
      <c r="AQ119" s="1869"/>
      <c r="AR119" s="1869"/>
      <c r="AS119" s="1869"/>
      <c r="AT119" s="1392"/>
      <c r="AU119" s="1869"/>
      <c r="AV119" s="1869"/>
      <c r="AW119" s="1869"/>
      <c r="AX119" s="1869"/>
      <c r="AY119" s="1869"/>
    </row>
    <row r="120" spans="1:51" ht="14.5" x14ac:dyDescent="0.35">
      <c r="A120" s="1426"/>
      <c r="B120" s="1422" t="s">
        <v>732</v>
      </c>
      <c r="C120" s="1423"/>
      <c r="D120" s="1423"/>
      <c r="E120" s="1423"/>
      <c r="F120" s="1423"/>
      <c r="G120" s="646"/>
      <c r="H120" s="668"/>
      <c r="I120" s="1870"/>
      <c r="J120" s="668"/>
      <c r="K120" s="1870"/>
      <c r="L120" s="668"/>
      <c r="M120" s="1870"/>
      <c r="N120" s="1870"/>
      <c r="O120" s="1870"/>
      <c r="P120" s="1870"/>
      <c r="Q120" s="1870"/>
      <c r="R120" s="1870"/>
      <c r="S120" s="1870"/>
      <c r="T120" s="1870"/>
      <c r="U120" s="1870"/>
      <c r="V120" s="668"/>
      <c r="W120" s="1870"/>
      <c r="X120" s="668"/>
      <c r="Y120" s="1870"/>
      <c r="Z120" s="668"/>
      <c r="AA120" s="1870"/>
      <c r="AB120" s="668"/>
      <c r="AC120" s="1870"/>
      <c r="AD120" s="668"/>
      <c r="AE120" s="1870"/>
      <c r="AF120" s="1870"/>
      <c r="AG120" s="1870"/>
      <c r="AH120" s="1870"/>
      <c r="AI120" s="1870"/>
      <c r="AJ120" s="668"/>
      <c r="AK120" s="1870"/>
      <c r="AL120" s="1870"/>
      <c r="AM120" s="1870"/>
      <c r="AN120" s="1870"/>
      <c r="AO120" s="1870"/>
      <c r="AP120" s="1870"/>
      <c r="AQ120" s="1870"/>
      <c r="AR120" s="1870"/>
      <c r="AS120" s="1870"/>
      <c r="AT120" s="668"/>
      <c r="AU120" s="1870"/>
      <c r="AV120" s="1870"/>
      <c r="AW120" s="1870"/>
      <c r="AX120" s="1870"/>
      <c r="AY120" s="1870"/>
    </row>
    <row r="121" spans="1:51" ht="14.5" x14ac:dyDescent="0.35">
      <c r="A121" s="1871"/>
      <c r="B121" s="1872" t="s">
        <v>733</v>
      </c>
      <c r="C121" s="1873"/>
      <c r="D121" s="1873"/>
      <c r="E121" s="1873"/>
      <c r="F121" s="1873"/>
      <c r="G121" s="1874"/>
      <c r="H121" s="1875"/>
      <c r="I121" s="1876"/>
      <c r="J121" s="1875"/>
      <c r="K121" s="1876"/>
      <c r="L121" s="1875"/>
      <c r="M121" s="1876"/>
      <c r="N121" s="1876"/>
      <c r="O121" s="1876"/>
      <c r="P121" s="1876"/>
      <c r="Q121" s="1876"/>
      <c r="R121" s="1876"/>
      <c r="S121" s="1876"/>
      <c r="T121" s="1876"/>
      <c r="U121" s="1876"/>
      <c r="V121" s="1875"/>
      <c r="W121" s="1876"/>
      <c r="X121" s="1875"/>
      <c r="Y121" s="1876"/>
      <c r="Z121" s="1875"/>
      <c r="AA121" s="1876"/>
      <c r="AB121" s="1875"/>
      <c r="AC121" s="1876"/>
      <c r="AD121" s="1875"/>
      <c r="AE121" s="1876"/>
      <c r="AF121" s="1876"/>
      <c r="AG121" s="1876"/>
      <c r="AH121" s="1876"/>
      <c r="AI121" s="1876"/>
      <c r="AJ121" s="1875"/>
      <c r="AK121" s="1876"/>
      <c r="AL121" s="1876"/>
      <c r="AM121" s="1876"/>
      <c r="AN121" s="1876"/>
      <c r="AO121" s="1876"/>
      <c r="AP121" s="1876"/>
      <c r="AQ121" s="1876"/>
      <c r="AR121" s="1876"/>
      <c r="AS121" s="1876"/>
      <c r="AT121" s="1875"/>
      <c r="AU121" s="1876"/>
      <c r="AV121" s="1876"/>
      <c r="AW121" s="1876"/>
      <c r="AX121" s="1876"/>
      <c r="AY121" s="1876"/>
    </row>
    <row r="123" spans="1:51" ht="14.5" x14ac:dyDescent="0.35">
      <c r="A123" s="78" t="s">
        <v>734</v>
      </c>
      <c r="B123" s="80"/>
      <c r="C123" s="2" t="s">
        <v>20</v>
      </c>
      <c r="D123" s="2" t="s">
        <v>429</v>
      </c>
      <c r="E123" s="2" t="s">
        <v>746</v>
      </c>
    </row>
    <row r="124" spans="1:51" ht="14.5" x14ac:dyDescent="0.35">
      <c r="A124" s="79" t="s">
        <v>632</v>
      </c>
      <c r="B124" s="1877" t="str">
        <f>J4</f>
        <v>Griffin R1</v>
      </c>
    </row>
    <row r="125" spans="1:51" ht="14.5" x14ac:dyDescent="0.35">
      <c r="A125" s="1878" t="s">
        <v>636</v>
      </c>
      <c r="B125" s="1877" t="str">
        <f>J5</f>
        <v>Rohit Puranik</v>
      </c>
    </row>
    <row r="126" spans="1:51" ht="14.5" x14ac:dyDescent="0.35">
      <c r="A126" s="1879" t="s">
        <v>639</v>
      </c>
      <c r="B126" s="1880">
        <f>J6</f>
        <v>5613355021</v>
      </c>
    </row>
    <row r="127" spans="1:51" ht="14.5" x14ac:dyDescent="0.35">
      <c r="A127" s="1879" t="s">
        <v>642</v>
      </c>
      <c r="B127" s="1881">
        <f>J6</f>
        <v>5613355021</v>
      </c>
    </row>
    <row r="128" spans="1:51" ht="14.5" x14ac:dyDescent="0.35">
      <c r="A128" s="1882" t="s">
        <v>735</v>
      </c>
      <c r="B128" s="1883">
        <f>K45+K85</f>
        <v>3017500</v>
      </c>
      <c r="C128" s="333">
        <f>I67+I77</f>
        <v>84500</v>
      </c>
      <c r="D128" s="333">
        <f>I71</f>
        <v>25000</v>
      </c>
      <c r="E128" s="333">
        <f>I79+I74</f>
        <v>17000</v>
      </c>
    </row>
    <row r="130" spans="1:2" ht="14.5" x14ac:dyDescent="0.35">
      <c r="A130" s="81"/>
      <c r="B130" s="1" t="s">
        <v>736</v>
      </c>
    </row>
    <row r="131" spans="1:2" ht="14.5" x14ac:dyDescent="0.35">
      <c r="A131" s="82"/>
      <c r="B131" s="1" t="s">
        <v>737</v>
      </c>
    </row>
  </sheetData>
  <mergeCells count="159">
    <mergeCell ref="T8:U8"/>
    <mergeCell ref="L2:M2"/>
    <mergeCell ref="L3:M3"/>
    <mergeCell ref="L4:M4"/>
    <mergeCell ref="L5:M5"/>
    <mergeCell ref="L6:M6"/>
    <mergeCell ref="L7:M7"/>
    <mergeCell ref="L8:M8"/>
    <mergeCell ref="N2:O2"/>
    <mergeCell ref="N3:O3"/>
    <mergeCell ref="N4:O4"/>
    <mergeCell ref="N5:O5"/>
    <mergeCell ref="N6:O6"/>
    <mergeCell ref="N7:O7"/>
    <mergeCell ref="N8:O8"/>
    <mergeCell ref="P2:Q2"/>
    <mergeCell ref="P3:Q3"/>
    <mergeCell ref="P4:Q4"/>
    <mergeCell ref="P5:Q5"/>
    <mergeCell ref="P6:Q6"/>
    <mergeCell ref="P7:Q7"/>
    <mergeCell ref="T2:U2"/>
    <mergeCell ref="T3:U3"/>
    <mergeCell ref="T4:U4"/>
    <mergeCell ref="AJ6:AK6"/>
    <mergeCell ref="AB3:AC3"/>
    <mergeCell ref="AD2:AE2"/>
    <mergeCell ref="AD3:AE3"/>
    <mergeCell ref="AD7:AE7"/>
    <mergeCell ref="AF6:AG6"/>
    <mergeCell ref="AF3:AG3"/>
    <mergeCell ref="AF2:AG2"/>
    <mergeCell ref="AJ2:AK2"/>
    <mergeCell ref="AH2:AI2"/>
    <mergeCell ref="T5:U5"/>
    <mergeCell ref="T6:U6"/>
    <mergeCell ref="T7:U7"/>
    <mergeCell ref="X7:Y7"/>
    <mergeCell ref="H3:I3"/>
    <mergeCell ref="H4:I4"/>
    <mergeCell ref="H5:I5"/>
    <mergeCell ref="H6:I6"/>
    <mergeCell ref="AD4:AE4"/>
    <mergeCell ref="AD5:AE5"/>
    <mergeCell ref="AD6:AE6"/>
    <mergeCell ref="R4:S4"/>
    <mergeCell ref="R5:S5"/>
    <mergeCell ref="R6:S6"/>
    <mergeCell ref="X4:Y4"/>
    <mergeCell ref="X5:Y5"/>
    <mergeCell ref="X6:Y6"/>
    <mergeCell ref="V5:W5"/>
    <mergeCell ref="V6:W6"/>
    <mergeCell ref="V7:W7"/>
    <mergeCell ref="AB8:AC8"/>
    <mergeCell ref="H7:I7"/>
    <mergeCell ref="AD8:AE8"/>
    <mergeCell ref="J8:K8"/>
    <mergeCell ref="Z6:AA6"/>
    <mergeCell ref="AB6:AC6"/>
    <mergeCell ref="AB7:AC7"/>
    <mergeCell ref="J6:K6"/>
    <mergeCell ref="J2:K2"/>
    <mergeCell ref="J3:K3"/>
    <mergeCell ref="J4:K4"/>
    <mergeCell ref="J5:K5"/>
    <mergeCell ref="AB2:AC2"/>
    <mergeCell ref="Z2:AA2"/>
    <mergeCell ref="Z3:AA3"/>
    <mergeCell ref="Z4:AA4"/>
    <mergeCell ref="Z5:AA5"/>
    <mergeCell ref="AB4:AC4"/>
    <mergeCell ref="AB5:AC5"/>
    <mergeCell ref="R2:S2"/>
    <mergeCell ref="R3:S3"/>
    <mergeCell ref="R7:S7"/>
    <mergeCell ref="R8:S8"/>
    <mergeCell ref="H2:I2"/>
    <mergeCell ref="A96:B96"/>
    <mergeCell ref="A100:B100"/>
    <mergeCell ref="A104:B104"/>
    <mergeCell ref="A108:B108"/>
    <mergeCell ref="A112:B112"/>
    <mergeCell ref="AF7:AG7"/>
    <mergeCell ref="AV7:AW7"/>
    <mergeCell ref="AJ8:AK8"/>
    <mergeCell ref="AH8:AI8"/>
    <mergeCell ref="AL8:AM8"/>
    <mergeCell ref="AF8:AG8"/>
    <mergeCell ref="AV8:AW8"/>
    <mergeCell ref="AT7:AU7"/>
    <mergeCell ref="AT8:AU8"/>
    <mergeCell ref="AN7:AO7"/>
    <mergeCell ref="AN8:AO8"/>
    <mergeCell ref="AR7:AS7"/>
    <mergeCell ref="AR8:AS8"/>
    <mergeCell ref="Z7:AA7"/>
    <mergeCell ref="Z8:AA8"/>
    <mergeCell ref="P8:Q8"/>
    <mergeCell ref="H8:I8"/>
    <mergeCell ref="J7:K7"/>
    <mergeCell ref="X8:Y8"/>
    <mergeCell ref="AV6:AW6"/>
    <mergeCell ref="AH4:AI4"/>
    <mergeCell ref="AL4:AM4"/>
    <mergeCell ref="AF4:AG4"/>
    <mergeCell ref="AV4:AW4"/>
    <mergeCell ref="AJ5:AK5"/>
    <mergeCell ref="AH5:AI5"/>
    <mergeCell ref="AL5:AM5"/>
    <mergeCell ref="AF5:AG5"/>
    <mergeCell ref="AV5:AW5"/>
    <mergeCell ref="AT4:AU4"/>
    <mergeCell ref="AT5:AU5"/>
    <mergeCell ref="AT6:AU6"/>
    <mergeCell ref="AR4:AS4"/>
    <mergeCell ref="AR5:AS5"/>
    <mergeCell ref="AR6:AS6"/>
    <mergeCell ref="AJ4:AK4"/>
    <mergeCell ref="AL6:AM6"/>
    <mergeCell ref="AP4:AQ4"/>
    <mergeCell ref="AP5:AQ5"/>
    <mergeCell ref="AP6:AQ6"/>
    <mergeCell ref="AN4:AO4"/>
    <mergeCell ref="AN5:AO5"/>
    <mergeCell ref="AH6:AI6"/>
    <mergeCell ref="AR3:AS3"/>
    <mergeCell ref="AN2:AO2"/>
    <mergeCell ref="AN3:AO3"/>
    <mergeCell ref="AP2:AQ2"/>
    <mergeCell ref="AP3:AQ3"/>
    <mergeCell ref="V2:W2"/>
    <mergeCell ref="V3:W3"/>
    <mergeCell ref="X2:Y2"/>
    <mergeCell ref="X3:Y3"/>
    <mergeCell ref="V8:W8"/>
    <mergeCell ref="AV2:AW2"/>
    <mergeCell ref="AX2:AY2"/>
    <mergeCell ref="AJ3:AK3"/>
    <mergeCell ref="AH3:AI3"/>
    <mergeCell ref="AL3:AM3"/>
    <mergeCell ref="AX8:AY8"/>
    <mergeCell ref="AJ7:AK7"/>
    <mergeCell ref="AH7:AI7"/>
    <mergeCell ref="AL7:AM7"/>
    <mergeCell ref="AX6:AY6"/>
    <mergeCell ref="AX5:AY5"/>
    <mergeCell ref="AX4:AY4"/>
    <mergeCell ref="AX7:AY7"/>
    <mergeCell ref="AP8:AQ8"/>
    <mergeCell ref="AP7:AQ7"/>
    <mergeCell ref="AN6:AO6"/>
    <mergeCell ref="V4:W4"/>
    <mergeCell ref="AV3:AW3"/>
    <mergeCell ref="AT2:AU2"/>
    <mergeCell ref="AT3:AU3"/>
    <mergeCell ref="AX3:AY3"/>
    <mergeCell ref="AL2:AM2"/>
    <mergeCell ref="AR2:AS2"/>
  </mergeCells>
  <conditionalFormatting sqref="H20:H32">
    <cfRule type="cellIs" dxfId="1813" priority="17" operator="equal">
      <formula>"X"</formula>
    </cfRule>
    <cfRule type="cellIs" dxfId="1812" priority="18" operator="equal">
      <formula>"I"</formula>
    </cfRule>
  </conditionalFormatting>
  <conditionalFormatting sqref="H34:H87">
    <cfRule type="cellIs" dxfId="1811" priority="53" operator="equal">
      <formula>"X"</formula>
    </cfRule>
    <cfRule type="cellIs" dxfId="1810" priority="54" operator="equal">
      <formula>"I"</formula>
    </cfRule>
  </conditionalFormatting>
  <conditionalFormatting sqref="J20:J32">
    <cfRule type="cellIs" dxfId="1809" priority="37" operator="equal">
      <formula>"X"</formula>
    </cfRule>
    <cfRule type="cellIs" dxfId="1808" priority="38" operator="equal">
      <formula>"I"</formula>
    </cfRule>
  </conditionalFormatting>
  <conditionalFormatting sqref="J34:J87">
    <cfRule type="cellIs" dxfId="1807" priority="39" operator="equal">
      <formula>"X"</formula>
    </cfRule>
    <cfRule type="cellIs" dxfId="1806" priority="40" operator="equal">
      <formula>"I"</formula>
    </cfRule>
  </conditionalFormatting>
  <conditionalFormatting sqref="L20:L32">
    <cfRule type="cellIs" dxfId="1805" priority="13" operator="equal">
      <formula>"X"</formula>
    </cfRule>
    <cfRule type="cellIs" dxfId="1804" priority="14" operator="equal">
      <formula>"I"</formula>
    </cfRule>
  </conditionalFormatting>
  <conditionalFormatting sqref="L34:L87">
    <cfRule type="cellIs" dxfId="1803" priority="15" operator="equal">
      <formula>"X"</formula>
    </cfRule>
    <cfRule type="cellIs" dxfId="1802" priority="16" operator="equal">
      <formula>"I"</formula>
    </cfRule>
  </conditionalFormatting>
  <conditionalFormatting sqref="N20:N32">
    <cfRule type="cellIs" dxfId="1801" priority="9" operator="equal">
      <formula>"X"</formula>
    </cfRule>
    <cfRule type="cellIs" dxfId="1800" priority="10" operator="equal">
      <formula>"I"</formula>
    </cfRule>
  </conditionalFormatting>
  <conditionalFormatting sqref="N34:N87">
    <cfRule type="cellIs" dxfId="1799" priority="11" operator="equal">
      <formula>"X"</formula>
    </cfRule>
    <cfRule type="cellIs" dxfId="1798" priority="12" operator="equal">
      <formula>"I"</formula>
    </cfRule>
  </conditionalFormatting>
  <conditionalFormatting sqref="P20:P32">
    <cfRule type="cellIs" dxfId="1797" priority="51" operator="equal">
      <formula>"X"</formula>
    </cfRule>
    <cfRule type="cellIs" dxfId="1796" priority="52" operator="equal">
      <formula>"I"</formula>
    </cfRule>
  </conditionalFormatting>
  <conditionalFormatting sqref="P34:P87">
    <cfRule type="cellIs" dxfId="1795" priority="23" operator="equal">
      <formula>"X"</formula>
    </cfRule>
    <cfRule type="cellIs" dxfId="1794" priority="24" operator="equal">
      <formula>"I"</formula>
    </cfRule>
  </conditionalFormatting>
  <conditionalFormatting sqref="R20:R32">
    <cfRule type="cellIs" dxfId="1793" priority="31" operator="equal">
      <formula>"X"</formula>
    </cfRule>
    <cfRule type="cellIs" dxfId="1792" priority="32" operator="equal">
      <formula>"I"</formula>
    </cfRule>
  </conditionalFormatting>
  <conditionalFormatting sqref="R34:R87">
    <cfRule type="cellIs" dxfId="1791" priority="21" operator="equal">
      <formula>"X"</formula>
    </cfRule>
    <cfRule type="cellIs" dxfId="1790" priority="22" operator="equal">
      <formula>"I"</formula>
    </cfRule>
  </conditionalFormatting>
  <conditionalFormatting sqref="T20:T22 T32">
    <cfRule type="cellIs" dxfId="1789" priority="7" operator="equal">
      <formula>"X"</formula>
    </cfRule>
    <cfRule type="cellIs" dxfId="1788" priority="8" operator="equal">
      <formula>"I"</formula>
    </cfRule>
  </conditionalFormatting>
  <conditionalFormatting sqref="T34:T87">
    <cfRule type="cellIs" dxfId="1787" priority="5" operator="equal">
      <formula>"X"</formula>
    </cfRule>
    <cfRule type="cellIs" dxfId="1786" priority="6" operator="equal">
      <formula>"I"</formula>
    </cfRule>
  </conditionalFormatting>
  <conditionalFormatting sqref="V20:V32 V34:V87">
    <cfRule type="cellIs" dxfId="1785" priority="27" operator="equal">
      <formula>"X"</formula>
    </cfRule>
    <cfRule type="cellIs" dxfId="1784" priority="28" operator="equal">
      <formula>"I"</formula>
    </cfRule>
  </conditionalFormatting>
  <conditionalFormatting sqref="X20:X32 X34:X87">
    <cfRule type="cellIs" dxfId="1783" priority="3" operator="equal">
      <formula>"X"</formula>
    </cfRule>
    <cfRule type="cellIs" dxfId="1782" priority="4" operator="equal">
      <formula>"I"</formula>
    </cfRule>
  </conditionalFormatting>
  <conditionalFormatting sqref="Z20:Z32">
    <cfRule type="cellIs" dxfId="1781" priority="55" operator="equal">
      <formula>"X"</formula>
    </cfRule>
    <cfRule type="cellIs" dxfId="1780" priority="56" operator="equal">
      <formula>"I"</formula>
    </cfRule>
  </conditionalFormatting>
  <conditionalFormatting sqref="Z34:Z87">
    <cfRule type="cellIs" dxfId="1779" priority="43" operator="equal">
      <formula>"X"</formula>
    </cfRule>
    <cfRule type="cellIs" dxfId="1778" priority="44" operator="equal">
      <formula>"I"</formula>
    </cfRule>
  </conditionalFormatting>
  <conditionalFormatting sqref="AB20:AB32">
    <cfRule type="cellIs" dxfId="1777" priority="35" operator="equal">
      <formula>"X"</formula>
    </cfRule>
    <cfRule type="cellIs" dxfId="1776" priority="36" operator="equal">
      <formula>"I"</formula>
    </cfRule>
  </conditionalFormatting>
  <conditionalFormatting sqref="AB34:AB87">
    <cfRule type="cellIs" dxfId="1775" priority="19" operator="equal">
      <formula>"X"</formula>
    </cfRule>
    <cfRule type="cellIs" dxfId="1774" priority="20" operator="equal">
      <formula>"I"</formula>
    </cfRule>
  </conditionalFormatting>
  <conditionalFormatting sqref="AD20:AD32 AD34:AD87">
    <cfRule type="cellIs" dxfId="1773" priority="33" operator="equal">
      <formula>"X"</formula>
    </cfRule>
    <cfRule type="cellIs" dxfId="1772" priority="34" operator="equal">
      <formula>"I"</formula>
    </cfRule>
  </conditionalFormatting>
  <conditionalFormatting sqref="AF20:AF32">
    <cfRule type="cellIs" dxfId="1771" priority="65" operator="equal">
      <formula>"X"</formula>
    </cfRule>
    <cfRule type="cellIs" dxfId="1770" priority="66" operator="equal">
      <formula>"I"</formula>
    </cfRule>
  </conditionalFormatting>
  <conditionalFormatting sqref="AH20:AH32 AJ20:AJ32 AF34:AF87 AH34:AH87 AJ34:AJ87 AL34:AL87 AP34:AP87 AR34:AR87 AT34:AT87 AV34:AV87 AX34:AX87">
    <cfRule type="cellIs" dxfId="1769" priority="97" operator="equal">
      <formula>"X"</formula>
    </cfRule>
    <cfRule type="cellIs" dxfId="1768" priority="98" operator="equal">
      <formula>"I"</formula>
    </cfRule>
  </conditionalFormatting>
  <conditionalFormatting sqref="AL20:AL32">
    <cfRule type="cellIs" dxfId="1767" priority="103" operator="equal">
      <formula>"X"</formula>
    </cfRule>
    <cfRule type="cellIs" dxfId="1766" priority="104" operator="equal">
      <formula>"I"</formula>
    </cfRule>
  </conditionalFormatting>
  <conditionalFormatting sqref="AN20:AN32">
    <cfRule type="cellIs" dxfId="1765" priority="59" operator="equal">
      <formula>"X"</formula>
    </cfRule>
    <cfRule type="cellIs" dxfId="1764" priority="60" operator="equal">
      <formula>"I"</formula>
    </cfRule>
  </conditionalFormatting>
  <conditionalFormatting sqref="AN34:AN87">
    <cfRule type="cellIs" dxfId="1763" priority="57" operator="equal">
      <formula>"X"</formula>
    </cfRule>
    <cfRule type="cellIs" dxfId="1762" priority="58" operator="equal">
      <formula>"I"</formula>
    </cfRule>
  </conditionalFormatting>
  <conditionalFormatting sqref="AP20:AP32">
    <cfRule type="cellIs" dxfId="1761" priority="63" operator="equal">
      <formula>"X"</formula>
    </cfRule>
    <cfRule type="cellIs" dxfId="1760" priority="64" operator="equal">
      <formula>"I"</formula>
    </cfRule>
  </conditionalFormatting>
  <conditionalFormatting sqref="AR20:AR32">
    <cfRule type="cellIs" dxfId="1759" priority="61" operator="equal">
      <formula>"X"</formula>
    </cfRule>
    <cfRule type="cellIs" dxfId="1758" priority="62" operator="equal">
      <formula>"I"</formula>
    </cfRule>
  </conditionalFormatting>
  <conditionalFormatting sqref="AT20:AT32">
    <cfRule type="cellIs" dxfId="1757" priority="67" operator="equal">
      <formula>"X"</formula>
    </cfRule>
    <cfRule type="cellIs" dxfId="1756" priority="68" operator="equal">
      <formula>"I"</formula>
    </cfRule>
  </conditionalFormatting>
  <conditionalFormatting sqref="AV20:AV32">
    <cfRule type="cellIs" dxfId="1755" priority="105" operator="equal">
      <formula>"X"</formula>
    </cfRule>
    <cfRule type="cellIs" dxfId="1754" priority="106" operator="equal">
      <formula>"I"</formula>
    </cfRule>
  </conditionalFormatting>
  <conditionalFormatting sqref="AX20:AX32">
    <cfRule type="cellIs" dxfId="1753" priority="107" operator="equal">
      <formula>"X"</formula>
    </cfRule>
    <cfRule type="cellIs" dxfId="1752" priority="108" operator="equal">
      <formula>"I"</formula>
    </cfRule>
  </conditionalFormatting>
  <conditionalFormatting sqref="T23:T31">
    <cfRule type="cellIs" dxfId="1751" priority="1" operator="equal">
      <formula>"X"</formula>
    </cfRule>
    <cfRule type="cellIs" dxfId="1750" priority="2" operator="equal">
      <formula>"I"</formula>
    </cfRule>
  </conditionalFormatting>
  <hyperlinks>
    <hyperlink ref="B3" location="'Cost Summary'!A1" display="BACK TO SUMMARY SHEET" xr:uid="{02A0D66C-847C-4530-A1DF-8DECDCBDE47B}"/>
    <hyperlink ref="AH7:AI7" r:id="rId1" display="estimating@lionconstructioncompany.com" xr:uid="{5F4A3C69-83CF-4E2C-A36B-1EAD8B856051}"/>
    <hyperlink ref="AJ7" r:id="rId2" xr:uid="{A6DC2DC3-A37F-4D11-9FC5-5C635BEA8997}"/>
    <hyperlink ref="AF7:AG7" r:id="rId3" display="james@doradodrywall.com" xr:uid="{C38DB39C-E167-4D10-97D3-87BC6D2968E7}"/>
    <hyperlink ref="AT7" r:id="rId4" xr:uid="{FE3792AA-1908-4A66-8839-D815DFB39D04}"/>
    <hyperlink ref="AP7:AQ7" r:id="rId5" display="estimating@lionconstructioncompany.com" xr:uid="{58F17F41-D399-401C-80E2-93DAF19D7842}"/>
    <hyperlink ref="AR7:AS7" r:id="rId6" display="estimating@lionconstructioncompany.com" xr:uid="{823020CA-4F55-4550-BD1A-411957F7DCB8}"/>
    <hyperlink ref="AL7" r:id="rId7" xr:uid="{4F2A65D5-2A02-4661-9D22-7D1673071D6C}"/>
    <hyperlink ref="Z7" r:id="rId8" xr:uid="{DD3C80D4-A40B-47F6-B619-946942DCF575}"/>
    <hyperlink ref="AN7" r:id="rId9" xr:uid="{04A8A7D0-5D1A-405A-8D8E-6320CA3D35D2}"/>
    <hyperlink ref="H7:I7" r:id="rId10" display="rpuranik@griffinstucco.com" xr:uid="{C484CE68-786C-4434-AC84-D6ABCF71A9D0}"/>
    <hyperlink ref="P7" r:id="rId11" xr:uid="{F5E7747E-ACAB-4B22-A41D-368BA8F0D0E5}"/>
    <hyperlink ref="J7:K7" r:id="rId12" display="rpuranik@griffinstucco.com" xr:uid="{FE367AA6-8EF8-4FB9-91F4-7823596F281C}"/>
    <hyperlink ref="AB7" r:id="rId13" xr:uid="{2462F3AC-FF4C-4FA9-96D2-FE075181201F}"/>
    <hyperlink ref="AD7" r:id="rId14" xr:uid="{13F0D0C4-50D9-46B2-B7D4-19834BE5D3AF}"/>
    <hyperlink ref="R7" r:id="rId15" xr:uid="{1EEB8359-4A7D-4181-A010-871C1708EA52}"/>
    <hyperlink ref="V7" r:id="rId16" xr:uid="{CAE13DF9-BE9E-4232-A333-2EE4575B12D1}"/>
    <hyperlink ref="L7:M7" r:id="rId17" display="rpuranik@griffinstucco.com" xr:uid="{2BE3439D-6A44-42BD-BA6F-120D7385C1A3}"/>
    <hyperlink ref="N7:O7" r:id="rId18" display="james@doradodrywall.com" xr:uid="{0AD5329F-069F-4DC1-9C19-20A7948CD7C5}"/>
    <hyperlink ref="T7" r:id="rId19" xr:uid="{ACF1467A-5CD7-4F07-8157-401B63BCB112}"/>
    <hyperlink ref="X7" r:id="rId20" xr:uid="{6001C341-4D3D-4109-9C74-4E4CE0EE9B90}"/>
  </hyperlinks>
  <pageMargins left="0.7" right="0.7" top="0.75" bottom="0.75" header="0.3" footer="0.3"/>
  <pageSetup paperSize="256" orientation="portrait" horizontalDpi="1200" verticalDpi="1200" r:id="rId21"/>
  <legacyDrawing r:id="rId2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2A2-E538-4E94-9413-EB16A1D5106D}">
  <sheetPr>
    <tabColor rgb="FF92D050"/>
  </sheetPr>
  <dimension ref="A1:S90"/>
  <sheetViews>
    <sheetView zoomScale="85" zoomScaleNormal="85" workbookViewId="0">
      <pane xSplit="2" ySplit="9" topLeftCell="C41" activePane="bottomRight" state="frozen"/>
      <selection pane="topRight" activeCell="C1" sqref="C1"/>
      <selection pane="bottomLeft" activeCell="A11" sqref="A11"/>
      <selection pane="bottomRight" activeCell="B41" sqref="B41"/>
    </sheetView>
  </sheetViews>
  <sheetFormatPr defaultRowHeight="14.5" x14ac:dyDescent="0.35"/>
  <cols>
    <col min="1" max="1" width="11" customWidth="1"/>
    <col min="2" max="2" width="72.1796875" style="1" bestFit="1" customWidth="1"/>
    <col min="3" max="3" width="10.81640625" style="2" bestFit="1" customWidth="1"/>
    <col min="4" max="5" width="7.54296875" style="2" customWidth="1"/>
    <col min="6" max="6" width="7.7265625" style="2" customWidth="1"/>
    <col min="7" max="7" width="12.26953125" style="2" customWidth="1"/>
    <col min="8" max="8" width="8.54296875" style="2" customWidth="1"/>
    <col min="9" max="9" width="13.81640625" style="2" customWidth="1"/>
    <col min="10" max="10" width="7.453125" style="2" bestFit="1" customWidth="1"/>
    <col min="11" max="11" width="14.81640625" style="2" customWidth="1"/>
    <col min="12" max="12" width="7.453125" style="2" bestFit="1" customWidth="1"/>
    <col min="13" max="13" width="14.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s>
  <sheetData>
    <row r="1" spans="1:19" x14ac:dyDescent="0.35">
      <c r="E1" s="152"/>
      <c r="F1" s="125"/>
      <c r="G1" s="123" t="s">
        <v>621</v>
      </c>
    </row>
    <row r="2" spans="1:19" ht="15" thickBot="1" x14ac:dyDescent="0.4">
      <c r="E2" s="152"/>
      <c r="F2" s="122" t="s">
        <v>622</v>
      </c>
      <c r="G2" s="123" t="s">
        <v>451</v>
      </c>
      <c r="H2" s="3751"/>
      <c r="I2" s="3751"/>
      <c r="J2" s="3866"/>
      <c r="K2" s="3866"/>
      <c r="L2" s="3866"/>
      <c r="M2" s="3866"/>
      <c r="N2" s="3866"/>
      <c r="O2" s="3866"/>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884" t="s">
        <v>634</v>
      </c>
      <c r="B5" s="1885" t="s">
        <v>2311</v>
      </c>
      <c r="C5" s="1886"/>
      <c r="D5" s="1886"/>
      <c r="E5" s="1886"/>
      <c r="F5" s="1886"/>
      <c r="G5" s="643" t="s">
        <v>636</v>
      </c>
      <c r="H5" s="3907"/>
      <c r="I5" s="3759"/>
      <c r="J5" s="3907"/>
      <c r="K5" s="3759"/>
      <c r="L5" s="3907"/>
      <c r="M5" s="3759"/>
      <c r="N5" s="3907"/>
      <c r="O5" s="3759"/>
      <c r="P5" s="3907"/>
      <c r="Q5" s="3759"/>
      <c r="R5" s="3907"/>
      <c r="S5" s="3759"/>
    </row>
    <row r="6" spans="1:19" x14ac:dyDescent="0.35">
      <c r="A6" s="1884" t="s">
        <v>638</v>
      </c>
      <c r="B6" s="1887" t="s">
        <v>2312</v>
      </c>
      <c r="C6" s="1886"/>
      <c r="D6" s="1886"/>
      <c r="E6" s="1886"/>
      <c r="F6" s="1886"/>
      <c r="G6" s="643" t="s">
        <v>639</v>
      </c>
      <c r="H6" s="3906"/>
      <c r="I6" s="3757"/>
      <c r="J6" s="3906"/>
      <c r="K6" s="3757"/>
      <c r="L6" s="3906"/>
      <c r="M6" s="3757"/>
      <c r="N6" s="3906"/>
      <c r="O6" s="3757"/>
      <c r="P6" s="3906"/>
      <c r="Q6" s="3757"/>
      <c r="R6" s="3906"/>
      <c r="S6" s="3757"/>
    </row>
    <row r="7" spans="1:19" x14ac:dyDescent="0.35">
      <c r="A7" s="1884" t="s">
        <v>641</v>
      </c>
      <c r="B7" s="1888"/>
      <c r="C7" s="1886"/>
      <c r="D7" s="1886"/>
      <c r="E7" s="1886"/>
      <c r="F7" s="1886"/>
      <c r="G7" s="643" t="s">
        <v>642</v>
      </c>
      <c r="H7" s="3908"/>
      <c r="I7" s="3763"/>
      <c r="J7" s="3908"/>
      <c r="K7" s="3763"/>
      <c r="L7" s="3908"/>
      <c r="M7" s="3763"/>
      <c r="N7" s="3908"/>
      <c r="O7" s="3763"/>
      <c r="P7" s="3908"/>
      <c r="Q7" s="3763"/>
      <c r="R7" s="3908"/>
      <c r="S7" s="3763"/>
    </row>
    <row r="8" spans="1:19" ht="15" thickBot="1" x14ac:dyDescent="0.4">
      <c r="A8" s="938" t="s">
        <v>644</v>
      </c>
      <c r="B8" s="939"/>
      <c r="C8" s="940"/>
      <c r="D8" s="940"/>
      <c r="E8" s="940"/>
      <c r="F8" s="940"/>
      <c r="G8" s="1024" t="s">
        <v>644</v>
      </c>
      <c r="H8" s="3909"/>
      <c r="I8" s="3910"/>
      <c r="J8" s="3909"/>
      <c r="K8" s="3910"/>
      <c r="L8" s="3909"/>
      <c r="M8" s="3910"/>
      <c r="N8" s="3909"/>
      <c r="O8" s="3910"/>
      <c r="P8" s="3909"/>
      <c r="Q8" s="3910"/>
      <c r="R8" s="3909"/>
      <c r="S8" s="3910"/>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889"/>
      <c r="B10" s="1890" t="s">
        <v>653</v>
      </c>
      <c r="C10" s="1886"/>
      <c r="D10" s="1886"/>
      <c r="E10" s="1886"/>
      <c r="F10" s="1886"/>
      <c r="G10" s="646"/>
      <c r="H10" s="1891"/>
      <c r="I10" s="1891"/>
      <c r="J10" s="1891"/>
      <c r="K10" s="1891"/>
      <c r="L10" s="1891"/>
      <c r="M10" s="1891"/>
      <c r="N10" s="1891"/>
      <c r="O10" s="1891"/>
      <c r="P10" s="1891"/>
      <c r="Q10" s="1891"/>
      <c r="R10" s="1891"/>
      <c r="S10" s="1891"/>
    </row>
    <row r="11" spans="1:19" ht="15" hidden="1" thickTop="1" x14ac:dyDescent="0.35">
      <c r="A11" s="1889"/>
      <c r="B11" s="1885" t="e">
        <f>#REF!</f>
        <v>#REF!</v>
      </c>
      <c r="C11" s="1892" t="s">
        <v>654</v>
      </c>
      <c r="D11" s="1886"/>
      <c r="E11" s="1886"/>
      <c r="F11" s="1886"/>
      <c r="G11" s="646"/>
      <c r="H11" s="1891"/>
      <c r="I11" s="1891"/>
      <c r="J11" s="1891"/>
      <c r="K11" s="1891"/>
      <c r="L11" s="1891"/>
      <c r="M11" s="1891"/>
      <c r="N11" s="1891"/>
      <c r="O11" s="1891"/>
      <c r="P11" s="1891"/>
      <c r="Q11" s="1891"/>
      <c r="R11" s="1891"/>
      <c r="S11" s="1891"/>
    </row>
    <row r="12" spans="1:19" ht="15" hidden="1" thickTop="1" x14ac:dyDescent="0.35">
      <c r="A12" s="1889"/>
      <c r="B12" s="1885" t="e">
        <f>#REF!</f>
        <v>#REF!</v>
      </c>
      <c r="C12" s="1892" t="s">
        <v>654</v>
      </c>
      <c r="D12" s="1886"/>
      <c r="E12" s="1886"/>
      <c r="F12" s="1886"/>
      <c r="G12" s="646"/>
      <c r="H12" s="1891"/>
      <c r="I12" s="1891"/>
      <c r="J12" s="1891"/>
      <c r="K12" s="1891"/>
      <c r="L12" s="1891"/>
      <c r="M12" s="1891"/>
      <c r="N12" s="1891"/>
      <c r="O12" s="1891"/>
      <c r="P12" s="1891"/>
      <c r="Q12" s="1891"/>
      <c r="R12" s="1891"/>
      <c r="S12" s="1891"/>
    </row>
    <row r="13" spans="1:19" ht="15" hidden="1" thickTop="1" x14ac:dyDescent="0.35">
      <c r="A13" s="1889"/>
      <c r="B13" s="1885" t="e">
        <f>#REF!</f>
        <v>#REF!</v>
      </c>
      <c r="C13" s="1892" t="s">
        <v>654</v>
      </c>
      <c r="D13" s="1886"/>
      <c r="E13" s="1886"/>
      <c r="F13" s="1886"/>
      <c r="G13" s="646"/>
      <c r="H13" s="1891"/>
      <c r="I13" s="1891"/>
      <c r="J13" s="1891"/>
      <c r="K13" s="1891"/>
      <c r="L13" s="1891"/>
      <c r="M13" s="1891"/>
      <c r="N13" s="1891"/>
      <c r="O13" s="1891"/>
      <c r="P13" s="1891"/>
      <c r="Q13" s="1891"/>
      <c r="R13" s="1891"/>
      <c r="S13" s="1891"/>
    </row>
    <row r="14" spans="1:19" ht="15" hidden="1" thickTop="1" x14ac:dyDescent="0.35">
      <c r="A14" s="1889"/>
      <c r="B14" s="1885" t="e">
        <f>#REF!</f>
        <v>#REF!</v>
      </c>
      <c r="C14" s="1892" t="s">
        <v>654</v>
      </c>
      <c r="D14" s="1886"/>
      <c r="E14" s="1886"/>
      <c r="F14" s="1886"/>
      <c r="G14" s="646"/>
      <c r="H14" s="1891"/>
      <c r="I14" s="1891"/>
      <c r="J14" s="1891"/>
      <c r="K14" s="1891"/>
      <c r="L14" s="1891"/>
      <c r="M14" s="1891"/>
      <c r="N14" s="1891"/>
      <c r="O14" s="1891"/>
      <c r="P14" s="1891"/>
      <c r="Q14" s="1891"/>
      <c r="R14" s="1891"/>
      <c r="S14" s="1891"/>
    </row>
    <row r="15" spans="1:19" ht="15" hidden="1" thickTop="1" x14ac:dyDescent="0.35">
      <c r="A15" s="1889"/>
      <c r="B15" s="1885" t="e">
        <f>#REF!</f>
        <v>#REF!</v>
      </c>
      <c r="C15" s="1892" t="s">
        <v>654</v>
      </c>
      <c r="D15" s="1886"/>
      <c r="E15" s="1886"/>
      <c r="F15" s="1886"/>
      <c r="G15" s="646"/>
      <c r="H15" s="1891"/>
      <c r="I15" s="1891"/>
      <c r="J15" s="1891"/>
      <c r="K15" s="1891"/>
      <c r="L15" s="1891"/>
      <c r="M15" s="1891"/>
      <c r="N15" s="1891"/>
      <c r="O15" s="1891"/>
      <c r="P15" s="1891"/>
      <c r="Q15" s="1891"/>
      <c r="R15" s="1891"/>
      <c r="S15" s="1891"/>
    </row>
    <row r="16" spans="1:19" ht="15" hidden="1" thickTop="1" x14ac:dyDescent="0.35">
      <c r="A16" s="1889"/>
      <c r="B16" s="1885" t="e">
        <f>#REF!</f>
        <v>#REF!</v>
      </c>
      <c r="C16" s="1892" t="s">
        <v>654</v>
      </c>
      <c r="D16" s="1886"/>
      <c r="E16" s="1886"/>
      <c r="F16" s="1886"/>
      <c r="G16" s="646"/>
      <c r="H16" s="1891"/>
      <c r="I16" s="1891"/>
      <c r="J16" s="1891"/>
      <c r="K16" s="1891"/>
      <c r="L16" s="1891"/>
      <c r="M16" s="1891"/>
      <c r="N16" s="1891"/>
      <c r="O16" s="1891"/>
      <c r="P16" s="1891"/>
      <c r="Q16" s="1891"/>
      <c r="R16" s="1891"/>
      <c r="S16" s="1891"/>
    </row>
    <row r="17" spans="1:19" ht="15" hidden="1" thickTop="1" x14ac:dyDescent="0.35">
      <c r="A17" s="1889"/>
      <c r="B17" s="1885" t="e">
        <f>#REF!</f>
        <v>#REF!</v>
      </c>
      <c r="C17" s="1892" t="s">
        <v>654</v>
      </c>
      <c r="D17" s="1886"/>
      <c r="E17" s="1886"/>
      <c r="F17" s="1886"/>
      <c r="G17" s="646"/>
      <c r="H17" s="1891"/>
      <c r="I17" s="1891"/>
      <c r="J17" s="1891"/>
      <c r="K17" s="1891"/>
      <c r="L17" s="1891"/>
      <c r="M17" s="1891"/>
      <c r="N17" s="1891"/>
      <c r="O17" s="1891"/>
      <c r="P17" s="1891"/>
      <c r="Q17" s="1891"/>
      <c r="R17" s="1891"/>
      <c r="S17" s="1891"/>
    </row>
    <row r="18" spans="1:19" ht="15" hidden="1" thickTop="1" x14ac:dyDescent="0.35">
      <c r="A18" s="1889"/>
      <c r="B18" s="1885" t="e">
        <f>#REF!</f>
        <v>#REF!</v>
      </c>
      <c r="C18" s="1892" t="s">
        <v>654</v>
      </c>
      <c r="D18" s="1886"/>
      <c r="E18" s="1886"/>
      <c r="F18" s="1886"/>
      <c r="G18" s="646"/>
      <c r="H18" s="1891"/>
      <c r="I18" s="1891"/>
      <c r="J18" s="1891"/>
      <c r="K18" s="1891"/>
      <c r="L18" s="1891"/>
      <c r="M18" s="1891"/>
      <c r="N18" s="1891"/>
      <c r="O18" s="1891"/>
      <c r="P18" s="1891"/>
      <c r="Q18" s="1891"/>
      <c r="R18" s="1891"/>
      <c r="S18" s="1891"/>
    </row>
    <row r="19" spans="1:19" ht="15" hidden="1" thickTop="1" x14ac:dyDescent="0.35">
      <c r="A19" s="1889"/>
      <c r="B19" s="1885" t="e">
        <f>#REF!</f>
        <v>#REF!</v>
      </c>
      <c r="C19" s="1892" t="s">
        <v>654</v>
      </c>
      <c r="D19" s="1886"/>
      <c r="E19" s="1886"/>
      <c r="F19" s="1886"/>
      <c r="G19" s="646"/>
      <c r="H19" s="1891"/>
      <c r="I19" s="1891"/>
      <c r="J19" s="1891"/>
      <c r="K19" s="1891"/>
      <c r="L19" s="1891"/>
      <c r="M19" s="1891"/>
      <c r="N19" s="1891"/>
      <c r="O19" s="1891"/>
      <c r="P19" s="1891"/>
      <c r="Q19" s="1891"/>
      <c r="R19" s="1891"/>
      <c r="S19" s="1891"/>
    </row>
    <row r="20" spans="1:19" ht="15" thickTop="1" x14ac:dyDescent="0.35">
      <c r="A20" s="1889"/>
      <c r="B20" s="1885"/>
      <c r="C20" s="1892"/>
      <c r="D20" s="1886"/>
      <c r="E20" s="1886"/>
      <c r="F20" s="1886"/>
      <c r="G20" s="646"/>
      <c r="H20" s="1893"/>
      <c r="I20" s="1891"/>
      <c r="J20" s="1893"/>
      <c r="K20" s="1891"/>
      <c r="L20" s="1893"/>
      <c r="M20" s="1891"/>
      <c r="N20" s="1893"/>
      <c r="O20" s="1891"/>
      <c r="P20" s="1893"/>
      <c r="Q20" s="1891"/>
      <c r="R20" s="1893"/>
      <c r="S20" s="1891"/>
    </row>
    <row r="21" spans="1:19" ht="15" thickBot="1" x14ac:dyDescent="0.4">
      <c r="A21" s="48"/>
      <c r="B21" s="1894" t="s">
        <v>2311</v>
      </c>
      <c r="C21" s="45"/>
      <c r="D21" s="46"/>
      <c r="E21" s="46"/>
      <c r="F21" s="46"/>
      <c r="G21" s="52"/>
      <c r="H21" s="1893"/>
      <c r="I21" s="1891"/>
      <c r="J21" s="1893"/>
      <c r="K21" s="1891"/>
      <c r="L21" s="1893"/>
      <c r="M21" s="1891"/>
      <c r="N21" s="1893"/>
      <c r="O21" s="1891"/>
      <c r="P21" s="1893"/>
      <c r="Q21" s="1891"/>
      <c r="R21" s="1893"/>
      <c r="S21" s="1891"/>
    </row>
    <row r="22" spans="1:19" ht="15" thickBot="1" x14ac:dyDescent="0.4">
      <c r="A22" s="1817"/>
      <c r="B22" s="604" t="s">
        <v>657</v>
      </c>
      <c r="C22" s="1892"/>
      <c r="D22" s="1886"/>
      <c r="E22" s="1886"/>
      <c r="F22" s="1886"/>
      <c r="G22" s="646"/>
      <c r="H22" s="1893"/>
      <c r="I22" s="1870"/>
      <c r="J22" s="1893"/>
      <c r="K22" s="668"/>
      <c r="L22" s="1893"/>
      <c r="M22" s="668"/>
      <c r="N22" s="1893"/>
      <c r="O22" s="668"/>
      <c r="P22" s="1893"/>
      <c r="Q22" s="668"/>
      <c r="R22" s="1893"/>
      <c r="S22" s="668"/>
    </row>
    <row r="23" spans="1:19" x14ac:dyDescent="0.35">
      <c r="A23" s="1817"/>
      <c r="B23" s="603" t="s">
        <v>658</v>
      </c>
      <c r="C23" s="1895"/>
      <c r="D23" s="682"/>
      <c r="E23" s="1886"/>
      <c r="F23" s="1886"/>
      <c r="G23" s="646"/>
      <c r="H23" s="1893"/>
      <c r="I23" s="1813"/>
      <c r="J23" s="1893"/>
      <c r="K23" s="1813"/>
      <c r="L23" s="1893"/>
      <c r="M23" s="1813"/>
      <c r="N23" s="1893"/>
      <c r="O23" s="1825"/>
      <c r="P23" s="1893"/>
      <c r="Q23" s="1825"/>
      <c r="R23" s="1893"/>
      <c r="S23" s="1825"/>
    </row>
    <row r="24" spans="1:19" x14ac:dyDescent="0.35">
      <c r="A24" s="1817"/>
      <c r="B24" s="1896" t="s">
        <v>659</v>
      </c>
      <c r="C24" s="1895"/>
      <c r="D24" s="682"/>
      <c r="E24" s="1886"/>
      <c r="F24" s="1886"/>
      <c r="G24" s="646"/>
      <c r="H24" s="1893"/>
      <c r="I24" s="1825"/>
      <c r="J24" s="1893"/>
      <c r="K24" s="1813"/>
      <c r="L24" s="1893"/>
      <c r="M24" s="1813"/>
      <c r="N24" s="1893"/>
      <c r="O24" s="1825"/>
      <c r="P24" s="1893"/>
      <c r="Q24" s="1825"/>
      <c r="R24" s="1893"/>
      <c r="S24" s="1825"/>
    </row>
    <row r="25" spans="1:19" x14ac:dyDescent="0.35">
      <c r="A25" s="1817"/>
      <c r="B25" s="1812" t="s">
        <v>660</v>
      </c>
      <c r="C25" s="646"/>
      <c r="D25" s="1886"/>
      <c r="E25" s="1886"/>
      <c r="F25" s="1886"/>
      <c r="G25" s="646"/>
      <c r="H25" s="1893"/>
      <c r="I25" s="1825"/>
      <c r="J25" s="1893"/>
      <c r="K25" s="1825"/>
      <c r="L25" s="1893"/>
      <c r="M25" s="1813"/>
      <c r="N25" s="1893"/>
      <c r="O25" s="1825"/>
      <c r="P25" s="1893"/>
      <c r="Q25" s="1825"/>
      <c r="R25" s="1893"/>
      <c r="S25" s="1825"/>
    </row>
    <row r="26" spans="1:19" x14ac:dyDescent="0.35">
      <c r="A26" s="1817"/>
      <c r="B26" s="1812" t="s">
        <v>661</v>
      </c>
      <c r="C26" s="646"/>
      <c r="D26" s="1886"/>
      <c r="E26" s="1886"/>
      <c r="F26" s="1886"/>
      <c r="G26" s="646"/>
      <c r="H26" s="1893"/>
      <c r="I26" s="1813"/>
      <c r="J26" s="1893"/>
      <c r="K26" s="1813"/>
      <c r="L26" s="1893"/>
      <c r="M26" s="1813"/>
      <c r="N26" s="1893"/>
      <c r="O26" s="1813"/>
      <c r="P26" s="1893"/>
      <c r="Q26" s="1813"/>
      <c r="R26" s="1893"/>
      <c r="S26" s="1813"/>
    </row>
    <row r="27" spans="1:19" x14ac:dyDescent="0.35">
      <c r="A27" s="1817"/>
      <c r="B27" s="1812" t="s">
        <v>662</v>
      </c>
      <c r="C27" s="646"/>
      <c r="D27" s="1886"/>
      <c r="E27" s="1886"/>
      <c r="F27" s="1886"/>
      <c r="G27" s="646"/>
      <c r="H27" s="1893"/>
      <c r="I27" s="1813"/>
      <c r="J27" s="1893"/>
      <c r="K27" s="1813"/>
      <c r="L27" s="1893"/>
      <c r="M27" s="1813"/>
      <c r="N27" s="1893"/>
      <c r="O27" s="1813"/>
      <c r="P27" s="1893"/>
      <c r="Q27" s="1813"/>
      <c r="R27" s="1893"/>
      <c r="S27" s="1813"/>
    </row>
    <row r="28" spans="1:19" x14ac:dyDescent="0.35">
      <c r="A28" s="1817"/>
      <c r="B28" s="1812" t="s">
        <v>663</v>
      </c>
      <c r="C28" s="646"/>
      <c r="D28" s="1886"/>
      <c r="E28" s="1886"/>
      <c r="F28" s="1886"/>
      <c r="G28" s="646"/>
      <c r="H28" s="1893"/>
      <c r="I28" s="1813"/>
      <c r="J28" s="1893"/>
      <c r="K28" s="1813"/>
      <c r="L28" s="1893"/>
      <c r="M28" s="1813"/>
      <c r="N28" s="1893"/>
      <c r="O28" s="1813"/>
      <c r="P28" s="1893"/>
      <c r="Q28" s="1813"/>
      <c r="R28" s="1893"/>
      <c r="S28" s="1813"/>
    </row>
    <row r="29" spans="1:19" x14ac:dyDescent="0.35">
      <c r="A29" s="1808"/>
      <c r="B29" s="1812" t="s">
        <v>742</v>
      </c>
      <c r="C29" s="646"/>
      <c r="D29" s="1886"/>
      <c r="E29" s="1886"/>
      <c r="F29" s="1886"/>
      <c r="G29" s="646"/>
      <c r="H29" s="1893"/>
      <c r="I29" s="1813"/>
      <c r="J29" s="1893"/>
      <c r="K29" s="1813"/>
      <c r="L29" s="1893"/>
      <c r="M29" s="1813"/>
      <c r="N29" s="1893"/>
      <c r="O29" s="1813"/>
      <c r="P29" s="1893"/>
      <c r="Q29" s="1813"/>
      <c r="R29" s="1893"/>
      <c r="S29" s="1813"/>
    </row>
    <row r="30" spans="1:19" x14ac:dyDescent="0.35">
      <c r="A30" s="1817"/>
      <c r="B30" s="1814" t="s">
        <v>664</v>
      </c>
      <c r="C30" s="646"/>
      <c r="D30" s="1886"/>
      <c r="E30" s="1886"/>
      <c r="F30" s="1886"/>
      <c r="G30" s="646"/>
      <c r="H30" s="1893"/>
      <c r="I30" s="1813"/>
      <c r="J30" s="1893"/>
      <c r="K30" s="1813"/>
      <c r="L30" s="1893"/>
      <c r="M30" s="1813"/>
      <c r="N30" s="1893"/>
      <c r="O30" s="1813"/>
      <c r="P30" s="1893"/>
      <c r="Q30" s="1813"/>
      <c r="R30" s="1893"/>
      <c r="S30" s="1813"/>
    </row>
    <row r="31" spans="1:19" x14ac:dyDescent="0.35">
      <c r="A31" s="1817"/>
      <c r="B31" s="1897" t="s">
        <v>665</v>
      </c>
      <c r="C31" s="952"/>
      <c r="D31" s="1898"/>
      <c r="E31" s="1898"/>
      <c r="F31" s="1898"/>
      <c r="G31" s="952"/>
      <c r="H31" s="1799"/>
      <c r="I31" s="1815"/>
      <c r="J31" s="1799"/>
      <c r="K31" s="1815"/>
      <c r="L31" s="1799"/>
      <c r="M31" s="1815"/>
      <c r="N31" s="1799"/>
      <c r="O31" s="1815"/>
      <c r="P31" s="1799"/>
      <c r="Q31" s="1815"/>
      <c r="R31" s="1799"/>
      <c r="S31" s="1815"/>
    </row>
    <row r="32" spans="1:19" x14ac:dyDescent="0.35">
      <c r="A32" s="1817"/>
      <c r="B32" s="1899" t="s">
        <v>191</v>
      </c>
      <c r="C32" s="646"/>
      <c r="D32" s="1886"/>
      <c r="E32" s="1886"/>
      <c r="F32" s="1886"/>
      <c r="G32" s="646"/>
      <c r="H32" s="1893"/>
      <c r="I32" s="1813"/>
      <c r="J32" s="1893"/>
      <c r="K32" s="1813"/>
      <c r="L32" s="1893"/>
      <c r="M32" s="1813"/>
      <c r="N32" s="1893"/>
      <c r="O32" s="1813"/>
      <c r="P32" s="1893"/>
      <c r="Q32" s="1813"/>
      <c r="R32" s="1893"/>
      <c r="S32" s="1813"/>
    </row>
    <row r="33" spans="1:19" x14ac:dyDescent="0.35">
      <c r="A33" s="1817"/>
      <c r="B33" s="1900" t="s">
        <v>191</v>
      </c>
      <c r="C33" s="646"/>
      <c r="D33" s="1886"/>
      <c r="E33" s="1886"/>
      <c r="F33" s="1886"/>
      <c r="G33" s="646"/>
      <c r="H33" s="1893"/>
      <c r="I33" s="1813"/>
      <c r="J33" s="1893"/>
      <c r="K33" s="1813"/>
      <c r="L33" s="1893"/>
      <c r="M33" s="1813"/>
      <c r="N33" s="1893"/>
      <c r="O33" s="1813"/>
      <c r="P33" s="1893"/>
      <c r="Q33" s="1813"/>
      <c r="R33" s="1893"/>
      <c r="S33" s="1813"/>
    </row>
    <row r="34" spans="1:19" x14ac:dyDescent="0.35">
      <c r="A34" s="1817"/>
      <c r="B34" s="1901" t="s">
        <v>2313</v>
      </c>
      <c r="C34" s="646"/>
      <c r="D34" s="1886"/>
      <c r="E34" s="1886"/>
      <c r="F34" s="1886"/>
      <c r="G34" s="646"/>
      <c r="H34" s="1893"/>
      <c r="I34" s="1813"/>
      <c r="J34" s="1893"/>
      <c r="K34" s="1813"/>
      <c r="L34" s="1893"/>
      <c r="M34" s="1813"/>
      <c r="N34" s="1893"/>
      <c r="O34" s="1813"/>
      <c r="P34" s="1893"/>
      <c r="Q34" s="1813"/>
      <c r="R34" s="1893"/>
      <c r="S34" s="1813"/>
    </row>
    <row r="35" spans="1:19" x14ac:dyDescent="0.35">
      <c r="A35" s="1817"/>
      <c r="B35" s="1902" t="s">
        <v>2314</v>
      </c>
      <c r="C35" s="646"/>
      <c r="D35" s="1886"/>
      <c r="E35" s="1886"/>
      <c r="F35" s="1886"/>
      <c r="G35" s="646"/>
      <c r="H35" s="1893"/>
      <c r="I35" s="1813"/>
      <c r="J35" s="1893"/>
      <c r="K35" s="1813"/>
      <c r="L35" s="1893"/>
      <c r="M35" s="1813"/>
      <c r="N35" s="1893"/>
      <c r="O35" s="1813"/>
      <c r="P35" s="1893"/>
      <c r="Q35" s="1813"/>
      <c r="R35" s="1893"/>
      <c r="S35" s="1813"/>
    </row>
    <row r="36" spans="1:19" x14ac:dyDescent="0.35">
      <c r="A36" s="1817"/>
      <c r="B36" s="1902" t="s">
        <v>2315</v>
      </c>
      <c r="C36" s="646"/>
      <c r="D36" s="1886"/>
      <c r="E36" s="1886"/>
      <c r="F36" s="1886"/>
      <c r="G36" s="646"/>
      <c r="H36" s="1893"/>
      <c r="I36" s="1813"/>
      <c r="J36" s="1893"/>
      <c r="K36" s="1813"/>
      <c r="L36" s="1893"/>
      <c r="M36" s="1813"/>
      <c r="N36" s="1893"/>
      <c r="O36" s="1813"/>
      <c r="P36" s="1893"/>
      <c r="Q36" s="1813"/>
      <c r="R36" s="1893"/>
      <c r="S36" s="1813"/>
    </row>
    <row r="37" spans="1:19" x14ac:dyDescent="0.35">
      <c r="A37" s="1817"/>
      <c r="B37" s="1902" t="s">
        <v>2316</v>
      </c>
      <c r="C37" s="646"/>
      <c r="D37" s="1886"/>
      <c r="E37" s="1886"/>
      <c r="F37" s="1886"/>
      <c r="G37" s="646"/>
      <c r="H37" s="1893"/>
      <c r="I37" s="1813"/>
      <c r="J37" s="1893"/>
      <c r="K37" s="1813"/>
      <c r="L37" s="1893"/>
      <c r="M37" s="1813"/>
      <c r="N37" s="1893"/>
      <c r="O37" s="1813"/>
      <c r="P37" s="1893"/>
      <c r="Q37" s="1813"/>
      <c r="R37" s="1893"/>
      <c r="S37" s="1813"/>
    </row>
    <row r="38" spans="1:19" x14ac:dyDescent="0.35">
      <c r="A38" s="1817"/>
      <c r="B38" s="1902" t="s">
        <v>2317</v>
      </c>
      <c r="C38" s="646"/>
      <c r="D38" s="1886"/>
      <c r="E38" s="1886"/>
      <c r="F38" s="1886"/>
      <c r="G38" s="646"/>
      <c r="H38" s="1893"/>
      <c r="I38" s="1813"/>
      <c r="J38" s="1893"/>
      <c r="K38" s="1813"/>
      <c r="L38" s="1893"/>
      <c r="M38" s="1813"/>
      <c r="N38" s="1893"/>
      <c r="O38" s="1813"/>
      <c r="P38" s="1893"/>
      <c r="Q38" s="1813"/>
      <c r="R38" s="1893"/>
      <c r="S38" s="1813"/>
    </row>
    <row r="39" spans="1:19" x14ac:dyDescent="0.35">
      <c r="A39" s="1817"/>
      <c r="B39" s="1902" t="s">
        <v>2318</v>
      </c>
      <c r="C39" s="646"/>
      <c r="D39" s="1886"/>
      <c r="E39" s="1886"/>
      <c r="F39" s="1886"/>
      <c r="G39" s="646"/>
      <c r="H39" s="1893"/>
      <c r="I39" s="1813"/>
      <c r="J39" s="1893"/>
      <c r="K39" s="1813"/>
      <c r="L39" s="1893"/>
      <c r="M39" s="1813"/>
      <c r="N39" s="1893"/>
      <c r="O39" s="1813"/>
      <c r="P39" s="1893"/>
      <c r="Q39" s="1813"/>
      <c r="R39" s="1893"/>
      <c r="S39" s="1813"/>
    </row>
    <row r="40" spans="1:19" x14ac:dyDescent="0.35">
      <c r="A40" s="1817"/>
      <c r="B40" s="1902"/>
      <c r="C40" s="646"/>
      <c r="D40" s="1886"/>
      <c r="E40" s="1886"/>
      <c r="F40" s="1886"/>
      <c r="G40" s="646"/>
      <c r="H40" s="1893"/>
      <c r="I40" s="1813"/>
      <c r="J40" s="1893"/>
      <c r="K40" s="1813"/>
      <c r="L40" s="1893"/>
      <c r="M40" s="1813"/>
      <c r="N40" s="1893"/>
      <c r="O40" s="1813"/>
      <c r="P40" s="1893"/>
      <c r="Q40" s="1813"/>
      <c r="R40" s="1893"/>
      <c r="S40" s="1813"/>
    </row>
    <row r="41" spans="1:19" x14ac:dyDescent="0.35">
      <c r="A41" s="1817"/>
      <c r="B41" s="1902" t="s">
        <v>2319</v>
      </c>
      <c r="C41" s="1903"/>
      <c r="D41" s="1886"/>
      <c r="E41" s="1886"/>
      <c r="F41" s="1886"/>
      <c r="G41" s="646"/>
      <c r="H41" s="1893"/>
      <c r="I41" s="1813"/>
      <c r="J41" s="1893"/>
      <c r="K41" s="1813"/>
      <c r="L41" s="1893"/>
      <c r="M41" s="1813"/>
      <c r="N41" s="1893"/>
      <c r="O41" s="1813"/>
      <c r="P41" s="1893"/>
      <c r="Q41" s="1813"/>
      <c r="R41" s="1893"/>
      <c r="S41" s="1813"/>
    </row>
    <row r="42" spans="1:19" x14ac:dyDescent="0.35">
      <c r="A42" s="1817"/>
      <c r="B42" s="1902" t="s">
        <v>2320</v>
      </c>
      <c r="C42" s="1903"/>
      <c r="D42" s="1886"/>
      <c r="E42" s="1886"/>
      <c r="F42" s="1886"/>
      <c r="G42" s="646"/>
      <c r="H42" s="1893"/>
      <c r="I42" s="1813"/>
      <c r="J42" s="1893"/>
      <c r="K42" s="1813"/>
      <c r="L42" s="1893"/>
      <c r="M42" s="1813"/>
      <c r="N42" s="1893"/>
      <c r="O42" s="1813"/>
      <c r="P42" s="1893"/>
      <c r="Q42" s="1813"/>
      <c r="R42" s="1893"/>
      <c r="S42" s="1813"/>
    </row>
    <row r="43" spans="1:19" x14ac:dyDescent="0.35">
      <c r="A43" s="1817"/>
      <c r="B43" s="1902" t="s">
        <v>2321</v>
      </c>
      <c r="C43" s="1903"/>
      <c r="D43" s="1886"/>
      <c r="E43" s="1886"/>
      <c r="F43" s="1886"/>
      <c r="G43" s="646"/>
      <c r="H43" s="1893"/>
      <c r="I43" s="1813"/>
      <c r="J43" s="1893"/>
      <c r="K43" s="1813"/>
      <c r="L43" s="1893"/>
      <c r="M43" s="1813"/>
      <c r="N43" s="1893"/>
      <c r="O43" s="1813"/>
      <c r="P43" s="1893"/>
      <c r="Q43" s="1813"/>
      <c r="R43" s="1893"/>
      <c r="S43" s="1813"/>
    </row>
    <row r="44" spans="1:19" x14ac:dyDescent="0.35">
      <c r="A44" s="1817"/>
      <c r="B44" s="1902"/>
      <c r="C44" s="1903"/>
      <c r="D44" s="1886"/>
      <c r="E44" s="1886"/>
      <c r="F44" s="1886"/>
      <c r="G44" s="646"/>
      <c r="H44" s="1893"/>
      <c r="I44" s="1813"/>
      <c r="J44" s="1893"/>
      <c r="K44" s="1813"/>
      <c r="L44" s="1893"/>
      <c r="M44" s="1813"/>
      <c r="N44" s="1893"/>
      <c r="O44" s="1813"/>
      <c r="P44" s="1893"/>
      <c r="Q44" s="1813"/>
      <c r="R44" s="1893"/>
      <c r="S44" s="1813"/>
    </row>
    <row r="45" spans="1:19" x14ac:dyDescent="0.35">
      <c r="A45" s="1817"/>
      <c r="B45" s="1902"/>
      <c r="C45" s="1903"/>
      <c r="D45" s="1886"/>
      <c r="E45" s="1886"/>
      <c r="F45" s="1886"/>
      <c r="G45" s="646"/>
      <c r="H45" s="1893"/>
      <c r="I45" s="1813"/>
      <c r="J45" s="1893"/>
      <c r="K45" s="1813"/>
      <c r="L45" s="1893"/>
      <c r="M45" s="1813"/>
      <c r="N45" s="1893"/>
      <c r="O45" s="1813"/>
      <c r="P45" s="1893"/>
      <c r="Q45" s="1813"/>
      <c r="R45" s="1893"/>
      <c r="S45" s="1813"/>
    </row>
    <row r="46" spans="1:19" x14ac:dyDescent="0.35">
      <c r="A46" s="1817"/>
      <c r="B46" s="1902" t="s">
        <v>191</v>
      </c>
      <c r="C46" s="1903"/>
      <c r="D46" s="1886"/>
      <c r="E46" s="1886"/>
      <c r="F46" s="1886"/>
      <c r="G46" s="646"/>
      <c r="H46" s="1893"/>
      <c r="I46" s="1813"/>
      <c r="J46" s="1893"/>
      <c r="K46" s="1813"/>
      <c r="L46" s="1893"/>
      <c r="M46" s="1813"/>
      <c r="N46" s="1893"/>
      <c r="O46" s="1813"/>
      <c r="P46" s="1893"/>
      <c r="Q46" s="1813"/>
      <c r="R46" s="1893"/>
      <c r="S46" s="1813"/>
    </row>
    <row r="47" spans="1:19" x14ac:dyDescent="0.35">
      <c r="A47" s="14"/>
      <c r="B47" s="15"/>
      <c r="C47" s="16"/>
      <c r="D47" s="16"/>
      <c r="E47" s="17"/>
      <c r="F47" s="18" t="s">
        <v>715</v>
      </c>
      <c r="G47" s="19"/>
      <c r="H47" s="20"/>
      <c r="I47" s="50">
        <f>SUM(I23:I46)</f>
        <v>0</v>
      </c>
      <c r="J47" s="20"/>
      <c r="K47" s="50">
        <f>SUM(K23:K46)</f>
        <v>0</v>
      </c>
      <c r="L47" s="20"/>
      <c r="M47" s="50">
        <f>SUM(M23:M46)</f>
        <v>0</v>
      </c>
      <c r="N47" s="20"/>
      <c r="O47" s="50">
        <f>SUM(O26:O46)</f>
        <v>0</v>
      </c>
      <c r="P47" s="20"/>
      <c r="Q47" s="50">
        <f>SUM(Q26:Q46)</f>
        <v>0</v>
      </c>
      <c r="R47" s="20"/>
      <c r="S47" s="50">
        <f>SUM(S26:S46)</f>
        <v>0</v>
      </c>
    </row>
    <row r="48" spans="1:19" x14ac:dyDescent="0.35">
      <c r="A48" s="1838"/>
      <c r="B48" s="1839"/>
      <c r="C48" s="1840"/>
      <c r="D48" s="1840"/>
      <c r="E48" s="1841"/>
      <c r="F48" s="1842" t="s">
        <v>716</v>
      </c>
      <c r="G48" s="1904"/>
      <c r="H48" s="1905">
        <v>0</v>
      </c>
      <c r="I48" s="1844"/>
      <c r="J48" s="1843">
        <v>0</v>
      </c>
      <c r="K48" s="1844"/>
      <c r="L48" s="1843">
        <v>0</v>
      </c>
      <c r="M48" s="1844"/>
      <c r="N48" s="1905">
        <v>0</v>
      </c>
      <c r="O48" s="1844"/>
      <c r="P48" s="1905">
        <v>0</v>
      </c>
      <c r="Q48" s="1844"/>
      <c r="R48" s="1905">
        <v>0</v>
      </c>
      <c r="S48" s="1844"/>
    </row>
    <row r="49" spans="1:19" x14ac:dyDescent="0.35">
      <c r="A49" s="1838"/>
      <c r="B49" s="1839"/>
      <c r="C49" s="1840"/>
      <c r="D49" s="1840"/>
      <c r="E49" s="1841"/>
      <c r="F49" s="1842" t="s">
        <v>717</v>
      </c>
      <c r="G49" s="1904"/>
      <c r="H49" s="1845"/>
      <c r="I49" s="1846">
        <f>H48*I47</f>
        <v>0</v>
      </c>
      <c r="J49" s="1845"/>
      <c r="K49" s="1846">
        <f>J48*K47</f>
        <v>0</v>
      </c>
      <c r="L49" s="1845"/>
      <c r="M49" s="1846">
        <f>L48*M47</f>
        <v>0</v>
      </c>
      <c r="N49" s="1845"/>
      <c r="O49" s="1846">
        <f>N48*O47</f>
        <v>0</v>
      </c>
      <c r="P49" s="1845"/>
      <c r="Q49" s="1846">
        <f>P48*Q47</f>
        <v>0</v>
      </c>
      <c r="R49" s="1845"/>
      <c r="S49" s="1846">
        <f>R48*S47</f>
        <v>0</v>
      </c>
    </row>
    <row r="50" spans="1:19" x14ac:dyDescent="0.35">
      <c r="A50" s="1838"/>
      <c r="B50" s="1839"/>
      <c r="C50" s="1840"/>
      <c r="D50" s="1840"/>
      <c r="E50" s="1841"/>
      <c r="F50" s="1842"/>
      <c r="G50" s="1904"/>
      <c r="H50" s="1845"/>
      <c r="I50" s="1847"/>
      <c r="J50" s="1845"/>
      <c r="K50" s="1847"/>
      <c r="L50" s="1845"/>
      <c r="M50" s="1847"/>
      <c r="N50" s="1845"/>
      <c r="O50" s="1847"/>
      <c r="P50" s="1845"/>
      <c r="Q50" s="1847"/>
      <c r="R50" s="1845"/>
      <c r="S50" s="1847"/>
    </row>
    <row r="51" spans="1:19" x14ac:dyDescent="0.35">
      <c r="A51" s="1838"/>
      <c r="B51" s="1839"/>
      <c r="C51" s="1840"/>
      <c r="D51" s="1840"/>
      <c r="E51" s="1841"/>
      <c r="F51" s="1842" t="s">
        <v>718</v>
      </c>
      <c r="G51" s="1904"/>
      <c r="H51" s="1848"/>
      <c r="I51" s="1849">
        <f>SUM(I47:I49)</f>
        <v>0</v>
      </c>
      <c r="J51" s="1848"/>
      <c r="K51" s="1849">
        <f>SUM(K47:K49)</f>
        <v>0</v>
      </c>
      <c r="L51" s="1848"/>
      <c r="M51" s="1849">
        <f>SUM(M47:M49)</f>
        <v>0</v>
      </c>
      <c r="N51" s="1848"/>
      <c r="O51" s="1849">
        <f>SUM(O47:O49)</f>
        <v>0</v>
      </c>
      <c r="P51" s="1848"/>
      <c r="Q51" s="1849">
        <f>SUM(Q47:Q49)</f>
        <v>0</v>
      </c>
      <c r="R51" s="1848"/>
      <c r="S51" s="1849">
        <f>SUM(S47:S49)</f>
        <v>0</v>
      </c>
    </row>
    <row r="52" spans="1:19" x14ac:dyDescent="0.35">
      <c r="A52" s="1838"/>
      <c r="B52" s="1839"/>
      <c r="C52" s="1840"/>
      <c r="D52" s="1840"/>
      <c r="E52" s="1841"/>
      <c r="F52" s="1850" t="s">
        <v>719</v>
      </c>
      <c r="G52" s="1906"/>
      <c r="H52" s="1851"/>
      <c r="I52" s="1852" t="e">
        <f>I51/#REF!</f>
        <v>#REF!</v>
      </c>
      <c r="J52" s="1851"/>
      <c r="K52" s="1852" t="e">
        <f>K51/#REF!</f>
        <v>#REF!</v>
      </c>
      <c r="L52" s="1851"/>
      <c r="M52" s="1852" t="e">
        <f>M51/#REF!</f>
        <v>#REF!</v>
      </c>
      <c r="N52" s="1851"/>
      <c r="O52" s="1852" t="e">
        <f>O51/#REF!</f>
        <v>#REF!</v>
      </c>
      <c r="P52" s="1851"/>
      <c r="Q52" s="1852" t="e">
        <f>Q51/#REF!</f>
        <v>#REF!</v>
      </c>
      <c r="R52" s="1851"/>
      <c r="S52" s="1852" t="e">
        <f>S51/#REF!</f>
        <v>#REF!</v>
      </c>
    </row>
    <row r="53" spans="1:19" x14ac:dyDescent="0.35">
      <c r="A53" s="1838"/>
      <c r="B53" s="1839"/>
      <c r="C53" s="1840"/>
      <c r="D53" s="1840"/>
      <c r="E53" s="1841"/>
      <c r="F53" s="1850" t="s">
        <v>720</v>
      </c>
      <c r="G53" s="1907"/>
      <c r="H53" s="1851"/>
      <c r="I53" s="1852" t="e">
        <f>I51/#REF!</f>
        <v>#REF!</v>
      </c>
      <c r="J53" s="1851"/>
      <c r="K53" s="1852" t="e">
        <f>K51/#REF!</f>
        <v>#REF!</v>
      </c>
      <c r="L53" s="1851"/>
      <c r="M53" s="1852" t="e">
        <f>M51/#REF!</f>
        <v>#REF!</v>
      </c>
      <c r="N53" s="1851"/>
      <c r="O53" s="1852" t="e">
        <f>O51/#REF!</f>
        <v>#REF!</v>
      </c>
      <c r="P53" s="1851"/>
      <c r="Q53" s="1852" t="e">
        <f>Q51/#REF!</f>
        <v>#REF!</v>
      </c>
      <c r="R53" s="1851"/>
      <c r="S53" s="1852" t="e">
        <f>S51/#REF!</f>
        <v>#REF!</v>
      </c>
    </row>
    <row r="54" spans="1:19" ht="15" thickBot="1" x14ac:dyDescent="0.4">
      <c r="A54" s="1838"/>
      <c r="B54" s="1839"/>
      <c r="C54" s="1840"/>
      <c r="D54" s="1840"/>
      <c r="E54" s="1841"/>
      <c r="F54" s="1842"/>
      <c r="G54" s="1908"/>
      <c r="H54" s="1853"/>
      <c r="I54" s="1854"/>
      <c r="J54" s="1855"/>
      <c r="K54" s="1855"/>
      <c r="L54" s="1855"/>
      <c r="M54" s="1855"/>
      <c r="N54" s="1855"/>
      <c r="O54" s="1856"/>
      <c r="P54" s="1855"/>
      <c r="Q54" s="1856"/>
      <c r="R54" s="1855"/>
      <c r="S54" s="1856"/>
    </row>
    <row r="55" spans="1:19" ht="15.5" thickTop="1" thickBot="1" x14ac:dyDescent="0.4">
      <c r="A55" s="3764" t="s">
        <v>721</v>
      </c>
      <c r="B55" s="3765"/>
      <c r="C55" s="12"/>
      <c r="D55" s="12"/>
      <c r="E55" s="12"/>
      <c r="F55" s="12"/>
      <c r="G55" s="13"/>
      <c r="H55" s="21"/>
      <c r="I55" s="21"/>
      <c r="J55" s="21"/>
      <c r="K55" s="21"/>
      <c r="L55" s="21"/>
      <c r="M55" s="21"/>
      <c r="N55" s="21"/>
      <c r="O55" s="21"/>
      <c r="P55" s="21"/>
      <c r="Q55" s="21"/>
      <c r="R55" s="21"/>
      <c r="S55" s="21"/>
    </row>
    <row r="56" spans="1:19" ht="15" thickTop="1" x14ac:dyDescent="0.35">
      <c r="A56" s="1857"/>
      <c r="B56" s="1885"/>
      <c r="C56" s="1833"/>
      <c r="D56" s="1833"/>
      <c r="E56" s="1833"/>
      <c r="F56" s="1833"/>
      <c r="G56" s="1858"/>
      <c r="H56" s="1860"/>
      <c r="I56" s="1860"/>
      <c r="J56" s="1860"/>
      <c r="K56" s="1860"/>
      <c r="L56" s="1860"/>
      <c r="M56" s="1860"/>
      <c r="N56" s="1860"/>
      <c r="O56" s="1860"/>
      <c r="P56" s="1860"/>
      <c r="Q56" s="1860"/>
      <c r="R56" s="1860"/>
      <c r="S56" s="1860"/>
    </row>
    <row r="57" spans="1:19" x14ac:dyDescent="0.35">
      <c r="A57" s="1857"/>
      <c r="B57" s="1885"/>
      <c r="C57" s="1833"/>
      <c r="D57" s="1833"/>
      <c r="E57" s="1833"/>
      <c r="F57" s="1833"/>
      <c r="G57" s="1858"/>
      <c r="H57" s="1860"/>
      <c r="I57" s="1860"/>
      <c r="J57" s="1860"/>
      <c r="K57" s="1860"/>
      <c r="L57" s="1860"/>
      <c r="M57" s="1860"/>
      <c r="N57" s="1860"/>
      <c r="O57" s="1860"/>
      <c r="P57" s="1860"/>
      <c r="Q57" s="1860"/>
      <c r="R57" s="1860"/>
      <c r="S57" s="1860"/>
    </row>
    <row r="58" spans="1:19" ht="15" thickBot="1" x14ac:dyDescent="0.4">
      <c r="A58" s="1857"/>
      <c r="B58" s="1885"/>
      <c r="C58" s="1833"/>
      <c r="D58" s="1833"/>
      <c r="E58" s="1833"/>
      <c r="F58" s="1833"/>
      <c r="G58" s="1858"/>
      <c r="H58" s="1860"/>
      <c r="I58" s="1860"/>
      <c r="J58" s="1860"/>
      <c r="K58" s="1860"/>
      <c r="L58" s="1860"/>
      <c r="M58" s="1860"/>
      <c r="N58" s="1860"/>
      <c r="O58" s="1860"/>
      <c r="P58" s="1860"/>
      <c r="Q58" s="1860"/>
      <c r="R58" s="1860"/>
      <c r="S58" s="1860"/>
    </row>
    <row r="59" spans="1:19" s="2" customFormat="1" ht="15.5" thickTop="1" thickBot="1" x14ac:dyDescent="0.4">
      <c r="A59" s="3764" t="s">
        <v>722</v>
      </c>
      <c r="B59" s="3765"/>
      <c r="C59" s="12"/>
      <c r="D59" s="12"/>
      <c r="E59" s="12"/>
      <c r="F59" s="12"/>
      <c r="G59" s="13"/>
      <c r="H59" s="21"/>
      <c r="I59" s="21"/>
      <c r="J59" s="21"/>
      <c r="K59" s="21"/>
      <c r="L59" s="21"/>
      <c r="M59" s="21"/>
      <c r="N59" s="21"/>
      <c r="O59" s="21"/>
      <c r="P59" s="21"/>
      <c r="Q59" s="21"/>
      <c r="R59" s="21"/>
      <c r="S59" s="21"/>
    </row>
    <row r="60" spans="1:19" s="2" customFormat="1" ht="15" thickTop="1" x14ac:dyDescent="0.35">
      <c r="A60" s="1857"/>
      <c r="B60" s="1885"/>
      <c r="C60" s="1833"/>
      <c r="D60" s="1833"/>
      <c r="E60" s="1833"/>
      <c r="F60" s="1833"/>
      <c r="G60" s="1858"/>
      <c r="H60" s="1860"/>
      <c r="I60" s="1860"/>
      <c r="J60" s="1860"/>
      <c r="K60" s="1860"/>
      <c r="L60" s="1860"/>
      <c r="M60" s="1860"/>
      <c r="N60" s="1860"/>
      <c r="O60" s="1860"/>
      <c r="P60" s="1860"/>
      <c r="Q60" s="1860"/>
      <c r="R60" s="1860"/>
      <c r="S60" s="1860"/>
    </row>
    <row r="61" spans="1:19" s="2" customFormat="1" x14ac:dyDescent="0.35">
      <c r="A61" s="1857"/>
      <c r="B61" s="1885"/>
      <c r="C61" s="1833"/>
      <c r="D61" s="1833"/>
      <c r="E61" s="1833"/>
      <c r="F61" s="1833"/>
      <c r="G61" s="1858"/>
      <c r="H61" s="1860"/>
      <c r="I61" s="1860"/>
      <c r="J61" s="1860"/>
      <c r="K61" s="1860"/>
      <c r="L61" s="1860"/>
      <c r="M61" s="1860"/>
      <c r="N61" s="1860"/>
      <c r="O61" s="1860"/>
      <c r="P61" s="1860"/>
      <c r="Q61" s="1860"/>
      <c r="R61" s="1860"/>
      <c r="S61" s="1860"/>
    </row>
    <row r="62" spans="1:19" ht="15" thickBot="1" x14ac:dyDescent="0.4">
      <c r="A62" s="1857"/>
      <c r="B62" s="1885"/>
      <c r="C62" s="1833"/>
      <c r="D62" s="1833"/>
      <c r="E62" s="1833"/>
      <c r="F62" s="1833"/>
      <c r="G62" s="1858"/>
      <c r="H62" s="1860"/>
      <c r="I62" s="1860"/>
      <c r="J62" s="1860"/>
      <c r="K62" s="1860"/>
      <c r="L62" s="1860"/>
      <c r="M62" s="1860"/>
      <c r="N62" s="1860"/>
      <c r="O62" s="1860"/>
      <c r="P62" s="1860"/>
      <c r="Q62" s="1860"/>
      <c r="R62" s="1860"/>
      <c r="S62" s="1860"/>
    </row>
    <row r="63" spans="1:19" s="2" customFormat="1" ht="15.5" thickTop="1" thickBot="1" x14ac:dyDescent="0.4">
      <c r="A63" s="3764" t="s">
        <v>723</v>
      </c>
      <c r="B63" s="3765"/>
      <c r="C63" s="12"/>
      <c r="D63" s="12"/>
      <c r="E63" s="12"/>
      <c r="F63" s="12"/>
      <c r="G63" s="13"/>
      <c r="H63" s="21"/>
      <c r="I63" s="21"/>
      <c r="J63" s="21"/>
      <c r="K63" s="21"/>
      <c r="L63" s="21"/>
      <c r="M63" s="21"/>
      <c r="N63" s="21"/>
      <c r="O63" s="21"/>
      <c r="P63" s="21"/>
      <c r="Q63" s="21"/>
      <c r="R63" s="21"/>
      <c r="S63" s="21"/>
    </row>
    <row r="64" spans="1:19" s="2" customFormat="1" ht="15" thickTop="1" x14ac:dyDescent="0.35">
      <c r="A64" s="1857"/>
      <c r="B64" s="1885"/>
      <c r="C64" s="1833"/>
      <c r="D64" s="1833"/>
      <c r="E64" s="1833"/>
      <c r="F64" s="1833"/>
      <c r="G64" s="1858"/>
      <c r="H64" s="1860"/>
      <c r="I64" s="1860"/>
      <c r="J64" s="1860"/>
      <c r="K64" s="1860"/>
      <c r="L64" s="1860"/>
      <c r="M64" s="1860"/>
      <c r="N64" s="1860"/>
      <c r="O64" s="1860"/>
      <c r="P64" s="1860"/>
      <c r="Q64" s="1860"/>
      <c r="R64" s="1860"/>
      <c r="S64" s="1860"/>
    </row>
    <row r="65" spans="1:19" s="2" customFormat="1" x14ac:dyDescent="0.35">
      <c r="A65" s="1889"/>
      <c r="B65" s="1885"/>
      <c r="C65" s="1886"/>
      <c r="D65" s="1886"/>
      <c r="E65" s="1886"/>
      <c r="F65" s="1886"/>
      <c r="G65" s="646"/>
      <c r="H65" s="1861"/>
      <c r="I65" s="1861"/>
      <c r="J65" s="1861"/>
      <c r="K65" s="1861"/>
      <c r="L65" s="1861"/>
      <c r="M65" s="1861"/>
      <c r="N65" s="1861"/>
      <c r="O65" s="1861"/>
      <c r="P65" s="1861"/>
      <c r="Q65" s="1861"/>
      <c r="R65" s="1861"/>
      <c r="S65" s="1861"/>
    </row>
    <row r="66" spans="1:19" s="2" customFormat="1" ht="15" thickBot="1" x14ac:dyDescent="0.4">
      <c r="A66" s="1862"/>
      <c r="B66" s="1863"/>
      <c r="C66" s="1886"/>
      <c r="D66" s="1886"/>
      <c r="E66" s="1886"/>
      <c r="F66" s="1886"/>
      <c r="G66" s="646"/>
      <c r="H66" s="1864"/>
      <c r="I66" s="1864"/>
      <c r="J66" s="1864"/>
      <c r="K66" s="1864"/>
      <c r="L66" s="1864"/>
      <c r="M66" s="1864"/>
      <c r="N66" s="1864"/>
      <c r="O66" s="1864"/>
      <c r="P66" s="1864"/>
      <c r="Q66" s="1864"/>
      <c r="R66" s="1864"/>
      <c r="S66" s="1864"/>
    </row>
    <row r="67" spans="1:19" s="2" customFormat="1" ht="15.5" thickTop="1" thickBot="1" x14ac:dyDescent="0.4">
      <c r="A67" s="3764" t="s">
        <v>724</v>
      </c>
      <c r="B67" s="3765"/>
      <c r="C67" s="12"/>
      <c r="D67" s="12"/>
      <c r="E67" s="12"/>
      <c r="F67" s="12"/>
      <c r="G67" s="13"/>
      <c r="H67" s="21"/>
      <c r="I67" s="21"/>
      <c r="J67" s="21"/>
      <c r="K67" s="21"/>
      <c r="L67" s="21"/>
      <c r="M67" s="21"/>
      <c r="N67" s="21"/>
      <c r="O67" s="21"/>
      <c r="P67" s="21"/>
      <c r="Q67" s="21"/>
      <c r="R67" s="21"/>
      <c r="S67" s="21"/>
    </row>
    <row r="68" spans="1:19" ht="15" thickTop="1" x14ac:dyDescent="0.35">
      <c r="A68" s="1865"/>
      <c r="B68" s="1866"/>
      <c r="C68" s="1833"/>
      <c r="D68" s="1833"/>
      <c r="E68" s="1833"/>
      <c r="F68" s="1833"/>
      <c r="G68" s="1858"/>
      <c r="H68" s="1860"/>
      <c r="I68" s="1860"/>
      <c r="J68" s="1860"/>
      <c r="K68" s="1860"/>
      <c r="L68" s="1860"/>
      <c r="M68" s="1860"/>
      <c r="N68" s="1860"/>
      <c r="O68" s="1860"/>
      <c r="P68" s="1860"/>
      <c r="Q68" s="1860"/>
      <c r="R68" s="1860"/>
      <c r="S68" s="1860"/>
    </row>
    <row r="69" spans="1:19" x14ac:dyDescent="0.35">
      <c r="A69" s="1862"/>
      <c r="B69" s="1863"/>
      <c r="C69" s="1886"/>
      <c r="D69" s="1886"/>
      <c r="E69" s="1886"/>
      <c r="F69" s="1886"/>
      <c r="G69" s="646"/>
      <c r="H69" s="1867"/>
      <c r="I69" s="1867"/>
      <c r="J69" s="1867"/>
      <c r="K69" s="1867"/>
      <c r="L69" s="1867"/>
      <c r="M69" s="1867"/>
      <c r="N69" s="1867"/>
      <c r="O69" s="1867"/>
      <c r="P69" s="1867"/>
      <c r="Q69" s="1867"/>
      <c r="R69" s="1867"/>
      <c r="S69" s="1867"/>
    </row>
    <row r="70" spans="1:19" ht="15" thickBot="1" x14ac:dyDescent="0.4">
      <c r="A70" s="1862"/>
      <c r="B70" s="1863"/>
      <c r="C70" s="1886"/>
      <c r="D70" s="1886"/>
      <c r="E70" s="1886"/>
      <c r="F70" s="1886"/>
      <c r="G70" s="646"/>
      <c r="H70" s="1867"/>
      <c r="I70" s="1867"/>
      <c r="J70" s="1867"/>
      <c r="K70" s="1867"/>
      <c r="L70" s="1867"/>
      <c r="M70" s="1867"/>
      <c r="N70" s="1867"/>
      <c r="O70" s="1867"/>
      <c r="P70" s="1867"/>
      <c r="Q70" s="1867"/>
      <c r="R70" s="1867"/>
      <c r="S70" s="1867"/>
    </row>
    <row r="71" spans="1:19" ht="15.5" thickTop="1" thickBot="1" x14ac:dyDescent="0.4">
      <c r="A71" s="3764" t="s">
        <v>725</v>
      </c>
      <c r="B71" s="3765"/>
      <c r="C71" s="12"/>
      <c r="D71" s="12"/>
      <c r="E71" s="12"/>
      <c r="F71" s="12"/>
      <c r="G71" s="13"/>
      <c r="H71" s="21"/>
      <c r="I71" s="21"/>
      <c r="J71" s="21"/>
      <c r="K71" s="21"/>
      <c r="L71" s="21"/>
      <c r="M71" s="21"/>
      <c r="N71" s="21"/>
      <c r="O71" s="21"/>
      <c r="P71" s="21"/>
      <c r="Q71" s="21"/>
      <c r="R71" s="21"/>
      <c r="S71" s="21"/>
    </row>
    <row r="72" spans="1:19" ht="15" thickTop="1" x14ac:dyDescent="0.35">
      <c r="A72" s="1889"/>
      <c r="B72" s="1885" t="s">
        <v>726</v>
      </c>
      <c r="C72" s="1886"/>
      <c r="D72" s="1886"/>
      <c r="E72" s="1886"/>
      <c r="F72" s="1886"/>
      <c r="G72" s="646"/>
      <c r="H72" s="1867"/>
      <c r="I72" s="1867"/>
      <c r="J72" s="1867"/>
      <c r="K72" s="1867"/>
      <c r="L72" s="1867"/>
      <c r="M72" s="1867"/>
      <c r="N72" s="1867"/>
      <c r="O72" s="1867"/>
      <c r="P72" s="1867"/>
      <c r="Q72" s="1867"/>
      <c r="R72" s="1867"/>
      <c r="S72" s="1867"/>
    </row>
    <row r="73" spans="1:19" x14ac:dyDescent="0.35">
      <c r="A73" s="1889"/>
      <c r="B73" s="1885" t="s">
        <v>727</v>
      </c>
      <c r="C73" s="1886"/>
      <c r="D73" s="1886"/>
      <c r="E73" s="1886"/>
      <c r="F73" s="1886"/>
      <c r="G73" s="646"/>
      <c r="H73" s="1867"/>
      <c r="I73" s="1867"/>
      <c r="J73" s="1867"/>
      <c r="K73" s="1867"/>
      <c r="L73" s="1867"/>
      <c r="M73" s="1867"/>
      <c r="N73" s="1867"/>
      <c r="O73" s="1867"/>
      <c r="P73" s="1867"/>
      <c r="Q73" s="1867"/>
      <c r="R73" s="1867"/>
      <c r="S73" s="1867"/>
    </row>
    <row r="74" spans="1:19" x14ac:dyDescent="0.35">
      <c r="A74" s="1889"/>
      <c r="B74" s="1885" t="s">
        <v>728</v>
      </c>
      <c r="C74" s="1886"/>
      <c r="D74" s="1886"/>
      <c r="E74" s="1886"/>
      <c r="F74" s="1886"/>
      <c r="G74" s="646"/>
      <c r="H74" s="1867"/>
      <c r="I74" s="1867"/>
      <c r="J74" s="1867"/>
      <c r="K74" s="1867"/>
      <c r="L74" s="1867"/>
      <c r="M74" s="1867"/>
      <c r="N74" s="1867"/>
      <c r="O74" s="1867"/>
      <c r="P74" s="1867"/>
      <c r="Q74" s="1867"/>
      <c r="R74" s="1867"/>
      <c r="S74" s="1867"/>
    </row>
    <row r="75" spans="1:19" x14ac:dyDescent="0.35">
      <c r="A75" s="1889"/>
      <c r="B75" s="1885" t="s">
        <v>729</v>
      </c>
      <c r="C75" s="1886"/>
      <c r="D75" s="1886"/>
      <c r="E75" s="1886"/>
      <c r="F75" s="1886"/>
      <c r="G75" s="646"/>
      <c r="H75" s="1867"/>
      <c r="I75" s="1867"/>
      <c r="J75" s="1867"/>
      <c r="K75" s="1867"/>
      <c r="L75" s="1867"/>
      <c r="M75" s="1867"/>
      <c r="N75" s="1867"/>
      <c r="O75" s="1867"/>
      <c r="P75" s="1867"/>
      <c r="Q75" s="1867"/>
      <c r="R75" s="1867"/>
      <c r="S75" s="1867"/>
    </row>
    <row r="76" spans="1:19" ht="15" thickBot="1" x14ac:dyDescent="0.4">
      <c r="A76" s="978"/>
      <c r="B76" s="939"/>
      <c r="C76" s="940"/>
      <c r="D76" s="940"/>
      <c r="E76" s="940"/>
      <c r="F76" s="940"/>
      <c r="G76" s="1039"/>
      <c r="H76" s="981"/>
      <c r="I76" s="981"/>
      <c r="J76" s="981"/>
      <c r="K76" s="981"/>
      <c r="L76" s="981"/>
      <c r="M76" s="981"/>
      <c r="N76" s="981"/>
      <c r="O76" s="981"/>
      <c r="P76" s="981"/>
      <c r="Q76" s="981"/>
      <c r="R76" s="981"/>
      <c r="S76" s="981"/>
    </row>
    <row r="77" spans="1:19" ht="15.5" thickTop="1" thickBot="1" x14ac:dyDescent="0.4">
      <c r="A77" s="7" t="s">
        <v>730</v>
      </c>
      <c r="B77" s="8"/>
      <c r="C77" s="12"/>
      <c r="D77" s="12"/>
      <c r="E77" s="12"/>
      <c r="F77" s="12"/>
      <c r="G77" s="13"/>
      <c r="H77" s="21"/>
      <c r="I77" s="21"/>
      <c r="J77" s="21"/>
      <c r="K77" s="21"/>
      <c r="L77" s="21"/>
      <c r="M77" s="21"/>
      <c r="N77" s="21"/>
      <c r="O77" s="21"/>
      <c r="P77" s="21"/>
      <c r="Q77" s="21"/>
      <c r="R77" s="21"/>
      <c r="S77" s="21"/>
    </row>
    <row r="78" spans="1:19" ht="15" thickTop="1" x14ac:dyDescent="0.35">
      <c r="A78" s="1857"/>
      <c r="B78" s="1868" t="s">
        <v>731</v>
      </c>
      <c r="C78" s="1833"/>
      <c r="D78" s="1833"/>
      <c r="E78" s="1833"/>
      <c r="F78" s="1833"/>
      <c r="G78" s="1858"/>
      <c r="H78" s="1869"/>
      <c r="I78" s="1869"/>
      <c r="J78" s="1869"/>
      <c r="K78" s="1869"/>
      <c r="L78" s="1869"/>
      <c r="M78" s="1869"/>
      <c r="N78" s="1869"/>
      <c r="O78" s="1869"/>
      <c r="P78" s="1869"/>
      <c r="Q78" s="1869"/>
      <c r="R78" s="1869"/>
      <c r="S78" s="1869"/>
    </row>
    <row r="79" spans="1:19" x14ac:dyDescent="0.35">
      <c r="A79" s="1889"/>
      <c r="B79" s="1885" t="s">
        <v>732</v>
      </c>
      <c r="C79" s="1886"/>
      <c r="D79" s="1886"/>
      <c r="E79" s="1886"/>
      <c r="F79" s="1886"/>
      <c r="G79" s="646"/>
      <c r="H79" s="1870"/>
      <c r="I79" s="1870"/>
      <c r="J79" s="1870"/>
      <c r="K79" s="1870"/>
      <c r="L79" s="1870"/>
      <c r="M79" s="1870"/>
      <c r="N79" s="1870"/>
      <c r="O79" s="1870"/>
      <c r="P79" s="1870"/>
      <c r="Q79" s="1870"/>
      <c r="R79" s="1870"/>
      <c r="S79" s="1870"/>
    </row>
    <row r="80" spans="1:19" ht="15" thickBot="1" x14ac:dyDescent="0.4">
      <c r="A80" s="1871"/>
      <c r="B80" s="1872" t="s">
        <v>733</v>
      </c>
      <c r="C80" s="1873"/>
      <c r="D80" s="1873"/>
      <c r="E80" s="1873"/>
      <c r="F80" s="1873"/>
      <c r="G80" s="1874"/>
      <c r="H80" s="1876"/>
      <c r="I80" s="1876"/>
      <c r="J80" s="1876"/>
      <c r="K80" s="1876"/>
      <c r="L80" s="1876"/>
      <c r="M80" s="1876"/>
      <c r="N80" s="1876"/>
      <c r="O80" s="1876"/>
      <c r="P80" s="1876"/>
      <c r="Q80" s="1876"/>
      <c r="R80" s="1876"/>
      <c r="S80" s="1876"/>
    </row>
    <row r="81" spans="1:2" ht="15.5" thickTop="1" thickBot="1" x14ac:dyDescent="0.4"/>
    <row r="82" spans="1:2" ht="15.5" thickTop="1" thickBot="1" x14ac:dyDescent="0.4">
      <c r="A82" s="78" t="s">
        <v>734</v>
      </c>
      <c r="B82" s="80"/>
    </row>
    <row r="83" spans="1:2" ht="15" thickTop="1" x14ac:dyDescent="0.35">
      <c r="A83" s="79" t="s">
        <v>632</v>
      </c>
      <c r="B83" s="1877"/>
    </row>
    <row r="84" spans="1:2" x14ac:dyDescent="0.35">
      <c r="A84" s="1878" t="s">
        <v>636</v>
      </c>
      <c r="B84" s="1877"/>
    </row>
    <row r="85" spans="1:2" x14ac:dyDescent="0.35">
      <c r="A85" s="1879" t="s">
        <v>639</v>
      </c>
      <c r="B85" s="1880"/>
    </row>
    <row r="86" spans="1:2" x14ac:dyDescent="0.35">
      <c r="A86" s="1879" t="s">
        <v>642</v>
      </c>
      <c r="B86" s="1909"/>
    </row>
    <row r="87" spans="1:2" ht="15" thickBot="1" x14ac:dyDescent="0.4">
      <c r="A87" s="1882" t="s">
        <v>735</v>
      </c>
      <c r="B87" s="1883"/>
    </row>
    <row r="88" spans="1:2" ht="15" thickTop="1" x14ac:dyDescent="0.35"/>
    <row r="89" spans="1:2" x14ac:dyDescent="0.35">
      <c r="A89" s="81"/>
      <c r="B89" s="1" t="s">
        <v>736</v>
      </c>
    </row>
    <row r="90" spans="1:2" x14ac:dyDescent="0.35">
      <c r="A90" s="82"/>
      <c r="B90" s="1" t="s">
        <v>737</v>
      </c>
    </row>
  </sheetData>
  <mergeCells count="47">
    <mergeCell ref="A55:B55"/>
    <mergeCell ref="A59:B59"/>
    <mergeCell ref="A63:B63"/>
    <mergeCell ref="A67:B67"/>
    <mergeCell ref="A71:B71"/>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749" priority="13" operator="equal">
      <formula>"X"</formula>
    </cfRule>
    <cfRule type="cellIs" dxfId="1748" priority="14" operator="equal">
      <formula>"I"</formula>
    </cfRule>
  </conditionalFormatting>
  <conditionalFormatting sqref="H32:H46">
    <cfRule type="cellIs" dxfId="1747" priority="1" operator="equal">
      <formula>"X"</formula>
    </cfRule>
    <cfRule type="cellIs" dxfId="1746" priority="2" operator="equal">
      <formula>"I"</formula>
    </cfRule>
  </conditionalFormatting>
  <conditionalFormatting sqref="J20:J30">
    <cfRule type="cellIs" dxfId="1745" priority="15" operator="equal">
      <formula>"X"</formula>
    </cfRule>
    <cfRule type="cellIs" dxfId="1744" priority="16" operator="equal">
      <formula>"I"</formula>
    </cfRule>
  </conditionalFormatting>
  <conditionalFormatting sqref="J32:J46">
    <cfRule type="cellIs" dxfId="1743" priority="3" operator="equal">
      <formula>"X"</formula>
    </cfRule>
    <cfRule type="cellIs" dxfId="1742" priority="4" operator="equal">
      <formula>"I"</formula>
    </cfRule>
  </conditionalFormatting>
  <conditionalFormatting sqref="L20:L30">
    <cfRule type="cellIs" dxfId="1741" priority="17" operator="equal">
      <formula>"X"</formula>
    </cfRule>
    <cfRule type="cellIs" dxfId="1740" priority="18" operator="equal">
      <formula>"I"</formula>
    </cfRule>
  </conditionalFormatting>
  <conditionalFormatting sqref="L32:L46">
    <cfRule type="cellIs" dxfId="1739" priority="5" operator="equal">
      <formula>"X"</formula>
    </cfRule>
    <cfRule type="cellIs" dxfId="1738" priority="6" operator="equal">
      <formula>"I"</formula>
    </cfRule>
  </conditionalFormatting>
  <conditionalFormatting sqref="N20:N30">
    <cfRule type="cellIs" dxfId="1737" priority="19" operator="equal">
      <formula>"X"</formula>
    </cfRule>
    <cfRule type="cellIs" dxfId="1736" priority="20" operator="equal">
      <formula>"I"</formula>
    </cfRule>
  </conditionalFormatting>
  <conditionalFormatting sqref="N32:N46">
    <cfRule type="cellIs" dxfId="1735" priority="7" operator="equal">
      <formula>"X"</formula>
    </cfRule>
    <cfRule type="cellIs" dxfId="1734" priority="8" operator="equal">
      <formula>"I"</formula>
    </cfRule>
  </conditionalFormatting>
  <conditionalFormatting sqref="P20:P30">
    <cfRule type="cellIs" dxfId="1733" priority="21" operator="equal">
      <formula>"X"</formula>
    </cfRule>
    <cfRule type="cellIs" dxfId="1732" priority="22" operator="equal">
      <formula>"I"</formula>
    </cfRule>
  </conditionalFormatting>
  <conditionalFormatting sqref="P32:P46">
    <cfRule type="cellIs" dxfId="1731" priority="9" operator="equal">
      <formula>"X"</formula>
    </cfRule>
    <cfRule type="cellIs" dxfId="1730" priority="10" operator="equal">
      <formula>"I"</formula>
    </cfRule>
  </conditionalFormatting>
  <conditionalFormatting sqref="R20:R30">
    <cfRule type="cellIs" dxfId="1729" priority="23" operator="equal">
      <formula>"X"</formula>
    </cfRule>
    <cfRule type="cellIs" dxfId="1728" priority="24" operator="equal">
      <formula>"I"</formula>
    </cfRule>
  </conditionalFormatting>
  <conditionalFormatting sqref="R32:R46">
    <cfRule type="cellIs" dxfId="1727" priority="11" operator="equal">
      <formula>"X"</formula>
    </cfRule>
    <cfRule type="cellIs" dxfId="1726" priority="12" operator="equal">
      <formula>"I"</formula>
    </cfRule>
  </conditionalFormatting>
  <hyperlinks>
    <hyperlink ref="B3" location="'Cost Summary'!A1" display="BACK TO SUMMARY SHEET" xr:uid="{E0ACE514-37BF-4917-AB2F-70C7C702F143}"/>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06CE-E4E7-43D5-A11A-0EDA81C6E9D6}">
  <sheetPr>
    <tabColor rgb="FF92D050"/>
  </sheetPr>
  <dimension ref="A1:S90"/>
  <sheetViews>
    <sheetView zoomScale="85" zoomScaleNormal="85" workbookViewId="0">
      <pane xSplit="2" ySplit="9" topLeftCell="C31" activePane="bottomRight" state="frozen"/>
      <selection pane="topRight" activeCell="C1" sqref="C1"/>
      <selection pane="bottomLeft" activeCell="A11" sqref="A11"/>
      <selection pane="bottomRight" activeCell="B31" sqref="B31"/>
    </sheetView>
  </sheetViews>
  <sheetFormatPr defaultRowHeight="14.5" x14ac:dyDescent="0.35"/>
  <cols>
    <col min="1" max="1" width="11" customWidth="1"/>
    <col min="2" max="2" width="72.1796875" style="1" bestFit="1" customWidth="1"/>
    <col min="3" max="3" width="10.81640625" style="2" bestFit="1" customWidth="1"/>
    <col min="4" max="5" width="7.54296875" style="2" customWidth="1"/>
    <col min="6" max="6" width="7.7265625" style="2" customWidth="1"/>
    <col min="7" max="7" width="12.26953125" style="2" customWidth="1"/>
    <col min="8" max="8" width="8.54296875" style="2" customWidth="1"/>
    <col min="9" max="9" width="13.81640625" style="2" customWidth="1"/>
    <col min="10" max="10" width="7.453125" style="2" bestFit="1" customWidth="1"/>
    <col min="11" max="11" width="14.81640625" style="2" customWidth="1"/>
    <col min="12" max="12" width="7.453125" style="2" bestFit="1" customWidth="1"/>
    <col min="13" max="13" width="14.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s>
  <sheetData>
    <row r="1" spans="1:19" x14ac:dyDescent="0.35">
      <c r="E1" s="152"/>
      <c r="F1" s="125"/>
      <c r="G1" s="123" t="s">
        <v>621</v>
      </c>
    </row>
    <row r="2" spans="1:19" x14ac:dyDescent="0.35">
      <c r="E2" s="152"/>
      <c r="F2" s="122" t="s">
        <v>622</v>
      </c>
      <c r="G2" s="123" t="s">
        <v>451</v>
      </c>
      <c r="H2" s="3751"/>
      <c r="I2" s="3751"/>
      <c r="J2" s="3866"/>
      <c r="K2" s="3866"/>
      <c r="L2" s="3866"/>
      <c r="M2" s="3866"/>
      <c r="N2" s="3866"/>
      <c r="O2" s="3866"/>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884" t="s">
        <v>634</v>
      </c>
      <c r="B5" s="1885" t="s">
        <v>2322</v>
      </c>
      <c r="C5" s="1886"/>
      <c r="D5" s="1886"/>
      <c r="E5" s="1886"/>
      <c r="F5" s="1886"/>
      <c r="G5" s="643" t="s">
        <v>636</v>
      </c>
      <c r="H5" s="3907"/>
      <c r="I5" s="3759"/>
      <c r="J5" s="3907"/>
      <c r="K5" s="3759"/>
      <c r="L5" s="3907"/>
      <c r="M5" s="3759"/>
      <c r="N5" s="3907"/>
      <c r="O5" s="3759"/>
      <c r="P5" s="3907"/>
      <c r="Q5" s="3759"/>
      <c r="R5" s="3907"/>
      <c r="S5" s="3759"/>
    </row>
    <row r="6" spans="1:19" x14ac:dyDescent="0.35">
      <c r="A6" s="1884" t="s">
        <v>638</v>
      </c>
      <c r="B6" s="1887" t="s">
        <v>2323</v>
      </c>
      <c r="C6" s="1886"/>
      <c r="D6" s="1886"/>
      <c r="E6" s="1886"/>
      <c r="F6" s="1886"/>
      <c r="G6" s="643" t="s">
        <v>639</v>
      </c>
      <c r="H6" s="3906"/>
      <c r="I6" s="3757"/>
      <c r="J6" s="3906"/>
      <c r="K6" s="3757"/>
      <c r="L6" s="3906"/>
      <c r="M6" s="3757"/>
      <c r="N6" s="3906"/>
      <c r="O6" s="3757"/>
      <c r="P6" s="3906"/>
      <c r="Q6" s="3757"/>
      <c r="R6" s="3906"/>
      <c r="S6" s="3757"/>
    </row>
    <row r="7" spans="1:19" x14ac:dyDescent="0.35">
      <c r="A7" s="1884" t="s">
        <v>641</v>
      </c>
      <c r="B7" s="1888"/>
      <c r="C7" s="1886"/>
      <c r="D7" s="1886"/>
      <c r="E7" s="1886"/>
      <c r="F7" s="1886"/>
      <c r="G7" s="643" t="s">
        <v>642</v>
      </c>
      <c r="H7" s="3908"/>
      <c r="I7" s="3763"/>
      <c r="J7" s="3908"/>
      <c r="K7" s="3763"/>
      <c r="L7" s="3908"/>
      <c r="M7" s="3763"/>
      <c r="N7" s="3908"/>
      <c r="O7" s="3763"/>
      <c r="P7" s="3908"/>
      <c r="Q7" s="3763"/>
      <c r="R7" s="3908"/>
      <c r="S7" s="3763"/>
    </row>
    <row r="8" spans="1:19" x14ac:dyDescent="0.35">
      <c r="A8" s="938" t="s">
        <v>644</v>
      </c>
      <c r="B8" s="939"/>
      <c r="C8" s="940"/>
      <c r="D8" s="940"/>
      <c r="E8" s="940"/>
      <c r="F8" s="940"/>
      <c r="G8" s="1024" t="s">
        <v>644</v>
      </c>
      <c r="H8" s="3909"/>
      <c r="I8" s="3910"/>
      <c r="J8" s="3909"/>
      <c r="K8" s="3910"/>
      <c r="L8" s="3909"/>
      <c r="M8" s="3910"/>
      <c r="N8" s="3909"/>
      <c r="O8" s="3910"/>
      <c r="P8" s="3909"/>
      <c r="Q8" s="3910"/>
      <c r="R8" s="3909"/>
      <c r="S8" s="3910"/>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1889"/>
      <c r="B10" s="1890" t="s">
        <v>653</v>
      </c>
      <c r="C10" s="1886"/>
      <c r="D10" s="1886"/>
      <c r="E10" s="1886"/>
      <c r="F10" s="1886"/>
      <c r="G10" s="646"/>
      <c r="H10" s="1891"/>
      <c r="I10" s="1891"/>
      <c r="J10" s="1891"/>
      <c r="K10" s="1891"/>
      <c r="L10" s="1891"/>
      <c r="M10" s="1891"/>
      <c r="N10" s="1891"/>
      <c r="O10" s="1891"/>
      <c r="P10" s="1891"/>
      <c r="Q10" s="1891"/>
      <c r="R10" s="1891"/>
      <c r="S10" s="1891"/>
    </row>
    <row r="11" spans="1:19" hidden="1" x14ac:dyDescent="0.35">
      <c r="A11" s="1889"/>
      <c r="B11" s="1885" t="e">
        <f>#REF!</f>
        <v>#REF!</v>
      </c>
      <c r="C11" s="1892" t="s">
        <v>654</v>
      </c>
      <c r="D11" s="1886"/>
      <c r="E11" s="1886"/>
      <c r="F11" s="1886"/>
      <c r="G11" s="646"/>
      <c r="H11" s="1891"/>
      <c r="I11" s="1891"/>
      <c r="J11" s="1891"/>
      <c r="K11" s="1891"/>
      <c r="L11" s="1891"/>
      <c r="M11" s="1891"/>
      <c r="N11" s="1891"/>
      <c r="O11" s="1891"/>
      <c r="P11" s="1891"/>
      <c r="Q11" s="1891"/>
      <c r="R11" s="1891"/>
      <c r="S11" s="1891"/>
    </row>
    <row r="12" spans="1:19" hidden="1" x14ac:dyDescent="0.35">
      <c r="A12" s="1889"/>
      <c r="B12" s="1885" t="e">
        <f>#REF!</f>
        <v>#REF!</v>
      </c>
      <c r="C12" s="1892" t="s">
        <v>654</v>
      </c>
      <c r="D12" s="1886"/>
      <c r="E12" s="1886"/>
      <c r="F12" s="1886"/>
      <c r="G12" s="646"/>
      <c r="H12" s="1891"/>
      <c r="I12" s="1891"/>
      <c r="J12" s="1891"/>
      <c r="K12" s="1891"/>
      <c r="L12" s="1891"/>
      <c r="M12" s="1891"/>
      <c r="N12" s="1891"/>
      <c r="O12" s="1891"/>
      <c r="P12" s="1891"/>
      <c r="Q12" s="1891"/>
      <c r="R12" s="1891"/>
      <c r="S12" s="1891"/>
    </row>
    <row r="13" spans="1:19" hidden="1" x14ac:dyDescent="0.35">
      <c r="A13" s="1889"/>
      <c r="B13" s="1885" t="e">
        <f>#REF!</f>
        <v>#REF!</v>
      </c>
      <c r="C13" s="1892" t="s">
        <v>654</v>
      </c>
      <c r="D13" s="1886"/>
      <c r="E13" s="1886"/>
      <c r="F13" s="1886"/>
      <c r="G13" s="646"/>
      <c r="H13" s="1891"/>
      <c r="I13" s="1891"/>
      <c r="J13" s="1891"/>
      <c r="K13" s="1891"/>
      <c r="L13" s="1891"/>
      <c r="M13" s="1891"/>
      <c r="N13" s="1891"/>
      <c r="O13" s="1891"/>
      <c r="P13" s="1891"/>
      <c r="Q13" s="1891"/>
      <c r="R13" s="1891"/>
      <c r="S13" s="1891"/>
    </row>
    <row r="14" spans="1:19" hidden="1" x14ac:dyDescent="0.35">
      <c r="A14" s="1889"/>
      <c r="B14" s="1885" t="e">
        <f>#REF!</f>
        <v>#REF!</v>
      </c>
      <c r="C14" s="1892" t="s">
        <v>654</v>
      </c>
      <c r="D14" s="1886"/>
      <c r="E14" s="1886"/>
      <c r="F14" s="1886"/>
      <c r="G14" s="646"/>
      <c r="H14" s="1891"/>
      <c r="I14" s="1891"/>
      <c r="J14" s="1891"/>
      <c r="K14" s="1891"/>
      <c r="L14" s="1891"/>
      <c r="M14" s="1891"/>
      <c r="N14" s="1891"/>
      <c r="O14" s="1891"/>
      <c r="P14" s="1891"/>
      <c r="Q14" s="1891"/>
      <c r="R14" s="1891"/>
      <c r="S14" s="1891"/>
    </row>
    <row r="15" spans="1:19" hidden="1" x14ac:dyDescent="0.35">
      <c r="A15" s="1889"/>
      <c r="B15" s="1885" t="e">
        <f>#REF!</f>
        <v>#REF!</v>
      </c>
      <c r="C15" s="1892" t="s">
        <v>654</v>
      </c>
      <c r="D15" s="1886"/>
      <c r="E15" s="1886"/>
      <c r="F15" s="1886"/>
      <c r="G15" s="646"/>
      <c r="H15" s="1891"/>
      <c r="I15" s="1891"/>
      <c r="J15" s="1891"/>
      <c r="K15" s="1891"/>
      <c r="L15" s="1891"/>
      <c r="M15" s="1891"/>
      <c r="N15" s="1891"/>
      <c r="O15" s="1891"/>
      <c r="P15" s="1891"/>
      <c r="Q15" s="1891"/>
      <c r="R15" s="1891"/>
      <c r="S15" s="1891"/>
    </row>
    <row r="16" spans="1:19" hidden="1" x14ac:dyDescent="0.35">
      <c r="A16" s="1889"/>
      <c r="B16" s="1885" t="e">
        <f>#REF!</f>
        <v>#REF!</v>
      </c>
      <c r="C16" s="1892" t="s">
        <v>654</v>
      </c>
      <c r="D16" s="1886"/>
      <c r="E16" s="1886"/>
      <c r="F16" s="1886"/>
      <c r="G16" s="646"/>
      <c r="H16" s="1891"/>
      <c r="I16" s="1891"/>
      <c r="J16" s="1891"/>
      <c r="K16" s="1891"/>
      <c r="L16" s="1891"/>
      <c r="M16" s="1891"/>
      <c r="N16" s="1891"/>
      <c r="O16" s="1891"/>
      <c r="P16" s="1891"/>
      <c r="Q16" s="1891"/>
      <c r="R16" s="1891"/>
      <c r="S16" s="1891"/>
    </row>
    <row r="17" spans="1:19" hidden="1" x14ac:dyDescent="0.35">
      <c r="A17" s="1889"/>
      <c r="B17" s="1885" t="e">
        <f>#REF!</f>
        <v>#REF!</v>
      </c>
      <c r="C17" s="1892" t="s">
        <v>654</v>
      </c>
      <c r="D17" s="1886"/>
      <c r="E17" s="1886"/>
      <c r="F17" s="1886"/>
      <c r="G17" s="646"/>
      <c r="H17" s="1891"/>
      <c r="I17" s="1891"/>
      <c r="J17" s="1891"/>
      <c r="K17" s="1891"/>
      <c r="L17" s="1891"/>
      <c r="M17" s="1891"/>
      <c r="N17" s="1891"/>
      <c r="O17" s="1891"/>
      <c r="P17" s="1891"/>
      <c r="Q17" s="1891"/>
      <c r="R17" s="1891"/>
      <c r="S17" s="1891"/>
    </row>
    <row r="18" spans="1:19" hidden="1" x14ac:dyDescent="0.35">
      <c r="A18" s="1889"/>
      <c r="B18" s="1885" t="e">
        <f>#REF!</f>
        <v>#REF!</v>
      </c>
      <c r="C18" s="1892" t="s">
        <v>654</v>
      </c>
      <c r="D18" s="1886"/>
      <c r="E18" s="1886"/>
      <c r="F18" s="1886"/>
      <c r="G18" s="646"/>
      <c r="H18" s="1891"/>
      <c r="I18" s="1891"/>
      <c r="J18" s="1891"/>
      <c r="K18" s="1891"/>
      <c r="L18" s="1891"/>
      <c r="M18" s="1891"/>
      <c r="N18" s="1891"/>
      <c r="O18" s="1891"/>
      <c r="P18" s="1891"/>
      <c r="Q18" s="1891"/>
      <c r="R18" s="1891"/>
      <c r="S18" s="1891"/>
    </row>
    <row r="19" spans="1:19" hidden="1" x14ac:dyDescent="0.35">
      <c r="A19" s="1889"/>
      <c r="B19" s="1885" t="e">
        <f>#REF!</f>
        <v>#REF!</v>
      </c>
      <c r="C19" s="1892" t="s">
        <v>654</v>
      </c>
      <c r="D19" s="1886"/>
      <c r="E19" s="1886"/>
      <c r="F19" s="1886"/>
      <c r="G19" s="646"/>
      <c r="H19" s="1891"/>
      <c r="I19" s="1891"/>
      <c r="J19" s="1891"/>
      <c r="K19" s="1891"/>
      <c r="L19" s="1891"/>
      <c r="M19" s="1891"/>
      <c r="N19" s="1891"/>
      <c r="O19" s="1891"/>
      <c r="P19" s="1891"/>
      <c r="Q19" s="1891"/>
      <c r="R19" s="1891"/>
      <c r="S19" s="1891"/>
    </row>
    <row r="20" spans="1:19" x14ac:dyDescent="0.35">
      <c r="A20" s="1889"/>
      <c r="B20" s="1885"/>
      <c r="C20" s="1892"/>
      <c r="D20" s="1886"/>
      <c r="E20" s="1886"/>
      <c r="F20" s="1886"/>
      <c r="G20" s="646"/>
      <c r="H20" s="1893"/>
      <c r="I20" s="1891"/>
      <c r="J20" s="1893"/>
      <c r="K20" s="1891"/>
      <c r="L20" s="1893"/>
      <c r="M20" s="1891"/>
      <c r="N20" s="1893"/>
      <c r="O20" s="1891"/>
      <c r="P20" s="1893"/>
      <c r="Q20" s="1891"/>
      <c r="R20" s="1893"/>
      <c r="S20" s="1891"/>
    </row>
    <row r="21" spans="1:19" x14ac:dyDescent="0.35">
      <c r="A21" s="48"/>
      <c r="B21" s="1894" t="s">
        <v>2322</v>
      </c>
      <c r="C21" s="45"/>
      <c r="D21" s="46"/>
      <c r="E21" s="46"/>
      <c r="F21" s="46"/>
      <c r="G21" s="52"/>
      <c r="H21" s="1893"/>
      <c r="I21" s="1891"/>
      <c r="J21" s="1893"/>
      <c r="K21" s="1891"/>
      <c r="L21" s="1893"/>
      <c r="M21" s="1891"/>
      <c r="N21" s="1893"/>
      <c r="O21" s="1891"/>
      <c r="P21" s="1893"/>
      <c r="Q21" s="1891"/>
      <c r="R21" s="1893"/>
      <c r="S21" s="1891"/>
    </row>
    <row r="22" spans="1:19" x14ac:dyDescent="0.35">
      <c r="A22" s="1817"/>
      <c r="B22" s="604" t="s">
        <v>657</v>
      </c>
      <c r="C22" s="1892"/>
      <c r="D22" s="1886"/>
      <c r="E22" s="1886"/>
      <c r="F22" s="1886"/>
      <c r="G22" s="646"/>
      <c r="H22" s="1893"/>
      <c r="I22" s="1870"/>
      <c r="J22" s="1893"/>
      <c r="K22" s="668"/>
      <c r="L22" s="1893"/>
      <c r="M22" s="668"/>
      <c r="N22" s="1893"/>
      <c r="O22" s="668"/>
      <c r="P22" s="1893"/>
      <c r="Q22" s="668"/>
      <c r="R22" s="1893"/>
      <c r="S22" s="668"/>
    </row>
    <row r="23" spans="1:19" x14ac:dyDescent="0.35">
      <c r="A23" s="1817"/>
      <c r="B23" s="603" t="s">
        <v>658</v>
      </c>
      <c r="C23" s="1895"/>
      <c r="D23" s="682"/>
      <c r="E23" s="1886"/>
      <c r="F23" s="1886"/>
      <c r="G23" s="646"/>
      <c r="H23" s="1893"/>
      <c r="I23" s="1813"/>
      <c r="J23" s="1893"/>
      <c r="K23" s="1813"/>
      <c r="L23" s="1893"/>
      <c r="M23" s="1813"/>
      <c r="N23" s="1893"/>
      <c r="O23" s="1825"/>
      <c r="P23" s="1893"/>
      <c r="Q23" s="1825"/>
      <c r="R23" s="1893"/>
      <c r="S23" s="1825"/>
    </row>
    <row r="24" spans="1:19" x14ac:dyDescent="0.35">
      <c r="A24" s="1817"/>
      <c r="B24" s="1896" t="s">
        <v>659</v>
      </c>
      <c r="C24" s="1895"/>
      <c r="D24" s="682"/>
      <c r="E24" s="1886"/>
      <c r="F24" s="1886"/>
      <c r="G24" s="646"/>
      <c r="H24" s="1893"/>
      <c r="I24" s="1825"/>
      <c r="J24" s="1893"/>
      <c r="K24" s="1813"/>
      <c r="L24" s="1893"/>
      <c r="M24" s="1813"/>
      <c r="N24" s="1893"/>
      <c r="O24" s="1825"/>
      <c r="P24" s="1893"/>
      <c r="Q24" s="1825"/>
      <c r="R24" s="1893"/>
      <c r="S24" s="1825"/>
    </row>
    <row r="25" spans="1:19" x14ac:dyDescent="0.35">
      <c r="A25" s="1817"/>
      <c r="B25" s="1812" t="s">
        <v>660</v>
      </c>
      <c r="C25" s="646"/>
      <c r="D25" s="1886"/>
      <c r="E25" s="1886"/>
      <c r="F25" s="1886"/>
      <c r="G25" s="646"/>
      <c r="H25" s="1893"/>
      <c r="I25" s="1825"/>
      <c r="J25" s="1893"/>
      <c r="K25" s="1825"/>
      <c r="L25" s="1893"/>
      <c r="M25" s="1813"/>
      <c r="N25" s="1893"/>
      <c r="O25" s="1825"/>
      <c r="P25" s="1893"/>
      <c r="Q25" s="1825"/>
      <c r="R25" s="1893"/>
      <c r="S25" s="1825"/>
    </row>
    <row r="26" spans="1:19" x14ac:dyDescent="0.35">
      <c r="A26" s="1817"/>
      <c r="B26" s="1812" t="s">
        <v>661</v>
      </c>
      <c r="C26" s="646"/>
      <c r="D26" s="1886"/>
      <c r="E26" s="1886"/>
      <c r="F26" s="1886"/>
      <c r="G26" s="646"/>
      <c r="H26" s="1893"/>
      <c r="I26" s="1813"/>
      <c r="J26" s="1893"/>
      <c r="K26" s="1813"/>
      <c r="L26" s="1893"/>
      <c r="M26" s="1813"/>
      <c r="N26" s="1893"/>
      <c r="O26" s="1813"/>
      <c r="P26" s="1893"/>
      <c r="Q26" s="1813"/>
      <c r="R26" s="1893"/>
      <c r="S26" s="1813"/>
    </row>
    <row r="27" spans="1:19" hidden="1" x14ac:dyDescent="0.35">
      <c r="A27" s="1817"/>
      <c r="B27" s="1812" t="s">
        <v>662</v>
      </c>
      <c r="C27" s="646"/>
      <c r="D27" s="1886"/>
      <c r="E27" s="1886"/>
      <c r="F27" s="1886"/>
      <c r="G27" s="646"/>
      <c r="H27" s="1893"/>
      <c r="I27" s="1813"/>
      <c r="J27" s="1893"/>
      <c r="K27" s="1813"/>
      <c r="L27" s="1893"/>
      <c r="M27" s="1813"/>
      <c r="N27" s="1893"/>
      <c r="O27" s="1813"/>
      <c r="P27" s="1893"/>
      <c r="Q27" s="1813"/>
      <c r="R27" s="1893"/>
      <c r="S27" s="1813"/>
    </row>
    <row r="28" spans="1:19" x14ac:dyDescent="0.35">
      <c r="A28" s="1817"/>
      <c r="B28" s="1812" t="s">
        <v>663</v>
      </c>
      <c r="C28" s="646"/>
      <c r="D28" s="1886"/>
      <c r="E28" s="1886"/>
      <c r="F28" s="1886"/>
      <c r="G28" s="646"/>
      <c r="H28" s="1893"/>
      <c r="I28" s="1813"/>
      <c r="J28" s="1893"/>
      <c r="K28" s="1813"/>
      <c r="L28" s="1893"/>
      <c r="M28" s="1813"/>
      <c r="N28" s="1893"/>
      <c r="O28" s="1813"/>
      <c r="P28" s="1893"/>
      <c r="Q28" s="1813"/>
      <c r="R28" s="1893"/>
      <c r="S28" s="1813"/>
    </row>
    <row r="29" spans="1:19" x14ac:dyDescent="0.35">
      <c r="A29" s="1817"/>
      <c r="B29" s="1812" t="s">
        <v>742</v>
      </c>
      <c r="C29" s="646"/>
      <c r="D29" s="1886"/>
      <c r="E29" s="1886"/>
      <c r="F29" s="1886"/>
      <c r="G29" s="646"/>
      <c r="H29" s="1893"/>
      <c r="I29" s="1813"/>
      <c r="J29" s="1893"/>
      <c r="K29" s="1813"/>
      <c r="L29" s="1893"/>
      <c r="M29" s="1813"/>
      <c r="N29" s="1893"/>
      <c r="O29" s="1813"/>
      <c r="P29" s="1893"/>
      <c r="Q29" s="1813"/>
      <c r="R29" s="1893"/>
      <c r="S29" s="1813"/>
    </row>
    <row r="30" spans="1:19" x14ac:dyDescent="0.35">
      <c r="A30" s="1817"/>
      <c r="B30" s="1814" t="s">
        <v>664</v>
      </c>
      <c r="C30" s="646"/>
      <c r="D30" s="1886"/>
      <c r="E30" s="1886"/>
      <c r="F30" s="1886"/>
      <c r="G30" s="646"/>
      <c r="H30" s="1893"/>
      <c r="I30" s="1813"/>
      <c r="J30" s="1893"/>
      <c r="K30" s="1813"/>
      <c r="L30" s="1893"/>
      <c r="M30" s="1813"/>
      <c r="N30" s="1893"/>
      <c r="O30" s="1813"/>
      <c r="P30" s="1893"/>
      <c r="Q30" s="1813"/>
      <c r="R30" s="1893"/>
      <c r="S30" s="1813"/>
    </row>
    <row r="31" spans="1:19" x14ac:dyDescent="0.35">
      <c r="A31" s="1817"/>
      <c r="B31" s="1910" t="s">
        <v>665</v>
      </c>
      <c r="C31" s="1911"/>
      <c r="D31" s="1898"/>
      <c r="E31" s="1898"/>
      <c r="F31" s="1898"/>
      <c r="G31" s="1911"/>
      <c r="H31" s="1799"/>
      <c r="I31" s="1815"/>
      <c r="J31" s="1799"/>
      <c r="K31" s="1815"/>
      <c r="L31" s="1799"/>
      <c r="M31" s="1815"/>
      <c r="N31" s="1799"/>
      <c r="O31" s="1815"/>
      <c r="P31" s="1799"/>
      <c r="Q31" s="1815"/>
      <c r="R31" s="1799"/>
      <c r="S31" s="1815"/>
    </row>
    <row r="32" spans="1:19" x14ac:dyDescent="0.35">
      <c r="A32" s="1817"/>
      <c r="B32" s="1912" t="s">
        <v>191</v>
      </c>
      <c r="C32" s="646"/>
      <c r="D32" s="1886"/>
      <c r="E32" s="1886"/>
      <c r="F32" s="1886"/>
      <c r="G32" s="646"/>
      <c r="H32" s="1893"/>
      <c r="I32" s="1813"/>
      <c r="J32" s="1893"/>
      <c r="K32" s="1813"/>
      <c r="L32" s="1893"/>
      <c r="M32" s="1813"/>
      <c r="N32" s="1893"/>
      <c r="O32" s="1813"/>
      <c r="P32" s="1893"/>
      <c r="Q32" s="1813"/>
      <c r="R32" s="1893"/>
      <c r="S32" s="1813"/>
    </row>
    <row r="33" spans="1:19" x14ac:dyDescent="0.35">
      <c r="A33" s="1817"/>
      <c r="B33" s="1913" t="s">
        <v>191</v>
      </c>
      <c r="C33" s="646"/>
      <c r="D33" s="1886"/>
      <c r="E33" s="1886"/>
      <c r="F33" s="1886"/>
      <c r="G33" s="646"/>
      <c r="H33" s="1893"/>
      <c r="I33" s="1813"/>
      <c r="J33" s="1893"/>
      <c r="K33" s="1813"/>
      <c r="L33" s="1893"/>
      <c r="M33" s="1813"/>
      <c r="N33" s="1893"/>
      <c r="O33" s="1813"/>
      <c r="P33" s="1893"/>
      <c r="Q33" s="1813"/>
      <c r="R33" s="1893"/>
      <c r="S33" s="1813"/>
    </row>
    <row r="34" spans="1:19" x14ac:dyDescent="0.35">
      <c r="A34" s="1817"/>
      <c r="B34" s="1901" t="s">
        <v>2313</v>
      </c>
      <c r="C34" s="646"/>
      <c r="D34" s="1886"/>
      <c r="E34" s="1886"/>
      <c r="F34" s="1886"/>
      <c r="G34" s="646"/>
      <c r="H34" s="1893"/>
      <c r="I34" s="1813"/>
      <c r="J34" s="1893"/>
      <c r="K34" s="1813"/>
      <c r="L34" s="1893"/>
      <c r="M34" s="1813"/>
      <c r="N34" s="1893"/>
      <c r="O34" s="1813"/>
      <c r="P34" s="1893"/>
      <c r="Q34" s="1813"/>
      <c r="R34" s="1893"/>
      <c r="S34" s="1813"/>
    </row>
    <row r="35" spans="1:19" x14ac:dyDescent="0.35">
      <c r="A35" s="1817"/>
      <c r="B35" s="1902" t="s">
        <v>2314</v>
      </c>
      <c r="C35" s="646"/>
      <c r="D35" s="1886"/>
      <c r="E35" s="1886"/>
      <c r="F35" s="1886"/>
      <c r="G35" s="646"/>
      <c r="H35" s="1893"/>
      <c r="I35" s="1813"/>
      <c r="J35" s="1893"/>
      <c r="K35" s="1813"/>
      <c r="L35" s="1893"/>
      <c r="M35" s="1813"/>
      <c r="N35" s="1893"/>
      <c r="O35" s="1813"/>
      <c r="P35" s="1893"/>
      <c r="Q35" s="1813"/>
      <c r="R35" s="1893"/>
      <c r="S35" s="1813"/>
    </row>
    <row r="36" spans="1:19" x14ac:dyDescent="0.35">
      <c r="A36" s="1817"/>
      <c r="B36" s="1902" t="s">
        <v>2315</v>
      </c>
      <c r="C36" s="646"/>
      <c r="D36" s="1886"/>
      <c r="E36" s="1886"/>
      <c r="F36" s="1886"/>
      <c r="G36" s="646"/>
      <c r="H36" s="1893" t="s">
        <v>669</v>
      </c>
      <c r="I36" s="1813"/>
      <c r="J36" s="1893"/>
      <c r="K36" s="1813"/>
      <c r="L36" s="1893"/>
      <c r="M36" s="1813"/>
      <c r="N36" s="1893"/>
      <c r="O36" s="1813"/>
      <c r="P36" s="1893"/>
      <c r="Q36" s="1813"/>
      <c r="R36" s="1893"/>
      <c r="S36" s="1813"/>
    </row>
    <row r="37" spans="1:19" x14ac:dyDescent="0.35">
      <c r="A37" s="1817"/>
      <c r="B37" s="1902" t="s">
        <v>2316</v>
      </c>
      <c r="C37" s="646"/>
      <c r="D37" s="1886"/>
      <c r="E37" s="1886"/>
      <c r="F37" s="1886"/>
      <c r="G37" s="646"/>
      <c r="H37" s="1893"/>
      <c r="I37" s="1813"/>
      <c r="J37" s="1893"/>
      <c r="K37" s="1813"/>
      <c r="L37" s="1893"/>
      <c r="M37" s="1813"/>
      <c r="N37" s="1893"/>
      <c r="O37" s="1813"/>
      <c r="P37" s="1893"/>
      <c r="Q37" s="1813"/>
      <c r="R37" s="1893"/>
      <c r="S37" s="1813"/>
    </row>
    <row r="38" spans="1:19" x14ac:dyDescent="0.35">
      <c r="A38" s="1817"/>
      <c r="B38" s="1902" t="s">
        <v>2317</v>
      </c>
      <c r="C38" s="646"/>
      <c r="D38" s="1886"/>
      <c r="E38" s="1886"/>
      <c r="F38" s="1886"/>
      <c r="G38" s="646"/>
      <c r="H38" s="1893"/>
      <c r="I38" s="1813"/>
      <c r="J38" s="1893"/>
      <c r="K38" s="1813"/>
      <c r="L38" s="1893"/>
      <c r="M38" s="1813"/>
      <c r="N38" s="1893"/>
      <c r="O38" s="1813"/>
      <c r="P38" s="1893"/>
      <c r="Q38" s="1813"/>
      <c r="R38" s="1893"/>
      <c r="S38" s="1813"/>
    </row>
    <row r="39" spans="1:19" x14ac:dyDescent="0.35">
      <c r="A39" s="1817"/>
      <c r="B39" s="1902" t="s">
        <v>2318</v>
      </c>
      <c r="C39" s="646"/>
      <c r="D39" s="1886"/>
      <c r="E39" s="1886"/>
      <c r="F39" s="1886"/>
      <c r="G39" s="646"/>
      <c r="H39" s="1893"/>
      <c r="I39" s="1813"/>
      <c r="J39" s="1893"/>
      <c r="K39" s="1813"/>
      <c r="L39" s="1893"/>
      <c r="M39" s="1813"/>
      <c r="N39" s="1893"/>
      <c r="O39" s="1813"/>
      <c r="P39" s="1893"/>
      <c r="Q39" s="1813"/>
      <c r="R39" s="1893"/>
      <c r="S39" s="1813"/>
    </row>
    <row r="40" spans="1:19" x14ac:dyDescent="0.35">
      <c r="A40" s="1817"/>
      <c r="B40" s="207"/>
      <c r="C40" s="646"/>
      <c r="D40" s="1886"/>
      <c r="E40" s="1886"/>
      <c r="F40" s="1886"/>
      <c r="G40" s="646"/>
      <c r="H40" s="1893"/>
      <c r="I40" s="1813"/>
      <c r="J40" s="1893"/>
      <c r="K40" s="1813"/>
      <c r="L40" s="1893"/>
      <c r="M40" s="1813"/>
      <c r="N40" s="1893"/>
      <c r="O40" s="1813"/>
      <c r="P40" s="1893"/>
      <c r="Q40" s="1813"/>
      <c r="R40" s="1893"/>
      <c r="S40" s="1813"/>
    </row>
    <row r="41" spans="1:19" x14ac:dyDescent="0.35">
      <c r="A41" s="1914"/>
      <c r="B41" s="1915" t="s">
        <v>2319</v>
      </c>
      <c r="C41" s="1916"/>
      <c r="D41" s="1886"/>
      <c r="E41" s="1886"/>
      <c r="F41" s="1886"/>
      <c r="G41" s="646"/>
      <c r="H41" s="1893"/>
      <c r="I41" s="1813"/>
      <c r="J41" s="1893"/>
      <c r="K41" s="1813"/>
      <c r="L41" s="1893"/>
      <c r="M41" s="1813"/>
      <c r="N41" s="1893"/>
      <c r="O41" s="1813"/>
      <c r="P41" s="1893"/>
      <c r="Q41" s="1813"/>
      <c r="R41" s="1893"/>
      <c r="S41" s="1813"/>
    </row>
    <row r="42" spans="1:19" x14ac:dyDescent="0.35">
      <c r="A42" s="1817"/>
      <c r="B42" s="1917" t="s">
        <v>2320</v>
      </c>
      <c r="C42" s="1916"/>
      <c r="D42" s="1886"/>
      <c r="E42" s="1886"/>
      <c r="F42" s="1886"/>
      <c r="G42" s="646"/>
      <c r="H42" s="1893"/>
      <c r="I42" s="1813"/>
      <c r="J42" s="1893"/>
      <c r="K42" s="1813"/>
      <c r="L42" s="1893"/>
      <c r="M42" s="1813"/>
      <c r="N42" s="1893"/>
      <c r="O42" s="1813"/>
      <c r="P42" s="1893"/>
      <c r="Q42" s="1813"/>
      <c r="R42" s="1893"/>
      <c r="S42" s="1813"/>
    </row>
    <row r="43" spans="1:19" x14ac:dyDescent="0.35">
      <c r="A43" s="1817"/>
      <c r="B43" s="208" t="s">
        <v>2321</v>
      </c>
      <c r="C43" s="1916"/>
      <c r="D43" s="1886"/>
      <c r="E43" s="1886"/>
      <c r="F43" s="1886"/>
      <c r="G43" s="646"/>
      <c r="H43" s="1893"/>
      <c r="I43" s="1813"/>
      <c r="J43" s="1893"/>
      <c r="K43" s="1813"/>
      <c r="L43" s="1893"/>
      <c r="M43" s="1813"/>
      <c r="N43" s="1893"/>
      <c r="O43" s="1813"/>
      <c r="P43" s="1893"/>
      <c r="Q43" s="1813"/>
      <c r="R43" s="1893"/>
      <c r="S43" s="1813"/>
    </row>
    <row r="44" spans="1:19" x14ac:dyDescent="0.35">
      <c r="A44" s="1914"/>
      <c r="B44" s="1918"/>
      <c r="C44" s="1916"/>
      <c r="D44" s="1886"/>
      <c r="E44" s="1886"/>
      <c r="F44" s="1886"/>
      <c r="G44" s="646"/>
      <c r="H44" s="1893"/>
      <c r="I44" s="1813"/>
      <c r="J44" s="1893"/>
      <c r="K44" s="1813"/>
      <c r="L44" s="1893"/>
      <c r="M44" s="1813"/>
      <c r="N44" s="1893"/>
      <c r="O44" s="1813"/>
      <c r="P44" s="1893"/>
      <c r="Q44" s="1813"/>
      <c r="R44" s="1893"/>
      <c r="S44" s="1813"/>
    </row>
    <row r="45" spans="1:19" x14ac:dyDescent="0.35">
      <c r="A45" s="1914"/>
      <c r="B45" s="1918"/>
      <c r="C45" s="1916"/>
      <c r="D45" s="1886"/>
      <c r="E45" s="1886"/>
      <c r="F45" s="1886"/>
      <c r="G45" s="646"/>
      <c r="H45" s="1893"/>
      <c r="I45" s="1813"/>
      <c r="J45" s="1893"/>
      <c r="K45" s="1813"/>
      <c r="L45" s="1893"/>
      <c r="M45" s="1813"/>
      <c r="N45" s="1893"/>
      <c r="O45" s="1813"/>
      <c r="P45" s="1893"/>
      <c r="Q45" s="1813"/>
      <c r="R45" s="1893"/>
      <c r="S45" s="1813"/>
    </row>
    <row r="46" spans="1:19" x14ac:dyDescent="0.35">
      <c r="A46" s="1817"/>
      <c r="B46" s="209" t="s">
        <v>191</v>
      </c>
      <c r="C46" s="1916"/>
      <c r="D46" s="1886"/>
      <c r="E46" s="1886"/>
      <c r="F46" s="1886"/>
      <c r="G46" s="646"/>
      <c r="H46" s="1893"/>
      <c r="I46" s="1813"/>
      <c r="J46" s="1893"/>
      <c r="K46" s="1813"/>
      <c r="L46" s="1893"/>
      <c r="M46" s="1813"/>
      <c r="N46" s="1893"/>
      <c r="O46" s="1813"/>
      <c r="P46" s="1893"/>
      <c r="Q46" s="1813"/>
      <c r="R46" s="1893"/>
      <c r="S46" s="1813"/>
    </row>
    <row r="47" spans="1:19" x14ac:dyDescent="0.35">
      <c r="A47" s="14"/>
      <c r="B47" s="15"/>
      <c r="C47" s="16"/>
      <c r="D47" s="16"/>
      <c r="E47" s="17"/>
      <c r="F47" s="18" t="s">
        <v>715</v>
      </c>
      <c r="G47" s="19"/>
      <c r="H47" s="20"/>
      <c r="I47" s="50">
        <f>SUM(I23:I46)</f>
        <v>0</v>
      </c>
      <c r="J47" s="20"/>
      <c r="K47" s="50">
        <f>SUM(K23:K46)</f>
        <v>0</v>
      </c>
      <c r="L47" s="20"/>
      <c r="M47" s="50">
        <f>SUM(M23:M46)</f>
        <v>0</v>
      </c>
      <c r="N47" s="20"/>
      <c r="O47" s="50">
        <f>SUM(O26:O46)</f>
        <v>0</v>
      </c>
      <c r="P47" s="20"/>
      <c r="Q47" s="50">
        <f>SUM(Q26:Q46)</f>
        <v>0</v>
      </c>
      <c r="R47" s="20"/>
      <c r="S47" s="50">
        <f>SUM(S26:S46)</f>
        <v>0</v>
      </c>
    </row>
    <row r="48" spans="1:19" x14ac:dyDescent="0.35">
      <c r="A48" s="1838"/>
      <c r="B48" s="1839"/>
      <c r="C48" s="1840"/>
      <c r="D48" s="1840"/>
      <c r="E48" s="1841"/>
      <c r="F48" s="1842" t="s">
        <v>716</v>
      </c>
      <c r="G48" s="1919"/>
      <c r="H48" s="1905">
        <v>0</v>
      </c>
      <c r="I48" s="1844"/>
      <c r="J48" s="1843">
        <v>0</v>
      </c>
      <c r="K48" s="1844"/>
      <c r="L48" s="1843">
        <v>0</v>
      </c>
      <c r="M48" s="1844"/>
      <c r="N48" s="1905">
        <v>0</v>
      </c>
      <c r="O48" s="1844"/>
      <c r="P48" s="1905">
        <v>0</v>
      </c>
      <c r="Q48" s="1844"/>
      <c r="R48" s="1905">
        <v>0</v>
      </c>
      <c r="S48" s="1844"/>
    </row>
    <row r="49" spans="1:19" x14ac:dyDescent="0.35">
      <c r="A49" s="1838"/>
      <c r="B49" s="1839"/>
      <c r="C49" s="1840"/>
      <c r="D49" s="1840"/>
      <c r="E49" s="1841"/>
      <c r="F49" s="1842" t="s">
        <v>717</v>
      </c>
      <c r="G49" s="1919"/>
      <c r="H49" s="1845"/>
      <c r="I49" s="1846">
        <f>H48*I47</f>
        <v>0</v>
      </c>
      <c r="J49" s="1845"/>
      <c r="K49" s="1846">
        <f>J48*K47</f>
        <v>0</v>
      </c>
      <c r="L49" s="1845"/>
      <c r="M49" s="1846">
        <f>L48*M47</f>
        <v>0</v>
      </c>
      <c r="N49" s="1845"/>
      <c r="O49" s="1846">
        <f>N48*O47</f>
        <v>0</v>
      </c>
      <c r="P49" s="1845"/>
      <c r="Q49" s="1846">
        <f>P48*Q47</f>
        <v>0</v>
      </c>
      <c r="R49" s="1845"/>
      <c r="S49" s="1846">
        <f>R48*S47</f>
        <v>0</v>
      </c>
    </row>
    <row r="50" spans="1:19" x14ac:dyDescent="0.35">
      <c r="A50" s="1838"/>
      <c r="B50" s="1839"/>
      <c r="C50" s="1840"/>
      <c r="D50" s="1840"/>
      <c r="E50" s="1841"/>
      <c r="F50" s="1842"/>
      <c r="G50" s="1919"/>
      <c r="H50" s="1845"/>
      <c r="I50" s="1847"/>
      <c r="J50" s="1845"/>
      <c r="K50" s="1847"/>
      <c r="L50" s="1845"/>
      <c r="M50" s="1847"/>
      <c r="N50" s="1845"/>
      <c r="O50" s="1847"/>
      <c r="P50" s="1845"/>
      <c r="Q50" s="1847"/>
      <c r="R50" s="1845"/>
      <c r="S50" s="1847"/>
    </row>
    <row r="51" spans="1:19" x14ac:dyDescent="0.35">
      <c r="A51" s="1838"/>
      <c r="B51" s="1839"/>
      <c r="C51" s="1840"/>
      <c r="D51" s="1840"/>
      <c r="E51" s="1841"/>
      <c r="F51" s="1842" t="s">
        <v>718</v>
      </c>
      <c r="G51" s="1919"/>
      <c r="H51" s="1848"/>
      <c r="I51" s="1849">
        <f>SUM(I47:I49)</f>
        <v>0</v>
      </c>
      <c r="J51" s="1848"/>
      <c r="K51" s="1849">
        <f>SUM(K47:K49)</f>
        <v>0</v>
      </c>
      <c r="L51" s="1848"/>
      <c r="M51" s="1849">
        <f>SUM(M47:M49)</f>
        <v>0</v>
      </c>
      <c r="N51" s="1848"/>
      <c r="O51" s="1849">
        <f>SUM(O47:O49)</f>
        <v>0</v>
      </c>
      <c r="P51" s="1848"/>
      <c r="Q51" s="1849">
        <f>SUM(Q47:Q49)</f>
        <v>0</v>
      </c>
      <c r="R51" s="1848"/>
      <c r="S51" s="1849">
        <f>SUM(S47:S49)</f>
        <v>0</v>
      </c>
    </row>
    <row r="52" spans="1:19" x14ac:dyDescent="0.35">
      <c r="A52" s="1838"/>
      <c r="B52" s="1839"/>
      <c r="C52" s="1840"/>
      <c r="D52" s="1840"/>
      <c r="E52" s="1841"/>
      <c r="F52" s="1850" t="s">
        <v>719</v>
      </c>
      <c r="G52" s="1920"/>
      <c r="H52" s="1851"/>
      <c r="I52" s="1852" t="e">
        <f>I51/#REF!</f>
        <v>#REF!</v>
      </c>
      <c r="J52" s="1851"/>
      <c r="K52" s="1852" t="e">
        <f>K51/#REF!</f>
        <v>#REF!</v>
      </c>
      <c r="L52" s="1851"/>
      <c r="M52" s="1852" t="e">
        <f>M51/#REF!</f>
        <v>#REF!</v>
      </c>
      <c r="N52" s="1851"/>
      <c r="O52" s="1852" t="e">
        <f>O51/#REF!</f>
        <v>#REF!</v>
      </c>
      <c r="P52" s="1851"/>
      <c r="Q52" s="1852" t="e">
        <f>Q51/#REF!</f>
        <v>#REF!</v>
      </c>
      <c r="R52" s="1851"/>
      <c r="S52" s="1852" t="e">
        <f>S51/#REF!</f>
        <v>#REF!</v>
      </c>
    </row>
    <row r="53" spans="1:19" x14ac:dyDescent="0.35">
      <c r="A53" s="1838"/>
      <c r="B53" s="1839"/>
      <c r="C53" s="1840"/>
      <c r="D53" s="1840"/>
      <c r="E53" s="1841"/>
      <c r="F53" s="1850" t="s">
        <v>720</v>
      </c>
      <c r="G53" s="1921"/>
      <c r="H53" s="1851"/>
      <c r="I53" s="1852" t="e">
        <f>I51/#REF!</f>
        <v>#REF!</v>
      </c>
      <c r="J53" s="1851"/>
      <c r="K53" s="1852" t="e">
        <f>K51/#REF!</f>
        <v>#REF!</v>
      </c>
      <c r="L53" s="1851"/>
      <c r="M53" s="1852" t="e">
        <f>M51/#REF!</f>
        <v>#REF!</v>
      </c>
      <c r="N53" s="1851"/>
      <c r="O53" s="1852" t="e">
        <f>O51/#REF!</f>
        <v>#REF!</v>
      </c>
      <c r="P53" s="1851"/>
      <c r="Q53" s="1852" t="e">
        <f>Q51/#REF!</f>
        <v>#REF!</v>
      </c>
      <c r="R53" s="1851"/>
      <c r="S53" s="1852" t="e">
        <f>S51/#REF!</f>
        <v>#REF!</v>
      </c>
    </row>
    <row r="54" spans="1:19" x14ac:dyDescent="0.35">
      <c r="A54" s="1838"/>
      <c r="B54" s="1839"/>
      <c r="C54" s="1840"/>
      <c r="D54" s="1840"/>
      <c r="E54" s="1841"/>
      <c r="F54" s="1842"/>
      <c r="G54" s="1922"/>
      <c r="H54" s="1853"/>
      <c r="I54" s="1854"/>
      <c r="J54" s="1855"/>
      <c r="K54" s="1855"/>
      <c r="L54" s="1855"/>
      <c r="M54" s="1855"/>
      <c r="N54" s="1855"/>
      <c r="O54" s="1856"/>
      <c r="P54" s="1855"/>
      <c r="Q54" s="1856"/>
      <c r="R54" s="1855"/>
      <c r="S54" s="1856"/>
    </row>
    <row r="55" spans="1:19" x14ac:dyDescent="0.35">
      <c r="A55" s="3764" t="s">
        <v>721</v>
      </c>
      <c r="B55" s="3765"/>
      <c r="C55" s="12"/>
      <c r="D55" s="12"/>
      <c r="E55" s="12"/>
      <c r="F55" s="12"/>
      <c r="G55" s="13"/>
      <c r="H55" s="21"/>
      <c r="I55" s="21"/>
      <c r="J55" s="21"/>
      <c r="K55" s="21"/>
      <c r="L55" s="21"/>
      <c r="M55" s="21"/>
      <c r="N55" s="21"/>
      <c r="O55" s="21"/>
      <c r="P55" s="21"/>
      <c r="Q55" s="21"/>
      <c r="R55" s="21"/>
      <c r="S55" s="21"/>
    </row>
    <row r="56" spans="1:19" x14ac:dyDescent="0.35">
      <c r="A56" s="1923"/>
      <c r="B56" s="1885"/>
      <c r="C56" s="1383"/>
      <c r="D56" s="1383"/>
      <c r="E56" s="1383"/>
      <c r="F56" s="1383"/>
      <c r="G56" s="1384"/>
      <c r="H56" s="1924"/>
      <c r="I56" s="1924"/>
      <c r="J56" s="1924"/>
      <c r="K56" s="1924"/>
      <c r="L56" s="1924"/>
      <c r="M56" s="1924"/>
      <c r="N56" s="1924"/>
      <c r="O56" s="1924"/>
      <c r="P56" s="1924"/>
      <c r="Q56" s="1924"/>
      <c r="R56" s="1924"/>
      <c r="S56" s="1924"/>
    </row>
    <row r="57" spans="1:19" x14ac:dyDescent="0.35">
      <c r="A57" s="1923"/>
      <c r="B57" s="1885"/>
      <c r="C57" s="1383"/>
      <c r="D57" s="1383"/>
      <c r="E57" s="1383"/>
      <c r="F57" s="1383"/>
      <c r="G57" s="1384"/>
      <c r="H57" s="1924"/>
      <c r="I57" s="1924"/>
      <c r="J57" s="1924"/>
      <c r="K57" s="1924"/>
      <c r="L57" s="1924"/>
      <c r="M57" s="1924"/>
      <c r="N57" s="1924"/>
      <c r="O57" s="1924"/>
      <c r="P57" s="1924"/>
      <c r="Q57" s="1924"/>
      <c r="R57" s="1924"/>
      <c r="S57" s="1924"/>
    </row>
    <row r="58" spans="1:19" x14ac:dyDescent="0.35">
      <c r="A58" s="1923"/>
      <c r="B58" s="1885"/>
      <c r="C58" s="1383"/>
      <c r="D58" s="1383"/>
      <c r="E58" s="1383"/>
      <c r="F58" s="1383"/>
      <c r="G58" s="1384"/>
      <c r="H58" s="1924"/>
      <c r="I58" s="1924"/>
      <c r="J58" s="1924"/>
      <c r="K58" s="1924"/>
      <c r="L58" s="1924"/>
      <c r="M58" s="1924"/>
      <c r="N58" s="1924"/>
      <c r="O58" s="1924"/>
      <c r="P58" s="1924"/>
      <c r="Q58" s="1924"/>
      <c r="R58" s="1924"/>
      <c r="S58" s="1924"/>
    </row>
    <row r="59" spans="1:19" s="2" customFormat="1" x14ac:dyDescent="0.35">
      <c r="A59" s="3764" t="s">
        <v>722</v>
      </c>
      <c r="B59" s="3765"/>
      <c r="C59" s="12"/>
      <c r="D59" s="12"/>
      <c r="E59" s="12"/>
      <c r="F59" s="12"/>
      <c r="G59" s="13"/>
      <c r="H59" s="21"/>
      <c r="I59" s="21"/>
      <c r="J59" s="21"/>
      <c r="K59" s="21"/>
      <c r="L59" s="21"/>
      <c r="M59" s="21"/>
      <c r="N59" s="21"/>
      <c r="O59" s="21"/>
      <c r="P59" s="21"/>
      <c r="Q59" s="21"/>
      <c r="R59" s="21"/>
      <c r="S59" s="21"/>
    </row>
    <row r="60" spans="1:19" s="2" customFormat="1" x14ac:dyDescent="0.35">
      <c r="A60" s="1923"/>
      <c r="B60" s="1885"/>
      <c r="C60" s="1383"/>
      <c r="D60" s="1383"/>
      <c r="E60" s="1383"/>
      <c r="F60" s="1383"/>
      <c r="G60" s="1384"/>
      <c r="H60" s="1924"/>
      <c r="I60" s="1924"/>
      <c r="J60" s="1924"/>
      <c r="K60" s="1924"/>
      <c r="L60" s="1924"/>
      <c r="M60" s="1924"/>
      <c r="N60" s="1924"/>
      <c r="O60" s="1924"/>
      <c r="P60" s="1924"/>
      <c r="Q60" s="1924"/>
      <c r="R60" s="1924"/>
      <c r="S60" s="1924"/>
    </row>
    <row r="61" spans="1:19" s="2" customFormat="1" x14ac:dyDescent="0.35">
      <c r="A61" s="1923"/>
      <c r="B61" s="1885"/>
      <c r="C61" s="1383"/>
      <c r="D61" s="1383"/>
      <c r="E61" s="1383"/>
      <c r="F61" s="1383"/>
      <c r="G61" s="1384"/>
      <c r="H61" s="1924"/>
      <c r="I61" s="1924"/>
      <c r="J61" s="1924"/>
      <c r="K61" s="1924"/>
      <c r="L61" s="1924"/>
      <c r="M61" s="1924"/>
      <c r="N61" s="1924"/>
      <c r="O61" s="1924"/>
      <c r="P61" s="1924"/>
      <c r="Q61" s="1924"/>
      <c r="R61" s="1924"/>
      <c r="S61" s="1924"/>
    </row>
    <row r="62" spans="1:19" x14ac:dyDescent="0.35">
      <c r="A62" s="1923"/>
      <c r="B62" s="1885"/>
      <c r="C62" s="1383"/>
      <c r="D62" s="1383"/>
      <c r="E62" s="1383"/>
      <c r="F62" s="1383"/>
      <c r="G62" s="1384"/>
      <c r="H62" s="1924"/>
      <c r="I62" s="1924"/>
      <c r="J62" s="1924"/>
      <c r="K62" s="1924"/>
      <c r="L62" s="1924"/>
      <c r="M62" s="1924"/>
      <c r="N62" s="1924"/>
      <c r="O62" s="1924"/>
      <c r="P62" s="1924"/>
      <c r="Q62" s="1924"/>
      <c r="R62" s="1924"/>
      <c r="S62" s="1924"/>
    </row>
    <row r="63" spans="1:19" s="2" customFormat="1" x14ac:dyDescent="0.35">
      <c r="A63" s="3764" t="s">
        <v>723</v>
      </c>
      <c r="B63" s="3765"/>
      <c r="C63" s="12"/>
      <c r="D63" s="12"/>
      <c r="E63" s="12"/>
      <c r="F63" s="12"/>
      <c r="G63" s="13"/>
      <c r="H63" s="21"/>
      <c r="I63" s="21"/>
      <c r="J63" s="21"/>
      <c r="K63" s="21"/>
      <c r="L63" s="21"/>
      <c r="M63" s="21"/>
      <c r="N63" s="21"/>
      <c r="O63" s="21"/>
      <c r="P63" s="21"/>
      <c r="Q63" s="21"/>
      <c r="R63" s="21"/>
      <c r="S63" s="21"/>
    </row>
    <row r="64" spans="1:19" s="2" customFormat="1" x14ac:dyDescent="0.35">
      <c r="A64" s="1923"/>
      <c r="B64" s="1885"/>
      <c r="C64" s="1383"/>
      <c r="D64" s="1383"/>
      <c r="E64" s="1383"/>
      <c r="F64" s="1383"/>
      <c r="G64" s="1384"/>
      <c r="H64" s="1924"/>
      <c r="I64" s="1924"/>
      <c r="J64" s="1924"/>
      <c r="K64" s="1924"/>
      <c r="L64" s="1924"/>
      <c r="M64" s="1924"/>
      <c r="N64" s="1924"/>
      <c r="O64" s="1924"/>
      <c r="P64" s="1924"/>
      <c r="Q64" s="1924"/>
      <c r="R64" s="1924"/>
      <c r="S64" s="1924"/>
    </row>
    <row r="65" spans="1:19" s="2" customFormat="1" x14ac:dyDescent="0.35">
      <c r="A65" s="1889"/>
      <c r="B65" s="1885"/>
      <c r="C65" s="1886"/>
      <c r="D65" s="1886"/>
      <c r="E65" s="1886"/>
      <c r="F65" s="1886"/>
      <c r="G65" s="646"/>
      <c r="H65" s="1861"/>
      <c r="I65" s="1861"/>
      <c r="J65" s="1861"/>
      <c r="K65" s="1861"/>
      <c r="L65" s="1861"/>
      <c r="M65" s="1861"/>
      <c r="N65" s="1861"/>
      <c r="O65" s="1861"/>
      <c r="P65" s="1861"/>
      <c r="Q65" s="1861"/>
      <c r="R65" s="1861"/>
      <c r="S65" s="1861"/>
    </row>
    <row r="66" spans="1:19" s="2" customFormat="1" x14ac:dyDescent="0.35">
      <c r="A66" s="1862"/>
      <c r="B66" s="1863"/>
      <c r="C66" s="1886"/>
      <c r="D66" s="1886"/>
      <c r="E66" s="1886"/>
      <c r="F66" s="1886"/>
      <c r="G66" s="646"/>
      <c r="H66" s="1864"/>
      <c r="I66" s="1864"/>
      <c r="J66" s="1864"/>
      <c r="K66" s="1864"/>
      <c r="L66" s="1864"/>
      <c r="M66" s="1864"/>
      <c r="N66" s="1864"/>
      <c r="O66" s="1864"/>
      <c r="P66" s="1864"/>
      <c r="Q66" s="1864"/>
      <c r="R66" s="1864"/>
      <c r="S66" s="1864"/>
    </row>
    <row r="67" spans="1:19" s="2" customFormat="1" x14ac:dyDescent="0.35">
      <c r="A67" s="3764" t="s">
        <v>724</v>
      </c>
      <c r="B67" s="3765"/>
      <c r="C67" s="12"/>
      <c r="D67" s="12"/>
      <c r="E67" s="12"/>
      <c r="F67" s="12"/>
      <c r="G67" s="13"/>
      <c r="H67" s="21"/>
      <c r="I67" s="21"/>
      <c r="J67" s="21"/>
      <c r="K67" s="21"/>
      <c r="L67" s="21"/>
      <c r="M67" s="21"/>
      <c r="N67" s="21"/>
      <c r="O67" s="21"/>
      <c r="P67" s="21"/>
      <c r="Q67" s="21"/>
      <c r="R67" s="21"/>
      <c r="S67" s="21"/>
    </row>
    <row r="68" spans="1:19" x14ac:dyDescent="0.35">
      <c r="A68" s="1925"/>
      <c r="B68" s="1387"/>
      <c r="C68" s="1383"/>
      <c r="D68" s="1383"/>
      <c r="E68" s="1383"/>
      <c r="F68" s="1383"/>
      <c r="G68" s="1384"/>
      <c r="H68" s="1924"/>
      <c r="I68" s="1924"/>
      <c r="J68" s="1924"/>
      <c r="K68" s="1924"/>
      <c r="L68" s="1924"/>
      <c r="M68" s="1924"/>
      <c r="N68" s="1924"/>
      <c r="O68" s="1924"/>
      <c r="P68" s="1924"/>
      <c r="Q68" s="1924"/>
      <c r="R68" s="1924"/>
      <c r="S68" s="1924"/>
    </row>
    <row r="69" spans="1:19" x14ac:dyDescent="0.35">
      <c r="A69" s="1862"/>
      <c r="B69" s="1863"/>
      <c r="C69" s="1886"/>
      <c r="D69" s="1886"/>
      <c r="E69" s="1886"/>
      <c r="F69" s="1886"/>
      <c r="G69" s="646"/>
      <c r="H69" s="1867"/>
      <c r="I69" s="1867"/>
      <c r="J69" s="1867"/>
      <c r="K69" s="1867"/>
      <c r="L69" s="1867"/>
      <c r="M69" s="1867"/>
      <c r="N69" s="1867"/>
      <c r="O69" s="1867"/>
      <c r="P69" s="1867"/>
      <c r="Q69" s="1867"/>
      <c r="R69" s="1867"/>
      <c r="S69" s="1867"/>
    </row>
    <row r="70" spans="1:19" x14ac:dyDescent="0.35">
      <c r="A70" s="1862"/>
      <c r="B70" s="1863"/>
      <c r="C70" s="1886"/>
      <c r="D70" s="1886"/>
      <c r="E70" s="1886"/>
      <c r="F70" s="1886"/>
      <c r="G70" s="646"/>
      <c r="H70" s="1867"/>
      <c r="I70" s="1867"/>
      <c r="J70" s="1867"/>
      <c r="K70" s="1867"/>
      <c r="L70" s="1867"/>
      <c r="M70" s="1867"/>
      <c r="N70" s="1867"/>
      <c r="O70" s="1867"/>
      <c r="P70" s="1867"/>
      <c r="Q70" s="1867"/>
      <c r="R70" s="1867"/>
      <c r="S70" s="1867"/>
    </row>
    <row r="71" spans="1:19" x14ac:dyDescent="0.35">
      <c r="A71" s="3764" t="s">
        <v>725</v>
      </c>
      <c r="B71" s="3765"/>
      <c r="C71" s="12"/>
      <c r="D71" s="12"/>
      <c r="E71" s="12"/>
      <c r="F71" s="12"/>
      <c r="G71" s="13"/>
      <c r="H71" s="21"/>
      <c r="I71" s="21"/>
      <c r="J71" s="21"/>
      <c r="K71" s="21"/>
      <c r="L71" s="21"/>
      <c r="M71" s="21"/>
      <c r="N71" s="21"/>
      <c r="O71" s="21"/>
      <c r="P71" s="21"/>
      <c r="Q71" s="21"/>
      <c r="R71" s="21"/>
      <c r="S71" s="21"/>
    </row>
    <row r="72" spans="1:19" x14ac:dyDescent="0.35">
      <c r="A72" s="1889"/>
      <c r="B72" s="1885" t="s">
        <v>726</v>
      </c>
      <c r="C72" s="1886"/>
      <c r="D72" s="1886"/>
      <c r="E72" s="1886"/>
      <c r="F72" s="1886"/>
      <c r="G72" s="646"/>
      <c r="H72" s="1867"/>
      <c r="I72" s="1867"/>
      <c r="J72" s="1867"/>
      <c r="K72" s="1867"/>
      <c r="L72" s="1867"/>
      <c r="M72" s="1867"/>
      <c r="N72" s="1867"/>
      <c r="O72" s="1867"/>
      <c r="P72" s="1867"/>
      <c r="Q72" s="1867"/>
      <c r="R72" s="1867"/>
      <c r="S72" s="1867"/>
    </row>
    <row r="73" spans="1:19" x14ac:dyDescent="0.35">
      <c r="A73" s="1889"/>
      <c r="B73" s="1885" t="s">
        <v>727</v>
      </c>
      <c r="C73" s="1886"/>
      <c r="D73" s="1886"/>
      <c r="E73" s="1886"/>
      <c r="F73" s="1886"/>
      <c r="G73" s="646"/>
      <c r="H73" s="1867"/>
      <c r="I73" s="1867"/>
      <c r="J73" s="1867"/>
      <c r="K73" s="1867"/>
      <c r="L73" s="1867"/>
      <c r="M73" s="1867"/>
      <c r="N73" s="1867"/>
      <c r="O73" s="1867"/>
      <c r="P73" s="1867"/>
      <c r="Q73" s="1867"/>
      <c r="R73" s="1867"/>
      <c r="S73" s="1867"/>
    </row>
    <row r="74" spans="1:19" x14ac:dyDescent="0.35">
      <c r="A74" s="1889"/>
      <c r="B74" s="1885" t="s">
        <v>728</v>
      </c>
      <c r="C74" s="1886"/>
      <c r="D74" s="1886"/>
      <c r="E74" s="1886"/>
      <c r="F74" s="1886"/>
      <c r="G74" s="646"/>
      <c r="H74" s="1867"/>
      <c r="I74" s="1867"/>
      <c r="J74" s="1867"/>
      <c r="K74" s="1867"/>
      <c r="L74" s="1867"/>
      <c r="M74" s="1867"/>
      <c r="N74" s="1867"/>
      <c r="O74" s="1867"/>
      <c r="P74" s="1867"/>
      <c r="Q74" s="1867"/>
      <c r="R74" s="1867"/>
      <c r="S74" s="1867"/>
    </row>
    <row r="75" spans="1:19" x14ac:dyDescent="0.35">
      <c r="A75" s="1889"/>
      <c r="B75" s="1885" t="s">
        <v>729</v>
      </c>
      <c r="C75" s="1886"/>
      <c r="D75" s="1886"/>
      <c r="E75" s="1886"/>
      <c r="F75" s="1886"/>
      <c r="G75" s="646"/>
      <c r="H75" s="1867"/>
      <c r="I75" s="1867"/>
      <c r="J75" s="1867"/>
      <c r="K75" s="1867"/>
      <c r="L75" s="1867"/>
      <c r="M75" s="1867"/>
      <c r="N75" s="1867"/>
      <c r="O75" s="1867"/>
      <c r="P75" s="1867"/>
      <c r="Q75" s="1867"/>
      <c r="R75" s="1867"/>
      <c r="S75" s="1867"/>
    </row>
    <row r="76" spans="1:19" x14ac:dyDescent="0.35">
      <c r="A76" s="978"/>
      <c r="B76" s="939"/>
      <c r="C76" s="940"/>
      <c r="D76" s="940"/>
      <c r="E76" s="940"/>
      <c r="F76" s="940"/>
      <c r="G76" s="1039"/>
      <c r="H76" s="981"/>
      <c r="I76" s="981"/>
      <c r="J76" s="981"/>
      <c r="K76" s="981"/>
      <c r="L76" s="981"/>
      <c r="M76" s="981"/>
      <c r="N76" s="981"/>
      <c r="O76" s="981"/>
      <c r="P76" s="981"/>
      <c r="Q76" s="981"/>
      <c r="R76" s="981"/>
      <c r="S76" s="981"/>
    </row>
    <row r="77" spans="1:19" x14ac:dyDescent="0.35">
      <c r="A77" s="7" t="s">
        <v>730</v>
      </c>
      <c r="B77" s="8"/>
      <c r="C77" s="12"/>
      <c r="D77" s="12"/>
      <c r="E77" s="12"/>
      <c r="F77" s="12"/>
      <c r="G77" s="13"/>
      <c r="H77" s="21"/>
      <c r="I77" s="21"/>
      <c r="J77" s="21"/>
      <c r="K77" s="21"/>
      <c r="L77" s="21"/>
      <c r="M77" s="21"/>
      <c r="N77" s="21"/>
      <c r="O77" s="21"/>
      <c r="P77" s="21"/>
      <c r="Q77" s="21"/>
      <c r="R77" s="21"/>
      <c r="S77" s="21"/>
    </row>
    <row r="78" spans="1:19" x14ac:dyDescent="0.35">
      <c r="A78" s="1923"/>
      <c r="B78" s="1388" t="s">
        <v>731</v>
      </c>
      <c r="C78" s="1383"/>
      <c r="D78" s="1383"/>
      <c r="E78" s="1383"/>
      <c r="F78" s="1383"/>
      <c r="G78" s="1384"/>
      <c r="H78" s="1926"/>
      <c r="I78" s="1926"/>
      <c r="J78" s="1926"/>
      <c r="K78" s="1926"/>
      <c r="L78" s="1926"/>
      <c r="M78" s="1926"/>
      <c r="N78" s="1926"/>
      <c r="O78" s="1926"/>
      <c r="P78" s="1926"/>
      <c r="Q78" s="1926"/>
      <c r="R78" s="1926"/>
      <c r="S78" s="1926"/>
    </row>
    <row r="79" spans="1:19" x14ac:dyDescent="0.35">
      <c r="A79" s="1889"/>
      <c r="B79" s="1885" t="s">
        <v>732</v>
      </c>
      <c r="C79" s="1886"/>
      <c r="D79" s="1886"/>
      <c r="E79" s="1886"/>
      <c r="F79" s="1886"/>
      <c r="G79" s="646"/>
      <c r="H79" s="1870"/>
      <c r="I79" s="1870"/>
      <c r="J79" s="1870"/>
      <c r="K79" s="1870"/>
      <c r="L79" s="1870"/>
      <c r="M79" s="1870"/>
      <c r="N79" s="1870"/>
      <c r="O79" s="1870"/>
      <c r="P79" s="1870"/>
      <c r="Q79" s="1870"/>
      <c r="R79" s="1870"/>
      <c r="S79" s="1870"/>
    </row>
    <row r="80" spans="1:19" x14ac:dyDescent="0.35">
      <c r="A80" s="1871"/>
      <c r="B80" s="1872" t="s">
        <v>733</v>
      </c>
      <c r="C80" s="1873"/>
      <c r="D80" s="1873"/>
      <c r="E80" s="1873"/>
      <c r="F80" s="1873"/>
      <c r="G80" s="1874"/>
      <c r="H80" s="1876"/>
      <c r="I80" s="1876"/>
      <c r="J80" s="1876"/>
      <c r="K80" s="1876"/>
      <c r="L80" s="1876"/>
      <c r="M80" s="1876"/>
      <c r="N80" s="1876"/>
      <c r="O80" s="1876"/>
      <c r="P80" s="1876"/>
      <c r="Q80" s="1876"/>
      <c r="R80" s="1876"/>
      <c r="S80" s="1876"/>
    </row>
    <row r="82" spans="1:2" x14ac:dyDescent="0.35">
      <c r="A82" s="78" t="s">
        <v>734</v>
      </c>
      <c r="B82" s="80"/>
    </row>
    <row r="83" spans="1:2" x14ac:dyDescent="0.35">
      <c r="A83" s="79" t="s">
        <v>632</v>
      </c>
      <c r="B83" s="1877"/>
    </row>
    <row r="84" spans="1:2" x14ac:dyDescent="0.35">
      <c r="A84" s="1878" t="s">
        <v>636</v>
      </c>
      <c r="B84" s="1877"/>
    </row>
    <row r="85" spans="1:2" x14ac:dyDescent="0.35">
      <c r="A85" s="1879" t="s">
        <v>639</v>
      </c>
      <c r="B85" s="1880"/>
    </row>
    <row r="86" spans="1:2" x14ac:dyDescent="0.35">
      <c r="A86" s="1879" t="s">
        <v>642</v>
      </c>
      <c r="B86" s="1909"/>
    </row>
    <row r="87" spans="1:2" x14ac:dyDescent="0.35">
      <c r="A87" s="1882" t="s">
        <v>735</v>
      </c>
      <c r="B87" s="1883"/>
    </row>
    <row r="89" spans="1:2" x14ac:dyDescent="0.35">
      <c r="A89" s="81"/>
      <c r="B89" s="1" t="s">
        <v>736</v>
      </c>
    </row>
    <row r="90" spans="1:2" x14ac:dyDescent="0.35">
      <c r="A90" s="82"/>
      <c r="B90" s="1" t="s">
        <v>737</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725" priority="13" operator="equal">
      <formula>"X"</formula>
    </cfRule>
    <cfRule type="cellIs" dxfId="1724" priority="14" operator="equal">
      <formula>"I"</formula>
    </cfRule>
  </conditionalFormatting>
  <conditionalFormatting sqref="H32:H46">
    <cfRule type="cellIs" dxfId="1723" priority="1" operator="equal">
      <formula>"X"</formula>
    </cfRule>
    <cfRule type="cellIs" dxfId="1722" priority="2" operator="equal">
      <formula>"I"</formula>
    </cfRule>
  </conditionalFormatting>
  <conditionalFormatting sqref="J20:J30">
    <cfRule type="cellIs" dxfId="1721" priority="15" operator="equal">
      <formula>"X"</formula>
    </cfRule>
    <cfRule type="cellIs" dxfId="1720" priority="16" operator="equal">
      <formula>"I"</formula>
    </cfRule>
  </conditionalFormatting>
  <conditionalFormatting sqref="J32:J46">
    <cfRule type="cellIs" dxfId="1719" priority="3" operator="equal">
      <formula>"X"</formula>
    </cfRule>
    <cfRule type="cellIs" dxfId="1718" priority="4" operator="equal">
      <formula>"I"</formula>
    </cfRule>
  </conditionalFormatting>
  <conditionalFormatting sqref="L20:L30">
    <cfRule type="cellIs" dxfId="1717" priority="17" operator="equal">
      <formula>"X"</formula>
    </cfRule>
    <cfRule type="cellIs" dxfId="1716" priority="18" operator="equal">
      <formula>"I"</formula>
    </cfRule>
  </conditionalFormatting>
  <conditionalFormatting sqref="L32:L46">
    <cfRule type="cellIs" dxfId="1715" priority="5" operator="equal">
      <formula>"X"</formula>
    </cfRule>
    <cfRule type="cellIs" dxfId="1714" priority="6" operator="equal">
      <formula>"I"</formula>
    </cfRule>
  </conditionalFormatting>
  <conditionalFormatting sqref="N20:N30">
    <cfRule type="cellIs" dxfId="1713" priority="19" operator="equal">
      <formula>"X"</formula>
    </cfRule>
    <cfRule type="cellIs" dxfId="1712" priority="20" operator="equal">
      <formula>"I"</formula>
    </cfRule>
  </conditionalFormatting>
  <conditionalFormatting sqref="N32:N46">
    <cfRule type="cellIs" dxfId="1711" priority="7" operator="equal">
      <formula>"X"</formula>
    </cfRule>
    <cfRule type="cellIs" dxfId="1710" priority="8" operator="equal">
      <formula>"I"</formula>
    </cfRule>
  </conditionalFormatting>
  <conditionalFormatting sqref="P20:P30">
    <cfRule type="cellIs" dxfId="1709" priority="21" operator="equal">
      <formula>"X"</formula>
    </cfRule>
    <cfRule type="cellIs" dxfId="1708" priority="22" operator="equal">
      <formula>"I"</formula>
    </cfRule>
  </conditionalFormatting>
  <conditionalFormatting sqref="P32:P46">
    <cfRule type="cellIs" dxfId="1707" priority="9" operator="equal">
      <formula>"X"</formula>
    </cfRule>
    <cfRule type="cellIs" dxfId="1706" priority="10" operator="equal">
      <formula>"I"</formula>
    </cfRule>
  </conditionalFormatting>
  <conditionalFormatting sqref="R20:R30">
    <cfRule type="cellIs" dxfId="1705" priority="23" operator="equal">
      <formula>"X"</formula>
    </cfRule>
    <cfRule type="cellIs" dxfId="1704" priority="24" operator="equal">
      <formula>"I"</formula>
    </cfRule>
  </conditionalFormatting>
  <conditionalFormatting sqref="R32:R46">
    <cfRule type="cellIs" dxfId="1703" priority="11" operator="equal">
      <formula>"X"</formula>
    </cfRule>
    <cfRule type="cellIs" dxfId="1702" priority="12" operator="equal">
      <formula>"I"</formula>
    </cfRule>
  </conditionalFormatting>
  <hyperlinks>
    <hyperlink ref="B3" location="'Cost Summary'!A1" display="BACK TO SUMMARY SHEET" xr:uid="{54D883F3-E6DB-40EA-8333-B146D94766CE}"/>
  </hyperlink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F9C2-0396-4F38-825D-79D85131EE63}">
  <sheetPr>
    <tabColor rgb="FF92D050"/>
  </sheetPr>
  <dimension ref="A1:AC132"/>
  <sheetViews>
    <sheetView zoomScale="85" zoomScaleNormal="85" workbookViewId="0">
      <pane xSplit="2" ySplit="9" topLeftCell="C47" activePane="bottomRight" state="frozen"/>
      <selection pane="topRight" activeCell="C1" sqref="C1"/>
      <selection pane="bottomLeft" activeCell="A10" sqref="A10"/>
      <selection pane="bottomRight" activeCell="I26" sqref="I26"/>
    </sheetView>
  </sheetViews>
  <sheetFormatPr defaultRowHeight="14.5" x14ac:dyDescent="0.35"/>
  <cols>
    <col min="1" max="1" width="11" customWidth="1"/>
    <col min="2" max="2" width="70.7265625" style="1" customWidth="1"/>
    <col min="3" max="3" width="11.81640625" style="2" bestFit="1" customWidth="1"/>
    <col min="4" max="4" width="9.1796875" style="2" customWidth="1"/>
    <col min="5" max="5" width="7.54296875" style="2" customWidth="1"/>
    <col min="6" max="6" width="7.7265625" style="2" customWidth="1"/>
    <col min="7" max="7" width="15.4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s>
  <sheetData>
    <row r="1" spans="1:21" x14ac:dyDescent="0.35">
      <c r="E1" s="152"/>
      <c r="F1" s="125"/>
      <c r="G1" s="123" t="s">
        <v>621</v>
      </c>
    </row>
    <row r="2" spans="1:21" x14ac:dyDescent="0.35">
      <c r="E2" s="152"/>
      <c r="F2" s="122" t="s">
        <v>622</v>
      </c>
      <c r="G2" s="123" t="s">
        <v>451</v>
      </c>
      <c r="H2" s="3866">
        <v>7723700579</v>
      </c>
      <c r="I2" s="3866"/>
      <c r="J2" s="3866">
        <v>7726962430</v>
      </c>
      <c r="K2" s="3866"/>
      <c r="L2" s="3751"/>
      <c r="M2" s="3751"/>
      <c r="N2" s="3751"/>
      <c r="O2" s="3751"/>
      <c r="P2" s="3914">
        <v>3053421994</v>
      </c>
      <c r="Q2" s="3914"/>
      <c r="R2" s="3751"/>
      <c r="S2" s="3751"/>
      <c r="T2" s="3866">
        <v>5613509766</v>
      </c>
      <c r="U2" s="3866"/>
    </row>
    <row r="3" spans="1:21" ht="19.5" x14ac:dyDescent="0.35">
      <c r="B3" s="137" t="s">
        <v>623</v>
      </c>
      <c r="E3" s="152"/>
      <c r="F3" s="124" t="s">
        <v>624</v>
      </c>
      <c r="G3" s="123" t="s">
        <v>557</v>
      </c>
      <c r="H3" s="3772" t="s">
        <v>871</v>
      </c>
      <c r="I3" s="3773"/>
      <c r="J3" s="3754" t="s">
        <v>771</v>
      </c>
      <c r="K3" s="3755"/>
      <c r="L3" s="3754" t="s">
        <v>627</v>
      </c>
      <c r="M3" s="3755"/>
      <c r="N3" s="3754" t="s">
        <v>1370</v>
      </c>
      <c r="O3" s="3755"/>
      <c r="P3" s="3754" t="s">
        <v>772</v>
      </c>
      <c r="Q3" s="3755"/>
      <c r="R3" s="3891" t="s">
        <v>626</v>
      </c>
      <c r="S3" s="3892"/>
      <c r="T3" s="3891" t="s">
        <v>628</v>
      </c>
      <c r="U3" s="3892"/>
    </row>
    <row r="4" spans="1:21" x14ac:dyDescent="0.35">
      <c r="A4" s="3" t="s">
        <v>631</v>
      </c>
      <c r="B4" s="4" t="str">
        <f>'AREA CALC''s'!B4</f>
        <v>Alton Hilltop Gardens</v>
      </c>
      <c r="C4" s="5"/>
      <c r="D4" s="5"/>
      <c r="E4" s="5"/>
      <c r="F4" s="5"/>
      <c r="G4" s="6" t="s">
        <v>632</v>
      </c>
      <c r="H4" s="3752" t="s">
        <v>2324</v>
      </c>
      <c r="I4" s="3753"/>
      <c r="J4" s="3752" t="s">
        <v>2325</v>
      </c>
      <c r="K4" s="3753"/>
      <c r="L4" s="3752" t="s">
        <v>2243</v>
      </c>
      <c r="M4" s="3753"/>
      <c r="N4" s="3752" t="s">
        <v>2248</v>
      </c>
      <c r="O4" s="3753"/>
      <c r="P4" s="3752" t="s">
        <v>777</v>
      </c>
      <c r="Q4" s="3753"/>
      <c r="R4" s="3752" t="s">
        <v>2326</v>
      </c>
      <c r="S4" s="3753"/>
      <c r="T4" s="3752" t="s">
        <v>2327</v>
      </c>
      <c r="U4" s="3753"/>
    </row>
    <row r="5" spans="1:21" x14ac:dyDescent="0.35">
      <c r="A5" s="1884" t="s">
        <v>634</v>
      </c>
      <c r="B5" s="1885" t="s">
        <v>2328</v>
      </c>
      <c r="C5" s="1886"/>
      <c r="D5" s="1886"/>
      <c r="E5" s="1886"/>
      <c r="F5" s="1886"/>
      <c r="G5" s="1927" t="s">
        <v>636</v>
      </c>
      <c r="H5" s="3907" t="s">
        <v>2329</v>
      </c>
      <c r="I5" s="3911"/>
      <c r="J5" s="3907" t="s">
        <v>2330</v>
      </c>
      <c r="K5" s="3911"/>
      <c r="L5" s="3907" t="s">
        <v>2255</v>
      </c>
      <c r="M5" s="3911"/>
      <c r="N5" s="3907" t="s">
        <v>2257</v>
      </c>
      <c r="O5" s="3911"/>
      <c r="P5" s="3907" t="s">
        <v>2331</v>
      </c>
      <c r="Q5" s="3911"/>
      <c r="R5" s="3907" t="s">
        <v>2332</v>
      </c>
      <c r="S5" s="3911"/>
      <c r="T5" s="3907" t="s">
        <v>2333</v>
      </c>
      <c r="U5" s="3911"/>
    </row>
    <row r="6" spans="1:21" x14ac:dyDescent="0.35">
      <c r="A6" s="1884" t="s">
        <v>638</v>
      </c>
      <c r="B6" s="1887" t="s">
        <v>507</v>
      </c>
      <c r="C6" s="1886"/>
      <c r="D6" s="1886"/>
      <c r="E6" s="1886"/>
      <c r="F6" s="1886"/>
      <c r="G6" s="1927" t="s">
        <v>639</v>
      </c>
      <c r="H6" s="3906">
        <v>7724606110</v>
      </c>
      <c r="I6" s="3912"/>
      <c r="J6" s="3906">
        <v>5613363885</v>
      </c>
      <c r="K6" s="3912"/>
      <c r="L6" s="3906" t="s">
        <v>2262</v>
      </c>
      <c r="M6" s="3912"/>
      <c r="N6" s="3906">
        <v>2676646131</v>
      </c>
      <c r="O6" s="3912"/>
      <c r="P6" s="3906">
        <v>9543444515</v>
      </c>
      <c r="Q6" s="3912"/>
      <c r="R6" s="3906">
        <v>7726465256</v>
      </c>
      <c r="S6" s="3912"/>
      <c r="T6" s="3906">
        <v>9547848804</v>
      </c>
      <c r="U6" s="3912"/>
    </row>
    <row r="7" spans="1:21" x14ac:dyDescent="0.35">
      <c r="A7" s="1884" t="s">
        <v>641</v>
      </c>
      <c r="B7" s="1888"/>
      <c r="C7" s="1886"/>
      <c r="D7" s="1886"/>
      <c r="E7" s="1886"/>
      <c r="F7" s="1886"/>
      <c r="G7" s="1927" t="s">
        <v>642</v>
      </c>
      <c r="H7" s="3908" t="s">
        <v>2334</v>
      </c>
      <c r="I7" s="3913"/>
      <c r="J7" s="3908" t="s">
        <v>2335</v>
      </c>
      <c r="K7" s="3913"/>
      <c r="L7" s="3908" t="s">
        <v>2264</v>
      </c>
      <c r="M7" s="3913"/>
      <c r="N7" s="3908" t="s">
        <v>2267</v>
      </c>
      <c r="O7" s="3913"/>
      <c r="P7" s="3908" t="s">
        <v>2336</v>
      </c>
      <c r="Q7" s="3913"/>
      <c r="R7" s="3908" t="s">
        <v>2337</v>
      </c>
      <c r="S7" s="3913"/>
      <c r="T7" s="3908" t="s">
        <v>2338</v>
      </c>
      <c r="U7" s="3913"/>
    </row>
    <row r="8" spans="1:21" x14ac:dyDescent="0.35">
      <c r="A8" s="938" t="s">
        <v>644</v>
      </c>
      <c r="B8" s="939"/>
      <c r="C8" s="940"/>
      <c r="D8" s="940"/>
      <c r="E8" s="940"/>
      <c r="F8" s="940"/>
      <c r="G8" s="1024" t="s">
        <v>644</v>
      </c>
      <c r="H8" s="3909">
        <f>I71</f>
        <v>5165951</v>
      </c>
      <c r="I8" s="3910"/>
      <c r="J8" s="3909">
        <f>K71</f>
        <v>5895274</v>
      </c>
      <c r="K8" s="3910"/>
      <c r="L8" s="3909">
        <f>M75</f>
        <v>6668118</v>
      </c>
      <c r="M8" s="3910"/>
      <c r="N8" s="3909">
        <f>O71</f>
        <v>7070491</v>
      </c>
      <c r="O8" s="3910"/>
      <c r="P8" s="3909">
        <f>Q75</f>
        <v>8260450</v>
      </c>
      <c r="Q8" s="3910"/>
      <c r="R8" s="3909">
        <f>S75</f>
        <v>6938694</v>
      </c>
      <c r="S8" s="3910"/>
      <c r="T8" s="3909">
        <f>U75</f>
        <v>7145400</v>
      </c>
      <c r="U8" s="3910"/>
    </row>
    <row r="9" spans="1:2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idden="1" x14ac:dyDescent="0.35">
      <c r="A10" s="1889"/>
      <c r="B10" s="1390" t="s">
        <v>653</v>
      </c>
      <c r="C10" s="1886"/>
      <c r="D10" s="1886"/>
      <c r="E10" s="1886"/>
      <c r="F10" s="1886"/>
      <c r="G10" s="1928"/>
      <c r="H10" s="1891"/>
      <c r="I10" s="1891"/>
      <c r="J10" s="1891"/>
      <c r="K10" s="1891"/>
      <c r="L10" s="1891"/>
      <c r="M10" s="1891"/>
      <c r="N10" s="1891"/>
      <c r="O10" s="1891"/>
      <c r="P10" s="1891"/>
      <c r="Q10" s="1891"/>
      <c r="R10" s="1891"/>
      <c r="S10" s="1891"/>
      <c r="T10" s="1891"/>
      <c r="U10" s="1891"/>
    </row>
    <row r="11" spans="1:21" hidden="1" x14ac:dyDescent="0.35">
      <c r="A11" s="1889"/>
      <c r="B11" s="1885" t="e">
        <f>#REF!</f>
        <v>#REF!</v>
      </c>
      <c r="C11" s="1892" t="s">
        <v>654</v>
      </c>
      <c r="D11" s="1886"/>
      <c r="E11" s="1886"/>
      <c r="F11" s="1886"/>
      <c r="G11" s="1928"/>
      <c r="H11" s="1891"/>
      <c r="I11" s="1891"/>
      <c r="J11" s="1891"/>
      <c r="K11" s="1891"/>
      <c r="L11" s="1891"/>
      <c r="M11" s="1891"/>
      <c r="N11" s="1891"/>
      <c r="O11" s="1891"/>
      <c r="P11" s="1891"/>
      <c r="Q11" s="1891"/>
      <c r="R11" s="1891"/>
      <c r="S11" s="1891"/>
      <c r="T11" s="1891"/>
      <c r="U11" s="1891"/>
    </row>
    <row r="12" spans="1:21" hidden="1" x14ac:dyDescent="0.35">
      <c r="A12" s="1889"/>
      <c r="B12" s="1885" t="e">
        <f>#REF!</f>
        <v>#REF!</v>
      </c>
      <c r="C12" s="1892" t="s">
        <v>654</v>
      </c>
      <c r="D12" s="1886"/>
      <c r="E12" s="1886"/>
      <c r="F12" s="1886"/>
      <c r="G12" s="1928"/>
      <c r="H12" s="1891"/>
      <c r="I12" s="1891"/>
      <c r="J12" s="1891"/>
      <c r="K12" s="1891"/>
      <c r="L12" s="1891"/>
      <c r="M12" s="1891"/>
      <c r="N12" s="1891"/>
      <c r="O12" s="1891"/>
      <c r="P12" s="1891"/>
      <c r="Q12" s="1891"/>
      <c r="R12" s="1891"/>
      <c r="S12" s="1891"/>
      <c r="T12" s="1891"/>
      <c r="U12" s="1891"/>
    </row>
    <row r="13" spans="1:21" hidden="1" x14ac:dyDescent="0.35">
      <c r="A13" s="1889"/>
      <c r="B13" s="1885" t="e">
        <f>#REF!</f>
        <v>#REF!</v>
      </c>
      <c r="C13" s="1892" t="s">
        <v>654</v>
      </c>
      <c r="D13" s="1886"/>
      <c r="E13" s="1886"/>
      <c r="F13" s="1886"/>
      <c r="G13" s="1928"/>
      <c r="H13" s="1891"/>
      <c r="I13" s="1891"/>
      <c r="J13" s="1891"/>
      <c r="K13" s="1891"/>
      <c r="L13" s="1891"/>
      <c r="M13" s="1891"/>
      <c r="N13" s="1891"/>
      <c r="O13" s="1891"/>
      <c r="P13" s="1891"/>
      <c r="Q13" s="1891"/>
      <c r="R13" s="1891"/>
      <c r="S13" s="1891"/>
      <c r="T13" s="1891"/>
      <c r="U13" s="1891"/>
    </row>
    <row r="14" spans="1:21" ht="15" hidden="1" customHeight="1" x14ac:dyDescent="0.35">
      <c r="A14" s="1889"/>
      <c r="B14" s="1885" t="e">
        <f>#REF!</f>
        <v>#REF!</v>
      </c>
      <c r="C14" s="1892" t="s">
        <v>654</v>
      </c>
      <c r="D14" s="1886"/>
      <c r="E14" s="1886"/>
      <c r="F14" s="1886"/>
      <c r="G14" s="1928"/>
      <c r="H14" s="1891"/>
      <c r="I14" s="1891"/>
      <c r="J14" s="1891"/>
      <c r="K14" s="1891"/>
      <c r="L14" s="1891"/>
      <c r="M14" s="1891"/>
      <c r="N14" s="1891"/>
      <c r="O14" s="1891"/>
      <c r="P14" s="1891"/>
      <c r="Q14" s="1891"/>
      <c r="R14" s="1891"/>
      <c r="S14" s="1891"/>
      <c r="T14" s="1891"/>
      <c r="U14" s="1891"/>
    </row>
    <row r="15" spans="1:21" hidden="1" x14ac:dyDescent="0.35">
      <c r="A15" s="1889"/>
      <c r="B15" s="1885" t="e">
        <f>#REF!</f>
        <v>#REF!</v>
      </c>
      <c r="C15" s="1892" t="s">
        <v>654</v>
      </c>
      <c r="D15" s="1886"/>
      <c r="E15" s="1886"/>
      <c r="F15" s="1886"/>
      <c r="G15" s="1928"/>
      <c r="H15" s="1891"/>
      <c r="I15" s="1891"/>
      <c r="J15" s="1891"/>
      <c r="K15" s="1891"/>
      <c r="L15" s="1891"/>
      <c r="M15" s="1891"/>
      <c r="N15" s="1891"/>
      <c r="O15" s="1891"/>
      <c r="P15" s="1891"/>
      <c r="Q15" s="1891"/>
      <c r="R15" s="1891"/>
      <c r="S15" s="1891"/>
      <c r="T15" s="1891"/>
      <c r="U15" s="1891"/>
    </row>
    <row r="16" spans="1:21" hidden="1" x14ac:dyDescent="0.35">
      <c r="A16" s="1889"/>
      <c r="B16" s="1885" t="e">
        <f>#REF!</f>
        <v>#REF!</v>
      </c>
      <c r="C16" s="1892" t="s">
        <v>654</v>
      </c>
      <c r="D16" s="1886"/>
      <c r="E16" s="1886"/>
      <c r="F16" s="1886"/>
      <c r="G16" s="1928"/>
      <c r="H16" s="1891"/>
      <c r="I16" s="1891"/>
      <c r="J16" s="1891"/>
      <c r="K16" s="1891"/>
      <c r="L16" s="1891"/>
      <c r="M16" s="1891"/>
      <c r="N16" s="1891"/>
      <c r="O16" s="1891"/>
      <c r="P16" s="1891"/>
      <c r="Q16" s="1891"/>
      <c r="R16" s="1891"/>
      <c r="S16" s="1891"/>
      <c r="T16" s="1891"/>
      <c r="U16" s="1891"/>
    </row>
    <row r="17" spans="1:21" hidden="1" x14ac:dyDescent="0.35">
      <c r="A17" s="1889"/>
      <c r="B17" s="1885" t="e">
        <f>#REF!</f>
        <v>#REF!</v>
      </c>
      <c r="C17" s="1892" t="s">
        <v>654</v>
      </c>
      <c r="D17" s="1886"/>
      <c r="E17" s="1886"/>
      <c r="F17" s="1886"/>
      <c r="G17" s="1928"/>
      <c r="H17" s="1891"/>
      <c r="I17" s="1891"/>
      <c r="J17" s="1891"/>
      <c r="K17" s="1891"/>
      <c r="L17" s="1891"/>
      <c r="M17" s="1891"/>
      <c r="N17" s="1891"/>
      <c r="O17" s="1891"/>
      <c r="P17" s="1891"/>
      <c r="Q17" s="1891"/>
      <c r="R17" s="1891"/>
      <c r="S17" s="1891"/>
      <c r="T17" s="1891"/>
      <c r="U17" s="1891"/>
    </row>
    <row r="18" spans="1:21" hidden="1" x14ac:dyDescent="0.35">
      <c r="A18" s="1889"/>
      <c r="B18" s="1885" t="e">
        <f>#REF!</f>
        <v>#REF!</v>
      </c>
      <c r="C18" s="1892" t="s">
        <v>654</v>
      </c>
      <c r="D18" s="1886"/>
      <c r="E18" s="1886"/>
      <c r="F18" s="1886"/>
      <c r="G18" s="1928"/>
      <c r="H18" s="1891"/>
      <c r="I18" s="1891"/>
      <c r="J18" s="1891"/>
      <c r="K18" s="1891"/>
      <c r="L18" s="1891"/>
      <c r="M18" s="1891"/>
      <c r="N18" s="1891"/>
      <c r="O18" s="1891"/>
      <c r="P18" s="1891"/>
      <c r="Q18" s="1891"/>
      <c r="R18" s="1891"/>
      <c r="S18" s="1891"/>
      <c r="T18" s="1891"/>
      <c r="U18" s="1891"/>
    </row>
    <row r="19" spans="1:21" x14ac:dyDescent="0.35">
      <c r="A19" s="1889"/>
      <c r="B19" s="1885"/>
      <c r="C19" s="1892"/>
      <c r="D19" s="1886"/>
      <c r="E19" s="1886"/>
      <c r="F19" s="1886"/>
      <c r="G19" s="1928"/>
      <c r="H19" s="1893"/>
      <c r="I19" s="1891"/>
      <c r="J19" s="1893"/>
      <c r="K19" s="1891"/>
      <c r="L19" s="1893"/>
      <c r="M19" s="1891"/>
      <c r="N19" s="1893"/>
      <c r="O19" s="1891"/>
      <c r="P19" s="1893"/>
      <c r="Q19" s="1891"/>
      <c r="R19" s="1893"/>
      <c r="S19" s="1891"/>
      <c r="T19" s="1893"/>
      <c r="U19" s="1891"/>
    </row>
    <row r="20" spans="1:21" x14ac:dyDescent="0.35">
      <c r="A20" s="1811"/>
      <c r="B20" s="1894" t="s">
        <v>2328</v>
      </c>
      <c r="C20" s="1892"/>
      <c r="D20" s="1886"/>
      <c r="E20" s="1886"/>
      <c r="F20" s="1886"/>
      <c r="G20" s="1928"/>
      <c r="H20" s="1893"/>
      <c r="I20" s="1392"/>
      <c r="J20" s="1893"/>
      <c r="K20" s="1392"/>
      <c r="L20" s="1893"/>
      <c r="M20" s="1392"/>
      <c r="N20" s="1893"/>
      <c r="O20" s="1392"/>
      <c r="P20" s="1893"/>
      <c r="Q20" s="1392"/>
      <c r="R20" s="1893"/>
      <c r="S20" s="1392"/>
      <c r="T20" s="1893"/>
      <c r="U20" s="1392"/>
    </row>
    <row r="21" spans="1:21" x14ac:dyDescent="0.35">
      <c r="A21" s="1811"/>
      <c r="B21" s="1929" t="s">
        <v>657</v>
      </c>
      <c r="C21" s="1892"/>
      <c r="D21" s="1886"/>
      <c r="E21" s="1886"/>
      <c r="F21" s="1886"/>
      <c r="G21" s="1928"/>
      <c r="H21" s="1893"/>
      <c r="I21" s="1392"/>
      <c r="J21" s="1893"/>
      <c r="K21" s="1392"/>
      <c r="L21" s="1893"/>
      <c r="M21" s="1392"/>
      <c r="N21" s="1893"/>
      <c r="O21" s="1392"/>
      <c r="P21" s="1893"/>
      <c r="Q21" s="1392"/>
      <c r="R21" s="1893"/>
      <c r="S21" s="1392"/>
      <c r="T21" s="1893"/>
      <c r="U21" s="1392"/>
    </row>
    <row r="22" spans="1:21" x14ac:dyDescent="0.35">
      <c r="A22" s="1811"/>
      <c r="B22" s="1930" t="s">
        <v>658</v>
      </c>
      <c r="C22" s="1886"/>
      <c r="D22" s="1886"/>
      <c r="E22" s="1886"/>
      <c r="F22" s="1886"/>
      <c r="G22" s="1928"/>
      <c r="H22" s="1893" t="s">
        <v>669</v>
      </c>
      <c r="I22" s="1393"/>
      <c r="J22" s="1893"/>
      <c r="K22" s="1393"/>
      <c r="L22" s="1893" t="s">
        <v>669</v>
      </c>
      <c r="M22" s="1393"/>
      <c r="N22" s="1893"/>
      <c r="O22" s="1393"/>
      <c r="P22" s="1893" t="s">
        <v>669</v>
      </c>
      <c r="Q22" s="1393"/>
      <c r="R22" s="1893" t="s">
        <v>669</v>
      </c>
      <c r="S22" s="1393"/>
      <c r="T22" s="1893"/>
      <c r="U22" s="1393"/>
    </row>
    <row r="23" spans="1:21" x14ac:dyDescent="0.35">
      <c r="A23" s="1931"/>
      <c r="B23" s="1930" t="s">
        <v>659</v>
      </c>
      <c r="C23" s="1886"/>
      <c r="D23" s="1886"/>
      <c r="E23" s="1886"/>
      <c r="F23" s="1886"/>
      <c r="G23" s="1928"/>
      <c r="H23" s="1893" t="s">
        <v>669</v>
      </c>
      <c r="I23" s="1393"/>
      <c r="J23" s="1893"/>
      <c r="K23" s="1393"/>
      <c r="L23" s="1893" t="s">
        <v>669</v>
      </c>
      <c r="M23" s="1393"/>
      <c r="N23" s="1893"/>
      <c r="O23" s="1393"/>
      <c r="P23" s="1893" t="s">
        <v>669</v>
      </c>
      <c r="Q23" s="1393"/>
      <c r="R23" s="1893" t="s">
        <v>669</v>
      </c>
      <c r="S23" s="1393"/>
      <c r="T23" s="1893"/>
      <c r="U23" s="1392"/>
    </row>
    <row r="24" spans="1:21" x14ac:dyDescent="0.35">
      <c r="A24" s="1811"/>
      <c r="B24" s="1429" t="s">
        <v>660</v>
      </c>
      <c r="C24" s="1886"/>
      <c r="D24" s="1886"/>
      <c r="E24" s="1886"/>
      <c r="F24" s="1886"/>
      <c r="G24" s="1928"/>
      <c r="H24" s="1893" t="s">
        <v>671</v>
      </c>
      <c r="I24" s="1393"/>
      <c r="J24" s="1893"/>
      <c r="K24" s="1393"/>
      <c r="L24" s="1893" t="s">
        <v>671</v>
      </c>
      <c r="M24" s="1393"/>
      <c r="N24" s="1893"/>
      <c r="O24" s="1393"/>
      <c r="P24" s="1893" t="s">
        <v>671</v>
      </c>
      <c r="Q24" s="1393"/>
      <c r="R24" s="1893" t="s">
        <v>671</v>
      </c>
      <c r="S24" s="1393"/>
      <c r="T24" s="1893"/>
      <c r="U24" s="1392"/>
    </row>
    <row r="25" spans="1:21" x14ac:dyDescent="0.35">
      <c r="A25" s="1811"/>
      <c r="B25" s="1429" t="s">
        <v>661</v>
      </c>
      <c r="C25" s="1886"/>
      <c r="D25" s="1886"/>
      <c r="E25" s="1886"/>
      <c r="F25" s="1886"/>
      <c r="G25" s="1928"/>
      <c r="H25" s="1893" t="s">
        <v>669</v>
      </c>
      <c r="I25" s="1393"/>
      <c r="J25" s="1893"/>
      <c r="K25" s="1393"/>
      <c r="L25" s="1893" t="s">
        <v>669</v>
      </c>
      <c r="M25" s="1393"/>
      <c r="N25" s="1893"/>
      <c r="O25" s="1393"/>
      <c r="P25" s="1893" t="s">
        <v>669</v>
      </c>
      <c r="Q25" s="1393"/>
      <c r="R25" s="1893" t="s">
        <v>669</v>
      </c>
      <c r="S25" s="1393"/>
      <c r="T25" s="1893"/>
      <c r="U25" s="1392"/>
    </row>
    <row r="26" spans="1:21" x14ac:dyDescent="0.35">
      <c r="A26" s="1811"/>
      <c r="B26" s="1429" t="s">
        <v>662</v>
      </c>
      <c r="C26" s="1886"/>
      <c r="D26" s="1886"/>
      <c r="E26" s="1886"/>
      <c r="F26" s="1886"/>
      <c r="G26" s="1928"/>
      <c r="H26" s="1893" t="s">
        <v>669</v>
      </c>
      <c r="I26" s="1393"/>
      <c r="J26" s="1893"/>
      <c r="K26" s="1393"/>
      <c r="L26" s="1893" t="s">
        <v>669</v>
      </c>
      <c r="M26" s="1393"/>
      <c r="N26" s="1893"/>
      <c r="O26" s="1393"/>
      <c r="P26" s="1893" t="s">
        <v>669</v>
      </c>
      <c r="Q26" s="1393"/>
      <c r="R26" s="1893" t="s">
        <v>669</v>
      </c>
      <c r="S26" s="1393"/>
      <c r="T26" s="1893"/>
      <c r="U26" s="1392"/>
    </row>
    <row r="27" spans="1:21" x14ac:dyDescent="0.35">
      <c r="A27" s="1811"/>
      <c r="B27" s="1429" t="s">
        <v>663</v>
      </c>
      <c r="C27" s="1886"/>
      <c r="D27" s="1886"/>
      <c r="E27" s="1886"/>
      <c r="F27" s="1886"/>
      <c r="G27" s="1928"/>
      <c r="H27" s="1893" t="s">
        <v>669</v>
      </c>
      <c r="I27" s="1393"/>
      <c r="J27" s="1893"/>
      <c r="K27" s="1393"/>
      <c r="L27" s="1893" t="s">
        <v>669</v>
      </c>
      <c r="M27" s="1393"/>
      <c r="N27" s="1893"/>
      <c r="O27" s="1393"/>
      <c r="P27" s="1893" t="s">
        <v>669</v>
      </c>
      <c r="Q27" s="1393"/>
      <c r="R27" s="1893" t="s">
        <v>669</v>
      </c>
      <c r="S27" s="1393"/>
      <c r="T27" s="1893"/>
      <c r="U27" s="1392"/>
    </row>
    <row r="28" spans="1:21" x14ac:dyDescent="0.35">
      <c r="A28" s="1811"/>
      <c r="B28" s="1429" t="s">
        <v>789</v>
      </c>
      <c r="C28" s="1886"/>
      <c r="D28" s="1886"/>
      <c r="E28" s="1886"/>
      <c r="F28" s="1886"/>
      <c r="G28" s="1928"/>
      <c r="H28" s="1893" t="s">
        <v>671</v>
      </c>
      <c r="I28" s="1393" t="s">
        <v>1581</v>
      </c>
      <c r="J28" s="1893"/>
      <c r="K28" s="1393"/>
      <c r="L28" s="1893" t="s">
        <v>671</v>
      </c>
      <c r="M28" s="1393" t="s">
        <v>2272</v>
      </c>
      <c r="N28" s="1893"/>
      <c r="O28" s="1393"/>
      <c r="P28" s="1893" t="s">
        <v>669</v>
      </c>
      <c r="Q28" s="1393" t="s">
        <v>2339</v>
      </c>
      <c r="R28" s="1893" t="s">
        <v>671</v>
      </c>
      <c r="S28" s="1393" t="s">
        <v>2340</v>
      </c>
      <c r="T28" s="1893"/>
      <c r="U28" s="1392"/>
    </row>
    <row r="29" spans="1:21" x14ac:dyDescent="0.35">
      <c r="A29" s="1811"/>
      <c r="B29" s="1429" t="s">
        <v>790</v>
      </c>
      <c r="C29" s="1886"/>
      <c r="D29" s="1886"/>
      <c r="E29" s="1886"/>
      <c r="F29" s="1886"/>
      <c r="G29" s="1928"/>
      <c r="H29" s="1893" t="s">
        <v>671</v>
      </c>
      <c r="I29" s="1393" t="s">
        <v>2094</v>
      </c>
      <c r="J29" s="1893"/>
      <c r="K29" s="1393"/>
      <c r="L29" s="1893"/>
      <c r="M29" s="1393"/>
      <c r="N29" s="1893"/>
      <c r="O29" s="1393"/>
      <c r="P29" s="1893"/>
      <c r="Q29" s="1393"/>
      <c r="R29" s="1893"/>
      <c r="S29" s="1393"/>
      <c r="T29" s="1893"/>
      <c r="U29" s="1392"/>
    </row>
    <row r="30" spans="1:21" x14ac:dyDescent="0.35">
      <c r="A30" s="1811"/>
      <c r="B30" s="1429" t="s">
        <v>791</v>
      </c>
      <c r="C30" s="1886"/>
      <c r="D30" s="1886"/>
      <c r="E30" s="1886"/>
      <c r="F30" s="1886"/>
      <c r="G30" s="1928"/>
      <c r="H30" s="1893" t="s">
        <v>671</v>
      </c>
      <c r="I30" s="1393" t="s">
        <v>2341</v>
      </c>
      <c r="J30" s="1893"/>
      <c r="K30" s="1393"/>
      <c r="L30" s="1893"/>
      <c r="M30" s="1393"/>
      <c r="N30" s="1893"/>
      <c r="O30" s="1393"/>
      <c r="P30" s="1893"/>
      <c r="Q30" s="1393"/>
      <c r="R30" s="1893"/>
      <c r="S30" s="1393"/>
      <c r="T30" s="1893"/>
      <c r="U30" s="1392"/>
    </row>
    <row r="31" spans="1:21" ht="13.5" customHeight="1" x14ac:dyDescent="0.35">
      <c r="A31" s="1811"/>
      <c r="B31" s="1527" t="s">
        <v>664</v>
      </c>
      <c r="C31" s="1886"/>
      <c r="D31" s="1886"/>
      <c r="E31" s="1886"/>
      <c r="F31" s="1886"/>
      <c r="G31" s="1928"/>
      <c r="H31" s="1893"/>
      <c r="I31" s="1393"/>
      <c r="J31" s="1893"/>
      <c r="K31" s="1393"/>
      <c r="L31" s="1893"/>
      <c r="M31" s="1393"/>
      <c r="N31" s="1893"/>
      <c r="O31" s="1393"/>
      <c r="P31" s="1893"/>
      <c r="Q31" s="1392"/>
      <c r="R31" s="1893"/>
      <c r="S31" s="1393"/>
      <c r="T31" s="1893"/>
      <c r="U31" s="1392"/>
    </row>
    <row r="32" spans="1:21" x14ac:dyDescent="0.35">
      <c r="A32" s="1931"/>
      <c r="B32" s="1932" t="s">
        <v>665</v>
      </c>
      <c r="C32" s="1898"/>
      <c r="D32" s="1898"/>
      <c r="E32" s="1898"/>
      <c r="F32" s="1898"/>
      <c r="G32" s="1933"/>
      <c r="H32" s="1799"/>
      <c r="I32" s="1398"/>
      <c r="J32" s="1799"/>
      <c r="K32" s="1398"/>
      <c r="L32" s="1799"/>
      <c r="M32" s="1398"/>
      <c r="N32" s="1799"/>
      <c r="O32" s="1398">
        <v>6400000</v>
      </c>
      <c r="P32" s="1799"/>
      <c r="Q32" s="1398">
        <v>6894100</v>
      </c>
      <c r="R32" s="1799"/>
      <c r="S32" s="1398"/>
      <c r="T32" s="1799"/>
      <c r="U32" s="1398">
        <v>7145400</v>
      </c>
    </row>
    <row r="33" spans="1:29" x14ac:dyDescent="0.35">
      <c r="A33" s="1811"/>
      <c r="B33" s="1434" t="s">
        <v>874</v>
      </c>
      <c r="C33" s="1886"/>
      <c r="D33" s="1886"/>
      <c r="E33" s="1886"/>
      <c r="F33" s="1886"/>
      <c r="G33" s="1928"/>
      <c r="H33" s="1893"/>
      <c r="I33" s="1393"/>
      <c r="J33" s="1893"/>
      <c r="K33" s="1393"/>
      <c r="L33" s="1893"/>
      <c r="M33" s="1393"/>
      <c r="N33" s="1893"/>
      <c r="O33" s="1393"/>
      <c r="P33" s="1893"/>
      <c r="Q33" s="1392"/>
      <c r="R33" s="1893"/>
      <c r="S33" s="1393"/>
      <c r="T33" s="1893"/>
      <c r="U33" s="1392"/>
    </row>
    <row r="34" spans="1:29" s="86" customFormat="1" x14ac:dyDescent="0.35">
      <c r="A34" s="1931"/>
      <c r="B34" s="1934" t="s">
        <v>191</v>
      </c>
      <c r="C34" s="1886"/>
      <c r="D34" s="1886"/>
      <c r="E34" s="1886"/>
      <c r="F34" s="1886"/>
      <c r="G34" s="1928"/>
      <c r="H34" s="1893"/>
      <c r="I34" s="1393"/>
      <c r="J34" s="1893"/>
      <c r="K34" s="1393"/>
      <c r="L34" s="1893"/>
      <c r="M34" s="1393"/>
      <c r="N34" s="1893"/>
      <c r="O34" s="1393"/>
      <c r="P34" s="1893"/>
      <c r="Q34" s="1392"/>
      <c r="R34" s="1893"/>
      <c r="S34" s="1393"/>
      <c r="T34" s="1893"/>
      <c r="U34" s="1392"/>
      <c r="V34" s="1935"/>
      <c r="W34" s="1935"/>
      <c r="X34" s="1935"/>
      <c r="Y34" s="1935"/>
      <c r="Z34" s="1935"/>
      <c r="AA34" s="1935"/>
      <c r="AB34" s="1935"/>
      <c r="AC34" s="1935"/>
    </row>
    <row r="35" spans="1:29" x14ac:dyDescent="0.35">
      <c r="A35" s="1811"/>
      <c r="B35" s="1936"/>
      <c r="C35" s="1494"/>
      <c r="D35" s="1886"/>
      <c r="E35" s="1886"/>
      <c r="F35" s="1886"/>
      <c r="G35" s="1928"/>
      <c r="H35" s="1893"/>
      <c r="I35" s="1393"/>
      <c r="J35" s="1893"/>
      <c r="K35" s="1393"/>
      <c r="L35" s="1893"/>
      <c r="M35" s="1393"/>
      <c r="N35" s="1893"/>
      <c r="O35" s="1393"/>
      <c r="P35" s="1893"/>
      <c r="Q35" s="1392"/>
      <c r="R35" s="1893"/>
      <c r="S35" s="1393"/>
      <c r="T35" s="1893"/>
      <c r="U35" s="1393"/>
    </row>
    <row r="36" spans="1:29" x14ac:dyDescent="0.35">
      <c r="A36" s="1811"/>
      <c r="B36" s="1937" t="s">
        <v>2342</v>
      </c>
      <c r="C36" s="1886"/>
      <c r="D36" s="1886"/>
      <c r="E36" s="1886"/>
      <c r="F36" s="1886"/>
      <c r="G36" s="1928"/>
      <c r="H36" s="1893"/>
      <c r="I36" s="1393"/>
      <c r="J36" s="1893"/>
      <c r="K36" s="1393"/>
      <c r="L36" s="1893"/>
      <c r="M36" s="1393"/>
      <c r="N36" s="1893"/>
      <c r="O36" s="1393"/>
      <c r="P36" s="1893"/>
      <c r="Q36" s="1392"/>
      <c r="R36" s="1893"/>
      <c r="S36" s="1393"/>
      <c r="T36" s="1893"/>
      <c r="U36" s="1393"/>
    </row>
    <row r="37" spans="1:29" ht="25" x14ac:dyDescent="0.35">
      <c r="A37" s="1811"/>
      <c r="B37" s="1936" t="s">
        <v>2343</v>
      </c>
      <c r="C37" s="1886"/>
      <c r="D37" s="1445"/>
      <c r="E37" s="1886"/>
      <c r="F37" s="1594"/>
      <c r="G37" s="1938"/>
      <c r="H37" s="1893" t="s">
        <v>669</v>
      </c>
      <c r="I37" s="1393"/>
      <c r="J37" s="1893" t="s">
        <v>669</v>
      </c>
      <c r="K37" s="1393"/>
      <c r="L37" s="1893" t="s">
        <v>669</v>
      </c>
      <c r="M37" s="1393"/>
      <c r="N37" s="1893" t="s">
        <v>669</v>
      </c>
      <c r="O37" s="1393"/>
      <c r="P37" s="1893" t="s">
        <v>669</v>
      </c>
      <c r="Q37" s="1392"/>
      <c r="R37" s="1893" t="s">
        <v>669</v>
      </c>
      <c r="S37" s="1393"/>
      <c r="T37" s="1893" t="s">
        <v>669</v>
      </c>
      <c r="U37" s="1393"/>
    </row>
    <row r="38" spans="1:29" x14ac:dyDescent="0.35">
      <c r="A38" s="1811"/>
      <c r="B38" s="1936" t="s">
        <v>2344</v>
      </c>
      <c r="C38" s="1886"/>
      <c r="D38" s="1445"/>
      <c r="E38" s="1886"/>
      <c r="F38" s="1594"/>
      <c r="G38" s="1938"/>
      <c r="H38" s="1893" t="s">
        <v>669</v>
      </c>
      <c r="I38" s="1393"/>
      <c r="J38" s="1893" t="s">
        <v>669</v>
      </c>
      <c r="K38" s="1393"/>
      <c r="L38" s="1893"/>
      <c r="M38" s="1393"/>
      <c r="N38" s="1893" t="s">
        <v>669</v>
      </c>
      <c r="O38" s="1393">
        <v>680000</v>
      </c>
      <c r="P38" s="1893"/>
      <c r="Q38" s="1392"/>
      <c r="R38" s="1893"/>
      <c r="S38" s="1393"/>
      <c r="T38" s="1893"/>
      <c r="U38" s="1393"/>
    </row>
    <row r="39" spans="1:29" x14ac:dyDescent="0.35">
      <c r="A39" s="1811"/>
      <c r="B39" s="1936" t="s">
        <v>2345</v>
      </c>
      <c r="C39" s="1886"/>
      <c r="D39" s="1445"/>
      <c r="E39" s="1886"/>
      <c r="F39" s="1594"/>
      <c r="G39" s="1938"/>
      <c r="H39" s="1893" t="s">
        <v>669</v>
      </c>
      <c r="I39" s="1393"/>
      <c r="J39" s="1893" t="s">
        <v>669</v>
      </c>
      <c r="K39" s="1393"/>
      <c r="L39" s="1893" t="s">
        <v>669</v>
      </c>
      <c r="M39" s="1393"/>
      <c r="N39" s="1893" t="s">
        <v>669</v>
      </c>
      <c r="O39" s="1393"/>
      <c r="P39" s="1893" t="s">
        <v>669</v>
      </c>
      <c r="Q39" s="1392"/>
      <c r="R39" s="1893" t="s">
        <v>669</v>
      </c>
      <c r="S39" s="1393"/>
      <c r="T39" s="1893" t="s">
        <v>669</v>
      </c>
      <c r="U39" s="1393"/>
    </row>
    <row r="40" spans="1:29" x14ac:dyDescent="0.35">
      <c r="A40" s="1811"/>
      <c r="B40" s="1936" t="s">
        <v>2346</v>
      </c>
      <c r="C40" s="1886"/>
      <c r="D40" s="1445"/>
      <c r="E40" s="1886"/>
      <c r="F40" s="1594"/>
      <c r="G40" s="1938"/>
      <c r="H40" s="1893" t="s">
        <v>669</v>
      </c>
      <c r="I40" s="1393">
        <v>234710</v>
      </c>
      <c r="J40" s="1893" t="s">
        <v>669</v>
      </c>
      <c r="K40" s="1393"/>
      <c r="L40" s="1893" t="s">
        <v>669</v>
      </c>
      <c r="M40" s="1393"/>
      <c r="N40" s="1893" t="s">
        <v>669</v>
      </c>
      <c r="O40" s="1393"/>
      <c r="P40" s="1893" t="s">
        <v>669</v>
      </c>
      <c r="Q40" s="1392"/>
      <c r="R40" s="1893" t="s">
        <v>669</v>
      </c>
      <c r="S40" s="1393"/>
      <c r="T40" s="1893" t="s">
        <v>669</v>
      </c>
      <c r="U40" s="1393"/>
    </row>
    <row r="41" spans="1:29" x14ac:dyDescent="0.35">
      <c r="A41" s="1811"/>
      <c r="B41" s="1936" t="s">
        <v>2347</v>
      </c>
      <c r="C41" s="1886"/>
      <c r="D41" s="1445"/>
      <c r="E41" s="1886"/>
      <c r="F41" s="1594"/>
      <c r="G41" s="1938"/>
      <c r="H41" s="1893" t="s">
        <v>669</v>
      </c>
      <c r="I41" s="1393"/>
      <c r="J41" s="1893" t="s">
        <v>669</v>
      </c>
      <c r="K41" s="1393"/>
      <c r="L41" s="1893" t="s">
        <v>669</v>
      </c>
      <c r="M41" s="1393"/>
      <c r="N41" s="1893" t="s">
        <v>669</v>
      </c>
      <c r="O41" s="1393"/>
      <c r="P41" s="1893" t="s">
        <v>669</v>
      </c>
      <c r="Q41" s="1392"/>
      <c r="R41" s="1893" t="s">
        <v>669</v>
      </c>
      <c r="S41" s="1393"/>
      <c r="T41" s="1893" t="s">
        <v>669</v>
      </c>
      <c r="U41" s="1393"/>
    </row>
    <row r="42" spans="1:29" x14ac:dyDescent="0.35">
      <c r="A42" s="1811"/>
      <c r="B42" s="1936" t="s">
        <v>2348</v>
      </c>
      <c r="C42" s="1886"/>
      <c r="D42" s="1445"/>
      <c r="E42" s="1886"/>
      <c r="F42" s="1594"/>
      <c r="G42" s="1938"/>
      <c r="H42" s="1893" t="s">
        <v>669</v>
      </c>
      <c r="I42" s="1393"/>
      <c r="J42" s="1893" t="s">
        <v>669</v>
      </c>
      <c r="K42" s="1393"/>
      <c r="L42" s="1893" t="s">
        <v>669</v>
      </c>
      <c r="M42" s="1393"/>
      <c r="N42" s="1893" t="s">
        <v>669</v>
      </c>
      <c r="O42" s="1393"/>
      <c r="P42" s="1893" t="s">
        <v>669</v>
      </c>
      <c r="Q42" s="1392"/>
      <c r="R42" s="1893" t="s">
        <v>669</v>
      </c>
      <c r="S42" s="1393"/>
      <c r="T42" s="1893" t="s">
        <v>669</v>
      </c>
      <c r="U42" s="1393"/>
    </row>
    <row r="43" spans="1:29" x14ac:dyDescent="0.35">
      <c r="A43" s="1811"/>
      <c r="B43" s="1936" t="s">
        <v>2349</v>
      </c>
      <c r="C43" s="1886" t="s">
        <v>2350</v>
      </c>
      <c r="D43" s="1445"/>
      <c r="E43" s="1886"/>
      <c r="F43" s="1594"/>
      <c r="G43" s="1938"/>
      <c r="H43" s="1893" t="s">
        <v>669</v>
      </c>
      <c r="I43" s="1393"/>
      <c r="J43" s="1893" t="s">
        <v>669</v>
      </c>
      <c r="K43" s="1393"/>
      <c r="L43" s="1893" t="s">
        <v>669</v>
      </c>
      <c r="M43" s="1393"/>
      <c r="N43" s="1893" t="s">
        <v>669</v>
      </c>
      <c r="O43" s="1393"/>
      <c r="P43" s="1893" t="s">
        <v>669</v>
      </c>
      <c r="Q43" s="1392"/>
      <c r="R43" s="1893" t="s">
        <v>669</v>
      </c>
      <c r="S43" s="1393"/>
      <c r="T43" s="1893" t="s">
        <v>669</v>
      </c>
      <c r="U43" s="1393"/>
    </row>
    <row r="44" spans="1:29" ht="25" x14ac:dyDescent="0.35">
      <c r="A44" s="1811"/>
      <c r="B44" s="1936" t="s">
        <v>2351</v>
      </c>
      <c r="C44" s="1886"/>
      <c r="D44" s="1886"/>
      <c r="E44" s="1886"/>
      <c r="F44" s="1594"/>
      <c r="G44" s="1938"/>
      <c r="H44" s="1893" t="s">
        <v>669</v>
      </c>
      <c r="I44" s="1393"/>
      <c r="J44" s="1893" t="s">
        <v>669</v>
      </c>
      <c r="K44" s="1393"/>
      <c r="L44" s="1893" t="s">
        <v>669</v>
      </c>
      <c r="M44" s="1393"/>
      <c r="N44" s="1893" t="s">
        <v>669</v>
      </c>
      <c r="O44" s="1393"/>
      <c r="P44" s="1893" t="s">
        <v>669</v>
      </c>
      <c r="Q44" s="1392"/>
      <c r="R44" s="1893" t="s">
        <v>669</v>
      </c>
      <c r="S44" s="1393"/>
      <c r="T44" s="1893" t="s">
        <v>669</v>
      </c>
      <c r="U44" s="1393"/>
    </row>
    <row r="45" spans="1:29" x14ac:dyDescent="0.35">
      <c r="A45" s="1811"/>
      <c r="B45" s="1936" t="s">
        <v>2352</v>
      </c>
      <c r="C45" s="1383"/>
      <c r="D45" s="1383"/>
      <c r="E45" s="1383"/>
      <c r="F45" s="1383"/>
      <c r="G45" s="1384"/>
      <c r="H45" s="1893" t="s">
        <v>669</v>
      </c>
      <c r="I45" s="1393"/>
      <c r="J45" s="1893" t="s">
        <v>669</v>
      </c>
      <c r="K45" s="1393"/>
      <c r="L45" s="1893" t="s">
        <v>669</v>
      </c>
      <c r="M45" s="1393"/>
      <c r="N45" s="1893" t="s">
        <v>669</v>
      </c>
      <c r="O45" s="1393"/>
      <c r="P45" s="1893" t="s">
        <v>669</v>
      </c>
      <c r="Q45" s="1392"/>
      <c r="R45" s="1893" t="s">
        <v>669</v>
      </c>
      <c r="S45" s="1393"/>
      <c r="T45" s="1893" t="s">
        <v>669</v>
      </c>
      <c r="U45" s="1392"/>
    </row>
    <row r="46" spans="1:29" x14ac:dyDescent="0.35">
      <c r="A46" s="1811"/>
      <c r="B46" s="1936" t="s">
        <v>2353</v>
      </c>
      <c r="C46" s="1383" t="s">
        <v>1655</v>
      </c>
      <c r="D46" s="1383"/>
      <c r="E46" s="1383"/>
      <c r="F46" s="1383"/>
      <c r="G46" s="1384"/>
      <c r="H46" s="1893" t="s">
        <v>669</v>
      </c>
      <c r="I46" s="1393"/>
      <c r="J46" s="1893" t="s">
        <v>669</v>
      </c>
      <c r="K46" s="1393"/>
      <c r="L46" s="1893"/>
      <c r="M46" s="1393"/>
      <c r="N46" s="1893" t="s">
        <v>669</v>
      </c>
      <c r="O46" s="1393"/>
      <c r="P46" s="1893"/>
      <c r="Q46" s="1392"/>
      <c r="R46" s="1893"/>
      <c r="S46" s="1393"/>
      <c r="T46" s="1893" t="s">
        <v>669</v>
      </c>
      <c r="U46" s="1392"/>
    </row>
    <row r="47" spans="1:29" x14ac:dyDescent="0.35">
      <c r="A47" s="1931"/>
      <c r="B47" s="1936" t="s">
        <v>2354</v>
      </c>
      <c r="C47" s="1886"/>
      <c r="D47" s="1886"/>
      <c r="E47" s="1886"/>
      <c r="F47" s="1886"/>
      <c r="G47" s="1928"/>
      <c r="H47" s="1893" t="s">
        <v>669</v>
      </c>
      <c r="I47" s="1393"/>
      <c r="J47" s="1893" t="s">
        <v>669</v>
      </c>
      <c r="K47" s="1393"/>
      <c r="L47" s="1893" t="s">
        <v>669</v>
      </c>
      <c r="M47" s="1393"/>
      <c r="N47" s="1893" t="s">
        <v>669</v>
      </c>
      <c r="O47" s="1393"/>
      <c r="P47" s="1893" t="s">
        <v>669</v>
      </c>
      <c r="Q47" s="1392"/>
      <c r="R47" s="1893" t="s">
        <v>669</v>
      </c>
      <c r="S47" s="1393"/>
      <c r="T47" s="1893" t="s">
        <v>669</v>
      </c>
      <c r="U47" s="1392"/>
    </row>
    <row r="48" spans="1:29" x14ac:dyDescent="0.35">
      <c r="A48" s="1811"/>
      <c r="B48" s="1936" t="s">
        <v>2355</v>
      </c>
      <c r="C48" s="1886"/>
      <c r="D48" s="1886"/>
      <c r="E48" s="1886"/>
      <c r="F48" s="1886"/>
      <c r="G48" s="1928"/>
      <c r="H48" s="1893" t="s">
        <v>669</v>
      </c>
      <c r="I48" s="1393"/>
      <c r="J48" s="1893" t="s">
        <v>669</v>
      </c>
      <c r="K48" s="1393"/>
      <c r="L48" s="1893" t="s">
        <v>669</v>
      </c>
      <c r="M48" s="1393"/>
      <c r="N48" s="1893" t="s">
        <v>669</v>
      </c>
      <c r="O48" s="1393"/>
      <c r="P48" s="1893" t="s">
        <v>669</v>
      </c>
      <c r="Q48" s="1393"/>
      <c r="R48" s="1893" t="s">
        <v>669</v>
      </c>
      <c r="S48" s="1393"/>
      <c r="T48" s="1893" t="s">
        <v>669</v>
      </c>
      <c r="U48" s="1392"/>
    </row>
    <row r="49" spans="1:21" ht="25" x14ac:dyDescent="0.35">
      <c r="A49" s="1811"/>
      <c r="B49" s="1936" t="s">
        <v>2356</v>
      </c>
      <c r="C49" s="1886" t="s">
        <v>2357</v>
      </c>
      <c r="D49" s="1886"/>
      <c r="E49" s="1886"/>
      <c r="F49" s="1886"/>
      <c r="G49" s="1928"/>
      <c r="H49" s="1893" t="s">
        <v>669</v>
      </c>
      <c r="I49" s="1393"/>
      <c r="J49" s="1893" t="s">
        <v>669</v>
      </c>
      <c r="K49" s="1393"/>
      <c r="L49" s="1893" t="s">
        <v>669</v>
      </c>
      <c r="M49" s="1393"/>
      <c r="N49" s="1893" t="s">
        <v>669</v>
      </c>
      <c r="O49" s="1393"/>
      <c r="P49" s="1893" t="s">
        <v>669</v>
      </c>
      <c r="Q49" s="1393"/>
      <c r="R49" s="1893" t="s">
        <v>669</v>
      </c>
      <c r="S49" s="1393"/>
      <c r="T49" s="1893" t="s">
        <v>669</v>
      </c>
      <c r="U49" s="1448"/>
    </row>
    <row r="50" spans="1:21" x14ac:dyDescent="0.35">
      <c r="A50" s="1811"/>
      <c r="B50" s="1936" t="s">
        <v>2358</v>
      </c>
      <c r="C50" s="1886"/>
      <c r="D50" s="1886"/>
      <c r="E50" s="1886"/>
      <c r="F50" s="1886"/>
      <c r="G50" s="1928"/>
      <c r="H50" s="1893" t="s">
        <v>669</v>
      </c>
      <c r="I50" s="1393"/>
      <c r="J50" s="1893" t="s">
        <v>669</v>
      </c>
      <c r="K50" s="1393"/>
      <c r="L50" s="1893"/>
      <c r="M50" s="1393"/>
      <c r="N50" s="1893" t="s">
        <v>669</v>
      </c>
      <c r="O50" s="1393"/>
      <c r="P50" s="1893"/>
      <c r="Q50" s="1393"/>
      <c r="R50" s="1893"/>
      <c r="S50" s="1393"/>
      <c r="T50" s="1893"/>
      <c r="U50" s="1448"/>
    </row>
    <row r="51" spans="1:21" x14ac:dyDescent="0.35">
      <c r="A51" s="1811"/>
      <c r="B51" s="1936" t="s">
        <v>2359</v>
      </c>
      <c r="C51" s="1886"/>
      <c r="D51" s="1886"/>
      <c r="E51" s="1886"/>
      <c r="F51" s="1886"/>
      <c r="G51" s="1928"/>
      <c r="H51" s="1893" t="s">
        <v>669</v>
      </c>
      <c r="I51" s="1393">
        <v>47005</v>
      </c>
      <c r="J51" s="1101" t="s">
        <v>654</v>
      </c>
      <c r="K51" s="1393">
        <f>I51</f>
        <v>47005</v>
      </c>
      <c r="L51" s="1893"/>
      <c r="M51" s="1393"/>
      <c r="N51" s="1101" t="s">
        <v>654</v>
      </c>
      <c r="O51" s="1393">
        <f>I51</f>
        <v>47005</v>
      </c>
      <c r="P51" s="1893"/>
      <c r="Q51" s="1393"/>
      <c r="R51" s="1893"/>
      <c r="S51" s="1393"/>
      <c r="T51" s="1893"/>
      <c r="U51" s="1448"/>
    </row>
    <row r="52" spans="1:21" x14ac:dyDescent="0.35">
      <c r="A52" s="1811"/>
      <c r="B52" s="1939" t="s">
        <v>2360</v>
      </c>
      <c r="C52" s="1886"/>
      <c r="D52" s="1886"/>
      <c r="E52" s="1886"/>
      <c r="F52" s="1886"/>
      <c r="G52" s="1928"/>
      <c r="H52" s="1893"/>
      <c r="I52" s="1393"/>
      <c r="J52" s="1893"/>
      <c r="K52" s="1393"/>
      <c r="L52" s="1893"/>
      <c r="M52" s="1393"/>
      <c r="N52" s="1893"/>
      <c r="O52" s="1393"/>
      <c r="P52" s="1893"/>
      <c r="Q52" s="1393"/>
      <c r="R52" s="1893"/>
      <c r="S52" s="1393"/>
      <c r="T52" s="1893"/>
      <c r="U52" s="1392"/>
    </row>
    <row r="53" spans="1:21" ht="25" x14ac:dyDescent="0.35">
      <c r="A53" s="1811"/>
      <c r="B53" s="1936" t="s">
        <v>2361</v>
      </c>
      <c r="C53" s="1886" t="s">
        <v>2362</v>
      </c>
      <c r="D53" s="1886"/>
      <c r="E53" s="1886"/>
      <c r="F53" s="1886"/>
      <c r="G53" s="1928"/>
      <c r="H53" s="1101" t="s">
        <v>671</v>
      </c>
      <c r="I53" s="1393"/>
      <c r="J53" s="1101" t="s">
        <v>671</v>
      </c>
      <c r="K53" s="1393"/>
      <c r="L53" s="1893" t="s">
        <v>669</v>
      </c>
      <c r="M53" s="1393"/>
      <c r="N53" s="1101" t="s">
        <v>669</v>
      </c>
      <c r="O53" s="1525">
        <v>-270000</v>
      </c>
      <c r="P53" s="1101" t="s">
        <v>669</v>
      </c>
      <c r="Q53" s="1393"/>
      <c r="R53" s="1893" t="s">
        <v>669</v>
      </c>
      <c r="S53" s="1393"/>
      <c r="T53" s="1101" t="s">
        <v>669</v>
      </c>
      <c r="U53" s="1448"/>
    </row>
    <row r="54" spans="1:21" x14ac:dyDescent="0.35">
      <c r="A54" s="1811"/>
      <c r="B54" s="1936" t="s">
        <v>2363</v>
      </c>
      <c r="C54" s="1886" t="s">
        <v>2357</v>
      </c>
      <c r="D54" s="1886"/>
      <c r="E54" s="1886"/>
      <c r="F54" s="1886"/>
      <c r="G54" s="1928"/>
      <c r="H54" s="1101" t="s">
        <v>671</v>
      </c>
      <c r="I54" s="1393"/>
      <c r="J54" s="1101" t="s">
        <v>671</v>
      </c>
      <c r="K54" s="1393"/>
      <c r="L54" s="1893" t="s">
        <v>669</v>
      </c>
      <c r="M54" s="1393"/>
      <c r="N54" s="1893" t="s">
        <v>669</v>
      </c>
      <c r="O54" s="1393"/>
      <c r="P54" s="1893" t="s">
        <v>669</v>
      </c>
      <c r="Q54" s="1393"/>
      <c r="R54" s="1893" t="s">
        <v>669</v>
      </c>
      <c r="S54" s="1393"/>
      <c r="T54" s="1893" t="s">
        <v>669</v>
      </c>
      <c r="U54" s="1392"/>
    </row>
    <row r="55" spans="1:21" x14ac:dyDescent="0.35">
      <c r="A55" s="1811"/>
      <c r="B55" s="1936" t="s">
        <v>2364</v>
      </c>
      <c r="C55" s="1886"/>
      <c r="D55" s="1886"/>
      <c r="E55" s="1886"/>
      <c r="F55" s="1886"/>
      <c r="G55" s="1928"/>
      <c r="H55" s="1101" t="s">
        <v>671</v>
      </c>
      <c r="I55" s="1393"/>
      <c r="J55" s="1101" t="s">
        <v>671</v>
      </c>
      <c r="K55" s="1393"/>
      <c r="L55" s="1893"/>
      <c r="M55" s="1393"/>
      <c r="N55" s="1893" t="s">
        <v>669</v>
      </c>
      <c r="O55" s="1393"/>
      <c r="P55" s="1893" t="s">
        <v>669</v>
      </c>
      <c r="Q55" s="1393"/>
      <c r="R55" s="1893"/>
      <c r="S55" s="1393"/>
      <c r="T55" s="1893"/>
      <c r="U55" s="1392"/>
    </row>
    <row r="56" spans="1:21" x14ac:dyDescent="0.35">
      <c r="A56" s="1811"/>
      <c r="B56" s="1936" t="s">
        <v>2365</v>
      </c>
      <c r="C56" s="1886" t="s">
        <v>2357</v>
      </c>
      <c r="D56" s="1886"/>
      <c r="E56" s="1886"/>
      <c r="F56" s="1886"/>
      <c r="G56" s="1928"/>
      <c r="H56" s="1101" t="s">
        <v>671</v>
      </c>
      <c r="I56" s="1393"/>
      <c r="J56" s="1101" t="s">
        <v>671</v>
      </c>
      <c r="K56" s="1393"/>
      <c r="L56" s="1893" t="s">
        <v>669</v>
      </c>
      <c r="M56" s="1393"/>
      <c r="N56" s="1893" t="s">
        <v>669</v>
      </c>
      <c r="O56" s="1393"/>
      <c r="P56" s="1893" t="s">
        <v>669</v>
      </c>
      <c r="Q56" s="1393"/>
      <c r="R56" s="1893" t="s">
        <v>669</v>
      </c>
      <c r="S56" s="1393"/>
      <c r="T56" s="1893" t="s">
        <v>669</v>
      </c>
      <c r="U56" s="1392"/>
    </row>
    <row r="57" spans="1:21" x14ac:dyDescent="0.35">
      <c r="A57" s="1811"/>
      <c r="B57" s="1936" t="s">
        <v>2366</v>
      </c>
      <c r="C57" s="1886" t="s">
        <v>2367</v>
      </c>
      <c r="D57" s="1886"/>
      <c r="E57" s="1886"/>
      <c r="F57" s="1886"/>
      <c r="G57" s="1928"/>
      <c r="H57" s="1101" t="s">
        <v>669</v>
      </c>
      <c r="I57" s="1393">
        <v>32255</v>
      </c>
      <c r="J57" s="1101" t="s">
        <v>669</v>
      </c>
      <c r="K57" s="1393">
        <f>Q57</f>
        <v>38600</v>
      </c>
      <c r="L57" s="1893"/>
      <c r="M57" s="1393"/>
      <c r="N57" s="1101" t="s">
        <v>669</v>
      </c>
      <c r="O57" s="1393"/>
      <c r="P57" s="1893" t="s">
        <v>669</v>
      </c>
      <c r="Q57" s="1393">
        <v>38600</v>
      </c>
      <c r="R57" s="1893"/>
      <c r="S57" s="1393"/>
      <c r="T57" s="1893"/>
      <c r="U57" s="1392"/>
    </row>
    <row r="58" spans="1:21" x14ac:dyDescent="0.35">
      <c r="A58" s="1811"/>
      <c r="B58" s="1936"/>
      <c r="C58" s="1886"/>
      <c r="D58" s="1886"/>
      <c r="E58" s="1886"/>
      <c r="F58" s="1886"/>
      <c r="G58" s="1928"/>
      <c r="H58" s="1893"/>
      <c r="I58" s="1393"/>
      <c r="J58" s="1893"/>
      <c r="K58" s="1393"/>
      <c r="L58" s="1893"/>
      <c r="M58" s="1393"/>
      <c r="N58" s="1893"/>
      <c r="O58" s="1393"/>
      <c r="P58" s="1893"/>
      <c r="Q58" s="1393"/>
      <c r="R58" s="1893"/>
      <c r="S58" s="1393"/>
      <c r="T58" s="1893"/>
      <c r="U58" s="1392"/>
    </row>
    <row r="59" spans="1:21" x14ac:dyDescent="0.35">
      <c r="A59" s="1931"/>
      <c r="B59" s="1823" t="s">
        <v>2368</v>
      </c>
      <c r="C59" s="1886"/>
      <c r="D59" s="1886"/>
      <c r="E59" s="1886"/>
      <c r="F59" s="1886"/>
      <c r="G59" s="1928"/>
      <c r="H59" s="1893" t="s">
        <v>669</v>
      </c>
      <c r="I59" s="1393">
        <v>2052099</v>
      </c>
      <c r="J59" s="1893" t="s">
        <v>669</v>
      </c>
      <c r="K59" s="1393">
        <f>819256*3</f>
        <v>2457768</v>
      </c>
      <c r="L59" s="1893" t="s">
        <v>669</v>
      </c>
      <c r="M59" s="1393">
        <f>950798*3</f>
        <v>2852394</v>
      </c>
      <c r="N59" s="1893" t="s">
        <v>669</v>
      </c>
      <c r="O59" s="1393"/>
      <c r="P59" s="1893" t="s">
        <v>669</v>
      </c>
      <c r="Q59" s="1392"/>
      <c r="R59" s="1893" t="s">
        <v>669</v>
      </c>
      <c r="S59" s="1393">
        <f>1026090*3</f>
        <v>3078270</v>
      </c>
      <c r="T59" s="1893" t="s">
        <v>669</v>
      </c>
      <c r="U59" s="1392"/>
    </row>
    <row r="60" spans="1:21" x14ac:dyDescent="0.35">
      <c r="A60" s="1811"/>
      <c r="B60" s="1822" t="s">
        <v>2369</v>
      </c>
      <c r="C60" s="1886"/>
      <c r="D60" s="1886"/>
      <c r="E60" s="1886"/>
      <c r="F60" s="1886"/>
      <c r="G60" s="1928"/>
      <c r="H60" s="1893" t="s">
        <v>669</v>
      </c>
      <c r="I60" s="1393">
        <v>1649246</v>
      </c>
      <c r="J60" s="1893" t="s">
        <v>669</v>
      </c>
      <c r="K60" s="1393">
        <f>1037864*2</f>
        <v>2075728</v>
      </c>
      <c r="L60" s="1893" t="s">
        <v>669</v>
      </c>
      <c r="M60" s="1393">
        <f>1199156*2</f>
        <v>2398312</v>
      </c>
      <c r="N60" s="1893" t="s">
        <v>669</v>
      </c>
      <c r="O60" s="1393"/>
      <c r="P60" s="1893" t="s">
        <v>669</v>
      </c>
      <c r="Q60" s="1392"/>
      <c r="R60" s="1893" t="s">
        <v>669</v>
      </c>
      <c r="S60" s="1393">
        <f>1247415*2</f>
        <v>2494830</v>
      </c>
      <c r="T60" s="1893" t="s">
        <v>669</v>
      </c>
      <c r="U60" s="1392"/>
    </row>
    <row r="61" spans="1:21" x14ac:dyDescent="0.35">
      <c r="A61" s="1811"/>
      <c r="B61" s="1822" t="s">
        <v>2370</v>
      </c>
      <c r="C61" s="1886"/>
      <c r="D61" s="1886"/>
      <c r="E61" s="1886"/>
      <c r="F61" s="1886"/>
      <c r="G61" s="1928"/>
      <c r="H61" s="1893" t="s">
        <v>669</v>
      </c>
      <c r="I61" s="1393">
        <v>712318</v>
      </c>
      <c r="J61" s="1893" t="s">
        <v>669</v>
      </c>
      <c r="K61" s="1393">
        <v>881791</v>
      </c>
      <c r="L61" s="1893" t="s">
        <v>669</v>
      </c>
      <c r="M61" s="1393">
        <v>965163</v>
      </c>
      <c r="N61" s="1893" t="s">
        <v>669</v>
      </c>
      <c r="O61" s="1393"/>
      <c r="P61" s="1893" t="s">
        <v>669</v>
      </c>
      <c r="Q61" s="1392"/>
      <c r="R61" s="1893" t="s">
        <v>669</v>
      </c>
      <c r="S61" s="1393">
        <f>1075968</f>
        <v>1075968</v>
      </c>
      <c r="T61" s="1893" t="s">
        <v>669</v>
      </c>
      <c r="U61" s="1392"/>
    </row>
    <row r="62" spans="1:21" x14ac:dyDescent="0.35">
      <c r="A62" s="1811"/>
      <c r="B62" s="1434" t="s">
        <v>80</v>
      </c>
      <c r="C62" s="1886"/>
      <c r="D62" s="1886"/>
      <c r="E62" s="1886"/>
      <c r="F62" s="1886"/>
      <c r="G62" s="1928"/>
      <c r="H62" s="1893" t="s">
        <v>669</v>
      </c>
      <c r="I62" s="1393">
        <v>150736</v>
      </c>
      <c r="J62" s="1893" t="s">
        <v>669</v>
      </c>
      <c r="K62" s="1393">
        <f>129034+23037</f>
        <v>152071</v>
      </c>
      <c r="L62" s="1893" t="s">
        <v>669</v>
      </c>
      <c r="M62" s="1393">
        <v>165361</v>
      </c>
      <c r="N62" s="1893" t="s">
        <v>669</v>
      </c>
      <c r="O62" s="1393"/>
      <c r="P62" s="1893" t="s">
        <v>669</v>
      </c>
      <c r="Q62" s="1392"/>
      <c r="R62" s="1893" t="s">
        <v>669</v>
      </c>
      <c r="S62" s="1393">
        <v>63800</v>
      </c>
      <c r="T62" s="1893" t="s">
        <v>669</v>
      </c>
      <c r="U62" s="1392"/>
    </row>
    <row r="63" spans="1:21" x14ac:dyDescent="0.35">
      <c r="A63" s="1811"/>
      <c r="B63" s="1434" t="s">
        <v>2371</v>
      </c>
      <c r="C63" s="1886"/>
      <c r="D63" s="1886"/>
      <c r="E63" s="1886"/>
      <c r="F63" s="1886"/>
      <c r="G63" s="1928"/>
      <c r="H63" s="1893" t="s">
        <v>669</v>
      </c>
      <c r="I63" s="1393">
        <f>41068+21272</f>
        <v>62340</v>
      </c>
      <c r="J63" s="1893" t="s">
        <v>669</v>
      </c>
      <c r="K63" s="1393">
        <f>9166+6828+6828</f>
        <v>22822</v>
      </c>
      <c r="L63" s="1893" t="s">
        <v>669</v>
      </c>
      <c r="M63" s="1393">
        <v>61646</v>
      </c>
      <c r="N63" s="1893"/>
      <c r="O63" s="1393"/>
      <c r="P63" s="1893"/>
      <c r="Q63" s="1392"/>
      <c r="R63" s="1893" t="s">
        <v>669</v>
      </c>
      <c r="S63" s="1393">
        <f>12461+(2*11119)</f>
        <v>34699</v>
      </c>
      <c r="T63" s="1893"/>
      <c r="U63" s="1392"/>
    </row>
    <row r="64" spans="1:21" x14ac:dyDescent="0.35">
      <c r="A64" s="1811"/>
      <c r="B64" s="1434" t="s">
        <v>2372</v>
      </c>
      <c r="C64" s="1886"/>
      <c r="D64" s="1886"/>
      <c r="E64" s="1886"/>
      <c r="F64" s="1886"/>
      <c r="G64" s="1928"/>
      <c r="H64" s="1893" t="s">
        <v>669</v>
      </c>
      <c r="I64" s="1393">
        <v>8756</v>
      </c>
      <c r="J64" s="1893" t="s">
        <v>669</v>
      </c>
      <c r="K64" s="1393">
        <v>3003</v>
      </c>
      <c r="L64" s="1101" t="s">
        <v>654</v>
      </c>
      <c r="M64" s="1393">
        <f>I64</f>
        <v>8756</v>
      </c>
      <c r="N64" s="1893" t="s">
        <v>669</v>
      </c>
      <c r="O64" s="1393"/>
      <c r="P64" s="1893" t="s">
        <v>669</v>
      </c>
      <c r="Q64" s="1392"/>
      <c r="R64" s="1893" t="s">
        <v>669</v>
      </c>
      <c r="S64" s="1393">
        <v>1917</v>
      </c>
      <c r="T64" s="1893" t="s">
        <v>669</v>
      </c>
      <c r="U64" s="1392"/>
    </row>
    <row r="65" spans="1:21" x14ac:dyDescent="0.35">
      <c r="A65" s="1811"/>
      <c r="B65" s="1434" t="s">
        <v>2373</v>
      </c>
      <c r="C65" s="1886"/>
      <c r="D65" s="1886"/>
      <c r="E65" s="1886"/>
      <c r="F65" s="1886"/>
      <c r="G65" s="1928"/>
      <c r="H65" s="1101" t="s">
        <v>654</v>
      </c>
      <c r="I65" s="1393">
        <v>3000</v>
      </c>
      <c r="J65" s="1101" t="s">
        <v>654</v>
      </c>
      <c r="K65" s="1393">
        <v>3000</v>
      </c>
      <c r="L65" s="1101" t="s">
        <v>654</v>
      </c>
      <c r="M65" s="1393">
        <v>3000</v>
      </c>
      <c r="N65" s="1893" t="s">
        <v>669</v>
      </c>
      <c r="O65" s="1393"/>
      <c r="P65" s="1893" t="s">
        <v>669</v>
      </c>
      <c r="Q65" s="1392"/>
      <c r="R65" s="1893"/>
      <c r="S65" s="1393"/>
      <c r="T65" s="1893" t="s">
        <v>669</v>
      </c>
      <c r="U65" s="1392"/>
    </row>
    <row r="66" spans="1:21" x14ac:dyDescent="0.35">
      <c r="A66" s="1811"/>
      <c r="B66" s="1940" t="s">
        <v>2374</v>
      </c>
      <c r="C66" s="1886"/>
      <c r="D66" s="1886"/>
      <c r="E66" s="1886"/>
      <c r="F66" s="1886"/>
      <c r="G66" s="1928"/>
      <c r="H66" s="1101" t="s">
        <v>654</v>
      </c>
      <c r="I66" s="1941">
        <f>$K$66</f>
        <v>213486</v>
      </c>
      <c r="J66" s="1893" t="s">
        <v>669</v>
      </c>
      <c r="K66" s="1393">
        <f>442*483</f>
        <v>213486</v>
      </c>
      <c r="L66" s="1101" t="s">
        <v>654</v>
      </c>
      <c r="M66" s="1941">
        <f>$K$66</f>
        <v>213486</v>
      </c>
      <c r="N66" s="1101" t="s">
        <v>654</v>
      </c>
      <c r="O66" s="1941">
        <f>$K$66</f>
        <v>213486</v>
      </c>
      <c r="P66" s="1893" t="s">
        <v>669</v>
      </c>
      <c r="Q66" s="1393">
        <v>1327750</v>
      </c>
      <c r="R66" s="1893" t="s">
        <v>669</v>
      </c>
      <c r="S66" s="1393">
        <v>189210</v>
      </c>
      <c r="T66" s="1893"/>
      <c r="U66" s="1392"/>
    </row>
    <row r="67" spans="1:21" x14ac:dyDescent="0.35">
      <c r="A67" s="1811"/>
      <c r="B67" s="1936"/>
      <c r="C67" s="1494"/>
      <c r="D67" s="1886"/>
      <c r="E67" s="1886"/>
      <c r="F67" s="1886"/>
      <c r="G67" s="1928"/>
      <c r="H67" s="1893"/>
      <c r="I67" s="1393"/>
      <c r="J67" s="1893"/>
      <c r="K67" s="1393"/>
      <c r="L67" s="1893"/>
      <c r="M67" s="1393"/>
      <c r="N67" s="1893"/>
      <c r="O67" s="1393"/>
      <c r="P67" s="1893"/>
      <c r="Q67" s="1392"/>
      <c r="R67" s="1893"/>
      <c r="S67" s="1393"/>
      <c r="T67" s="1893"/>
      <c r="U67" s="1393"/>
    </row>
    <row r="68" spans="1:21" x14ac:dyDescent="0.35">
      <c r="A68" s="1811"/>
      <c r="B68" s="1936" t="s">
        <v>2375</v>
      </c>
      <c r="C68" s="1494"/>
      <c r="D68" s="1886"/>
      <c r="E68" s="1886"/>
      <c r="F68" s="1886"/>
      <c r="G68" s="1928"/>
      <c r="H68" s="1893"/>
      <c r="I68" s="1393"/>
      <c r="J68" s="1893"/>
      <c r="K68" s="1393"/>
      <c r="L68" s="1893"/>
      <c r="M68" s="1393"/>
      <c r="N68" s="1893"/>
      <c r="O68" s="1393"/>
      <c r="P68" s="1893"/>
      <c r="Q68" s="1392"/>
      <c r="R68" s="1893"/>
      <c r="S68" s="1393"/>
      <c r="T68" s="1893"/>
      <c r="U68" s="1393"/>
    </row>
    <row r="69" spans="1:21" x14ac:dyDescent="0.35">
      <c r="A69" s="1811"/>
      <c r="B69" s="1936"/>
      <c r="C69" s="1886"/>
      <c r="D69" s="1886"/>
      <c r="E69" s="1886"/>
      <c r="F69" s="1594"/>
      <c r="G69" s="1938"/>
      <c r="H69" s="1893"/>
      <c r="I69" s="1393"/>
      <c r="J69" s="1893"/>
      <c r="K69" s="1393"/>
      <c r="L69" s="1893"/>
      <c r="M69" s="1393"/>
      <c r="N69" s="1893"/>
      <c r="O69" s="1393"/>
      <c r="P69" s="1893"/>
      <c r="Q69" s="1392"/>
      <c r="R69" s="1893"/>
      <c r="S69" s="1392"/>
      <c r="T69" s="1893"/>
      <c r="U69" s="1393"/>
    </row>
    <row r="70" spans="1:21" x14ac:dyDescent="0.35">
      <c r="A70" s="1811"/>
      <c r="B70" s="1936"/>
      <c r="C70" s="1886"/>
      <c r="D70" s="1886"/>
      <c r="E70" s="1886"/>
      <c r="F70" s="1594"/>
      <c r="G70" s="1938"/>
      <c r="H70" s="1893"/>
      <c r="I70" s="1393"/>
      <c r="J70" s="1893"/>
      <c r="K70" s="1393"/>
      <c r="L70" s="1893"/>
      <c r="M70" s="1392"/>
      <c r="N70" s="1893"/>
      <c r="O70" s="1393"/>
      <c r="P70" s="1893"/>
      <c r="Q70" s="1392"/>
      <c r="R70" s="1893"/>
      <c r="S70" s="1393"/>
      <c r="T70" s="1893"/>
      <c r="U70" s="1392"/>
    </row>
    <row r="71" spans="1:21" x14ac:dyDescent="0.35">
      <c r="A71" s="14"/>
      <c r="B71" s="15"/>
      <c r="C71" s="16"/>
      <c r="D71" s="16"/>
      <c r="E71" s="17"/>
      <c r="F71" s="18" t="s">
        <v>715</v>
      </c>
      <c r="G71" s="19"/>
      <c r="H71" s="20"/>
      <c r="I71" s="50">
        <f>SUM(I22:I70)</f>
        <v>5165951</v>
      </c>
      <c r="J71" s="20"/>
      <c r="K71" s="50">
        <f>SUM(K22:K70)</f>
        <v>5895274</v>
      </c>
      <c r="L71" s="20"/>
      <c r="M71" s="50">
        <f>SUM(M22:M70)</f>
        <v>6668118</v>
      </c>
      <c r="N71" s="20"/>
      <c r="O71" s="50">
        <f>SUM(O22:O70)</f>
        <v>7070491</v>
      </c>
      <c r="P71" s="20"/>
      <c r="Q71" s="50">
        <f>SUM(Q22:Q70)</f>
        <v>8260450</v>
      </c>
      <c r="R71" s="20"/>
      <c r="S71" s="50">
        <f>SUM(S22:S70)</f>
        <v>6938694</v>
      </c>
      <c r="T71" s="20"/>
      <c r="U71" s="50">
        <f>SUM(U22:U70)</f>
        <v>7145400</v>
      </c>
    </row>
    <row r="72" spans="1:21" x14ac:dyDescent="0.35">
      <c r="A72" s="1452"/>
      <c r="B72" s="1453"/>
      <c r="C72" s="1454"/>
      <c r="D72" s="1454"/>
      <c r="E72" s="1455"/>
      <c r="F72" s="1456" t="s">
        <v>716</v>
      </c>
      <c r="G72" s="1919"/>
      <c r="H72" s="959">
        <v>0</v>
      </c>
      <c r="I72" s="1618"/>
      <c r="J72" s="959">
        <v>0</v>
      </c>
      <c r="K72" s="1618"/>
      <c r="L72" s="959">
        <v>0</v>
      </c>
      <c r="M72" s="1618"/>
      <c r="N72" s="959">
        <v>0</v>
      </c>
      <c r="O72" s="1618"/>
      <c r="P72" s="959">
        <v>0</v>
      </c>
      <c r="Q72" s="1618"/>
      <c r="R72" s="959">
        <v>0</v>
      </c>
      <c r="S72" s="1618"/>
      <c r="T72" s="959">
        <v>0</v>
      </c>
      <c r="U72" s="1618"/>
    </row>
    <row r="73" spans="1:21" x14ac:dyDescent="0.35">
      <c r="A73" s="1452"/>
      <c r="B73" s="1453"/>
      <c r="C73" s="1454"/>
      <c r="D73" s="1454"/>
      <c r="E73" s="1455"/>
      <c r="F73" s="1456" t="s">
        <v>717</v>
      </c>
      <c r="G73" s="1919"/>
      <c r="H73" s="961"/>
      <c r="I73" s="962">
        <f>I71*H72</f>
        <v>0</v>
      </c>
      <c r="J73" s="961"/>
      <c r="K73" s="962">
        <f>K71*J72</f>
        <v>0</v>
      </c>
      <c r="L73" s="961"/>
      <c r="M73" s="962">
        <f>M71*L72</f>
        <v>0</v>
      </c>
      <c r="N73" s="961"/>
      <c r="O73" s="962">
        <f>O71*N72</f>
        <v>0</v>
      </c>
      <c r="P73" s="961"/>
      <c r="Q73" s="962">
        <f>Q71*P72</f>
        <v>0</v>
      </c>
      <c r="R73" s="961"/>
      <c r="S73" s="962">
        <f>S71*R72</f>
        <v>0</v>
      </c>
      <c r="T73" s="961"/>
      <c r="U73" s="962">
        <f>U71*T72</f>
        <v>0</v>
      </c>
    </row>
    <row r="74" spans="1:21" x14ac:dyDescent="0.35">
      <c r="A74" s="1452"/>
      <c r="B74" s="1453"/>
      <c r="C74" s="1454"/>
      <c r="D74" s="1454"/>
      <c r="E74" s="1455"/>
      <c r="F74" s="1456"/>
      <c r="G74" s="1919"/>
      <c r="H74" s="961"/>
      <c r="I74" s="961"/>
      <c r="J74" s="961"/>
      <c r="K74" s="961"/>
      <c r="L74" s="961"/>
      <c r="M74" s="961"/>
      <c r="N74" s="961"/>
      <c r="O74" s="961"/>
      <c r="P74" s="961"/>
      <c r="Q74" s="961"/>
      <c r="R74" s="961"/>
      <c r="S74" s="961"/>
      <c r="T74" s="961"/>
      <c r="U74" s="961"/>
    </row>
    <row r="75" spans="1:21" x14ac:dyDescent="0.35">
      <c r="A75" s="1452"/>
      <c r="B75" s="1453"/>
      <c r="C75" s="1454"/>
      <c r="D75" s="1454"/>
      <c r="E75" s="1455"/>
      <c r="F75" s="1456" t="s">
        <v>718</v>
      </c>
      <c r="G75" s="1919"/>
      <c r="H75" s="964"/>
      <c r="I75" s="962">
        <f>SUM(I71:I73)</f>
        <v>5165951</v>
      </c>
      <c r="J75" s="964"/>
      <c r="K75" s="962">
        <f>SUM(K71:K73)</f>
        <v>5895274</v>
      </c>
      <c r="L75" s="964"/>
      <c r="M75" s="962">
        <f>SUM(M71:M73)</f>
        <v>6668118</v>
      </c>
      <c r="N75" s="964"/>
      <c r="O75" s="962">
        <f>SUM(O71:O73)</f>
        <v>7070491</v>
      </c>
      <c r="P75" s="964"/>
      <c r="Q75" s="962">
        <f>SUM(Q71:Q73)</f>
        <v>8260450</v>
      </c>
      <c r="R75" s="964"/>
      <c r="S75" s="962">
        <f>SUM(S71:S73)</f>
        <v>6938694</v>
      </c>
      <c r="T75" s="964"/>
      <c r="U75" s="962">
        <f>SUM(U71:U73)</f>
        <v>7145400</v>
      </c>
    </row>
    <row r="76" spans="1:21" x14ac:dyDescent="0.35">
      <c r="A76" s="1452"/>
      <c r="B76" s="1453"/>
      <c r="C76" s="1454"/>
      <c r="D76" s="1454"/>
      <c r="E76" s="1455"/>
      <c r="F76" s="1409" t="s">
        <v>719</v>
      </c>
      <c r="G76" s="1920"/>
      <c r="H76" s="965"/>
      <c r="I76" s="966">
        <f>I75/'Cost Summary'!$G$6</f>
        <v>10.047266946317601</v>
      </c>
      <c r="J76" s="965"/>
      <c r="K76" s="966">
        <f>K75/'Cost Summary'!$G$6</f>
        <v>11.465728497944628</v>
      </c>
      <c r="L76" s="965"/>
      <c r="M76" s="966">
        <f>M75/'Cost Summary'!$G$6</f>
        <v>12.968834116999064</v>
      </c>
      <c r="N76" s="965"/>
      <c r="O76" s="966">
        <f>O75/'Cost Summary'!$G$6</f>
        <v>13.751410053741525</v>
      </c>
      <c r="P76" s="965"/>
      <c r="Q76" s="966">
        <f>Q75/'Cost Summary'!$G$6</f>
        <v>16.065763350583314</v>
      </c>
      <c r="R76" s="965"/>
      <c r="S76" s="966">
        <f>S75/'Cost Summary'!$G$6</f>
        <v>13.49507784274614</v>
      </c>
      <c r="T76" s="965"/>
      <c r="U76" s="966">
        <f>U75/'Cost Summary'!$G$6</f>
        <v>13.897100696119221</v>
      </c>
    </row>
    <row r="77" spans="1:21" x14ac:dyDescent="0.35">
      <c r="A77" s="1452"/>
      <c r="B77" s="1453"/>
      <c r="C77" s="1454"/>
      <c r="D77" s="1454"/>
      <c r="E77" s="1455"/>
      <c r="F77" s="1409" t="s">
        <v>720</v>
      </c>
      <c r="G77" s="1921"/>
      <c r="H77" s="965"/>
      <c r="I77" s="966">
        <f>I75/'Cost Summary'!$G$8</f>
        <v>11958.219907407407</v>
      </c>
      <c r="J77" s="965"/>
      <c r="K77" s="966">
        <f>K75/'Cost Summary'!$G$8</f>
        <v>13646.467592592593</v>
      </c>
      <c r="L77" s="965"/>
      <c r="M77" s="966">
        <f>M75/'Cost Summary'!$G$8</f>
        <v>15435.458333333334</v>
      </c>
      <c r="N77" s="965"/>
      <c r="O77" s="966">
        <f>O75/'Cost Summary'!$G$8</f>
        <v>16366.877314814816</v>
      </c>
      <c r="P77" s="965"/>
      <c r="Q77" s="966">
        <f>Q75/'Cost Summary'!$G$8</f>
        <v>19121.412037037036</v>
      </c>
      <c r="R77" s="965"/>
      <c r="S77" s="966">
        <f>S75/'Cost Summary'!$G$8</f>
        <v>16061.791666666666</v>
      </c>
      <c r="T77" s="965"/>
      <c r="U77" s="966">
        <f>U75/'Cost Summary'!$G$8</f>
        <v>16540.277777777777</v>
      </c>
    </row>
    <row r="78" spans="1:21" x14ac:dyDescent="0.35">
      <c r="A78" s="1452"/>
      <c r="B78" s="1453"/>
      <c r="C78" s="1454"/>
      <c r="D78" s="1454"/>
      <c r="E78" s="1455"/>
      <c r="F78" s="1456"/>
      <c r="G78" s="1922"/>
      <c r="H78" s="967"/>
      <c r="I78" s="967"/>
      <c r="J78" s="967"/>
      <c r="K78" s="967"/>
      <c r="L78" s="1168"/>
      <c r="M78" s="1169"/>
      <c r="N78" s="967"/>
      <c r="O78" s="967"/>
      <c r="P78" s="967"/>
      <c r="Q78" s="967"/>
      <c r="R78" s="967"/>
      <c r="S78" s="967"/>
      <c r="T78" s="967"/>
      <c r="U78" s="967"/>
    </row>
    <row r="79" spans="1:21" x14ac:dyDescent="0.35">
      <c r="A79" s="3764" t="s">
        <v>721</v>
      </c>
      <c r="B79" s="3765"/>
      <c r="C79" s="12"/>
      <c r="D79" s="12"/>
      <c r="E79" s="12"/>
      <c r="F79" s="12"/>
      <c r="G79" s="13"/>
      <c r="H79" s="21"/>
      <c r="I79" s="21"/>
      <c r="J79" s="21"/>
      <c r="K79" s="21"/>
      <c r="L79" s="21"/>
      <c r="M79" s="21"/>
      <c r="N79" s="21"/>
      <c r="O79" s="21"/>
      <c r="P79" s="21"/>
      <c r="Q79" s="21"/>
      <c r="R79" s="21"/>
      <c r="S79" s="21"/>
      <c r="T79" s="21"/>
      <c r="U79" s="21"/>
    </row>
    <row r="80" spans="1:21" x14ac:dyDescent="0.35">
      <c r="A80" s="1942"/>
      <c r="B80" s="1885"/>
      <c r="C80" s="1383"/>
      <c r="D80" s="1383"/>
      <c r="E80" s="1383"/>
      <c r="F80" s="1383"/>
      <c r="G80" s="1384"/>
      <c r="H80" s="1924"/>
      <c r="I80" s="1924"/>
      <c r="J80" s="1924"/>
      <c r="K80" s="1924"/>
      <c r="L80" s="1924"/>
      <c r="M80" s="1924"/>
      <c r="N80" s="1924"/>
      <c r="O80" s="1924"/>
      <c r="P80" s="1924"/>
      <c r="Q80" s="1924"/>
      <c r="R80" s="1924"/>
      <c r="S80" s="1924"/>
      <c r="T80" s="1924"/>
      <c r="U80" s="1924"/>
    </row>
    <row r="81" spans="1:21" x14ac:dyDescent="0.35">
      <c r="A81" s="1942"/>
      <c r="B81" s="1885"/>
      <c r="C81" s="1383"/>
      <c r="D81" s="1383"/>
      <c r="E81" s="1383"/>
      <c r="F81" s="1383"/>
      <c r="G81" s="1384"/>
      <c r="H81" s="1924"/>
      <c r="I81" s="1924"/>
      <c r="J81" s="1924"/>
      <c r="K81" s="1924"/>
      <c r="L81" s="1924"/>
      <c r="M81" s="1924"/>
      <c r="N81" s="1924"/>
      <c r="O81" s="1924"/>
      <c r="P81" s="1924"/>
      <c r="Q81" s="1924"/>
      <c r="R81" s="1924"/>
      <c r="S81" s="1924"/>
      <c r="T81" s="1924"/>
      <c r="U81" s="1924"/>
    </row>
    <row r="82" spans="1:21" x14ac:dyDescent="0.35">
      <c r="A82" s="1942"/>
      <c r="B82" s="1885"/>
      <c r="C82" s="1383"/>
      <c r="D82" s="1383"/>
      <c r="E82" s="1383"/>
      <c r="F82" s="1383"/>
      <c r="G82" s="1384"/>
      <c r="H82" s="1924"/>
      <c r="I82" s="1924"/>
      <c r="J82" s="1924"/>
      <c r="K82" s="1924"/>
      <c r="L82" s="1924"/>
      <c r="M82" s="1924"/>
      <c r="N82" s="1924"/>
      <c r="O82" s="1924"/>
      <c r="P82" s="1924"/>
      <c r="Q82" s="1924"/>
      <c r="R82" s="1924"/>
      <c r="S82" s="1924"/>
      <c r="T82" s="1924"/>
      <c r="U82" s="1924"/>
    </row>
    <row r="83" spans="1:21" s="2" customFormat="1" x14ac:dyDescent="0.35">
      <c r="A83" s="3764" t="s">
        <v>722</v>
      </c>
      <c r="B83" s="3765"/>
      <c r="C83" s="12"/>
      <c r="D83" s="12"/>
      <c r="E83" s="12"/>
      <c r="F83" s="12"/>
      <c r="G83" s="13"/>
      <c r="H83" s="21"/>
      <c r="I83" s="21"/>
      <c r="J83" s="21"/>
      <c r="K83" s="21"/>
      <c r="L83" s="21"/>
      <c r="M83" s="21"/>
      <c r="N83" s="21"/>
      <c r="O83" s="21"/>
      <c r="P83" s="21"/>
      <c r="Q83" s="21"/>
      <c r="R83" s="21"/>
      <c r="S83" s="21"/>
      <c r="T83" s="21"/>
      <c r="U83" s="21"/>
    </row>
    <row r="84" spans="1:21" s="2" customFormat="1" x14ac:dyDescent="0.35">
      <c r="A84" s="1942"/>
      <c r="B84" s="1885"/>
      <c r="C84" s="1383"/>
      <c r="D84" s="1383"/>
      <c r="E84" s="1383"/>
      <c r="F84" s="1383"/>
      <c r="G84" s="1384"/>
      <c r="H84" s="1924"/>
      <c r="I84" s="1924"/>
      <c r="J84" s="1924"/>
      <c r="K84" s="1924"/>
      <c r="L84" s="1924"/>
      <c r="M84" s="1924"/>
      <c r="N84" s="1924"/>
      <c r="O84" s="1924"/>
      <c r="P84" s="1924"/>
      <c r="Q84" s="1924"/>
      <c r="R84" s="1924"/>
      <c r="S84" s="1924"/>
      <c r="T84" s="1924"/>
      <c r="U84" s="1924"/>
    </row>
    <row r="85" spans="1:21" s="2" customFormat="1" x14ac:dyDescent="0.35">
      <c r="A85" s="1942"/>
      <c r="B85" s="1885"/>
      <c r="C85" s="1383"/>
      <c r="D85" s="1383"/>
      <c r="E85" s="1383"/>
      <c r="F85" s="1383"/>
      <c r="G85" s="1384"/>
      <c r="H85" s="1924"/>
      <c r="I85" s="1924"/>
      <c r="J85" s="1924"/>
      <c r="K85" s="1924"/>
      <c r="L85" s="1924"/>
      <c r="M85" s="1924"/>
      <c r="N85" s="1924"/>
      <c r="O85" s="1924"/>
      <c r="P85" s="1924"/>
      <c r="Q85" s="1924"/>
      <c r="R85" s="1924"/>
      <c r="S85" s="1924"/>
      <c r="T85" s="1924"/>
      <c r="U85" s="1924"/>
    </row>
    <row r="86" spans="1:21" x14ac:dyDescent="0.35">
      <c r="A86" s="1942"/>
      <c r="B86" s="1885"/>
      <c r="C86" s="1383"/>
      <c r="D86" s="1383"/>
      <c r="E86" s="1383"/>
      <c r="F86" s="1383"/>
      <c r="G86" s="1384"/>
      <c r="H86" s="1924"/>
      <c r="I86" s="1924"/>
      <c r="J86" s="1924"/>
      <c r="K86" s="1924"/>
      <c r="L86" s="1924"/>
      <c r="M86" s="1924"/>
      <c r="N86" s="1924"/>
      <c r="O86" s="1924"/>
      <c r="P86" s="1924"/>
      <c r="Q86" s="1924"/>
      <c r="R86" s="1924"/>
      <c r="S86" s="1924"/>
      <c r="T86" s="1924"/>
      <c r="U86" s="1924"/>
    </row>
    <row r="87" spans="1:21" s="2" customFormat="1" x14ac:dyDescent="0.35">
      <c r="A87" s="3764" t="s">
        <v>723</v>
      </c>
      <c r="B87" s="3765"/>
      <c r="C87" s="12"/>
      <c r="D87" s="12"/>
      <c r="E87" s="12"/>
      <c r="F87" s="12"/>
      <c r="G87" s="13"/>
      <c r="H87" s="21"/>
      <c r="I87" s="21"/>
      <c r="J87" s="21"/>
      <c r="K87" s="21"/>
      <c r="L87" s="21"/>
      <c r="M87" s="21"/>
      <c r="N87" s="21"/>
      <c r="O87" s="21"/>
      <c r="P87" s="21"/>
      <c r="Q87" s="21"/>
      <c r="R87" s="21"/>
      <c r="S87" s="21"/>
      <c r="T87" s="21"/>
      <c r="U87" s="21"/>
    </row>
    <row r="88" spans="1:21" s="2" customFormat="1" x14ac:dyDescent="0.35">
      <c r="A88" s="1942"/>
      <c r="B88" s="1885" t="s">
        <v>2376</v>
      </c>
      <c r="C88" s="1383"/>
      <c r="D88" s="1383"/>
      <c r="E88" s="1383"/>
      <c r="F88" s="1383"/>
      <c r="G88" s="1384"/>
      <c r="H88" s="1924"/>
      <c r="I88" s="1924"/>
      <c r="J88" s="1924"/>
      <c r="K88" s="1924"/>
      <c r="L88" s="1924"/>
      <c r="M88" s="1924"/>
      <c r="N88" s="1924"/>
      <c r="O88" s="1924"/>
      <c r="P88" s="1924"/>
      <c r="Q88" s="1924"/>
      <c r="R88" s="1924"/>
      <c r="S88" s="1924">
        <v>44700</v>
      </c>
      <c r="T88" s="1924"/>
      <c r="U88" s="1924"/>
    </row>
    <row r="89" spans="1:21" s="2" customFormat="1" x14ac:dyDescent="0.35">
      <c r="A89" s="1889"/>
      <c r="B89" s="1885" t="s">
        <v>2377</v>
      </c>
      <c r="C89" s="1886"/>
      <c r="D89" s="1886"/>
      <c r="E89" s="1886"/>
      <c r="F89" s="1886"/>
      <c r="G89" s="1928"/>
      <c r="H89" s="973"/>
      <c r="I89" s="973">
        <v>277510</v>
      </c>
      <c r="J89" s="973"/>
      <c r="K89" s="973"/>
      <c r="L89" s="973"/>
      <c r="M89" s="973"/>
      <c r="N89" s="973"/>
      <c r="O89" s="973"/>
      <c r="P89" s="973"/>
      <c r="Q89" s="973"/>
      <c r="R89" s="973"/>
      <c r="S89" s="973"/>
      <c r="T89" s="973"/>
      <c r="U89" s="973"/>
    </row>
    <row r="90" spans="1:21" s="2" customFormat="1" x14ac:dyDescent="0.35">
      <c r="A90" s="1416"/>
      <c r="B90" s="1417"/>
      <c r="C90" s="1886"/>
      <c r="D90" s="1886"/>
      <c r="E90" s="1886"/>
      <c r="F90" s="1886"/>
      <c r="G90" s="1928"/>
      <c r="H90" s="974"/>
      <c r="I90" s="974"/>
      <c r="J90" s="974"/>
      <c r="K90" s="974"/>
      <c r="L90" s="974"/>
      <c r="M90" s="974"/>
      <c r="N90" s="974"/>
      <c r="O90" s="974"/>
      <c r="P90" s="974"/>
      <c r="Q90" s="974"/>
      <c r="R90" s="974"/>
      <c r="S90" s="974"/>
      <c r="T90" s="974"/>
      <c r="U90" s="974"/>
    </row>
    <row r="91" spans="1:21" s="2" customFormat="1" x14ac:dyDescent="0.35">
      <c r="A91" s="3764" t="s">
        <v>724</v>
      </c>
      <c r="B91" s="3765"/>
      <c r="C91" s="12"/>
      <c r="D91" s="12"/>
      <c r="E91" s="12"/>
      <c r="F91" s="12"/>
      <c r="G91" s="13"/>
      <c r="H91" s="21"/>
      <c r="I91" s="21"/>
      <c r="J91" s="21"/>
      <c r="K91" s="21"/>
      <c r="L91" s="21"/>
      <c r="M91" s="21"/>
      <c r="N91" s="21"/>
      <c r="O91" s="21"/>
      <c r="P91" s="21"/>
      <c r="Q91" s="21"/>
      <c r="R91" s="21"/>
      <c r="S91" s="21"/>
      <c r="T91" s="21"/>
      <c r="U91" s="21"/>
    </row>
    <row r="92" spans="1:21" ht="29" x14ac:dyDescent="0.35">
      <c r="A92" s="1925"/>
      <c r="B92" s="1387" t="s">
        <v>2378</v>
      </c>
      <c r="C92" s="1383"/>
      <c r="D92" s="1383"/>
      <c r="E92" s="1383"/>
      <c r="F92" s="1383"/>
      <c r="G92" s="1384"/>
      <c r="H92" s="1924"/>
      <c r="I92" s="1943">
        <v>-100590</v>
      </c>
      <c r="J92" s="1924"/>
      <c r="K92" s="1924"/>
      <c r="L92" s="1924"/>
      <c r="M92" s="1924"/>
      <c r="N92" s="1924"/>
      <c r="O92" s="1924"/>
      <c r="P92" s="1924"/>
      <c r="Q92" s="1924"/>
      <c r="R92" s="1924"/>
      <c r="S92" s="1924"/>
      <c r="T92" s="1924"/>
      <c r="U92" s="1924"/>
    </row>
    <row r="93" spans="1:21" ht="29" x14ac:dyDescent="0.35">
      <c r="A93" s="1925"/>
      <c r="B93" s="1387" t="s">
        <v>2379</v>
      </c>
      <c r="C93" s="1383"/>
      <c r="D93" s="1383"/>
      <c r="E93" s="1383"/>
      <c r="F93" s="1383"/>
      <c r="G93" s="1384"/>
      <c r="H93" s="1924"/>
      <c r="I93" s="1943">
        <v>-81146</v>
      </c>
      <c r="J93" s="1924"/>
      <c r="K93" s="1924"/>
      <c r="L93" s="1924"/>
      <c r="M93" s="1924"/>
      <c r="N93" s="1924"/>
      <c r="O93" s="1924"/>
      <c r="P93" s="1924"/>
      <c r="Q93" s="1924"/>
      <c r="R93" s="1924"/>
      <c r="S93" s="1924"/>
      <c r="T93" s="1924"/>
      <c r="U93" s="1924"/>
    </row>
    <row r="94" spans="1:21" ht="29" x14ac:dyDescent="0.35">
      <c r="A94" s="1925"/>
      <c r="B94" s="1387" t="s">
        <v>2380</v>
      </c>
      <c r="C94" s="1383"/>
      <c r="D94" s="1383"/>
      <c r="E94" s="1383"/>
      <c r="F94" s="1383"/>
      <c r="G94" s="1384"/>
      <c r="H94" s="1924"/>
      <c r="I94" s="1924"/>
      <c r="J94" s="1924"/>
      <c r="K94" s="1924"/>
      <c r="L94" s="1924"/>
      <c r="M94" s="1924"/>
      <c r="N94" s="1924"/>
      <c r="O94" s="1924"/>
      <c r="P94" s="1924"/>
      <c r="Q94" s="1924"/>
      <c r="R94" s="1924"/>
      <c r="S94" s="1924">
        <v>-46986</v>
      </c>
      <c r="T94" s="1924"/>
      <c r="U94" s="1924"/>
    </row>
    <row r="95" spans="1:21" x14ac:dyDescent="0.35">
      <c r="A95" s="1416"/>
      <c r="B95" s="1417" t="s">
        <v>2381</v>
      </c>
      <c r="C95" s="1886"/>
      <c r="D95" s="1886"/>
      <c r="E95" s="1886"/>
      <c r="F95" s="1886"/>
      <c r="G95" s="1928"/>
      <c r="H95" s="977"/>
      <c r="I95" s="977"/>
      <c r="J95" s="977"/>
      <c r="K95" s="977"/>
      <c r="L95" s="977"/>
      <c r="M95" s="977"/>
      <c r="N95" s="977"/>
      <c r="O95" s="977"/>
      <c r="P95" s="977"/>
      <c r="Q95" s="977">
        <v>-135650</v>
      </c>
      <c r="R95" s="977"/>
      <c r="S95" s="977"/>
      <c r="T95" s="977"/>
      <c r="U95" s="977"/>
    </row>
    <row r="96" spans="1:21" x14ac:dyDescent="0.35">
      <c r="A96" s="1416"/>
      <c r="B96" s="1417"/>
      <c r="C96" s="1886"/>
      <c r="D96" s="1886"/>
      <c r="E96" s="1886"/>
      <c r="F96" s="1886"/>
      <c r="G96" s="1928"/>
      <c r="H96" s="977"/>
      <c r="I96" s="977"/>
      <c r="J96" s="977"/>
      <c r="K96" s="977"/>
      <c r="L96" s="977"/>
      <c r="M96" s="977"/>
      <c r="N96" s="977"/>
      <c r="O96" s="977"/>
      <c r="P96" s="977"/>
      <c r="Q96" s="977"/>
      <c r="R96" s="977"/>
      <c r="S96" s="977"/>
      <c r="T96" s="977"/>
      <c r="U96" s="977"/>
    </row>
    <row r="97" spans="1:21" x14ac:dyDescent="0.35">
      <c r="A97" s="3764" t="s">
        <v>725</v>
      </c>
      <c r="B97" s="3765"/>
      <c r="C97" s="12"/>
      <c r="D97" s="12"/>
      <c r="E97" s="12"/>
      <c r="F97" s="12"/>
      <c r="G97" s="13"/>
      <c r="H97" s="21"/>
      <c r="I97" s="21"/>
      <c r="J97" s="21"/>
      <c r="K97" s="21"/>
      <c r="L97" s="21"/>
      <c r="M97" s="21"/>
      <c r="N97" s="21"/>
      <c r="O97" s="21"/>
      <c r="P97" s="21"/>
      <c r="Q97" s="21"/>
      <c r="R97" s="21"/>
      <c r="S97" s="21"/>
      <c r="T97" s="21"/>
      <c r="U97" s="21"/>
    </row>
    <row r="98" spans="1:21" x14ac:dyDescent="0.35">
      <c r="A98" s="1889"/>
      <c r="B98" s="1885" t="s">
        <v>726</v>
      </c>
      <c r="C98" s="1886"/>
      <c r="D98" s="1886"/>
      <c r="E98" s="1886"/>
      <c r="F98" s="1886"/>
      <c r="G98" s="1928"/>
      <c r="H98" s="977"/>
      <c r="I98" s="977"/>
      <c r="J98" s="977"/>
      <c r="K98" s="977"/>
      <c r="L98" s="977"/>
      <c r="M98" s="977"/>
      <c r="N98" s="977"/>
      <c r="O98" s="977"/>
      <c r="P98" s="977"/>
      <c r="Q98" s="977"/>
      <c r="R98" s="977"/>
      <c r="S98" s="977"/>
      <c r="T98" s="977"/>
      <c r="U98" s="977"/>
    </row>
    <row r="99" spans="1:21" x14ac:dyDescent="0.35">
      <c r="A99" s="1889"/>
      <c r="B99" s="1885" t="s">
        <v>727</v>
      </c>
      <c r="C99" s="1886"/>
      <c r="D99" s="1886"/>
      <c r="E99" s="1886"/>
      <c r="F99" s="1886"/>
      <c r="G99" s="1928"/>
      <c r="H99" s="977"/>
      <c r="I99" s="977"/>
      <c r="J99" s="977"/>
      <c r="K99" s="977"/>
      <c r="L99" s="977"/>
      <c r="M99" s="977"/>
      <c r="N99" s="977"/>
      <c r="O99" s="977"/>
      <c r="P99" s="977"/>
      <c r="Q99" s="977"/>
      <c r="R99" s="977"/>
      <c r="S99" s="977"/>
      <c r="T99" s="977"/>
      <c r="U99" s="977"/>
    </row>
    <row r="100" spans="1:21" x14ac:dyDescent="0.35">
      <c r="A100" s="1889"/>
      <c r="B100" s="1885" t="s">
        <v>728</v>
      </c>
      <c r="C100" s="1886"/>
      <c r="D100" s="1886"/>
      <c r="E100" s="1886"/>
      <c r="F100" s="1886"/>
      <c r="G100" s="1928"/>
      <c r="H100" s="977"/>
      <c r="I100" s="977"/>
      <c r="J100" s="977"/>
      <c r="K100" s="977"/>
      <c r="L100" s="977"/>
      <c r="M100" s="977"/>
      <c r="N100" s="977"/>
      <c r="O100" s="977"/>
      <c r="P100" s="977"/>
      <c r="Q100" s="977"/>
      <c r="R100" s="977"/>
      <c r="S100" s="977"/>
      <c r="T100" s="977"/>
      <c r="U100" s="977"/>
    </row>
    <row r="101" spans="1:21" x14ac:dyDescent="0.35">
      <c r="A101" s="1889"/>
      <c r="B101" s="1885" t="s">
        <v>729</v>
      </c>
      <c r="C101" s="1886"/>
      <c r="D101" s="1886"/>
      <c r="E101" s="1886"/>
      <c r="F101" s="1886"/>
      <c r="G101" s="1928"/>
      <c r="H101" s="977"/>
      <c r="I101" s="977"/>
      <c r="J101" s="977"/>
      <c r="K101" s="977"/>
      <c r="L101" s="977"/>
      <c r="M101" s="977"/>
      <c r="N101" s="977"/>
      <c r="O101" s="977"/>
      <c r="P101" s="977"/>
      <c r="Q101" s="977"/>
      <c r="R101" s="977"/>
      <c r="S101" s="977"/>
      <c r="T101" s="977"/>
      <c r="U101" s="977"/>
    </row>
    <row r="102" spans="1:21" x14ac:dyDescent="0.35">
      <c r="A102" s="978"/>
      <c r="B102" s="939"/>
      <c r="C102" s="940"/>
      <c r="D102" s="940"/>
      <c r="E102" s="940"/>
      <c r="F102" s="940"/>
      <c r="G102" s="1039"/>
      <c r="H102" s="981"/>
      <c r="I102" s="981"/>
      <c r="J102" s="981"/>
      <c r="K102" s="981"/>
      <c r="L102" s="981"/>
      <c r="M102" s="981"/>
      <c r="N102" s="981"/>
      <c r="O102" s="981"/>
      <c r="P102" s="981"/>
      <c r="Q102" s="981"/>
      <c r="R102" s="981"/>
      <c r="S102" s="981"/>
      <c r="T102" s="981"/>
      <c r="U102" s="981"/>
    </row>
    <row r="103" spans="1:21" x14ac:dyDescent="0.35">
      <c r="A103" s="7" t="s">
        <v>730</v>
      </c>
      <c r="B103" s="8"/>
      <c r="C103" s="12"/>
      <c r="D103" s="12"/>
      <c r="E103" s="12"/>
      <c r="F103" s="12"/>
      <c r="G103" s="13"/>
      <c r="H103" s="21"/>
      <c r="I103" s="21"/>
      <c r="J103" s="21"/>
      <c r="K103" s="21"/>
      <c r="L103" s="21"/>
      <c r="M103" s="21"/>
      <c r="N103" s="21"/>
      <c r="O103" s="21"/>
      <c r="P103" s="21"/>
      <c r="Q103" s="21"/>
      <c r="R103" s="21"/>
      <c r="S103" s="21"/>
      <c r="T103" s="21"/>
      <c r="U103" s="21"/>
    </row>
    <row r="104" spans="1:21" x14ac:dyDescent="0.35">
      <c r="A104" s="1942"/>
      <c r="B104" s="1388" t="s">
        <v>731</v>
      </c>
      <c r="C104" s="1383"/>
      <c r="D104" s="1383"/>
      <c r="E104" s="1383"/>
      <c r="F104" s="1383"/>
      <c r="G104" s="1384"/>
      <c r="H104" s="1926"/>
      <c r="I104" s="1926"/>
      <c r="J104" s="1926"/>
      <c r="K104" s="1926"/>
      <c r="L104" s="1926"/>
      <c r="M104" s="1926"/>
      <c r="N104" s="1926"/>
      <c r="O104" s="1926"/>
      <c r="P104" s="1926"/>
      <c r="Q104" s="1926"/>
      <c r="R104" s="1926"/>
      <c r="S104" s="1926"/>
      <c r="T104" s="1926"/>
      <c r="U104" s="1926"/>
    </row>
    <row r="105" spans="1:21" x14ac:dyDescent="0.35">
      <c r="A105" s="1889"/>
      <c r="B105" s="1885" t="s">
        <v>732</v>
      </c>
      <c r="C105" s="1886"/>
      <c r="D105" s="1886"/>
      <c r="E105" s="1886"/>
      <c r="F105" s="1886"/>
      <c r="G105" s="1928"/>
      <c r="H105" s="984"/>
      <c r="I105" s="984"/>
      <c r="J105" s="984"/>
      <c r="K105" s="984"/>
      <c r="L105" s="984"/>
      <c r="M105" s="984"/>
      <c r="N105" s="984"/>
      <c r="O105" s="984"/>
      <c r="P105" s="984"/>
      <c r="Q105" s="984"/>
      <c r="R105" s="984"/>
      <c r="S105" s="984"/>
      <c r="T105" s="984"/>
      <c r="U105" s="984"/>
    </row>
    <row r="106" spans="1:21" x14ac:dyDescent="0.35">
      <c r="A106" s="985"/>
      <c r="B106" s="986" t="s">
        <v>733</v>
      </c>
      <c r="C106" s="987"/>
      <c r="D106" s="987"/>
      <c r="E106" s="987"/>
      <c r="F106" s="987"/>
      <c r="G106" s="1040"/>
      <c r="H106" s="990"/>
      <c r="I106" s="990"/>
      <c r="J106" s="990"/>
      <c r="K106" s="990"/>
      <c r="L106" s="990"/>
      <c r="M106" s="990"/>
      <c r="N106" s="990"/>
      <c r="O106" s="990"/>
      <c r="P106" s="990"/>
      <c r="Q106" s="990"/>
      <c r="R106" s="990"/>
      <c r="S106" s="990"/>
      <c r="T106" s="990"/>
      <c r="U106" s="990"/>
    </row>
    <row r="108" spans="1:21" x14ac:dyDescent="0.35">
      <c r="A108" s="78" t="s">
        <v>734</v>
      </c>
      <c r="B108" s="80"/>
      <c r="C108" s="2" t="s">
        <v>20</v>
      </c>
      <c r="D108" s="2" t="s">
        <v>746</v>
      </c>
      <c r="E108" s="2" t="s">
        <v>429</v>
      </c>
    </row>
    <row r="109" spans="1:21" x14ac:dyDescent="0.35">
      <c r="A109" s="79" t="s">
        <v>632</v>
      </c>
      <c r="B109" s="991" t="str">
        <f>H4</f>
        <v>Bean Drywall</v>
      </c>
    </row>
    <row r="110" spans="1:21" x14ac:dyDescent="0.35">
      <c r="A110" s="1465" t="s">
        <v>636</v>
      </c>
      <c r="B110" s="991" t="str">
        <f>H5</f>
        <v>Brian P. Bean 101</v>
      </c>
    </row>
    <row r="111" spans="1:21" x14ac:dyDescent="0.35">
      <c r="A111" s="992" t="s">
        <v>639</v>
      </c>
      <c r="B111" s="993">
        <f>H6</f>
        <v>7724606110</v>
      </c>
    </row>
    <row r="112" spans="1:21" x14ac:dyDescent="0.35">
      <c r="A112" s="992" t="s">
        <v>642</v>
      </c>
      <c r="B112" s="994" t="str">
        <f>H7</f>
        <v>brian@beandrywall.net</v>
      </c>
    </row>
    <row r="113" spans="1:12" x14ac:dyDescent="0.35">
      <c r="A113" s="995" t="s">
        <v>735</v>
      </c>
      <c r="B113" s="996">
        <f>H8-I62-I63-I64-I65</f>
        <v>4941119</v>
      </c>
      <c r="C113" s="174">
        <f>I62</f>
        <v>150736</v>
      </c>
      <c r="D113" s="333">
        <f>I64</f>
        <v>8756</v>
      </c>
      <c r="E113" s="333">
        <f>I63+I65</f>
        <v>65340</v>
      </c>
    </row>
    <row r="115" spans="1:12" x14ac:dyDescent="0.35">
      <c r="A115" s="81"/>
      <c r="B115" s="1" t="s">
        <v>736</v>
      </c>
    </row>
    <row r="116" spans="1:12" x14ac:dyDescent="0.35">
      <c r="A116" s="82"/>
      <c r="B116" s="1" t="s">
        <v>737</v>
      </c>
    </row>
    <row r="120" spans="1:12" x14ac:dyDescent="0.35">
      <c r="G120" s="521">
        <v>615761</v>
      </c>
      <c r="L120" s="396"/>
    </row>
    <row r="121" spans="1:12" x14ac:dyDescent="0.35">
      <c r="G121" s="521">
        <v>5249</v>
      </c>
      <c r="L121" s="396"/>
    </row>
    <row r="122" spans="1:12" x14ac:dyDescent="0.35">
      <c r="G122" s="521">
        <v>34704</v>
      </c>
      <c r="L122" s="396"/>
    </row>
    <row r="123" spans="1:12" x14ac:dyDescent="0.35">
      <c r="G123" s="521">
        <v>28197</v>
      </c>
      <c r="L123" s="396"/>
    </row>
    <row r="124" spans="1:12" x14ac:dyDescent="0.35">
      <c r="G124" s="521">
        <v>152924</v>
      </c>
      <c r="L124" s="396"/>
    </row>
    <row r="125" spans="1:12" x14ac:dyDescent="0.35">
      <c r="G125" s="521">
        <v>6731</v>
      </c>
      <c r="L125" s="396"/>
    </row>
    <row r="126" spans="1:12" x14ac:dyDescent="0.35">
      <c r="G126" s="521">
        <v>48747</v>
      </c>
      <c r="L126" s="396"/>
    </row>
    <row r="127" spans="1:12" x14ac:dyDescent="0.35">
      <c r="G127" s="521">
        <v>36044</v>
      </c>
      <c r="L127" s="396"/>
    </row>
    <row r="128" spans="1:12" x14ac:dyDescent="0.35">
      <c r="G128" s="521">
        <v>82692</v>
      </c>
      <c r="L128" s="396"/>
    </row>
    <row r="129" spans="7:12" x14ac:dyDescent="0.35">
      <c r="G129" s="521">
        <v>37089</v>
      </c>
      <c r="L129" s="396"/>
    </row>
    <row r="130" spans="7:12" x14ac:dyDescent="0.35">
      <c r="G130" s="521">
        <v>6572</v>
      </c>
      <c r="L130" s="396"/>
    </row>
    <row r="131" spans="7:12" x14ac:dyDescent="0.35">
      <c r="G131" s="521">
        <v>28038</v>
      </c>
      <c r="L131" s="396"/>
    </row>
    <row r="132" spans="7:12" x14ac:dyDescent="0.35">
      <c r="G132" s="397">
        <f>SUM(G120:G131)</f>
        <v>1082748</v>
      </c>
    </row>
  </sheetData>
  <mergeCells count="54">
    <mergeCell ref="H7:I7"/>
    <mergeCell ref="H8:I8"/>
    <mergeCell ref="H2:I2"/>
    <mergeCell ref="H3:I3"/>
    <mergeCell ref="H4:I4"/>
    <mergeCell ref="H5:I5"/>
    <mergeCell ref="H6:I6"/>
    <mergeCell ref="A79:B79"/>
    <mergeCell ref="A83:B83"/>
    <mergeCell ref="A87:B87"/>
    <mergeCell ref="A91:B91"/>
    <mergeCell ref="A97:B97"/>
    <mergeCell ref="N4:O4"/>
    <mergeCell ref="N5:O5"/>
    <mergeCell ref="N6:O6"/>
    <mergeCell ref="N7:O7"/>
    <mergeCell ref="N8:O8"/>
    <mergeCell ref="T4:U4"/>
    <mergeCell ref="T5:U5"/>
    <mergeCell ref="T6:U6"/>
    <mergeCell ref="T7:U7"/>
    <mergeCell ref="T8:U8"/>
    <mergeCell ref="P4:Q4"/>
    <mergeCell ref="P5:Q5"/>
    <mergeCell ref="P6:Q6"/>
    <mergeCell ref="P7:Q7"/>
    <mergeCell ref="P8:Q8"/>
    <mergeCell ref="R4:S4"/>
    <mergeCell ref="R5:S5"/>
    <mergeCell ref="R6:S6"/>
    <mergeCell ref="R7:S7"/>
    <mergeCell ref="R8:S8"/>
    <mergeCell ref="L4:M4"/>
    <mergeCell ref="L5:M5"/>
    <mergeCell ref="L6:M6"/>
    <mergeCell ref="L7:M7"/>
    <mergeCell ref="L8:M8"/>
    <mergeCell ref="L2:M2"/>
    <mergeCell ref="R2:S2"/>
    <mergeCell ref="P2:Q2"/>
    <mergeCell ref="T2:U2"/>
    <mergeCell ref="N2:O2"/>
    <mergeCell ref="L3:M3"/>
    <mergeCell ref="R3:S3"/>
    <mergeCell ref="P3:Q3"/>
    <mergeCell ref="T3:U3"/>
    <mergeCell ref="N3:O3"/>
    <mergeCell ref="J5:K5"/>
    <mergeCell ref="J6:K6"/>
    <mergeCell ref="J7:K7"/>
    <mergeCell ref="J8:K8"/>
    <mergeCell ref="J2:K2"/>
    <mergeCell ref="J3:K3"/>
    <mergeCell ref="J4:K4"/>
  </mergeCells>
  <conditionalFormatting sqref="H19:H21 H31">
    <cfRule type="cellIs" dxfId="1701" priority="5" operator="equal">
      <formula>"X"</formula>
    </cfRule>
    <cfRule type="cellIs" dxfId="1700" priority="6" operator="equal">
      <formula>"I"</formula>
    </cfRule>
  </conditionalFormatting>
  <conditionalFormatting sqref="H33:H70">
    <cfRule type="cellIs" dxfId="1699" priority="3" operator="equal">
      <formula>"X"</formula>
    </cfRule>
    <cfRule type="cellIs" dxfId="1698" priority="4" operator="equal">
      <formula>"I"</formula>
    </cfRule>
  </conditionalFormatting>
  <conditionalFormatting sqref="J19:J31">
    <cfRule type="cellIs" dxfId="1697" priority="37" operator="equal">
      <formula>"X"</formula>
    </cfRule>
    <cfRule type="cellIs" dxfId="1696" priority="38" operator="equal">
      <formula>"I"</formula>
    </cfRule>
  </conditionalFormatting>
  <conditionalFormatting sqref="L19:L31 J33:J70 L33:L70 N33:N70 P33:P70 R33:R70 T33:T70">
    <cfRule type="cellIs" dxfId="1695" priority="7" operator="equal">
      <formula>"X"</formula>
    </cfRule>
    <cfRule type="cellIs" dxfId="1694" priority="8" operator="equal">
      <formula>"I"</formula>
    </cfRule>
  </conditionalFormatting>
  <conditionalFormatting sqref="N19:N31">
    <cfRule type="cellIs" dxfId="1693" priority="35" operator="equal">
      <formula>"X"</formula>
    </cfRule>
    <cfRule type="cellIs" dxfId="1692" priority="36" operator="equal">
      <formula>"I"</formula>
    </cfRule>
  </conditionalFormatting>
  <conditionalFormatting sqref="P19:P31">
    <cfRule type="cellIs" dxfId="1691" priority="9" operator="equal">
      <formula>"X"</formula>
    </cfRule>
    <cfRule type="cellIs" dxfId="1690" priority="10" operator="equal">
      <formula>"I"</formula>
    </cfRule>
  </conditionalFormatting>
  <conditionalFormatting sqref="R19:R31">
    <cfRule type="cellIs" dxfId="1689" priority="11" operator="equal">
      <formula>"X"</formula>
    </cfRule>
    <cfRule type="cellIs" dxfId="1688" priority="12" operator="equal">
      <formula>"I"</formula>
    </cfRule>
  </conditionalFormatting>
  <conditionalFormatting sqref="T19:T31">
    <cfRule type="cellIs" dxfId="1687" priority="33" operator="equal">
      <formula>"X"</formula>
    </cfRule>
    <cfRule type="cellIs" dxfId="1686" priority="34" operator="equal">
      <formula>"I"</formula>
    </cfRule>
  </conditionalFormatting>
  <conditionalFormatting sqref="H22:H30">
    <cfRule type="cellIs" dxfId="1685" priority="1" operator="equal">
      <formula>"X"</formula>
    </cfRule>
    <cfRule type="cellIs" dxfId="1684" priority="2" operator="equal">
      <formula>"I"</formula>
    </cfRule>
  </conditionalFormatting>
  <hyperlinks>
    <hyperlink ref="B3" location="'Cost Summary'!A1" display="BACK TO SUMMARY SHEET" xr:uid="{02B795C9-1A02-4211-9FAE-0C6BAB6B354F}"/>
    <hyperlink ref="R7" r:id="rId1" xr:uid="{128ED12C-5F9C-4F21-9EEA-E81DA39E0446}"/>
    <hyperlink ref="P7" r:id="rId2" xr:uid="{F312B5D4-5607-41B7-80D1-AEED2D0AA6E2}"/>
    <hyperlink ref="L7:M7" r:id="rId3" display="james@doradodrywall.com" xr:uid="{F2553912-55E4-4064-A2CE-8F28241B6BE1}"/>
    <hyperlink ref="T7:U7" r:id="rId4" display="eric@rtesllc.com" xr:uid="{BB817AD3-7033-4DB5-93C2-B03A2A96B38D}"/>
    <hyperlink ref="N7" r:id="rId5" xr:uid="{D8EC7186-F975-4681-A192-2F15E712A0CC}"/>
    <hyperlink ref="J7" r:id="rId6" xr:uid="{4006C227-431F-4DAA-B01B-CAE436F90017}"/>
    <hyperlink ref="H7:I7" r:id="rId7" display="brian@beandrywall.net" xr:uid="{4E7C9704-2253-40EB-9C3B-7329E41BE13E}"/>
  </hyperlinks>
  <pageMargins left="0.7" right="0.7" top="0.75" bottom="0.75" header="0.3" footer="0.3"/>
  <pageSetup scale="71" orientation="portrait" horizontalDpi="1200" verticalDpi="1200" r:id="rId8"/>
  <colBreaks count="1" manualBreakCount="1">
    <brk id="11" max="1048575" man="1"/>
  </colBreaks>
  <legacyDrawing r:id="rId9"/>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8ADF-0F7A-49EC-8D08-DC8622E8BE5B}">
  <sheetPr>
    <tabColor rgb="FF92D050"/>
  </sheetPr>
  <dimension ref="A1:S106"/>
  <sheetViews>
    <sheetView zoomScale="87" zoomScaleNormal="87" workbookViewId="0">
      <pane xSplit="2" ySplit="9" topLeftCell="Z20" activePane="bottomRight" state="frozen"/>
      <selection pane="topRight" activeCell="C1" sqref="C1"/>
      <selection pane="bottomLeft" activeCell="A11" sqref="A11"/>
      <selection pane="bottomRight" activeCell="E39" sqref="E39"/>
    </sheetView>
  </sheetViews>
  <sheetFormatPr defaultRowHeight="14.5" x14ac:dyDescent="0.35"/>
  <cols>
    <col min="1" max="1" width="11" customWidth="1"/>
    <col min="2" max="2" width="72.1796875" style="1" bestFit="1" customWidth="1"/>
    <col min="3" max="3" width="10.81640625" style="2" bestFit="1" customWidth="1"/>
    <col min="4" max="4" width="9.1796875" style="2" bestFit="1" customWidth="1"/>
    <col min="5" max="5" width="7.54296875" style="2" customWidth="1"/>
    <col min="6" max="6" width="7.7265625" style="2" customWidth="1"/>
    <col min="7" max="7" width="12.26953125" style="2" customWidth="1"/>
    <col min="8" max="8" width="8.54296875" style="2" customWidth="1"/>
    <col min="9" max="9" width="13.81640625" style="2" customWidth="1"/>
    <col min="10" max="10" width="7.453125" style="2" bestFit="1" customWidth="1"/>
    <col min="11" max="11" width="14.81640625" style="2" customWidth="1"/>
    <col min="12" max="12" width="7.453125" style="2" bestFit="1" customWidth="1"/>
    <col min="13" max="13" width="14.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s>
  <sheetData>
    <row r="1" spans="1:19" x14ac:dyDescent="0.35">
      <c r="E1" s="152"/>
      <c r="F1" s="125"/>
      <c r="G1" s="123" t="s">
        <v>621</v>
      </c>
      <c r="L1" s="3785"/>
      <c r="M1" s="3785"/>
    </row>
    <row r="2" spans="1:19" ht="15" thickBot="1" x14ac:dyDescent="0.4">
      <c r="E2" s="152"/>
      <c r="F2" s="122" t="s">
        <v>622</v>
      </c>
      <c r="G2" s="123" t="s">
        <v>451</v>
      </c>
      <c r="H2" s="3751"/>
      <c r="I2" s="3751"/>
      <c r="J2" s="3866"/>
      <c r="K2" s="3866"/>
      <c r="L2" s="3866"/>
      <c r="M2" s="3866"/>
      <c r="N2" s="3866"/>
      <c r="O2" s="3866"/>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66"/>
      <c r="K4" s="3767"/>
      <c r="L4" s="3752"/>
      <c r="M4" s="3753"/>
      <c r="N4" s="3752"/>
      <c r="O4" s="3753"/>
      <c r="P4" s="3752"/>
      <c r="Q4" s="3753"/>
      <c r="R4" s="3752"/>
      <c r="S4" s="3753"/>
    </row>
    <row r="5" spans="1:19" x14ac:dyDescent="0.35">
      <c r="A5" s="1421" t="s">
        <v>634</v>
      </c>
      <c r="B5" s="1422" t="s">
        <v>2382</v>
      </c>
      <c r="C5" s="1423"/>
      <c r="D5" s="1423"/>
      <c r="E5" s="1423"/>
      <c r="F5" s="1423"/>
      <c r="G5" s="1927" t="s">
        <v>636</v>
      </c>
      <c r="H5" s="3851"/>
      <c r="I5" s="3911"/>
      <c r="J5" s="3915"/>
      <c r="K5" s="3916"/>
      <c r="L5" s="3851"/>
      <c r="M5" s="3911"/>
      <c r="N5" s="3851"/>
      <c r="O5" s="3911"/>
      <c r="P5" s="3851"/>
      <c r="Q5" s="3911"/>
      <c r="R5" s="3851"/>
      <c r="S5" s="3911"/>
    </row>
    <row r="6" spans="1:19" x14ac:dyDescent="0.35">
      <c r="A6" s="1421" t="s">
        <v>638</v>
      </c>
      <c r="B6" s="1424" t="s">
        <v>2383</v>
      </c>
      <c r="C6" s="1423"/>
      <c r="D6" s="1423"/>
      <c r="E6" s="1423"/>
      <c r="F6" s="1423"/>
      <c r="G6" s="1927" t="s">
        <v>639</v>
      </c>
      <c r="H6" s="3852"/>
      <c r="I6" s="3912"/>
      <c r="J6" s="3917"/>
      <c r="K6" s="3918"/>
      <c r="L6" s="3852"/>
      <c r="M6" s="3912"/>
      <c r="N6" s="3852"/>
      <c r="O6" s="3912"/>
      <c r="P6" s="3852"/>
      <c r="Q6" s="3912"/>
      <c r="R6" s="3852"/>
      <c r="S6" s="3912"/>
    </row>
    <row r="7" spans="1:19" x14ac:dyDescent="0.35">
      <c r="A7" s="1421" t="s">
        <v>641</v>
      </c>
      <c r="B7" s="1425"/>
      <c r="C7" s="1423"/>
      <c r="D7" s="1423"/>
      <c r="E7" s="1423"/>
      <c r="F7" s="1423"/>
      <c r="G7" s="1927" t="s">
        <v>642</v>
      </c>
      <c r="H7" s="3860"/>
      <c r="I7" s="3913"/>
      <c r="J7" s="3919"/>
      <c r="K7" s="3920"/>
      <c r="L7" s="3860"/>
      <c r="M7" s="3913"/>
      <c r="N7" s="3860"/>
      <c r="O7" s="3913"/>
      <c r="P7" s="3860"/>
      <c r="Q7" s="3913"/>
      <c r="R7" s="3860"/>
      <c r="S7" s="3913"/>
    </row>
    <row r="8" spans="1:19" ht="15" thickBot="1" x14ac:dyDescent="0.4">
      <c r="A8" s="938" t="s">
        <v>644</v>
      </c>
      <c r="B8" s="939"/>
      <c r="C8" s="940"/>
      <c r="D8" s="940"/>
      <c r="E8" s="940"/>
      <c r="F8" s="940"/>
      <c r="G8" s="1024" t="s">
        <v>644</v>
      </c>
      <c r="H8" s="3760">
        <f>I67</f>
        <v>0</v>
      </c>
      <c r="I8" s="3761"/>
      <c r="J8" s="3760">
        <f>K67</f>
        <v>0</v>
      </c>
      <c r="K8" s="3761"/>
      <c r="L8" s="3760">
        <f>M67</f>
        <v>0</v>
      </c>
      <c r="M8" s="3761"/>
      <c r="N8" s="3760"/>
      <c r="O8" s="3761"/>
      <c r="P8" s="3760"/>
      <c r="Q8" s="3761"/>
      <c r="R8" s="3760"/>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426"/>
      <c r="B10" s="1390" t="s">
        <v>653</v>
      </c>
      <c r="C10" s="1423"/>
      <c r="D10" s="1423"/>
      <c r="E10" s="1423"/>
      <c r="F10" s="1423"/>
      <c r="G10" s="1928"/>
      <c r="H10" s="942"/>
      <c r="I10" s="942"/>
      <c r="J10" s="942"/>
      <c r="K10" s="942"/>
      <c r="L10" s="942"/>
      <c r="M10" s="942"/>
      <c r="N10" s="942"/>
      <c r="O10" s="942"/>
      <c r="P10" s="942"/>
      <c r="Q10" s="942"/>
      <c r="R10" s="942"/>
      <c r="S10" s="942"/>
    </row>
    <row r="11" spans="1:19" ht="15" hidden="1" thickTop="1" x14ac:dyDescent="0.35">
      <c r="A11" s="1426"/>
      <c r="B11" s="1422" t="e">
        <f>#REF!</f>
        <v>#REF!</v>
      </c>
      <c r="C11" s="1427" t="s">
        <v>654</v>
      </c>
      <c r="D11" s="1423"/>
      <c r="E11" s="1423"/>
      <c r="F11" s="1423"/>
      <c r="G11" s="1928"/>
      <c r="H11" s="942"/>
      <c r="I11" s="942"/>
      <c r="J11" s="942"/>
      <c r="K11" s="942"/>
      <c r="L11" s="942"/>
      <c r="M11" s="942"/>
      <c r="N11" s="942"/>
      <c r="O11" s="942"/>
      <c r="P11" s="942"/>
      <c r="Q11" s="942"/>
      <c r="R11" s="942"/>
      <c r="S11" s="942"/>
    </row>
    <row r="12" spans="1:19" ht="15" hidden="1" thickTop="1" x14ac:dyDescent="0.35">
      <c r="A12" s="1426"/>
      <c r="B12" s="1422" t="e">
        <f>#REF!</f>
        <v>#REF!</v>
      </c>
      <c r="C12" s="1427" t="s">
        <v>654</v>
      </c>
      <c r="D12" s="1423"/>
      <c r="E12" s="1423"/>
      <c r="F12" s="1423"/>
      <c r="G12" s="1928"/>
      <c r="H12" s="942"/>
      <c r="I12" s="942"/>
      <c r="J12" s="942"/>
      <c r="K12" s="942"/>
      <c r="L12" s="942"/>
      <c r="M12" s="942"/>
      <c r="N12" s="942"/>
      <c r="O12" s="942"/>
      <c r="P12" s="942"/>
      <c r="Q12" s="942"/>
      <c r="R12" s="942"/>
      <c r="S12" s="942"/>
    </row>
    <row r="13" spans="1:19" ht="15" hidden="1" thickTop="1" x14ac:dyDescent="0.35">
      <c r="A13" s="1426"/>
      <c r="B13" s="1422" t="e">
        <f>#REF!</f>
        <v>#REF!</v>
      </c>
      <c r="C13" s="1427" t="s">
        <v>654</v>
      </c>
      <c r="D13" s="1423"/>
      <c r="E13" s="1423"/>
      <c r="F13" s="1423"/>
      <c r="G13" s="1928"/>
      <c r="H13" s="942"/>
      <c r="I13" s="942"/>
      <c r="J13" s="942"/>
      <c r="K13" s="942"/>
      <c r="L13" s="942"/>
      <c r="M13" s="942"/>
      <c r="N13" s="942"/>
      <c r="O13" s="942"/>
      <c r="P13" s="942"/>
      <c r="Q13" s="942"/>
      <c r="R13" s="942"/>
      <c r="S13" s="942"/>
    </row>
    <row r="14" spans="1:19" ht="15" hidden="1" thickTop="1" x14ac:dyDescent="0.35">
      <c r="A14" s="1426"/>
      <c r="B14" s="1422" t="e">
        <f>#REF!</f>
        <v>#REF!</v>
      </c>
      <c r="C14" s="1427" t="s">
        <v>654</v>
      </c>
      <c r="D14" s="1423"/>
      <c r="E14" s="1423"/>
      <c r="F14" s="1423"/>
      <c r="G14" s="1928"/>
      <c r="H14" s="942"/>
      <c r="I14" s="942"/>
      <c r="J14" s="942"/>
      <c r="K14" s="942"/>
      <c r="L14" s="942"/>
      <c r="M14" s="942"/>
      <c r="N14" s="942"/>
      <c r="O14" s="942"/>
      <c r="P14" s="942"/>
      <c r="Q14" s="942"/>
      <c r="R14" s="942"/>
      <c r="S14" s="942"/>
    </row>
    <row r="15" spans="1:19" ht="15" hidden="1" thickTop="1" x14ac:dyDescent="0.35">
      <c r="A15" s="1426"/>
      <c r="B15" s="1422" t="e">
        <f>#REF!</f>
        <v>#REF!</v>
      </c>
      <c r="C15" s="1427" t="s">
        <v>654</v>
      </c>
      <c r="D15" s="1423"/>
      <c r="E15" s="1423"/>
      <c r="F15" s="1423"/>
      <c r="G15" s="1928"/>
      <c r="H15" s="942"/>
      <c r="I15" s="942"/>
      <c r="J15" s="942"/>
      <c r="K15" s="942"/>
      <c r="L15" s="942"/>
      <c r="M15" s="942"/>
      <c r="N15" s="942"/>
      <c r="O15" s="942"/>
      <c r="P15" s="942"/>
      <c r="Q15" s="942"/>
      <c r="R15" s="942"/>
      <c r="S15" s="942"/>
    </row>
    <row r="16" spans="1:19" ht="15" hidden="1" thickTop="1" x14ac:dyDescent="0.35">
      <c r="A16" s="1426"/>
      <c r="B16" s="1422" t="e">
        <f>#REF!</f>
        <v>#REF!</v>
      </c>
      <c r="C16" s="1427" t="s">
        <v>654</v>
      </c>
      <c r="D16" s="1423"/>
      <c r="E16" s="1423"/>
      <c r="F16" s="1423"/>
      <c r="G16" s="1928"/>
      <c r="H16" s="942"/>
      <c r="I16" s="942"/>
      <c r="J16" s="942"/>
      <c r="K16" s="942"/>
      <c r="L16" s="942"/>
      <c r="M16" s="942"/>
      <c r="N16" s="942"/>
      <c r="O16" s="942"/>
      <c r="P16" s="942"/>
      <c r="Q16" s="942"/>
      <c r="R16" s="942"/>
      <c r="S16" s="942"/>
    </row>
    <row r="17" spans="1:19" ht="15" hidden="1" thickTop="1" x14ac:dyDescent="0.35">
      <c r="A17" s="1426"/>
      <c r="B17" s="1422" t="e">
        <f>#REF!</f>
        <v>#REF!</v>
      </c>
      <c r="C17" s="1427" t="s">
        <v>654</v>
      </c>
      <c r="D17" s="1423"/>
      <c r="E17" s="1423"/>
      <c r="F17" s="1423"/>
      <c r="G17" s="1928"/>
      <c r="H17" s="942"/>
      <c r="I17" s="942"/>
      <c r="J17" s="942"/>
      <c r="K17" s="942"/>
      <c r="L17" s="942"/>
      <c r="M17" s="942"/>
      <c r="N17" s="942"/>
      <c r="O17" s="942"/>
      <c r="P17" s="942"/>
      <c r="Q17" s="942"/>
      <c r="R17" s="942"/>
      <c r="S17" s="942"/>
    </row>
    <row r="18" spans="1:19" ht="15" hidden="1" thickTop="1" x14ac:dyDescent="0.35">
      <c r="A18" s="1426"/>
      <c r="B18" s="1422" t="e">
        <f>#REF!</f>
        <v>#REF!</v>
      </c>
      <c r="C18" s="1427" t="s">
        <v>654</v>
      </c>
      <c r="D18" s="1423"/>
      <c r="E18" s="1423"/>
      <c r="F18" s="1423"/>
      <c r="G18" s="1928"/>
      <c r="H18" s="942"/>
      <c r="I18" s="942"/>
      <c r="J18" s="942"/>
      <c r="K18" s="942"/>
      <c r="L18" s="942"/>
      <c r="M18" s="942"/>
      <c r="N18" s="942"/>
      <c r="O18" s="942"/>
      <c r="P18" s="942"/>
      <c r="Q18" s="942"/>
      <c r="R18" s="942"/>
      <c r="S18" s="942"/>
    </row>
    <row r="19" spans="1:19" ht="15" hidden="1" thickTop="1" x14ac:dyDescent="0.35">
      <c r="A19" s="1426"/>
      <c r="B19" s="1422" t="e">
        <f>#REF!</f>
        <v>#REF!</v>
      </c>
      <c r="C19" s="1427" t="s">
        <v>654</v>
      </c>
      <c r="D19" s="1423"/>
      <c r="E19" s="1423"/>
      <c r="F19" s="1423"/>
      <c r="G19" s="1928"/>
      <c r="H19" s="942"/>
      <c r="I19" s="942"/>
      <c r="J19" s="942"/>
      <c r="K19" s="942"/>
      <c r="L19" s="942"/>
      <c r="M19" s="942"/>
      <c r="N19" s="942"/>
      <c r="O19" s="942"/>
      <c r="P19" s="942"/>
      <c r="Q19" s="942"/>
      <c r="R19" s="942"/>
      <c r="S19" s="942"/>
    </row>
    <row r="20" spans="1:19" ht="15" thickTop="1" x14ac:dyDescent="0.35">
      <c r="A20" s="1426"/>
      <c r="B20" s="1422"/>
      <c r="C20" s="1427"/>
      <c r="D20" s="1423"/>
      <c r="E20" s="1423"/>
      <c r="F20" s="1423"/>
      <c r="G20" s="1928"/>
      <c r="H20" s="943"/>
      <c r="I20" s="942"/>
      <c r="J20" s="943"/>
      <c r="K20" s="942"/>
      <c r="L20" s="943"/>
      <c r="M20" s="942"/>
      <c r="N20" s="943"/>
      <c r="O20" s="942"/>
      <c r="P20" s="943"/>
      <c r="Q20" s="942"/>
      <c r="R20" s="943"/>
      <c r="S20" s="942"/>
    </row>
    <row r="21" spans="1:19" ht="15" thickBot="1" x14ac:dyDescent="0.4">
      <c r="A21" s="48"/>
      <c r="B21" s="1428" t="s">
        <v>2382</v>
      </c>
      <c r="C21" s="45"/>
      <c r="D21" s="46"/>
      <c r="E21" s="46"/>
      <c r="F21" s="46"/>
      <c r="G21" s="52"/>
      <c r="H21" s="943"/>
      <c r="I21" s="942"/>
      <c r="J21" s="943"/>
      <c r="K21" s="942"/>
      <c r="L21" s="943"/>
      <c r="M21" s="942"/>
      <c r="N21" s="943"/>
      <c r="O21" s="942"/>
      <c r="P21" s="943"/>
      <c r="Q21" s="942"/>
      <c r="R21" s="943"/>
      <c r="S21" s="942"/>
    </row>
    <row r="22" spans="1:19" ht="15" thickBot="1" x14ac:dyDescent="0.4">
      <c r="A22" s="1811"/>
      <c r="B22" s="604" t="s">
        <v>657</v>
      </c>
      <c r="C22" s="1427"/>
      <c r="D22" s="1423"/>
      <c r="E22" s="1423"/>
      <c r="F22" s="1423"/>
      <c r="G22" s="1928"/>
      <c r="H22" s="943"/>
      <c r="I22" s="984"/>
      <c r="J22" s="943"/>
      <c r="K22" s="1944"/>
      <c r="L22" s="943"/>
      <c r="M22" s="1944"/>
      <c r="N22" s="943"/>
      <c r="O22" s="1944"/>
      <c r="P22" s="943"/>
      <c r="Q22" s="1944"/>
      <c r="R22" s="943"/>
      <c r="S22" s="1944"/>
    </row>
    <row r="23" spans="1:19" x14ac:dyDescent="0.35">
      <c r="A23" s="1811"/>
      <c r="B23" s="603" t="s">
        <v>658</v>
      </c>
      <c r="C23" s="1797"/>
      <c r="D23" s="1945"/>
      <c r="E23" s="1423"/>
      <c r="F23" s="1423"/>
      <c r="G23" s="1928"/>
      <c r="H23" s="943"/>
      <c r="I23" s="1393"/>
      <c r="J23" s="943"/>
      <c r="K23" s="1393"/>
      <c r="L23" s="943"/>
      <c r="M23" s="1393"/>
      <c r="N23" s="943"/>
      <c r="O23" s="1392"/>
      <c r="P23" s="943"/>
      <c r="Q23" s="1392"/>
      <c r="R23" s="943"/>
      <c r="S23" s="1392"/>
    </row>
    <row r="24" spans="1:19" x14ac:dyDescent="0.35">
      <c r="A24" s="1811"/>
      <c r="B24" s="1930" t="s">
        <v>659</v>
      </c>
      <c r="C24" s="1797"/>
      <c r="D24" s="1945"/>
      <c r="E24" s="1423"/>
      <c r="F24" s="1423"/>
      <c r="G24" s="1928"/>
      <c r="H24" s="943"/>
      <c r="I24" s="1392"/>
      <c r="J24" s="943"/>
      <c r="K24" s="1393"/>
      <c r="L24" s="943"/>
      <c r="M24" s="1393"/>
      <c r="N24" s="943"/>
      <c r="O24" s="1392"/>
      <c r="P24" s="943"/>
      <c r="Q24" s="1392"/>
      <c r="R24" s="943"/>
      <c r="S24" s="1392"/>
    </row>
    <row r="25" spans="1:19" x14ac:dyDescent="0.35">
      <c r="A25" s="1811"/>
      <c r="B25" s="1429" t="s">
        <v>660</v>
      </c>
      <c r="C25" s="1928"/>
      <c r="D25" s="1423"/>
      <c r="E25" s="1423"/>
      <c r="F25" s="1423"/>
      <c r="G25" s="1928"/>
      <c r="H25" s="943"/>
      <c r="I25" s="1392"/>
      <c r="J25" s="943"/>
      <c r="K25" s="1392"/>
      <c r="L25" s="943"/>
      <c r="M25" s="1393"/>
      <c r="N25" s="943"/>
      <c r="O25" s="1392"/>
      <c r="P25" s="943"/>
      <c r="Q25" s="1392"/>
      <c r="R25" s="943"/>
      <c r="S25" s="1392"/>
    </row>
    <row r="26" spans="1:19" x14ac:dyDescent="0.35">
      <c r="A26" s="1811"/>
      <c r="B26" s="1429" t="s">
        <v>661</v>
      </c>
      <c r="C26" s="1928"/>
      <c r="D26" s="1423"/>
      <c r="E26" s="1423"/>
      <c r="F26" s="1423"/>
      <c r="G26" s="1928"/>
      <c r="H26" s="943"/>
      <c r="I26" s="1393"/>
      <c r="J26" s="943"/>
      <c r="K26" s="1393"/>
      <c r="L26" s="943"/>
      <c r="M26" s="1393"/>
      <c r="N26" s="943"/>
      <c r="O26" s="1393"/>
      <c r="P26" s="943"/>
      <c r="Q26" s="1393"/>
      <c r="R26" s="943"/>
      <c r="S26" s="1393"/>
    </row>
    <row r="27" spans="1:19" hidden="1" x14ac:dyDescent="0.35">
      <c r="A27" s="1811"/>
      <c r="B27" s="1429" t="s">
        <v>662</v>
      </c>
      <c r="C27" s="1928"/>
      <c r="D27" s="1423"/>
      <c r="E27" s="1423"/>
      <c r="F27" s="1423"/>
      <c r="G27" s="1928"/>
      <c r="H27" s="943"/>
      <c r="I27" s="1393"/>
      <c r="J27" s="943"/>
      <c r="K27" s="1393"/>
      <c r="L27" s="943"/>
      <c r="M27" s="1393"/>
      <c r="N27" s="943"/>
      <c r="O27" s="1393"/>
      <c r="P27" s="943"/>
      <c r="Q27" s="1393"/>
      <c r="R27" s="943"/>
      <c r="S27" s="1393"/>
    </row>
    <row r="28" spans="1:19" x14ac:dyDescent="0.35">
      <c r="A28" s="1811"/>
      <c r="B28" s="1429" t="s">
        <v>663</v>
      </c>
      <c r="C28" s="1928"/>
      <c r="D28" s="1423"/>
      <c r="E28" s="1423"/>
      <c r="F28" s="1423"/>
      <c r="G28" s="1928"/>
      <c r="H28" s="943"/>
      <c r="I28" s="1393"/>
      <c r="J28" s="943"/>
      <c r="K28" s="1393"/>
      <c r="L28" s="943"/>
      <c r="M28" s="1393"/>
      <c r="N28" s="943"/>
      <c r="O28" s="1393"/>
      <c r="P28" s="943"/>
      <c r="Q28" s="1393"/>
      <c r="R28" s="943"/>
      <c r="S28" s="1393"/>
    </row>
    <row r="29" spans="1:19" x14ac:dyDescent="0.35">
      <c r="A29" s="1811"/>
      <c r="B29" s="1429" t="s">
        <v>742</v>
      </c>
      <c r="C29" s="1928"/>
      <c r="D29" s="1423"/>
      <c r="E29" s="1423"/>
      <c r="F29" s="1423"/>
      <c r="G29" s="1928"/>
      <c r="H29" s="943"/>
      <c r="I29" s="1393"/>
      <c r="J29" s="943"/>
      <c r="K29" s="1393"/>
      <c r="L29" s="943"/>
      <c r="M29" s="1393"/>
      <c r="N29" s="943"/>
      <c r="O29" s="1393"/>
      <c r="P29" s="943"/>
      <c r="Q29" s="1393"/>
      <c r="R29" s="943"/>
      <c r="S29" s="1393"/>
    </row>
    <row r="30" spans="1:19" x14ac:dyDescent="0.35">
      <c r="A30" s="1811"/>
      <c r="B30" s="1527" t="s">
        <v>664</v>
      </c>
      <c r="C30" s="1928"/>
      <c r="D30" s="1423"/>
      <c r="E30" s="1423"/>
      <c r="F30" s="1423"/>
      <c r="G30" s="1928"/>
      <c r="H30" s="943"/>
      <c r="I30" s="1393"/>
      <c r="J30" s="943"/>
      <c r="K30" s="1393"/>
      <c r="L30" s="943"/>
      <c r="M30" s="1393"/>
      <c r="N30" s="943"/>
      <c r="O30" s="1393"/>
      <c r="P30" s="943"/>
      <c r="Q30" s="1393"/>
      <c r="R30" s="943"/>
      <c r="S30" s="1393"/>
    </row>
    <row r="31" spans="1:19" x14ac:dyDescent="0.35">
      <c r="A31" s="1811"/>
      <c r="B31" s="1910" t="s">
        <v>665</v>
      </c>
      <c r="C31" s="1911"/>
      <c r="D31" s="1431"/>
      <c r="E31" s="1431"/>
      <c r="F31" s="1431"/>
      <c r="G31" s="1946"/>
      <c r="H31" s="636"/>
      <c r="I31" s="1398"/>
      <c r="J31" s="636"/>
      <c r="K31" s="1398"/>
      <c r="L31" s="636"/>
      <c r="M31" s="1398"/>
      <c r="N31" s="636"/>
      <c r="O31" s="1398"/>
      <c r="P31" s="636"/>
      <c r="Q31" s="1398"/>
      <c r="R31" s="636"/>
      <c r="S31" s="1398"/>
    </row>
    <row r="32" spans="1:19" x14ac:dyDescent="0.35">
      <c r="A32" s="1811"/>
      <c r="B32" s="1772" t="s">
        <v>874</v>
      </c>
      <c r="C32" s="1928"/>
      <c r="D32" s="1423"/>
      <c r="E32" s="1423"/>
      <c r="F32" s="1423"/>
      <c r="G32" s="1928"/>
      <c r="H32" s="943"/>
      <c r="I32" s="1393"/>
      <c r="J32" s="943"/>
      <c r="K32" s="1393"/>
      <c r="L32" s="943"/>
      <c r="M32" s="1393"/>
      <c r="N32" s="943"/>
      <c r="O32" s="1393"/>
      <c r="P32" s="943"/>
      <c r="Q32" s="1393"/>
      <c r="R32" s="943"/>
      <c r="S32" s="1393"/>
    </row>
    <row r="33" spans="1:19" x14ac:dyDescent="0.35">
      <c r="A33" s="1811"/>
      <c r="B33" s="633" t="s">
        <v>191</v>
      </c>
      <c r="C33" s="1928"/>
      <c r="D33" s="1423"/>
      <c r="E33" s="1423"/>
      <c r="F33" s="1423"/>
      <c r="G33" s="1928"/>
      <c r="H33" s="943"/>
      <c r="I33" s="1393"/>
      <c r="J33" s="943"/>
      <c r="K33" s="1393"/>
      <c r="L33" s="943"/>
      <c r="M33" s="1393"/>
      <c r="N33" s="943"/>
      <c r="O33" s="1393"/>
      <c r="P33" s="943"/>
      <c r="Q33" s="1393"/>
      <c r="R33" s="943"/>
      <c r="S33" s="1393"/>
    </row>
    <row r="34" spans="1:19" x14ac:dyDescent="0.35">
      <c r="A34" s="1811"/>
      <c r="B34" s="1947"/>
      <c r="D34" s="1948"/>
      <c r="E34" s="1423"/>
      <c r="F34" s="1949"/>
      <c r="G34" s="1950"/>
      <c r="H34" s="943"/>
      <c r="I34" s="1393"/>
      <c r="J34" s="943"/>
      <c r="K34" s="1393"/>
      <c r="L34" s="943"/>
      <c r="M34" s="1393"/>
      <c r="N34" s="943"/>
      <c r="O34" s="1393"/>
      <c r="P34" s="943"/>
      <c r="Q34" s="1393"/>
      <c r="R34" s="943"/>
      <c r="S34" s="1393"/>
    </row>
    <row r="35" spans="1:19" x14ac:dyDescent="0.35">
      <c r="A35" s="1811"/>
      <c r="B35" s="1947"/>
      <c r="C35" s="1928"/>
      <c r="D35" s="1948"/>
      <c r="E35" s="1423"/>
      <c r="F35" s="1949"/>
      <c r="G35" s="1950"/>
      <c r="H35" s="943"/>
      <c r="I35" s="1393"/>
      <c r="J35" s="943"/>
      <c r="K35" s="1393"/>
      <c r="L35" s="943"/>
      <c r="M35" s="1393"/>
      <c r="N35" s="943"/>
      <c r="O35" s="1393"/>
      <c r="P35" s="943"/>
      <c r="Q35" s="1393"/>
      <c r="R35" s="943"/>
      <c r="S35" s="1393"/>
    </row>
    <row r="36" spans="1:19" x14ac:dyDescent="0.35">
      <c r="A36" s="1811"/>
      <c r="B36" s="1951"/>
      <c r="C36" s="1928"/>
      <c r="D36" s="1948"/>
      <c r="E36" s="1423"/>
      <c r="F36" s="1949"/>
      <c r="G36" s="1950"/>
      <c r="H36" s="943"/>
      <c r="I36" s="1393"/>
      <c r="J36" s="943"/>
      <c r="K36" s="1393"/>
      <c r="L36" s="943"/>
      <c r="M36" s="1393"/>
      <c r="N36" s="943"/>
      <c r="O36" s="1393"/>
      <c r="P36" s="943"/>
      <c r="Q36" s="1393"/>
      <c r="R36" s="943"/>
      <c r="S36" s="1393"/>
    </row>
    <row r="37" spans="1:19" x14ac:dyDescent="0.35">
      <c r="A37" s="1811"/>
      <c r="B37" s="1951"/>
      <c r="C37" s="1928"/>
      <c r="D37" s="1423"/>
      <c r="E37" s="1423"/>
      <c r="F37" s="1423"/>
      <c r="G37" s="1928"/>
      <c r="H37" s="943"/>
      <c r="I37" s="1393"/>
      <c r="J37" s="943"/>
      <c r="K37" s="1393"/>
      <c r="L37" s="943"/>
      <c r="M37" s="1393"/>
      <c r="N37" s="943"/>
      <c r="O37" s="1393"/>
      <c r="P37" s="943"/>
      <c r="Q37" s="1393"/>
      <c r="R37" s="943"/>
      <c r="S37" s="1393"/>
    </row>
    <row r="38" spans="1:19" x14ac:dyDescent="0.35">
      <c r="A38" s="1811"/>
      <c r="B38" s="1951"/>
      <c r="C38" s="1928"/>
      <c r="D38" s="1423"/>
      <c r="E38" s="1423"/>
      <c r="F38" s="1423"/>
      <c r="G38" s="1928"/>
      <c r="H38" s="943"/>
      <c r="I38" s="1393"/>
      <c r="J38" s="943"/>
      <c r="K38" s="1393"/>
      <c r="L38" s="943"/>
      <c r="M38" s="1393"/>
      <c r="N38" s="943"/>
      <c r="O38" s="1393"/>
      <c r="P38" s="943"/>
      <c r="Q38" s="1393"/>
      <c r="R38" s="943"/>
      <c r="S38" s="1393"/>
    </row>
    <row r="39" spans="1:19" x14ac:dyDescent="0.35">
      <c r="A39" s="1811"/>
      <c r="B39" s="1951"/>
      <c r="C39" s="1928"/>
      <c r="D39" s="1423"/>
      <c r="E39" s="1423"/>
      <c r="F39" s="1423"/>
      <c r="G39" s="1928"/>
      <c r="H39" s="943"/>
      <c r="I39" s="1393"/>
      <c r="J39" s="943"/>
      <c r="K39" s="1393"/>
      <c r="L39" s="943"/>
      <c r="M39" s="1393"/>
      <c r="N39" s="943"/>
      <c r="O39" s="1393"/>
      <c r="P39" s="943"/>
      <c r="Q39" s="1393"/>
      <c r="R39" s="943"/>
      <c r="S39" s="1393"/>
    </row>
    <row r="40" spans="1:19" x14ac:dyDescent="0.35">
      <c r="A40" s="1811"/>
      <c r="B40" s="1952"/>
      <c r="C40" s="1928"/>
      <c r="D40" s="1423"/>
      <c r="E40" s="1423"/>
      <c r="F40" s="1423"/>
      <c r="G40" s="1928"/>
      <c r="H40" s="943" t="s">
        <v>669</v>
      </c>
      <c r="I40" s="1393"/>
      <c r="J40" s="943"/>
      <c r="K40" s="1393"/>
      <c r="L40" s="943"/>
      <c r="M40" s="1393"/>
      <c r="N40" s="943"/>
      <c r="O40" s="1393"/>
      <c r="P40" s="943"/>
      <c r="Q40" s="1393"/>
      <c r="R40" s="943"/>
      <c r="S40" s="1393"/>
    </row>
    <row r="41" spans="1:19" x14ac:dyDescent="0.35">
      <c r="A41" s="1811"/>
      <c r="B41" s="1952"/>
      <c r="C41" s="1928"/>
      <c r="D41" s="1423"/>
      <c r="E41" s="1423"/>
      <c r="F41" s="1423"/>
      <c r="G41" s="1928"/>
      <c r="H41" s="943"/>
      <c r="I41" s="1393"/>
      <c r="J41" s="943"/>
      <c r="K41" s="1393"/>
      <c r="L41" s="943"/>
      <c r="M41" s="1393"/>
      <c r="N41" s="943"/>
      <c r="O41" s="1393"/>
      <c r="P41" s="943"/>
      <c r="Q41" s="1393"/>
      <c r="R41" s="943"/>
      <c r="S41" s="1393"/>
    </row>
    <row r="42" spans="1:19" x14ac:dyDescent="0.35">
      <c r="A42" s="1811"/>
      <c r="B42" s="1952"/>
      <c r="C42" s="1928"/>
      <c r="D42" s="1423"/>
      <c r="E42" s="1423"/>
      <c r="F42" s="1423"/>
      <c r="G42" s="1928"/>
      <c r="H42" s="943"/>
      <c r="I42" s="1393"/>
      <c r="J42" s="943"/>
      <c r="K42" s="1393"/>
      <c r="L42" s="943"/>
      <c r="M42" s="1393"/>
      <c r="N42" s="943"/>
      <c r="O42" s="1393"/>
      <c r="P42" s="943"/>
      <c r="Q42" s="1393"/>
      <c r="R42" s="943"/>
      <c r="S42" s="1393"/>
    </row>
    <row r="43" spans="1:19" x14ac:dyDescent="0.35">
      <c r="A43" s="1811"/>
      <c r="B43" s="1952"/>
      <c r="C43" s="1928"/>
      <c r="D43" s="1423"/>
      <c r="E43" s="1423"/>
      <c r="F43" s="1423"/>
      <c r="G43" s="1928"/>
      <c r="H43" s="943"/>
      <c r="I43" s="1393"/>
      <c r="J43" s="943"/>
      <c r="K43" s="1393"/>
      <c r="L43" s="943"/>
      <c r="M43" s="1393"/>
      <c r="N43" s="943"/>
      <c r="O43" s="1393"/>
      <c r="P43" s="943"/>
      <c r="Q43" s="1393"/>
      <c r="R43" s="943"/>
      <c r="S43" s="1393"/>
    </row>
    <row r="44" spans="1:19" x14ac:dyDescent="0.35">
      <c r="A44" s="1811"/>
      <c r="B44" s="633"/>
      <c r="C44" s="1928"/>
      <c r="D44" s="1423"/>
      <c r="E44" s="1423"/>
      <c r="F44" s="1423"/>
      <c r="G44" s="1928"/>
      <c r="H44" s="943"/>
      <c r="I44" s="1393"/>
      <c r="J44" s="943"/>
      <c r="K44" s="1393"/>
      <c r="L44" s="943"/>
      <c r="M44" s="1393"/>
      <c r="N44" s="943"/>
      <c r="O44" s="1393"/>
      <c r="P44" s="943"/>
      <c r="Q44" s="1393"/>
      <c r="R44" s="943"/>
      <c r="S44" s="1393"/>
    </row>
    <row r="45" spans="1:19" x14ac:dyDescent="0.35">
      <c r="A45" s="1811"/>
      <c r="B45" s="1953"/>
      <c r="C45" s="1928"/>
      <c r="D45" s="1423"/>
      <c r="E45" s="1423"/>
      <c r="F45" s="1423"/>
      <c r="G45" s="1928"/>
      <c r="H45" s="943"/>
      <c r="I45" s="1393"/>
      <c r="J45" s="943"/>
      <c r="K45" s="1393"/>
      <c r="L45" s="943"/>
      <c r="M45" s="1393"/>
      <c r="N45" s="943"/>
      <c r="O45" s="1393"/>
      <c r="P45" s="943"/>
      <c r="Q45" s="1393"/>
      <c r="R45" s="943"/>
      <c r="S45" s="1393"/>
    </row>
    <row r="46" spans="1:19" x14ac:dyDescent="0.35">
      <c r="A46" s="1811"/>
      <c r="B46" s="634"/>
      <c r="C46" s="1928"/>
      <c r="D46" s="1423"/>
      <c r="E46" s="1423"/>
      <c r="F46" s="1423"/>
      <c r="G46" s="1928"/>
      <c r="H46" s="943"/>
      <c r="I46" s="1393"/>
      <c r="J46" s="943"/>
      <c r="K46" s="1393"/>
      <c r="L46" s="943"/>
      <c r="M46" s="1393"/>
      <c r="N46" s="943"/>
      <c r="O46" s="1393"/>
      <c r="P46" s="943"/>
      <c r="Q46" s="1393"/>
      <c r="R46" s="943"/>
      <c r="S46" s="1393"/>
    </row>
    <row r="47" spans="1:19" x14ac:dyDescent="0.35">
      <c r="A47" s="1811"/>
      <c r="B47" s="1771"/>
      <c r="C47" s="1928"/>
      <c r="D47" s="1423"/>
      <c r="E47" s="1423"/>
      <c r="F47" s="1423"/>
      <c r="G47" s="1928"/>
      <c r="H47" s="943"/>
      <c r="I47" s="1393"/>
      <c r="J47" s="943"/>
      <c r="K47" s="1393"/>
      <c r="L47" s="943"/>
      <c r="M47" s="1393"/>
      <c r="N47" s="943"/>
      <c r="O47" s="1393"/>
      <c r="P47" s="943"/>
      <c r="Q47" s="1393"/>
      <c r="R47" s="943"/>
      <c r="S47" s="1393"/>
    </row>
    <row r="48" spans="1:19" x14ac:dyDescent="0.35">
      <c r="A48" s="1811"/>
      <c r="B48" s="634"/>
      <c r="C48" s="1928"/>
      <c r="D48" s="1423"/>
      <c r="E48" s="1423"/>
      <c r="F48" s="1423"/>
      <c r="G48" s="1928"/>
      <c r="H48" s="943"/>
      <c r="I48" s="1393"/>
      <c r="J48" s="943"/>
      <c r="K48" s="1393"/>
      <c r="L48" s="943"/>
      <c r="M48" s="1393"/>
      <c r="N48" s="943"/>
      <c r="O48" s="1393"/>
      <c r="P48" s="943"/>
      <c r="Q48" s="1393"/>
      <c r="R48" s="943"/>
      <c r="S48" s="1393"/>
    </row>
    <row r="49" spans="1:19" x14ac:dyDescent="0.35">
      <c r="A49" s="1811"/>
      <c r="B49" s="634"/>
      <c r="C49" s="1928"/>
      <c r="D49" s="1423"/>
      <c r="E49" s="1423"/>
      <c r="F49" s="1423"/>
      <c r="G49" s="1928"/>
      <c r="H49" s="943"/>
      <c r="I49" s="1393"/>
      <c r="J49" s="943"/>
      <c r="K49" s="1393"/>
      <c r="L49" s="943"/>
      <c r="M49" s="1393"/>
      <c r="N49" s="943"/>
      <c r="O49" s="1393"/>
      <c r="P49" s="943"/>
      <c r="Q49" s="1393"/>
      <c r="R49" s="943"/>
      <c r="S49" s="1393"/>
    </row>
    <row r="50" spans="1:19" x14ac:dyDescent="0.35">
      <c r="A50" s="1811"/>
      <c r="B50" s="1771"/>
      <c r="C50" s="1928"/>
      <c r="D50" s="1423"/>
      <c r="E50" s="1423"/>
      <c r="F50" s="1423"/>
      <c r="G50" s="1928"/>
      <c r="H50" s="943"/>
      <c r="I50" s="1393"/>
      <c r="J50" s="943"/>
      <c r="K50" s="1393"/>
      <c r="L50" s="943"/>
      <c r="M50" s="1393"/>
      <c r="N50" s="943"/>
      <c r="O50" s="1393"/>
      <c r="P50" s="943"/>
      <c r="Q50" s="1393"/>
      <c r="R50" s="943"/>
      <c r="S50" s="1393"/>
    </row>
    <row r="51" spans="1:19" x14ac:dyDescent="0.35">
      <c r="A51" s="1811"/>
      <c r="B51" s="634"/>
      <c r="C51" s="1928"/>
      <c r="D51" s="1423"/>
      <c r="E51" s="1423"/>
      <c r="F51" s="1423"/>
      <c r="G51" s="1928"/>
      <c r="H51" s="943"/>
      <c r="I51" s="1393"/>
      <c r="J51" s="943"/>
      <c r="K51" s="1393"/>
      <c r="L51" s="943"/>
      <c r="M51" s="1393"/>
      <c r="N51" s="943"/>
      <c r="O51" s="1393"/>
      <c r="P51" s="943"/>
      <c r="Q51" s="1393"/>
      <c r="R51" s="943"/>
      <c r="S51" s="1393"/>
    </row>
    <row r="52" spans="1:19" x14ac:dyDescent="0.35">
      <c r="A52" s="1811"/>
      <c r="B52" s="633"/>
      <c r="C52" s="1928"/>
      <c r="D52" s="1423"/>
      <c r="E52" s="1423"/>
      <c r="F52" s="1423"/>
      <c r="G52" s="1928"/>
      <c r="H52" s="943"/>
      <c r="I52" s="1393"/>
      <c r="J52" s="943"/>
      <c r="K52" s="1393"/>
      <c r="L52" s="943"/>
      <c r="M52" s="1393"/>
      <c r="N52" s="943"/>
      <c r="O52" s="1393"/>
      <c r="P52" s="943"/>
      <c r="Q52" s="1393"/>
      <c r="R52" s="943"/>
      <c r="S52" s="1393"/>
    </row>
    <row r="53" spans="1:19" x14ac:dyDescent="0.35">
      <c r="A53" s="1811"/>
      <c r="B53" s="1772" t="s">
        <v>191</v>
      </c>
      <c r="C53" s="1928"/>
      <c r="D53" s="1423"/>
      <c r="E53" s="1423"/>
      <c r="F53" s="1423"/>
      <c r="G53" s="1928"/>
      <c r="H53" s="943"/>
      <c r="I53" s="1393"/>
      <c r="J53" s="943"/>
      <c r="K53" s="1393"/>
      <c r="L53" s="943"/>
      <c r="M53" s="1393"/>
      <c r="N53" s="943"/>
      <c r="O53" s="1393"/>
      <c r="P53" s="943"/>
      <c r="Q53" s="1393"/>
      <c r="R53" s="943"/>
      <c r="S53" s="1393"/>
    </row>
    <row r="54" spans="1:19" x14ac:dyDescent="0.35">
      <c r="A54" s="1811"/>
      <c r="B54" s="633" t="s">
        <v>191</v>
      </c>
      <c r="C54" s="1928"/>
      <c r="D54" s="1423"/>
      <c r="E54" s="1423"/>
      <c r="F54" s="1423"/>
      <c r="G54" s="1928"/>
      <c r="H54" s="943"/>
      <c r="I54" s="1393"/>
      <c r="J54" s="943"/>
      <c r="K54" s="1393"/>
      <c r="L54" s="943"/>
      <c r="M54" s="1393"/>
      <c r="N54" s="943"/>
      <c r="O54" s="1393"/>
      <c r="P54" s="943"/>
      <c r="Q54" s="1393"/>
      <c r="R54" s="943"/>
      <c r="S54" s="1393"/>
    </row>
    <row r="55" spans="1:19" x14ac:dyDescent="0.35">
      <c r="A55" s="1811"/>
      <c r="B55" s="1772" t="s">
        <v>191</v>
      </c>
      <c r="C55" s="1928"/>
      <c r="D55" s="1423"/>
      <c r="E55" s="1423"/>
      <c r="F55" s="1423"/>
      <c r="G55" s="1928"/>
      <c r="H55" s="943"/>
      <c r="I55" s="1393"/>
      <c r="J55" s="943"/>
      <c r="K55" s="1393"/>
      <c r="L55" s="943"/>
      <c r="M55" s="1393"/>
      <c r="N55" s="943"/>
      <c r="O55" s="1393"/>
      <c r="P55" s="943"/>
      <c r="Q55" s="1393"/>
      <c r="R55" s="943"/>
      <c r="S55" s="1393"/>
    </row>
    <row r="56" spans="1:19" x14ac:dyDescent="0.35">
      <c r="A56" s="1811"/>
      <c r="B56" s="633" t="s">
        <v>191</v>
      </c>
      <c r="C56" s="1954"/>
      <c r="D56" s="1423"/>
      <c r="E56" s="1423"/>
      <c r="F56" s="1423"/>
      <c r="G56" s="1928"/>
      <c r="H56" s="943"/>
      <c r="I56" s="1393"/>
      <c r="J56" s="943"/>
      <c r="K56" s="1393"/>
      <c r="L56" s="943"/>
      <c r="M56" s="1393"/>
      <c r="N56" s="943"/>
      <c r="O56" s="1393"/>
      <c r="P56" s="943"/>
      <c r="Q56" s="1393"/>
      <c r="R56" s="943"/>
      <c r="S56" s="1393"/>
    </row>
    <row r="57" spans="1:19" x14ac:dyDescent="0.35">
      <c r="A57" s="1811"/>
      <c r="B57" s="1772" t="s">
        <v>191</v>
      </c>
      <c r="C57" s="1797"/>
      <c r="D57" s="1945"/>
      <c r="E57" s="1423"/>
      <c r="F57" s="1423"/>
      <c r="G57" s="1928"/>
      <c r="H57" s="943"/>
      <c r="I57" s="1393"/>
      <c r="J57" s="943"/>
      <c r="K57" s="1393"/>
      <c r="L57" s="943"/>
      <c r="M57" s="1393"/>
      <c r="N57" s="943"/>
      <c r="O57" s="1393"/>
      <c r="P57" s="943"/>
      <c r="Q57" s="1393"/>
      <c r="R57" s="943"/>
      <c r="S57" s="1393"/>
    </row>
    <row r="58" spans="1:19" x14ac:dyDescent="0.35">
      <c r="A58" s="1811"/>
      <c r="B58" s="1953"/>
      <c r="C58" s="1797"/>
      <c r="D58" s="1945"/>
      <c r="E58" s="1423"/>
      <c r="F58" s="1423"/>
      <c r="G58" s="1928"/>
      <c r="H58" s="943"/>
      <c r="I58" s="1393"/>
      <c r="J58" s="943"/>
      <c r="K58" s="1393"/>
      <c r="L58" s="943"/>
      <c r="M58" s="1393"/>
      <c r="N58" s="943"/>
      <c r="O58" s="1393"/>
      <c r="P58" s="943"/>
      <c r="Q58" s="1393"/>
      <c r="R58" s="943"/>
      <c r="S58" s="1393"/>
    </row>
    <row r="59" spans="1:19" x14ac:dyDescent="0.35">
      <c r="A59" s="1811"/>
      <c r="B59" s="634"/>
      <c r="C59" s="1797"/>
      <c r="D59" s="1945"/>
      <c r="E59" s="1423"/>
      <c r="F59" s="1423"/>
      <c r="G59" s="1928"/>
      <c r="H59" s="943"/>
      <c r="I59" s="1393"/>
      <c r="J59" s="943"/>
      <c r="K59" s="1393"/>
      <c r="L59" s="943"/>
      <c r="M59" s="1393"/>
      <c r="N59" s="943"/>
      <c r="O59" s="1393"/>
      <c r="P59" s="943"/>
      <c r="Q59" s="1393"/>
      <c r="R59" s="943"/>
      <c r="S59" s="1393"/>
    </row>
    <row r="60" spans="1:19" x14ac:dyDescent="0.35">
      <c r="A60" s="1811"/>
      <c r="B60" s="1771"/>
      <c r="C60" s="1797"/>
      <c r="D60" s="1945"/>
      <c r="E60" s="1423"/>
      <c r="F60" s="1423"/>
      <c r="G60" s="1928"/>
      <c r="H60" s="943"/>
      <c r="I60" s="1393"/>
      <c r="J60" s="943"/>
      <c r="K60" s="1393"/>
      <c r="L60" s="943"/>
      <c r="M60" s="1393"/>
      <c r="N60" s="943"/>
      <c r="O60" s="1393"/>
      <c r="P60" s="943"/>
      <c r="Q60" s="1393"/>
      <c r="R60" s="943"/>
      <c r="S60" s="1393"/>
    </row>
    <row r="61" spans="1:19" x14ac:dyDescent="0.35">
      <c r="A61" s="1811"/>
      <c r="B61" s="634"/>
      <c r="C61" s="1797"/>
      <c r="D61" s="1945"/>
      <c r="E61" s="1423"/>
      <c r="F61" s="1423"/>
      <c r="G61" s="1928"/>
      <c r="H61" s="943"/>
      <c r="I61" s="1393"/>
      <c r="J61" s="943"/>
      <c r="K61" s="1393"/>
      <c r="L61" s="943"/>
      <c r="M61" s="1393"/>
      <c r="N61" s="943"/>
      <c r="O61" s="1393"/>
      <c r="P61" s="943"/>
      <c r="Q61" s="1393"/>
      <c r="R61" s="943"/>
      <c r="S61" s="1393"/>
    </row>
    <row r="62" spans="1:19" ht="15" thickBot="1" x14ac:dyDescent="0.4">
      <c r="A62" s="1450"/>
      <c r="B62" s="1771"/>
      <c r="C62" s="1797"/>
      <c r="D62" s="1945"/>
      <c r="E62" s="1423"/>
      <c r="F62" s="1423"/>
      <c r="G62" s="1928"/>
      <c r="H62" s="943"/>
      <c r="I62" s="1393"/>
      <c r="J62" s="943"/>
      <c r="K62" s="1393"/>
      <c r="L62" s="943"/>
      <c r="M62" s="1392"/>
      <c r="N62" s="943"/>
      <c r="O62" s="1393"/>
      <c r="P62" s="943"/>
      <c r="Q62" s="1393"/>
      <c r="R62" s="943"/>
      <c r="S62" s="1393"/>
    </row>
    <row r="63" spans="1:19" ht="15" thickTop="1" x14ac:dyDescent="0.35">
      <c r="A63" s="14"/>
      <c r="B63" s="15"/>
      <c r="C63" s="16"/>
      <c r="D63" s="16"/>
      <c r="E63" s="17"/>
      <c r="F63" s="18" t="s">
        <v>715</v>
      </c>
      <c r="G63" s="19"/>
      <c r="H63" s="20"/>
      <c r="I63" s="50">
        <f>SUM(I23:I62)</f>
        <v>0</v>
      </c>
      <c r="J63" s="20"/>
      <c r="K63" s="50">
        <f>SUM(K23:K62)</f>
        <v>0</v>
      </c>
      <c r="L63" s="20"/>
      <c r="M63" s="50">
        <f>SUM(M23:M62)</f>
        <v>0</v>
      </c>
      <c r="N63" s="20"/>
      <c r="O63" s="50">
        <f>SUM(O26:O62)</f>
        <v>0</v>
      </c>
      <c r="P63" s="20"/>
      <c r="Q63" s="50">
        <f>SUM(Q26:Q62)</f>
        <v>0</v>
      </c>
      <c r="R63" s="20"/>
      <c r="S63" s="50">
        <f>SUM(S26:S62)</f>
        <v>0</v>
      </c>
    </row>
    <row r="64" spans="1:19" x14ac:dyDescent="0.35">
      <c r="A64" s="1452"/>
      <c r="B64" s="1453"/>
      <c r="C64" s="1454"/>
      <c r="D64" s="1454"/>
      <c r="E64" s="1455"/>
      <c r="F64" s="1456" t="s">
        <v>716</v>
      </c>
      <c r="G64" s="1904"/>
      <c r="H64" s="1153">
        <v>0</v>
      </c>
      <c r="I64" s="1121"/>
      <c r="J64" s="959">
        <v>0</v>
      </c>
      <c r="K64" s="1121"/>
      <c r="L64" s="959">
        <v>0</v>
      </c>
      <c r="M64" s="1121"/>
      <c r="N64" s="1153">
        <v>0</v>
      </c>
      <c r="O64" s="1121"/>
      <c r="P64" s="1153">
        <v>0</v>
      </c>
      <c r="Q64" s="1121"/>
      <c r="R64" s="1153">
        <v>0</v>
      </c>
      <c r="S64" s="1121"/>
    </row>
    <row r="65" spans="1:19" x14ac:dyDescent="0.35">
      <c r="A65" s="1452"/>
      <c r="B65" s="1453"/>
      <c r="C65" s="1454"/>
      <c r="D65" s="1454"/>
      <c r="E65" s="1455"/>
      <c r="F65" s="1456" t="s">
        <v>717</v>
      </c>
      <c r="G65" s="1904"/>
      <c r="H65" s="961"/>
      <c r="I65" s="1122">
        <f>H64*I63</f>
        <v>0</v>
      </c>
      <c r="J65" s="961"/>
      <c r="K65" s="1122">
        <f>J64*K63</f>
        <v>0</v>
      </c>
      <c r="L65" s="961"/>
      <c r="M65" s="1122">
        <f>L64*M63</f>
        <v>0</v>
      </c>
      <c r="N65" s="961"/>
      <c r="O65" s="1122">
        <f>N64*O63</f>
        <v>0</v>
      </c>
      <c r="P65" s="961"/>
      <c r="Q65" s="1122">
        <f>P64*Q63</f>
        <v>0</v>
      </c>
      <c r="R65" s="961"/>
      <c r="S65" s="1122">
        <f>R64*S63</f>
        <v>0</v>
      </c>
    </row>
    <row r="66" spans="1:19" x14ac:dyDescent="0.35">
      <c r="A66" s="1452"/>
      <c r="B66" s="1453"/>
      <c r="C66" s="1454"/>
      <c r="D66" s="1454"/>
      <c r="E66" s="1455"/>
      <c r="F66" s="1456"/>
      <c r="G66" s="1904"/>
      <c r="H66" s="961"/>
      <c r="I66" s="963"/>
      <c r="J66" s="961"/>
      <c r="K66" s="963"/>
      <c r="L66" s="961"/>
      <c r="M66" s="963"/>
      <c r="N66" s="961"/>
      <c r="O66" s="963"/>
      <c r="P66" s="961"/>
      <c r="Q66" s="963"/>
      <c r="R66" s="961"/>
      <c r="S66" s="963"/>
    </row>
    <row r="67" spans="1:19" x14ac:dyDescent="0.35">
      <c r="A67" s="1452"/>
      <c r="B67" s="1453"/>
      <c r="C67" s="1454"/>
      <c r="D67" s="1454"/>
      <c r="E67" s="1455"/>
      <c r="F67" s="1456" t="s">
        <v>718</v>
      </c>
      <c r="G67" s="1904"/>
      <c r="H67" s="964"/>
      <c r="I67" s="962">
        <f>SUM(I63:I65)</f>
        <v>0</v>
      </c>
      <c r="J67" s="964"/>
      <c r="K67" s="962">
        <f>SUM(K63:K65)</f>
        <v>0</v>
      </c>
      <c r="L67" s="964"/>
      <c r="M67" s="962">
        <f>SUM(M63:M65)</f>
        <v>0</v>
      </c>
      <c r="N67" s="964"/>
      <c r="O67" s="962">
        <f>SUM(O63:O65)</f>
        <v>0</v>
      </c>
      <c r="P67" s="964"/>
      <c r="Q67" s="962">
        <f>SUM(Q63:Q65)</f>
        <v>0</v>
      </c>
      <c r="R67" s="964"/>
      <c r="S67" s="962">
        <f>SUM(S63:S65)</f>
        <v>0</v>
      </c>
    </row>
    <row r="68" spans="1:19" x14ac:dyDescent="0.35">
      <c r="A68" s="1452"/>
      <c r="B68" s="1453"/>
      <c r="C68" s="1454"/>
      <c r="D68" s="1454"/>
      <c r="E68" s="1455"/>
      <c r="F68" s="1409" t="s">
        <v>719</v>
      </c>
      <c r="G68" s="1906"/>
      <c r="H68" s="965"/>
      <c r="I68" s="966" t="e">
        <f>I67/#REF!</f>
        <v>#REF!</v>
      </c>
      <c r="J68" s="965"/>
      <c r="K68" s="966" t="e">
        <f>K67/#REF!</f>
        <v>#REF!</v>
      </c>
      <c r="L68" s="965"/>
      <c r="M68" s="966" t="e">
        <f>M67/#REF!</f>
        <v>#REF!</v>
      </c>
      <c r="N68" s="965"/>
      <c r="O68" s="966" t="e">
        <f>O67/#REF!</f>
        <v>#REF!</v>
      </c>
      <c r="P68" s="965"/>
      <c r="Q68" s="966" t="e">
        <f>Q67/#REF!</f>
        <v>#REF!</v>
      </c>
      <c r="R68" s="965"/>
      <c r="S68" s="966" t="e">
        <f>S67/#REF!</f>
        <v>#REF!</v>
      </c>
    </row>
    <row r="69" spans="1:19" x14ac:dyDescent="0.35">
      <c r="A69" s="1452"/>
      <c r="B69" s="1453"/>
      <c r="C69" s="1454"/>
      <c r="D69" s="1454"/>
      <c r="E69" s="1455"/>
      <c r="F69" s="1409" t="s">
        <v>720</v>
      </c>
      <c r="G69" s="1907"/>
      <c r="H69" s="965"/>
      <c r="I69" s="966" t="e">
        <f>I67/#REF!</f>
        <v>#REF!</v>
      </c>
      <c r="J69" s="965"/>
      <c r="K69" s="966" t="e">
        <f>K67/#REF!</f>
        <v>#REF!</v>
      </c>
      <c r="L69" s="965"/>
      <c r="M69" s="966" t="e">
        <f>M67/#REF!</f>
        <v>#REF!</v>
      </c>
      <c r="N69" s="965"/>
      <c r="O69" s="966" t="e">
        <f>O67/#REF!</f>
        <v>#REF!</v>
      </c>
      <c r="P69" s="965"/>
      <c r="Q69" s="966" t="e">
        <f>Q67/#REF!</f>
        <v>#REF!</v>
      </c>
      <c r="R69" s="965"/>
      <c r="S69" s="966" t="e">
        <f>S67/#REF!</f>
        <v>#REF!</v>
      </c>
    </row>
    <row r="70" spans="1:19" ht="15" thickBot="1" x14ac:dyDescent="0.4">
      <c r="A70" s="1452"/>
      <c r="B70" s="1453"/>
      <c r="C70" s="1454"/>
      <c r="D70" s="1454"/>
      <c r="E70" s="1455"/>
      <c r="F70" s="1456"/>
      <c r="G70" s="1908"/>
      <c r="H70" s="1168"/>
      <c r="I70" s="1169"/>
      <c r="J70" s="967"/>
      <c r="K70" s="967"/>
      <c r="L70" s="967"/>
      <c r="M70" s="967"/>
      <c r="N70" s="967"/>
      <c r="O70" s="1596"/>
      <c r="P70" s="967"/>
      <c r="Q70" s="1596"/>
      <c r="R70" s="967"/>
      <c r="S70" s="1596"/>
    </row>
    <row r="71" spans="1:19" ht="15.5" thickTop="1" thickBot="1" x14ac:dyDescent="0.4">
      <c r="A71" s="3764" t="s">
        <v>721</v>
      </c>
      <c r="B71" s="3765"/>
      <c r="C71" s="12"/>
      <c r="D71" s="12"/>
      <c r="E71" s="12"/>
      <c r="F71" s="12"/>
      <c r="G71" s="13"/>
      <c r="H71" s="21"/>
      <c r="I71" s="21"/>
      <c r="J71" s="21"/>
      <c r="K71" s="21"/>
      <c r="L71" s="21"/>
      <c r="M71" s="21"/>
      <c r="N71" s="21"/>
      <c r="O71" s="21"/>
      <c r="P71" s="21"/>
      <c r="Q71" s="21"/>
      <c r="R71" s="21"/>
      <c r="S71" s="21"/>
    </row>
    <row r="72" spans="1:19" ht="15" thickTop="1" x14ac:dyDescent="0.35">
      <c r="A72" s="1170"/>
      <c r="B72" s="1422"/>
      <c r="C72" s="1171"/>
      <c r="D72" s="1171"/>
      <c r="E72" s="1171"/>
      <c r="F72" s="1171"/>
      <c r="G72" s="1172"/>
      <c r="H72" s="1460"/>
      <c r="I72" s="1460"/>
      <c r="J72" s="1460"/>
      <c r="K72" s="1460"/>
      <c r="L72" s="1460"/>
      <c r="M72" s="1460"/>
      <c r="N72" s="1460"/>
      <c r="O72" s="1460"/>
      <c r="P72" s="1460"/>
      <c r="Q72" s="1460"/>
      <c r="R72" s="1460"/>
      <c r="S72" s="1460"/>
    </row>
    <row r="73" spans="1:19" x14ac:dyDescent="0.35">
      <c r="A73" s="1170"/>
      <c r="B73" s="1422"/>
      <c r="C73" s="1171"/>
      <c r="D73" s="1171"/>
      <c r="E73" s="1171"/>
      <c r="F73" s="1171"/>
      <c r="G73" s="1172"/>
      <c r="H73" s="1460"/>
      <c r="I73" s="1460"/>
      <c r="J73" s="1460"/>
      <c r="K73" s="1460"/>
      <c r="L73" s="1460"/>
      <c r="M73" s="1460"/>
      <c r="N73" s="1460"/>
      <c r="O73" s="1460"/>
      <c r="P73" s="1460"/>
      <c r="Q73" s="1460"/>
      <c r="R73" s="1460"/>
      <c r="S73" s="1460"/>
    </row>
    <row r="74" spans="1:19" ht="15" thickBot="1" x14ac:dyDescent="0.4">
      <c r="A74" s="1170"/>
      <c r="B74" s="1422"/>
      <c r="C74" s="1171"/>
      <c r="D74" s="1171"/>
      <c r="E74" s="1171"/>
      <c r="F74" s="1171"/>
      <c r="G74" s="1172"/>
      <c r="H74" s="1460"/>
      <c r="I74" s="1460"/>
      <c r="J74" s="1460"/>
      <c r="K74" s="1460"/>
      <c r="L74" s="1460"/>
      <c r="M74" s="1460"/>
      <c r="N74" s="1460"/>
      <c r="O74" s="1460"/>
      <c r="P74" s="1460"/>
      <c r="Q74" s="1460"/>
      <c r="R74" s="1460"/>
      <c r="S74" s="1460"/>
    </row>
    <row r="75" spans="1:19" s="2" customFormat="1" ht="15.5" thickTop="1" thickBot="1" x14ac:dyDescent="0.4">
      <c r="A75" s="3764" t="s">
        <v>722</v>
      </c>
      <c r="B75" s="3765"/>
      <c r="C75" s="12"/>
      <c r="D75" s="12"/>
      <c r="E75" s="12"/>
      <c r="F75" s="12"/>
      <c r="G75" s="13"/>
      <c r="H75" s="21"/>
      <c r="I75" s="21"/>
      <c r="J75" s="21"/>
      <c r="K75" s="21"/>
      <c r="L75" s="21"/>
      <c r="M75" s="21"/>
      <c r="N75" s="21"/>
      <c r="O75" s="21"/>
      <c r="P75" s="21"/>
      <c r="Q75" s="21"/>
      <c r="R75" s="21"/>
      <c r="S75" s="21"/>
    </row>
    <row r="76" spans="1:19" s="2" customFormat="1" ht="15" thickTop="1" x14ac:dyDescent="0.35">
      <c r="A76" s="1170"/>
      <c r="B76" s="1422"/>
      <c r="C76" s="1171"/>
      <c r="D76" s="1171"/>
      <c r="E76" s="1171"/>
      <c r="F76" s="1171"/>
      <c r="G76" s="1172"/>
      <c r="H76" s="1460"/>
      <c r="I76" s="1460"/>
      <c r="J76" s="1460"/>
      <c r="K76" s="1460"/>
      <c r="L76" s="1460"/>
      <c r="M76" s="1460"/>
      <c r="N76" s="1460"/>
      <c r="O76" s="1460"/>
      <c r="P76" s="1460"/>
      <c r="Q76" s="1460"/>
      <c r="R76" s="1460"/>
      <c r="S76" s="1460"/>
    </row>
    <row r="77" spans="1:19" s="2" customFormat="1" x14ac:dyDescent="0.35">
      <c r="A77" s="1170"/>
      <c r="B77" s="1422"/>
      <c r="C77" s="1171"/>
      <c r="D77" s="1171"/>
      <c r="E77" s="1171"/>
      <c r="F77" s="1171"/>
      <c r="G77" s="1172"/>
      <c r="H77" s="1460"/>
      <c r="I77" s="1460"/>
      <c r="J77" s="1460"/>
      <c r="K77" s="1460"/>
      <c r="L77" s="1460"/>
      <c r="M77" s="1460"/>
      <c r="N77" s="1460"/>
      <c r="O77" s="1460"/>
      <c r="P77" s="1460"/>
      <c r="Q77" s="1460"/>
      <c r="R77" s="1460"/>
      <c r="S77" s="1460"/>
    </row>
    <row r="78" spans="1:19" ht="15" thickBot="1" x14ac:dyDescent="0.4">
      <c r="A78" s="1170"/>
      <c r="B78" s="1422"/>
      <c r="C78" s="1171"/>
      <c r="D78" s="1171"/>
      <c r="E78" s="1171"/>
      <c r="F78" s="1171"/>
      <c r="G78" s="1172"/>
      <c r="H78" s="1460"/>
      <c r="I78" s="1460"/>
      <c r="J78" s="1460"/>
      <c r="K78" s="1460"/>
      <c r="L78" s="1460"/>
      <c r="M78" s="1460"/>
      <c r="N78" s="1460"/>
      <c r="O78" s="1460"/>
      <c r="P78" s="1460"/>
      <c r="Q78" s="1460"/>
      <c r="R78" s="1460"/>
      <c r="S78" s="1460"/>
    </row>
    <row r="79" spans="1:19" s="2" customFormat="1" ht="15.5" thickTop="1" thickBot="1" x14ac:dyDescent="0.4">
      <c r="A79" s="3764" t="s">
        <v>723</v>
      </c>
      <c r="B79" s="3765"/>
      <c r="C79" s="12"/>
      <c r="D79" s="12"/>
      <c r="E79" s="12"/>
      <c r="F79" s="12"/>
      <c r="G79" s="13"/>
      <c r="H79" s="21"/>
      <c r="I79" s="21"/>
      <c r="J79" s="21"/>
      <c r="K79" s="21"/>
      <c r="L79" s="21"/>
      <c r="M79" s="21"/>
      <c r="N79" s="21"/>
      <c r="O79" s="21"/>
      <c r="P79" s="21"/>
      <c r="Q79" s="21"/>
      <c r="R79" s="21"/>
      <c r="S79" s="21"/>
    </row>
    <row r="80" spans="1:19" s="2" customFormat="1" ht="15" thickTop="1" x14ac:dyDescent="0.35">
      <c r="A80" s="1170"/>
      <c r="B80" s="1422"/>
      <c r="C80" s="1171"/>
      <c r="D80" s="1171"/>
      <c r="E80" s="1171"/>
      <c r="F80" s="1171"/>
      <c r="G80" s="1172"/>
      <c r="H80" s="1460"/>
      <c r="I80" s="1460"/>
      <c r="J80" s="1460"/>
      <c r="K80" s="1460"/>
      <c r="L80" s="1460"/>
      <c r="M80" s="1460"/>
      <c r="N80" s="1460"/>
      <c r="O80" s="1460"/>
      <c r="P80" s="1460"/>
      <c r="Q80" s="1460"/>
      <c r="R80" s="1460"/>
      <c r="S80" s="1460"/>
    </row>
    <row r="81" spans="1:19" s="2" customFormat="1" x14ac:dyDescent="0.35">
      <c r="A81" s="1426"/>
      <c r="B81" s="1422"/>
      <c r="C81" s="1423"/>
      <c r="D81" s="1423"/>
      <c r="E81" s="1423"/>
      <c r="F81" s="1423"/>
      <c r="G81" s="1928"/>
      <c r="H81" s="973"/>
      <c r="I81" s="973"/>
      <c r="J81" s="973"/>
      <c r="K81" s="973"/>
      <c r="L81" s="973"/>
      <c r="M81" s="973"/>
      <c r="N81" s="973"/>
      <c r="O81" s="973"/>
      <c r="P81" s="973"/>
      <c r="Q81" s="973"/>
      <c r="R81" s="973"/>
      <c r="S81" s="973"/>
    </row>
    <row r="82" spans="1:19" s="2" customFormat="1" ht="15" thickBot="1" x14ac:dyDescent="0.4">
      <c r="A82" s="1416"/>
      <c r="B82" s="1417"/>
      <c r="C82" s="1423"/>
      <c r="D82" s="1423"/>
      <c r="E82" s="1423"/>
      <c r="F82" s="1423"/>
      <c r="G82" s="1928"/>
      <c r="H82" s="974"/>
      <c r="I82" s="974"/>
      <c r="J82" s="974"/>
      <c r="K82" s="974"/>
      <c r="L82" s="974"/>
      <c r="M82" s="974"/>
      <c r="N82" s="974"/>
      <c r="O82" s="974"/>
      <c r="P82" s="974"/>
      <c r="Q82" s="974"/>
      <c r="R82" s="974"/>
      <c r="S82" s="974"/>
    </row>
    <row r="83" spans="1:19" s="2" customFormat="1" ht="15.5" thickTop="1" thickBot="1" x14ac:dyDescent="0.4">
      <c r="A83" s="3764" t="s">
        <v>724</v>
      </c>
      <c r="B83" s="3765"/>
      <c r="C83" s="12"/>
      <c r="D83" s="12"/>
      <c r="E83" s="12"/>
      <c r="F83" s="12"/>
      <c r="G83" s="13"/>
      <c r="H83" s="21"/>
      <c r="I83" s="21"/>
      <c r="J83" s="21"/>
      <c r="K83" s="21"/>
      <c r="L83" s="21"/>
      <c r="M83" s="21"/>
      <c r="N83" s="21"/>
      <c r="O83" s="21"/>
      <c r="P83" s="21"/>
      <c r="Q83" s="21"/>
      <c r="R83" s="21"/>
      <c r="S83" s="21"/>
    </row>
    <row r="84" spans="1:19" ht="15" thickTop="1" x14ac:dyDescent="0.35">
      <c r="A84" s="1174"/>
      <c r="B84" s="1175"/>
      <c r="C84" s="1171"/>
      <c r="D84" s="1171"/>
      <c r="E84" s="1171"/>
      <c r="F84" s="1171"/>
      <c r="G84" s="1172"/>
      <c r="H84" s="1460"/>
      <c r="I84" s="1460"/>
      <c r="J84" s="1460"/>
      <c r="K84" s="1460"/>
      <c r="L84" s="1460"/>
      <c r="M84" s="1460"/>
      <c r="N84" s="1460"/>
      <c r="O84" s="1460"/>
      <c r="P84" s="1460"/>
      <c r="Q84" s="1460"/>
      <c r="R84" s="1460"/>
      <c r="S84" s="1460"/>
    </row>
    <row r="85" spans="1:19" x14ac:dyDescent="0.35">
      <c r="A85" s="1416"/>
      <c r="B85" s="1417"/>
      <c r="C85" s="1423"/>
      <c r="D85" s="1423"/>
      <c r="E85" s="1423"/>
      <c r="F85" s="1423"/>
      <c r="G85" s="1928"/>
      <c r="H85" s="977"/>
      <c r="I85" s="977"/>
      <c r="J85" s="977"/>
      <c r="K85" s="977"/>
      <c r="L85" s="977"/>
      <c r="M85" s="977"/>
      <c r="N85" s="977"/>
      <c r="O85" s="977"/>
      <c r="P85" s="977"/>
      <c r="Q85" s="977"/>
      <c r="R85" s="977"/>
      <c r="S85" s="977"/>
    </row>
    <row r="86" spans="1:19" ht="15" thickBot="1" x14ac:dyDescent="0.4">
      <c r="A86" s="1416"/>
      <c r="B86" s="1417"/>
      <c r="C86" s="1423"/>
      <c r="D86" s="1423"/>
      <c r="E86" s="1423"/>
      <c r="F86" s="1423"/>
      <c r="G86" s="1928"/>
      <c r="H86" s="977"/>
      <c r="I86" s="977"/>
      <c r="J86" s="977"/>
      <c r="K86" s="977"/>
      <c r="L86" s="977"/>
      <c r="M86" s="977"/>
      <c r="N86" s="977"/>
      <c r="O86" s="977"/>
      <c r="P86" s="977"/>
      <c r="Q86" s="977"/>
      <c r="R86" s="977"/>
      <c r="S86" s="977"/>
    </row>
    <row r="87" spans="1:19" ht="15.5" thickTop="1" thickBot="1" x14ac:dyDescent="0.4">
      <c r="A87" s="3764" t="s">
        <v>725</v>
      </c>
      <c r="B87" s="3765"/>
      <c r="C87" s="12"/>
      <c r="D87" s="12"/>
      <c r="E87" s="12"/>
      <c r="F87" s="12"/>
      <c r="G87" s="13"/>
      <c r="H87" s="21"/>
      <c r="I87" s="21"/>
      <c r="J87" s="21"/>
      <c r="K87" s="21"/>
      <c r="L87" s="21"/>
      <c r="M87" s="21"/>
      <c r="N87" s="21"/>
      <c r="O87" s="21"/>
      <c r="P87" s="21"/>
      <c r="Q87" s="21"/>
      <c r="R87" s="21"/>
      <c r="S87" s="21"/>
    </row>
    <row r="88" spans="1:19" ht="15" thickTop="1" x14ac:dyDescent="0.35">
      <c r="A88" s="1426"/>
      <c r="B88" s="1422" t="s">
        <v>726</v>
      </c>
      <c r="C88" s="1423"/>
      <c r="D88" s="1423"/>
      <c r="E88" s="1423"/>
      <c r="F88" s="1423"/>
      <c r="G88" s="1928"/>
      <c r="H88" s="977"/>
      <c r="I88" s="977"/>
      <c r="J88" s="977"/>
      <c r="K88" s="977"/>
      <c r="L88" s="977"/>
      <c r="M88" s="977"/>
      <c r="N88" s="977"/>
      <c r="O88" s="977"/>
      <c r="P88" s="977"/>
      <c r="Q88" s="977"/>
      <c r="R88" s="977"/>
      <c r="S88" s="977"/>
    </row>
    <row r="89" spans="1:19" x14ac:dyDescent="0.35">
      <c r="A89" s="1426"/>
      <c r="B89" s="1422" t="s">
        <v>727</v>
      </c>
      <c r="C89" s="1423"/>
      <c r="D89" s="1423"/>
      <c r="E89" s="1423"/>
      <c r="F89" s="1423"/>
      <c r="G89" s="1928"/>
      <c r="H89" s="977"/>
      <c r="I89" s="977"/>
      <c r="J89" s="977"/>
      <c r="K89" s="977"/>
      <c r="L89" s="977"/>
      <c r="M89" s="977"/>
      <c r="N89" s="977"/>
      <c r="O89" s="977"/>
      <c r="P89" s="977"/>
      <c r="Q89" s="977"/>
      <c r="R89" s="977"/>
      <c r="S89" s="977"/>
    </row>
    <row r="90" spans="1:19" x14ac:dyDescent="0.35">
      <c r="A90" s="1426"/>
      <c r="B90" s="1422" t="s">
        <v>728</v>
      </c>
      <c r="C90" s="1423"/>
      <c r="D90" s="1423"/>
      <c r="E90" s="1423"/>
      <c r="F90" s="1423"/>
      <c r="G90" s="1928"/>
      <c r="H90" s="977"/>
      <c r="I90" s="977"/>
      <c r="J90" s="977"/>
      <c r="K90" s="977"/>
      <c r="L90" s="977"/>
      <c r="M90" s="977"/>
      <c r="N90" s="977"/>
      <c r="O90" s="977"/>
      <c r="P90" s="977"/>
      <c r="Q90" s="977"/>
      <c r="R90" s="977"/>
      <c r="S90" s="977"/>
    </row>
    <row r="91" spans="1:19" x14ac:dyDescent="0.35">
      <c r="A91" s="1426"/>
      <c r="B91" s="1422" t="s">
        <v>729</v>
      </c>
      <c r="C91" s="1423"/>
      <c r="D91" s="1423"/>
      <c r="E91" s="1423"/>
      <c r="F91" s="1423"/>
      <c r="G91" s="1928"/>
      <c r="H91" s="977"/>
      <c r="I91" s="977"/>
      <c r="J91" s="977"/>
      <c r="K91" s="977"/>
      <c r="L91" s="977"/>
      <c r="M91" s="977"/>
      <c r="N91" s="977"/>
      <c r="O91" s="977"/>
      <c r="P91" s="977"/>
      <c r="Q91" s="977"/>
      <c r="R91" s="977"/>
      <c r="S91" s="977"/>
    </row>
    <row r="92" spans="1:19" ht="15" thickBot="1" x14ac:dyDescent="0.4">
      <c r="A92" s="978"/>
      <c r="B92" s="939"/>
      <c r="C92" s="940"/>
      <c r="D92" s="940"/>
      <c r="E92" s="940"/>
      <c r="F92" s="940"/>
      <c r="G92" s="1039"/>
      <c r="H92" s="981"/>
      <c r="I92" s="981"/>
      <c r="J92" s="981"/>
      <c r="K92" s="981"/>
      <c r="L92" s="981"/>
      <c r="M92" s="981"/>
      <c r="N92" s="981"/>
      <c r="O92" s="981"/>
      <c r="P92" s="981"/>
      <c r="Q92" s="981"/>
      <c r="R92" s="981"/>
      <c r="S92" s="981"/>
    </row>
    <row r="93" spans="1:19" ht="15.5" thickTop="1" thickBot="1" x14ac:dyDescent="0.4">
      <c r="A93" s="7" t="s">
        <v>730</v>
      </c>
      <c r="B93" s="8"/>
      <c r="C93" s="12"/>
      <c r="D93" s="12"/>
      <c r="E93" s="12"/>
      <c r="F93" s="12"/>
      <c r="G93" s="13"/>
      <c r="H93" s="21"/>
      <c r="I93" s="21"/>
      <c r="J93" s="21"/>
      <c r="K93" s="21"/>
      <c r="L93" s="21"/>
      <c r="M93" s="21"/>
      <c r="N93" s="21"/>
      <c r="O93" s="21"/>
      <c r="P93" s="21"/>
      <c r="Q93" s="21"/>
      <c r="R93" s="21"/>
      <c r="S93" s="21"/>
    </row>
    <row r="94" spans="1:19" ht="15" thickTop="1" x14ac:dyDescent="0.35">
      <c r="A94" s="1170"/>
      <c r="B94" s="1176" t="s">
        <v>731</v>
      </c>
      <c r="C94" s="1171"/>
      <c r="D94" s="1171"/>
      <c r="E94" s="1171"/>
      <c r="F94" s="1171"/>
      <c r="G94" s="1172"/>
      <c r="H94" s="1464"/>
      <c r="I94" s="1464"/>
      <c r="J94" s="1464"/>
      <c r="K94" s="1464"/>
      <c r="L94" s="1464"/>
      <c r="M94" s="1464"/>
      <c r="N94" s="1464"/>
      <c r="O94" s="1464"/>
      <c r="P94" s="1464"/>
      <c r="Q94" s="1464"/>
      <c r="R94" s="1464"/>
      <c r="S94" s="1464"/>
    </row>
    <row r="95" spans="1:19" x14ac:dyDescent="0.35">
      <c r="A95" s="1426"/>
      <c r="B95" s="1422" t="s">
        <v>732</v>
      </c>
      <c r="C95" s="1423"/>
      <c r="D95" s="1423"/>
      <c r="E95" s="1423"/>
      <c r="F95" s="1423"/>
      <c r="G95" s="1928"/>
      <c r="H95" s="984"/>
      <c r="I95" s="984"/>
      <c r="J95" s="984"/>
      <c r="K95" s="984"/>
      <c r="L95" s="984"/>
      <c r="M95" s="984"/>
      <c r="N95" s="984"/>
      <c r="O95" s="984"/>
      <c r="P95" s="984"/>
      <c r="Q95" s="984"/>
      <c r="R95" s="984"/>
      <c r="S95" s="984"/>
    </row>
    <row r="96" spans="1:19" ht="15" thickBot="1" x14ac:dyDescent="0.4">
      <c r="A96" s="985"/>
      <c r="B96" s="986" t="s">
        <v>733</v>
      </c>
      <c r="C96" s="987"/>
      <c r="D96" s="987"/>
      <c r="E96" s="987"/>
      <c r="F96" s="987"/>
      <c r="G96" s="1040"/>
      <c r="H96" s="990"/>
      <c r="I96" s="990"/>
      <c r="J96" s="990"/>
      <c r="K96" s="990"/>
      <c r="L96" s="990"/>
      <c r="M96" s="990"/>
      <c r="N96" s="990"/>
      <c r="O96" s="990"/>
      <c r="P96" s="990"/>
      <c r="Q96" s="990"/>
      <c r="R96" s="990"/>
      <c r="S96" s="990"/>
    </row>
    <row r="97" spans="1:2" ht="15.5" thickTop="1" thickBot="1" x14ac:dyDescent="0.4"/>
    <row r="98" spans="1:2" ht="15.5" thickTop="1" thickBot="1" x14ac:dyDescent="0.4">
      <c r="A98" s="78" t="s">
        <v>734</v>
      </c>
      <c r="B98" s="80"/>
    </row>
    <row r="99" spans="1:2" ht="15" thickTop="1" x14ac:dyDescent="0.35">
      <c r="A99" s="79" t="s">
        <v>632</v>
      </c>
      <c r="B99" s="991"/>
    </row>
    <row r="100" spans="1:2" x14ac:dyDescent="0.35">
      <c r="A100" s="1465" t="s">
        <v>636</v>
      </c>
      <c r="B100" s="991"/>
    </row>
    <row r="101" spans="1:2" x14ac:dyDescent="0.35">
      <c r="A101" s="992" t="s">
        <v>639</v>
      </c>
      <c r="B101" s="993"/>
    </row>
    <row r="102" spans="1:2" x14ac:dyDescent="0.35">
      <c r="A102" s="992" t="s">
        <v>642</v>
      </c>
      <c r="B102" s="994"/>
    </row>
    <row r="103" spans="1:2" ht="15" thickBot="1" x14ac:dyDescent="0.4">
      <c r="A103" s="995" t="s">
        <v>735</v>
      </c>
      <c r="B103" s="996"/>
    </row>
    <row r="104" spans="1:2" ht="15" thickTop="1" x14ac:dyDescent="0.35"/>
    <row r="105" spans="1:2" x14ac:dyDescent="0.35">
      <c r="A105" s="81"/>
      <c r="B105" s="1" t="s">
        <v>736</v>
      </c>
    </row>
    <row r="106" spans="1:2" x14ac:dyDescent="0.35">
      <c r="A106" s="82"/>
      <c r="B106" s="1" t="s">
        <v>737</v>
      </c>
    </row>
  </sheetData>
  <mergeCells count="48">
    <mergeCell ref="L1:M1"/>
    <mergeCell ref="A71:B71"/>
    <mergeCell ref="A75:B75"/>
    <mergeCell ref="A79:B79"/>
    <mergeCell ref="A83:B83"/>
    <mergeCell ref="A87:B87"/>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683" priority="13" operator="equal">
      <formula>"X"</formula>
    </cfRule>
    <cfRule type="cellIs" dxfId="1682" priority="14" operator="equal">
      <formula>"I"</formula>
    </cfRule>
  </conditionalFormatting>
  <conditionalFormatting sqref="H32:H62">
    <cfRule type="cellIs" dxfId="1681" priority="1" operator="equal">
      <formula>"X"</formula>
    </cfRule>
    <cfRule type="cellIs" dxfId="1680" priority="2" operator="equal">
      <formula>"I"</formula>
    </cfRule>
  </conditionalFormatting>
  <conditionalFormatting sqref="J20:J30">
    <cfRule type="cellIs" dxfId="1679" priority="15" operator="equal">
      <formula>"X"</formula>
    </cfRule>
    <cfRule type="cellIs" dxfId="1678" priority="16" operator="equal">
      <formula>"I"</formula>
    </cfRule>
  </conditionalFormatting>
  <conditionalFormatting sqref="J32:J62">
    <cfRule type="cellIs" dxfId="1677" priority="3" operator="equal">
      <formula>"X"</formula>
    </cfRule>
    <cfRule type="cellIs" dxfId="1676" priority="4" operator="equal">
      <formula>"I"</formula>
    </cfRule>
  </conditionalFormatting>
  <conditionalFormatting sqref="L20:L30">
    <cfRule type="cellIs" dxfId="1675" priority="17" operator="equal">
      <formula>"X"</formula>
    </cfRule>
    <cfRule type="cellIs" dxfId="1674" priority="18" operator="equal">
      <formula>"I"</formula>
    </cfRule>
  </conditionalFormatting>
  <conditionalFormatting sqref="L32:L62">
    <cfRule type="cellIs" dxfId="1673" priority="5" operator="equal">
      <formula>"X"</formula>
    </cfRule>
    <cfRule type="cellIs" dxfId="1672" priority="6" operator="equal">
      <formula>"I"</formula>
    </cfRule>
  </conditionalFormatting>
  <conditionalFormatting sqref="N20:N30">
    <cfRule type="cellIs" dxfId="1671" priority="19" operator="equal">
      <formula>"X"</formula>
    </cfRule>
    <cfRule type="cellIs" dxfId="1670" priority="20" operator="equal">
      <formula>"I"</formula>
    </cfRule>
  </conditionalFormatting>
  <conditionalFormatting sqref="N32:N62">
    <cfRule type="cellIs" dxfId="1669" priority="7" operator="equal">
      <formula>"X"</formula>
    </cfRule>
    <cfRule type="cellIs" dxfId="1668" priority="8" operator="equal">
      <formula>"I"</formula>
    </cfRule>
  </conditionalFormatting>
  <conditionalFormatting sqref="P20:P30">
    <cfRule type="cellIs" dxfId="1667" priority="21" operator="equal">
      <formula>"X"</formula>
    </cfRule>
    <cfRule type="cellIs" dxfId="1666" priority="22" operator="equal">
      <formula>"I"</formula>
    </cfRule>
  </conditionalFormatting>
  <conditionalFormatting sqref="P32:P62">
    <cfRule type="cellIs" dxfId="1665" priority="9" operator="equal">
      <formula>"X"</formula>
    </cfRule>
    <cfRule type="cellIs" dxfId="1664" priority="10" operator="equal">
      <formula>"I"</formula>
    </cfRule>
  </conditionalFormatting>
  <conditionalFormatting sqref="R20:R30">
    <cfRule type="cellIs" dxfId="1663" priority="23" operator="equal">
      <formula>"X"</formula>
    </cfRule>
    <cfRule type="cellIs" dxfId="1662" priority="24" operator="equal">
      <formula>"I"</formula>
    </cfRule>
  </conditionalFormatting>
  <conditionalFormatting sqref="R32:R62">
    <cfRule type="cellIs" dxfId="1661" priority="11" operator="equal">
      <formula>"X"</formula>
    </cfRule>
    <cfRule type="cellIs" dxfId="1660" priority="12" operator="equal">
      <formula>"I"</formula>
    </cfRule>
  </conditionalFormatting>
  <hyperlinks>
    <hyperlink ref="B3" location="'Cost Summary'!A1" display="BACK TO SUMMARY SHEET" xr:uid="{4DD872A1-1B37-49F4-95EF-6BFEE6B39F8F}"/>
  </hyperlink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DE67-67FE-4A35-91B5-B73C3F115C1B}">
  <sheetPr>
    <tabColor rgb="FF92D050"/>
  </sheetPr>
  <dimension ref="A1:S106"/>
  <sheetViews>
    <sheetView zoomScale="85" zoomScaleNormal="85" workbookViewId="0">
      <pane xSplit="2" ySplit="9" topLeftCell="C20" activePane="bottomRight" state="frozen"/>
      <selection pane="topRight" activeCell="C1" sqref="C1"/>
      <selection pane="bottomLeft" activeCell="A11" sqref="A11"/>
      <selection pane="bottomRight" activeCell="I37" sqref="I37"/>
    </sheetView>
  </sheetViews>
  <sheetFormatPr defaultRowHeight="14.5" x14ac:dyDescent="0.35"/>
  <cols>
    <col min="1" max="1" width="11" customWidth="1"/>
    <col min="2" max="2" width="72.1796875" style="1" bestFit="1" customWidth="1"/>
    <col min="3" max="3" width="10.81640625" style="2" bestFit="1" customWidth="1"/>
    <col min="4" max="5" width="7.54296875" style="2" customWidth="1"/>
    <col min="6" max="6" width="7.7265625" style="2" customWidth="1"/>
    <col min="7" max="7" width="12.26953125" style="2" customWidth="1"/>
    <col min="8" max="8" width="8.54296875" style="2" customWidth="1"/>
    <col min="9" max="9" width="13.81640625" style="2" customWidth="1"/>
    <col min="10" max="10" width="7.453125" style="2" bestFit="1" customWidth="1"/>
    <col min="11" max="11" width="14.81640625" style="2" customWidth="1"/>
    <col min="12" max="12" width="7.453125" style="2" bestFit="1" customWidth="1"/>
    <col min="13" max="13" width="14.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s>
  <sheetData>
    <row r="1" spans="1:19" x14ac:dyDescent="0.35">
      <c r="E1" s="152"/>
      <c r="F1" s="125"/>
      <c r="G1" s="123" t="s">
        <v>621</v>
      </c>
    </row>
    <row r="2" spans="1:19" ht="15" thickBot="1" x14ac:dyDescent="0.4">
      <c r="E2" s="152"/>
      <c r="F2" s="122" t="s">
        <v>622</v>
      </c>
      <c r="G2" s="123" t="s">
        <v>451</v>
      </c>
      <c r="H2" s="3751"/>
      <c r="I2" s="3751"/>
      <c r="J2" s="3866">
        <v>9544464105</v>
      </c>
      <c r="K2" s="3866"/>
      <c r="L2" s="3866">
        <v>2704855874</v>
      </c>
      <c r="M2" s="3866"/>
      <c r="N2" s="3866"/>
      <c r="O2" s="3866"/>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1421" t="s">
        <v>634</v>
      </c>
      <c r="B5" s="1422" t="s">
        <v>2384</v>
      </c>
      <c r="C5" s="1423"/>
      <c r="D5" s="1423"/>
      <c r="E5" s="1423"/>
      <c r="F5" s="1423"/>
      <c r="G5" s="1955" t="s">
        <v>636</v>
      </c>
      <c r="H5" s="3851"/>
      <c r="I5" s="3759"/>
      <c r="J5" s="3851"/>
      <c r="K5" s="3759"/>
      <c r="L5" s="3851"/>
      <c r="M5" s="3759"/>
      <c r="N5" s="3851"/>
      <c r="O5" s="3759"/>
      <c r="P5" s="3851"/>
      <c r="Q5" s="3759"/>
      <c r="R5" s="3851"/>
      <c r="S5" s="3759"/>
    </row>
    <row r="6" spans="1:19" x14ac:dyDescent="0.35">
      <c r="A6" s="1421" t="s">
        <v>638</v>
      </c>
      <c r="B6" s="1424" t="s">
        <v>2385</v>
      </c>
      <c r="C6" s="1423"/>
      <c r="D6" s="1423"/>
      <c r="E6" s="1423"/>
      <c r="F6" s="1423"/>
      <c r="G6" s="1955" t="s">
        <v>639</v>
      </c>
      <c r="H6" s="3852"/>
      <c r="I6" s="3757"/>
      <c r="J6" s="3852"/>
      <c r="K6" s="3757"/>
      <c r="L6" s="3852"/>
      <c r="M6" s="3757"/>
      <c r="N6" s="3852"/>
      <c r="O6" s="3757"/>
      <c r="P6" s="3852"/>
      <c r="Q6" s="3757"/>
      <c r="R6" s="3852"/>
      <c r="S6" s="3757"/>
    </row>
    <row r="7" spans="1:19" x14ac:dyDescent="0.35">
      <c r="A7" s="1421" t="s">
        <v>641</v>
      </c>
      <c r="B7" s="1425"/>
      <c r="C7" s="1423"/>
      <c r="D7" s="1423"/>
      <c r="E7" s="1423"/>
      <c r="F7" s="1423"/>
      <c r="G7" s="1955" t="s">
        <v>642</v>
      </c>
      <c r="H7" s="3860"/>
      <c r="I7" s="3763"/>
      <c r="J7" s="3860"/>
      <c r="K7" s="3763"/>
      <c r="L7" s="3860"/>
      <c r="M7" s="3763"/>
      <c r="N7" s="3860"/>
      <c r="O7" s="3763"/>
      <c r="P7" s="3860"/>
      <c r="Q7" s="3763"/>
      <c r="R7" s="3860"/>
      <c r="S7" s="3763"/>
    </row>
    <row r="8" spans="1:19" ht="15" thickBot="1" x14ac:dyDescent="0.4">
      <c r="A8" s="938" t="s">
        <v>644</v>
      </c>
      <c r="B8" s="939"/>
      <c r="C8" s="940"/>
      <c r="D8" s="940"/>
      <c r="E8" s="940"/>
      <c r="F8" s="940"/>
      <c r="G8" s="1024" t="s">
        <v>644</v>
      </c>
      <c r="H8" s="3760"/>
      <c r="I8" s="3761"/>
      <c r="J8" s="3760"/>
      <c r="K8" s="3761"/>
      <c r="L8" s="3760"/>
      <c r="M8" s="3761"/>
      <c r="N8" s="3760"/>
      <c r="O8" s="3761"/>
      <c r="P8" s="3760"/>
      <c r="Q8" s="3761"/>
      <c r="R8" s="3760"/>
      <c r="S8" s="3761"/>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1426"/>
      <c r="B10" s="1178" t="s">
        <v>653</v>
      </c>
      <c r="C10" s="1423"/>
      <c r="D10" s="1423"/>
      <c r="E10" s="1423"/>
      <c r="F10" s="1423"/>
      <c r="G10" s="1956"/>
      <c r="H10" s="942"/>
      <c r="I10" s="942"/>
      <c r="J10" s="942"/>
      <c r="K10" s="942"/>
      <c r="L10" s="942"/>
      <c r="M10" s="942"/>
      <c r="N10" s="942"/>
      <c r="O10" s="942"/>
      <c r="P10" s="942"/>
      <c r="Q10" s="942"/>
      <c r="R10" s="942"/>
      <c r="S10" s="942"/>
    </row>
    <row r="11" spans="1:19" hidden="1" x14ac:dyDescent="0.35">
      <c r="A11" s="1426"/>
      <c r="B11" s="1422" t="e">
        <f>#REF!</f>
        <v>#REF!</v>
      </c>
      <c r="C11" s="1427" t="s">
        <v>654</v>
      </c>
      <c r="D11" s="1423"/>
      <c r="E11" s="1423"/>
      <c r="F11" s="1423"/>
      <c r="G11" s="1956"/>
      <c r="H11" s="942"/>
      <c r="I11" s="942"/>
      <c r="J11" s="942"/>
      <c r="K11" s="942"/>
      <c r="L11" s="942"/>
      <c r="M11" s="942"/>
      <c r="N11" s="942"/>
      <c r="O11" s="942"/>
      <c r="P11" s="942"/>
      <c r="Q11" s="942"/>
      <c r="R11" s="942"/>
      <c r="S11" s="942"/>
    </row>
    <row r="12" spans="1:19" hidden="1" x14ac:dyDescent="0.35">
      <c r="A12" s="1426"/>
      <c r="B12" s="1422" t="e">
        <f>#REF!</f>
        <v>#REF!</v>
      </c>
      <c r="C12" s="1427" t="s">
        <v>654</v>
      </c>
      <c r="D12" s="1423"/>
      <c r="E12" s="1423"/>
      <c r="F12" s="1423"/>
      <c r="G12" s="1956"/>
      <c r="H12" s="942"/>
      <c r="I12" s="942"/>
      <c r="J12" s="942"/>
      <c r="K12" s="942"/>
      <c r="L12" s="942"/>
      <c r="M12" s="942"/>
      <c r="N12" s="942"/>
      <c r="O12" s="942"/>
      <c r="P12" s="942"/>
      <c r="Q12" s="942"/>
      <c r="R12" s="942"/>
      <c r="S12" s="942"/>
    </row>
    <row r="13" spans="1:19" hidden="1" x14ac:dyDescent="0.35">
      <c r="A13" s="1426"/>
      <c r="B13" s="1422" t="e">
        <f>#REF!</f>
        <v>#REF!</v>
      </c>
      <c r="C13" s="1427" t="s">
        <v>654</v>
      </c>
      <c r="D13" s="1423"/>
      <c r="E13" s="1423"/>
      <c r="F13" s="1423"/>
      <c r="G13" s="1956"/>
      <c r="H13" s="942"/>
      <c r="I13" s="942"/>
      <c r="J13" s="942"/>
      <c r="K13" s="942"/>
      <c r="L13" s="942"/>
      <c r="M13" s="942"/>
      <c r="N13" s="942"/>
      <c r="O13" s="942"/>
      <c r="P13" s="942"/>
      <c r="Q13" s="942"/>
      <c r="R13" s="942"/>
      <c r="S13" s="942"/>
    </row>
    <row r="14" spans="1:19" hidden="1" x14ac:dyDescent="0.35">
      <c r="A14" s="1426"/>
      <c r="B14" s="1422" t="e">
        <f>#REF!</f>
        <v>#REF!</v>
      </c>
      <c r="C14" s="1427" t="s">
        <v>654</v>
      </c>
      <c r="D14" s="1423"/>
      <c r="E14" s="1423"/>
      <c r="F14" s="1423"/>
      <c r="G14" s="1956"/>
      <c r="H14" s="942"/>
      <c r="I14" s="942"/>
      <c r="J14" s="942"/>
      <c r="K14" s="942"/>
      <c r="L14" s="942"/>
      <c r="M14" s="942"/>
      <c r="N14" s="942"/>
      <c r="O14" s="942"/>
      <c r="P14" s="942"/>
      <c r="Q14" s="942"/>
      <c r="R14" s="942"/>
      <c r="S14" s="942"/>
    </row>
    <row r="15" spans="1:19" hidden="1" x14ac:dyDescent="0.35">
      <c r="A15" s="1426"/>
      <c r="B15" s="1422" t="e">
        <f>#REF!</f>
        <v>#REF!</v>
      </c>
      <c r="C15" s="1427" t="s">
        <v>654</v>
      </c>
      <c r="D15" s="1423"/>
      <c r="E15" s="1423"/>
      <c r="F15" s="1423"/>
      <c r="G15" s="1956"/>
      <c r="H15" s="942"/>
      <c r="I15" s="942"/>
      <c r="J15" s="942"/>
      <c r="K15" s="942"/>
      <c r="L15" s="942"/>
      <c r="M15" s="942"/>
      <c r="N15" s="942"/>
      <c r="O15" s="942"/>
      <c r="P15" s="942"/>
      <c r="Q15" s="942"/>
      <c r="R15" s="942"/>
      <c r="S15" s="942"/>
    </row>
    <row r="16" spans="1:19" hidden="1" x14ac:dyDescent="0.35">
      <c r="A16" s="1426"/>
      <c r="B16" s="1422" t="e">
        <f>#REF!</f>
        <v>#REF!</v>
      </c>
      <c r="C16" s="1427" t="s">
        <v>654</v>
      </c>
      <c r="D16" s="1423"/>
      <c r="E16" s="1423"/>
      <c r="F16" s="1423"/>
      <c r="G16" s="1956"/>
      <c r="H16" s="942"/>
      <c r="I16" s="942"/>
      <c r="J16" s="942"/>
      <c r="K16" s="942"/>
      <c r="L16" s="942"/>
      <c r="M16" s="942"/>
      <c r="N16" s="942"/>
      <c r="O16" s="942"/>
      <c r="P16" s="942"/>
      <c r="Q16" s="942"/>
      <c r="R16" s="942"/>
      <c r="S16" s="942"/>
    </row>
    <row r="17" spans="1:19" hidden="1" x14ac:dyDescent="0.35">
      <c r="A17" s="1426"/>
      <c r="B17" s="1422" t="e">
        <f>#REF!</f>
        <v>#REF!</v>
      </c>
      <c r="C17" s="1427" t="s">
        <v>654</v>
      </c>
      <c r="D17" s="1423"/>
      <c r="E17" s="1423"/>
      <c r="F17" s="1423"/>
      <c r="G17" s="1956"/>
      <c r="H17" s="942"/>
      <c r="I17" s="942"/>
      <c r="J17" s="942"/>
      <c r="K17" s="942"/>
      <c r="L17" s="942"/>
      <c r="M17" s="942"/>
      <c r="N17" s="942"/>
      <c r="O17" s="942"/>
      <c r="P17" s="942"/>
      <c r="Q17" s="942"/>
      <c r="R17" s="942"/>
      <c r="S17" s="942"/>
    </row>
    <row r="18" spans="1:19" hidden="1" x14ac:dyDescent="0.35">
      <c r="A18" s="1426"/>
      <c r="B18" s="1422" t="e">
        <f>#REF!</f>
        <v>#REF!</v>
      </c>
      <c r="C18" s="1427" t="s">
        <v>654</v>
      </c>
      <c r="D18" s="1423"/>
      <c r="E18" s="1423"/>
      <c r="F18" s="1423"/>
      <c r="G18" s="1956"/>
      <c r="H18" s="942"/>
      <c r="I18" s="942"/>
      <c r="J18" s="942"/>
      <c r="K18" s="942"/>
      <c r="L18" s="942"/>
      <c r="M18" s="942"/>
      <c r="N18" s="942"/>
      <c r="O18" s="942"/>
      <c r="P18" s="942"/>
      <c r="Q18" s="942"/>
      <c r="R18" s="942"/>
      <c r="S18" s="942"/>
    </row>
    <row r="19" spans="1:19" hidden="1" x14ac:dyDescent="0.35">
      <c r="A19" s="1426"/>
      <c r="B19" s="1422" t="e">
        <f>#REF!</f>
        <v>#REF!</v>
      </c>
      <c r="C19" s="1427" t="s">
        <v>654</v>
      </c>
      <c r="D19" s="1423"/>
      <c r="E19" s="1423"/>
      <c r="F19" s="1423"/>
      <c r="G19" s="1956"/>
      <c r="H19" s="942"/>
      <c r="I19" s="942"/>
      <c r="J19" s="942"/>
      <c r="K19" s="942"/>
      <c r="L19" s="942"/>
      <c r="M19" s="942"/>
      <c r="N19" s="942"/>
      <c r="O19" s="942"/>
      <c r="P19" s="942"/>
      <c r="Q19" s="942"/>
      <c r="R19" s="942"/>
      <c r="S19" s="942"/>
    </row>
    <row r="20" spans="1:19" ht="15" thickTop="1" x14ac:dyDescent="0.35">
      <c r="A20" s="1426"/>
      <c r="B20" s="1422"/>
      <c r="C20" s="1427"/>
      <c r="D20" s="1423"/>
      <c r="E20" s="1423"/>
      <c r="F20" s="1423"/>
      <c r="G20" s="1956"/>
      <c r="H20" s="943"/>
      <c r="I20" s="942"/>
      <c r="J20" s="943"/>
      <c r="K20" s="942"/>
      <c r="L20" s="943"/>
      <c r="M20" s="942"/>
      <c r="N20" s="943"/>
      <c r="O20" s="942"/>
      <c r="P20" s="943"/>
      <c r="Q20" s="942"/>
      <c r="R20" s="943"/>
      <c r="S20" s="942"/>
    </row>
    <row r="21" spans="1:19" ht="15" thickBot="1" x14ac:dyDescent="0.4">
      <c r="A21" s="1426"/>
      <c r="B21" s="1428" t="s">
        <v>2384</v>
      </c>
      <c r="C21" s="1427"/>
      <c r="D21" s="1423"/>
      <c r="E21" s="1423"/>
      <c r="F21" s="1423"/>
      <c r="G21" s="1956"/>
      <c r="H21" s="943"/>
      <c r="I21" s="942"/>
      <c r="J21" s="943"/>
      <c r="K21" s="942"/>
      <c r="L21" s="943"/>
      <c r="M21" s="942"/>
      <c r="N21" s="943"/>
      <c r="O21" s="942"/>
      <c r="P21" s="943"/>
      <c r="Q21" s="942"/>
      <c r="R21" s="943"/>
      <c r="S21" s="942"/>
    </row>
    <row r="22" spans="1:19" ht="15" thickBot="1" x14ac:dyDescent="0.4">
      <c r="A22" s="1957"/>
      <c r="B22" s="604" t="s">
        <v>657</v>
      </c>
      <c r="C22" s="1427"/>
      <c r="D22" s="1423"/>
      <c r="E22" s="1423"/>
      <c r="F22" s="1423"/>
      <c r="G22" s="1956"/>
      <c r="H22" s="943"/>
      <c r="I22" s="1180"/>
      <c r="J22" s="943"/>
      <c r="K22" s="1180"/>
      <c r="L22" s="943"/>
      <c r="M22" s="1180"/>
      <c r="N22" s="943"/>
      <c r="O22" s="1180"/>
      <c r="P22" s="943"/>
      <c r="Q22" s="1180"/>
      <c r="R22" s="943"/>
      <c r="S22" s="1180"/>
    </row>
    <row r="23" spans="1:19" x14ac:dyDescent="0.35">
      <c r="A23" s="1179"/>
      <c r="B23" s="603" t="s">
        <v>658</v>
      </c>
      <c r="C23" s="1797"/>
      <c r="D23" s="682"/>
      <c r="E23" s="1423"/>
      <c r="F23" s="1423"/>
      <c r="G23" s="1956"/>
      <c r="H23" s="943"/>
      <c r="I23" s="1158"/>
      <c r="J23" s="943"/>
      <c r="K23" s="1158"/>
      <c r="L23" s="943"/>
      <c r="M23" s="1158"/>
      <c r="N23" s="943"/>
      <c r="O23" s="1180"/>
      <c r="P23" s="943"/>
      <c r="Q23" s="1180"/>
      <c r="R23" s="943"/>
      <c r="S23" s="1180"/>
    </row>
    <row r="24" spans="1:19" x14ac:dyDescent="0.35">
      <c r="A24" s="1179"/>
      <c r="B24" s="1157" t="s">
        <v>659</v>
      </c>
      <c r="C24" s="1797"/>
      <c r="D24" s="682"/>
      <c r="E24" s="1423"/>
      <c r="F24" s="1423"/>
      <c r="G24" s="1956"/>
      <c r="H24" s="943"/>
      <c r="I24" s="1180"/>
      <c r="J24" s="943"/>
      <c r="K24" s="1158"/>
      <c r="L24" s="943"/>
      <c r="M24" s="1158"/>
      <c r="N24" s="943"/>
      <c r="O24" s="1180"/>
      <c r="P24" s="943"/>
      <c r="Q24" s="1180"/>
      <c r="R24" s="943"/>
      <c r="S24" s="1180"/>
    </row>
    <row r="25" spans="1:19" x14ac:dyDescent="0.35">
      <c r="A25" s="1179"/>
      <c r="B25" s="1159" t="s">
        <v>660</v>
      </c>
      <c r="C25" s="1956"/>
      <c r="D25" s="1423"/>
      <c r="E25" s="1423"/>
      <c r="F25" s="1423"/>
      <c r="G25" s="1956"/>
      <c r="H25" s="943"/>
      <c r="I25" s="1180"/>
      <c r="J25" s="943"/>
      <c r="K25" s="1180"/>
      <c r="L25" s="943"/>
      <c r="M25" s="1158"/>
      <c r="N25" s="943"/>
      <c r="O25" s="1180"/>
      <c r="P25" s="943"/>
      <c r="Q25" s="1180"/>
      <c r="R25" s="943"/>
      <c r="S25" s="1180"/>
    </row>
    <row r="26" spans="1:19" x14ac:dyDescent="0.35">
      <c r="A26" s="1179"/>
      <c r="B26" s="1159" t="s">
        <v>661</v>
      </c>
      <c r="C26" s="1956"/>
      <c r="D26" s="1423"/>
      <c r="E26" s="1423"/>
      <c r="F26" s="1423"/>
      <c r="G26" s="1956"/>
      <c r="H26" s="943"/>
      <c r="I26" s="1158"/>
      <c r="J26" s="943"/>
      <c r="K26" s="1158"/>
      <c r="L26" s="943"/>
      <c r="M26" s="1158"/>
      <c r="N26" s="943"/>
      <c r="O26" s="1158"/>
      <c r="P26" s="943"/>
      <c r="Q26" s="1158"/>
      <c r="R26" s="943"/>
      <c r="S26" s="1158"/>
    </row>
    <row r="27" spans="1:19" hidden="1" x14ac:dyDescent="0.35">
      <c r="A27" s="1179"/>
      <c r="B27" s="1159" t="s">
        <v>662</v>
      </c>
      <c r="C27" s="1956"/>
      <c r="D27" s="1423"/>
      <c r="E27" s="1423"/>
      <c r="F27" s="1423"/>
      <c r="G27" s="1956"/>
      <c r="H27" s="943"/>
      <c r="I27" s="1158"/>
      <c r="J27" s="943"/>
      <c r="K27" s="1158"/>
      <c r="L27" s="943"/>
      <c r="M27" s="1158"/>
      <c r="N27" s="943"/>
      <c r="O27" s="1158"/>
      <c r="P27" s="943"/>
      <c r="Q27" s="1158"/>
      <c r="R27" s="943"/>
      <c r="S27" s="1158"/>
    </row>
    <row r="28" spans="1:19" x14ac:dyDescent="0.35">
      <c r="A28" s="1179"/>
      <c r="B28" s="1159" t="s">
        <v>663</v>
      </c>
      <c r="C28" s="1956"/>
      <c r="D28" s="1423"/>
      <c r="E28" s="1423"/>
      <c r="F28" s="1423"/>
      <c r="G28" s="1956"/>
      <c r="H28" s="943"/>
      <c r="I28" s="1158"/>
      <c r="J28" s="943"/>
      <c r="K28" s="1158"/>
      <c r="L28" s="943"/>
      <c r="M28" s="1158"/>
      <c r="N28" s="943"/>
      <c r="O28" s="1158"/>
      <c r="P28" s="943"/>
      <c r="Q28" s="1158"/>
      <c r="R28" s="943"/>
      <c r="S28" s="1158"/>
    </row>
    <row r="29" spans="1:19" x14ac:dyDescent="0.35">
      <c r="A29" s="1179"/>
      <c r="B29" s="1159" t="s">
        <v>742</v>
      </c>
      <c r="C29" s="1956"/>
      <c r="D29" s="1423"/>
      <c r="E29" s="1423"/>
      <c r="F29" s="1423"/>
      <c r="G29" s="1956"/>
      <c r="H29" s="943"/>
      <c r="I29" s="1158"/>
      <c r="J29" s="943"/>
      <c r="K29" s="1158"/>
      <c r="L29" s="943"/>
      <c r="M29" s="1158"/>
      <c r="N29" s="943"/>
      <c r="O29" s="1158"/>
      <c r="P29" s="943"/>
      <c r="Q29" s="1158"/>
      <c r="R29" s="943"/>
      <c r="S29" s="1158"/>
    </row>
    <row r="30" spans="1:19" x14ac:dyDescent="0.35">
      <c r="A30" s="1179"/>
      <c r="B30" s="1160" t="s">
        <v>664</v>
      </c>
      <c r="C30" s="1956"/>
      <c r="D30" s="1423"/>
      <c r="E30" s="1423"/>
      <c r="F30" s="1423"/>
      <c r="G30" s="1956"/>
      <c r="H30" s="943"/>
      <c r="I30" s="1158"/>
      <c r="J30" s="943"/>
      <c r="K30" s="1158"/>
      <c r="L30" s="943"/>
      <c r="M30" s="1158"/>
      <c r="N30" s="943"/>
      <c r="O30" s="1158"/>
      <c r="P30" s="943"/>
      <c r="Q30" s="1158"/>
      <c r="R30" s="943"/>
      <c r="S30" s="1158"/>
    </row>
    <row r="31" spans="1:19" x14ac:dyDescent="0.35">
      <c r="A31" s="1179"/>
      <c r="B31" s="1910" t="s">
        <v>665</v>
      </c>
      <c r="C31" s="1911"/>
      <c r="D31" s="1431"/>
      <c r="E31" s="1431"/>
      <c r="F31" s="1431"/>
      <c r="G31" s="1911"/>
      <c r="H31" s="636"/>
      <c r="I31" s="1162"/>
      <c r="J31" s="636"/>
      <c r="K31" s="1162"/>
      <c r="L31" s="636"/>
      <c r="M31" s="1162"/>
      <c r="N31" s="636"/>
      <c r="O31" s="1162"/>
      <c r="P31" s="636"/>
      <c r="Q31" s="1162"/>
      <c r="R31" s="636"/>
      <c r="S31" s="1162"/>
    </row>
    <row r="32" spans="1:19" x14ac:dyDescent="0.35">
      <c r="A32" s="1179"/>
      <c r="B32" s="1958" t="s">
        <v>191</v>
      </c>
      <c r="C32" s="1956"/>
      <c r="D32" s="1423"/>
      <c r="E32" s="1423"/>
      <c r="F32" s="1423"/>
      <c r="G32" s="1956"/>
      <c r="H32" s="943"/>
      <c r="I32" s="1158"/>
      <c r="J32" s="943"/>
      <c r="K32" s="1158"/>
      <c r="L32" s="943"/>
      <c r="M32" s="1158"/>
      <c r="N32" s="943"/>
      <c r="O32" s="1158"/>
      <c r="P32" s="943"/>
      <c r="Q32" s="1158"/>
      <c r="R32" s="943"/>
      <c r="S32" s="1158"/>
    </row>
    <row r="33" spans="1:19" x14ac:dyDescent="0.35">
      <c r="A33" s="1179"/>
      <c r="B33" s="1959"/>
      <c r="C33" s="1956"/>
      <c r="D33" s="1423"/>
      <c r="E33" s="1423"/>
      <c r="F33" s="1423"/>
      <c r="G33" s="1956"/>
      <c r="H33" s="943"/>
      <c r="I33" s="1158"/>
      <c r="J33" s="943"/>
      <c r="K33" s="1158"/>
      <c r="L33" s="943"/>
      <c r="M33" s="1158"/>
      <c r="N33" s="943"/>
      <c r="O33" s="1158"/>
      <c r="P33" s="943"/>
      <c r="Q33" s="1158"/>
      <c r="R33" s="943"/>
      <c r="S33" s="1158"/>
    </row>
    <row r="34" spans="1:19" x14ac:dyDescent="0.35">
      <c r="A34" s="1179"/>
      <c r="B34" s="1960"/>
      <c r="C34" s="1956"/>
      <c r="D34" s="1423"/>
      <c r="E34" s="1423"/>
      <c r="F34" s="1423"/>
      <c r="G34" s="1956"/>
      <c r="H34" s="943"/>
      <c r="I34" s="1158"/>
      <c r="J34" s="943"/>
      <c r="K34" s="1158"/>
      <c r="L34" s="943"/>
      <c r="M34" s="1158"/>
      <c r="N34" s="943"/>
      <c r="O34" s="1158"/>
      <c r="P34" s="943"/>
      <c r="Q34" s="1158"/>
      <c r="R34" s="943"/>
      <c r="S34" s="1158"/>
    </row>
    <row r="35" spans="1:19" x14ac:dyDescent="0.35">
      <c r="A35" s="1179"/>
      <c r="B35" s="1951"/>
      <c r="C35" s="1956"/>
      <c r="D35" s="1423"/>
      <c r="E35" s="1423"/>
      <c r="F35" s="1423"/>
      <c r="G35" s="1956"/>
      <c r="H35" s="943"/>
      <c r="I35" s="1158"/>
      <c r="J35" s="943"/>
      <c r="K35" s="1158"/>
      <c r="L35" s="943"/>
      <c r="M35" s="1158"/>
      <c r="N35" s="943"/>
      <c r="O35" s="1158"/>
      <c r="P35" s="943"/>
      <c r="Q35" s="1158"/>
      <c r="R35" s="943"/>
      <c r="S35" s="1158"/>
    </row>
    <row r="36" spans="1:19" x14ac:dyDescent="0.35">
      <c r="A36" s="1179"/>
      <c r="B36" s="1951"/>
      <c r="C36" s="1956"/>
      <c r="D36" s="1423"/>
      <c r="E36" s="1423"/>
      <c r="F36" s="1423"/>
      <c r="G36" s="1956"/>
      <c r="H36" s="943"/>
      <c r="I36" s="1158"/>
      <c r="J36" s="943"/>
      <c r="K36" s="1158"/>
      <c r="L36" s="943"/>
      <c r="M36" s="1158"/>
      <c r="N36" s="943"/>
      <c r="O36" s="1158"/>
      <c r="P36" s="943"/>
      <c r="Q36" s="1158"/>
      <c r="R36" s="943"/>
      <c r="S36" s="1158"/>
    </row>
    <row r="37" spans="1:19" x14ac:dyDescent="0.35">
      <c r="A37" s="1179"/>
      <c r="B37" s="1951"/>
      <c r="C37" s="1956"/>
      <c r="D37" s="1423"/>
      <c r="E37" s="1423"/>
      <c r="F37" s="1423"/>
      <c r="G37" s="1956"/>
      <c r="H37" s="943"/>
      <c r="I37" s="1158"/>
      <c r="J37" s="943"/>
      <c r="K37" s="1158"/>
      <c r="L37" s="943"/>
      <c r="M37" s="1158"/>
      <c r="N37" s="943"/>
      <c r="O37" s="1158"/>
      <c r="P37" s="943"/>
      <c r="Q37" s="1158"/>
      <c r="R37" s="943"/>
      <c r="S37" s="1158"/>
    </row>
    <row r="38" spans="1:19" x14ac:dyDescent="0.35">
      <c r="A38" s="1179"/>
      <c r="B38" s="1951"/>
      <c r="C38" s="1956"/>
      <c r="D38" s="1423"/>
      <c r="E38" s="1423"/>
      <c r="F38" s="1423"/>
      <c r="G38" s="1956"/>
      <c r="H38" s="943" t="s">
        <v>669</v>
      </c>
      <c r="I38" s="1158"/>
      <c r="J38" s="943"/>
      <c r="K38" s="1158"/>
      <c r="L38" s="943"/>
      <c r="M38" s="1158"/>
      <c r="N38" s="943"/>
      <c r="O38" s="1158"/>
      <c r="P38" s="943"/>
      <c r="Q38" s="1158"/>
      <c r="R38" s="943"/>
      <c r="S38" s="1158"/>
    </row>
    <row r="39" spans="1:19" x14ac:dyDescent="0.35">
      <c r="A39" s="1179"/>
      <c r="B39" s="1951"/>
      <c r="C39" s="1956"/>
      <c r="D39" s="1423"/>
      <c r="E39" s="1423"/>
      <c r="F39" s="1423"/>
      <c r="G39" s="1956"/>
      <c r="H39" s="943"/>
      <c r="I39" s="1158"/>
      <c r="J39" s="943"/>
      <c r="K39" s="1158"/>
      <c r="L39" s="943"/>
      <c r="M39" s="1158"/>
      <c r="N39" s="943"/>
      <c r="O39" s="1158"/>
      <c r="P39" s="943"/>
      <c r="Q39" s="1158"/>
      <c r="R39" s="943"/>
      <c r="S39" s="1158"/>
    </row>
    <row r="40" spans="1:19" x14ac:dyDescent="0.35">
      <c r="A40" s="1179"/>
      <c r="B40" s="1961"/>
      <c r="C40" s="1956"/>
      <c r="D40" s="1423"/>
      <c r="E40" s="1423"/>
      <c r="F40" s="1423"/>
      <c r="G40" s="1956"/>
      <c r="H40" s="943"/>
      <c r="I40" s="1158"/>
      <c r="J40" s="943"/>
      <c r="K40" s="1158"/>
      <c r="L40" s="943"/>
      <c r="M40" s="1158"/>
      <c r="N40" s="943"/>
      <c r="O40" s="1158"/>
      <c r="P40" s="943"/>
      <c r="Q40" s="1158"/>
      <c r="R40" s="943"/>
      <c r="S40" s="1158"/>
    </row>
    <row r="41" spans="1:19" x14ac:dyDescent="0.35">
      <c r="A41" s="1179"/>
      <c r="B41" s="1961"/>
      <c r="C41" s="1956"/>
      <c r="D41" s="1423"/>
      <c r="E41" s="1423"/>
      <c r="F41" s="1423"/>
      <c r="G41" s="1956"/>
      <c r="H41" s="943"/>
      <c r="I41" s="1158"/>
      <c r="J41" s="943"/>
      <c r="K41" s="1158"/>
      <c r="L41" s="943"/>
      <c r="M41" s="1158"/>
      <c r="N41" s="943"/>
      <c r="O41" s="1158"/>
      <c r="P41" s="943"/>
      <c r="Q41" s="1158"/>
      <c r="R41" s="943"/>
      <c r="S41" s="1158"/>
    </row>
    <row r="42" spans="1:19" x14ac:dyDescent="0.35">
      <c r="A42" s="1179"/>
      <c r="B42" s="1961"/>
      <c r="C42" s="1956"/>
      <c r="D42" s="1423"/>
      <c r="E42" s="1423"/>
      <c r="F42" s="1423"/>
      <c r="G42" s="1956"/>
      <c r="H42" s="943"/>
      <c r="I42" s="1158"/>
      <c r="J42" s="943"/>
      <c r="K42" s="1158"/>
      <c r="L42" s="943"/>
      <c r="M42" s="1158"/>
      <c r="N42" s="943"/>
      <c r="O42" s="1158"/>
      <c r="P42" s="943"/>
      <c r="Q42" s="1158"/>
      <c r="R42" s="943"/>
      <c r="S42" s="1158"/>
    </row>
    <row r="43" spans="1:19" x14ac:dyDescent="0.35">
      <c r="A43" s="1179"/>
      <c r="B43" s="1961"/>
      <c r="C43" s="1956"/>
      <c r="D43" s="1423"/>
      <c r="E43" s="1423"/>
      <c r="F43" s="1423"/>
      <c r="G43" s="1956"/>
      <c r="H43" s="943"/>
      <c r="I43" s="1158"/>
      <c r="J43" s="943"/>
      <c r="K43" s="1158"/>
      <c r="L43" s="943"/>
      <c r="M43" s="1158"/>
      <c r="N43" s="943"/>
      <c r="O43" s="1158"/>
      <c r="P43" s="943"/>
      <c r="Q43" s="1158"/>
      <c r="R43" s="943"/>
      <c r="S43" s="1158"/>
    </row>
    <row r="44" spans="1:19" x14ac:dyDescent="0.35">
      <c r="A44" s="1179"/>
      <c r="B44" s="1962"/>
      <c r="C44" s="1956"/>
      <c r="D44" s="1423"/>
      <c r="E44" s="1423"/>
      <c r="F44" s="1423"/>
      <c r="G44" s="1956"/>
      <c r="H44" s="943"/>
      <c r="I44" s="1158"/>
      <c r="J44" s="943"/>
      <c r="K44" s="1158"/>
      <c r="L44" s="943"/>
      <c r="M44" s="1158"/>
      <c r="N44" s="943"/>
      <c r="O44" s="1158"/>
      <c r="P44" s="943"/>
      <c r="Q44" s="1158"/>
      <c r="R44" s="943"/>
      <c r="S44" s="1158"/>
    </row>
    <row r="45" spans="1:19" x14ac:dyDescent="0.35">
      <c r="A45" s="1179"/>
      <c r="B45" s="1953"/>
      <c r="C45" s="1956"/>
      <c r="D45" s="1423"/>
      <c r="E45" s="1423"/>
      <c r="F45" s="1423"/>
      <c r="G45" s="1956"/>
      <c r="H45" s="943"/>
      <c r="I45" s="1158"/>
      <c r="J45" s="943"/>
      <c r="K45" s="1158"/>
      <c r="L45" s="943"/>
      <c r="M45" s="1158"/>
      <c r="N45" s="943"/>
      <c r="O45" s="1158"/>
      <c r="P45" s="943"/>
      <c r="Q45" s="1158"/>
      <c r="R45" s="943"/>
      <c r="S45" s="1158"/>
    </row>
    <row r="46" spans="1:19" x14ac:dyDescent="0.35">
      <c r="A46" s="1179"/>
      <c r="B46" s="1770"/>
      <c r="C46" s="1956"/>
      <c r="D46" s="1423"/>
      <c r="E46" s="1423"/>
      <c r="F46" s="1423"/>
      <c r="G46" s="1956"/>
      <c r="H46" s="943"/>
      <c r="I46" s="1158"/>
      <c r="J46" s="943"/>
      <c r="K46" s="1158"/>
      <c r="L46" s="943"/>
      <c r="M46" s="1158"/>
      <c r="N46" s="943"/>
      <c r="O46" s="1158"/>
      <c r="P46" s="943"/>
      <c r="Q46" s="1158"/>
      <c r="R46" s="943"/>
      <c r="S46" s="1158"/>
    </row>
    <row r="47" spans="1:19" x14ac:dyDescent="0.35">
      <c r="A47" s="1179"/>
      <c r="B47" s="1771"/>
      <c r="C47" s="1956"/>
      <c r="D47" s="1423"/>
      <c r="E47" s="1423"/>
      <c r="F47" s="1423"/>
      <c r="G47" s="1956"/>
      <c r="H47" s="943"/>
      <c r="I47" s="1158"/>
      <c r="J47" s="943"/>
      <c r="K47" s="1158"/>
      <c r="L47" s="943"/>
      <c r="M47" s="1158"/>
      <c r="N47" s="943"/>
      <c r="O47" s="1158"/>
      <c r="P47" s="943"/>
      <c r="Q47" s="1158"/>
      <c r="R47" s="943"/>
      <c r="S47" s="1158"/>
    </row>
    <row r="48" spans="1:19" x14ac:dyDescent="0.35">
      <c r="A48" s="1179"/>
      <c r="B48" s="1770"/>
      <c r="C48" s="1956"/>
      <c r="D48" s="1423"/>
      <c r="E48" s="1423"/>
      <c r="F48" s="1423"/>
      <c r="G48" s="1956"/>
      <c r="H48" s="943"/>
      <c r="I48" s="1158"/>
      <c r="J48" s="943"/>
      <c r="K48" s="1158"/>
      <c r="L48" s="943"/>
      <c r="M48" s="1158"/>
      <c r="N48" s="943"/>
      <c r="O48" s="1158"/>
      <c r="P48" s="943"/>
      <c r="Q48" s="1158"/>
      <c r="R48" s="943"/>
      <c r="S48" s="1158"/>
    </row>
    <row r="49" spans="1:19" x14ac:dyDescent="0.35">
      <c r="A49" s="1179"/>
      <c r="B49" s="1770"/>
      <c r="C49" s="1956"/>
      <c r="D49" s="1423"/>
      <c r="E49" s="1423"/>
      <c r="F49" s="1423"/>
      <c r="G49" s="1956"/>
      <c r="H49" s="943"/>
      <c r="I49" s="1158"/>
      <c r="J49" s="943"/>
      <c r="K49" s="1158"/>
      <c r="L49" s="943"/>
      <c r="M49" s="1158"/>
      <c r="N49" s="943"/>
      <c r="O49" s="1158"/>
      <c r="P49" s="943"/>
      <c r="Q49" s="1158"/>
      <c r="R49" s="943"/>
      <c r="S49" s="1158"/>
    </row>
    <row r="50" spans="1:19" x14ac:dyDescent="0.35">
      <c r="A50" s="1179"/>
      <c r="B50" s="1771"/>
      <c r="C50" s="1956"/>
      <c r="D50" s="1423"/>
      <c r="E50" s="1423"/>
      <c r="F50" s="1423"/>
      <c r="G50" s="1956"/>
      <c r="H50" s="943"/>
      <c r="I50" s="1158"/>
      <c r="J50" s="943"/>
      <c r="K50" s="1158"/>
      <c r="L50" s="943"/>
      <c r="M50" s="1158"/>
      <c r="N50" s="943"/>
      <c r="O50" s="1158"/>
      <c r="P50" s="943"/>
      <c r="Q50" s="1158"/>
      <c r="R50" s="943"/>
      <c r="S50" s="1158"/>
    </row>
    <row r="51" spans="1:19" x14ac:dyDescent="0.35">
      <c r="A51" s="1179"/>
      <c r="B51" s="1770"/>
      <c r="C51" s="1956"/>
      <c r="D51" s="1423"/>
      <c r="E51" s="1423"/>
      <c r="F51" s="1423"/>
      <c r="G51" s="1956"/>
      <c r="H51" s="943"/>
      <c r="I51" s="1158"/>
      <c r="J51" s="943"/>
      <c r="K51" s="1158"/>
      <c r="L51" s="943"/>
      <c r="M51" s="1158"/>
      <c r="N51" s="943"/>
      <c r="O51" s="1158"/>
      <c r="P51" s="943"/>
      <c r="Q51" s="1158"/>
      <c r="R51" s="943"/>
      <c r="S51" s="1158"/>
    </row>
    <row r="52" spans="1:19" x14ac:dyDescent="0.35">
      <c r="A52" s="1179"/>
      <c r="B52" s="1962"/>
      <c r="C52" s="1956"/>
      <c r="D52" s="1423"/>
      <c r="E52" s="1423"/>
      <c r="F52" s="1423"/>
      <c r="G52" s="1956"/>
      <c r="H52" s="943"/>
      <c r="I52" s="1158"/>
      <c r="J52" s="943"/>
      <c r="K52" s="1158"/>
      <c r="L52" s="943"/>
      <c r="M52" s="1158"/>
      <c r="N52" s="943"/>
      <c r="O52" s="1158"/>
      <c r="P52" s="943"/>
      <c r="Q52" s="1158"/>
      <c r="R52" s="943"/>
      <c r="S52" s="1158"/>
    </row>
    <row r="53" spans="1:19" x14ac:dyDescent="0.35">
      <c r="A53" s="1179"/>
      <c r="B53" s="1772" t="s">
        <v>191</v>
      </c>
      <c r="C53" s="1956"/>
      <c r="D53" s="1423"/>
      <c r="E53" s="1423"/>
      <c r="F53" s="1423"/>
      <c r="G53" s="1956"/>
      <c r="H53" s="943"/>
      <c r="I53" s="1158"/>
      <c r="J53" s="943"/>
      <c r="K53" s="1158"/>
      <c r="L53" s="943"/>
      <c r="M53" s="1158"/>
      <c r="N53" s="943"/>
      <c r="O53" s="1158"/>
      <c r="P53" s="943"/>
      <c r="Q53" s="1158"/>
      <c r="R53" s="943"/>
      <c r="S53" s="1158"/>
    </row>
    <row r="54" spans="1:19" x14ac:dyDescent="0.35">
      <c r="A54" s="1179"/>
      <c r="B54" s="1962" t="s">
        <v>191</v>
      </c>
      <c r="C54" s="1956"/>
      <c r="D54" s="1423"/>
      <c r="E54" s="1423"/>
      <c r="F54" s="1423"/>
      <c r="G54" s="1956"/>
      <c r="H54" s="943"/>
      <c r="I54" s="1158"/>
      <c r="J54" s="943"/>
      <c r="K54" s="1158"/>
      <c r="L54" s="943"/>
      <c r="M54" s="1158"/>
      <c r="N54" s="943"/>
      <c r="O54" s="1158"/>
      <c r="P54" s="943"/>
      <c r="Q54" s="1158"/>
      <c r="R54" s="943"/>
      <c r="S54" s="1158"/>
    </row>
    <row r="55" spans="1:19" x14ac:dyDescent="0.35">
      <c r="A55" s="1179"/>
      <c r="B55" s="1772" t="s">
        <v>191</v>
      </c>
      <c r="C55" s="1956"/>
      <c r="D55" s="1423"/>
      <c r="E55" s="1423"/>
      <c r="F55" s="1423"/>
      <c r="G55" s="1956"/>
      <c r="H55" s="943"/>
      <c r="I55" s="1158"/>
      <c r="J55" s="943"/>
      <c r="K55" s="1158"/>
      <c r="L55" s="943"/>
      <c r="M55" s="1158"/>
      <c r="N55" s="943"/>
      <c r="O55" s="1158"/>
      <c r="P55" s="943"/>
      <c r="Q55" s="1158"/>
      <c r="R55" s="943"/>
      <c r="S55" s="1158"/>
    </row>
    <row r="56" spans="1:19" x14ac:dyDescent="0.35">
      <c r="A56" s="1179"/>
      <c r="B56" s="1962" t="s">
        <v>191</v>
      </c>
      <c r="C56" s="1954"/>
      <c r="D56" s="1423"/>
      <c r="E56" s="1423"/>
      <c r="F56" s="1423"/>
      <c r="G56" s="1956"/>
      <c r="H56" s="943"/>
      <c r="I56" s="1158"/>
      <c r="J56" s="943"/>
      <c r="K56" s="1158"/>
      <c r="L56" s="943"/>
      <c r="M56" s="1158"/>
      <c r="N56" s="943"/>
      <c r="O56" s="1158"/>
      <c r="P56" s="943"/>
      <c r="Q56" s="1158"/>
      <c r="R56" s="943"/>
      <c r="S56" s="1158"/>
    </row>
    <row r="57" spans="1:19" x14ac:dyDescent="0.35">
      <c r="A57" s="1179"/>
      <c r="B57" s="1772" t="s">
        <v>191</v>
      </c>
      <c r="C57" s="1797"/>
      <c r="D57" s="682"/>
      <c r="E57" s="1423"/>
      <c r="F57" s="1423"/>
      <c r="G57" s="1956"/>
      <c r="H57" s="943"/>
      <c r="I57" s="1158"/>
      <c r="J57" s="943"/>
      <c r="K57" s="1158"/>
      <c r="L57" s="943"/>
      <c r="M57" s="1158"/>
      <c r="N57" s="943"/>
      <c r="O57" s="1158"/>
      <c r="P57" s="943"/>
      <c r="Q57" s="1158"/>
      <c r="R57" s="943"/>
      <c r="S57" s="1158"/>
    </row>
    <row r="58" spans="1:19" x14ac:dyDescent="0.35">
      <c r="A58" s="1179"/>
      <c r="B58" s="1953"/>
      <c r="C58" s="1797"/>
      <c r="D58" s="682"/>
      <c r="E58" s="1423"/>
      <c r="F58" s="1423"/>
      <c r="G58" s="1956"/>
      <c r="H58" s="943"/>
      <c r="I58" s="1158"/>
      <c r="J58" s="943"/>
      <c r="K58" s="1158"/>
      <c r="L58" s="943"/>
      <c r="M58" s="1158"/>
      <c r="N58" s="943"/>
      <c r="O58" s="1158"/>
      <c r="P58" s="943"/>
      <c r="Q58" s="1158"/>
      <c r="R58" s="943"/>
      <c r="S58" s="1158"/>
    </row>
    <row r="59" spans="1:19" x14ac:dyDescent="0.35">
      <c r="A59" s="1179"/>
      <c r="B59" s="1770"/>
      <c r="C59" s="1797"/>
      <c r="D59" s="682"/>
      <c r="E59" s="1423"/>
      <c r="F59" s="1423"/>
      <c r="G59" s="1956"/>
      <c r="H59" s="943"/>
      <c r="I59" s="1158"/>
      <c r="J59" s="943"/>
      <c r="K59" s="1158"/>
      <c r="L59" s="943"/>
      <c r="M59" s="1158"/>
      <c r="N59" s="943"/>
      <c r="O59" s="1158"/>
      <c r="P59" s="943"/>
      <c r="Q59" s="1158"/>
      <c r="R59" s="943"/>
      <c r="S59" s="1158"/>
    </row>
    <row r="60" spans="1:19" x14ac:dyDescent="0.35">
      <c r="A60" s="1179"/>
      <c r="B60" s="1771"/>
      <c r="C60" s="1797"/>
      <c r="D60" s="682"/>
      <c r="E60" s="1423"/>
      <c r="F60" s="1423"/>
      <c r="G60" s="1956"/>
      <c r="H60" s="943"/>
      <c r="I60" s="1158"/>
      <c r="J60" s="943"/>
      <c r="K60" s="1158"/>
      <c r="L60" s="943"/>
      <c r="M60" s="1158"/>
      <c r="N60" s="943"/>
      <c r="O60" s="1158"/>
      <c r="P60" s="943"/>
      <c r="Q60" s="1158"/>
      <c r="R60" s="943"/>
      <c r="S60" s="1158"/>
    </row>
    <row r="61" spans="1:19" x14ac:dyDescent="0.35">
      <c r="A61" s="1179"/>
      <c r="B61" s="1770"/>
      <c r="C61" s="1797"/>
      <c r="D61" s="682"/>
      <c r="E61" s="1423"/>
      <c r="F61" s="1423"/>
      <c r="G61" s="1956"/>
      <c r="H61" s="943"/>
      <c r="I61" s="1158"/>
      <c r="J61" s="943"/>
      <c r="K61" s="1158"/>
      <c r="L61" s="943"/>
      <c r="M61" s="1158"/>
      <c r="N61" s="943"/>
      <c r="O61" s="1158"/>
      <c r="P61" s="943"/>
      <c r="Q61" s="1158"/>
      <c r="R61" s="943"/>
      <c r="S61" s="1158"/>
    </row>
    <row r="62" spans="1:19" ht="15" thickBot="1" x14ac:dyDescent="0.4">
      <c r="A62" s="1963"/>
      <c r="B62" s="1771"/>
      <c r="C62" s="1797"/>
      <c r="D62" s="682"/>
      <c r="E62" s="1423"/>
      <c r="F62" s="1423"/>
      <c r="G62" s="1956"/>
      <c r="H62" s="943"/>
      <c r="I62" s="1158"/>
      <c r="J62" s="943"/>
      <c r="K62" s="1158"/>
      <c r="L62" s="943"/>
      <c r="M62" s="1180"/>
      <c r="N62" s="943"/>
      <c r="O62" s="1158"/>
      <c r="P62" s="943"/>
      <c r="Q62" s="1158"/>
      <c r="R62" s="943"/>
      <c r="S62" s="1158"/>
    </row>
    <row r="63" spans="1:19" ht="15" thickTop="1" x14ac:dyDescent="0.35">
      <c r="A63" s="14"/>
      <c r="B63" s="15"/>
      <c r="C63" s="16"/>
      <c r="D63" s="16"/>
      <c r="E63" s="17"/>
      <c r="F63" s="18" t="s">
        <v>715</v>
      </c>
      <c r="G63" s="19"/>
      <c r="H63" s="20"/>
      <c r="I63" s="50">
        <f>SUM(I23:I62)</f>
        <v>0</v>
      </c>
      <c r="J63" s="20"/>
      <c r="K63" s="50">
        <f>SUM(K23:K62)</f>
        <v>0</v>
      </c>
      <c r="L63" s="20"/>
      <c r="M63" s="50">
        <f>SUM(M23:M62)</f>
        <v>0</v>
      </c>
      <c r="N63" s="20"/>
      <c r="O63" s="50">
        <f>SUM(O26:O62)</f>
        <v>0</v>
      </c>
      <c r="P63" s="20"/>
      <c r="Q63" s="50">
        <f>SUM(Q26:Q62)</f>
        <v>0</v>
      </c>
      <c r="R63" s="20"/>
      <c r="S63" s="50">
        <f>SUM(S26:S62)</f>
        <v>0</v>
      </c>
    </row>
    <row r="64" spans="1:19" x14ac:dyDescent="0.35">
      <c r="A64" s="1964"/>
      <c r="B64" s="1965"/>
      <c r="C64" s="1966"/>
      <c r="D64" s="1966"/>
      <c r="E64" s="1967"/>
      <c r="F64" s="1968" t="s">
        <v>716</v>
      </c>
      <c r="G64" s="1904"/>
      <c r="H64" s="1969">
        <v>0</v>
      </c>
      <c r="I64" s="1970"/>
      <c r="J64" s="1971">
        <v>0</v>
      </c>
      <c r="K64" s="1970"/>
      <c r="L64" s="1971">
        <v>0</v>
      </c>
      <c r="M64" s="1970"/>
      <c r="N64" s="1969">
        <v>0</v>
      </c>
      <c r="O64" s="1970"/>
      <c r="P64" s="1969">
        <v>0</v>
      </c>
      <c r="Q64" s="1970"/>
      <c r="R64" s="1969">
        <v>0</v>
      </c>
      <c r="S64" s="1970"/>
    </row>
    <row r="65" spans="1:19" x14ac:dyDescent="0.35">
      <c r="A65" s="1964"/>
      <c r="B65" s="1965"/>
      <c r="C65" s="1966"/>
      <c r="D65" s="1966"/>
      <c r="E65" s="1967"/>
      <c r="F65" s="1968" t="s">
        <v>717</v>
      </c>
      <c r="G65" s="1904"/>
      <c r="H65" s="1972"/>
      <c r="I65" s="1973">
        <f>H64*I63</f>
        <v>0</v>
      </c>
      <c r="J65" s="1972"/>
      <c r="K65" s="1973">
        <f>J64*K63</f>
        <v>0</v>
      </c>
      <c r="L65" s="1972"/>
      <c r="M65" s="1973">
        <f>L64*M63</f>
        <v>0</v>
      </c>
      <c r="N65" s="1972"/>
      <c r="O65" s="1973">
        <f>N64*O63</f>
        <v>0</v>
      </c>
      <c r="P65" s="1972"/>
      <c r="Q65" s="1973">
        <f>P64*Q63</f>
        <v>0</v>
      </c>
      <c r="R65" s="1972"/>
      <c r="S65" s="1973">
        <f>R64*S63</f>
        <v>0</v>
      </c>
    </row>
    <row r="66" spans="1:19" x14ac:dyDescent="0.35">
      <c r="A66" s="1964"/>
      <c r="B66" s="1965"/>
      <c r="C66" s="1966"/>
      <c r="D66" s="1966"/>
      <c r="E66" s="1967"/>
      <c r="F66" s="1968"/>
      <c r="G66" s="1904"/>
      <c r="H66" s="1972"/>
      <c r="I66" s="1974"/>
      <c r="J66" s="1972"/>
      <c r="K66" s="1974"/>
      <c r="L66" s="1972"/>
      <c r="M66" s="1974"/>
      <c r="N66" s="1972"/>
      <c r="O66" s="1974"/>
      <c r="P66" s="1972"/>
      <c r="Q66" s="1974"/>
      <c r="R66" s="1972"/>
      <c r="S66" s="1974"/>
    </row>
    <row r="67" spans="1:19" x14ac:dyDescent="0.35">
      <c r="A67" s="1964"/>
      <c r="B67" s="1965"/>
      <c r="C67" s="1966"/>
      <c r="D67" s="1966"/>
      <c r="E67" s="1967"/>
      <c r="F67" s="1968" t="s">
        <v>718</v>
      </c>
      <c r="G67" s="1904"/>
      <c r="H67" s="1975"/>
      <c r="I67" s="1976">
        <f>SUM(I63:I65)</f>
        <v>0</v>
      </c>
      <c r="J67" s="1975"/>
      <c r="K67" s="1976">
        <f>SUM(K63:K65)</f>
        <v>0</v>
      </c>
      <c r="L67" s="1975"/>
      <c r="M67" s="1976">
        <f>SUM(M63:M65)</f>
        <v>0</v>
      </c>
      <c r="N67" s="1975"/>
      <c r="O67" s="1976">
        <f>SUM(O63:O65)</f>
        <v>0</v>
      </c>
      <c r="P67" s="1975"/>
      <c r="Q67" s="1976">
        <f>SUM(Q63:Q65)</f>
        <v>0</v>
      </c>
      <c r="R67" s="1975"/>
      <c r="S67" s="1976">
        <f>SUM(S63:S65)</f>
        <v>0</v>
      </c>
    </row>
    <row r="68" spans="1:19" x14ac:dyDescent="0.35">
      <c r="A68" s="1964"/>
      <c r="B68" s="1965"/>
      <c r="C68" s="1966"/>
      <c r="D68" s="1966"/>
      <c r="E68" s="1967"/>
      <c r="F68" s="1977" t="s">
        <v>719</v>
      </c>
      <c r="G68" s="1906"/>
      <c r="H68" s="1978"/>
      <c r="I68" s="1979" t="e">
        <f>I67/#REF!</f>
        <v>#REF!</v>
      </c>
      <c r="J68" s="1978"/>
      <c r="K68" s="1979" t="e">
        <f>K67/#REF!</f>
        <v>#REF!</v>
      </c>
      <c r="L68" s="1978"/>
      <c r="M68" s="1979" t="e">
        <f>M67/#REF!</f>
        <v>#REF!</v>
      </c>
      <c r="N68" s="1978"/>
      <c r="O68" s="1979" t="e">
        <f>O67/#REF!</f>
        <v>#REF!</v>
      </c>
      <c r="P68" s="1978"/>
      <c r="Q68" s="1979" t="e">
        <f>Q67/#REF!</f>
        <v>#REF!</v>
      </c>
      <c r="R68" s="1978"/>
      <c r="S68" s="1979" t="e">
        <f>S67/#REF!</f>
        <v>#REF!</v>
      </c>
    </row>
    <row r="69" spans="1:19" x14ac:dyDescent="0.35">
      <c r="A69" s="1964"/>
      <c r="B69" s="1965"/>
      <c r="C69" s="1966"/>
      <c r="D69" s="1966"/>
      <c r="E69" s="1967"/>
      <c r="F69" s="1977" t="s">
        <v>720</v>
      </c>
      <c r="G69" s="1907"/>
      <c r="H69" s="1978"/>
      <c r="I69" s="1979" t="e">
        <f>I67/#REF!</f>
        <v>#REF!</v>
      </c>
      <c r="J69" s="1978"/>
      <c r="K69" s="1979" t="e">
        <f>K67/#REF!</f>
        <v>#REF!</v>
      </c>
      <c r="L69" s="1978"/>
      <c r="M69" s="1979" t="e">
        <f>M67/#REF!</f>
        <v>#REF!</v>
      </c>
      <c r="N69" s="1978"/>
      <c r="O69" s="1979" t="e">
        <f>O67/#REF!</f>
        <v>#REF!</v>
      </c>
      <c r="P69" s="1978"/>
      <c r="Q69" s="1979" t="e">
        <f>Q67/#REF!</f>
        <v>#REF!</v>
      </c>
      <c r="R69" s="1978"/>
      <c r="S69" s="1979" t="e">
        <f>S67/#REF!</f>
        <v>#REF!</v>
      </c>
    </row>
    <row r="70" spans="1:19" ht="15" thickBot="1" x14ac:dyDescent="0.4">
      <c r="A70" s="1964"/>
      <c r="B70" s="1965"/>
      <c r="C70" s="1966"/>
      <c r="D70" s="1966"/>
      <c r="E70" s="1967"/>
      <c r="F70" s="1968"/>
      <c r="G70" s="1908"/>
      <c r="H70" s="1980"/>
      <c r="I70" s="1981"/>
      <c r="J70" s="1982"/>
      <c r="K70" s="1982"/>
      <c r="L70" s="1982"/>
      <c r="M70" s="1982"/>
      <c r="N70" s="1982"/>
      <c r="O70" s="1983"/>
      <c r="P70" s="1982"/>
      <c r="Q70" s="1983"/>
      <c r="R70" s="1982"/>
      <c r="S70" s="1983"/>
    </row>
    <row r="71" spans="1:19" ht="15.5" thickTop="1" thickBot="1" x14ac:dyDescent="0.4">
      <c r="A71" s="3764" t="s">
        <v>721</v>
      </c>
      <c r="B71" s="3765"/>
      <c r="C71" s="12"/>
      <c r="D71" s="12"/>
      <c r="E71" s="12"/>
      <c r="F71" s="12"/>
      <c r="G71" s="13"/>
      <c r="H71" s="21"/>
      <c r="I71" s="21"/>
      <c r="J71" s="21"/>
      <c r="K71" s="21"/>
      <c r="L71" s="21"/>
      <c r="M71" s="21"/>
      <c r="N71" s="21"/>
      <c r="O71" s="21"/>
      <c r="P71" s="21"/>
      <c r="Q71" s="21"/>
      <c r="R71" s="21"/>
      <c r="S71" s="21"/>
    </row>
    <row r="72" spans="1:19" ht="15" thickTop="1" x14ac:dyDescent="0.35">
      <c r="A72" s="1170"/>
      <c r="B72" s="1422"/>
      <c r="C72" s="1171"/>
      <c r="D72" s="1171"/>
      <c r="E72" s="1171"/>
      <c r="F72" s="1171"/>
      <c r="G72" s="1172"/>
      <c r="H72" s="1460"/>
      <c r="I72" s="1460"/>
      <c r="J72" s="1460"/>
      <c r="K72" s="1460"/>
      <c r="L72" s="1460"/>
      <c r="M72" s="1460"/>
      <c r="N72" s="1460"/>
      <c r="O72" s="1460"/>
      <c r="P72" s="1460"/>
      <c r="Q72" s="1460"/>
      <c r="R72" s="1460"/>
      <c r="S72" s="1460"/>
    </row>
    <row r="73" spans="1:19" x14ac:dyDescent="0.35">
      <c r="A73" s="1170"/>
      <c r="B73" s="1422"/>
      <c r="C73" s="1171"/>
      <c r="D73" s="1171"/>
      <c r="E73" s="1171"/>
      <c r="F73" s="1171"/>
      <c r="G73" s="1172"/>
      <c r="H73" s="1460"/>
      <c r="I73" s="1460"/>
      <c r="J73" s="1460"/>
      <c r="K73" s="1460"/>
      <c r="L73" s="1460"/>
      <c r="M73" s="1460"/>
      <c r="N73" s="1460"/>
      <c r="O73" s="1460"/>
      <c r="P73" s="1460"/>
      <c r="Q73" s="1460"/>
      <c r="R73" s="1460"/>
      <c r="S73" s="1460"/>
    </row>
    <row r="74" spans="1:19" ht="15" thickBot="1" x14ac:dyDescent="0.4">
      <c r="A74" s="1170"/>
      <c r="B74" s="1422"/>
      <c r="C74" s="1171"/>
      <c r="D74" s="1171"/>
      <c r="E74" s="1171"/>
      <c r="F74" s="1171"/>
      <c r="G74" s="1172"/>
      <c r="H74" s="1460"/>
      <c r="I74" s="1460"/>
      <c r="J74" s="1460"/>
      <c r="K74" s="1460"/>
      <c r="L74" s="1460"/>
      <c r="M74" s="1460"/>
      <c r="N74" s="1460"/>
      <c r="O74" s="1460"/>
      <c r="P74" s="1460"/>
      <c r="Q74" s="1460"/>
      <c r="R74" s="1460"/>
      <c r="S74" s="1460"/>
    </row>
    <row r="75" spans="1:19" s="2" customFormat="1" ht="15.5" thickTop="1" thickBot="1" x14ac:dyDescent="0.4">
      <c r="A75" s="3764" t="s">
        <v>722</v>
      </c>
      <c r="B75" s="3765"/>
      <c r="C75" s="12"/>
      <c r="D75" s="12"/>
      <c r="E75" s="12"/>
      <c r="F75" s="12"/>
      <c r="G75" s="13"/>
      <c r="H75" s="21"/>
      <c r="I75" s="21"/>
      <c r="J75" s="21"/>
      <c r="K75" s="21"/>
      <c r="L75" s="21"/>
      <c r="M75" s="21"/>
      <c r="N75" s="21"/>
      <c r="O75" s="21"/>
      <c r="P75" s="21"/>
      <c r="Q75" s="21"/>
      <c r="R75" s="21"/>
      <c r="S75" s="21"/>
    </row>
    <row r="76" spans="1:19" s="2" customFormat="1" ht="15" thickTop="1" x14ac:dyDescent="0.35">
      <c r="A76" s="1170"/>
      <c r="B76" s="1422"/>
      <c r="C76" s="1171"/>
      <c r="D76" s="1171"/>
      <c r="E76" s="1171"/>
      <c r="F76" s="1171"/>
      <c r="G76" s="1172"/>
      <c r="H76" s="1460"/>
      <c r="I76" s="1460"/>
      <c r="J76" s="1460"/>
      <c r="K76" s="1460"/>
      <c r="L76" s="1460"/>
      <c r="M76" s="1460"/>
      <c r="N76" s="1460"/>
      <c r="O76" s="1460"/>
      <c r="P76" s="1460"/>
      <c r="Q76" s="1460"/>
      <c r="R76" s="1460"/>
      <c r="S76" s="1460"/>
    </row>
    <row r="77" spans="1:19" s="2" customFormat="1" x14ac:dyDescent="0.35">
      <c r="A77" s="1170"/>
      <c r="B77" s="1422"/>
      <c r="C77" s="1171"/>
      <c r="D77" s="1171"/>
      <c r="E77" s="1171"/>
      <c r="F77" s="1171"/>
      <c r="G77" s="1172"/>
      <c r="H77" s="1460"/>
      <c r="I77" s="1460"/>
      <c r="J77" s="1460"/>
      <c r="K77" s="1460"/>
      <c r="L77" s="1460"/>
      <c r="M77" s="1460"/>
      <c r="N77" s="1460"/>
      <c r="O77" s="1460"/>
      <c r="P77" s="1460"/>
      <c r="Q77" s="1460"/>
      <c r="R77" s="1460"/>
      <c r="S77" s="1460"/>
    </row>
    <row r="78" spans="1:19" ht="15" thickBot="1" x14ac:dyDescent="0.4">
      <c r="A78" s="1170"/>
      <c r="B78" s="1422"/>
      <c r="C78" s="1171"/>
      <c r="D78" s="1171"/>
      <c r="E78" s="1171"/>
      <c r="F78" s="1171"/>
      <c r="G78" s="1172"/>
      <c r="H78" s="1460"/>
      <c r="I78" s="1460"/>
      <c r="J78" s="1460"/>
      <c r="K78" s="1460"/>
      <c r="L78" s="1460"/>
      <c r="M78" s="1460"/>
      <c r="N78" s="1460"/>
      <c r="O78" s="1460"/>
      <c r="P78" s="1460"/>
      <c r="Q78" s="1460"/>
      <c r="R78" s="1460"/>
      <c r="S78" s="1460"/>
    </row>
    <row r="79" spans="1:19" s="2" customFormat="1" ht="15.5" thickTop="1" thickBot="1" x14ac:dyDescent="0.4">
      <c r="A79" s="3764" t="s">
        <v>723</v>
      </c>
      <c r="B79" s="3765"/>
      <c r="C79" s="12"/>
      <c r="D79" s="12"/>
      <c r="E79" s="12"/>
      <c r="F79" s="12"/>
      <c r="G79" s="13"/>
      <c r="H79" s="21"/>
      <c r="I79" s="21"/>
      <c r="J79" s="21"/>
      <c r="K79" s="21"/>
      <c r="L79" s="21"/>
      <c r="M79" s="21"/>
      <c r="N79" s="21"/>
      <c r="O79" s="21"/>
      <c r="P79" s="21"/>
      <c r="Q79" s="21"/>
      <c r="R79" s="21"/>
      <c r="S79" s="21"/>
    </row>
    <row r="80" spans="1:19" s="2" customFormat="1" ht="15" thickTop="1" x14ac:dyDescent="0.35">
      <c r="A80" s="1170"/>
      <c r="B80" s="1422"/>
      <c r="C80" s="1171"/>
      <c r="D80" s="1171"/>
      <c r="E80" s="1171"/>
      <c r="F80" s="1171"/>
      <c r="G80" s="1172"/>
      <c r="H80" s="1460"/>
      <c r="I80" s="1460"/>
      <c r="J80" s="1460"/>
      <c r="K80" s="1460"/>
      <c r="L80" s="1460"/>
      <c r="M80" s="1460"/>
      <c r="N80" s="1460"/>
      <c r="O80" s="1460"/>
      <c r="P80" s="1460"/>
      <c r="Q80" s="1460"/>
      <c r="R80" s="1460"/>
      <c r="S80" s="1460"/>
    </row>
    <row r="81" spans="1:19" s="2" customFormat="1" x14ac:dyDescent="0.35">
      <c r="A81" s="1426"/>
      <c r="B81" s="1422"/>
      <c r="C81" s="1423"/>
      <c r="D81" s="1423"/>
      <c r="E81" s="1423"/>
      <c r="F81" s="1423"/>
      <c r="G81" s="1956"/>
      <c r="H81" s="1984"/>
      <c r="I81" s="1984"/>
      <c r="J81" s="1984"/>
      <c r="K81" s="1984"/>
      <c r="L81" s="1984"/>
      <c r="M81" s="1984"/>
      <c r="N81" s="1984"/>
      <c r="O81" s="1984"/>
      <c r="P81" s="1984"/>
      <c r="Q81" s="1984"/>
      <c r="R81" s="1984"/>
      <c r="S81" s="1984"/>
    </row>
    <row r="82" spans="1:19" s="2" customFormat="1" ht="15" thickBot="1" x14ac:dyDescent="0.4">
      <c r="A82" s="1985"/>
      <c r="B82" s="1986"/>
      <c r="C82" s="1423"/>
      <c r="D82" s="1423"/>
      <c r="E82" s="1423"/>
      <c r="F82" s="1423"/>
      <c r="G82" s="1956"/>
      <c r="H82" s="1987"/>
      <c r="I82" s="1987"/>
      <c r="J82" s="1987"/>
      <c r="K82" s="1987"/>
      <c r="L82" s="1987"/>
      <c r="M82" s="1987"/>
      <c r="N82" s="1987"/>
      <c r="O82" s="1987"/>
      <c r="P82" s="1987"/>
      <c r="Q82" s="1987"/>
      <c r="R82" s="1987"/>
      <c r="S82" s="1987"/>
    </row>
    <row r="83" spans="1:19" s="2" customFormat="1" ht="15.5" thickTop="1" thickBot="1" x14ac:dyDescent="0.4">
      <c r="A83" s="3764" t="s">
        <v>724</v>
      </c>
      <c r="B83" s="3765"/>
      <c r="C83" s="12"/>
      <c r="D83" s="12"/>
      <c r="E83" s="12"/>
      <c r="F83" s="12"/>
      <c r="G83" s="13"/>
      <c r="H83" s="21"/>
      <c r="I83" s="21"/>
      <c r="J83" s="21"/>
      <c r="K83" s="21"/>
      <c r="L83" s="21"/>
      <c r="M83" s="21"/>
      <c r="N83" s="21"/>
      <c r="O83" s="21"/>
      <c r="P83" s="21"/>
      <c r="Q83" s="21"/>
      <c r="R83" s="21"/>
      <c r="S83" s="21"/>
    </row>
    <row r="84" spans="1:19" ht="15" thickTop="1" x14ac:dyDescent="0.35">
      <c r="A84" s="1174"/>
      <c r="B84" s="1175"/>
      <c r="C84" s="1171"/>
      <c r="D84" s="1171"/>
      <c r="E84" s="1171"/>
      <c r="F84" s="1171"/>
      <c r="G84" s="1172"/>
      <c r="H84" s="1460"/>
      <c r="I84" s="1460"/>
      <c r="J84" s="1460"/>
      <c r="K84" s="1460"/>
      <c r="L84" s="1460"/>
      <c r="M84" s="1460"/>
      <c r="N84" s="1460"/>
      <c r="O84" s="1460"/>
      <c r="P84" s="1460"/>
      <c r="Q84" s="1460"/>
      <c r="R84" s="1460"/>
      <c r="S84" s="1460"/>
    </row>
    <row r="85" spans="1:19" x14ac:dyDescent="0.35">
      <c r="A85" s="1985"/>
      <c r="B85" s="1986"/>
      <c r="C85" s="1423"/>
      <c r="D85" s="1423"/>
      <c r="E85" s="1423"/>
      <c r="F85" s="1423"/>
      <c r="G85" s="1956"/>
      <c r="H85" s="1988"/>
      <c r="I85" s="1988"/>
      <c r="J85" s="1988"/>
      <c r="K85" s="1988"/>
      <c r="L85" s="1988"/>
      <c r="M85" s="1988"/>
      <c r="N85" s="1988"/>
      <c r="O85" s="1988"/>
      <c r="P85" s="1988"/>
      <c r="Q85" s="1988"/>
      <c r="R85" s="1988"/>
      <c r="S85" s="1988"/>
    </row>
    <row r="86" spans="1:19" ht="15" thickBot="1" x14ac:dyDescent="0.4">
      <c r="A86" s="1985"/>
      <c r="B86" s="1986"/>
      <c r="C86" s="1423"/>
      <c r="D86" s="1423"/>
      <c r="E86" s="1423"/>
      <c r="F86" s="1423"/>
      <c r="G86" s="1956"/>
      <c r="H86" s="1988"/>
      <c r="I86" s="1988"/>
      <c r="J86" s="1988"/>
      <c r="K86" s="1988"/>
      <c r="L86" s="1988"/>
      <c r="M86" s="1988"/>
      <c r="N86" s="1988"/>
      <c r="O86" s="1988"/>
      <c r="P86" s="1988"/>
      <c r="Q86" s="1988"/>
      <c r="R86" s="1988"/>
      <c r="S86" s="1988"/>
    </row>
    <row r="87" spans="1:19" ht="15.5" thickTop="1" thickBot="1" x14ac:dyDescent="0.4">
      <c r="A87" s="3764" t="s">
        <v>725</v>
      </c>
      <c r="B87" s="3765"/>
      <c r="C87" s="12"/>
      <c r="D87" s="12"/>
      <c r="E87" s="12"/>
      <c r="F87" s="12"/>
      <c r="G87" s="13"/>
      <c r="H87" s="21"/>
      <c r="I87" s="21"/>
      <c r="J87" s="21"/>
      <c r="K87" s="21"/>
      <c r="L87" s="21"/>
      <c r="M87" s="21"/>
      <c r="N87" s="21"/>
      <c r="O87" s="21"/>
      <c r="P87" s="21"/>
      <c r="Q87" s="21"/>
      <c r="R87" s="21"/>
      <c r="S87" s="21"/>
    </row>
    <row r="88" spans="1:19" ht="15" thickTop="1" x14ac:dyDescent="0.35">
      <c r="A88" s="1426"/>
      <c r="B88" s="1422" t="s">
        <v>726</v>
      </c>
      <c r="C88" s="1423"/>
      <c r="D88" s="1423"/>
      <c r="E88" s="1423"/>
      <c r="F88" s="1423"/>
      <c r="G88" s="1956"/>
      <c r="H88" s="1988"/>
      <c r="I88" s="1988"/>
      <c r="J88" s="1988"/>
      <c r="K88" s="1988"/>
      <c r="L88" s="1988"/>
      <c r="M88" s="1988"/>
      <c r="N88" s="1988"/>
      <c r="O88" s="1988"/>
      <c r="P88" s="1988"/>
      <c r="Q88" s="1988"/>
      <c r="R88" s="1988"/>
      <c r="S88" s="1988"/>
    </row>
    <row r="89" spans="1:19" x14ac:dyDescent="0.35">
      <c r="A89" s="1426"/>
      <c r="B89" s="1422" t="s">
        <v>727</v>
      </c>
      <c r="C89" s="1423"/>
      <c r="D89" s="1423"/>
      <c r="E89" s="1423"/>
      <c r="F89" s="1423"/>
      <c r="G89" s="1956"/>
      <c r="H89" s="1988"/>
      <c r="I89" s="1988"/>
      <c r="J89" s="1988"/>
      <c r="K89" s="1988"/>
      <c r="L89" s="1988"/>
      <c r="M89" s="1988"/>
      <c r="N89" s="1988"/>
      <c r="O89" s="1988"/>
      <c r="P89" s="1988"/>
      <c r="Q89" s="1988"/>
      <c r="R89" s="1988"/>
      <c r="S89" s="1988"/>
    </row>
    <row r="90" spans="1:19" x14ac:dyDescent="0.35">
      <c r="A90" s="1426"/>
      <c r="B90" s="1422" t="s">
        <v>728</v>
      </c>
      <c r="C90" s="1423"/>
      <c r="D90" s="1423"/>
      <c r="E90" s="1423"/>
      <c r="F90" s="1423"/>
      <c r="G90" s="1956"/>
      <c r="H90" s="1988"/>
      <c r="I90" s="1988"/>
      <c r="J90" s="1988"/>
      <c r="K90" s="1988"/>
      <c r="L90" s="1988"/>
      <c r="M90" s="1988"/>
      <c r="N90" s="1988"/>
      <c r="O90" s="1988"/>
      <c r="P90" s="1988"/>
      <c r="Q90" s="1988"/>
      <c r="R90" s="1988"/>
      <c r="S90" s="1988"/>
    </row>
    <row r="91" spans="1:19" x14ac:dyDescent="0.35">
      <c r="A91" s="1426"/>
      <c r="B91" s="1422" t="s">
        <v>729</v>
      </c>
      <c r="C91" s="1423"/>
      <c r="D91" s="1423"/>
      <c r="E91" s="1423"/>
      <c r="F91" s="1423"/>
      <c r="G91" s="1956"/>
      <c r="H91" s="1988"/>
      <c r="I91" s="1988"/>
      <c r="J91" s="1988"/>
      <c r="K91" s="1988"/>
      <c r="L91" s="1988"/>
      <c r="M91" s="1988"/>
      <c r="N91" s="1988"/>
      <c r="O91" s="1988"/>
      <c r="P91" s="1988"/>
      <c r="Q91" s="1988"/>
      <c r="R91" s="1988"/>
      <c r="S91" s="1988"/>
    </row>
    <row r="92" spans="1:19" ht="15" thickBot="1" x14ac:dyDescent="0.4">
      <c r="A92" s="978"/>
      <c r="B92" s="939"/>
      <c r="C92" s="940"/>
      <c r="D92" s="940"/>
      <c r="E92" s="940"/>
      <c r="F92" s="940"/>
      <c r="G92" s="1039"/>
      <c r="H92" s="981"/>
      <c r="I92" s="981"/>
      <c r="J92" s="981"/>
      <c r="K92" s="981"/>
      <c r="L92" s="981"/>
      <c r="M92" s="981"/>
      <c r="N92" s="981"/>
      <c r="O92" s="981"/>
      <c r="P92" s="981"/>
      <c r="Q92" s="981"/>
      <c r="R92" s="981"/>
      <c r="S92" s="981"/>
    </row>
    <row r="93" spans="1:19" ht="15.5" thickTop="1" thickBot="1" x14ac:dyDescent="0.4">
      <c r="A93" s="7" t="s">
        <v>730</v>
      </c>
      <c r="B93" s="8"/>
      <c r="C93" s="12"/>
      <c r="D93" s="12"/>
      <c r="E93" s="12"/>
      <c r="F93" s="12"/>
      <c r="G93" s="13"/>
      <c r="H93" s="21"/>
      <c r="I93" s="21"/>
      <c r="J93" s="21"/>
      <c r="K93" s="21"/>
      <c r="L93" s="21"/>
      <c r="M93" s="21"/>
      <c r="N93" s="21"/>
      <c r="O93" s="21"/>
      <c r="P93" s="21"/>
      <c r="Q93" s="21"/>
      <c r="R93" s="21"/>
      <c r="S93" s="21"/>
    </row>
    <row r="94" spans="1:19" ht="15" thickTop="1" x14ac:dyDescent="0.35">
      <c r="A94" s="1170"/>
      <c r="B94" s="1176" t="s">
        <v>731</v>
      </c>
      <c r="C94" s="1171"/>
      <c r="D94" s="1171"/>
      <c r="E94" s="1171"/>
      <c r="F94" s="1171"/>
      <c r="G94" s="1172"/>
      <c r="H94" s="1464"/>
      <c r="I94" s="1464"/>
      <c r="J94" s="1464"/>
      <c r="K94" s="1464"/>
      <c r="L94" s="1464"/>
      <c r="M94" s="1464"/>
      <c r="N94" s="1464"/>
      <c r="O94" s="1464"/>
      <c r="P94" s="1464"/>
      <c r="Q94" s="1464"/>
      <c r="R94" s="1464"/>
      <c r="S94" s="1464"/>
    </row>
    <row r="95" spans="1:19" x14ac:dyDescent="0.35">
      <c r="A95" s="1426"/>
      <c r="B95" s="1422" t="s">
        <v>732</v>
      </c>
      <c r="C95" s="1423"/>
      <c r="D95" s="1423"/>
      <c r="E95" s="1423"/>
      <c r="F95" s="1423"/>
      <c r="G95" s="1956"/>
      <c r="H95" s="1989"/>
      <c r="I95" s="1989"/>
      <c r="J95" s="1989"/>
      <c r="K95" s="1989"/>
      <c r="L95" s="1989"/>
      <c r="M95" s="1989"/>
      <c r="N95" s="1989"/>
      <c r="O95" s="1989"/>
      <c r="P95" s="1989"/>
      <c r="Q95" s="1989"/>
      <c r="R95" s="1989"/>
      <c r="S95" s="1989"/>
    </row>
    <row r="96" spans="1:19" ht="15" thickBot="1" x14ac:dyDescent="0.4">
      <c r="A96" s="1990"/>
      <c r="B96" s="1991" t="s">
        <v>733</v>
      </c>
      <c r="C96" s="1992"/>
      <c r="D96" s="1992"/>
      <c r="E96" s="1992"/>
      <c r="F96" s="1992"/>
      <c r="G96" s="1993"/>
      <c r="H96" s="1994"/>
      <c r="I96" s="1994"/>
      <c r="J96" s="1994"/>
      <c r="K96" s="1994"/>
      <c r="L96" s="1994"/>
      <c r="M96" s="1994"/>
      <c r="N96" s="1994"/>
      <c r="O96" s="1994"/>
      <c r="P96" s="1994"/>
      <c r="Q96" s="1994"/>
      <c r="R96" s="1994"/>
      <c r="S96" s="1994"/>
    </row>
    <row r="97" spans="1:2" ht="15.5" thickTop="1" thickBot="1" x14ac:dyDescent="0.4"/>
    <row r="98" spans="1:2" ht="15.5" thickTop="1" thickBot="1" x14ac:dyDescent="0.4">
      <c r="A98" s="78" t="s">
        <v>734</v>
      </c>
      <c r="B98" s="80"/>
    </row>
    <row r="99" spans="1:2" ht="15" thickTop="1" x14ac:dyDescent="0.35">
      <c r="A99" s="79" t="s">
        <v>632</v>
      </c>
      <c r="B99" s="1995"/>
    </row>
    <row r="100" spans="1:2" x14ac:dyDescent="0.35">
      <c r="A100" s="1996" t="s">
        <v>636</v>
      </c>
      <c r="B100" s="1995"/>
    </row>
    <row r="101" spans="1:2" x14ac:dyDescent="0.35">
      <c r="A101" s="1997" t="s">
        <v>639</v>
      </c>
      <c r="B101" s="1998"/>
    </row>
    <row r="102" spans="1:2" x14ac:dyDescent="0.35">
      <c r="A102" s="1997" t="s">
        <v>642</v>
      </c>
      <c r="B102" s="1999"/>
    </row>
    <row r="103" spans="1:2" ht="15" thickBot="1" x14ac:dyDescent="0.4">
      <c r="A103" s="2000" t="s">
        <v>735</v>
      </c>
      <c r="B103" s="2001"/>
    </row>
    <row r="104" spans="1:2" ht="15" thickTop="1" x14ac:dyDescent="0.35"/>
    <row r="105" spans="1:2" x14ac:dyDescent="0.35">
      <c r="A105" s="81"/>
      <c r="B105" s="1" t="s">
        <v>736</v>
      </c>
    </row>
    <row r="106" spans="1:2" x14ac:dyDescent="0.35">
      <c r="A106" s="82"/>
      <c r="B106" s="1" t="s">
        <v>737</v>
      </c>
    </row>
  </sheetData>
  <mergeCells count="47">
    <mergeCell ref="A71:B71"/>
    <mergeCell ref="A75:B75"/>
    <mergeCell ref="A79:B79"/>
    <mergeCell ref="A83:B83"/>
    <mergeCell ref="A87:B87"/>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659" priority="13" operator="equal">
      <formula>"X"</formula>
    </cfRule>
    <cfRule type="cellIs" dxfId="1658" priority="14" operator="equal">
      <formula>"I"</formula>
    </cfRule>
  </conditionalFormatting>
  <conditionalFormatting sqref="H32:H62">
    <cfRule type="cellIs" dxfId="1657" priority="1" operator="equal">
      <formula>"X"</formula>
    </cfRule>
    <cfRule type="cellIs" dxfId="1656" priority="2" operator="equal">
      <formula>"I"</formula>
    </cfRule>
  </conditionalFormatting>
  <conditionalFormatting sqref="J20:J30">
    <cfRule type="cellIs" dxfId="1655" priority="15" operator="equal">
      <formula>"X"</formula>
    </cfRule>
    <cfRule type="cellIs" dxfId="1654" priority="16" operator="equal">
      <formula>"I"</formula>
    </cfRule>
  </conditionalFormatting>
  <conditionalFormatting sqref="J32:J62">
    <cfRule type="cellIs" dxfId="1653" priority="3" operator="equal">
      <formula>"X"</formula>
    </cfRule>
    <cfRule type="cellIs" dxfId="1652" priority="4" operator="equal">
      <formula>"I"</formula>
    </cfRule>
  </conditionalFormatting>
  <conditionalFormatting sqref="L20:L30">
    <cfRule type="cellIs" dxfId="1651" priority="17" operator="equal">
      <formula>"X"</formula>
    </cfRule>
    <cfRule type="cellIs" dxfId="1650" priority="18" operator="equal">
      <formula>"I"</formula>
    </cfRule>
  </conditionalFormatting>
  <conditionalFormatting sqref="L32:L62">
    <cfRule type="cellIs" dxfId="1649" priority="5" operator="equal">
      <formula>"X"</formula>
    </cfRule>
    <cfRule type="cellIs" dxfId="1648" priority="6" operator="equal">
      <formula>"I"</formula>
    </cfRule>
  </conditionalFormatting>
  <conditionalFormatting sqref="N20:N30">
    <cfRule type="cellIs" dxfId="1647" priority="19" operator="equal">
      <formula>"X"</formula>
    </cfRule>
    <cfRule type="cellIs" dxfId="1646" priority="20" operator="equal">
      <formula>"I"</formula>
    </cfRule>
  </conditionalFormatting>
  <conditionalFormatting sqref="N32:N62">
    <cfRule type="cellIs" dxfId="1645" priority="7" operator="equal">
      <formula>"X"</formula>
    </cfRule>
    <cfRule type="cellIs" dxfId="1644" priority="8" operator="equal">
      <formula>"I"</formula>
    </cfRule>
  </conditionalFormatting>
  <conditionalFormatting sqref="P20:P30">
    <cfRule type="cellIs" dxfId="1643" priority="21" operator="equal">
      <formula>"X"</formula>
    </cfRule>
    <cfRule type="cellIs" dxfId="1642" priority="22" operator="equal">
      <formula>"I"</formula>
    </cfRule>
  </conditionalFormatting>
  <conditionalFormatting sqref="P32:P62">
    <cfRule type="cellIs" dxfId="1641" priority="9" operator="equal">
      <formula>"X"</formula>
    </cfRule>
    <cfRule type="cellIs" dxfId="1640" priority="10" operator="equal">
      <formula>"I"</formula>
    </cfRule>
  </conditionalFormatting>
  <conditionalFormatting sqref="R20:R30">
    <cfRule type="cellIs" dxfId="1639" priority="23" operator="equal">
      <formula>"X"</formula>
    </cfRule>
    <cfRule type="cellIs" dxfId="1638" priority="24" operator="equal">
      <formula>"I"</formula>
    </cfRule>
  </conditionalFormatting>
  <conditionalFormatting sqref="R32:R62">
    <cfRule type="cellIs" dxfId="1637" priority="11" operator="equal">
      <formula>"X"</formula>
    </cfRule>
    <cfRule type="cellIs" dxfId="1636" priority="12" operator="equal">
      <formula>"I"</formula>
    </cfRule>
  </conditionalFormatting>
  <hyperlinks>
    <hyperlink ref="B3" location="'Cost Summary'!A1" display="BACK TO SUMMARY SHEET" xr:uid="{BF280644-87DE-4828-8438-9274B90400A1}"/>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2542-F97A-478D-B7BC-3D52A5CB35B1}">
  <sheetPr>
    <tabColor rgb="FF92D050"/>
  </sheetPr>
  <dimension ref="A1:S108"/>
  <sheetViews>
    <sheetView zoomScale="85" zoomScaleNormal="85" workbookViewId="0">
      <pane xSplit="2" ySplit="9" topLeftCell="C20" activePane="bottomRight" state="frozen"/>
      <selection pane="topRight" activeCell="C1" sqref="C1"/>
      <selection pane="bottomLeft" activeCell="A11" sqref="A11"/>
      <selection pane="bottomRight" activeCell="B32" sqref="B32"/>
    </sheetView>
  </sheetViews>
  <sheetFormatPr defaultRowHeight="14.5" x14ac:dyDescent="0.35"/>
  <cols>
    <col min="1" max="1" width="11" customWidth="1"/>
    <col min="2" max="2" width="72.1796875" style="1" bestFit="1" customWidth="1"/>
    <col min="3" max="3" width="10.81640625" style="2" bestFit="1" customWidth="1"/>
    <col min="4" max="4" width="8.54296875" style="2" customWidth="1"/>
    <col min="5" max="5" width="7.54296875" style="2" customWidth="1"/>
    <col min="6" max="6" width="7.7265625" style="2" customWidth="1"/>
    <col min="7" max="7" width="12.26953125" style="2" customWidth="1"/>
    <col min="8" max="8" width="8.54296875" style="2" customWidth="1"/>
    <col min="9" max="9" width="13.81640625" style="2" customWidth="1"/>
    <col min="10" max="10" width="7.453125" style="2" bestFit="1" customWidth="1"/>
    <col min="11" max="11" width="14.81640625" style="2" customWidth="1"/>
    <col min="12" max="12" width="7.453125" style="2" bestFit="1" customWidth="1"/>
    <col min="13" max="13" width="14.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s>
  <sheetData>
    <row r="1" spans="1:19" x14ac:dyDescent="0.35">
      <c r="E1" s="152"/>
      <c r="F1" s="125"/>
      <c r="G1" s="123" t="s">
        <v>621</v>
      </c>
    </row>
    <row r="2" spans="1:19" ht="15" thickBot="1" x14ac:dyDescent="0.4">
      <c r="E2" s="152"/>
      <c r="F2" s="122" t="s">
        <v>622</v>
      </c>
      <c r="G2" s="123" t="s">
        <v>451</v>
      </c>
      <c r="H2" s="3751"/>
      <c r="I2" s="3751"/>
      <c r="J2" s="3866"/>
      <c r="K2" s="3866"/>
      <c r="L2" s="3866"/>
      <c r="M2" s="3866"/>
      <c r="N2" s="3866"/>
      <c r="O2" s="3866"/>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772</v>
      </c>
      <c r="Q3" s="3755"/>
      <c r="R3" s="3754" t="s">
        <v>773</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2002" t="s">
        <v>634</v>
      </c>
      <c r="B5" s="2003" t="s">
        <v>2386</v>
      </c>
      <c r="C5" s="2004"/>
      <c r="D5" s="2004"/>
      <c r="E5" s="2004"/>
      <c r="F5" s="2004"/>
      <c r="G5" s="1955" t="s">
        <v>636</v>
      </c>
      <c r="H5" s="3922"/>
      <c r="I5" s="3759"/>
      <c r="J5" s="3922"/>
      <c r="K5" s="3759"/>
      <c r="L5" s="3922"/>
      <c r="M5" s="3759"/>
      <c r="N5" s="3922"/>
      <c r="O5" s="3759"/>
      <c r="P5" s="3922"/>
      <c r="Q5" s="3759"/>
      <c r="R5" s="3922"/>
      <c r="S5" s="3759"/>
    </row>
    <row r="6" spans="1:19" x14ac:dyDescent="0.35">
      <c r="A6" s="2002" t="s">
        <v>638</v>
      </c>
      <c r="B6" s="2005" t="s">
        <v>2387</v>
      </c>
      <c r="C6" s="2004"/>
      <c r="D6" s="2004"/>
      <c r="E6" s="2004"/>
      <c r="F6" s="2004"/>
      <c r="G6" s="1955" t="s">
        <v>639</v>
      </c>
      <c r="H6" s="3921"/>
      <c r="I6" s="3757"/>
      <c r="J6" s="3921"/>
      <c r="K6" s="3757"/>
      <c r="L6" s="3921"/>
      <c r="M6" s="3757"/>
      <c r="N6" s="3921"/>
      <c r="O6" s="3757"/>
      <c r="P6" s="3921"/>
      <c r="Q6" s="3757"/>
      <c r="R6" s="3921"/>
      <c r="S6" s="3757"/>
    </row>
    <row r="7" spans="1:19" x14ac:dyDescent="0.35">
      <c r="A7" s="2002" t="s">
        <v>641</v>
      </c>
      <c r="B7" s="2006"/>
      <c r="C7" s="2004"/>
      <c r="D7" s="2004"/>
      <c r="E7" s="2004"/>
      <c r="F7" s="2004"/>
      <c r="G7" s="1955" t="s">
        <v>642</v>
      </c>
      <c r="H7" s="3923"/>
      <c r="I7" s="3763"/>
      <c r="J7" s="3923"/>
      <c r="K7" s="3763"/>
      <c r="L7" s="3923"/>
      <c r="M7" s="3763"/>
      <c r="N7" s="3923"/>
      <c r="O7" s="3763"/>
      <c r="P7" s="3923"/>
      <c r="Q7" s="3763"/>
      <c r="R7" s="3923"/>
      <c r="S7" s="3763"/>
    </row>
    <row r="8" spans="1:19" ht="15" thickBot="1" x14ac:dyDescent="0.4">
      <c r="A8" s="938" t="s">
        <v>644</v>
      </c>
      <c r="B8" s="939"/>
      <c r="C8" s="940"/>
      <c r="D8" s="940"/>
      <c r="E8" s="940"/>
      <c r="F8" s="940"/>
      <c r="G8" s="1024" t="s">
        <v>644</v>
      </c>
      <c r="H8" s="3924"/>
      <c r="I8" s="3925"/>
      <c r="J8" s="3924"/>
      <c r="K8" s="3925"/>
      <c r="L8" s="3924"/>
      <c r="M8" s="3925"/>
      <c r="N8" s="3924"/>
      <c r="O8" s="3925"/>
      <c r="P8" s="3924"/>
      <c r="Q8" s="3925"/>
      <c r="R8" s="3924"/>
      <c r="S8" s="3925"/>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007"/>
      <c r="B10" s="1178" t="s">
        <v>653</v>
      </c>
      <c r="C10" s="2004"/>
      <c r="D10" s="2004"/>
      <c r="E10" s="2004"/>
      <c r="F10" s="2004"/>
      <c r="G10" s="1956"/>
      <c r="H10" s="2008"/>
      <c r="I10" s="2008"/>
      <c r="J10" s="2008"/>
      <c r="K10" s="2008"/>
      <c r="L10" s="2008"/>
      <c r="M10" s="2008"/>
      <c r="N10" s="2008"/>
      <c r="O10" s="2008"/>
      <c r="P10" s="2008"/>
      <c r="Q10" s="2008"/>
      <c r="R10" s="2008"/>
      <c r="S10" s="2008"/>
    </row>
    <row r="11" spans="1:19" hidden="1" x14ac:dyDescent="0.35">
      <c r="A11" s="2007"/>
      <c r="B11" s="2003" t="e">
        <f>#REF!</f>
        <v>#REF!</v>
      </c>
      <c r="C11" s="2009" t="s">
        <v>654</v>
      </c>
      <c r="D11" s="2004"/>
      <c r="E11" s="2004"/>
      <c r="F11" s="2004"/>
      <c r="G11" s="1956"/>
      <c r="H11" s="2008"/>
      <c r="I11" s="2008"/>
      <c r="J11" s="2008"/>
      <c r="K11" s="2008"/>
      <c r="L11" s="2008"/>
      <c r="M11" s="2008"/>
      <c r="N11" s="2008"/>
      <c r="O11" s="2008"/>
      <c r="P11" s="2008"/>
      <c r="Q11" s="2008"/>
      <c r="R11" s="2008"/>
      <c r="S11" s="2008"/>
    </row>
    <row r="12" spans="1:19" hidden="1" x14ac:dyDescent="0.35">
      <c r="A12" s="2007"/>
      <c r="B12" s="2003" t="e">
        <f>#REF!</f>
        <v>#REF!</v>
      </c>
      <c r="C12" s="2009" t="s">
        <v>654</v>
      </c>
      <c r="D12" s="2004"/>
      <c r="E12" s="2004"/>
      <c r="F12" s="2004"/>
      <c r="G12" s="1956"/>
      <c r="H12" s="2008"/>
      <c r="I12" s="2008"/>
      <c r="J12" s="2008"/>
      <c r="K12" s="2008"/>
      <c r="L12" s="2008"/>
      <c r="M12" s="2008"/>
      <c r="N12" s="2008"/>
      <c r="O12" s="2008"/>
      <c r="P12" s="2008"/>
      <c r="Q12" s="2008"/>
      <c r="R12" s="2008"/>
      <c r="S12" s="2008"/>
    </row>
    <row r="13" spans="1:19" hidden="1" x14ac:dyDescent="0.35">
      <c r="A13" s="2007"/>
      <c r="B13" s="2003" t="e">
        <f>#REF!</f>
        <v>#REF!</v>
      </c>
      <c r="C13" s="2009" t="s">
        <v>654</v>
      </c>
      <c r="D13" s="2004"/>
      <c r="E13" s="2004"/>
      <c r="F13" s="2004"/>
      <c r="G13" s="1956"/>
      <c r="H13" s="2008"/>
      <c r="I13" s="2008"/>
      <c r="J13" s="2008"/>
      <c r="K13" s="2008"/>
      <c r="L13" s="2008"/>
      <c r="M13" s="2008"/>
      <c r="N13" s="2008"/>
      <c r="O13" s="2008"/>
      <c r="P13" s="2008"/>
      <c r="Q13" s="2008"/>
      <c r="R13" s="2008"/>
      <c r="S13" s="2008"/>
    </row>
    <row r="14" spans="1:19" hidden="1" x14ac:dyDescent="0.35">
      <c r="A14" s="2007"/>
      <c r="B14" s="2003" t="e">
        <f>#REF!</f>
        <v>#REF!</v>
      </c>
      <c r="C14" s="2009" t="s">
        <v>654</v>
      </c>
      <c r="D14" s="2004"/>
      <c r="E14" s="2004"/>
      <c r="F14" s="2004"/>
      <c r="G14" s="1956"/>
      <c r="H14" s="2008"/>
      <c r="I14" s="2008"/>
      <c r="J14" s="2008"/>
      <c r="K14" s="2008"/>
      <c r="L14" s="2008"/>
      <c r="M14" s="2008"/>
      <c r="N14" s="2008"/>
      <c r="O14" s="2008"/>
      <c r="P14" s="2008"/>
      <c r="Q14" s="2008"/>
      <c r="R14" s="2008"/>
      <c r="S14" s="2008"/>
    </row>
    <row r="15" spans="1:19" hidden="1" x14ac:dyDescent="0.35">
      <c r="A15" s="2007"/>
      <c r="B15" s="2003" t="e">
        <f>#REF!</f>
        <v>#REF!</v>
      </c>
      <c r="C15" s="2009" t="s">
        <v>654</v>
      </c>
      <c r="D15" s="2004"/>
      <c r="E15" s="2004"/>
      <c r="F15" s="2004"/>
      <c r="G15" s="1956"/>
      <c r="H15" s="2008"/>
      <c r="I15" s="2008"/>
      <c r="J15" s="2008"/>
      <c r="K15" s="2008"/>
      <c r="L15" s="2008"/>
      <c r="M15" s="2008"/>
      <c r="N15" s="2008"/>
      <c r="O15" s="2008"/>
      <c r="P15" s="2008"/>
      <c r="Q15" s="2008"/>
      <c r="R15" s="2008"/>
      <c r="S15" s="2008"/>
    </row>
    <row r="16" spans="1:19" hidden="1" x14ac:dyDescent="0.35">
      <c r="A16" s="2007"/>
      <c r="B16" s="2003" t="e">
        <f>#REF!</f>
        <v>#REF!</v>
      </c>
      <c r="C16" s="2009" t="s">
        <v>654</v>
      </c>
      <c r="D16" s="2004"/>
      <c r="E16" s="2004"/>
      <c r="F16" s="2004"/>
      <c r="G16" s="1956"/>
      <c r="H16" s="2008"/>
      <c r="I16" s="2008"/>
      <c r="J16" s="2008"/>
      <c r="K16" s="2008"/>
      <c r="L16" s="2008"/>
      <c r="M16" s="2008"/>
      <c r="N16" s="2008"/>
      <c r="O16" s="2008"/>
      <c r="P16" s="2008"/>
      <c r="Q16" s="2008"/>
      <c r="R16" s="2008"/>
      <c r="S16" s="2008"/>
    </row>
    <row r="17" spans="1:19" hidden="1" x14ac:dyDescent="0.35">
      <c r="A17" s="2007"/>
      <c r="B17" s="2003" t="e">
        <f>#REF!</f>
        <v>#REF!</v>
      </c>
      <c r="C17" s="2009" t="s">
        <v>654</v>
      </c>
      <c r="D17" s="2004"/>
      <c r="E17" s="2004"/>
      <c r="F17" s="2004"/>
      <c r="G17" s="1956"/>
      <c r="H17" s="2008"/>
      <c r="I17" s="2008"/>
      <c r="J17" s="2008"/>
      <c r="K17" s="2008"/>
      <c r="L17" s="2008"/>
      <c r="M17" s="2008"/>
      <c r="N17" s="2008"/>
      <c r="O17" s="2008"/>
      <c r="P17" s="2008"/>
      <c r="Q17" s="2008"/>
      <c r="R17" s="2008"/>
      <c r="S17" s="2008"/>
    </row>
    <row r="18" spans="1:19" hidden="1" x14ac:dyDescent="0.35">
      <c r="A18" s="2007"/>
      <c r="B18" s="2003" t="e">
        <f>#REF!</f>
        <v>#REF!</v>
      </c>
      <c r="C18" s="2009" t="s">
        <v>654</v>
      </c>
      <c r="D18" s="2004"/>
      <c r="E18" s="2004"/>
      <c r="F18" s="2004"/>
      <c r="G18" s="1956"/>
      <c r="H18" s="2008"/>
      <c r="I18" s="2008"/>
      <c r="J18" s="2008"/>
      <c r="K18" s="2008"/>
      <c r="L18" s="2008"/>
      <c r="M18" s="2008"/>
      <c r="N18" s="2008"/>
      <c r="O18" s="2008"/>
      <c r="P18" s="2008"/>
      <c r="Q18" s="2008"/>
      <c r="R18" s="2008"/>
      <c r="S18" s="2008"/>
    </row>
    <row r="19" spans="1:19" hidden="1" x14ac:dyDescent="0.35">
      <c r="A19" s="2007"/>
      <c r="B19" s="2003" t="e">
        <f>#REF!</f>
        <v>#REF!</v>
      </c>
      <c r="C19" s="2009" t="s">
        <v>654</v>
      </c>
      <c r="D19" s="2004"/>
      <c r="E19" s="2004"/>
      <c r="F19" s="2004"/>
      <c r="G19" s="1956"/>
      <c r="H19" s="2008"/>
      <c r="I19" s="2008"/>
      <c r="J19" s="2008"/>
      <c r="K19" s="2008"/>
      <c r="L19" s="2008"/>
      <c r="M19" s="2008"/>
      <c r="N19" s="2008"/>
      <c r="O19" s="2008"/>
      <c r="P19" s="2008"/>
      <c r="Q19" s="2008"/>
      <c r="R19" s="2008"/>
      <c r="S19" s="2008"/>
    </row>
    <row r="20" spans="1:19" ht="15" thickTop="1" x14ac:dyDescent="0.35">
      <c r="A20" s="2007"/>
      <c r="B20" s="2003"/>
      <c r="C20" s="2009"/>
      <c r="D20" s="2004"/>
      <c r="E20" s="2004"/>
      <c r="F20" s="2004"/>
      <c r="G20" s="1956"/>
      <c r="H20" s="2010"/>
      <c r="I20" s="2008"/>
      <c r="J20" s="2010"/>
      <c r="K20" s="2008"/>
      <c r="L20" s="2010"/>
      <c r="M20" s="2008"/>
      <c r="N20" s="2010"/>
      <c r="O20" s="2008"/>
      <c r="P20" s="2010"/>
      <c r="Q20" s="2008"/>
      <c r="R20" s="2010"/>
      <c r="S20" s="2008"/>
    </row>
    <row r="21" spans="1:19" ht="15" thickBot="1" x14ac:dyDescent="0.4">
      <c r="A21" s="48"/>
      <c r="B21" s="2011" t="s">
        <v>2386</v>
      </c>
      <c r="C21" s="45"/>
      <c r="D21" s="46"/>
      <c r="E21" s="46"/>
      <c r="F21" s="46"/>
      <c r="G21" s="52"/>
      <c r="H21" s="2010"/>
      <c r="I21" s="2008"/>
      <c r="J21" s="2010"/>
      <c r="K21" s="2008"/>
      <c r="L21" s="2010"/>
      <c r="M21" s="2008"/>
      <c r="N21" s="2010"/>
      <c r="O21" s="2008"/>
      <c r="P21" s="2010"/>
      <c r="Q21" s="2008"/>
      <c r="R21" s="2010"/>
      <c r="S21" s="2008"/>
    </row>
    <row r="22" spans="1:19" ht="15" thickBot="1" x14ac:dyDescent="0.4">
      <c r="A22" s="1179"/>
      <c r="B22" s="604" t="s">
        <v>657</v>
      </c>
      <c r="C22" s="2009"/>
      <c r="D22" s="2004"/>
      <c r="E22" s="2004"/>
      <c r="F22" s="2004"/>
      <c r="G22" s="1956"/>
      <c r="H22" s="2010"/>
      <c r="I22" s="1989"/>
      <c r="J22" s="2010"/>
      <c r="K22" s="668"/>
      <c r="L22" s="2010"/>
      <c r="M22" s="668"/>
      <c r="N22" s="2010"/>
      <c r="O22" s="668"/>
      <c r="P22" s="2010"/>
      <c r="Q22" s="668"/>
      <c r="R22" s="2010"/>
      <c r="S22" s="668"/>
    </row>
    <row r="23" spans="1:19" x14ac:dyDescent="0.35">
      <c r="A23" s="1179"/>
      <c r="B23" s="603" t="s">
        <v>658</v>
      </c>
      <c r="C23" s="2012"/>
      <c r="D23" s="682"/>
      <c r="E23" s="2004"/>
      <c r="F23" s="2004"/>
      <c r="G23" s="1956"/>
      <c r="H23" s="2010"/>
      <c r="I23" s="2013"/>
      <c r="J23" s="2010"/>
      <c r="K23" s="677"/>
      <c r="L23" s="2010"/>
      <c r="M23" s="677"/>
      <c r="N23" s="2010"/>
      <c r="O23" s="668"/>
      <c r="P23" s="2010"/>
      <c r="Q23" s="668"/>
      <c r="R23" s="2010"/>
      <c r="S23" s="668"/>
    </row>
    <row r="24" spans="1:19" x14ac:dyDescent="0.35">
      <c r="A24" s="1179"/>
      <c r="B24" s="1896" t="s">
        <v>659</v>
      </c>
      <c r="C24" s="2012"/>
      <c r="D24" s="682"/>
      <c r="E24" s="2004"/>
      <c r="F24" s="2004"/>
      <c r="G24" s="1956"/>
      <c r="H24" s="2010"/>
      <c r="I24" s="1825"/>
      <c r="J24" s="2010"/>
      <c r="K24" s="1813"/>
      <c r="L24" s="2010"/>
      <c r="M24" s="1813"/>
      <c r="N24" s="2010"/>
      <c r="O24" s="1825"/>
      <c r="P24" s="2010"/>
      <c r="Q24" s="1825"/>
      <c r="R24" s="2010"/>
      <c r="S24" s="1825"/>
    </row>
    <row r="25" spans="1:19" x14ac:dyDescent="0.35">
      <c r="A25" s="1179"/>
      <c r="B25" s="1812" t="s">
        <v>660</v>
      </c>
      <c r="C25" s="1956"/>
      <c r="D25" s="2004"/>
      <c r="E25" s="2004"/>
      <c r="F25" s="2004"/>
      <c r="G25" s="1956"/>
      <c r="H25" s="2010"/>
      <c r="I25" s="1825"/>
      <c r="J25" s="2010"/>
      <c r="K25" s="1825"/>
      <c r="L25" s="2010"/>
      <c r="M25" s="1813"/>
      <c r="N25" s="2010"/>
      <c r="O25" s="1825"/>
      <c r="P25" s="2010"/>
      <c r="Q25" s="1825"/>
      <c r="R25" s="2010"/>
      <c r="S25" s="1825"/>
    </row>
    <row r="26" spans="1:19" x14ac:dyDescent="0.35">
      <c r="A26" s="1179"/>
      <c r="B26" s="1812" t="s">
        <v>661</v>
      </c>
      <c r="C26" s="1956"/>
      <c r="D26" s="2004"/>
      <c r="E26" s="2004"/>
      <c r="F26" s="2004"/>
      <c r="G26" s="1956"/>
      <c r="H26" s="2010"/>
      <c r="I26" s="1813"/>
      <c r="J26" s="2010"/>
      <c r="K26" s="1813"/>
      <c r="L26" s="2010"/>
      <c r="M26" s="1813"/>
      <c r="N26" s="2010"/>
      <c r="O26" s="1813"/>
      <c r="P26" s="2010"/>
      <c r="Q26" s="1813"/>
      <c r="R26" s="2010"/>
      <c r="S26" s="1813"/>
    </row>
    <row r="27" spans="1:19" hidden="1" x14ac:dyDescent="0.35">
      <c r="A27" s="1179"/>
      <c r="B27" s="1812" t="s">
        <v>662</v>
      </c>
      <c r="C27" s="1956"/>
      <c r="D27" s="2004"/>
      <c r="E27" s="2004"/>
      <c r="F27" s="2004"/>
      <c r="G27" s="1956"/>
      <c r="H27" s="2010"/>
      <c r="I27" s="1813"/>
      <c r="J27" s="2010"/>
      <c r="K27" s="1813"/>
      <c r="L27" s="2010"/>
      <c r="M27" s="1813"/>
      <c r="N27" s="2010"/>
      <c r="O27" s="1813"/>
      <c r="P27" s="2010"/>
      <c r="Q27" s="1813"/>
      <c r="R27" s="2010"/>
      <c r="S27" s="1813"/>
    </row>
    <row r="28" spans="1:19" x14ac:dyDescent="0.35">
      <c r="A28" s="1179"/>
      <c r="B28" s="1812" t="s">
        <v>663</v>
      </c>
      <c r="C28" s="1956"/>
      <c r="D28" s="2004"/>
      <c r="E28" s="2004"/>
      <c r="F28" s="2004"/>
      <c r="G28" s="1956"/>
      <c r="H28" s="2010"/>
      <c r="I28" s="1813"/>
      <c r="J28" s="2010"/>
      <c r="K28" s="1813"/>
      <c r="L28" s="2010"/>
      <c r="M28" s="1813"/>
      <c r="N28" s="2010"/>
      <c r="O28" s="1813"/>
      <c r="P28" s="2010"/>
      <c r="Q28" s="1813"/>
      <c r="R28" s="2010"/>
      <c r="S28" s="1813"/>
    </row>
    <row r="29" spans="1:19" x14ac:dyDescent="0.35">
      <c r="A29" s="1179"/>
      <c r="B29" s="1812" t="s">
        <v>742</v>
      </c>
      <c r="C29" s="1956"/>
      <c r="D29" s="2004"/>
      <c r="E29" s="2004"/>
      <c r="F29" s="2004"/>
      <c r="G29" s="1956"/>
      <c r="H29" s="2010"/>
      <c r="I29" s="1813"/>
      <c r="J29" s="2010"/>
      <c r="K29" s="1813"/>
      <c r="L29" s="2010"/>
      <c r="M29" s="1813"/>
      <c r="N29" s="2010"/>
      <c r="O29" s="1813"/>
      <c r="P29" s="2010"/>
      <c r="Q29" s="1813"/>
      <c r="R29" s="2010"/>
      <c r="S29" s="1813"/>
    </row>
    <row r="30" spans="1:19" x14ac:dyDescent="0.35">
      <c r="A30" s="1179"/>
      <c r="B30" s="1814" t="s">
        <v>664</v>
      </c>
      <c r="C30" s="1956"/>
      <c r="D30" s="2004"/>
      <c r="E30" s="2004"/>
      <c r="F30" s="2004"/>
      <c r="G30" s="1956"/>
      <c r="H30" s="2010"/>
      <c r="I30" s="1813"/>
      <c r="J30" s="2010"/>
      <c r="K30" s="1813"/>
      <c r="L30" s="2010"/>
      <c r="M30" s="1813"/>
      <c r="N30" s="2010"/>
      <c r="O30" s="1813"/>
      <c r="P30" s="2010"/>
      <c r="Q30" s="1813"/>
      <c r="R30" s="2010"/>
      <c r="S30" s="1813"/>
    </row>
    <row r="31" spans="1:19" x14ac:dyDescent="0.35">
      <c r="A31" s="1179"/>
      <c r="B31" s="1910" t="s">
        <v>665</v>
      </c>
      <c r="C31" s="1911"/>
      <c r="D31" s="1713"/>
      <c r="E31" s="1713"/>
      <c r="F31" s="1713"/>
      <c r="G31" s="1946"/>
      <c r="H31" s="1732"/>
      <c r="I31" s="1815"/>
      <c r="J31" s="1732"/>
      <c r="K31" s="1815"/>
      <c r="L31" s="1732"/>
      <c r="M31" s="1815"/>
      <c r="N31" s="1732"/>
      <c r="O31" s="1815"/>
      <c r="P31" s="1732"/>
      <c r="Q31" s="1815"/>
      <c r="R31" s="1732"/>
      <c r="S31" s="1815"/>
    </row>
    <row r="32" spans="1:19" x14ac:dyDescent="0.35">
      <c r="A32" s="1179"/>
      <c r="B32" s="1759" t="s">
        <v>874</v>
      </c>
      <c r="C32" s="1956"/>
      <c r="D32" s="2004"/>
      <c r="E32" s="2004"/>
      <c r="F32" s="2004"/>
      <c r="G32" s="1956"/>
      <c r="H32" s="2010"/>
      <c r="I32" s="1813"/>
      <c r="J32" s="2010"/>
      <c r="K32" s="1813"/>
      <c r="L32" s="2010"/>
      <c r="M32" s="1813"/>
      <c r="N32" s="2010"/>
      <c r="O32" s="1813"/>
      <c r="P32" s="2010"/>
      <c r="Q32" s="1813"/>
      <c r="R32" s="2010"/>
      <c r="S32" s="1813"/>
    </row>
    <row r="33" spans="1:19" x14ac:dyDescent="0.35">
      <c r="A33" s="1179"/>
      <c r="B33" s="2014" t="s">
        <v>191</v>
      </c>
      <c r="C33" s="1956"/>
      <c r="D33" s="2004"/>
      <c r="E33" s="2004"/>
      <c r="F33" s="2004"/>
      <c r="G33" s="1956"/>
      <c r="H33" s="2010"/>
      <c r="I33" s="1813"/>
      <c r="J33" s="2010"/>
      <c r="K33" s="1813"/>
      <c r="L33" s="2010"/>
      <c r="M33" s="1813"/>
      <c r="N33" s="2010"/>
      <c r="O33" s="1813"/>
      <c r="P33" s="2010"/>
      <c r="Q33" s="1813"/>
      <c r="R33" s="2010"/>
      <c r="S33" s="1813"/>
    </row>
    <row r="34" spans="1:19" x14ac:dyDescent="0.35">
      <c r="A34" s="1179"/>
      <c r="B34" s="2015"/>
      <c r="D34" s="1948"/>
      <c r="E34" s="2004"/>
      <c r="F34" s="1949"/>
      <c r="G34" s="1950"/>
      <c r="H34" s="2010"/>
      <c r="I34" s="1813"/>
      <c r="J34" s="2010"/>
      <c r="K34" s="1813"/>
      <c r="L34" s="2010"/>
      <c r="M34" s="1813"/>
      <c r="N34" s="2010"/>
      <c r="O34" s="1813"/>
      <c r="P34" s="2010"/>
      <c r="Q34" s="1813"/>
      <c r="R34" s="2010"/>
      <c r="S34" s="1813"/>
    </row>
    <row r="35" spans="1:19" x14ac:dyDescent="0.35">
      <c r="A35" s="1179"/>
      <c r="B35" s="2015"/>
      <c r="C35" s="1956"/>
      <c r="D35" s="2004"/>
      <c r="E35" s="2004"/>
      <c r="F35" s="1949"/>
      <c r="G35" s="1950"/>
      <c r="H35" s="2010"/>
      <c r="I35" s="1813"/>
      <c r="J35" s="2010"/>
      <c r="K35" s="1813"/>
      <c r="L35" s="2010"/>
      <c r="M35" s="1813"/>
      <c r="N35" s="2010"/>
      <c r="O35" s="1813"/>
      <c r="P35" s="2010"/>
      <c r="Q35" s="1813"/>
      <c r="R35" s="2010"/>
      <c r="S35" s="1813"/>
    </row>
    <row r="36" spans="1:19" x14ac:dyDescent="0.35">
      <c r="A36" s="1179"/>
      <c r="B36" s="2015"/>
      <c r="C36" s="1956"/>
      <c r="D36" s="2004"/>
      <c r="E36" s="2004"/>
      <c r="F36" s="2004"/>
      <c r="G36" s="1956"/>
      <c r="H36" s="2010"/>
      <c r="I36" s="1813"/>
      <c r="J36" s="2010"/>
      <c r="K36" s="1813"/>
      <c r="L36" s="2010"/>
      <c r="M36" s="1813"/>
      <c r="N36" s="2010"/>
      <c r="O36" s="1813"/>
      <c r="P36" s="2010"/>
      <c r="Q36" s="1813"/>
      <c r="R36" s="2010"/>
      <c r="S36" s="1813"/>
    </row>
    <row r="37" spans="1:19" x14ac:dyDescent="0.35">
      <c r="A37" s="1179"/>
      <c r="B37" s="2015"/>
      <c r="C37" s="1956"/>
      <c r="D37" s="2004"/>
      <c r="E37" s="2004"/>
      <c r="F37" s="2004"/>
      <c r="G37" s="1956"/>
      <c r="H37" s="2010"/>
      <c r="I37" s="1813"/>
      <c r="J37" s="2010"/>
      <c r="K37" s="1813"/>
      <c r="L37" s="2010"/>
      <c r="M37" s="1813"/>
      <c r="N37" s="2010"/>
      <c r="O37" s="1813"/>
      <c r="P37" s="2010"/>
      <c r="Q37" s="1813"/>
      <c r="R37" s="2010"/>
      <c r="S37" s="1813"/>
    </row>
    <row r="38" spans="1:19" x14ac:dyDescent="0.35">
      <c r="A38" s="1179"/>
      <c r="B38" s="2015"/>
      <c r="C38" s="1956"/>
      <c r="D38" s="2004"/>
      <c r="E38" s="2004"/>
      <c r="F38" s="2004"/>
      <c r="G38" s="1956"/>
      <c r="H38" s="2010"/>
      <c r="I38" s="1813"/>
      <c r="J38" s="2010"/>
      <c r="K38" s="1813"/>
      <c r="L38" s="2010"/>
      <c r="M38" s="1813"/>
      <c r="N38" s="2010"/>
      <c r="O38" s="1813"/>
      <c r="P38" s="2010"/>
      <c r="Q38" s="1813"/>
      <c r="R38" s="2010"/>
      <c r="S38" s="1813"/>
    </row>
    <row r="39" spans="1:19" x14ac:dyDescent="0.35">
      <c r="A39" s="1179"/>
      <c r="B39" s="2016"/>
      <c r="C39" s="1956"/>
      <c r="D39" s="2004"/>
      <c r="E39" s="2004"/>
      <c r="F39" s="2004"/>
      <c r="G39" s="1956"/>
      <c r="H39" s="2010"/>
      <c r="I39" s="1813"/>
      <c r="J39" s="2010"/>
      <c r="K39" s="1813"/>
      <c r="L39" s="2010"/>
      <c r="M39" s="1813"/>
      <c r="N39" s="2010"/>
      <c r="O39" s="1813"/>
      <c r="P39" s="2010"/>
      <c r="Q39" s="1813"/>
      <c r="R39" s="2010"/>
      <c r="S39" s="1813"/>
    </row>
    <row r="40" spans="1:19" x14ac:dyDescent="0.35">
      <c r="A40" s="1179"/>
      <c r="B40" s="2017"/>
      <c r="C40" s="1956"/>
      <c r="D40" s="2004"/>
      <c r="E40" s="2004"/>
      <c r="F40" s="2004"/>
      <c r="G40" s="1956"/>
      <c r="H40" s="2010"/>
      <c r="I40" s="1813"/>
      <c r="J40" s="2010"/>
      <c r="K40" s="1813"/>
      <c r="L40" s="2010"/>
      <c r="M40" s="1813"/>
      <c r="N40" s="2010"/>
      <c r="O40" s="1813"/>
      <c r="P40" s="2010"/>
      <c r="Q40" s="1813"/>
      <c r="R40" s="2010"/>
      <c r="S40" s="1813"/>
    </row>
    <row r="41" spans="1:19" x14ac:dyDescent="0.35">
      <c r="A41" s="1179"/>
      <c r="B41" s="2017"/>
      <c r="C41" s="1956"/>
      <c r="D41" s="2004"/>
      <c r="E41" s="2004"/>
      <c r="F41" s="2004"/>
      <c r="G41" s="1956"/>
      <c r="H41" s="2010"/>
      <c r="I41" s="1813"/>
      <c r="J41" s="2010"/>
      <c r="K41" s="1813"/>
      <c r="L41" s="2010"/>
      <c r="M41" s="1813"/>
      <c r="N41" s="2010"/>
      <c r="O41" s="1813"/>
      <c r="P41" s="2010"/>
      <c r="Q41" s="1813"/>
      <c r="R41" s="2010"/>
      <c r="S41" s="1813"/>
    </row>
    <row r="42" spans="1:19" x14ac:dyDescent="0.35">
      <c r="A42" s="1179"/>
      <c r="B42" s="1759"/>
      <c r="C42" s="1956"/>
      <c r="D42" s="2004"/>
      <c r="E42" s="2004"/>
      <c r="F42" s="2004"/>
      <c r="G42" s="1956"/>
      <c r="H42" s="2010"/>
      <c r="I42" s="1813"/>
      <c r="J42" s="2010"/>
      <c r="K42" s="1813"/>
      <c r="L42" s="2010"/>
      <c r="M42" s="1813"/>
      <c r="N42" s="2010"/>
      <c r="O42" s="1813"/>
      <c r="P42" s="2010"/>
      <c r="Q42" s="1813"/>
      <c r="R42" s="2010"/>
      <c r="S42" s="1813"/>
    </row>
    <row r="43" spans="1:19" x14ac:dyDescent="0.35">
      <c r="A43" s="1179"/>
      <c r="B43" s="1759"/>
      <c r="C43" s="1956"/>
      <c r="D43" s="2004"/>
      <c r="E43" s="2004"/>
      <c r="F43" s="2004"/>
      <c r="G43" s="1956"/>
      <c r="H43" s="2010"/>
      <c r="I43" s="1813"/>
      <c r="J43" s="2010"/>
      <c r="K43" s="1813"/>
      <c r="L43" s="2010"/>
      <c r="M43" s="1813"/>
      <c r="N43" s="2010"/>
      <c r="O43" s="1813"/>
      <c r="P43" s="2010"/>
      <c r="Q43" s="1813"/>
      <c r="R43" s="2010"/>
      <c r="S43" s="1813"/>
    </row>
    <row r="44" spans="1:19" x14ac:dyDescent="0.35">
      <c r="A44" s="1179"/>
      <c r="B44" s="2014"/>
      <c r="C44" s="1956"/>
      <c r="D44" s="2004"/>
      <c r="E44" s="2004"/>
      <c r="F44" s="2004"/>
      <c r="G44" s="1956"/>
      <c r="H44" s="2010"/>
      <c r="I44" s="1813"/>
      <c r="J44" s="2010"/>
      <c r="K44" s="1813"/>
      <c r="L44" s="2010"/>
      <c r="M44" s="1813"/>
      <c r="N44" s="2010"/>
      <c r="O44" s="1813"/>
      <c r="P44" s="2010"/>
      <c r="Q44" s="1813"/>
      <c r="R44" s="2010"/>
      <c r="S44" s="1813"/>
    </row>
    <row r="45" spans="1:19" x14ac:dyDescent="0.35">
      <c r="A45" s="1179"/>
      <c r="B45" s="2018"/>
      <c r="C45" s="1956"/>
      <c r="D45" s="2004"/>
      <c r="E45" s="2004"/>
      <c r="F45" s="2004"/>
      <c r="G45" s="1956"/>
      <c r="H45" s="2010"/>
      <c r="I45" s="1813"/>
      <c r="J45" s="2010"/>
      <c r="K45" s="1813"/>
      <c r="L45" s="2010"/>
      <c r="M45" s="1813"/>
      <c r="N45" s="2010"/>
      <c r="O45" s="1813"/>
      <c r="P45" s="2010"/>
      <c r="Q45" s="1813"/>
      <c r="R45" s="2010"/>
      <c r="S45" s="1813"/>
    </row>
    <row r="46" spans="1:19" x14ac:dyDescent="0.35">
      <c r="A46" s="1179"/>
      <c r="B46" s="2016"/>
      <c r="C46" s="1956"/>
      <c r="D46" s="2004"/>
      <c r="E46" s="2004"/>
      <c r="F46" s="2004"/>
      <c r="G46" s="1956"/>
      <c r="H46" s="2010"/>
      <c r="I46" s="1813"/>
      <c r="J46" s="2010"/>
      <c r="K46" s="1813"/>
      <c r="L46" s="2010"/>
      <c r="M46" s="1813"/>
      <c r="N46" s="2010"/>
      <c r="O46" s="1813"/>
      <c r="P46" s="2010"/>
      <c r="Q46" s="1813"/>
      <c r="R46" s="2010"/>
      <c r="S46" s="1813"/>
    </row>
    <row r="47" spans="1:19" x14ac:dyDescent="0.35">
      <c r="A47" s="1179"/>
      <c r="B47" s="2017"/>
      <c r="C47" s="1956"/>
      <c r="D47" s="2004"/>
      <c r="E47" s="2004"/>
      <c r="F47" s="2004"/>
      <c r="G47" s="1956"/>
      <c r="H47" s="2010" t="s">
        <v>669</v>
      </c>
      <c r="I47" s="1813"/>
      <c r="J47" s="2010"/>
      <c r="K47" s="1813"/>
      <c r="L47" s="2010"/>
      <c r="M47" s="1813"/>
      <c r="N47" s="2010"/>
      <c r="O47" s="1813"/>
      <c r="P47" s="2010"/>
      <c r="Q47" s="1813"/>
      <c r="R47" s="2010"/>
      <c r="S47" s="1813"/>
    </row>
    <row r="48" spans="1:19" x14ac:dyDescent="0.35">
      <c r="A48" s="1179"/>
      <c r="B48" s="2016"/>
      <c r="C48" s="1956"/>
      <c r="D48" s="2004"/>
      <c r="E48" s="2004"/>
      <c r="F48" s="2004"/>
      <c r="G48" s="1956"/>
      <c r="H48" s="2010"/>
      <c r="I48" s="1813"/>
      <c r="J48" s="2010"/>
      <c r="K48" s="1813"/>
      <c r="L48" s="2010"/>
      <c r="M48" s="1813"/>
      <c r="N48" s="2010"/>
      <c r="O48" s="1813"/>
      <c r="P48" s="2010"/>
      <c r="Q48" s="1813"/>
      <c r="R48" s="2010"/>
      <c r="S48" s="1813"/>
    </row>
    <row r="49" spans="1:19" x14ac:dyDescent="0.35">
      <c r="A49" s="1179"/>
      <c r="B49" s="2016"/>
      <c r="C49" s="1956"/>
      <c r="D49" s="2004"/>
      <c r="E49" s="2004"/>
      <c r="F49" s="2004"/>
      <c r="G49" s="1956"/>
      <c r="H49" s="2010"/>
      <c r="I49" s="1813"/>
      <c r="J49" s="2010"/>
      <c r="K49" s="1813"/>
      <c r="L49" s="2010"/>
      <c r="M49" s="1813"/>
      <c r="N49" s="2010"/>
      <c r="O49" s="1813"/>
      <c r="P49" s="2010"/>
      <c r="Q49" s="1813"/>
      <c r="R49" s="2010"/>
      <c r="S49" s="1813"/>
    </row>
    <row r="50" spans="1:19" x14ac:dyDescent="0.35">
      <c r="A50" s="1179"/>
      <c r="B50" s="2017"/>
      <c r="C50" s="1956"/>
      <c r="D50" s="2004"/>
      <c r="E50" s="2004"/>
      <c r="F50" s="2004"/>
      <c r="G50" s="1956"/>
      <c r="H50" s="2010"/>
      <c r="I50" s="1813"/>
      <c r="J50" s="2010"/>
      <c r="K50" s="1813"/>
      <c r="L50" s="2010"/>
      <c r="M50" s="1813"/>
      <c r="N50" s="2010"/>
      <c r="O50" s="1813"/>
      <c r="P50" s="2010"/>
      <c r="Q50" s="1813"/>
      <c r="R50" s="2010"/>
      <c r="S50" s="1813"/>
    </row>
    <row r="51" spans="1:19" x14ac:dyDescent="0.35">
      <c r="A51" s="1179"/>
      <c r="B51" s="2016"/>
      <c r="C51" s="1956"/>
      <c r="D51" s="2004"/>
      <c r="E51" s="2004"/>
      <c r="F51" s="2004"/>
      <c r="G51" s="1956"/>
      <c r="H51" s="2010"/>
      <c r="I51" s="1813"/>
      <c r="J51" s="2010"/>
      <c r="K51" s="1813"/>
      <c r="L51" s="2010"/>
      <c r="M51" s="1813"/>
      <c r="N51" s="2010"/>
      <c r="O51" s="1813"/>
      <c r="P51" s="2010"/>
      <c r="Q51" s="1813"/>
      <c r="R51" s="2010"/>
      <c r="S51" s="1813"/>
    </row>
    <row r="52" spans="1:19" x14ac:dyDescent="0.35">
      <c r="A52" s="1179"/>
      <c r="B52" s="2014"/>
      <c r="C52" s="1956"/>
      <c r="D52" s="2004"/>
      <c r="E52" s="2004"/>
      <c r="F52" s="2004"/>
      <c r="G52" s="1956"/>
      <c r="H52" s="2010"/>
      <c r="I52" s="1813"/>
      <c r="J52" s="2010"/>
      <c r="K52" s="1813"/>
      <c r="L52" s="2010"/>
      <c r="M52" s="1813"/>
      <c r="N52" s="2010"/>
      <c r="O52" s="1813"/>
      <c r="P52" s="2010"/>
      <c r="Q52" s="1813"/>
      <c r="R52" s="2010"/>
      <c r="S52" s="1813"/>
    </row>
    <row r="53" spans="1:19" x14ac:dyDescent="0.35">
      <c r="A53" s="1179"/>
      <c r="B53" s="1759"/>
      <c r="C53" s="1956"/>
      <c r="D53" s="2004"/>
      <c r="E53" s="2004"/>
      <c r="F53" s="2004"/>
      <c r="G53" s="1956"/>
      <c r="H53" s="2010"/>
      <c r="I53" s="1813"/>
      <c r="J53" s="2010"/>
      <c r="K53" s="1813"/>
      <c r="L53" s="2010"/>
      <c r="M53" s="1813"/>
      <c r="N53" s="2010"/>
      <c r="O53" s="1813"/>
      <c r="P53" s="2010"/>
      <c r="Q53" s="1813"/>
      <c r="R53" s="2010"/>
      <c r="S53" s="1813"/>
    </row>
    <row r="54" spans="1:19" x14ac:dyDescent="0.35">
      <c r="A54" s="1179"/>
      <c r="B54" s="2014"/>
      <c r="C54" s="1956"/>
      <c r="D54" s="2004"/>
      <c r="E54" s="2004"/>
      <c r="F54" s="2004"/>
      <c r="G54" s="1956"/>
      <c r="H54" s="2010"/>
      <c r="I54" s="1813"/>
      <c r="J54" s="2010"/>
      <c r="K54" s="1813"/>
      <c r="L54" s="2010"/>
      <c r="M54" s="1813"/>
      <c r="N54" s="2010"/>
      <c r="O54" s="1813"/>
      <c r="P54" s="2010"/>
      <c r="Q54" s="1813"/>
      <c r="R54" s="2010"/>
      <c r="S54" s="1813"/>
    </row>
    <row r="55" spans="1:19" x14ac:dyDescent="0.35">
      <c r="A55" s="1179"/>
      <c r="B55" s="1759"/>
      <c r="C55" s="1956"/>
      <c r="D55" s="2004"/>
      <c r="E55" s="2004"/>
      <c r="F55" s="2004"/>
      <c r="G55" s="1956"/>
      <c r="H55" s="2010"/>
      <c r="I55" s="1813"/>
      <c r="J55" s="2010"/>
      <c r="K55" s="1813"/>
      <c r="L55" s="2010"/>
      <c r="M55" s="1813"/>
      <c r="N55" s="2010"/>
      <c r="O55" s="1813"/>
      <c r="P55" s="2010"/>
      <c r="Q55" s="1813"/>
      <c r="R55" s="2010"/>
      <c r="S55" s="1813"/>
    </row>
    <row r="56" spans="1:19" x14ac:dyDescent="0.35">
      <c r="A56" s="1179"/>
      <c r="B56" s="2014"/>
      <c r="C56" s="1954"/>
      <c r="D56" s="2004"/>
      <c r="E56" s="2004"/>
      <c r="F56" s="2004"/>
      <c r="G56" s="1956"/>
      <c r="H56" s="2010"/>
      <c r="I56" s="1813"/>
      <c r="J56" s="2010"/>
      <c r="K56" s="1813"/>
      <c r="L56" s="2010"/>
      <c r="M56" s="1813"/>
      <c r="N56" s="2010"/>
      <c r="O56" s="1813"/>
      <c r="P56" s="2010"/>
      <c r="Q56" s="1813"/>
      <c r="R56" s="2010"/>
      <c r="S56" s="1813"/>
    </row>
    <row r="57" spans="1:19" x14ac:dyDescent="0.35">
      <c r="A57" s="1179"/>
      <c r="B57" s="1759"/>
      <c r="C57" s="2012"/>
      <c r="D57" s="682"/>
      <c r="E57" s="2004"/>
      <c r="F57" s="2004"/>
      <c r="G57" s="1956"/>
      <c r="H57" s="2010"/>
      <c r="I57" s="1813"/>
      <c r="J57" s="2010"/>
      <c r="K57" s="1813"/>
      <c r="L57" s="2010"/>
      <c r="M57" s="1813"/>
      <c r="N57" s="2010"/>
      <c r="O57" s="1813"/>
      <c r="P57" s="2010"/>
      <c r="Q57" s="1813"/>
      <c r="R57" s="2010"/>
      <c r="S57" s="1813"/>
    </row>
    <row r="58" spans="1:19" x14ac:dyDescent="0.35">
      <c r="A58" s="1179"/>
      <c r="B58" s="2018"/>
      <c r="C58" s="2012"/>
      <c r="D58" s="682"/>
      <c r="E58" s="2004"/>
      <c r="F58" s="2004"/>
      <c r="G58" s="1956"/>
      <c r="H58" s="2010"/>
      <c r="I58" s="1813"/>
      <c r="J58" s="2010"/>
      <c r="K58" s="1813"/>
      <c r="L58" s="2010"/>
      <c r="M58" s="1813"/>
      <c r="N58" s="2010"/>
      <c r="O58" s="1813"/>
      <c r="P58" s="2010"/>
      <c r="Q58" s="1813"/>
      <c r="R58" s="2010"/>
      <c r="S58" s="1813"/>
    </row>
    <row r="59" spans="1:19" x14ac:dyDescent="0.35">
      <c r="A59" s="1179"/>
      <c r="B59" s="2016"/>
      <c r="C59" s="2012"/>
      <c r="D59" s="682"/>
      <c r="E59" s="2004"/>
      <c r="F59" s="2004"/>
      <c r="G59" s="1956"/>
      <c r="H59" s="2010"/>
      <c r="I59" s="1813"/>
      <c r="J59" s="2010"/>
      <c r="K59" s="1813"/>
      <c r="L59" s="2010"/>
      <c r="M59" s="1813"/>
      <c r="N59" s="2010"/>
      <c r="O59" s="1813"/>
      <c r="P59" s="2010"/>
      <c r="Q59" s="1813"/>
      <c r="R59" s="2010"/>
      <c r="S59" s="1813"/>
    </row>
    <row r="60" spans="1:19" x14ac:dyDescent="0.35">
      <c r="A60" s="1179"/>
      <c r="B60" s="2017"/>
      <c r="C60" s="2012"/>
      <c r="D60" s="682"/>
      <c r="E60" s="2004"/>
      <c r="F60" s="2004"/>
      <c r="G60" s="1956"/>
      <c r="H60" s="2010"/>
      <c r="I60" s="1813"/>
      <c r="J60" s="2010"/>
      <c r="K60" s="1813"/>
      <c r="L60" s="2010"/>
      <c r="M60" s="1813"/>
      <c r="N60" s="2010"/>
      <c r="O60" s="1813"/>
      <c r="P60" s="2010"/>
      <c r="Q60" s="1813"/>
      <c r="R60" s="2010"/>
      <c r="S60" s="1813"/>
    </row>
    <row r="61" spans="1:19" x14ac:dyDescent="0.35">
      <c r="A61" s="1179"/>
      <c r="B61" s="2016"/>
      <c r="C61" s="2012"/>
      <c r="D61" s="682"/>
      <c r="E61" s="2004"/>
      <c r="F61" s="2004"/>
      <c r="G61" s="1956"/>
      <c r="H61" s="2010"/>
      <c r="I61" s="1813"/>
      <c r="J61" s="2010"/>
      <c r="K61" s="1813"/>
      <c r="L61" s="2010"/>
      <c r="M61" s="1813"/>
      <c r="N61" s="2010"/>
      <c r="O61" s="1813"/>
      <c r="P61" s="2010"/>
      <c r="Q61" s="1813"/>
      <c r="R61" s="2010"/>
      <c r="S61" s="1813"/>
    </row>
    <row r="62" spans="1:19" x14ac:dyDescent="0.35">
      <c r="A62" s="1963"/>
      <c r="B62" s="2017"/>
      <c r="C62" s="2012"/>
      <c r="D62" s="682"/>
      <c r="E62" s="2004"/>
      <c r="F62" s="2004"/>
      <c r="G62" s="1956"/>
      <c r="H62" s="2010"/>
      <c r="I62" s="1813"/>
      <c r="J62" s="2010"/>
      <c r="K62" s="1813"/>
      <c r="L62" s="2010"/>
      <c r="M62" s="1825"/>
      <c r="N62" s="2010"/>
      <c r="O62" s="1813"/>
      <c r="P62" s="2010"/>
      <c r="Q62" s="1813"/>
      <c r="R62" s="2010"/>
      <c r="S62" s="1813"/>
    </row>
    <row r="63" spans="1:19" x14ac:dyDescent="0.35">
      <c r="A63" s="1963"/>
      <c r="B63" s="2019"/>
      <c r="C63" s="2012"/>
      <c r="D63" s="682"/>
      <c r="E63" s="2004"/>
      <c r="F63" s="2004"/>
      <c r="G63" s="1956"/>
      <c r="H63" s="2010"/>
      <c r="I63" s="1813"/>
      <c r="J63" s="2010"/>
      <c r="K63" s="1825"/>
      <c r="L63" s="2010"/>
      <c r="M63" s="1825"/>
      <c r="N63" s="2010"/>
      <c r="O63" s="1813"/>
      <c r="P63" s="2010"/>
      <c r="Q63" s="1813"/>
      <c r="R63" s="2010"/>
      <c r="S63" s="1813"/>
    </row>
    <row r="64" spans="1:19" ht="15" thickBot="1" x14ac:dyDescent="0.4">
      <c r="A64" s="1963"/>
      <c r="B64" s="2020"/>
      <c r="C64" s="2009"/>
      <c r="D64" s="2004"/>
      <c r="E64" s="2004"/>
      <c r="F64" s="2004"/>
      <c r="G64" s="1956"/>
      <c r="H64" s="2010"/>
      <c r="I64" s="1824"/>
      <c r="J64" s="2010"/>
      <c r="K64" s="1825"/>
      <c r="L64" s="2010"/>
      <c r="M64" s="1825"/>
      <c r="N64" s="2010"/>
      <c r="O64" s="1824"/>
      <c r="P64" s="2010"/>
      <c r="Q64" s="1824"/>
      <c r="R64" s="2010"/>
      <c r="S64" s="1824"/>
    </row>
    <row r="65" spans="1:19" ht="15" thickTop="1" x14ac:dyDescent="0.35">
      <c r="A65" s="14"/>
      <c r="B65" s="15"/>
      <c r="C65" s="16"/>
      <c r="D65" s="16"/>
      <c r="E65" s="17"/>
      <c r="F65" s="18" t="s">
        <v>715</v>
      </c>
      <c r="G65" s="19"/>
      <c r="H65" s="20"/>
      <c r="I65" s="50">
        <f>SUM(I23:I64)</f>
        <v>0</v>
      </c>
      <c r="J65" s="20"/>
      <c r="K65" s="50">
        <f>SUM(K23:K64)</f>
        <v>0</v>
      </c>
      <c r="L65" s="20"/>
      <c r="M65" s="50">
        <f>SUM(M23:M64)</f>
        <v>0</v>
      </c>
      <c r="N65" s="20"/>
      <c r="O65" s="50">
        <f>SUM(O26:O64)</f>
        <v>0</v>
      </c>
      <c r="P65" s="20"/>
      <c r="Q65" s="50">
        <f>SUM(Q26:Q64)</f>
        <v>0</v>
      </c>
      <c r="R65" s="20"/>
      <c r="S65" s="50">
        <f>SUM(S26:S64)</f>
        <v>0</v>
      </c>
    </row>
    <row r="66" spans="1:19" x14ac:dyDescent="0.35">
      <c r="A66" s="1964"/>
      <c r="B66" s="1965"/>
      <c r="C66" s="1966"/>
      <c r="D66" s="1966"/>
      <c r="E66" s="1967"/>
      <c r="F66" s="1968" t="s">
        <v>716</v>
      </c>
      <c r="G66" s="1904"/>
      <c r="H66" s="1736">
        <v>0</v>
      </c>
      <c r="I66" s="1737"/>
      <c r="J66" s="1667">
        <v>0</v>
      </c>
      <c r="K66" s="1737"/>
      <c r="L66" s="1667">
        <v>0</v>
      </c>
      <c r="M66" s="1737"/>
      <c r="N66" s="1736">
        <v>0</v>
      </c>
      <c r="O66" s="1737"/>
      <c r="P66" s="1736">
        <v>0</v>
      </c>
      <c r="Q66" s="1737"/>
      <c r="R66" s="1736">
        <v>0</v>
      </c>
      <c r="S66" s="1737"/>
    </row>
    <row r="67" spans="1:19" x14ac:dyDescent="0.35">
      <c r="A67" s="1964"/>
      <c r="B67" s="1965"/>
      <c r="C67" s="1966"/>
      <c r="D67" s="1966"/>
      <c r="E67" s="1967"/>
      <c r="F67" s="1968" t="s">
        <v>717</v>
      </c>
      <c r="G67" s="1904"/>
      <c r="H67" s="1669"/>
      <c r="I67" s="1738">
        <f>H66*I65</f>
        <v>0</v>
      </c>
      <c r="J67" s="1669"/>
      <c r="K67" s="1738">
        <f>J66*K65</f>
        <v>0</v>
      </c>
      <c r="L67" s="1669"/>
      <c r="M67" s="1738">
        <f>L66*M65</f>
        <v>0</v>
      </c>
      <c r="N67" s="1669"/>
      <c r="O67" s="1738">
        <f>N66*O65</f>
        <v>0</v>
      </c>
      <c r="P67" s="1669"/>
      <c r="Q67" s="1738">
        <f>P66*Q65</f>
        <v>0</v>
      </c>
      <c r="R67" s="1669"/>
      <c r="S67" s="1738">
        <f>R66*S65</f>
        <v>0</v>
      </c>
    </row>
    <row r="68" spans="1:19" x14ac:dyDescent="0.35">
      <c r="A68" s="1964"/>
      <c r="B68" s="1965"/>
      <c r="C68" s="1966"/>
      <c r="D68" s="1966"/>
      <c r="E68" s="1967"/>
      <c r="F68" s="1968"/>
      <c r="G68" s="1904"/>
      <c r="H68" s="1669"/>
      <c r="I68" s="1739"/>
      <c r="J68" s="1669"/>
      <c r="K68" s="1739"/>
      <c r="L68" s="1669"/>
      <c r="M68" s="1739"/>
      <c r="N68" s="1669"/>
      <c r="O68" s="1739"/>
      <c r="P68" s="1669"/>
      <c r="Q68" s="1739"/>
      <c r="R68" s="1669"/>
      <c r="S68" s="1739"/>
    </row>
    <row r="69" spans="1:19" x14ac:dyDescent="0.35">
      <c r="A69" s="1964"/>
      <c r="B69" s="1965"/>
      <c r="C69" s="1966"/>
      <c r="D69" s="1966"/>
      <c r="E69" s="1967"/>
      <c r="F69" s="1968" t="s">
        <v>718</v>
      </c>
      <c r="G69" s="1904"/>
      <c r="H69" s="1671"/>
      <c r="I69" s="1740">
        <f>SUM(I65:I67)</f>
        <v>0</v>
      </c>
      <c r="J69" s="1671"/>
      <c r="K69" s="1740">
        <f>SUM(K65:K67)</f>
        <v>0</v>
      </c>
      <c r="L69" s="1671"/>
      <c r="M69" s="1740">
        <f>SUM(M65:M67)</f>
        <v>0</v>
      </c>
      <c r="N69" s="1671"/>
      <c r="O69" s="1740">
        <f>SUM(O65:O67)</f>
        <v>0</v>
      </c>
      <c r="P69" s="1671"/>
      <c r="Q69" s="1740">
        <f>SUM(Q65:Q67)</f>
        <v>0</v>
      </c>
      <c r="R69" s="1671"/>
      <c r="S69" s="1740">
        <f>SUM(S65:S67)</f>
        <v>0</v>
      </c>
    </row>
    <row r="70" spans="1:19" x14ac:dyDescent="0.35">
      <c r="A70" s="1964"/>
      <c r="B70" s="1965"/>
      <c r="C70" s="1966"/>
      <c r="D70" s="1966"/>
      <c r="E70" s="1967"/>
      <c r="F70" s="1977" t="s">
        <v>719</v>
      </c>
      <c r="G70" s="1906"/>
      <c r="H70" s="1674"/>
      <c r="I70" s="1675" t="e">
        <f>I69/#REF!</f>
        <v>#REF!</v>
      </c>
      <c r="J70" s="1674"/>
      <c r="K70" s="1675" t="e">
        <f>K69/#REF!</f>
        <v>#REF!</v>
      </c>
      <c r="L70" s="1674"/>
      <c r="M70" s="1675" t="e">
        <f>M69/#REF!</f>
        <v>#REF!</v>
      </c>
      <c r="N70" s="1674"/>
      <c r="O70" s="1675" t="e">
        <f>O69/#REF!</f>
        <v>#REF!</v>
      </c>
      <c r="P70" s="1674"/>
      <c r="Q70" s="1675" t="e">
        <f>Q69/#REF!</f>
        <v>#REF!</v>
      </c>
      <c r="R70" s="1674"/>
      <c r="S70" s="1675" t="e">
        <f>S69/#REF!</f>
        <v>#REF!</v>
      </c>
    </row>
    <row r="71" spans="1:19" x14ac:dyDescent="0.35">
      <c r="A71" s="1964"/>
      <c r="B71" s="1965"/>
      <c r="C71" s="1966"/>
      <c r="D71" s="1966"/>
      <c r="E71" s="1967"/>
      <c r="F71" s="1977" t="s">
        <v>720</v>
      </c>
      <c r="G71" s="1907"/>
      <c r="H71" s="1674"/>
      <c r="I71" s="1675" t="e">
        <f>I69/#REF!</f>
        <v>#REF!</v>
      </c>
      <c r="J71" s="1674"/>
      <c r="K71" s="1675" t="e">
        <f>K69/#REF!</f>
        <v>#REF!</v>
      </c>
      <c r="L71" s="1674"/>
      <c r="M71" s="1675" t="e">
        <f>M69/#REF!</f>
        <v>#REF!</v>
      </c>
      <c r="N71" s="1674"/>
      <c r="O71" s="1675" t="e">
        <f>O69/#REF!</f>
        <v>#REF!</v>
      </c>
      <c r="P71" s="1674"/>
      <c r="Q71" s="1675" t="e">
        <f>Q69/#REF!</f>
        <v>#REF!</v>
      </c>
      <c r="R71" s="1674"/>
      <c r="S71" s="1675" t="e">
        <f>S69/#REF!</f>
        <v>#REF!</v>
      </c>
    </row>
    <row r="72" spans="1:19" ht="15" thickBot="1" x14ac:dyDescent="0.4">
      <c r="A72" s="1964"/>
      <c r="B72" s="1965"/>
      <c r="C72" s="1966"/>
      <c r="D72" s="1966"/>
      <c r="E72" s="1967"/>
      <c r="F72" s="1968"/>
      <c r="G72" s="1908"/>
      <c r="H72" s="1677"/>
      <c r="I72" s="1678"/>
      <c r="J72" s="1676"/>
      <c r="K72" s="1676"/>
      <c r="L72" s="1676"/>
      <c r="M72" s="1676"/>
      <c r="N72" s="1676"/>
      <c r="O72" s="1766"/>
      <c r="P72" s="1676"/>
      <c r="Q72" s="1766"/>
      <c r="R72" s="1676"/>
      <c r="S72" s="1766"/>
    </row>
    <row r="73" spans="1:19" ht="15.5" thickTop="1" thickBot="1" x14ac:dyDescent="0.4">
      <c r="A73" s="3764" t="s">
        <v>721</v>
      </c>
      <c r="B73" s="3765"/>
      <c r="C73" s="12"/>
      <c r="D73" s="12"/>
      <c r="E73" s="12"/>
      <c r="F73" s="12"/>
      <c r="G73" s="13"/>
      <c r="H73" s="21"/>
      <c r="I73" s="21"/>
      <c r="J73" s="21"/>
      <c r="K73" s="21"/>
      <c r="L73" s="21"/>
      <c r="M73" s="21"/>
      <c r="N73" s="21"/>
      <c r="O73" s="21"/>
      <c r="P73" s="21"/>
      <c r="Q73" s="21"/>
      <c r="R73" s="21"/>
      <c r="S73" s="21"/>
    </row>
    <row r="74" spans="1:19" ht="15" thickTop="1" x14ac:dyDescent="0.35">
      <c r="A74" s="1857"/>
      <c r="B74" s="2003"/>
      <c r="C74" s="1833"/>
      <c r="D74" s="1833"/>
      <c r="E74" s="1833"/>
      <c r="F74" s="1833"/>
      <c r="G74" s="1858"/>
      <c r="H74" s="1860"/>
      <c r="I74" s="1860"/>
      <c r="J74" s="1860"/>
      <c r="K74" s="1860"/>
      <c r="L74" s="1860"/>
      <c r="M74" s="1860"/>
      <c r="N74" s="1860"/>
      <c r="O74" s="1860"/>
      <c r="P74" s="1860"/>
      <c r="Q74" s="1860"/>
      <c r="R74" s="1860"/>
      <c r="S74" s="1860"/>
    </row>
    <row r="75" spans="1:19" x14ac:dyDescent="0.35">
      <c r="A75" s="1857"/>
      <c r="B75" s="2003"/>
      <c r="C75" s="1833"/>
      <c r="D75" s="1833"/>
      <c r="E75" s="1833"/>
      <c r="F75" s="1833"/>
      <c r="G75" s="1858"/>
      <c r="H75" s="1860"/>
      <c r="I75" s="1860"/>
      <c r="J75" s="1860"/>
      <c r="K75" s="1860"/>
      <c r="L75" s="1860"/>
      <c r="M75" s="1860"/>
      <c r="N75" s="1860"/>
      <c r="O75" s="1860"/>
      <c r="P75" s="1860"/>
      <c r="Q75" s="1860"/>
      <c r="R75" s="1860"/>
      <c r="S75" s="1860"/>
    </row>
    <row r="76" spans="1:19" ht="15" thickBot="1" x14ac:dyDescent="0.4">
      <c r="A76" s="1857"/>
      <c r="B76" s="2003"/>
      <c r="C76" s="1833"/>
      <c r="D76" s="1833"/>
      <c r="E76" s="1833"/>
      <c r="F76" s="1833"/>
      <c r="G76" s="1858"/>
      <c r="H76" s="1860"/>
      <c r="I76" s="1860"/>
      <c r="J76" s="1860"/>
      <c r="K76" s="1860"/>
      <c r="L76" s="1860"/>
      <c r="M76" s="1860"/>
      <c r="N76" s="1860"/>
      <c r="O76" s="1860"/>
      <c r="P76" s="1860"/>
      <c r="Q76" s="1860"/>
      <c r="R76" s="1860"/>
      <c r="S76" s="1860"/>
    </row>
    <row r="77" spans="1:19" s="2" customFormat="1" ht="15.5" thickTop="1" thickBot="1" x14ac:dyDescent="0.4">
      <c r="A77" s="3764" t="s">
        <v>722</v>
      </c>
      <c r="B77" s="3765"/>
      <c r="C77" s="12"/>
      <c r="D77" s="12"/>
      <c r="E77" s="12"/>
      <c r="F77" s="12"/>
      <c r="G77" s="13"/>
      <c r="H77" s="21"/>
      <c r="I77" s="21"/>
      <c r="J77" s="21"/>
      <c r="K77" s="21"/>
      <c r="L77" s="21"/>
      <c r="M77" s="21"/>
      <c r="N77" s="21"/>
      <c r="O77" s="21"/>
      <c r="P77" s="21"/>
      <c r="Q77" s="21"/>
      <c r="R77" s="21"/>
      <c r="S77" s="21"/>
    </row>
    <row r="78" spans="1:19" s="2" customFormat="1" ht="15" thickTop="1" x14ac:dyDescent="0.35">
      <c r="A78" s="1857"/>
      <c r="B78" s="2003"/>
      <c r="C78" s="1833"/>
      <c r="D78" s="1833"/>
      <c r="E78" s="1833"/>
      <c r="F78" s="1833"/>
      <c r="G78" s="1858"/>
      <c r="H78" s="1860"/>
      <c r="I78" s="1860"/>
      <c r="J78" s="1860"/>
      <c r="K78" s="1860"/>
      <c r="L78" s="1860"/>
      <c r="M78" s="1860"/>
      <c r="N78" s="1860"/>
      <c r="O78" s="1860"/>
      <c r="P78" s="1860"/>
      <c r="Q78" s="1860"/>
      <c r="R78" s="1860"/>
      <c r="S78" s="1860"/>
    </row>
    <row r="79" spans="1:19" s="2" customFormat="1" x14ac:dyDescent="0.35">
      <c r="A79" s="1857"/>
      <c r="B79" s="2003"/>
      <c r="C79" s="1833"/>
      <c r="D79" s="1833"/>
      <c r="E79" s="1833"/>
      <c r="F79" s="1833"/>
      <c r="G79" s="1858"/>
      <c r="H79" s="1860"/>
      <c r="I79" s="1860"/>
      <c r="J79" s="1860"/>
      <c r="K79" s="1860"/>
      <c r="L79" s="1860"/>
      <c r="M79" s="1860"/>
      <c r="N79" s="1860"/>
      <c r="O79" s="1860"/>
      <c r="P79" s="1860"/>
      <c r="Q79" s="1860"/>
      <c r="R79" s="1860"/>
      <c r="S79" s="1860"/>
    </row>
    <row r="80" spans="1:19" ht="15" thickBot="1" x14ac:dyDescent="0.4">
      <c r="A80" s="1857"/>
      <c r="B80" s="2003"/>
      <c r="C80" s="1833"/>
      <c r="D80" s="1833"/>
      <c r="E80" s="1833"/>
      <c r="F80" s="1833"/>
      <c r="G80" s="1858"/>
      <c r="H80" s="1860"/>
      <c r="I80" s="1860"/>
      <c r="J80" s="1860"/>
      <c r="K80" s="1860"/>
      <c r="L80" s="1860"/>
      <c r="M80" s="1860"/>
      <c r="N80" s="1860"/>
      <c r="O80" s="1860"/>
      <c r="P80" s="1860"/>
      <c r="Q80" s="1860"/>
      <c r="R80" s="1860"/>
      <c r="S80" s="1860"/>
    </row>
    <row r="81" spans="1:19" s="2" customFormat="1" ht="15.5" thickTop="1" thickBot="1" x14ac:dyDescent="0.4">
      <c r="A81" s="3764" t="s">
        <v>723</v>
      </c>
      <c r="B81" s="3765"/>
      <c r="C81" s="12"/>
      <c r="D81" s="12"/>
      <c r="E81" s="12"/>
      <c r="F81" s="12"/>
      <c r="G81" s="13"/>
      <c r="H81" s="21"/>
      <c r="I81" s="21"/>
      <c r="J81" s="21"/>
      <c r="K81" s="21"/>
      <c r="L81" s="21"/>
      <c r="M81" s="21"/>
      <c r="N81" s="21"/>
      <c r="O81" s="21"/>
      <c r="P81" s="21"/>
      <c r="Q81" s="21"/>
      <c r="R81" s="21"/>
      <c r="S81" s="21"/>
    </row>
    <row r="82" spans="1:19" s="2" customFormat="1" ht="15" thickTop="1" x14ac:dyDescent="0.35">
      <c r="A82" s="1857"/>
      <c r="B82" s="2003"/>
      <c r="C82" s="1833"/>
      <c r="D82" s="1833"/>
      <c r="E82" s="1833"/>
      <c r="F82" s="1833"/>
      <c r="G82" s="1858"/>
      <c r="H82" s="1860"/>
      <c r="I82" s="1860"/>
      <c r="J82" s="1860"/>
      <c r="K82" s="1860"/>
      <c r="L82" s="1860"/>
      <c r="M82" s="1860"/>
      <c r="N82" s="1860"/>
      <c r="O82" s="1860"/>
      <c r="P82" s="1860"/>
      <c r="Q82" s="1860"/>
      <c r="R82" s="1860"/>
      <c r="S82" s="1860"/>
    </row>
    <row r="83" spans="1:19" s="2" customFormat="1" x14ac:dyDescent="0.35">
      <c r="A83" s="2007"/>
      <c r="B83" s="2003"/>
      <c r="C83" s="2004"/>
      <c r="D83" s="2004"/>
      <c r="E83" s="2004"/>
      <c r="F83" s="2004"/>
      <c r="G83" s="1956"/>
      <c r="H83" s="1679"/>
      <c r="I83" s="1679"/>
      <c r="J83" s="1679"/>
      <c r="K83" s="1679"/>
      <c r="L83" s="1679"/>
      <c r="M83" s="1679"/>
      <c r="N83" s="1679"/>
      <c r="O83" s="1679"/>
      <c r="P83" s="1679"/>
      <c r="Q83" s="1679"/>
      <c r="R83" s="1679"/>
      <c r="S83" s="1679"/>
    </row>
    <row r="84" spans="1:19" s="2" customFormat="1" ht="15" thickBot="1" x14ac:dyDescent="0.4">
      <c r="A84" s="1985"/>
      <c r="B84" s="1986"/>
      <c r="C84" s="2004"/>
      <c r="D84" s="2004"/>
      <c r="E84" s="2004"/>
      <c r="F84" s="2004"/>
      <c r="G84" s="1956"/>
      <c r="H84" s="1682"/>
      <c r="I84" s="1682"/>
      <c r="J84" s="1682"/>
      <c r="K84" s="1682"/>
      <c r="L84" s="1682"/>
      <c r="M84" s="1682"/>
      <c r="N84" s="1682"/>
      <c r="O84" s="1682"/>
      <c r="P84" s="1682"/>
      <c r="Q84" s="1682"/>
      <c r="R84" s="1682"/>
      <c r="S84" s="1682"/>
    </row>
    <row r="85" spans="1:19" s="2" customFormat="1" ht="15.5" thickTop="1" thickBot="1" x14ac:dyDescent="0.4">
      <c r="A85" s="3764" t="s">
        <v>724</v>
      </c>
      <c r="B85" s="3765"/>
      <c r="C85" s="12"/>
      <c r="D85" s="12"/>
      <c r="E85" s="12"/>
      <c r="F85" s="12"/>
      <c r="G85" s="13"/>
      <c r="H85" s="21"/>
      <c r="I85" s="21"/>
      <c r="J85" s="21"/>
      <c r="K85" s="21"/>
      <c r="L85" s="21"/>
      <c r="M85" s="21"/>
      <c r="N85" s="21"/>
      <c r="O85" s="21"/>
      <c r="P85" s="21"/>
      <c r="Q85" s="21"/>
      <c r="R85" s="21"/>
      <c r="S85" s="21"/>
    </row>
    <row r="86" spans="1:19" ht="15" thickTop="1" x14ac:dyDescent="0.35">
      <c r="A86" s="1865"/>
      <c r="B86" s="1866"/>
      <c r="C86" s="1833"/>
      <c r="D86" s="1833"/>
      <c r="E86" s="1833"/>
      <c r="F86" s="1833"/>
      <c r="G86" s="1858"/>
      <c r="H86" s="1860"/>
      <c r="I86" s="1860"/>
      <c r="J86" s="1860"/>
      <c r="K86" s="1860"/>
      <c r="L86" s="1860"/>
      <c r="M86" s="1860"/>
      <c r="N86" s="1860"/>
      <c r="O86" s="1860"/>
      <c r="P86" s="1860"/>
      <c r="Q86" s="1860"/>
      <c r="R86" s="1860"/>
      <c r="S86" s="1860"/>
    </row>
    <row r="87" spans="1:19" x14ac:dyDescent="0.35">
      <c r="A87" s="1985"/>
      <c r="B87" s="1986"/>
      <c r="C87" s="2004"/>
      <c r="D87" s="2004"/>
      <c r="E87" s="2004"/>
      <c r="F87" s="2004"/>
      <c r="G87" s="1956"/>
      <c r="H87" s="1683"/>
      <c r="I87" s="1683"/>
      <c r="J87" s="1683"/>
      <c r="K87" s="1683"/>
      <c r="L87" s="1683"/>
      <c r="M87" s="1683"/>
      <c r="N87" s="1683"/>
      <c r="O87" s="1683"/>
      <c r="P87" s="1683"/>
      <c r="Q87" s="1683"/>
      <c r="R87" s="1683"/>
      <c r="S87" s="1683"/>
    </row>
    <row r="88" spans="1:19" ht="15" thickBot="1" x14ac:dyDescent="0.4">
      <c r="A88" s="1985"/>
      <c r="B88" s="1986"/>
      <c r="C88" s="2004"/>
      <c r="D88" s="2004"/>
      <c r="E88" s="2004"/>
      <c r="F88" s="2004"/>
      <c r="G88" s="1956"/>
      <c r="H88" s="1683"/>
      <c r="I88" s="1683"/>
      <c r="J88" s="1683"/>
      <c r="K88" s="1683"/>
      <c r="L88" s="1683"/>
      <c r="M88" s="1683"/>
      <c r="N88" s="1683"/>
      <c r="O88" s="1683"/>
      <c r="P88" s="1683"/>
      <c r="Q88" s="1683"/>
      <c r="R88" s="1683"/>
      <c r="S88" s="1683"/>
    </row>
    <row r="89" spans="1:19" ht="15.5" thickTop="1" thickBot="1" x14ac:dyDescent="0.4">
      <c r="A89" s="3764" t="s">
        <v>725</v>
      </c>
      <c r="B89" s="3765"/>
      <c r="C89" s="12"/>
      <c r="D89" s="12"/>
      <c r="E89" s="12"/>
      <c r="F89" s="12"/>
      <c r="G89" s="13"/>
      <c r="H89" s="21"/>
      <c r="I89" s="21"/>
      <c r="J89" s="21"/>
      <c r="K89" s="21"/>
      <c r="L89" s="21"/>
      <c r="M89" s="21"/>
      <c r="N89" s="21"/>
      <c r="O89" s="21"/>
      <c r="P89" s="21"/>
      <c r="Q89" s="21"/>
      <c r="R89" s="21"/>
      <c r="S89" s="21"/>
    </row>
    <row r="90" spans="1:19" ht="15" thickTop="1" x14ac:dyDescent="0.35">
      <c r="A90" s="2007"/>
      <c r="B90" s="2003" t="s">
        <v>726</v>
      </c>
      <c r="C90" s="2004"/>
      <c r="D90" s="2004"/>
      <c r="E90" s="2004"/>
      <c r="F90" s="2004"/>
      <c r="G90" s="1956"/>
      <c r="H90" s="1683"/>
      <c r="I90" s="1683"/>
      <c r="J90" s="1683"/>
      <c r="K90" s="1683"/>
      <c r="L90" s="1683"/>
      <c r="M90" s="1683"/>
      <c r="N90" s="1683"/>
      <c r="O90" s="1683"/>
      <c r="P90" s="1683"/>
      <c r="Q90" s="1683"/>
      <c r="R90" s="1683"/>
      <c r="S90" s="1683"/>
    </row>
    <row r="91" spans="1:19" x14ac:dyDescent="0.35">
      <c r="A91" s="2007"/>
      <c r="B91" s="2003" t="s">
        <v>727</v>
      </c>
      <c r="C91" s="2004"/>
      <c r="D91" s="2004"/>
      <c r="E91" s="2004"/>
      <c r="F91" s="2004"/>
      <c r="G91" s="1956"/>
      <c r="H91" s="1683"/>
      <c r="I91" s="1683"/>
      <c r="J91" s="1683"/>
      <c r="K91" s="1683"/>
      <c r="L91" s="1683"/>
      <c r="M91" s="1683"/>
      <c r="N91" s="1683"/>
      <c r="O91" s="1683"/>
      <c r="P91" s="1683"/>
      <c r="Q91" s="1683"/>
      <c r="R91" s="1683"/>
      <c r="S91" s="1683"/>
    </row>
    <row r="92" spans="1:19" x14ac:dyDescent="0.35">
      <c r="A92" s="2007"/>
      <c r="B92" s="2003" t="s">
        <v>728</v>
      </c>
      <c r="C92" s="2004"/>
      <c r="D92" s="2004"/>
      <c r="E92" s="2004"/>
      <c r="F92" s="2004"/>
      <c r="G92" s="1956"/>
      <c r="H92" s="1683"/>
      <c r="I92" s="1683"/>
      <c r="J92" s="1683"/>
      <c r="K92" s="1683"/>
      <c r="L92" s="1683"/>
      <c r="M92" s="1683"/>
      <c r="N92" s="1683"/>
      <c r="O92" s="1683"/>
      <c r="P92" s="1683"/>
      <c r="Q92" s="1683"/>
      <c r="R92" s="1683"/>
      <c r="S92" s="1683"/>
    </row>
    <row r="93" spans="1:19" x14ac:dyDescent="0.35">
      <c r="A93" s="2007"/>
      <c r="B93" s="2003" t="s">
        <v>729</v>
      </c>
      <c r="C93" s="2004"/>
      <c r="D93" s="2004"/>
      <c r="E93" s="2004"/>
      <c r="F93" s="2004"/>
      <c r="G93" s="1956"/>
      <c r="H93" s="1683"/>
      <c r="I93" s="1683"/>
      <c r="J93" s="1683"/>
      <c r="K93" s="1683"/>
      <c r="L93" s="1683"/>
      <c r="M93" s="1683"/>
      <c r="N93" s="1683"/>
      <c r="O93" s="1683"/>
      <c r="P93" s="1683"/>
      <c r="Q93" s="1683"/>
      <c r="R93" s="1683"/>
      <c r="S93" s="1683"/>
    </row>
    <row r="94" spans="1:19" ht="15" thickBot="1" x14ac:dyDescent="0.4">
      <c r="A94" s="978"/>
      <c r="B94" s="939"/>
      <c r="C94" s="940"/>
      <c r="D94" s="940"/>
      <c r="E94" s="940"/>
      <c r="F94" s="940"/>
      <c r="G94" s="1039"/>
      <c r="H94" s="981"/>
      <c r="I94" s="981"/>
      <c r="J94" s="981"/>
      <c r="K94" s="981"/>
      <c r="L94" s="981"/>
      <c r="M94" s="981"/>
      <c r="N94" s="981"/>
      <c r="O94" s="981"/>
      <c r="P94" s="981"/>
      <c r="Q94" s="981"/>
      <c r="R94" s="981"/>
      <c r="S94" s="981"/>
    </row>
    <row r="95" spans="1:19" ht="15.5" thickTop="1" thickBot="1" x14ac:dyDescent="0.4">
      <c r="A95" s="7" t="s">
        <v>730</v>
      </c>
      <c r="B95" s="8"/>
      <c r="C95" s="12"/>
      <c r="D95" s="12"/>
      <c r="E95" s="12"/>
      <c r="F95" s="12"/>
      <c r="G95" s="13"/>
      <c r="H95" s="21"/>
      <c r="I95" s="21"/>
      <c r="J95" s="21"/>
      <c r="K95" s="21"/>
      <c r="L95" s="21"/>
      <c r="M95" s="21"/>
      <c r="N95" s="21"/>
      <c r="O95" s="21"/>
      <c r="P95" s="21"/>
      <c r="Q95" s="21"/>
      <c r="R95" s="21"/>
      <c r="S95" s="21"/>
    </row>
    <row r="96" spans="1:19" ht="15" thickTop="1" x14ac:dyDescent="0.35">
      <c r="A96" s="1857"/>
      <c r="B96" s="1868" t="s">
        <v>731</v>
      </c>
      <c r="C96" s="1833"/>
      <c r="D96" s="1833"/>
      <c r="E96" s="1833"/>
      <c r="F96" s="1833"/>
      <c r="G96" s="1858"/>
      <c r="H96" s="1869"/>
      <c r="I96" s="1869"/>
      <c r="J96" s="1869"/>
      <c r="K96" s="1869"/>
      <c r="L96" s="1869"/>
      <c r="M96" s="1869"/>
      <c r="N96" s="1869"/>
      <c r="O96" s="1869"/>
      <c r="P96" s="1869"/>
      <c r="Q96" s="1869"/>
      <c r="R96" s="1869"/>
      <c r="S96" s="1869"/>
    </row>
    <row r="97" spans="1:19" x14ac:dyDescent="0.35">
      <c r="A97" s="2007"/>
      <c r="B97" s="2003" t="s">
        <v>732</v>
      </c>
      <c r="C97" s="2004"/>
      <c r="D97" s="2004"/>
      <c r="E97" s="2004"/>
      <c r="F97" s="2004"/>
      <c r="G97" s="1956"/>
      <c r="H97" s="1989"/>
      <c r="I97" s="1989"/>
      <c r="J97" s="1989"/>
      <c r="K97" s="1989"/>
      <c r="L97" s="1989"/>
      <c r="M97" s="1989"/>
      <c r="N97" s="1989"/>
      <c r="O97" s="1989"/>
      <c r="P97" s="1989"/>
      <c r="Q97" s="1989"/>
      <c r="R97" s="1989"/>
      <c r="S97" s="1989"/>
    </row>
    <row r="98" spans="1:19" ht="15" thickBot="1" x14ac:dyDescent="0.4">
      <c r="A98" s="1685"/>
      <c r="B98" s="1686" t="s">
        <v>733</v>
      </c>
      <c r="C98" s="1687"/>
      <c r="D98" s="1687"/>
      <c r="E98" s="1687"/>
      <c r="F98" s="1687"/>
      <c r="G98" s="1688"/>
      <c r="H98" s="1689"/>
      <c r="I98" s="1689"/>
      <c r="J98" s="1689"/>
      <c r="K98" s="1689"/>
      <c r="L98" s="1689"/>
      <c r="M98" s="1689"/>
      <c r="N98" s="1689"/>
      <c r="O98" s="1689"/>
      <c r="P98" s="1689"/>
      <c r="Q98" s="1689"/>
      <c r="R98" s="1689"/>
      <c r="S98" s="1689"/>
    </row>
    <row r="99" spans="1:19" ht="15.5" thickTop="1" thickBot="1" x14ac:dyDescent="0.4"/>
    <row r="100" spans="1:19" ht="15.5" thickTop="1" thickBot="1" x14ac:dyDescent="0.4">
      <c r="A100" s="78" t="s">
        <v>734</v>
      </c>
      <c r="B100" s="80"/>
    </row>
    <row r="101" spans="1:19" ht="15" thickTop="1" x14ac:dyDescent="0.35">
      <c r="A101" s="79" t="s">
        <v>632</v>
      </c>
      <c r="B101" s="1691"/>
    </row>
    <row r="102" spans="1:19" x14ac:dyDescent="0.35">
      <c r="A102" s="1996" t="s">
        <v>636</v>
      </c>
      <c r="B102" s="1691"/>
    </row>
    <row r="103" spans="1:19" x14ac:dyDescent="0.35">
      <c r="A103" s="1692" t="s">
        <v>639</v>
      </c>
      <c r="B103" s="1693"/>
    </row>
    <row r="104" spans="1:19" x14ac:dyDescent="0.35">
      <c r="A104" s="1692" t="s">
        <v>642</v>
      </c>
      <c r="B104" s="1694"/>
    </row>
    <row r="105" spans="1:19" ht="15" thickBot="1" x14ac:dyDescent="0.4">
      <c r="A105" s="1695" t="s">
        <v>735</v>
      </c>
      <c r="B105" s="1696"/>
    </row>
    <row r="106" spans="1:19" ht="15" thickTop="1" x14ac:dyDescent="0.35"/>
    <row r="107" spans="1:19" x14ac:dyDescent="0.35">
      <c r="A107" s="81"/>
      <c r="B107" s="1" t="s">
        <v>736</v>
      </c>
    </row>
    <row r="108" spans="1:19" x14ac:dyDescent="0.35">
      <c r="A108" s="82"/>
      <c r="B108" s="1" t="s">
        <v>737</v>
      </c>
    </row>
  </sheetData>
  <mergeCells count="47">
    <mergeCell ref="A73:B73"/>
    <mergeCell ref="A77:B77"/>
    <mergeCell ref="A81:B81"/>
    <mergeCell ref="A85:B85"/>
    <mergeCell ref="A89:B89"/>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635" priority="13" operator="equal">
      <formula>"X"</formula>
    </cfRule>
    <cfRule type="cellIs" dxfId="1634" priority="14" operator="equal">
      <formula>"I"</formula>
    </cfRule>
  </conditionalFormatting>
  <conditionalFormatting sqref="H32:H64">
    <cfRule type="cellIs" dxfId="1633" priority="1" operator="equal">
      <formula>"X"</formula>
    </cfRule>
    <cfRule type="cellIs" dxfId="1632" priority="2" operator="equal">
      <formula>"I"</formula>
    </cfRule>
  </conditionalFormatting>
  <conditionalFormatting sqref="J20:J30">
    <cfRule type="cellIs" dxfId="1631" priority="15" operator="equal">
      <formula>"X"</formula>
    </cfRule>
    <cfRule type="cellIs" dxfId="1630" priority="16" operator="equal">
      <formula>"I"</formula>
    </cfRule>
  </conditionalFormatting>
  <conditionalFormatting sqref="J32:J64">
    <cfRule type="cellIs" dxfId="1629" priority="3" operator="equal">
      <formula>"X"</formula>
    </cfRule>
    <cfRule type="cellIs" dxfId="1628" priority="4" operator="equal">
      <formula>"I"</formula>
    </cfRule>
  </conditionalFormatting>
  <conditionalFormatting sqref="L20:L30">
    <cfRule type="cellIs" dxfId="1627" priority="17" operator="equal">
      <formula>"X"</formula>
    </cfRule>
    <cfRule type="cellIs" dxfId="1626" priority="18" operator="equal">
      <formula>"I"</formula>
    </cfRule>
  </conditionalFormatting>
  <conditionalFormatting sqref="L32:L64">
    <cfRule type="cellIs" dxfId="1625" priority="5" operator="equal">
      <formula>"X"</formula>
    </cfRule>
    <cfRule type="cellIs" dxfId="1624" priority="6" operator="equal">
      <formula>"I"</formula>
    </cfRule>
  </conditionalFormatting>
  <conditionalFormatting sqref="N20:N30">
    <cfRule type="cellIs" dxfId="1623" priority="19" operator="equal">
      <formula>"X"</formula>
    </cfRule>
    <cfRule type="cellIs" dxfId="1622" priority="20" operator="equal">
      <formula>"I"</formula>
    </cfRule>
  </conditionalFormatting>
  <conditionalFormatting sqref="N32:N64">
    <cfRule type="cellIs" dxfId="1621" priority="7" operator="equal">
      <formula>"X"</formula>
    </cfRule>
    <cfRule type="cellIs" dxfId="1620" priority="8" operator="equal">
      <formula>"I"</formula>
    </cfRule>
  </conditionalFormatting>
  <conditionalFormatting sqref="P20:P30">
    <cfRule type="cellIs" dxfId="1619" priority="21" operator="equal">
      <formula>"X"</formula>
    </cfRule>
    <cfRule type="cellIs" dxfId="1618" priority="22" operator="equal">
      <formula>"I"</formula>
    </cfRule>
  </conditionalFormatting>
  <conditionalFormatting sqref="P32:P64">
    <cfRule type="cellIs" dxfId="1617" priority="9" operator="equal">
      <formula>"X"</formula>
    </cfRule>
    <cfRule type="cellIs" dxfId="1616" priority="10" operator="equal">
      <formula>"I"</formula>
    </cfRule>
  </conditionalFormatting>
  <conditionalFormatting sqref="R20:R30">
    <cfRule type="cellIs" dxfId="1615" priority="23" operator="equal">
      <formula>"X"</formula>
    </cfRule>
    <cfRule type="cellIs" dxfId="1614" priority="24" operator="equal">
      <formula>"I"</formula>
    </cfRule>
  </conditionalFormatting>
  <conditionalFormatting sqref="R32:R64">
    <cfRule type="cellIs" dxfId="1613" priority="11" operator="equal">
      <formula>"X"</formula>
    </cfRule>
    <cfRule type="cellIs" dxfId="1612" priority="12" operator="equal">
      <formula>"I"</formula>
    </cfRule>
  </conditionalFormatting>
  <hyperlinks>
    <hyperlink ref="B3" location="'Cost Summary'!A1" display="BACK TO SUMMARY SHEET" xr:uid="{DDB91A40-A8EB-4151-9158-219816034386}"/>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F5CF-4EF0-4C5F-9101-B1F660D4E494}">
  <sheetPr>
    <tabColor rgb="FF92D050"/>
  </sheetPr>
  <dimension ref="A1:AS164"/>
  <sheetViews>
    <sheetView zoomScale="91" zoomScaleNormal="91" workbookViewId="0">
      <pane xSplit="2" ySplit="9" topLeftCell="G20" activePane="bottomRight" state="frozen"/>
      <selection pane="topRight" activeCell="C1" sqref="C1"/>
      <selection pane="bottomLeft" activeCell="A11" sqref="A11"/>
      <selection pane="bottomRight" activeCell="B59" sqref="B59"/>
    </sheetView>
  </sheetViews>
  <sheetFormatPr defaultColWidth="9.1796875" defaultRowHeight="15" customHeight="1" x14ac:dyDescent="0.35"/>
  <cols>
    <col min="1" max="1" width="11" customWidth="1"/>
    <col min="2" max="2" width="72.1796875" style="1" bestFit="1" customWidth="1"/>
    <col min="3" max="3" width="14.1796875" style="2" bestFit="1" customWidth="1"/>
    <col min="4" max="4" width="10.1796875" style="2" bestFit="1" customWidth="1"/>
    <col min="5" max="5" width="7.54296875" style="2" customWidth="1"/>
    <col min="6" max="6" width="7.7265625" style="2" customWidth="1"/>
    <col min="7" max="7" width="12.26953125" style="2" customWidth="1"/>
    <col min="8" max="8" width="8.54296875" style="2" hidden="1" customWidth="1"/>
    <col min="9" max="9" width="13.81640625" style="2" hidden="1" customWidth="1"/>
    <col min="10" max="10" width="8.54296875" style="2" customWidth="1"/>
    <col min="11" max="11" width="13.81640625" style="2" customWidth="1"/>
    <col min="12" max="12" width="8.54296875" style="2" customWidth="1"/>
    <col min="13" max="13" width="13.81640625" style="2" customWidth="1"/>
    <col min="14" max="14" width="8.54296875" style="2" customWidth="1"/>
    <col min="15" max="15" width="13.81640625" style="2" customWidth="1"/>
    <col min="16" max="16" width="8.54296875" style="2" customWidth="1"/>
    <col min="17" max="17" width="13.81640625" style="2" customWidth="1"/>
    <col min="18" max="18" width="8.54296875" style="2" customWidth="1"/>
    <col min="19" max="19" width="13.81640625" style="2" customWidth="1"/>
    <col min="20" max="20" width="8.54296875" style="2" customWidth="1"/>
    <col min="21" max="21" width="13.81640625" style="2" customWidth="1"/>
    <col min="22" max="22" width="8.54296875" style="2" hidden="1" customWidth="1"/>
    <col min="23" max="23" width="13.81640625" style="2" hidden="1" customWidth="1"/>
    <col min="24" max="24" width="8.54296875" style="2" customWidth="1"/>
    <col min="25" max="25" width="13.81640625" style="2" customWidth="1"/>
    <col min="26" max="26" width="8.54296875" style="2" customWidth="1"/>
    <col min="27" max="27" width="13.81640625" style="2" customWidth="1"/>
    <col min="28" max="28" width="8.54296875" style="2" customWidth="1"/>
    <col min="29" max="29" width="13.81640625" style="2" customWidth="1"/>
    <col min="30" max="30" width="8.54296875" style="2" customWidth="1"/>
    <col min="31" max="31" width="13.81640625" style="2" customWidth="1"/>
    <col min="32" max="32" width="7.453125" style="2" bestFit="1" customWidth="1"/>
    <col min="33" max="33" width="14.81640625" style="2" customWidth="1"/>
    <col min="34" max="34" width="7.453125" style="2" bestFit="1" customWidth="1"/>
    <col min="35" max="35" width="14.81640625" style="2" customWidth="1"/>
    <col min="36" max="36" width="8.54296875" style="2" customWidth="1"/>
    <col min="37" max="37" width="13.81640625" style="2" customWidth="1"/>
    <col min="38" max="38" width="7.453125" style="2" bestFit="1" customWidth="1"/>
    <col min="39" max="39" width="14.81640625" style="2" customWidth="1"/>
    <col min="40" max="40" width="8.54296875" style="2" customWidth="1"/>
    <col min="41" max="41" width="13.81640625" style="2" customWidth="1"/>
    <col min="42" max="42" width="7.453125" style="2" customWidth="1"/>
    <col min="43" max="43" width="14.81640625" style="2" customWidth="1"/>
    <col min="44" max="44" width="8.54296875" style="2" customWidth="1"/>
    <col min="45" max="45" width="13.81640625" style="2" customWidth="1"/>
  </cols>
  <sheetData>
    <row r="1" spans="1:45" ht="14.5" x14ac:dyDescent="0.35">
      <c r="E1" s="152"/>
      <c r="F1" s="125"/>
      <c r="G1" s="123" t="s">
        <v>621</v>
      </c>
      <c r="M1" s="2" t="s">
        <v>2388</v>
      </c>
      <c r="S1" s="2" t="s">
        <v>770</v>
      </c>
    </row>
    <row r="2" spans="1:45" ht="14.5" x14ac:dyDescent="0.35">
      <c r="E2" s="152"/>
      <c r="F2" s="122" t="s">
        <v>622</v>
      </c>
      <c r="G2" s="123" t="s">
        <v>451</v>
      </c>
      <c r="H2" s="3751"/>
      <c r="I2" s="3751"/>
      <c r="J2" s="3751">
        <v>6784815297</v>
      </c>
      <c r="K2" s="3751"/>
      <c r="L2" s="3751">
        <v>6784815297</v>
      </c>
      <c r="M2" s="3751"/>
      <c r="N2" s="3751"/>
      <c r="O2" s="3751"/>
      <c r="P2" s="3751"/>
      <c r="Q2" s="3751"/>
      <c r="R2" s="3751"/>
      <c r="S2" s="3751"/>
      <c r="T2" s="3751"/>
      <c r="U2" s="3751"/>
      <c r="V2" s="3866"/>
      <c r="W2" s="3866"/>
      <c r="X2" s="3866"/>
      <c r="Y2" s="3866"/>
      <c r="Z2" s="3866"/>
      <c r="AA2" s="3866"/>
      <c r="AB2" s="3751"/>
      <c r="AC2" s="3751"/>
      <c r="AD2" s="3751">
        <v>6784815297</v>
      </c>
      <c r="AE2" s="3751"/>
      <c r="AF2" s="3866"/>
      <c r="AG2" s="3866"/>
      <c r="AH2" s="3866" t="s">
        <v>2389</v>
      </c>
      <c r="AI2" s="3866"/>
      <c r="AJ2" s="3866"/>
      <c r="AK2" s="3866"/>
      <c r="AL2" s="3866"/>
      <c r="AM2" s="3866"/>
      <c r="AN2" s="3751"/>
      <c r="AO2" s="3751"/>
      <c r="AP2" s="3866"/>
      <c r="AQ2" s="3866"/>
      <c r="AR2" s="3751"/>
      <c r="AS2" s="3751"/>
    </row>
    <row r="3" spans="1:45" ht="19.5" x14ac:dyDescent="0.35">
      <c r="B3" s="137" t="s">
        <v>623</v>
      </c>
      <c r="E3" s="152"/>
      <c r="F3" s="124" t="s">
        <v>624</v>
      </c>
      <c r="G3" s="123" t="s">
        <v>557</v>
      </c>
      <c r="H3" s="3891" t="s">
        <v>625</v>
      </c>
      <c r="I3" s="3891"/>
      <c r="J3" s="3754" t="s">
        <v>628</v>
      </c>
      <c r="K3" s="3754"/>
      <c r="L3" s="3754" t="s">
        <v>628</v>
      </c>
      <c r="M3" s="3754"/>
      <c r="N3" s="3754" t="s">
        <v>625</v>
      </c>
      <c r="O3" s="3754"/>
      <c r="P3" s="3772" t="s">
        <v>625</v>
      </c>
      <c r="Q3" s="3772"/>
      <c r="R3" s="3772" t="s">
        <v>625</v>
      </c>
      <c r="S3" s="3772"/>
      <c r="T3" s="3754" t="s">
        <v>627</v>
      </c>
      <c r="U3" s="3754"/>
      <c r="V3" s="3754" t="s">
        <v>626</v>
      </c>
      <c r="W3" s="3754"/>
      <c r="X3" s="3754" t="s">
        <v>626</v>
      </c>
      <c r="Y3" s="3754"/>
      <c r="Z3" s="3754" t="s">
        <v>626</v>
      </c>
      <c r="AA3" s="3754"/>
      <c r="AB3" s="3754" t="s">
        <v>627</v>
      </c>
      <c r="AC3" s="3754"/>
      <c r="AD3" s="3754" t="s">
        <v>628</v>
      </c>
      <c r="AE3" s="3754"/>
      <c r="AF3" s="3754" t="s">
        <v>773</v>
      </c>
      <c r="AG3" s="3754"/>
      <c r="AH3" s="3754" t="s">
        <v>773</v>
      </c>
      <c r="AI3" s="3754"/>
      <c r="AJ3" s="3754" t="s">
        <v>772</v>
      </c>
      <c r="AK3" s="3754"/>
      <c r="AL3" s="3754" t="s">
        <v>1550</v>
      </c>
      <c r="AM3" s="3754"/>
      <c r="AN3" s="3754" t="s">
        <v>1678</v>
      </c>
      <c r="AO3" s="3754"/>
      <c r="AP3" s="3891" t="s">
        <v>626</v>
      </c>
      <c r="AQ3" s="3891"/>
      <c r="AR3" s="3754" t="s">
        <v>773</v>
      </c>
      <c r="AS3" s="3754"/>
    </row>
    <row r="4" spans="1:45" ht="14.5" x14ac:dyDescent="0.35">
      <c r="A4" s="3" t="s">
        <v>631</v>
      </c>
      <c r="B4" s="4" t="str">
        <f>'AREA CALC''s'!B4</f>
        <v>Alton Hilltop Gardens</v>
      </c>
      <c r="C4" s="5"/>
      <c r="D4" s="5"/>
      <c r="E4" s="5"/>
      <c r="F4" s="5"/>
      <c r="G4" s="6" t="s">
        <v>632</v>
      </c>
      <c r="H4" s="3752" t="s">
        <v>2390</v>
      </c>
      <c r="I4" s="3752"/>
      <c r="J4" s="3752" t="s">
        <v>2391</v>
      </c>
      <c r="K4" s="3752"/>
      <c r="L4" s="3752" t="s">
        <v>2391</v>
      </c>
      <c r="M4" s="3752"/>
      <c r="N4" s="3752" t="s">
        <v>2390</v>
      </c>
      <c r="O4" s="3752"/>
      <c r="P4" s="3752" t="s">
        <v>2392</v>
      </c>
      <c r="Q4" s="3752"/>
      <c r="R4" s="3752" t="s">
        <v>2393</v>
      </c>
      <c r="S4" s="3752"/>
      <c r="T4" s="3752" t="s">
        <v>2394</v>
      </c>
      <c r="U4" s="3752"/>
      <c r="V4" s="3752" t="s">
        <v>2395</v>
      </c>
      <c r="W4" s="3752"/>
      <c r="X4" s="3752" t="s">
        <v>2396</v>
      </c>
      <c r="Y4" s="3752"/>
      <c r="Z4" s="3752" t="s">
        <v>2397</v>
      </c>
      <c r="AA4" s="3752"/>
      <c r="AB4" s="3752" t="s">
        <v>2398</v>
      </c>
      <c r="AC4" s="3752"/>
      <c r="AD4" s="3752" t="s">
        <v>2399</v>
      </c>
      <c r="AE4" s="3752"/>
      <c r="AF4" s="3752" t="s">
        <v>2400</v>
      </c>
      <c r="AG4" s="3752"/>
      <c r="AH4" s="3752" t="s">
        <v>2401</v>
      </c>
      <c r="AI4" s="3752"/>
      <c r="AJ4" s="3752" t="s">
        <v>2402</v>
      </c>
      <c r="AK4" s="3752"/>
      <c r="AL4" s="3752" t="s">
        <v>2403</v>
      </c>
      <c r="AM4" s="3752"/>
      <c r="AN4" s="3752" t="s">
        <v>2404</v>
      </c>
      <c r="AO4" s="3752"/>
      <c r="AP4" s="3752" t="s">
        <v>2405</v>
      </c>
      <c r="AQ4" s="3752"/>
      <c r="AR4" s="3752"/>
      <c r="AS4" s="3752"/>
    </row>
    <row r="5" spans="1:45" ht="14.5" x14ac:dyDescent="0.35">
      <c r="A5" s="2002" t="s">
        <v>634</v>
      </c>
      <c r="B5" s="2003" t="s">
        <v>2406</v>
      </c>
      <c r="C5" s="2004"/>
      <c r="D5" s="2004"/>
      <c r="E5" s="2004"/>
      <c r="F5" s="2004"/>
      <c r="G5" s="1955" t="s">
        <v>636</v>
      </c>
      <c r="H5" s="3922" t="s">
        <v>2407</v>
      </c>
      <c r="I5" s="3922"/>
      <c r="J5" s="3922" t="s">
        <v>2408</v>
      </c>
      <c r="K5" s="3922"/>
      <c r="L5" s="3922" t="s">
        <v>2408</v>
      </c>
      <c r="M5" s="3922"/>
      <c r="N5" s="3922" t="s">
        <v>2407</v>
      </c>
      <c r="O5" s="3922"/>
      <c r="P5" s="3922" t="s">
        <v>2407</v>
      </c>
      <c r="Q5" s="3922"/>
      <c r="R5" s="3922" t="s">
        <v>2407</v>
      </c>
      <c r="S5" s="3922"/>
      <c r="T5" s="3922" t="s">
        <v>2409</v>
      </c>
      <c r="U5" s="3922"/>
      <c r="V5" s="3922" t="s">
        <v>2410</v>
      </c>
      <c r="W5" s="3922"/>
      <c r="X5" s="3922" t="s">
        <v>2410</v>
      </c>
      <c r="Y5" s="3922"/>
      <c r="Z5" s="3922" t="s">
        <v>2410</v>
      </c>
      <c r="AA5" s="3922"/>
      <c r="AB5" s="3922" t="s">
        <v>2409</v>
      </c>
      <c r="AC5" s="3922"/>
      <c r="AD5" s="3922" t="s">
        <v>2408</v>
      </c>
      <c r="AE5" s="3922"/>
      <c r="AF5" s="3922" t="s">
        <v>2411</v>
      </c>
      <c r="AG5" s="3922"/>
      <c r="AH5" s="3922" t="s">
        <v>2411</v>
      </c>
      <c r="AI5" s="3922"/>
      <c r="AJ5" s="3922" t="s">
        <v>2412</v>
      </c>
      <c r="AK5" s="3922"/>
      <c r="AL5" s="3922" t="s">
        <v>2413</v>
      </c>
      <c r="AM5" s="3922"/>
      <c r="AN5" s="3922" t="s">
        <v>2414</v>
      </c>
      <c r="AO5" s="3922"/>
      <c r="AP5" s="3922" t="s">
        <v>2415</v>
      </c>
      <c r="AQ5" s="3922"/>
      <c r="AR5" s="3922"/>
      <c r="AS5" s="3922"/>
    </row>
    <row r="6" spans="1:45" ht="15" customHeight="1" x14ac:dyDescent="0.35">
      <c r="A6" s="2002" t="s">
        <v>638</v>
      </c>
      <c r="B6" s="2005" t="s">
        <v>509</v>
      </c>
      <c r="C6" s="2004"/>
      <c r="D6" s="2004"/>
      <c r="E6" s="2004"/>
      <c r="F6" s="2004"/>
      <c r="G6" s="1955" t="s">
        <v>639</v>
      </c>
      <c r="H6" s="3921">
        <v>3055929570</v>
      </c>
      <c r="I6" s="3921"/>
      <c r="J6" s="3921">
        <v>7704455955</v>
      </c>
      <c r="K6" s="3757"/>
      <c r="L6" s="3921">
        <v>7704455955</v>
      </c>
      <c r="M6" s="3757"/>
      <c r="N6" s="3921">
        <v>3055929570</v>
      </c>
      <c r="O6" s="3921"/>
      <c r="P6" s="3921">
        <v>3055929570</v>
      </c>
      <c r="Q6" s="3921"/>
      <c r="R6" s="3921">
        <v>3055929570</v>
      </c>
      <c r="S6" s="3921"/>
      <c r="T6" s="3921">
        <v>7074834093</v>
      </c>
      <c r="U6" s="3921"/>
      <c r="V6" s="3921">
        <v>4074740284</v>
      </c>
      <c r="W6" s="3921"/>
      <c r="X6" s="3921">
        <v>4074740284</v>
      </c>
      <c r="Y6" s="3921"/>
      <c r="Z6" s="3921">
        <v>4074740284</v>
      </c>
      <c r="AA6" s="3921"/>
      <c r="AB6" s="3921">
        <v>7074834093</v>
      </c>
      <c r="AC6" s="3921"/>
      <c r="AD6" s="3921">
        <v>7704455955</v>
      </c>
      <c r="AE6" s="3757"/>
      <c r="AF6" s="3921" t="s">
        <v>2416</v>
      </c>
      <c r="AG6" s="3921"/>
      <c r="AH6" s="3921" t="s">
        <v>2416</v>
      </c>
      <c r="AI6" s="3921"/>
      <c r="AJ6" s="3921">
        <v>9543215721</v>
      </c>
      <c r="AK6" s="3921"/>
      <c r="AL6" s="3921">
        <v>7083091822</v>
      </c>
      <c r="AM6" s="3921"/>
      <c r="AN6" s="3921">
        <v>9545818115</v>
      </c>
      <c r="AO6" s="3921"/>
      <c r="AP6" s="3921" t="s">
        <v>2417</v>
      </c>
      <c r="AQ6" s="3921"/>
      <c r="AR6" s="3921"/>
      <c r="AS6" s="3921"/>
    </row>
    <row r="7" spans="1:45" ht="14.5" x14ac:dyDescent="0.35">
      <c r="A7" s="2002" t="s">
        <v>641</v>
      </c>
      <c r="B7" s="2006"/>
      <c r="C7" s="2004"/>
      <c r="D7" s="2004"/>
      <c r="E7" s="2004"/>
      <c r="F7" s="2004"/>
      <c r="G7" s="1955" t="s">
        <v>642</v>
      </c>
      <c r="H7" s="3923" t="s">
        <v>2418</v>
      </c>
      <c r="I7" s="3923"/>
      <c r="J7" s="3923" t="s">
        <v>2419</v>
      </c>
      <c r="K7" s="3923"/>
      <c r="L7" s="3923" t="s">
        <v>2419</v>
      </c>
      <c r="M7" s="3923"/>
      <c r="N7" s="3923" t="s">
        <v>2418</v>
      </c>
      <c r="O7" s="3923"/>
      <c r="P7" s="3923" t="s">
        <v>2418</v>
      </c>
      <c r="Q7" s="3923"/>
      <c r="R7" s="3923" t="s">
        <v>2418</v>
      </c>
      <c r="S7" s="3923"/>
      <c r="T7" s="3923" t="s">
        <v>2420</v>
      </c>
      <c r="U7" s="3923"/>
      <c r="V7" s="3923" t="s">
        <v>2421</v>
      </c>
      <c r="W7" s="3923"/>
      <c r="X7" s="3923" t="s">
        <v>2421</v>
      </c>
      <c r="Y7" s="3923"/>
      <c r="Z7" s="3923" t="s">
        <v>2421</v>
      </c>
      <c r="AA7" s="3923"/>
      <c r="AB7" s="3923" t="s">
        <v>2420</v>
      </c>
      <c r="AC7" s="3923"/>
      <c r="AD7" s="3923" t="s">
        <v>2419</v>
      </c>
      <c r="AE7" s="3923"/>
      <c r="AF7" s="3923" t="s">
        <v>2422</v>
      </c>
      <c r="AG7" s="3923"/>
      <c r="AH7" s="3923" t="s">
        <v>2422</v>
      </c>
      <c r="AI7" s="3923"/>
      <c r="AJ7" s="3923" t="s">
        <v>2423</v>
      </c>
      <c r="AK7" s="3923"/>
      <c r="AL7" s="3923" t="s">
        <v>2424</v>
      </c>
      <c r="AM7" s="3923"/>
      <c r="AN7" s="3923" t="s">
        <v>2425</v>
      </c>
      <c r="AO7" s="3923"/>
      <c r="AP7" s="3923" t="s">
        <v>2426</v>
      </c>
      <c r="AQ7" s="3923"/>
      <c r="AR7" s="3923"/>
      <c r="AS7" s="3923"/>
    </row>
    <row r="8" spans="1:45" ht="14.5" x14ac:dyDescent="0.35">
      <c r="A8" s="938" t="s">
        <v>644</v>
      </c>
      <c r="B8" s="939"/>
      <c r="C8" s="940"/>
      <c r="D8" s="940"/>
      <c r="E8" s="940"/>
      <c r="F8" s="940"/>
      <c r="G8" s="1024" t="s">
        <v>644</v>
      </c>
      <c r="H8" s="3877">
        <f>I106</f>
        <v>2741991</v>
      </c>
      <c r="I8" s="3877"/>
      <c r="J8" s="3877">
        <f>K106</f>
        <v>2673716.8199999998</v>
      </c>
      <c r="K8" s="3877"/>
      <c r="L8" s="3877">
        <f>M106</f>
        <v>2816925</v>
      </c>
      <c r="M8" s="3877"/>
      <c r="N8" s="3877">
        <f>O106</f>
        <v>2628460</v>
      </c>
      <c r="O8" s="3877"/>
      <c r="P8" s="3877">
        <f>Q106</f>
        <v>3155938</v>
      </c>
      <c r="Q8" s="3877"/>
      <c r="R8" s="3877">
        <f>S106</f>
        <v>3098555</v>
      </c>
      <c r="S8" s="3877"/>
      <c r="T8" s="3877">
        <f>U102</f>
        <v>2795955</v>
      </c>
      <c r="U8" s="3877"/>
      <c r="V8" s="3877">
        <f>W102</f>
        <v>2576727</v>
      </c>
      <c r="W8" s="3877"/>
      <c r="X8" s="3877">
        <f>Y102</f>
        <v>2851847</v>
      </c>
      <c r="Y8" s="3877"/>
      <c r="Z8" s="3877">
        <f>AA102</f>
        <v>3013528</v>
      </c>
      <c r="AA8" s="3877"/>
      <c r="AB8" s="3877">
        <f>AC102</f>
        <v>2949608</v>
      </c>
      <c r="AC8" s="3877"/>
      <c r="AD8" s="3877">
        <f>AE102</f>
        <v>2896505</v>
      </c>
      <c r="AE8" s="3877"/>
      <c r="AF8" s="3877">
        <f>AG106</f>
        <v>3330025</v>
      </c>
      <c r="AG8" s="3877"/>
      <c r="AH8" s="3877">
        <f>AI106</f>
        <v>3262975</v>
      </c>
      <c r="AI8" s="3877"/>
      <c r="AJ8" s="3877">
        <f>AK102</f>
        <v>3379649</v>
      </c>
      <c r="AK8" s="3877"/>
      <c r="AL8" s="3877">
        <f>AM106</f>
        <v>3091254</v>
      </c>
      <c r="AM8" s="3877"/>
      <c r="AN8" s="3877">
        <f>AO102</f>
        <v>2666484</v>
      </c>
      <c r="AO8" s="3877"/>
      <c r="AP8" s="3877">
        <f>AQ106</f>
        <v>4843410</v>
      </c>
      <c r="AQ8" s="3877"/>
      <c r="AR8" s="3877"/>
      <c r="AS8" s="3877"/>
    </row>
    <row r="9" spans="1:45"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t="s">
        <v>651</v>
      </c>
      <c r="AE9" s="11" t="s">
        <v>652</v>
      </c>
      <c r="AF9" s="11" t="s">
        <v>651</v>
      </c>
      <c r="AG9" s="11" t="s">
        <v>652</v>
      </c>
      <c r="AH9" s="11" t="s">
        <v>651</v>
      </c>
      <c r="AI9" s="11" t="s">
        <v>652</v>
      </c>
      <c r="AJ9" s="11" t="s">
        <v>651</v>
      </c>
      <c r="AK9" s="11" t="s">
        <v>652</v>
      </c>
      <c r="AL9" s="11" t="s">
        <v>651</v>
      </c>
      <c r="AM9" s="11" t="s">
        <v>652</v>
      </c>
      <c r="AN9" s="11" t="s">
        <v>651</v>
      </c>
      <c r="AO9" s="11" t="s">
        <v>652</v>
      </c>
      <c r="AP9" s="11" t="s">
        <v>651</v>
      </c>
      <c r="AQ9" s="11" t="s">
        <v>652</v>
      </c>
      <c r="AR9" s="11" t="s">
        <v>651</v>
      </c>
      <c r="AS9" s="11" t="s">
        <v>652</v>
      </c>
    </row>
    <row r="10" spans="1:45" ht="14.5" hidden="1" x14ac:dyDescent="0.35">
      <c r="A10" s="2007"/>
      <c r="B10" s="1890" t="s">
        <v>653</v>
      </c>
      <c r="C10" s="2004"/>
      <c r="D10" s="2004"/>
      <c r="E10" s="2004"/>
      <c r="F10" s="2004"/>
      <c r="G10" s="1956"/>
      <c r="H10" s="1704"/>
      <c r="I10" s="1704"/>
      <c r="J10" s="1704"/>
      <c r="K10" s="1704"/>
      <c r="L10" s="1704"/>
      <c r="M10" s="1704"/>
      <c r="N10" s="1704"/>
      <c r="O10" s="1704"/>
      <c r="P10" s="1704"/>
      <c r="Q10" s="1704"/>
      <c r="R10" s="1704"/>
      <c r="S10" s="1704"/>
      <c r="T10" s="1704"/>
      <c r="U10" s="1704"/>
      <c r="V10" s="1704"/>
      <c r="W10" s="1704"/>
      <c r="X10" s="1704"/>
      <c r="Y10" s="1704"/>
      <c r="Z10" s="1704"/>
      <c r="AA10" s="1704"/>
      <c r="AB10" s="1704"/>
      <c r="AC10" s="1704"/>
      <c r="AD10" s="1704"/>
      <c r="AE10" s="1704"/>
      <c r="AF10" s="1704"/>
      <c r="AG10" s="1704"/>
      <c r="AH10" s="1704"/>
      <c r="AI10" s="1704"/>
      <c r="AJ10" s="1704"/>
      <c r="AK10" s="1704"/>
      <c r="AL10" s="1704"/>
      <c r="AM10" s="1704"/>
      <c r="AN10" s="1704"/>
      <c r="AO10" s="1704"/>
      <c r="AP10" s="1704"/>
      <c r="AQ10" s="1704"/>
      <c r="AR10" s="1704"/>
      <c r="AS10" s="1704"/>
    </row>
    <row r="11" spans="1:45" ht="14.5" hidden="1" x14ac:dyDescent="0.35">
      <c r="A11" s="2007"/>
      <c r="B11" s="2003" t="e">
        <f>#REF!</f>
        <v>#REF!</v>
      </c>
      <c r="C11" s="2009" t="s">
        <v>654</v>
      </c>
      <c r="D11" s="2004"/>
      <c r="E11" s="2004"/>
      <c r="F11" s="2004"/>
      <c r="G11" s="1956"/>
      <c r="H11" s="1704"/>
      <c r="I11" s="1704"/>
      <c r="J11" s="1704"/>
      <c r="K11" s="1704"/>
      <c r="L11" s="1704"/>
      <c r="M11" s="1704"/>
      <c r="N11" s="1704"/>
      <c r="O11" s="1704"/>
      <c r="P11" s="1704"/>
      <c r="Q11" s="1704"/>
      <c r="R11" s="1704"/>
      <c r="S11" s="1704"/>
      <c r="T11" s="1704"/>
      <c r="U11" s="1704"/>
      <c r="V11" s="1704"/>
      <c r="W11" s="1704"/>
      <c r="X11" s="1704"/>
      <c r="Y11" s="1704"/>
      <c r="Z11" s="1704"/>
      <c r="AA11" s="1704"/>
      <c r="AB11" s="1704"/>
      <c r="AC11" s="1704"/>
      <c r="AD11" s="1704"/>
      <c r="AE11" s="1704"/>
      <c r="AF11" s="1704"/>
      <c r="AG11" s="1704"/>
      <c r="AH11" s="1704"/>
      <c r="AI11" s="1704"/>
      <c r="AJ11" s="1704"/>
      <c r="AK11" s="1704"/>
      <c r="AL11" s="1704"/>
      <c r="AM11" s="1704"/>
      <c r="AN11" s="1704"/>
      <c r="AO11" s="1704"/>
      <c r="AP11" s="1704"/>
      <c r="AQ11" s="1704"/>
      <c r="AR11" s="1704"/>
      <c r="AS11" s="1704"/>
    </row>
    <row r="12" spans="1:45" ht="14.5" hidden="1" x14ac:dyDescent="0.35">
      <c r="A12" s="2007"/>
      <c r="B12" s="2003" t="e">
        <f>#REF!</f>
        <v>#REF!</v>
      </c>
      <c r="C12" s="2009" t="s">
        <v>654</v>
      </c>
      <c r="D12" s="2004"/>
      <c r="E12" s="2004"/>
      <c r="F12" s="2004"/>
      <c r="G12" s="1956"/>
      <c r="H12" s="1704"/>
      <c r="I12" s="1704"/>
      <c r="J12" s="1704"/>
      <c r="K12" s="1704"/>
      <c r="L12" s="1704"/>
      <c r="M12" s="1704"/>
      <c r="N12" s="1704"/>
      <c r="O12" s="1704"/>
      <c r="P12" s="1704"/>
      <c r="Q12" s="1704"/>
      <c r="R12" s="1704"/>
      <c r="S12" s="1704"/>
      <c r="T12" s="1704"/>
      <c r="U12" s="1704"/>
      <c r="V12" s="1704"/>
      <c r="W12" s="1704"/>
      <c r="X12" s="1704"/>
      <c r="Y12" s="1704"/>
      <c r="Z12" s="1704"/>
      <c r="AA12" s="1704"/>
      <c r="AB12" s="1704"/>
      <c r="AC12" s="1704"/>
      <c r="AD12" s="1704"/>
      <c r="AE12" s="1704"/>
      <c r="AF12" s="1704"/>
      <c r="AG12" s="1704"/>
      <c r="AH12" s="1704"/>
      <c r="AI12" s="1704"/>
      <c r="AJ12" s="1704"/>
      <c r="AK12" s="1704"/>
      <c r="AL12" s="1704"/>
      <c r="AM12" s="1704"/>
      <c r="AN12" s="1704"/>
      <c r="AO12" s="1704"/>
      <c r="AP12" s="1704"/>
      <c r="AQ12" s="1704"/>
      <c r="AR12" s="1704"/>
      <c r="AS12" s="1704"/>
    </row>
    <row r="13" spans="1:45" ht="14.5" hidden="1" x14ac:dyDescent="0.35">
      <c r="A13" s="2007"/>
      <c r="B13" s="2003" t="e">
        <f>#REF!</f>
        <v>#REF!</v>
      </c>
      <c r="C13" s="2009" t="s">
        <v>654</v>
      </c>
      <c r="D13" s="2004"/>
      <c r="E13" s="2004"/>
      <c r="F13" s="2004"/>
      <c r="G13" s="1956"/>
      <c r="H13" s="1704"/>
      <c r="I13" s="1704"/>
      <c r="J13" s="1704"/>
      <c r="K13" s="1704"/>
      <c r="L13" s="1704"/>
      <c r="M13" s="1704"/>
      <c r="N13" s="1704"/>
      <c r="O13" s="1704"/>
      <c r="P13" s="1704"/>
      <c r="Q13" s="1704"/>
      <c r="R13" s="1704"/>
      <c r="S13" s="1704"/>
      <c r="T13" s="1704"/>
      <c r="U13" s="1704"/>
      <c r="V13" s="1704"/>
      <c r="W13" s="1704"/>
      <c r="X13" s="1704"/>
      <c r="Y13" s="1704"/>
      <c r="Z13" s="1704"/>
      <c r="AA13" s="1704"/>
      <c r="AB13" s="1704"/>
      <c r="AC13" s="1704"/>
      <c r="AD13" s="1704"/>
      <c r="AE13" s="1704"/>
      <c r="AF13" s="1704"/>
      <c r="AG13" s="1704"/>
      <c r="AH13" s="1704"/>
      <c r="AI13" s="1704"/>
      <c r="AJ13" s="1704"/>
      <c r="AK13" s="1704"/>
      <c r="AL13" s="1704"/>
      <c r="AM13" s="1704"/>
      <c r="AN13" s="1704"/>
      <c r="AO13" s="1704"/>
      <c r="AP13" s="1704"/>
      <c r="AQ13" s="1704"/>
      <c r="AR13" s="1704"/>
      <c r="AS13" s="1704"/>
    </row>
    <row r="14" spans="1:45" ht="14.5" hidden="1" x14ac:dyDescent="0.35">
      <c r="A14" s="2007"/>
      <c r="B14" s="2003" t="e">
        <f>#REF!</f>
        <v>#REF!</v>
      </c>
      <c r="C14" s="2009" t="s">
        <v>654</v>
      </c>
      <c r="D14" s="2004"/>
      <c r="E14" s="2004"/>
      <c r="F14" s="2004"/>
      <c r="G14" s="1956"/>
      <c r="H14" s="1704"/>
      <c r="I14" s="1704"/>
      <c r="J14" s="1704"/>
      <c r="K14" s="1704"/>
      <c r="L14" s="1704"/>
      <c r="M14" s="1704"/>
      <c r="N14" s="1704"/>
      <c r="O14" s="1704"/>
      <c r="P14" s="1704"/>
      <c r="Q14" s="1704"/>
      <c r="R14" s="1704"/>
      <c r="S14" s="1704"/>
      <c r="T14" s="1704"/>
      <c r="U14" s="1704"/>
      <c r="V14" s="1704"/>
      <c r="W14" s="1704"/>
      <c r="X14" s="1704"/>
      <c r="Y14" s="1704"/>
      <c r="Z14" s="1704"/>
      <c r="AA14" s="1704"/>
      <c r="AB14" s="1704"/>
      <c r="AC14" s="1704"/>
      <c r="AD14" s="1704"/>
      <c r="AE14" s="1704"/>
      <c r="AF14" s="1704"/>
      <c r="AG14" s="1704"/>
      <c r="AH14" s="1704"/>
      <c r="AI14" s="1704"/>
      <c r="AJ14" s="1704"/>
      <c r="AK14" s="1704"/>
      <c r="AL14" s="1704"/>
      <c r="AM14" s="1704"/>
      <c r="AN14" s="1704"/>
      <c r="AO14" s="1704"/>
      <c r="AP14" s="1704"/>
      <c r="AQ14" s="1704"/>
      <c r="AR14" s="1704"/>
      <c r="AS14" s="1704"/>
    </row>
    <row r="15" spans="1:45" ht="14.5" hidden="1" x14ac:dyDescent="0.35">
      <c r="A15" s="2007"/>
      <c r="B15" s="2003" t="e">
        <f>#REF!</f>
        <v>#REF!</v>
      </c>
      <c r="C15" s="2009" t="s">
        <v>654</v>
      </c>
      <c r="D15" s="2004"/>
      <c r="E15" s="2004"/>
      <c r="F15" s="2004"/>
      <c r="G15" s="1956"/>
      <c r="H15" s="1704"/>
      <c r="I15" s="1704"/>
      <c r="J15" s="1704"/>
      <c r="K15" s="1704"/>
      <c r="L15" s="1704"/>
      <c r="M15" s="1704"/>
      <c r="N15" s="1704"/>
      <c r="O15" s="1704"/>
      <c r="P15" s="1704"/>
      <c r="Q15" s="1704"/>
      <c r="R15" s="1704"/>
      <c r="S15" s="1704"/>
      <c r="T15" s="1704"/>
      <c r="U15" s="1704"/>
      <c r="V15" s="1704"/>
      <c r="W15" s="1704"/>
      <c r="X15" s="1704"/>
      <c r="Y15" s="1704"/>
      <c r="Z15" s="1704"/>
      <c r="AA15" s="1704"/>
      <c r="AB15" s="1704"/>
      <c r="AC15" s="1704"/>
      <c r="AD15" s="1704"/>
      <c r="AE15" s="1704"/>
      <c r="AF15" s="1704"/>
      <c r="AG15" s="1704"/>
      <c r="AH15" s="1704"/>
      <c r="AI15" s="1704"/>
      <c r="AJ15" s="1704"/>
      <c r="AK15" s="1704"/>
      <c r="AL15" s="1704"/>
      <c r="AM15" s="1704"/>
      <c r="AN15" s="1704"/>
      <c r="AO15" s="1704"/>
      <c r="AP15" s="1704"/>
      <c r="AQ15" s="1704"/>
      <c r="AR15" s="1704"/>
      <c r="AS15" s="1704"/>
    </row>
    <row r="16" spans="1:45" ht="14.5" hidden="1" x14ac:dyDescent="0.35">
      <c r="A16" s="2007"/>
      <c r="B16" s="2003" t="e">
        <f>#REF!</f>
        <v>#REF!</v>
      </c>
      <c r="C16" s="2009" t="s">
        <v>654</v>
      </c>
      <c r="D16" s="2004"/>
      <c r="E16" s="2004"/>
      <c r="F16" s="2004"/>
      <c r="G16" s="1956"/>
      <c r="H16" s="1704"/>
      <c r="I16" s="1704"/>
      <c r="J16" s="1704"/>
      <c r="K16" s="1704"/>
      <c r="L16" s="1704"/>
      <c r="M16" s="1704"/>
      <c r="N16" s="1704"/>
      <c r="O16" s="1704"/>
      <c r="P16" s="1704"/>
      <c r="Q16" s="1704"/>
      <c r="R16" s="1704"/>
      <c r="S16" s="1704"/>
      <c r="T16" s="1704"/>
      <c r="U16" s="1704"/>
      <c r="V16" s="1704"/>
      <c r="W16" s="1704"/>
      <c r="X16" s="1704"/>
      <c r="Y16" s="1704"/>
      <c r="Z16" s="1704"/>
      <c r="AA16" s="1704"/>
      <c r="AB16" s="1704"/>
      <c r="AC16" s="1704"/>
      <c r="AD16" s="1704"/>
      <c r="AE16" s="1704"/>
      <c r="AF16" s="1704"/>
      <c r="AG16" s="1704"/>
      <c r="AH16" s="1704"/>
      <c r="AI16" s="1704"/>
      <c r="AJ16" s="1704"/>
      <c r="AK16" s="1704"/>
      <c r="AL16" s="1704"/>
      <c r="AM16" s="1704"/>
      <c r="AN16" s="1704"/>
      <c r="AO16" s="1704"/>
      <c r="AP16" s="1704"/>
      <c r="AQ16" s="1704"/>
      <c r="AR16" s="1704"/>
      <c r="AS16" s="1704"/>
    </row>
    <row r="17" spans="1:45" ht="14.5" hidden="1" x14ac:dyDescent="0.35">
      <c r="A17" s="2007"/>
      <c r="B17" s="2003" t="e">
        <f>#REF!</f>
        <v>#REF!</v>
      </c>
      <c r="C17" s="2009" t="s">
        <v>654</v>
      </c>
      <c r="D17" s="2004"/>
      <c r="E17" s="2004"/>
      <c r="F17" s="2004"/>
      <c r="G17" s="1956"/>
      <c r="H17" s="1704"/>
      <c r="I17" s="1704"/>
      <c r="J17" s="1704"/>
      <c r="K17" s="1704"/>
      <c r="L17" s="1704"/>
      <c r="M17" s="1704"/>
      <c r="N17" s="1704"/>
      <c r="O17" s="1704"/>
      <c r="P17" s="1704"/>
      <c r="Q17" s="1704"/>
      <c r="R17" s="1704"/>
      <c r="S17" s="1704"/>
      <c r="T17" s="1704"/>
      <c r="U17" s="1704"/>
      <c r="V17" s="1704"/>
      <c r="W17" s="1704"/>
      <c r="X17" s="1704"/>
      <c r="Y17" s="1704"/>
      <c r="Z17" s="1704"/>
      <c r="AA17" s="1704"/>
      <c r="AB17" s="1704"/>
      <c r="AC17" s="1704"/>
      <c r="AD17" s="1704"/>
      <c r="AE17" s="1704"/>
      <c r="AF17" s="1704"/>
      <c r="AG17" s="1704"/>
      <c r="AH17" s="1704"/>
      <c r="AI17" s="1704"/>
      <c r="AJ17" s="1704"/>
      <c r="AK17" s="1704"/>
      <c r="AL17" s="1704"/>
      <c r="AM17" s="1704"/>
      <c r="AN17" s="1704"/>
      <c r="AO17" s="1704"/>
      <c r="AP17" s="1704"/>
      <c r="AQ17" s="1704"/>
      <c r="AR17" s="1704"/>
      <c r="AS17" s="1704"/>
    </row>
    <row r="18" spans="1:45" ht="14.5" hidden="1" x14ac:dyDescent="0.35">
      <c r="A18" s="2007"/>
      <c r="B18" s="2003" t="e">
        <f>#REF!</f>
        <v>#REF!</v>
      </c>
      <c r="C18" s="2009" t="s">
        <v>654</v>
      </c>
      <c r="D18" s="2004"/>
      <c r="E18" s="2004"/>
      <c r="F18" s="2004"/>
      <c r="G18" s="1956"/>
      <c r="H18" s="1704"/>
      <c r="I18" s="1704"/>
      <c r="J18" s="1704"/>
      <c r="K18" s="1704"/>
      <c r="L18" s="1704"/>
      <c r="M18" s="1704"/>
      <c r="N18" s="1704"/>
      <c r="O18" s="1704"/>
      <c r="P18" s="1704"/>
      <c r="Q18" s="1704"/>
      <c r="R18" s="1704"/>
      <c r="S18" s="1704"/>
      <c r="T18" s="1704"/>
      <c r="U18" s="1704"/>
      <c r="V18" s="1704"/>
      <c r="W18" s="1704"/>
      <c r="X18" s="1704"/>
      <c r="Y18" s="1704"/>
      <c r="Z18" s="1704"/>
      <c r="AA18" s="1704"/>
      <c r="AB18" s="1704"/>
      <c r="AC18" s="1704"/>
      <c r="AD18" s="1704"/>
      <c r="AE18" s="1704"/>
      <c r="AF18" s="1704"/>
      <c r="AG18" s="1704"/>
      <c r="AH18" s="1704"/>
      <c r="AI18" s="1704"/>
      <c r="AJ18" s="1704"/>
      <c r="AK18" s="1704"/>
      <c r="AL18" s="1704"/>
      <c r="AM18" s="1704"/>
      <c r="AN18" s="1704"/>
      <c r="AO18" s="1704"/>
      <c r="AP18" s="1704"/>
      <c r="AQ18" s="1704"/>
      <c r="AR18" s="1704"/>
      <c r="AS18" s="1704"/>
    </row>
    <row r="19" spans="1:45" ht="14.5" hidden="1" x14ac:dyDescent="0.35">
      <c r="A19" s="2007"/>
      <c r="B19" s="2003" t="e">
        <f>#REF!</f>
        <v>#REF!</v>
      </c>
      <c r="C19" s="2009" t="s">
        <v>654</v>
      </c>
      <c r="D19" s="2004"/>
      <c r="E19" s="2004"/>
      <c r="F19" s="2004"/>
      <c r="G19" s="1956"/>
      <c r="H19" s="1704"/>
      <c r="I19" s="1704"/>
      <c r="J19" s="1704"/>
      <c r="K19" s="1704"/>
      <c r="L19" s="1704"/>
      <c r="M19" s="1704"/>
      <c r="N19" s="1704"/>
      <c r="O19" s="1704"/>
      <c r="P19" s="1704"/>
      <c r="Q19" s="1704"/>
      <c r="R19" s="1704"/>
      <c r="S19" s="1704"/>
      <c r="T19" s="1704"/>
      <c r="U19" s="1704"/>
      <c r="V19" s="1704"/>
      <c r="W19" s="1704"/>
      <c r="X19" s="1704"/>
      <c r="Y19" s="1704"/>
      <c r="Z19" s="1704"/>
      <c r="AA19" s="1704"/>
      <c r="AB19" s="1704"/>
      <c r="AC19" s="1704"/>
      <c r="AD19" s="1704"/>
      <c r="AE19" s="1704"/>
      <c r="AF19" s="1704"/>
      <c r="AG19" s="1704"/>
      <c r="AH19" s="1704"/>
      <c r="AI19" s="1704"/>
      <c r="AJ19" s="1704"/>
      <c r="AK19" s="1704"/>
      <c r="AL19" s="1704"/>
      <c r="AM19" s="1704"/>
      <c r="AN19" s="1704"/>
      <c r="AO19" s="1704"/>
      <c r="AP19" s="1704"/>
      <c r="AQ19" s="1704"/>
      <c r="AR19" s="1704"/>
      <c r="AS19" s="1704"/>
    </row>
    <row r="20" spans="1:45" ht="14.5" x14ac:dyDescent="0.35">
      <c r="A20" s="2007"/>
      <c r="B20" s="2003"/>
      <c r="C20" s="2009"/>
      <c r="D20" s="2004"/>
      <c r="E20" s="2004"/>
      <c r="F20" s="2004"/>
      <c r="G20" s="1956"/>
      <c r="H20" s="1726"/>
      <c r="I20" s="1704"/>
      <c r="J20" s="1726"/>
      <c r="K20" s="1704"/>
      <c r="L20" s="1726"/>
      <c r="M20" s="1704"/>
      <c r="N20" s="1726"/>
      <c r="O20" s="1704"/>
      <c r="P20" s="1726"/>
      <c r="Q20" s="1704"/>
      <c r="R20" s="1726"/>
      <c r="S20" s="1704"/>
      <c r="T20" s="1726"/>
      <c r="U20" s="1704"/>
      <c r="V20" s="1726"/>
      <c r="W20" s="1704"/>
      <c r="X20" s="1726"/>
      <c r="Y20" s="1704"/>
      <c r="Z20" s="1726"/>
      <c r="AA20" s="1704"/>
      <c r="AB20" s="1726"/>
      <c r="AC20" s="1704"/>
      <c r="AD20" s="1726"/>
      <c r="AE20" s="1704"/>
      <c r="AF20" s="1726"/>
      <c r="AG20" s="1704"/>
      <c r="AH20" s="1726"/>
      <c r="AI20" s="1704"/>
      <c r="AJ20" s="1726"/>
      <c r="AK20" s="1704"/>
      <c r="AL20" s="1726"/>
      <c r="AM20" s="1704"/>
      <c r="AN20" s="1726"/>
      <c r="AO20" s="1704"/>
      <c r="AP20" s="1726"/>
      <c r="AQ20" s="1704"/>
      <c r="AR20" s="1726"/>
      <c r="AS20" s="1704"/>
    </row>
    <row r="21" spans="1:45" ht="14.5" x14ac:dyDescent="0.35">
      <c r="A21" s="48"/>
      <c r="B21" s="2011" t="s">
        <v>2406</v>
      </c>
      <c r="C21" s="45"/>
      <c r="D21" s="46"/>
      <c r="E21" s="46"/>
      <c r="F21" s="46"/>
      <c r="G21" s="52"/>
      <c r="H21" s="1726"/>
      <c r="I21" s="1704"/>
      <c r="J21" s="1726"/>
      <c r="K21" s="1704"/>
      <c r="L21" s="1726"/>
      <c r="M21" s="1704"/>
      <c r="N21" s="1726"/>
      <c r="O21" s="1704"/>
      <c r="P21" s="1726"/>
      <c r="Q21" s="1704"/>
      <c r="R21" s="1726"/>
      <c r="S21" s="1704"/>
      <c r="T21" s="1726"/>
      <c r="U21" s="1704"/>
      <c r="V21" s="1726"/>
      <c r="W21" s="1704"/>
      <c r="X21" s="1726"/>
      <c r="Y21" s="1704"/>
      <c r="Z21" s="1726"/>
      <c r="AA21" s="1704"/>
      <c r="AB21" s="1726"/>
      <c r="AC21" s="1704"/>
      <c r="AD21" s="1726"/>
      <c r="AE21" s="1704"/>
      <c r="AF21" s="1726"/>
      <c r="AG21" s="1704"/>
      <c r="AH21" s="1726"/>
      <c r="AI21" s="1704"/>
      <c r="AJ21" s="1726"/>
      <c r="AK21" s="1704"/>
      <c r="AL21" s="1726"/>
      <c r="AM21" s="1704"/>
      <c r="AN21" s="1726"/>
      <c r="AO21" s="1704"/>
      <c r="AP21" s="1726"/>
      <c r="AQ21" s="1704"/>
      <c r="AR21" s="1726"/>
      <c r="AS21" s="1704"/>
    </row>
    <row r="22" spans="1:45" ht="14.5" x14ac:dyDescent="0.35">
      <c r="A22" s="1817"/>
      <c r="B22" s="604" t="s">
        <v>657</v>
      </c>
      <c r="C22" s="2009"/>
      <c r="D22" s="2004"/>
      <c r="E22" s="2004"/>
      <c r="F22" s="2004"/>
      <c r="G22" s="1956"/>
      <c r="H22" s="1726"/>
      <c r="I22" s="1684"/>
      <c r="J22" s="1726"/>
      <c r="K22" s="668"/>
      <c r="L22" s="1726"/>
      <c r="M22" s="668"/>
      <c r="N22" s="1726"/>
      <c r="O22" s="1684"/>
      <c r="P22" s="1726"/>
      <c r="Q22" s="1684"/>
      <c r="R22" s="1726"/>
      <c r="S22" s="1684"/>
      <c r="T22" s="1726"/>
      <c r="U22" s="668"/>
      <c r="V22" s="1726"/>
      <c r="W22" s="668"/>
      <c r="X22" s="1726"/>
      <c r="Y22" s="668"/>
      <c r="Z22" s="1726"/>
      <c r="AA22" s="668"/>
      <c r="AB22" s="1726"/>
      <c r="AC22" s="668"/>
      <c r="AD22" s="1726"/>
      <c r="AE22" s="668"/>
      <c r="AF22" s="1726"/>
      <c r="AG22" s="668"/>
      <c r="AH22" s="1726"/>
      <c r="AI22" s="668"/>
      <c r="AJ22" s="1726"/>
      <c r="AK22" s="668"/>
      <c r="AL22" s="1726"/>
      <c r="AM22" s="668"/>
      <c r="AN22" s="1726"/>
      <c r="AO22" s="668"/>
      <c r="AP22" s="1726"/>
      <c r="AQ22" s="668"/>
      <c r="AR22" s="1726"/>
      <c r="AS22" s="668"/>
    </row>
    <row r="23" spans="1:45" ht="14.5" x14ac:dyDescent="0.35">
      <c r="A23" s="1817"/>
      <c r="B23" s="603" t="s">
        <v>658</v>
      </c>
      <c r="C23" s="2012"/>
      <c r="D23" s="682"/>
      <c r="E23" s="2004"/>
      <c r="F23" s="2004"/>
      <c r="G23" s="1956"/>
      <c r="H23" s="1726" t="s">
        <v>669</v>
      </c>
      <c r="I23" s="1813"/>
      <c r="J23" s="1726" t="s">
        <v>669</v>
      </c>
      <c r="K23" s="1813"/>
      <c r="L23" s="1726" t="s">
        <v>669</v>
      </c>
      <c r="M23" s="1813"/>
      <c r="N23" s="1726" t="s">
        <v>669</v>
      </c>
      <c r="O23" s="1813"/>
      <c r="P23" s="1726" t="s">
        <v>669</v>
      </c>
      <c r="Q23" s="1813"/>
      <c r="R23" s="1726" t="s">
        <v>669</v>
      </c>
      <c r="S23" s="1813"/>
      <c r="T23" s="1726" t="s">
        <v>669</v>
      </c>
      <c r="U23" s="1825"/>
      <c r="V23" s="1726"/>
      <c r="W23" s="1825"/>
      <c r="X23" s="1726"/>
      <c r="Y23" s="1825"/>
      <c r="Z23" s="1726"/>
      <c r="AA23" s="1825"/>
      <c r="AB23" s="1726"/>
      <c r="AC23" s="1825"/>
      <c r="AD23" s="1726"/>
      <c r="AE23" s="1825"/>
      <c r="AF23" s="1726" t="s">
        <v>669</v>
      </c>
      <c r="AG23" s="1813"/>
      <c r="AH23" s="1726" t="s">
        <v>669</v>
      </c>
      <c r="AI23" s="1813"/>
      <c r="AJ23" s="1726"/>
      <c r="AK23" s="1825"/>
      <c r="AL23" s="1726"/>
      <c r="AM23" s="1813"/>
      <c r="AN23" s="1726"/>
      <c r="AO23" s="1825"/>
      <c r="AP23" s="1726" t="s">
        <v>669</v>
      </c>
      <c r="AQ23" s="1813"/>
      <c r="AR23" s="1726"/>
      <c r="AS23" s="1825"/>
    </row>
    <row r="24" spans="1:45" ht="14.5" x14ac:dyDescent="0.35">
      <c r="A24" s="1817"/>
      <c r="B24" s="1896" t="s">
        <v>659</v>
      </c>
      <c r="C24" s="2012"/>
      <c r="D24" s="682"/>
      <c r="E24" s="2004"/>
      <c r="F24" s="2004"/>
      <c r="G24" s="1956"/>
      <c r="H24" s="1726" t="s">
        <v>669</v>
      </c>
      <c r="I24" s="1813"/>
      <c r="J24" s="1726" t="s">
        <v>669</v>
      </c>
      <c r="K24" s="1813"/>
      <c r="L24" s="1726" t="s">
        <v>669</v>
      </c>
      <c r="M24" s="1813"/>
      <c r="N24" s="1726" t="s">
        <v>669</v>
      </c>
      <c r="O24" s="1813"/>
      <c r="P24" s="1726" t="s">
        <v>669</v>
      </c>
      <c r="Q24" s="1813"/>
      <c r="R24" s="1726" t="s">
        <v>669</v>
      </c>
      <c r="S24" s="1813"/>
      <c r="T24" s="1726" t="s">
        <v>669</v>
      </c>
      <c r="U24" s="1825"/>
      <c r="V24" s="1726"/>
      <c r="W24" s="1825"/>
      <c r="X24" s="1726"/>
      <c r="Y24" s="1825"/>
      <c r="Z24" s="1726"/>
      <c r="AA24" s="1825"/>
      <c r="AB24" s="1726"/>
      <c r="AC24" s="1825"/>
      <c r="AD24" s="1726"/>
      <c r="AE24" s="1825"/>
      <c r="AF24" s="1726" t="s">
        <v>669</v>
      </c>
      <c r="AG24" s="1813"/>
      <c r="AH24" s="1726" t="s">
        <v>669</v>
      </c>
      <c r="AI24" s="1813"/>
      <c r="AJ24" s="1726"/>
      <c r="AK24" s="1825"/>
      <c r="AL24" s="1726"/>
      <c r="AM24" s="1813"/>
      <c r="AN24" s="1726"/>
      <c r="AO24" s="1825"/>
      <c r="AP24" s="1726" t="s">
        <v>669</v>
      </c>
      <c r="AQ24" s="1813"/>
      <c r="AR24" s="1726"/>
      <c r="AS24" s="1825"/>
    </row>
    <row r="25" spans="1:45" ht="14.5" x14ac:dyDescent="0.35">
      <c r="A25" s="1817"/>
      <c r="B25" s="1812" t="s">
        <v>660</v>
      </c>
      <c r="C25" s="1956"/>
      <c r="D25" s="2004"/>
      <c r="E25" s="2004"/>
      <c r="F25" s="2004"/>
      <c r="G25" s="1956"/>
      <c r="H25" s="1726" t="s">
        <v>671</v>
      </c>
      <c r="I25" s="1813"/>
      <c r="J25" s="1726" t="s">
        <v>671</v>
      </c>
      <c r="K25" s="1813"/>
      <c r="L25" s="1726" t="s">
        <v>671</v>
      </c>
      <c r="M25" s="1813"/>
      <c r="N25" s="1726" t="s">
        <v>671</v>
      </c>
      <c r="O25" s="1813"/>
      <c r="P25" s="1726" t="s">
        <v>671</v>
      </c>
      <c r="Q25" s="1813"/>
      <c r="R25" s="1726" t="s">
        <v>671</v>
      </c>
      <c r="S25" s="1813"/>
      <c r="T25" s="1726" t="s">
        <v>671</v>
      </c>
      <c r="U25" s="1825"/>
      <c r="V25" s="1726"/>
      <c r="W25" s="1825"/>
      <c r="X25" s="1726"/>
      <c r="Y25" s="1825"/>
      <c r="Z25" s="1726"/>
      <c r="AA25" s="1825"/>
      <c r="AB25" s="1726"/>
      <c r="AC25" s="1825"/>
      <c r="AD25" s="1726"/>
      <c r="AE25" s="1825"/>
      <c r="AF25" s="1726" t="s">
        <v>671</v>
      </c>
      <c r="AG25" s="1813"/>
      <c r="AH25" s="1726" t="s">
        <v>671</v>
      </c>
      <c r="AI25" s="1813"/>
      <c r="AJ25" s="1726"/>
      <c r="AK25" s="1825"/>
      <c r="AL25" s="1726"/>
      <c r="AM25" s="1813"/>
      <c r="AN25" s="1726"/>
      <c r="AO25" s="1825"/>
      <c r="AP25" s="1726" t="s">
        <v>671</v>
      </c>
      <c r="AQ25" s="1813"/>
      <c r="AR25" s="1726"/>
      <c r="AS25" s="1825"/>
    </row>
    <row r="26" spans="1:45" ht="14.5" x14ac:dyDescent="0.35">
      <c r="A26" s="1817"/>
      <c r="B26" s="1812" t="s">
        <v>661</v>
      </c>
      <c r="C26" s="1956"/>
      <c r="D26" s="2004"/>
      <c r="E26" s="2004"/>
      <c r="F26" s="2004"/>
      <c r="G26" s="1956"/>
      <c r="H26" s="1726" t="s">
        <v>669</v>
      </c>
      <c r="I26" s="1813"/>
      <c r="J26" s="1726" t="s">
        <v>669</v>
      </c>
      <c r="K26" s="1813"/>
      <c r="L26" s="1726" t="s">
        <v>669</v>
      </c>
      <c r="M26" s="1813"/>
      <c r="N26" s="1726" t="s">
        <v>669</v>
      </c>
      <c r="O26" s="1813"/>
      <c r="P26" s="1726" t="s">
        <v>669</v>
      </c>
      <c r="Q26" s="1813"/>
      <c r="R26" s="1726" t="s">
        <v>669</v>
      </c>
      <c r="S26" s="1813"/>
      <c r="T26" s="1726" t="s">
        <v>669</v>
      </c>
      <c r="U26" s="1813"/>
      <c r="V26" s="1726"/>
      <c r="W26" s="1813"/>
      <c r="X26" s="1726"/>
      <c r="Y26" s="1813"/>
      <c r="Z26" s="1726"/>
      <c r="AA26" s="1813"/>
      <c r="AB26" s="1726"/>
      <c r="AC26" s="1813"/>
      <c r="AD26" s="1726"/>
      <c r="AE26" s="1813"/>
      <c r="AF26" s="1726" t="s">
        <v>669</v>
      </c>
      <c r="AG26" s="1813"/>
      <c r="AH26" s="1726" t="s">
        <v>669</v>
      </c>
      <c r="AI26" s="1813"/>
      <c r="AJ26" s="1726"/>
      <c r="AK26" s="1813"/>
      <c r="AL26" s="1726"/>
      <c r="AM26" s="1813"/>
      <c r="AN26" s="1726"/>
      <c r="AO26" s="1813"/>
      <c r="AP26" s="1726" t="s">
        <v>669</v>
      </c>
      <c r="AQ26" s="1813"/>
      <c r="AR26" s="1726"/>
      <c r="AS26" s="1813"/>
    </row>
    <row r="27" spans="1:45" ht="14.5" hidden="1" x14ac:dyDescent="0.35">
      <c r="A27" s="1817"/>
      <c r="B27" s="1812" t="s">
        <v>662</v>
      </c>
      <c r="C27" s="1956"/>
      <c r="D27" s="2004"/>
      <c r="E27" s="2004"/>
      <c r="F27" s="2004"/>
      <c r="G27" s="1956"/>
      <c r="H27" s="1726" t="s">
        <v>669</v>
      </c>
      <c r="I27" s="1813"/>
      <c r="J27" s="1726" t="s">
        <v>669</v>
      </c>
      <c r="K27" s="1813"/>
      <c r="L27" s="1726" t="s">
        <v>669</v>
      </c>
      <c r="M27" s="1813"/>
      <c r="N27" s="1726" t="s">
        <v>669</v>
      </c>
      <c r="O27" s="1813"/>
      <c r="P27" s="1726" t="s">
        <v>669</v>
      </c>
      <c r="Q27" s="1813"/>
      <c r="R27" s="1726" t="s">
        <v>669</v>
      </c>
      <c r="S27" s="1813"/>
      <c r="T27" s="1726"/>
      <c r="U27" s="1813"/>
      <c r="V27" s="1726"/>
      <c r="W27" s="1813"/>
      <c r="X27" s="1726"/>
      <c r="Y27" s="1813"/>
      <c r="Z27" s="1726"/>
      <c r="AA27" s="1813"/>
      <c r="AB27" s="1726"/>
      <c r="AC27" s="1813"/>
      <c r="AD27" s="1726"/>
      <c r="AE27" s="1813"/>
      <c r="AF27" s="1726" t="s">
        <v>669</v>
      </c>
      <c r="AG27" s="1813"/>
      <c r="AH27" s="1726" t="s">
        <v>669</v>
      </c>
      <c r="AI27" s="1813"/>
      <c r="AJ27" s="1726"/>
      <c r="AK27" s="1813"/>
      <c r="AL27" s="1726"/>
      <c r="AM27" s="1813"/>
      <c r="AN27" s="1726"/>
      <c r="AO27" s="1813"/>
      <c r="AP27" s="1726" t="s">
        <v>669</v>
      </c>
      <c r="AQ27" s="1813"/>
      <c r="AR27" s="1726"/>
      <c r="AS27" s="1813"/>
    </row>
    <row r="28" spans="1:45" ht="14.5" x14ac:dyDescent="0.35">
      <c r="A28" s="1817"/>
      <c r="B28" s="1812" t="s">
        <v>663</v>
      </c>
      <c r="C28" s="1956"/>
      <c r="D28" s="2004"/>
      <c r="E28" s="2004"/>
      <c r="F28" s="2004"/>
      <c r="G28" s="1956"/>
      <c r="H28" s="1726" t="s">
        <v>669</v>
      </c>
      <c r="I28" s="1813"/>
      <c r="J28" s="1726" t="s">
        <v>669</v>
      </c>
      <c r="K28" s="1813"/>
      <c r="L28" s="1726" t="s">
        <v>669</v>
      </c>
      <c r="M28" s="1813"/>
      <c r="N28" s="1726" t="s">
        <v>669</v>
      </c>
      <c r="O28" s="1813"/>
      <c r="P28" s="1726" t="s">
        <v>669</v>
      </c>
      <c r="Q28" s="1813"/>
      <c r="R28" s="1726" t="s">
        <v>669</v>
      </c>
      <c r="S28" s="1813"/>
      <c r="T28" s="1726" t="s">
        <v>669</v>
      </c>
      <c r="U28" s="1813"/>
      <c r="V28" s="1726"/>
      <c r="W28" s="1813"/>
      <c r="X28" s="1726"/>
      <c r="Y28" s="1813"/>
      <c r="Z28" s="1726"/>
      <c r="AA28" s="1813"/>
      <c r="AB28" s="1726"/>
      <c r="AC28" s="1813"/>
      <c r="AD28" s="1726"/>
      <c r="AE28" s="1813"/>
      <c r="AF28" s="1726" t="s">
        <v>669</v>
      </c>
      <c r="AG28" s="1813"/>
      <c r="AH28" s="1726" t="s">
        <v>669</v>
      </c>
      <c r="AI28" s="1813"/>
      <c r="AJ28" s="1726"/>
      <c r="AK28" s="1813"/>
      <c r="AL28" s="1726"/>
      <c r="AM28" s="1813"/>
      <c r="AN28" s="1726"/>
      <c r="AO28" s="1813"/>
      <c r="AP28" s="1726" t="s">
        <v>669</v>
      </c>
      <c r="AQ28" s="1813"/>
      <c r="AR28" s="1726"/>
      <c r="AS28" s="1813"/>
    </row>
    <row r="29" spans="1:45" ht="14.5" x14ac:dyDescent="0.35">
      <c r="A29" s="1817"/>
      <c r="B29" s="1812" t="s">
        <v>789</v>
      </c>
      <c r="C29" s="1956"/>
      <c r="D29" s="2004"/>
      <c r="E29" s="2004"/>
      <c r="F29" s="2004"/>
      <c r="G29" s="1956"/>
      <c r="H29" s="1726" t="s">
        <v>671</v>
      </c>
      <c r="I29" s="1813" t="s">
        <v>2427</v>
      </c>
      <c r="J29" s="1726" t="s">
        <v>669</v>
      </c>
      <c r="K29" s="1813"/>
      <c r="L29" s="1726" t="s">
        <v>669</v>
      </c>
      <c r="M29" s="1813"/>
      <c r="N29" s="1726" t="s">
        <v>671</v>
      </c>
      <c r="O29" s="1813" t="s">
        <v>2427</v>
      </c>
      <c r="P29" s="1726" t="s">
        <v>669</v>
      </c>
      <c r="Q29" s="1813"/>
      <c r="R29" s="1726" t="s">
        <v>669</v>
      </c>
      <c r="S29" s="1813"/>
      <c r="T29" s="1726" t="s">
        <v>669</v>
      </c>
      <c r="U29" s="1813" t="s">
        <v>2428</v>
      </c>
      <c r="V29" s="1726"/>
      <c r="W29" s="1813"/>
      <c r="X29" s="1726"/>
      <c r="Y29" s="1813"/>
      <c r="Z29" s="1726"/>
      <c r="AA29" s="1813"/>
      <c r="AB29" s="1726"/>
      <c r="AC29" s="1813"/>
      <c r="AD29" s="1726"/>
      <c r="AE29" s="1813"/>
      <c r="AF29" s="1726" t="s">
        <v>671</v>
      </c>
      <c r="AG29" s="1813" t="s">
        <v>2429</v>
      </c>
      <c r="AH29" s="1726" t="s">
        <v>671</v>
      </c>
      <c r="AI29" s="1813" t="s">
        <v>2429</v>
      </c>
      <c r="AJ29" s="1726"/>
      <c r="AK29" s="1813"/>
      <c r="AL29" s="1726"/>
      <c r="AM29" s="1813"/>
      <c r="AN29" s="1726"/>
      <c r="AO29" s="1813"/>
      <c r="AP29" s="1726" t="s">
        <v>671</v>
      </c>
      <c r="AQ29" s="1813" t="s">
        <v>2429</v>
      </c>
      <c r="AR29" s="1726"/>
      <c r="AS29" s="1813"/>
    </row>
    <row r="30" spans="1:45" ht="14.5" x14ac:dyDescent="0.35">
      <c r="A30" s="1179"/>
      <c r="B30" s="1812" t="s">
        <v>790</v>
      </c>
      <c r="C30" s="1956"/>
      <c r="D30" s="2004"/>
      <c r="E30" s="2004"/>
      <c r="F30" s="2004"/>
      <c r="G30" s="1956"/>
      <c r="H30" s="1726"/>
      <c r="I30" s="1813"/>
      <c r="J30" s="1726" t="s">
        <v>669</v>
      </c>
      <c r="K30" s="2021" t="s">
        <v>2095</v>
      </c>
      <c r="L30" s="1726" t="s">
        <v>669</v>
      </c>
      <c r="M30" s="2021" t="s">
        <v>2095</v>
      </c>
      <c r="N30" s="1726"/>
      <c r="O30" s="1813"/>
      <c r="P30" s="1726" t="s">
        <v>669</v>
      </c>
      <c r="Q30" s="1813">
        <v>4</v>
      </c>
      <c r="R30" s="1726" t="s">
        <v>669</v>
      </c>
      <c r="S30" s="1813">
        <v>4</v>
      </c>
      <c r="T30" s="1726" t="s">
        <v>669</v>
      </c>
      <c r="U30" s="2021">
        <v>1.7</v>
      </c>
      <c r="V30" s="1726"/>
      <c r="W30" s="1813"/>
      <c r="X30" s="1726"/>
      <c r="Y30" s="1813"/>
      <c r="Z30" s="1726"/>
      <c r="AA30" s="1813"/>
      <c r="AB30" s="1726"/>
      <c r="AC30" s="1813"/>
      <c r="AD30" s="1726"/>
      <c r="AE30" s="1813"/>
      <c r="AF30" s="1726"/>
      <c r="AG30" s="1813"/>
      <c r="AH30" s="1726"/>
      <c r="AI30" s="1813"/>
      <c r="AJ30" s="1726"/>
      <c r="AK30" s="1813"/>
      <c r="AL30" s="1726"/>
      <c r="AM30" s="1813"/>
      <c r="AN30" s="1726"/>
      <c r="AO30" s="1813"/>
      <c r="AP30" s="1726"/>
      <c r="AQ30" s="1813"/>
      <c r="AR30" s="1726"/>
      <c r="AS30" s="1813"/>
    </row>
    <row r="31" spans="1:45" ht="14.5" x14ac:dyDescent="0.35">
      <c r="A31" s="1817"/>
      <c r="B31" s="1812" t="s">
        <v>791</v>
      </c>
      <c r="C31" s="1956"/>
      <c r="D31" s="2004"/>
      <c r="E31" s="2004"/>
      <c r="F31" s="2004"/>
      <c r="G31" s="1956"/>
      <c r="H31" s="1726"/>
      <c r="I31" s="1813"/>
      <c r="J31" s="1726" t="s">
        <v>669</v>
      </c>
      <c r="K31" s="1813" t="s">
        <v>2430</v>
      </c>
      <c r="L31" s="1726" t="s">
        <v>669</v>
      </c>
      <c r="M31" s="1813" t="s">
        <v>2430</v>
      </c>
      <c r="N31" s="1726"/>
      <c r="O31" s="1813"/>
      <c r="P31" s="1726" t="s">
        <v>669</v>
      </c>
      <c r="Q31" s="1813">
        <v>7605000</v>
      </c>
      <c r="R31" s="1726" t="s">
        <v>669</v>
      </c>
      <c r="S31" s="1813">
        <v>7605000</v>
      </c>
      <c r="T31" s="1726" t="s">
        <v>669</v>
      </c>
      <c r="U31" s="1813">
        <v>3775288</v>
      </c>
      <c r="V31" s="1726"/>
      <c r="W31" s="1813"/>
      <c r="X31" s="1726"/>
      <c r="Y31" s="1813"/>
      <c r="Z31" s="1726"/>
      <c r="AA31" s="1813"/>
      <c r="AB31" s="1726"/>
      <c r="AC31" s="1813"/>
      <c r="AD31" s="1726"/>
      <c r="AE31" s="1813"/>
      <c r="AF31" s="1726"/>
      <c r="AG31" s="1813"/>
      <c r="AH31" s="1726"/>
      <c r="AI31" s="1813"/>
      <c r="AJ31" s="1726"/>
      <c r="AK31" s="1813"/>
      <c r="AL31" s="1726"/>
      <c r="AM31" s="1813"/>
      <c r="AN31" s="1726"/>
      <c r="AO31" s="1813"/>
      <c r="AP31" s="1726"/>
      <c r="AQ31" s="1813"/>
      <c r="AR31" s="1726"/>
      <c r="AS31" s="1813"/>
    </row>
    <row r="32" spans="1:45" ht="14.5" x14ac:dyDescent="0.35">
      <c r="A32" s="1817"/>
      <c r="B32" s="1160" t="s">
        <v>664</v>
      </c>
      <c r="C32" s="1956"/>
      <c r="D32" s="2004"/>
      <c r="E32" s="2004"/>
      <c r="F32" s="2004"/>
      <c r="G32" s="1956"/>
      <c r="H32" s="1726"/>
      <c r="I32" s="1813"/>
      <c r="J32" s="1726"/>
      <c r="K32" s="1813"/>
      <c r="L32" s="1726"/>
      <c r="M32" s="1813"/>
      <c r="N32" s="1726"/>
      <c r="O32" s="1813"/>
      <c r="P32" s="1726"/>
      <c r="Q32" s="1813"/>
      <c r="R32" s="1726"/>
      <c r="S32" s="1813"/>
      <c r="T32" s="1726"/>
      <c r="U32" s="1813"/>
      <c r="V32" s="1726"/>
      <c r="W32" s="1813"/>
      <c r="X32" s="1726"/>
      <c r="Y32" s="1813"/>
      <c r="Z32" s="1726"/>
      <c r="AA32" s="1813"/>
      <c r="AB32" s="1726"/>
      <c r="AC32" s="1813"/>
      <c r="AD32" s="1726"/>
      <c r="AE32" s="1813"/>
      <c r="AF32" s="1726"/>
      <c r="AG32" s="1813"/>
      <c r="AH32" s="1726"/>
      <c r="AI32" s="1813"/>
      <c r="AJ32" s="1726"/>
      <c r="AK32" s="1813"/>
      <c r="AL32" s="1726"/>
      <c r="AM32" s="1813"/>
      <c r="AN32" s="1726"/>
      <c r="AO32" s="1813"/>
      <c r="AP32" s="1726"/>
      <c r="AQ32" s="1813"/>
      <c r="AR32" s="1726"/>
      <c r="AS32" s="1813"/>
    </row>
    <row r="33" spans="1:45" ht="14.5" x14ac:dyDescent="0.35">
      <c r="A33" s="1817"/>
      <c r="B33" s="2022" t="s">
        <v>665</v>
      </c>
      <c r="C33" s="1911"/>
      <c r="D33" s="2023"/>
      <c r="E33" s="2023"/>
      <c r="F33" s="2023"/>
      <c r="G33" s="1946"/>
      <c r="H33" s="2024"/>
      <c r="I33" s="1162"/>
      <c r="J33" s="2024"/>
      <c r="K33" s="1162"/>
      <c r="L33" s="2024"/>
      <c r="M33" s="1162"/>
      <c r="N33" s="2024"/>
      <c r="O33" s="1162"/>
      <c r="P33" s="2024"/>
      <c r="Q33" s="1162"/>
      <c r="R33" s="2024"/>
      <c r="S33" s="1162"/>
      <c r="T33" s="2024"/>
      <c r="U33" s="1162"/>
      <c r="V33" s="2024"/>
      <c r="W33" s="1162"/>
      <c r="X33" s="2024"/>
      <c r="Y33" s="1162"/>
      <c r="Z33" s="2024"/>
      <c r="AA33" s="1162"/>
      <c r="AB33" s="2024"/>
      <c r="AC33" s="1162"/>
      <c r="AD33" s="2024"/>
      <c r="AE33" s="1162"/>
      <c r="AF33" s="2024"/>
      <c r="AG33" s="1162"/>
      <c r="AH33" s="2024"/>
      <c r="AI33" s="1162"/>
      <c r="AJ33" s="2024"/>
      <c r="AK33" s="1162"/>
      <c r="AL33" s="2024"/>
      <c r="AM33" s="1162"/>
      <c r="AN33" s="2024"/>
      <c r="AO33" s="1162"/>
      <c r="AP33" s="2024"/>
      <c r="AQ33" s="2025"/>
      <c r="AR33" s="2024"/>
      <c r="AS33" s="1162"/>
    </row>
    <row r="34" spans="1:45" ht="14.5" x14ac:dyDescent="0.35">
      <c r="A34" s="1817"/>
      <c r="B34" s="2026" t="s">
        <v>874</v>
      </c>
      <c r="C34" s="1956"/>
      <c r="D34" s="2004"/>
      <c r="E34" s="2004"/>
      <c r="F34" s="2004"/>
      <c r="G34" s="1956"/>
      <c r="H34" s="1726"/>
      <c r="I34" s="1813"/>
      <c r="J34" s="1726"/>
      <c r="K34" s="1813"/>
      <c r="L34" s="1726"/>
      <c r="M34" s="1813"/>
      <c r="N34" s="1726"/>
      <c r="O34" s="1813"/>
      <c r="P34" s="1726"/>
      <c r="Q34" s="1813"/>
      <c r="R34" s="1726"/>
      <c r="S34" s="1813"/>
      <c r="T34" s="1726"/>
      <c r="U34" s="1813"/>
      <c r="V34" s="1726"/>
      <c r="W34" s="1813"/>
      <c r="X34" s="1726"/>
      <c r="Y34" s="1813"/>
      <c r="Z34" s="1726"/>
      <c r="AA34" s="1813"/>
      <c r="AB34" s="1726"/>
      <c r="AC34" s="1813"/>
      <c r="AD34" s="1726"/>
      <c r="AE34" s="1813"/>
      <c r="AF34" s="1726"/>
      <c r="AG34" s="1813"/>
      <c r="AH34" s="1726"/>
      <c r="AI34" s="1813"/>
      <c r="AJ34" s="1726"/>
      <c r="AK34" s="1813"/>
      <c r="AL34" s="1726"/>
      <c r="AM34" s="1813"/>
      <c r="AN34" s="1726"/>
      <c r="AO34" s="1813"/>
      <c r="AP34" s="1726"/>
      <c r="AQ34" s="1813"/>
      <c r="AR34" s="1726"/>
      <c r="AS34" s="1813"/>
    </row>
    <row r="35" spans="1:45" ht="14.5" x14ac:dyDescent="0.35">
      <c r="A35" s="1817"/>
      <c r="B35" s="2027" t="s">
        <v>2431</v>
      </c>
      <c r="C35" s="1956" t="s">
        <v>2432</v>
      </c>
      <c r="D35" s="1948"/>
      <c r="E35" s="2004"/>
      <c r="F35" s="2028"/>
      <c r="G35" s="1950"/>
      <c r="H35" s="1726"/>
      <c r="I35" s="2029"/>
      <c r="J35" s="1726"/>
      <c r="K35" s="1813"/>
      <c r="L35" s="1726"/>
      <c r="M35" s="1813"/>
      <c r="N35" s="1726"/>
      <c r="O35" s="2029"/>
      <c r="P35" s="1726"/>
      <c r="Q35" s="2029"/>
      <c r="R35" s="1726"/>
      <c r="S35" s="2029"/>
      <c r="T35" s="1726"/>
      <c r="U35" s="1813"/>
      <c r="V35" s="1726"/>
      <c r="W35" s="1813"/>
      <c r="X35" s="1726"/>
      <c r="Y35" s="1813"/>
      <c r="Z35" s="1726"/>
      <c r="AA35" s="1813"/>
      <c r="AB35" s="1726"/>
      <c r="AC35" s="1813"/>
      <c r="AD35" s="1726"/>
      <c r="AE35" s="1813"/>
      <c r="AF35" s="1726"/>
      <c r="AG35" s="1813"/>
      <c r="AH35" s="1726"/>
      <c r="AI35" s="1813"/>
      <c r="AJ35" s="1726"/>
      <c r="AK35" s="1813"/>
      <c r="AL35" s="1726"/>
      <c r="AM35" s="1813"/>
      <c r="AN35" s="1726"/>
      <c r="AO35" s="1813"/>
      <c r="AP35" s="1726"/>
      <c r="AQ35" s="1813"/>
      <c r="AR35" s="1726"/>
      <c r="AS35" s="1813"/>
    </row>
    <row r="36" spans="1:45" ht="14.5" x14ac:dyDescent="0.35">
      <c r="A36" s="1817"/>
      <c r="B36" s="2027" t="s">
        <v>2433</v>
      </c>
      <c r="C36" s="1956" t="s">
        <v>2432</v>
      </c>
      <c r="D36" s="1948"/>
      <c r="E36" s="2004"/>
      <c r="F36" s="2028"/>
      <c r="G36" s="1950"/>
      <c r="H36" s="1726"/>
      <c r="I36" s="2029"/>
      <c r="J36" s="1726"/>
      <c r="K36" s="1813"/>
      <c r="L36" s="1726"/>
      <c r="M36" s="1813"/>
      <c r="N36" s="1726"/>
      <c r="O36" s="2029"/>
      <c r="P36" s="1726"/>
      <c r="Q36" s="2029"/>
      <c r="R36" s="1726"/>
      <c r="S36" s="2029"/>
      <c r="T36" s="1726"/>
      <c r="U36" s="1813"/>
      <c r="V36" s="1726"/>
      <c r="W36" s="1813"/>
      <c r="X36" s="1726"/>
      <c r="Y36" s="1813"/>
      <c r="Z36" s="1726"/>
      <c r="AA36" s="1813"/>
      <c r="AB36" s="1726"/>
      <c r="AC36" s="1813"/>
      <c r="AD36" s="1726"/>
      <c r="AE36" s="1813"/>
      <c r="AF36" s="1726"/>
      <c r="AG36" s="1813"/>
      <c r="AH36" s="1726"/>
      <c r="AI36" s="1813"/>
      <c r="AJ36" s="1726"/>
      <c r="AK36" s="1813"/>
      <c r="AL36" s="1726"/>
      <c r="AM36" s="1813"/>
      <c r="AN36" s="1726"/>
      <c r="AO36" s="1813"/>
      <c r="AP36" s="1726"/>
      <c r="AQ36" s="1813"/>
      <c r="AR36" s="1726"/>
      <c r="AS36" s="1813"/>
    </row>
    <row r="37" spans="1:45" ht="14.5" x14ac:dyDescent="0.35">
      <c r="A37" s="1817"/>
      <c r="B37" s="2027" t="s">
        <v>2434</v>
      </c>
      <c r="C37" s="1956" t="s">
        <v>2432</v>
      </c>
      <c r="D37" s="1948"/>
      <c r="E37" s="2004"/>
      <c r="F37" s="2028"/>
      <c r="G37" s="1950"/>
      <c r="H37" s="1726"/>
      <c r="I37" s="2029"/>
      <c r="J37" s="1726"/>
      <c r="K37" s="1813"/>
      <c r="L37" s="1726"/>
      <c r="M37" s="1813"/>
      <c r="N37" s="1726"/>
      <c r="O37" s="2029"/>
      <c r="P37" s="1726"/>
      <c r="Q37" s="2029"/>
      <c r="R37" s="1726"/>
      <c r="S37" s="2029"/>
      <c r="T37" s="1726"/>
      <c r="U37" s="1813"/>
      <c r="V37" s="1726"/>
      <c r="W37" s="1813"/>
      <c r="X37" s="1726"/>
      <c r="Y37" s="1813"/>
      <c r="Z37" s="1726"/>
      <c r="AA37" s="1813"/>
      <c r="AB37" s="1726"/>
      <c r="AC37" s="1813"/>
      <c r="AD37" s="1726"/>
      <c r="AE37" s="1813"/>
      <c r="AF37" s="1726"/>
      <c r="AG37" s="1813"/>
      <c r="AH37" s="1726"/>
      <c r="AI37" s="1813"/>
      <c r="AJ37" s="1726"/>
      <c r="AK37" s="1813"/>
      <c r="AL37" s="1726"/>
      <c r="AM37" s="1813"/>
      <c r="AN37" s="1726"/>
      <c r="AO37" s="1813"/>
      <c r="AP37" s="1726"/>
      <c r="AQ37" s="1813"/>
      <c r="AR37" s="1726"/>
      <c r="AS37" s="1813"/>
    </row>
    <row r="38" spans="1:45" ht="14.5" x14ac:dyDescent="0.35">
      <c r="A38" s="1817"/>
      <c r="B38" s="2027"/>
      <c r="C38" s="1956"/>
      <c r="D38" s="1948"/>
      <c r="E38" s="2004"/>
      <c r="F38" s="2028"/>
      <c r="G38" s="1950"/>
      <c r="H38" s="1726"/>
      <c r="I38" s="2029"/>
      <c r="J38" s="1726"/>
      <c r="K38" s="1813"/>
      <c r="L38" s="1726"/>
      <c r="M38" s="1813"/>
      <c r="N38" s="1726"/>
      <c r="O38" s="1813"/>
      <c r="P38" s="1726"/>
      <c r="Q38" s="1813"/>
      <c r="R38" s="1726"/>
      <c r="S38" s="1813"/>
      <c r="T38" s="1726"/>
      <c r="U38" s="1813"/>
      <c r="V38" s="1726"/>
      <c r="W38" s="1813"/>
      <c r="X38" s="1726"/>
      <c r="Y38" s="1813"/>
      <c r="Z38" s="1726"/>
      <c r="AA38" s="1813"/>
      <c r="AB38" s="1726"/>
      <c r="AC38" s="1813"/>
      <c r="AD38" s="1726"/>
      <c r="AE38" s="1813"/>
      <c r="AF38" s="1726"/>
      <c r="AG38" s="1813"/>
      <c r="AH38" s="1726"/>
      <c r="AI38" s="1813"/>
      <c r="AJ38" s="1726"/>
      <c r="AK38" s="1813"/>
      <c r="AL38" s="1726"/>
      <c r="AM38" s="1813"/>
      <c r="AN38" s="1726"/>
      <c r="AO38" s="1813"/>
      <c r="AP38" s="1726"/>
      <c r="AQ38" s="1813"/>
      <c r="AR38" s="1726"/>
      <c r="AS38" s="1813"/>
    </row>
    <row r="39" spans="1:45" ht="14.5" x14ac:dyDescent="0.35">
      <c r="A39" s="1179"/>
      <c r="B39" s="2030" t="s">
        <v>2435</v>
      </c>
      <c r="C39" s="2012"/>
      <c r="D39" s="682"/>
      <c r="E39" s="2004"/>
      <c r="F39" s="2004"/>
      <c r="G39" s="1956"/>
      <c r="H39" s="1726"/>
      <c r="I39" s="1813"/>
      <c r="J39" s="1726" t="s">
        <v>669</v>
      </c>
      <c r="K39" s="1813"/>
      <c r="L39" s="1726" t="s">
        <v>669</v>
      </c>
      <c r="M39" s="1813"/>
      <c r="N39" s="1726" t="s">
        <v>669</v>
      </c>
      <c r="O39" s="1813"/>
      <c r="P39" s="1726" t="s">
        <v>669</v>
      </c>
      <c r="Q39" s="1813"/>
      <c r="R39" s="1726" t="s">
        <v>669</v>
      </c>
      <c r="S39" s="1813"/>
      <c r="T39" s="1726" t="s">
        <v>669</v>
      </c>
      <c r="U39" s="1813"/>
      <c r="V39" s="1726" t="s">
        <v>669</v>
      </c>
      <c r="W39" s="1813"/>
      <c r="X39" s="1726" t="s">
        <v>669</v>
      </c>
      <c r="Y39" s="1813"/>
      <c r="Z39" s="1726" t="s">
        <v>669</v>
      </c>
      <c r="AA39" s="1813"/>
      <c r="AB39" s="1726" t="s">
        <v>669</v>
      </c>
      <c r="AC39" s="1813"/>
      <c r="AD39" s="1726" t="s">
        <v>669</v>
      </c>
      <c r="AE39" s="1813"/>
      <c r="AF39" s="1726" t="s">
        <v>669</v>
      </c>
      <c r="AG39" s="1813"/>
      <c r="AH39" s="1726" t="s">
        <v>669</v>
      </c>
      <c r="AI39" s="1813"/>
      <c r="AJ39" s="1726" t="s">
        <v>669</v>
      </c>
      <c r="AK39" s="1813"/>
      <c r="AL39" s="1726" t="s">
        <v>669</v>
      </c>
      <c r="AM39" s="1813">
        <v>1120350</v>
      </c>
      <c r="AN39" s="1726"/>
      <c r="AO39" s="1813"/>
      <c r="AP39" s="1726"/>
      <c r="AQ39" s="1813"/>
      <c r="AR39" s="1726"/>
      <c r="AS39" s="1813"/>
    </row>
    <row r="40" spans="1:45" ht="14.5" x14ac:dyDescent="0.35">
      <c r="A40" s="1179"/>
      <c r="B40" s="2031" t="s">
        <v>2436</v>
      </c>
      <c r="C40" s="2012"/>
      <c r="D40" s="682"/>
      <c r="E40" s="2004"/>
      <c r="F40" s="2004"/>
      <c r="G40" s="1956"/>
      <c r="H40" s="1726"/>
      <c r="I40" s="1813"/>
      <c r="J40" s="1726" t="s">
        <v>669</v>
      </c>
      <c r="K40" s="1813"/>
      <c r="L40" s="1726" t="s">
        <v>669</v>
      </c>
      <c r="M40" s="1813"/>
      <c r="N40" s="1726" t="s">
        <v>669</v>
      </c>
      <c r="O40" s="1813"/>
      <c r="P40" s="1726" t="s">
        <v>669</v>
      </c>
      <c r="Q40" s="1813"/>
      <c r="R40" s="1726" t="s">
        <v>669</v>
      </c>
      <c r="S40" s="1813"/>
      <c r="T40" s="1726" t="s">
        <v>669</v>
      </c>
      <c r="U40" s="1813"/>
      <c r="V40" s="1726" t="s">
        <v>669</v>
      </c>
      <c r="W40" s="1813"/>
      <c r="X40" s="1726" t="s">
        <v>669</v>
      </c>
      <c r="Y40" s="1813"/>
      <c r="Z40" s="1726" t="s">
        <v>669</v>
      </c>
      <c r="AA40" s="1813"/>
      <c r="AB40" s="1726" t="s">
        <v>669</v>
      </c>
      <c r="AC40" s="1813"/>
      <c r="AD40" s="1726" t="s">
        <v>669</v>
      </c>
      <c r="AE40" s="1813"/>
      <c r="AF40" s="1726" t="s">
        <v>669</v>
      </c>
      <c r="AG40" s="1813"/>
      <c r="AH40" s="1726" t="s">
        <v>669</v>
      </c>
      <c r="AI40" s="1813"/>
      <c r="AJ40" s="1726" t="s">
        <v>669</v>
      </c>
      <c r="AK40" s="1813"/>
      <c r="AL40" s="1726" t="s">
        <v>669</v>
      </c>
      <c r="AM40" s="1813">
        <v>1144000</v>
      </c>
      <c r="AN40" s="1726"/>
      <c r="AO40" s="1813"/>
      <c r="AP40" s="1726"/>
      <c r="AQ40" s="1813"/>
      <c r="AR40" s="1726"/>
      <c r="AS40" s="1813"/>
    </row>
    <row r="41" spans="1:45" ht="14.5" x14ac:dyDescent="0.35">
      <c r="A41" s="1179"/>
      <c r="B41" s="2031" t="s">
        <v>2437</v>
      </c>
      <c r="C41" s="2012"/>
      <c r="D41" s="682"/>
      <c r="E41" s="2004"/>
      <c r="F41" s="2004"/>
      <c r="G41" s="1956"/>
      <c r="H41" s="1726"/>
      <c r="I41" s="1813"/>
      <c r="J41" s="1726" t="s">
        <v>669</v>
      </c>
      <c r="K41" s="1813"/>
      <c r="L41" s="1726" t="s">
        <v>669</v>
      </c>
      <c r="M41" s="1813"/>
      <c r="N41" s="1726" t="s">
        <v>669</v>
      </c>
      <c r="O41" s="1813"/>
      <c r="P41" s="1726" t="s">
        <v>669</v>
      </c>
      <c r="Q41" s="1813"/>
      <c r="R41" s="1726" t="s">
        <v>669</v>
      </c>
      <c r="S41" s="1813"/>
      <c r="T41" s="1726" t="s">
        <v>669</v>
      </c>
      <c r="U41" s="1813"/>
      <c r="V41" s="1726" t="s">
        <v>669</v>
      </c>
      <c r="W41" s="1813"/>
      <c r="X41" s="1726" t="s">
        <v>669</v>
      </c>
      <c r="Y41" s="1813"/>
      <c r="Z41" s="1726" t="s">
        <v>669</v>
      </c>
      <c r="AA41" s="1813"/>
      <c r="AB41" s="1726" t="s">
        <v>669</v>
      </c>
      <c r="AC41" s="1813"/>
      <c r="AD41" s="1726" t="s">
        <v>669</v>
      </c>
      <c r="AE41" s="1813"/>
      <c r="AF41" s="1726" t="s">
        <v>669</v>
      </c>
      <c r="AG41" s="1813"/>
      <c r="AH41" s="1726" t="s">
        <v>669</v>
      </c>
      <c r="AI41" s="1813"/>
      <c r="AJ41" s="1726" t="s">
        <v>669</v>
      </c>
      <c r="AK41" s="1813"/>
      <c r="AL41" s="1726" t="s">
        <v>669</v>
      </c>
      <c r="AM41" s="1813">
        <v>475950</v>
      </c>
      <c r="AN41" s="1726"/>
      <c r="AO41" s="1813"/>
      <c r="AP41" s="1726"/>
      <c r="AQ41" s="1813"/>
      <c r="AR41" s="1726"/>
      <c r="AS41" s="1813"/>
    </row>
    <row r="42" spans="1:45" ht="14.5" x14ac:dyDescent="0.35">
      <c r="A42" s="1179"/>
      <c r="B42" s="2032" t="s">
        <v>2438</v>
      </c>
      <c r="C42" s="2012"/>
      <c r="D42" s="682"/>
      <c r="E42" s="2004"/>
      <c r="F42" s="2004"/>
      <c r="G42" s="1956"/>
      <c r="H42" s="1726"/>
      <c r="I42" s="1813"/>
      <c r="J42" s="1726" t="s">
        <v>669</v>
      </c>
      <c r="K42" s="1813"/>
      <c r="L42" s="1726" t="s">
        <v>669</v>
      </c>
      <c r="M42" s="1813"/>
      <c r="N42" s="1726" t="s">
        <v>669</v>
      </c>
      <c r="O42" s="1813"/>
      <c r="P42" s="1726" t="s">
        <v>669</v>
      </c>
      <c r="Q42" s="1813"/>
      <c r="R42" s="1726" t="s">
        <v>669</v>
      </c>
      <c r="S42" s="1813"/>
      <c r="T42" s="1726" t="s">
        <v>669</v>
      </c>
      <c r="U42" s="1813"/>
      <c r="V42" s="1726" t="s">
        <v>669</v>
      </c>
      <c r="W42" s="1813"/>
      <c r="X42" s="1726" t="s">
        <v>669</v>
      </c>
      <c r="Y42" s="1813"/>
      <c r="Z42" s="1726" t="s">
        <v>669</v>
      </c>
      <c r="AA42" s="1813"/>
      <c r="AB42" s="1726" t="s">
        <v>669</v>
      </c>
      <c r="AC42" s="1813"/>
      <c r="AD42" s="1726" t="s">
        <v>669</v>
      </c>
      <c r="AE42" s="1813"/>
      <c r="AF42" s="1726" t="s">
        <v>669</v>
      </c>
      <c r="AG42" s="1813"/>
      <c r="AH42" s="1726" t="s">
        <v>669</v>
      </c>
      <c r="AI42" s="1813"/>
      <c r="AJ42" s="1726" t="s">
        <v>669</v>
      </c>
      <c r="AK42" s="1813"/>
      <c r="AL42" s="1726" t="s">
        <v>669</v>
      </c>
      <c r="AM42" s="1813"/>
      <c r="AN42" s="1726"/>
      <c r="AO42" s="1813"/>
      <c r="AP42" s="1726"/>
      <c r="AQ42" s="1813"/>
      <c r="AR42" s="1726"/>
      <c r="AS42" s="1813"/>
    </row>
    <row r="43" spans="1:45" ht="14.5" x14ac:dyDescent="0.35">
      <c r="A43" s="1179"/>
      <c r="B43" s="2032" t="s">
        <v>2371</v>
      </c>
      <c r="C43" s="2012"/>
      <c r="D43" s="682"/>
      <c r="E43" s="2004"/>
      <c r="F43" s="2004"/>
      <c r="G43" s="1956"/>
      <c r="H43" s="1726"/>
      <c r="I43" s="1813"/>
      <c r="J43" s="1726" t="s">
        <v>669</v>
      </c>
      <c r="K43" s="1813"/>
      <c r="L43" s="1726" t="s">
        <v>669</v>
      </c>
      <c r="M43" s="1813"/>
      <c r="N43" s="1726" t="s">
        <v>669</v>
      </c>
      <c r="O43" s="1813"/>
      <c r="P43" s="1726" t="s">
        <v>669</v>
      </c>
      <c r="Q43" s="1813"/>
      <c r="R43" s="1726" t="s">
        <v>669</v>
      </c>
      <c r="S43" s="1813"/>
      <c r="T43" s="1726" t="s">
        <v>669</v>
      </c>
      <c r="U43" s="1813"/>
      <c r="V43" s="1726" t="s">
        <v>669</v>
      </c>
      <c r="W43" s="1813"/>
      <c r="X43" s="1726" t="s">
        <v>669</v>
      </c>
      <c r="Y43" s="1813"/>
      <c r="Z43" s="1726" t="s">
        <v>669</v>
      </c>
      <c r="AA43" s="1813"/>
      <c r="AB43" s="1726" t="s">
        <v>669</v>
      </c>
      <c r="AC43" s="1813"/>
      <c r="AD43" s="1726" t="s">
        <v>669</v>
      </c>
      <c r="AE43" s="1813"/>
      <c r="AF43" s="1726" t="s">
        <v>669</v>
      </c>
      <c r="AG43" s="1813"/>
      <c r="AH43" s="1726" t="s">
        <v>669</v>
      </c>
      <c r="AI43" s="1813"/>
      <c r="AJ43" s="1726" t="s">
        <v>669</v>
      </c>
      <c r="AK43" s="1813"/>
      <c r="AL43" s="1726" t="s">
        <v>669</v>
      </c>
      <c r="AM43" s="1813"/>
      <c r="AN43" s="1726"/>
      <c r="AO43" s="1813"/>
      <c r="AP43" s="1726"/>
      <c r="AQ43" s="1813"/>
      <c r="AR43" s="1726"/>
      <c r="AS43" s="1813"/>
    </row>
    <row r="44" spans="1:45" ht="14.5" x14ac:dyDescent="0.35">
      <c r="A44" s="1179"/>
      <c r="B44" s="2032" t="s">
        <v>2372</v>
      </c>
      <c r="C44" s="2012"/>
      <c r="D44" s="682"/>
      <c r="E44" s="2004"/>
      <c r="F44" s="2004"/>
      <c r="G44" s="1956"/>
      <c r="H44" s="1726"/>
      <c r="I44" s="1813"/>
      <c r="J44" s="1726" t="s">
        <v>669</v>
      </c>
      <c r="K44" s="1813"/>
      <c r="L44" s="1726" t="s">
        <v>669</v>
      </c>
      <c r="M44" s="1813"/>
      <c r="N44" s="1726" t="s">
        <v>669</v>
      </c>
      <c r="O44" s="1813"/>
      <c r="P44" s="1726" t="s">
        <v>669</v>
      </c>
      <c r="Q44" s="1813"/>
      <c r="R44" s="1726" t="s">
        <v>669</v>
      </c>
      <c r="S44" s="1813"/>
      <c r="T44" s="1726" t="s">
        <v>669</v>
      </c>
      <c r="U44" s="1813"/>
      <c r="V44" s="1726" t="s">
        <v>669</v>
      </c>
      <c r="W44" s="1813"/>
      <c r="X44" s="1726" t="s">
        <v>669</v>
      </c>
      <c r="Y44" s="1813"/>
      <c r="Z44" s="1726" t="s">
        <v>669</v>
      </c>
      <c r="AA44" s="1813"/>
      <c r="AB44" s="1726" t="s">
        <v>669</v>
      </c>
      <c r="AC44" s="1813"/>
      <c r="AD44" s="1726" t="s">
        <v>669</v>
      </c>
      <c r="AE44" s="1813"/>
      <c r="AF44" s="1726" t="s">
        <v>669</v>
      </c>
      <c r="AG44" s="1813"/>
      <c r="AH44" s="1726" t="s">
        <v>669</v>
      </c>
      <c r="AI44" s="1813"/>
      <c r="AJ44" s="1726" t="s">
        <v>669</v>
      </c>
      <c r="AK44" s="1813"/>
      <c r="AL44" s="1726" t="s">
        <v>669</v>
      </c>
      <c r="AM44" s="1813"/>
      <c r="AN44" s="1726"/>
      <c r="AO44" s="1813"/>
      <c r="AP44" s="1726"/>
      <c r="AQ44" s="1813"/>
      <c r="AR44" s="1726"/>
      <c r="AS44" s="1813"/>
    </row>
    <row r="45" spans="1:45" ht="14.5" x14ac:dyDescent="0.35">
      <c r="A45" s="1179"/>
      <c r="B45" s="2032" t="s">
        <v>2373</v>
      </c>
      <c r="C45" s="2012"/>
      <c r="D45" s="682"/>
      <c r="E45" s="2004"/>
      <c r="F45" s="2004"/>
      <c r="G45" s="1956"/>
      <c r="H45" s="1726"/>
      <c r="I45" s="1813"/>
      <c r="J45" s="1726" t="s">
        <v>669</v>
      </c>
      <c r="K45" s="1813"/>
      <c r="L45" s="1726" t="s">
        <v>669</v>
      </c>
      <c r="M45" s="1813"/>
      <c r="N45" s="1726" t="s">
        <v>669</v>
      </c>
      <c r="O45" s="1813"/>
      <c r="P45" s="1726" t="s">
        <v>669</v>
      </c>
      <c r="Q45" s="1813"/>
      <c r="R45" s="1726" t="s">
        <v>669</v>
      </c>
      <c r="S45" s="1813"/>
      <c r="T45" s="1726" t="s">
        <v>669</v>
      </c>
      <c r="U45" s="1813"/>
      <c r="V45" s="1726" t="s">
        <v>669</v>
      </c>
      <c r="W45" s="1813"/>
      <c r="X45" s="1726" t="s">
        <v>669</v>
      </c>
      <c r="Y45" s="1813"/>
      <c r="Z45" s="1726" t="s">
        <v>669</v>
      </c>
      <c r="AA45" s="1813"/>
      <c r="AB45" s="1726" t="s">
        <v>669</v>
      </c>
      <c r="AC45" s="1813"/>
      <c r="AD45" s="1726" t="s">
        <v>669</v>
      </c>
      <c r="AE45" s="1813"/>
      <c r="AF45" s="1726" t="s">
        <v>669</v>
      </c>
      <c r="AG45" s="1813"/>
      <c r="AH45" s="1726" t="s">
        <v>669</v>
      </c>
      <c r="AI45" s="1813"/>
      <c r="AJ45" s="1726" t="s">
        <v>669</v>
      </c>
      <c r="AK45" s="1813"/>
      <c r="AL45" s="1726" t="s">
        <v>669</v>
      </c>
      <c r="AM45" s="1813"/>
      <c r="AN45" s="1726"/>
      <c r="AO45" s="1813"/>
      <c r="AP45" s="1726"/>
      <c r="AQ45" s="1813"/>
      <c r="AR45" s="1726"/>
      <c r="AS45" s="1813"/>
    </row>
    <row r="46" spans="1:45" ht="14.5" x14ac:dyDescent="0.35">
      <c r="A46" s="1817"/>
      <c r="B46" s="2033" t="s">
        <v>15</v>
      </c>
      <c r="C46" s="1956"/>
      <c r="D46" s="1948"/>
      <c r="E46" s="2004"/>
      <c r="F46" s="2028"/>
      <c r="G46" s="1950"/>
      <c r="H46" s="1726"/>
      <c r="I46" s="2029">
        <v>2092644</v>
      </c>
      <c r="J46" s="1726" t="s">
        <v>669</v>
      </c>
      <c r="K46" s="1813"/>
      <c r="L46" s="1726" t="s">
        <v>669</v>
      </c>
      <c r="M46" s="1813"/>
      <c r="N46" s="1726" t="s">
        <v>669</v>
      </c>
      <c r="O46" s="1813">
        <v>1923367</v>
      </c>
      <c r="P46" s="1726" t="s">
        <v>669</v>
      </c>
      <c r="Q46" s="1813"/>
      <c r="R46" s="1726" t="s">
        <v>669</v>
      </c>
      <c r="S46" s="1813"/>
      <c r="T46" s="1726" t="s">
        <v>669</v>
      </c>
      <c r="U46" s="1813"/>
      <c r="V46" s="1726"/>
      <c r="W46" s="1813">
        <v>2135962</v>
      </c>
      <c r="X46" s="1726" t="s">
        <v>669</v>
      </c>
      <c r="Y46" s="1813">
        <v>2147921</v>
      </c>
      <c r="Z46" s="1726" t="s">
        <v>669</v>
      </c>
      <c r="AA46" s="1813">
        <v>2669507</v>
      </c>
      <c r="AB46" s="1726" t="s">
        <v>669</v>
      </c>
      <c r="AC46" s="1813"/>
      <c r="AD46" s="1726" t="s">
        <v>669</v>
      </c>
      <c r="AE46" s="1813">
        <f>2685536-65520</f>
        <v>2620016</v>
      </c>
      <c r="AF46" s="1726" t="s">
        <v>669</v>
      </c>
      <c r="AG46" s="1813">
        <v>2954180</v>
      </c>
      <c r="AH46" s="1726" t="s">
        <v>669</v>
      </c>
      <c r="AI46" s="1813">
        <v>2887130</v>
      </c>
      <c r="AJ46" s="1726" t="s">
        <v>669</v>
      </c>
      <c r="AK46" s="1813">
        <v>2614368</v>
      </c>
      <c r="AL46" s="1726" t="s">
        <v>669</v>
      </c>
      <c r="AM46" s="1813"/>
      <c r="AN46" s="1726"/>
      <c r="AO46" s="1813">
        <f>333800+(386304*2)+(321579*3)</f>
        <v>2071145</v>
      </c>
      <c r="AP46" s="1726"/>
      <c r="AQ46" s="1813">
        <f>658726+1178974+537162+821021+236219+294088</f>
        <v>3726190</v>
      </c>
      <c r="AR46" s="1726"/>
      <c r="AS46" s="1813"/>
    </row>
    <row r="47" spans="1:45" ht="29" x14ac:dyDescent="0.35">
      <c r="A47" s="1817"/>
      <c r="B47" s="2034" t="s">
        <v>2439</v>
      </c>
      <c r="C47" s="1956"/>
      <c r="D47" s="1948"/>
      <c r="E47" s="2004"/>
      <c r="F47" s="2028"/>
      <c r="G47" s="1950"/>
      <c r="H47" s="1726" t="s">
        <v>669</v>
      </c>
      <c r="I47" s="2029"/>
      <c r="J47" s="1726" t="s">
        <v>669</v>
      </c>
      <c r="K47" s="1813">
        <v>1068827</v>
      </c>
      <c r="L47" s="1726" t="s">
        <v>669</v>
      </c>
      <c r="M47" s="1813">
        <f>985812+360503</f>
        <v>1346315</v>
      </c>
      <c r="N47" s="1726" t="s">
        <v>669</v>
      </c>
      <c r="O47" s="1813"/>
      <c r="P47" s="1726" t="s">
        <v>669</v>
      </c>
      <c r="Q47" s="1813">
        <f>1290899+165954</f>
        <v>1456853</v>
      </c>
      <c r="R47" s="1726" t="s">
        <v>669</v>
      </c>
      <c r="S47" s="1813">
        <f>1259718+161903</f>
        <v>1421621</v>
      </c>
      <c r="T47" s="1726" t="s">
        <v>669</v>
      </c>
      <c r="U47" s="1813">
        <v>1185000</v>
      </c>
      <c r="V47" s="1726" t="s">
        <v>669</v>
      </c>
      <c r="W47" s="1813"/>
      <c r="X47" s="1726" t="s">
        <v>669</v>
      </c>
      <c r="Y47" s="1813"/>
      <c r="Z47" s="1726" t="s">
        <v>669</v>
      </c>
      <c r="AA47" s="1813"/>
      <c r="AB47" s="1726" t="s">
        <v>669</v>
      </c>
      <c r="AC47" s="1813">
        <v>1320000</v>
      </c>
      <c r="AD47" s="1726" t="s">
        <v>669</v>
      </c>
      <c r="AE47" s="1813"/>
      <c r="AF47" s="1726" t="s">
        <v>669</v>
      </c>
      <c r="AG47" s="1813"/>
      <c r="AH47" s="1726" t="s">
        <v>669</v>
      </c>
      <c r="AI47" s="1813"/>
      <c r="AJ47" s="1726" t="s">
        <v>669</v>
      </c>
      <c r="AK47" s="1813"/>
      <c r="AL47" s="1726" t="s">
        <v>669</v>
      </c>
      <c r="AM47" s="1813"/>
      <c r="AN47" s="1726" t="s">
        <v>669</v>
      </c>
      <c r="AO47" s="1813"/>
      <c r="AP47" s="1726" t="s">
        <v>669</v>
      </c>
      <c r="AQ47" s="1813"/>
      <c r="AR47" s="1726"/>
      <c r="AS47" s="1813"/>
    </row>
    <row r="48" spans="1:45" ht="14.5" x14ac:dyDescent="0.35">
      <c r="A48" s="1817"/>
      <c r="B48" s="2027" t="s">
        <v>2440</v>
      </c>
      <c r="C48" s="1956"/>
      <c r="D48" s="1948"/>
      <c r="E48" s="2004"/>
      <c r="F48" s="2028"/>
      <c r="G48" s="1950"/>
      <c r="H48" s="1726" t="s">
        <v>669</v>
      </c>
      <c r="I48" s="2029"/>
      <c r="J48" s="1659" t="s">
        <v>669</v>
      </c>
      <c r="K48" s="1813"/>
      <c r="L48" s="1659" t="s">
        <v>669</v>
      </c>
      <c r="M48" s="1813"/>
      <c r="N48" s="1726" t="s">
        <v>669</v>
      </c>
      <c r="O48" s="1813"/>
      <c r="P48" s="1726" t="s">
        <v>669</v>
      </c>
      <c r="Q48" s="1813"/>
      <c r="R48" s="1726" t="s">
        <v>669</v>
      </c>
      <c r="S48" s="1813"/>
      <c r="T48" s="1659" t="s">
        <v>669</v>
      </c>
      <c r="U48" s="1813"/>
      <c r="V48" s="1726" t="s">
        <v>669</v>
      </c>
      <c r="W48" s="1813"/>
      <c r="X48" s="1726" t="s">
        <v>669</v>
      </c>
      <c r="Y48" s="1813"/>
      <c r="Z48" s="1726" t="s">
        <v>669</v>
      </c>
      <c r="AA48" s="1813"/>
      <c r="AB48" s="1659" t="s">
        <v>669</v>
      </c>
      <c r="AC48" s="1813"/>
      <c r="AD48" s="1659" t="s">
        <v>669</v>
      </c>
      <c r="AE48" s="1813"/>
      <c r="AF48" s="1726" t="s">
        <v>669</v>
      </c>
      <c r="AG48" s="1813"/>
      <c r="AH48" s="1726" t="s">
        <v>669</v>
      </c>
      <c r="AI48" s="1813"/>
      <c r="AJ48" s="1659" t="s">
        <v>654</v>
      </c>
      <c r="AK48" s="1813">
        <v>150000</v>
      </c>
      <c r="AL48" s="1726" t="s">
        <v>669</v>
      </c>
      <c r="AM48" s="1813"/>
      <c r="AN48" s="1659" t="s">
        <v>654</v>
      </c>
      <c r="AO48" s="1813">
        <v>150000</v>
      </c>
      <c r="AP48" s="1726" t="s">
        <v>669</v>
      </c>
      <c r="AQ48" s="1813"/>
      <c r="AR48" s="1726"/>
      <c r="AS48" s="1813"/>
    </row>
    <row r="49" spans="1:45" ht="14.5" x14ac:dyDescent="0.35">
      <c r="A49" s="1817"/>
      <c r="B49" s="2035" t="s">
        <v>2441</v>
      </c>
      <c r="C49" s="1956"/>
      <c r="D49" s="2036"/>
      <c r="E49" s="2004"/>
      <c r="F49" s="2004"/>
      <c r="G49" s="1956"/>
      <c r="H49" s="1726" t="s">
        <v>669</v>
      </c>
      <c r="I49" s="1813"/>
      <c r="J49" s="1726" t="s">
        <v>669</v>
      </c>
      <c r="K49" s="1813">
        <f>225824+456368</f>
        <v>682192</v>
      </c>
      <c r="L49" s="1726" t="s">
        <v>669</v>
      </c>
      <c r="M49" s="1813">
        <f>225824+456368</f>
        <v>682192</v>
      </c>
      <c r="N49" s="1726" t="s">
        <v>669</v>
      </c>
      <c r="O49" s="1813"/>
      <c r="P49" s="1726" t="s">
        <v>669</v>
      </c>
      <c r="Q49" s="1813">
        <v>657164</v>
      </c>
      <c r="R49" s="1726" t="s">
        <v>669</v>
      </c>
      <c r="S49" s="1813">
        <v>657164</v>
      </c>
      <c r="T49" s="1726" t="s">
        <v>669</v>
      </c>
      <c r="U49" s="1813">
        <v>948000</v>
      </c>
      <c r="V49" s="1726" t="s">
        <v>669</v>
      </c>
      <c r="W49" s="1813"/>
      <c r="X49" s="1726" t="s">
        <v>669</v>
      </c>
      <c r="Y49" s="1813"/>
      <c r="Z49" s="1726" t="s">
        <v>669</v>
      </c>
      <c r="AA49" s="1813"/>
      <c r="AB49" s="1726" t="s">
        <v>669</v>
      </c>
      <c r="AC49" s="1813">
        <v>948000</v>
      </c>
      <c r="AD49" s="1726" t="s">
        <v>669</v>
      </c>
      <c r="AE49" s="1813"/>
      <c r="AF49" s="1726"/>
      <c r="AG49" s="1813"/>
      <c r="AH49" s="1726"/>
      <c r="AI49" s="1813"/>
      <c r="AJ49" s="1726"/>
      <c r="AK49" s="1813"/>
      <c r="AL49" s="1726"/>
      <c r="AM49" s="1813"/>
      <c r="AN49" s="1726"/>
      <c r="AO49" s="1813"/>
      <c r="AP49" s="1726"/>
      <c r="AQ49" s="1813"/>
      <c r="AR49" s="1726"/>
      <c r="AS49" s="1813"/>
    </row>
    <row r="50" spans="1:45" ht="14.5" x14ac:dyDescent="0.35">
      <c r="A50" s="1817"/>
      <c r="B50" s="2027" t="s">
        <v>2442</v>
      </c>
      <c r="C50" s="1956"/>
      <c r="D50" s="1948"/>
      <c r="E50" s="2004"/>
      <c r="F50" s="2028"/>
      <c r="G50" s="1950"/>
      <c r="H50" s="1726" t="s">
        <v>669</v>
      </c>
      <c r="I50" s="2029"/>
      <c r="J50" s="1659" t="s">
        <v>669</v>
      </c>
      <c r="K50" s="1813">
        <v>52360</v>
      </c>
      <c r="L50" s="1659" t="s">
        <v>669</v>
      </c>
      <c r="M50" s="1813">
        <v>37400</v>
      </c>
      <c r="N50" s="1726" t="s">
        <v>669</v>
      </c>
      <c r="O50" s="1813"/>
      <c r="P50" s="1726" t="s">
        <v>669</v>
      </c>
      <c r="Q50" s="1813">
        <v>39635</v>
      </c>
      <c r="R50" s="1726" t="s">
        <v>669</v>
      </c>
      <c r="S50" s="1813">
        <v>39635</v>
      </c>
      <c r="T50" s="1659" t="s">
        <v>669</v>
      </c>
      <c r="U50" s="1813"/>
      <c r="V50" s="1726" t="s">
        <v>669</v>
      </c>
      <c r="W50" s="1813"/>
      <c r="X50" s="1726" t="s">
        <v>669</v>
      </c>
      <c r="Y50" s="1813"/>
      <c r="Z50" s="1726" t="s">
        <v>669</v>
      </c>
      <c r="AA50" s="1813"/>
      <c r="AB50" s="1659" t="s">
        <v>669</v>
      </c>
      <c r="AC50" s="1813"/>
      <c r="AD50" s="1659" t="s">
        <v>669</v>
      </c>
      <c r="AE50" s="1813"/>
      <c r="AF50" s="1726" t="s">
        <v>669</v>
      </c>
      <c r="AG50" s="1813"/>
      <c r="AH50" s="1726" t="s">
        <v>669</v>
      </c>
      <c r="AI50" s="1813"/>
      <c r="AJ50" s="1726" t="s">
        <v>669</v>
      </c>
      <c r="AK50" s="1813"/>
      <c r="AL50" s="1726" t="s">
        <v>669</v>
      </c>
      <c r="AM50" s="1813"/>
      <c r="AN50" s="1659" t="s">
        <v>654</v>
      </c>
      <c r="AO50" s="1813"/>
      <c r="AP50" s="1726" t="s">
        <v>669</v>
      </c>
      <c r="AQ50" s="1813"/>
      <c r="AR50" s="1726"/>
      <c r="AS50" s="1813"/>
    </row>
    <row r="51" spans="1:45" ht="14.5" x14ac:dyDescent="0.35">
      <c r="A51" s="1179"/>
      <c r="B51" s="2027" t="s">
        <v>2443</v>
      </c>
      <c r="C51" s="2037"/>
      <c r="D51" s="1948"/>
      <c r="E51" s="2004"/>
      <c r="F51" s="2028"/>
      <c r="G51" s="1950"/>
      <c r="H51" s="1726"/>
      <c r="I51" s="2029"/>
      <c r="J51" s="2038" t="s">
        <v>669</v>
      </c>
      <c r="K51" s="1813"/>
      <c r="L51" s="2038" t="s">
        <v>669</v>
      </c>
      <c r="M51" s="1813"/>
      <c r="N51" s="1726"/>
      <c r="O51" s="1813"/>
      <c r="P51" s="1726" t="s">
        <v>669</v>
      </c>
      <c r="Q51" s="1813">
        <v>67234</v>
      </c>
      <c r="R51" s="1726" t="s">
        <v>669</v>
      </c>
      <c r="S51" s="1813">
        <v>67234</v>
      </c>
      <c r="T51" s="2038" t="s">
        <v>669</v>
      </c>
      <c r="U51" s="1813"/>
      <c r="V51" s="1726"/>
      <c r="W51" s="1813"/>
      <c r="X51" s="1726" t="s">
        <v>669</v>
      </c>
      <c r="Y51" s="1813"/>
      <c r="Z51" s="1726" t="s">
        <v>669</v>
      </c>
      <c r="AA51" s="1813"/>
      <c r="AB51" s="2038" t="s">
        <v>654</v>
      </c>
      <c r="AC51" s="1813">
        <f>Q51</f>
        <v>67234</v>
      </c>
      <c r="AD51" s="2038" t="s">
        <v>669</v>
      </c>
      <c r="AE51" s="1813"/>
      <c r="AF51" s="1726"/>
      <c r="AG51" s="1813"/>
      <c r="AH51" s="1726"/>
      <c r="AI51" s="1813"/>
      <c r="AJ51" s="1726"/>
      <c r="AK51" s="1813"/>
      <c r="AL51" s="1726"/>
      <c r="AM51" s="1813"/>
      <c r="AN51" s="2038"/>
      <c r="AO51" s="1813"/>
      <c r="AP51" s="1726"/>
      <c r="AQ51" s="2039"/>
      <c r="AR51" s="1726"/>
      <c r="AS51" s="1813"/>
    </row>
    <row r="52" spans="1:45" ht="14.5" x14ac:dyDescent="0.35">
      <c r="A52" s="1817"/>
      <c r="B52" s="2027" t="s">
        <v>2444</v>
      </c>
      <c r="C52" s="1956"/>
      <c r="D52" s="1948"/>
      <c r="E52" s="2004"/>
      <c r="F52" s="2028"/>
      <c r="G52" s="1950"/>
      <c r="H52" s="1726" t="s">
        <v>669</v>
      </c>
      <c r="I52" s="2029"/>
      <c r="J52" s="1659" t="s">
        <v>669</v>
      </c>
      <c r="K52" s="1813">
        <v>201935</v>
      </c>
      <c r="L52" s="1659" t="s">
        <v>669</v>
      </c>
      <c r="M52" s="1813">
        <v>201935</v>
      </c>
      <c r="N52" s="1726" t="s">
        <v>669</v>
      </c>
      <c r="O52" s="1813">
        <v>87460</v>
      </c>
      <c r="P52" s="1726" t="s">
        <v>669</v>
      </c>
      <c r="Q52" s="1813">
        <v>175633</v>
      </c>
      <c r="R52" s="1726" t="s">
        <v>669</v>
      </c>
      <c r="S52" s="1813">
        <v>175633</v>
      </c>
      <c r="T52" s="1659" t="s">
        <v>669</v>
      </c>
      <c r="U52" s="1813">
        <v>237000</v>
      </c>
      <c r="V52" s="1726" t="s">
        <v>669</v>
      </c>
      <c r="W52" s="1813"/>
      <c r="X52" s="1726" t="s">
        <v>669</v>
      </c>
      <c r="Y52" s="1813">
        <v>237510</v>
      </c>
      <c r="Z52" s="1726" t="s">
        <v>669</v>
      </c>
      <c r="AA52" s="1813"/>
      <c r="AB52" s="1659" t="s">
        <v>669</v>
      </c>
      <c r="AC52" s="1813">
        <v>157000</v>
      </c>
      <c r="AD52" s="1659" t="s">
        <v>669</v>
      </c>
      <c r="AE52" s="1813"/>
      <c r="AF52" s="1726" t="s">
        <v>669</v>
      </c>
      <c r="AG52" s="1813"/>
      <c r="AH52" s="1726" t="s">
        <v>669</v>
      </c>
      <c r="AI52" s="1813"/>
      <c r="AJ52" s="1659" t="s">
        <v>654</v>
      </c>
      <c r="AK52" s="1813">
        <f>AO52</f>
        <v>87460</v>
      </c>
      <c r="AL52" s="1726" t="s">
        <v>669</v>
      </c>
      <c r="AM52" s="1813"/>
      <c r="AN52" s="1659" t="s">
        <v>654</v>
      </c>
      <c r="AO52" s="1813">
        <v>87460</v>
      </c>
      <c r="AP52" s="1726" t="s">
        <v>669</v>
      </c>
      <c r="AQ52" s="2039"/>
      <c r="AR52" s="1726"/>
      <c r="AS52" s="1813"/>
    </row>
    <row r="53" spans="1:45" ht="14.5" x14ac:dyDescent="0.35">
      <c r="A53" s="1179"/>
      <c r="B53" s="2027" t="s">
        <v>2443</v>
      </c>
      <c r="C53" s="2037"/>
      <c r="D53" s="1948"/>
      <c r="E53" s="2004"/>
      <c r="F53" s="2028"/>
      <c r="G53" s="1950"/>
      <c r="H53" s="1726"/>
      <c r="I53" s="2029"/>
      <c r="J53" s="2038" t="s">
        <v>669</v>
      </c>
      <c r="K53" s="1813">
        <v>33854</v>
      </c>
      <c r="L53" s="2038" t="s">
        <v>669</v>
      </c>
      <c r="M53" s="1813">
        <v>33854</v>
      </c>
      <c r="N53" s="1726"/>
      <c r="O53" s="1813"/>
      <c r="P53" s="1726" t="s">
        <v>669</v>
      </c>
      <c r="Q53" s="1813">
        <v>7919</v>
      </c>
      <c r="R53" s="1726" t="s">
        <v>669</v>
      </c>
      <c r="S53" s="1813">
        <v>7919</v>
      </c>
      <c r="T53" s="2038" t="s">
        <v>669</v>
      </c>
      <c r="U53" s="1813"/>
      <c r="V53" s="1726"/>
      <c r="W53" s="1813"/>
      <c r="X53" s="1726" t="s">
        <v>669</v>
      </c>
      <c r="Y53" s="1813"/>
      <c r="Z53" s="1726" t="s">
        <v>669</v>
      </c>
      <c r="AA53" s="1813"/>
      <c r="AB53" s="2038" t="s">
        <v>654</v>
      </c>
      <c r="AC53" s="1813">
        <f>Q53</f>
        <v>7919</v>
      </c>
      <c r="AD53" s="2038" t="s">
        <v>669</v>
      </c>
      <c r="AE53" s="1813"/>
      <c r="AF53" s="1726"/>
      <c r="AG53" s="1813"/>
      <c r="AH53" s="1726"/>
      <c r="AI53" s="1813"/>
      <c r="AJ53" s="1726"/>
      <c r="AK53" s="1813"/>
      <c r="AL53" s="1726"/>
      <c r="AM53" s="1813"/>
      <c r="AN53" s="2038"/>
      <c r="AO53" s="1813"/>
      <c r="AP53" s="1726"/>
      <c r="AQ53" s="2039"/>
      <c r="AR53" s="1726"/>
      <c r="AS53" s="1813"/>
    </row>
    <row r="54" spans="1:45" ht="14.5" x14ac:dyDescent="0.35">
      <c r="A54" s="1817"/>
      <c r="B54" s="2027" t="s">
        <v>2445</v>
      </c>
      <c r="C54" s="2037"/>
      <c r="D54" s="1956"/>
      <c r="E54" s="2004"/>
      <c r="F54" s="2028"/>
      <c r="G54" s="1950"/>
      <c r="H54" s="1726" t="s">
        <v>669</v>
      </c>
      <c r="I54" s="2029">
        <v>32813</v>
      </c>
      <c r="J54" s="1659" t="s">
        <v>669</v>
      </c>
      <c r="K54" s="1813">
        <v>50416</v>
      </c>
      <c r="L54" s="1659" t="s">
        <v>669</v>
      </c>
      <c r="M54" s="1813">
        <v>50416</v>
      </c>
      <c r="N54" s="1726" t="s">
        <v>669</v>
      </c>
      <c r="O54" s="1813">
        <v>32813</v>
      </c>
      <c r="P54" s="1726" t="s">
        <v>669</v>
      </c>
      <c r="Q54" s="1813">
        <v>32813</v>
      </c>
      <c r="R54" s="1726" t="s">
        <v>669</v>
      </c>
      <c r="S54" s="1813">
        <v>30938</v>
      </c>
      <c r="T54" s="1659" t="s">
        <v>669</v>
      </c>
      <c r="U54" s="1813">
        <v>34800</v>
      </c>
      <c r="V54" s="1659" t="s">
        <v>669</v>
      </c>
      <c r="W54" s="1813">
        <v>38427</v>
      </c>
      <c r="X54" s="1659" t="s">
        <v>669</v>
      </c>
      <c r="Y54" s="1813">
        <v>8427</v>
      </c>
      <c r="Z54" s="1659" t="s">
        <v>669</v>
      </c>
      <c r="AA54" s="1813"/>
      <c r="AB54" s="1659" t="s">
        <v>669</v>
      </c>
      <c r="AC54" s="1813">
        <v>34800</v>
      </c>
      <c r="AD54" s="1659" t="s">
        <v>669</v>
      </c>
      <c r="AE54" s="1813"/>
      <c r="AF54" s="1726" t="s">
        <v>669</v>
      </c>
      <c r="AG54" s="1813"/>
      <c r="AH54" s="1726" t="s">
        <v>669</v>
      </c>
      <c r="AI54" s="1813"/>
      <c r="AJ54" s="1659" t="s">
        <v>654</v>
      </c>
      <c r="AK54" s="1813">
        <f>W54</f>
        <v>38427</v>
      </c>
      <c r="AL54" s="1726" t="s">
        <v>669</v>
      </c>
      <c r="AM54" s="1813"/>
      <c r="AN54" s="1659" t="s">
        <v>654</v>
      </c>
      <c r="AO54" s="1813">
        <v>32813</v>
      </c>
      <c r="AP54" s="1726" t="s">
        <v>669</v>
      </c>
      <c r="AQ54" s="2039"/>
      <c r="AR54" s="1726"/>
      <c r="AS54" s="1813"/>
    </row>
    <row r="55" spans="1:45" ht="14.5" x14ac:dyDescent="0.35">
      <c r="A55" s="1817"/>
      <c r="B55" s="2027" t="s">
        <v>2446</v>
      </c>
      <c r="C55" s="2040"/>
      <c r="D55" s="1948"/>
      <c r="E55" s="2004"/>
      <c r="F55" s="2028"/>
      <c r="G55" s="1950"/>
      <c r="H55" s="1726" t="s">
        <v>669</v>
      </c>
      <c r="I55" s="2029">
        <f>20000*1.3</f>
        <v>26000</v>
      </c>
      <c r="J55" s="1659" t="s">
        <v>669</v>
      </c>
      <c r="K55" s="1813"/>
      <c r="L55" s="1659" t="s">
        <v>669</v>
      </c>
      <c r="M55" s="1813"/>
      <c r="N55" s="1726" t="s">
        <v>669</v>
      </c>
      <c r="O55" s="1813">
        <f>20000*1.3</f>
        <v>26000</v>
      </c>
      <c r="P55" s="1726" t="s">
        <v>669</v>
      </c>
      <c r="Q55" s="1813"/>
      <c r="R55" s="1726" t="s">
        <v>669</v>
      </c>
      <c r="S55" s="1813"/>
      <c r="T55" s="1659" t="s">
        <v>669</v>
      </c>
      <c r="U55" s="1813">
        <v>24000</v>
      </c>
      <c r="V55" s="1659" t="s">
        <v>669</v>
      </c>
      <c r="W55" s="1813"/>
      <c r="X55" s="1659" t="s">
        <v>669</v>
      </c>
      <c r="Y55" s="1813"/>
      <c r="Z55" s="1659" t="s">
        <v>669</v>
      </c>
      <c r="AA55" s="1813"/>
      <c r="AB55" s="1659" t="s">
        <v>669</v>
      </c>
      <c r="AC55" s="1813">
        <v>24000</v>
      </c>
      <c r="AD55" s="1659" t="s">
        <v>669</v>
      </c>
      <c r="AE55" s="1813"/>
      <c r="AF55" s="1726" t="s">
        <v>669</v>
      </c>
      <c r="AG55" s="1813"/>
      <c r="AH55" s="1726" t="s">
        <v>669</v>
      </c>
      <c r="AI55" s="1813"/>
      <c r="AJ55" s="1659" t="s">
        <v>654</v>
      </c>
      <c r="AK55" s="1813">
        <v>26000</v>
      </c>
      <c r="AL55" s="1726" t="s">
        <v>669</v>
      </c>
      <c r="AM55" s="1813"/>
      <c r="AN55" s="1659" t="s">
        <v>654</v>
      </c>
      <c r="AO55" s="1813">
        <v>26000</v>
      </c>
      <c r="AP55" s="1726" t="s">
        <v>669</v>
      </c>
      <c r="AQ55" s="2039">
        <f>80000+66000</f>
        <v>146000</v>
      </c>
      <c r="AR55" s="1726"/>
      <c r="AS55" s="1813"/>
    </row>
    <row r="56" spans="1:45" ht="14.5" x14ac:dyDescent="0.35">
      <c r="A56" s="1817"/>
      <c r="B56" s="2027" t="s">
        <v>2447</v>
      </c>
      <c r="C56" s="2040"/>
      <c r="D56" s="1948"/>
      <c r="E56" s="2004"/>
      <c r="F56" s="2028"/>
      <c r="G56" s="1950"/>
      <c r="H56" s="1659" t="s">
        <v>654</v>
      </c>
      <c r="I56" s="2029">
        <v>20000</v>
      </c>
      <c r="J56" s="1659" t="s">
        <v>654</v>
      </c>
      <c r="K56" s="1813"/>
      <c r="L56" s="1659" t="s">
        <v>654</v>
      </c>
      <c r="M56" s="1813"/>
      <c r="N56" s="1659" t="s">
        <v>671</v>
      </c>
      <c r="O56" s="1813"/>
      <c r="P56" s="1659" t="s">
        <v>671</v>
      </c>
      <c r="Q56" s="1813"/>
      <c r="R56" s="1659" t="s">
        <v>671</v>
      </c>
      <c r="S56" s="1813"/>
      <c r="T56" s="1659" t="s">
        <v>671</v>
      </c>
      <c r="U56" s="1813"/>
      <c r="V56" s="1659" t="s">
        <v>671</v>
      </c>
      <c r="W56" s="1813"/>
      <c r="X56" s="1659" t="s">
        <v>671</v>
      </c>
      <c r="Y56" s="1813"/>
      <c r="Z56" s="1659" t="s">
        <v>671</v>
      </c>
      <c r="AA56" s="1813"/>
      <c r="AB56" s="1659" t="s">
        <v>654</v>
      </c>
      <c r="AC56" s="1813">
        <v>20000</v>
      </c>
      <c r="AD56" s="1659" t="s">
        <v>654</v>
      </c>
      <c r="AE56" s="1813"/>
      <c r="AF56" s="1659" t="s">
        <v>669</v>
      </c>
      <c r="AG56" s="1813"/>
      <c r="AH56" s="1659" t="s">
        <v>669</v>
      </c>
      <c r="AI56" s="1813"/>
      <c r="AJ56" s="1659" t="s">
        <v>654</v>
      </c>
      <c r="AK56" s="1813">
        <v>20000</v>
      </c>
      <c r="AL56" s="1659" t="s">
        <v>669</v>
      </c>
      <c r="AM56" s="1813"/>
      <c r="AN56" s="1659" t="s">
        <v>654</v>
      </c>
      <c r="AO56" s="1813">
        <v>20000</v>
      </c>
      <c r="AP56" s="1726"/>
      <c r="AQ56" s="2039"/>
      <c r="AR56" s="1726"/>
      <c r="AS56" s="1813"/>
    </row>
    <row r="57" spans="1:45" ht="14.5" x14ac:dyDescent="0.35">
      <c r="A57" s="1817"/>
      <c r="B57" s="2027" t="s">
        <v>2448</v>
      </c>
      <c r="C57" s="2040"/>
      <c r="D57" s="1948"/>
      <c r="E57" s="2004"/>
      <c r="F57" s="2028"/>
      <c r="G57" s="1950"/>
      <c r="H57" s="1659" t="s">
        <v>669</v>
      </c>
      <c r="I57" s="2029">
        <v>158469</v>
      </c>
      <c r="J57" s="1659" t="s">
        <v>669</v>
      </c>
      <c r="K57" s="1813">
        <v>230814</v>
      </c>
      <c r="L57" s="1659" t="s">
        <v>669</v>
      </c>
      <c r="M57" s="1813">
        <v>230814</v>
      </c>
      <c r="N57" s="1659" t="s">
        <v>669</v>
      </c>
      <c r="O57" s="1813">
        <v>158469</v>
      </c>
      <c r="P57" s="1659" t="s">
        <v>669</v>
      </c>
      <c r="Q57" s="1813">
        <v>158469</v>
      </c>
      <c r="R57" s="1659" t="s">
        <v>669</v>
      </c>
      <c r="S57" s="1813">
        <v>138193</v>
      </c>
      <c r="T57" s="1659" t="s">
        <v>669</v>
      </c>
      <c r="U57" s="1813">
        <v>77000</v>
      </c>
      <c r="V57" s="1659" t="s">
        <v>669</v>
      </c>
      <c r="W57" s="1813">
        <v>115394</v>
      </c>
      <c r="X57" s="1659" t="s">
        <v>669</v>
      </c>
      <c r="Y57" s="1813">
        <v>115394</v>
      </c>
      <c r="Z57" s="1659" t="s">
        <v>669</v>
      </c>
      <c r="AA57" s="1813"/>
      <c r="AB57" s="1659" t="s">
        <v>669</v>
      </c>
      <c r="AC57" s="1813">
        <v>77000</v>
      </c>
      <c r="AD57" s="1659" t="s">
        <v>669</v>
      </c>
      <c r="AE57" s="1813"/>
      <c r="AF57" s="1659" t="s">
        <v>669</v>
      </c>
      <c r="AG57" s="1813"/>
      <c r="AH57" s="1659" t="s">
        <v>669</v>
      </c>
      <c r="AI57" s="1813"/>
      <c r="AJ57" s="1659" t="s">
        <v>654</v>
      </c>
      <c r="AK57" s="1813">
        <v>158469</v>
      </c>
      <c r="AL57" s="1659" t="s">
        <v>654</v>
      </c>
      <c r="AM57" s="1813">
        <f>O57</f>
        <v>158469</v>
      </c>
      <c r="AN57" s="1659" t="s">
        <v>654</v>
      </c>
      <c r="AO57" s="1813">
        <f>AG57</f>
        <v>0</v>
      </c>
      <c r="AP57" s="1726" t="s">
        <v>669</v>
      </c>
      <c r="AQ57" s="2039">
        <f>137887+48855+107377+27530+212656+12530</f>
        <v>546835</v>
      </c>
      <c r="AR57" s="1726"/>
      <c r="AS57" s="1813"/>
    </row>
    <row r="58" spans="1:45" ht="14.5" x14ac:dyDescent="0.35">
      <c r="A58" s="1179"/>
      <c r="B58" s="207" t="s">
        <v>2449</v>
      </c>
      <c r="C58" s="2037"/>
      <c r="D58" s="1948"/>
      <c r="E58" s="2004"/>
      <c r="F58" s="2028"/>
      <c r="G58" s="1950"/>
      <c r="H58" s="2038"/>
      <c r="I58" s="2029"/>
      <c r="J58" s="2038" t="s">
        <v>669</v>
      </c>
      <c r="K58" s="1813">
        <f>6480+15650</f>
        <v>22130</v>
      </c>
      <c r="L58" s="2038" t="s">
        <v>669</v>
      </c>
      <c r="M58" s="1813">
        <f>6480+15650</f>
        <v>22130</v>
      </c>
      <c r="N58" s="2038"/>
      <c r="O58" s="1813"/>
      <c r="P58" s="2038"/>
      <c r="Q58" s="1813"/>
      <c r="R58" s="2038"/>
      <c r="S58" s="1813"/>
      <c r="T58" s="2038" t="s">
        <v>669</v>
      </c>
      <c r="U58" s="1813"/>
      <c r="V58" s="2038" t="s">
        <v>669</v>
      </c>
      <c r="W58" s="1813"/>
      <c r="X58" s="2038" t="s">
        <v>669</v>
      </c>
      <c r="Y58" s="1813"/>
      <c r="Z58" s="2038" t="s">
        <v>669</v>
      </c>
      <c r="AA58" s="1813"/>
      <c r="AB58" s="2038" t="s">
        <v>669</v>
      </c>
      <c r="AC58" s="1813"/>
      <c r="AD58" s="2038" t="s">
        <v>669</v>
      </c>
      <c r="AE58" s="1813"/>
      <c r="AF58" s="2038"/>
      <c r="AG58" s="1813"/>
      <c r="AH58" s="2038"/>
      <c r="AI58" s="1813"/>
      <c r="AJ58" s="2038"/>
      <c r="AK58" s="1813"/>
      <c r="AL58" s="2038"/>
      <c r="AM58" s="1813"/>
      <c r="AN58" s="2038"/>
      <c r="AO58" s="1813"/>
      <c r="AP58" s="1726"/>
      <c r="AQ58" s="2039"/>
      <c r="AR58" s="1726"/>
      <c r="AS58" s="1813"/>
    </row>
    <row r="59" spans="1:45" ht="14.5" x14ac:dyDescent="0.35">
      <c r="A59" s="1817"/>
      <c r="B59" s="2027" t="s">
        <v>2450</v>
      </c>
      <c r="C59" s="1956"/>
      <c r="D59" s="2004"/>
      <c r="E59" s="2004"/>
      <c r="F59" s="2004"/>
      <c r="G59" s="1956"/>
      <c r="H59" s="1726" t="s">
        <v>669</v>
      </c>
      <c r="I59" s="2029">
        <v>129957</v>
      </c>
      <c r="J59" s="1659" t="s">
        <v>669</v>
      </c>
      <c r="K59" s="1813">
        <v>78864</v>
      </c>
      <c r="L59" s="1659" t="s">
        <v>669</v>
      </c>
      <c r="M59" s="1813">
        <v>58803</v>
      </c>
      <c r="N59" s="1726" t="s">
        <v>669</v>
      </c>
      <c r="O59" s="1813">
        <v>95736</v>
      </c>
      <c r="P59" s="1726" t="s">
        <v>669</v>
      </c>
      <c r="Q59" s="1813">
        <v>129957</v>
      </c>
      <c r="R59" s="1726" t="s">
        <v>669</v>
      </c>
      <c r="S59" s="1813">
        <v>129957</v>
      </c>
      <c r="T59" s="1726" t="s">
        <v>669</v>
      </c>
      <c r="U59" s="1813"/>
      <c r="V59" s="1726" t="s">
        <v>669</v>
      </c>
      <c r="W59" s="1813">
        <v>35612</v>
      </c>
      <c r="X59" s="1726" t="s">
        <v>669</v>
      </c>
      <c r="Y59" s="1813">
        <v>105016</v>
      </c>
      <c r="Z59" s="1726" t="s">
        <v>669</v>
      </c>
      <c r="AA59" s="1813">
        <v>105016</v>
      </c>
      <c r="AB59" s="1726" t="s">
        <v>669</v>
      </c>
      <c r="AC59" s="1813"/>
      <c r="AD59" s="1726" t="s">
        <v>669</v>
      </c>
      <c r="AE59" s="1813"/>
      <c r="AF59" s="1726" t="s">
        <v>669</v>
      </c>
      <c r="AG59" s="1813"/>
      <c r="AH59" s="1726" t="s">
        <v>669</v>
      </c>
      <c r="AI59" s="1813"/>
      <c r="AJ59" s="1726" t="s">
        <v>669</v>
      </c>
      <c r="AK59" s="1813">
        <v>35612</v>
      </c>
      <c r="AL59" s="1726" t="s">
        <v>669</v>
      </c>
      <c r="AM59" s="1813"/>
      <c r="AN59" s="1726" t="s">
        <v>669</v>
      </c>
      <c r="AO59" s="1813"/>
      <c r="AP59" s="1726"/>
      <c r="AQ59" s="2039">
        <v>170000</v>
      </c>
      <c r="AR59" s="1726"/>
      <c r="AS59" s="1813"/>
    </row>
    <row r="60" spans="1:45" ht="14.5" x14ac:dyDescent="0.35">
      <c r="A60" s="1817"/>
      <c r="B60" s="1961" t="s">
        <v>2451</v>
      </c>
      <c r="C60" s="1956"/>
      <c r="D60" s="1956"/>
      <c r="E60" s="2004"/>
      <c r="F60" s="2028"/>
      <c r="G60" s="1950"/>
      <c r="H60" s="1726" t="s">
        <v>669</v>
      </c>
      <c r="I60" s="2041"/>
      <c r="J60" s="1726" t="s">
        <v>669</v>
      </c>
      <c r="K60" s="1813"/>
      <c r="L60" s="1726" t="s">
        <v>669</v>
      </c>
      <c r="M60" s="1813"/>
      <c r="N60" s="1726" t="s">
        <v>669</v>
      </c>
      <c r="O60" s="2041"/>
      <c r="P60" s="1726" t="s">
        <v>669</v>
      </c>
      <c r="Q60" s="2041"/>
      <c r="R60" s="1726" t="s">
        <v>669</v>
      </c>
      <c r="S60" s="2041"/>
      <c r="T60" s="1726" t="s">
        <v>669</v>
      </c>
      <c r="U60" s="1813"/>
      <c r="V60" s="1726" t="s">
        <v>669</v>
      </c>
      <c r="W60" s="1813"/>
      <c r="X60" s="1726" t="s">
        <v>669</v>
      </c>
      <c r="Y60" s="1813"/>
      <c r="Z60" s="1726" t="s">
        <v>669</v>
      </c>
      <c r="AA60" s="1813"/>
      <c r="AB60" s="1726" t="s">
        <v>669</v>
      </c>
      <c r="AC60" s="1813"/>
      <c r="AD60" s="1726" t="s">
        <v>669</v>
      </c>
      <c r="AE60" s="1813"/>
      <c r="AF60" s="1726" t="s">
        <v>669</v>
      </c>
      <c r="AG60" s="1813"/>
      <c r="AH60" s="1726" t="s">
        <v>669</v>
      </c>
      <c r="AI60" s="1813"/>
      <c r="AJ60" s="1726" t="s">
        <v>669</v>
      </c>
      <c r="AK60" s="1813"/>
      <c r="AL60" s="1726" t="s">
        <v>669</v>
      </c>
      <c r="AM60" s="1813"/>
      <c r="AN60" s="1726" t="s">
        <v>669</v>
      </c>
      <c r="AO60" s="1813"/>
      <c r="AP60" s="1726" t="s">
        <v>669</v>
      </c>
      <c r="AQ60" s="1813">
        <f>8181+8181+8181</f>
        <v>24543</v>
      </c>
      <c r="AR60" s="1726"/>
      <c r="AS60" s="1813"/>
    </row>
    <row r="61" spans="1:45" ht="14.5" x14ac:dyDescent="0.35">
      <c r="A61" s="1817"/>
      <c r="B61" s="2027" t="s">
        <v>2452</v>
      </c>
      <c r="C61" s="1956"/>
      <c r="D61" s="1956"/>
      <c r="E61" s="2004"/>
      <c r="F61" s="2028"/>
      <c r="G61" s="1950"/>
      <c r="H61" s="1726"/>
      <c r="I61" s="2041"/>
      <c r="J61" s="1726" t="s">
        <v>669</v>
      </c>
      <c r="K61" s="1813">
        <v>65520</v>
      </c>
      <c r="L61" s="1726" t="s">
        <v>669</v>
      </c>
      <c r="M61" s="1813">
        <v>55944</v>
      </c>
      <c r="N61" s="1659" t="s">
        <v>654</v>
      </c>
      <c r="O61" s="2041">
        <f>AE61</f>
        <v>65520</v>
      </c>
      <c r="P61" s="1659" t="s">
        <v>669</v>
      </c>
      <c r="Q61" s="1813">
        <v>93268</v>
      </c>
      <c r="R61" s="1659" t="s">
        <v>669</v>
      </c>
      <c r="S61" s="1813">
        <v>93268</v>
      </c>
      <c r="T61" s="1659" t="s">
        <v>654</v>
      </c>
      <c r="U61" s="1813">
        <f>AC61</f>
        <v>65520</v>
      </c>
      <c r="V61" s="1659" t="s">
        <v>654</v>
      </c>
      <c r="W61" s="1813">
        <f>AE61</f>
        <v>65520</v>
      </c>
      <c r="X61" s="1659" t="s">
        <v>669</v>
      </c>
      <c r="Y61" s="1813">
        <v>56027</v>
      </c>
      <c r="Z61" s="1659" t="s">
        <v>669</v>
      </c>
      <c r="AA61" s="1813">
        <v>54274</v>
      </c>
      <c r="AB61" s="1659" t="s">
        <v>654</v>
      </c>
      <c r="AC61" s="1813">
        <f>AE61</f>
        <v>65520</v>
      </c>
      <c r="AD61" s="1726" t="s">
        <v>669</v>
      </c>
      <c r="AE61" s="1813">
        <v>65520</v>
      </c>
      <c r="AF61" s="1726" t="s">
        <v>669</v>
      </c>
      <c r="AG61" s="1813"/>
      <c r="AH61" s="1726" t="s">
        <v>669</v>
      </c>
      <c r="AI61" s="1813"/>
      <c r="AJ61" s="1726"/>
      <c r="AK61" s="1813"/>
      <c r="AL61" s="1726"/>
      <c r="AM61" s="1813"/>
      <c r="AN61" s="1726"/>
      <c r="AO61" s="1813"/>
      <c r="AP61" s="1726"/>
      <c r="AQ61" s="1813"/>
      <c r="AR61" s="1726"/>
      <c r="AS61" s="1813"/>
    </row>
    <row r="62" spans="1:45" ht="14.5" x14ac:dyDescent="0.35">
      <c r="A62" s="1179"/>
      <c r="B62" s="2027" t="s">
        <v>2453</v>
      </c>
      <c r="C62" s="1956"/>
      <c r="D62" s="1956"/>
      <c r="E62" s="2004"/>
      <c r="F62" s="2028"/>
      <c r="G62" s="1950"/>
      <c r="H62" s="1726"/>
      <c r="I62" s="2041"/>
      <c r="J62" s="1726" t="s">
        <v>669</v>
      </c>
      <c r="K62" s="1813">
        <v>-65000</v>
      </c>
      <c r="L62" s="1726" t="s">
        <v>669</v>
      </c>
      <c r="M62" s="1813"/>
      <c r="N62" s="2038"/>
      <c r="O62" s="2041"/>
      <c r="P62" s="2038"/>
      <c r="Q62" s="1813"/>
      <c r="R62" s="2038"/>
      <c r="S62" s="1813"/>
      <c r="T62" s="2038"/>
      <c r="U62" s="1813"/>
      <c r="V62" s="2038"/>
      <c r="W62" s="1813"/>
      <c r="X62" s="2038"/>
      <c r="Y62" s="1813"/>
      <c r="Z62" s="2038"/>
      <c r="AA62" s="1813"/>
      <c r="AB62" s="2038"/>
      <c r="AC62" s="1813"/>
      <c r="AD62" s="1726"/>
      <c r="AE62" s="1813"/>
      <c r="AF62" s="1726"/>
      <c r="AG62" s="1813"/>
      <c r="AH62" s="1726"/>
      <c r="AI62" s="1813"/>
      <c r="AJ62" s="1726"/>
      <c r="AK62" s="1813"/>
      <c r="AL62" s="1726"/>
      <c r="AM62" s="1813"/>
      <c r="AN62" s="1726"/>
      <c r="AO62" s="1813"/>
      <c r="AP62" s="1726"/>
      <c r="AQ62" s="2042"/>
      <c r="AR62" s="1726"/>
      <c r="AS62" s="1813"/>
    </row>
    <row r="63" spans="1:45" ht="14.5" x14ac:dyDescent="0.35">
      <c r="A63" s="1817"/>
      <c r="B63" s="2043" t="s">
        <v>2454</v>
      </c>
      <c r="C63" s="1956" t="s">
        <v>2455</v>
      </c>
      <c r="D63" s="1948"/>
      <c r="E63" s="2004"/>
      <c r="F63" s="2028"/>
      <c r="G63" s="1950"/>
      <c r="H63" s="1659" t="s">
        <v>654</v>
      </c>
      <c r="I63" s="2029">
        <v>10000</v>
      </c>
      <c r="J63" s="1659" t="s">
        <v>671</v>
      </c>
      <c r="K63" s="1813"/>
      <c r="L63" s="1659" t="s">
        <v>671</v>
      </c>
      <c r="M63" s="1813"/>
      <c r="N63" s="1659" t="s">
        <v>671</v>
      </c>
      <c r="O63" s="2029"/>
      <c r="P63" s="1659" t="s">
        <v>671</v>
      </c>
      <c r="Q63" s="2029"/>
      <c r="R63" s="1659" t="s">
        <v>671</v>
      </c>
      <c r="S63" s="2029"/>
      <c r="T63" s="1659" t="s">
        <v>671</v>
      </c>
      <c r="U63" s="1813"/>
      <c r="V63" s="1659" t="s">
        <v>671</v>
      </c>
      <c r="W63" s="1813"/>
      <c r="X63" s="1659" t="s">
        <v>671</v>
      </c>
      <c r="Y63" s="1813"/>
      <c r="Z63" s="1659" t="s">
        <v>671</v>
      </c>
      <c r="AA63" s="1813"/>
      <c r="AB63" s="1659" t="s">
        <v>671</v>
      </c>
      <c r="AC63" s="1813"/>
      <c r="AD63" s="1659" t="s">
        <v>671</v>
      </c>
      <c r="AE63" s="1813"/>
      <c r="AF63" s="1659" t="s">
        <v>671</v>
      </c>
      <c r="AG63" s="1813"/>
      <c r="AH63" s="1659" t="s">
        <v>671</v>
      </c>
      <c r="AI63" s="1813"/>
      <c r="AJ63" s="1659" t="s">
        <v>671</v>
      </c>
      <c r="AK63" s="1813"/>
      <c r="AL63" s="1659" t="s">
        <v>671</v>
      </c>
      <c r="AM63" s="1813"/>
      <c r="AN63" s="1659" t="s">
        <v>671</v>
      </c>
      <c r="AO63" s="1813"/>
      <c r="AP63" s="1726" t="s">
        <v>669</v>
      </c>
      <c r="AQ63" s="2039"/>
      <c r="AR63" s="1726"/>
      <c r="AS63" s="1813"/>
    </row>
    <row r="64" spans="1:45" ht="14.5" x14ac:dyDescent="0.35">
      <c r="A64" s="1817"/>
      <c r="B64" s="2043" t="s">
        <v>2456</v>
      </c>
      <c r="C64" s="1956" t="s">
        <v>2455</v>
      </c>
      <c r="D64" s="1948"/>
      <c r="E64" s="2004"/>
      <c r="F64" s="2028"/>
      <c r="G64" s="1950"/>
      <c r="H64" s="1659"/>
      <c r="I64" s="2029"/>
      <c r="J64" s="1659" t="s">
        <v>671</v>
      </c>
      <c r="K64" s="1813"/>
      <c r="L64" s="1659" t="s">
        <v>671</v>
      </c>
      <c r="M64" s="1813"/>
      <c r="N64" s="1659" t="s">
        <v>671</v>
      </c>
      <c r="O64" s="2029"/>
      <c r="P64" s="1659" t="s">
        <v>671</v>
      </c>
      <c r="Q64" s="2029"/>
      <c r="R64" s="1659" t="s">
        <v>671</v>
      </c>
      <c r="S64" s="2029"/>
      <c r="T64" s="1659" t="s">
        <v>671</v>
      </c>
      <c r="U64" s="1813"/>
      <c r="V64" s="1726" t="s">
        <v>671</v>
      </c>
      <c r="W64" s="1813"/>
      <c r="X64" s="1726" t="s">
        <v>671</v>
      </c>
      <c r="Y64" s="1813"/>
      <c r="Z64" s="1726" t="s">
        <v>671</v>
      </c>
      <c r="AA64" s="1813"/>
      <c r="AB64" s="1659" t="s">
        <v>671</v>
      </c>
      <c r="AC64" s="1813"/>
      <c r="AD64" s="1659" t="s">
        <v>671</v>
      </c>
      <c r="AE64" s="1813"/>
      <c r="AF64" s="1659" t="s">
        <v>671</v>
      </c>
      <c r="AG64" s="2029"/>
      <c r="AH64" s="1659" t="s">
        <v>671</v>
      </c>
      <c r="AI64" s="2029"/>
      <c r="AJ64" s="1726" t="s">
        <v>671</v>
      </c>
      <c r="AK64" s="1813"/>
      <c r="AL64" s="1659" t="s">
        <v>671</v>
      </c>
      <c r="AM64" s="2029"/>
      <c r="AN64" s="1659" t="s">
        <v>671</v>
      </c>
      <c r="AO64" s="1813"/>
      <c r="AP64" s="1726"/>
      <c r="AQ64" s="2039"/>
      <c r="AR64" s="1726"/>
      <c r="AS64" s="1813"/>
    </row>
    <row r="65" spans="1:45" ht="14.5" x14ac:dyDescent="0.35">
      <c r="A65" s="1817"/>
      <c r="B65" s="2043" t="s">
        <v>2457</v>
      </c>
      <c r="C65" s="1956" t="s">
        <v>2455</v>
      </c>
      <c r="D65" s="1956"/>
      <c r="E65" s="2004"/>
      <c r="F65" s="2028"/>
      <c r="G65" s="1950"/>
      <c r="H65" s="1726"/>
      <c r="I65" s="2029"/>
      <c r="J65" s="1726" t="s">
        <v>671</v>
      </c>
      <c r="K65" s="1813"/>
      <c r="L65" s="1726" t="s">
        <v>671</v>
      </c>
      <c r="M65" s="1813"/>
      <c r="N65" s="1726"/>
      <c r="O65" s="1813"/>
      <c r="P65" s="1726"/>
      <c r="Q65" s="1813"/>
      <c r="R65" s="1726"/>
      <c r="S65" s="1813"/>
      <c r="T65" s="1726" t="s">
        <v>671</v>
      </c>
      <c r="U65" s="1813"/>
      <c r="V65" s="1726" t="s">
        <v>671</v>
      </c>
      <c r="W65" s="1813"/>
      <c r="X65" s="1726" t="s">
        <v>671</v>
      </c>
      <c r="Y65" s="1813"/>
      <c r="Z65" s="1726" t="s">
        <v>671</v>
      </c>
      <c r="AA65" s="1813"/>
      <c r="AB65" s="1726" t="s">
        <v>671</v>
      </c>
      <c r="AC65" s="1813"/>
      <c r="AD65" s="1726" t="s">
        <v>671</v>
      </c>
      <c r="AE65" s="1813"/>
      <c r="AF65" s="1726" t="s">
        <v>671</v>
      </c>
      <c r="AG65" s="1813"/>
      <c r="AH65" s="1726" t="s">
        <v>671</v>
      </c>
      <c r="AI65" s="1813"/>
      <c r="AJ65" s="1726"/>
      <c r="AK65" s="1813"/>
      <c r="AL65" s="1726"/>
      <c r="AM65" s="1813"/>
      <c r="AN65" s="1726"/>
      <c r="AO65" s="1813"/>
      <c r="AP65" s="1726"/>
      <c r="AQ65" s="2039"/>
      <c r="AR65" s="1726"/>
      <c r="AS65" s="1813"/>
    </row>
    <row r="66" spans="1:45" ht="14.5" x14ac:dyDescent="0.35">
      <c r="A66" s="1817"/>
      <c r="B66" s="2043" t="s">
        <v>2458</v>
      </c>
      <c r="C66" s="1956"/>
      <c r="D66" s="1948"/>
      <c r="E66" s="2004"/>
      <c r="F66" s="2028"/>
      <c r="G66" s="1950"/>
      <c r="H66" s="1659" t="s">
        <v>671</v>
      </c>
      <c r="I66" s="2029">
        <v>50000</v>
      </c>
      <c r="J66" s="1659" t="s">
        <v>671</v>
      </c>
      <c r="K66" s="1813"/>
      <c r="L66" s="1659" t="s">
        <v>671</v>
      </c>
      <c r="M66" s="1813"/>
      <c r="N66" s="1659" t="s">
        <v>671</v>
      </c>
      <c r="O66" s="2029"/>
      <c r="P66" s="1659" t="s">
        <v>671</v>
      </c>
      <c r="Q66" s="2029"/>
      <c r="R66" s="1659" t="s">
        <v>671</v>
      </c>
      <c r="S66" s="2029"/>
      <c r="T66" s="1659" t="s">
        <v>671</v>
      </c>
      <c r="U66" s="1813"/>
      <c r="V66" s="1659" t="s">
        <v>671</v>
      </c>
      <c r="W66" s="2029"/>
      <c r="X66" s="1659" t="s">
        <v>671</v>
      </c>
      <c r="Y66" s="2029"/>
      <c r="Z66" s="1659" t="s">
        <v>671</v>
      </c>
      <c r="AA66" s="2029"/>
      <c r="AB66" s="1659" t="s">
        <v>671</v>
      </c>
      <c r="AC66" s="1813"/>
      <c r="AD66" s="1659" t="s">
        <v>671</v>
      </c>
      <c r="AE66" s="1813"/>
      <c r="AF66" s="1659" t="s">
        <v>671</v>
      </c>
      <c r="AG66" s="2029"/>
      <c r="AH66" s="1659" t="s">
        <v>671</v>
      </c>
      <c r="AI66" s="2029"/>
      <c r="AJ66" s="1659" t="s">
        <v>671</v>
      </c>
      <c r="AK66" s="2029"/>
      <c r="AL66" s="1659" t="s">
        <v>671</v>
      </c>
      <c r="AM66" s="2029"/>
      <c r="AN66" s="1659" t="s">
        <v>671</v>
      </c>
      <c r="AO66" s="1813"/>
      <c r="AP66" s="1726" t="s">
        <v>669</v>
      </c>
      <c r="AQ66" s="2039"/>
      <c r="AR66" s="1726"/>
      <c r="AS66" s="1813"/>
    </row>
    <row r="67" spans="1:45" ht="14.5" x14ac:dyDescent="0.35">
      <c r="A67" s="1817"/>
      <c r="B67" s="2043" t="s">
        <v>2459</v>
      </c>
      <c r="C67" s="1956"/>
      <c r="D67" s="1956"/>
      <c r="E67" s="2004"/>
      <c r="F67" s="2028"/>
      <c r="G67" s="1950"/>
      <c r="H67" s="1659" t="s">
        <v>671</v>
      </c>
      <c r="I67" s="2029">
        <v>10000</v>
      </c>
      <c r="J67" s="1659" t="s">
        <v>671</v>
      </c>
      <c r="K67" s="1813"/>
      <c r="L67" s="1659" t="s">
        <v>671</v>
      </c>
      <c r="M67" s="1813"/>
      <c r="N67" s="1659" t="s">
        <v>671</v>
      </c>
      <c r="O67" s="2029"/>
      <c r="P67" s="1659" t="s">
        <v>671</v>
      </c>
      <c r="Q67" s="2029"/>
      <c r="R67" s="1659" t="s">
        <v>671</v>
      </c>
      <c r="S67" s="2029"/>
      <c r="T67" s="1659" t="s">
        <v>671</v>
      </c>
      <c r="U67" s="1813"/>
      <c r="V67" s="1659" t="s">
        <v>671</v>
      </c>
      <c r="W67" s="2029"/>
      <c r="X67" s="1659" t="s">
        <v>671</v>
      </c>
      <c r="Y67" s="2029"/>
      <c r="Z67" s="1659" t="s">
        <v>671</v>
      </c>
      <c r="AA67" s="2029"/>
      <c r="AB67" s="1659" t="s">
        <v>671</v>
      </c>
      <c r="AC67" s="1813"/>
      <c r="AD67" s="1659" t="s">
        <v>671</v>
      </c>
      <c r="AE67" s="1813"/>
      <c r="AF67" s="1659" t="s">
        <v>671</v>
      </c>
      <c r="AG67" s="2029"/>
      <c r="AH67" s="1659" t="s">
        <v>671</v>
      </c>
      <c r="AI67" s="2029"/>
      <c r="AJ67" s="1659" t="s">
        <v>671</v>
      </c>
      <c r="AK67" s="2029"/>
      <c r="AL67" s="1659" t="s">
        <v>671</v>
      </c>
      <c r="AM67" s="2029"/>
      <c r="AN67" s="1659" t="s">
        <v>671</v>
      </c>
      <c r="AO67" s="1813"/>
      <c r="AP67" s="1726"/>
      <c r="AQ67" s="2039"/>
      <c r="AR67" s="1726"/>
      <c r="AS67" s="1813"/>
    </row>
    <row r="68" spans="1:45" ht="14.5" x14ac:dyDescent="0.35">
      <c r="A68" s="1817"/>
      <c r="B68" s="2026" t="s">
        <v>191</v>
      </c>
      <c r="C68" s="1956"/>
      <c r="D68" s="2036"/>
      <c r="E68" s="2004"/>
      <c r="F68" s="2004"/>
      <c r="G68" s="1956"/>
      <c r="H68" s="1726"/>
      <c r="I68" s="1813"/>
      <c r="J68" s="1726"/>
      <c r="K68" s="1813"/>
      <c r="L68" s="1726"/>
      <c r="M68" s="1813"/>
      <c r="N68" s="1726"/>
      <c r="O68" s="1813"/>
      <c r="P68" s="1726"/>
      <c r="Q68" s="1813"/>
      <c r="R68" s="1726"/>
      <c r="S68" s="1813"/>
      <c r="T68" s="1726"/>
      <c r="U68" s="1813"/>
      <c r="V68" s="1726"/>
      <c r="W68" s="1813"/>
      <c r="X68" s="1726"/>
      <c r="Y68" s="1813"/>
      <c r="Z68" s="1726"/>
      <c r="AA68" s="1813"/>
      <c r="AB68" s="1726"/>
      <c r="AC68" s="1813"/>
      <c r="AD68" s="1726"/>
      <c r="AE68" s="1813"/>
      <c r="AF68" s="1726"/>
      <c r="AG68" s="1813"/>
      <c r="AH68" s="1726"/>
      <c r="AI68" s="1813"/>
      <c r="AJ68" s="1726"/>
      <c r="AK68" s="1813"/>
      <c r="AL68" s="1726"/>
      <c r="AM68" s="1813"/>
      <c r="AN68" s="1726"/>
      <c r="AO68" s="1813"/>
      <c r="AP68" s="1726"/>
      <c r="AQ68" s="1813" t="s">
        <v>191</v>
      </c>
      <c r="AR68" s="1726"/>
      <c r="AS68" s="1813"/>
    </row>
    <row r="69" spans="1:45" ht="14.5" x14ac:dyDescent="0.35">
      <c r="A69" s="1817"/>
      <c r="B69" s="2044" t="s">
        <v>2460</v>
      </c>
      <c r="C69" s="1956"/>
      <c r="D69" s="2036"/>
      <c r="E69" s="2004"/>
      <c r="F69" s="2004"/>
      <c r="G69" s="1956"/>
      <c r="H69" s="1726"/>
      <c r="I69" s="1813">
        <v>204623</v>
      </c>
      <c r="J69" s="1726"/>
      <c r="K69" s="1813">
        <v>204340</v>
      </c>
      <c r="L69" s="1726"/>
      <c r="M69" s="1813">
        <v>206236</v>
      </c>
      <c r="N69" s="1726"/>
      <c r="O69" s="1813">
        <v>227967</v>
      </c>
      <c r="P69" s="1726"/>
      <c r="Q69" s="1813">
        <v>334620</v>
      </c>
      <c r="R69" s="1726"/>
      <c r="S69" s="1813">
        <v>334620</v>
      </c>
      <c r="T69" s="1726"/>
      <c r="U69" s="1813">
        <v>217000</v>
      </c>
      <c r="V69" s="1726"/>
      <c r="W69" s="1813">
        <v>174989</v>
      </c>
      <c r="X69" s="1726"/>
      <c r="Y69" s="1813">
        <v>174989</v>
      </c>
      <c r="Z69" s="1726"/>
      <c r="AA69" s="1813">
        <v>178208</v>
      </c>
      <c r="AB69" s="1726"/>
      <c r="AC69" s="1813">
        <v>217000</v>
      </c>
      <c r="AD69" s="1726"/>
      <c r="AE69" s="1813">
        <v>204340</v>
      </c>
      <c r="AF69" s="1726"/>
      <c r="AG69" s="1813">
        <v>375845</v>
      </c>
      <c r="AH69" s="1726"/>
      <c r="AI69" s="1813">
        <v>375845</v>
      </c>
      <c r="AJ69" s="1726"/>
      <c r="AK69" s="1813">
        <v>38490</v>
      </c>
      <c r="AL69" s="1726"/>
      <c r="AM69" s="1813"/>
      <c r="AN69" s="1726"/>
      <c r="AO69" s="1813">
        <v>28243</v>
      </c>
      <c r="AP69" s="1726"/>
      <c r="AQ69" s="1813">
        <v>217842</v>
      </c>
      <c r="AR69" s="1726"/>
      <c r="AS69" s="1813"/>
    </row>
    <row r="70" spans="1:45" ht="14.5" x14ac:dyDescent="0.35">
      <c r="A70" s="1817"/>
      <c r="B70" s="2045" t="s">
        <v>2461</v>
      </c>
      <c r="C70" s="1956" t="s">
        <v>2462</v>
      </c>
      <c r="D70" s="2036">
        <v>3320</v>
      </c>
      <c r="E70" s="2004" t="s">
        <v>28</v>
      </c>
      <c r="F70" s="2004"/>
      <c r="G70" s="1956"/>
      <c r="H70" s="1726" t="s">
        <v>669</v>
      </c>
      <c r="I70" s="1813"/>
      <c r="J70" s="1659" t="s">
        <v>669</v>
      </c>
      <c r="K70" s="1813"/>
      <c r="L70" s="1659" t="s">
        <v>669</v>
      </c>
      <c r="M70" s="1813"/>
      <c r="N70" s="1726" t="s">
        <v>669</v>
      </c>
      <c r="O70" s="1813"/>
      <c r="P70" s="1726" t="s">
        <v>669</v>
      </c>
      <c r="Q70" s="1813"/>
      <c r="R70" s="1726" t="s">
        <v>669</v>
      </c>
      <c r="S70" s="1813"/>
      <c r="T70" s="1659" t="s">
        <v>669</v>
      </c>
      <c r="U70" s="1813"/>
      <c r="V70" s="1726" t="s">
        <v>669</v>
      </c>
      <c r="W70" s="1813"/>
      <c r="X70" s="1726" t="s">
        <v>669</v>
      </c>
      <c r="Y70" s="1813"/>
      <c r="Z70" s="1726" t="s">
        <v>669</v>
      </c>
      <c r="AA70" s="1813"/>
      <c r="AB70" s="1659" t="s">
        <v>669</v>
      </c>
      <c r="AC70" s="1813"/>
      <c r="AD70" s="1659" t="s">
        <v>669</v>
      </c>
      <c r="AE70" s="1813"/>
      <c r="AF70" s="1726" t="s">
        <v>669</v>
      </c>
      <c r="AG70" s="1813"/>
      <c r="AH70" s="1726" t="s">
        <v>669</v>
      </c>
      <c r="AI70" s="1813"/>
      <c r="AJ70" s="1659" t="s">
        <v>1659</v>
      </c>
      <c r="AK70" s="1813">
        <f>AO70</f>
        <v>200000</v>
      </c>
      <c r="AL70" s="1659" t="s">
        <v>669</v>
      </c>
      <c r="AM70" s="1813">
        <v>181357</v>
      </c>
      <c r="AN70" s="1659" t="s">
        <v>654</v>
      </c>
      <c r="AO70" s="1813">
        <v>200000</v>
      </c>
      <c r="AP70" s="1726" t="s">
        <v>669</v>
      </c>
      <c r="AQ70" s="1813"/>
      <c r="AR70" s="1726"/>
      <c r="AS70" s="1813"/>
    </row>
    <row r="71" spans="1:45" ht="14.5" x14ac:dyDescent="0.35">
      <c r="A71" s="1817"/>
      <c r="B71" s="2045" t="s">
        <v>2463</v>
      </c>
      <c r="C71" s="1956" t="s">
        <v>2462</v>
      </c>
      <c r="D71" s="2036">
        <v>140</v>
      </c>
      <c r="E71" s="2004" t="s">
        <v>28</v>
      </c>
      <c r="F71" s="2004"/>
      <c r="G71" s="1956"/>
      <c r="H71" s="1726" t="s">
        <v>669</v>
      </c>
      <c r="I71" s="1813"/>
      <c r="J71" s="1659" t="s">
        <v>669</v>
      </c>
      <c r="K71" s="1813"/>
      <c r="L71" s="1659" t="s">
        <v>669</v>
      </c>
      <c r="M71" s="1813"/>
      <c r="N71" s="1726" t="s">
        <v>669</v>
      </c>
      <c r="O71" s="1813"/>
      <c r="P71" s="1726" t="s">
        <v>669</v>
      </c>
      <c r="Q71" s="1813"/>
      <c r="R71" s="1726" t="s">
        <v>669</v>
      </c>
      <c r="S71" s="1813"/>
      <c r="T71" s="1659" t="s">
        <v>669</v>
      </c>
      <c r="U71" s="1813"/>
      <c r="V71" s="1726" t="s">
        <v>669</v>
      </c>
      <c r="W71" s="1813"/>
      <c r="X71" s="1726" t="s">
        <v>669</v>
      </c>
      <c r="Y71" s="1813"/>
      <c r="Z71" s="1726" t="s">
        <v>669</v>
      </c>
      <c r="AA71" s="1813"/>
      <c r="AB71" s="1659" t="s">
        <v>669</v>
      </c>
      <c r="AC71" s="1813"/>
      <c r="AD71" s="1659" t="s">
        <v>669</v>
      </c>
      <c r="AE71" s="1813"/>
      <c r="AF71" s="1726" t="s">
        <v>669</v>
      </c>
      <c r="AG71" s="1813"/>
      <c r="AH71" s="1726" t="s">
        <v>669</v>
      </c>
      <c r="AI71" s="1813"/>
      <c r="AJ71" s="1659" t="s">
        <v>1659</v>
      </c>
      <c r="AK71" s="1813"/>
      <c r="AL71" s="1659" t="s">
        <v>669</v>
      </c>
      <c r="AM71" s="1813"/>
      <c r="AN71" s="1659" t="s">
        <v>654</v>
      </c>
      <c r="AO71" s="1813"/>
      <c r="AP71" s="1726" t="s">
        <v>669</v>
      </c>
      <c r="AQ71" s="1813"/>
      <c r="AR71" s="1726"/>
      <c r="AS71" s="1813"/>
    </row>
    <row r="72" spans="1:45" ht="14.5" x14ac:dyDescent="0.35">
      <c r="A72" s="1817"/>
      <c r="B72" s="2045" t="s">
        <v>2464</v>
      </c>
      <c r="C72" s="1956" t="s">
        <v>2462</v>
      </c>
      <c r="D72" s="2036">
        <v>600</v>
      </c>
      <c r="E72" s="2004" t="s">
        <v>2465</v>
      </c>
      <c r="F72" s="2004"/>
      <c r="G72" s="1956"/>
      <c r="H72" s="1726" t="s">
        <v>669</v>
      </c>
      <c r="I72" s="1813"/>
      <c r="J72" s="1659" t="s">
        <v>669</v>
      </c>
      <c r="K72" s="1813"/>
      <c r="L72" s="1659" t="s">
        <v>669</v>
      </c>
      <c r="M72" s="1813"/>
      <c r="N72" s="1726" t="s">
        <v>669</v>
      </c>
      <c r="O72" s="1813"/>
      <c r="P72" s="1726" t="s">
        <v>669</v>
      </c>
      <c r="Q72" s="1813"/>
      <c r="R72" s="1726" t="s">
        <v>669</v>
      </c>
      <c r="S72" s="1813"/>
      <c r="T72" s="1659" t="s">
        <v>669</v>
      </c>
      <c r="U72" s="1813"/>
      <c r="V72" s="1726" t="s">
        <v>669</v>
      </c>
      <c r="W72" s="1813"/>
      <c r="X72" s="1726" t="s">
        <v>669</v>
      </c>
      <c r="Y72" s="1813"/>
      <c r="Z72" s="1726" t="s">
        <v>669</v>
      </c>
      <c r="AA72" s="1813"/>
      <c r="AB72" s="1659" t="s">
        <v>669</v>
      </c>
      <c r="AC72" s="1813"/>
      <c r="AD72" s="1659" t="s">
        <v>669</v>
      </c>
      <c r="AE72" s="1813"/>
      <c r="AF72" s="1726" t="s">
        <v>669</v>
      </c>
      <c r="AG72" s="1813"/>
      <c r="AH72" s="1726" t="s">
        <v>669</v>
      </c>
      <c r="AI72" s="1813"/>
      <c r="AJ72" s="1659" t="s">
        <v>1659</v>
      </c>
      <c r="AK72" s="1813"/>
      <c r="AL72" s="1659" t="s">
        <v>669</v>
      </c>
      <c r="AM72" s="1813"/>
      <c r="AN72" s="1659" t="s">
        <v>654</v>
      </c>
      <c r="AO72" s="1813"/>
      <c r="AP72" s="1726" t="s">
        <v>669</v>
      </c>
      <c r="AQ72" s="1813"/>
      <c r="AR72" s="1726"/>
      <c r="AS72" s="1813"/>
    </row>
    <row r="73" spans="1:45" ht="14.5" x14ac:dyDescent="0.35">
      <c r="A73" s="1817"/>
      <c r="B73" s="2045" t="s">
        <v>2466</v>
      </c>
      <c r="C73" s="1956" t="s">
        <v>2462</v>
      </c>
      <c r="D73" s="2036">
        <v>99</v>
      </c>
      <c r="E73" s="2004" t="s">
        <v>2465</v>
      </c>
      <c r="F73" s="2004"/>
      <c r="G73" s="1956"/>
      <c r="H73" s="1726" t="s">
        <v>669</v>
      </c>
      <c r="I73" s="1813"/>
      <c r="J73" s="1659" t="s">
        <v>669</v>
      </c>
      <c r="K73" s="1813"/>
      <c r="L73" s="1659" t="s">
        <v>669</v>
      </c>
      <c r="M73" s="1813"/>
      <c r="N73" s="1726" t="s">
        <v>669</v>
      </c>
      <c r="O73" s="1813"/>
      <c r="P73" s="1726" t="s">
        <v>669</v>
      </c>
      <c r="Q73" s="1813"/>
      <c r="R73" s="1726" t="s">
        <v>669</v>
      </c>
      <c r="S73" s="1813"/>
      <c r="T73" s="1659" t="s">
        <v>669</v>
      </c>
      <c r="U73" s="1813"/>
      <c r="V73" s="1726" t="s">
        <v>669</v>
      </c>
      <c r="W73" s="1813"/>
      <c r="X73" s="1726" t="s">
        <v>669</v>
      </c>
      <c r="Y73" s="1813"/>
      <c r="Z73" s="1726" t="s">
        <v>669</v>
      </c>
      <c r="AA73" s="1813"/>
      <c r="AB73" s="1659" t="s">
        <v>669</v>
      </c>
      <c r="AC73" s="1813"/>
      <c r="AD73" s="1659" t="s">
        <v>669</v>
      </c>
      <c r="AE73" s="1813"/>
      <c r="AF73" s="1726" t="s">
        <v>669</v>
      </c>
      <c r="AG73" s="1813"/>
      <c r="AH73" s="1726" t="s">
        <v>669</v>
      </c>
      <c r="AI73" s="1813"/>
      <c r="AJ73" s="1659" t="s">
        <v>1659</v>
      </c>
      <c r="AK73" s="1813"/>
      <c r="AL73" s="1659" t="s">
        <v>669</v>
      </c>
      <c r="AM73" s="1813"/>
      <c r="AN73" s="1659" t="s">
        <v>654</v>
      </c>
      <c r="AO73" s="1813"/>
      <c r="AP73" s="1726" t="s">
        <v>669</v>
      </c>
      <c r="AQ73" s="1813"/>
      <c r="AR73" s="1726"/>
      <c r="AS73" s="1813"/>
    </row>
    <row r="74" spans="1:45" ht="14.5" x14ac:dyDescent="0.35">
      <c r="A74" s="1817"/>
      <c r="B74" s="2045" t="s">
        <v>2467</v>
      </c>
      <c r="C74" s="1956" t="s">
        <v>2462</v>
      </c>
      <c r="D74" s="2036">
        <v>560</v>
      </c>
      <c r="E74" s="2004" t="s">
        <v>2465</v>
      </c>
      <c r="F74" s="2004"/>
      <c r="G74" s="1956"/>
      <c r="H74" s="1726" t="s">
        <v>669</v>
      </c>
      <c r="I74" s="1813"/>
      <c r="J74" s="1659" t="s">
        <v>669</v>
      </c>
      <c r="K74" s="1813"/>
      <c r="L74" s="1659" t="s">
        <v>669</v>
      </c>
      <c r="M74" s="1813"/>
      <c r="N74" s="1726" t="s">
        <v>669</v>
      </c>
      <c r="O74" s="1813"/>
      <c r="P74" s="1726" t="s">
        <v>669</v>
      </c>
      <c r="Q74" s="1813"/>
      <c r="R74" s="1726" t="s">
        <v>669</v>
      </c>
      <c r="S74" s="1813"/>
      <c r="T74" s="1659" t="s">
        <v>669</v>
      </c>
      <c r="U74" s="1813"/>
      <c r="V74" s="1726" t="s">
        <v>669</v>
      </c>
      <c r="W74" s="1813"/>
      <c r="X74" s="1726" t="s">
        <v>669</v>
      </c>
      <c r="Y74" s="1813"/>
      <c r="Z74" s="1726" t="s">
        <v>669</v>
      </c>
      <c r="AA74" s="1813"/>
      <c r="AB74" s="1659" t="s">
        <v>669</v>
      </c>
      <c r="AC74" s="1813"/>
      <c r="AD74" s="1659" t="s">
        <v>669</v>
      </c>
      <c r="AE74" s="1813"/>
      <c r="AF74" s="1726" t="s">
        <v>669</v>
      </c>
      <c r="AG74" s="1813"/>
      <c r="AH74" s="1726" t="s">
        <v>669</v>
      </c>
      <c r="AI74" s="1813"/>
      <c r="AJ74" s="1659" t="s">
        <v>1659</v>
      </c>
      <c r="AK74" s="1813"/>
      <c r="AL74" s="1659" t="s">
        <v>669</v>
      </c>
      <c r="AM74" s="1813"/>
      <c r="AN74" s="1659" t="s">
        <v>654</v>
      </c>
      <c r="AO74" s="1813"/>
      <c r="AP74" s="1726" t="s">
        <v>669</v>
      </c>
      <c r="AQ74" s="1813"/>
      <c r="AR74" s="1726"/>
      <c r="AS74" s="1813"/>
    </row>
    <row r="75" spans="1:45" ht="14.5" x14ac:dyDescent="0.35">
      <c r="A75" s="1817"/>
      <c r="B75" s="2045" t="s">
        <v>2468</v>
      </c>
      <c r="C75" s="1956"/>
      <c r="D75" s="2036"/>
      <c r="E75" s="2004"/>
      <c r="F75" s="2004"/>
      <c r="G75" s="1956"/>
      <c r="H75" s="1726" t="s">
        <v>669</v>
      </c>
      <c r="I75" s="1813"/>
      <c r="J75" s="1659" t="s">
        <v>669</v>
      </c>
      <c r="K75" s="1813"/>
      <c r="L75" s="1659" t="s">
        <v>669</v>
      </c>
      <c r="M75" s="1813"/>
      <c r="N75" s="1726" t="s">
        <v>669</v>
      </c>
      <c r="O75" s="1813"/>
      <c r="P75" s="1726" t="s">
        <v>669</v>
      </c>
      <c r="Q75" s="1813"/>
      <c r="R75" s="1726" t="s">
        <v>669</v>
      </c>
      <c r="S75" s="1813"/>
      <c r="T75" s="1659" t="s">
        <v>669</v>
      </c>
      <c r="U75" s="1813"/>
      <c r="V75" s="1726" t="s">
        <v>669</v>
      </c>
      <c r="W75" s="1813"/>
      <c r="X75" s="1726" t="s">
        <v>669</v>
      </c>
      <c r="Y75" s="1813"/>
      <c r="Z75" s="1726" t="s">
        <v>669</v>
      </c>
      <c r="AA75" s="1813"/>
      <c r="AB75" s="1659" t="s">
        <v>669</v>
      </c>
      <c r="AC75" s="1813"/>
      <c r="AD75" s="1659" t="s">
        <v>669</v>
      </c>
      <c r="AE75" s="1813"/>
      <c r="AF75" s="1726" t="s">
        <v>669</v>
      </c>
      <c r="AG75" s="1813"/>
      <c r="AH75" s="1726" t="s">
        <v>669</v>
      </c>
      <c r="AI75" s="1813"/>
      <c r="AJ75" s="1659" t="s">
        <v>1659</v>
      </c>
      <c r="AK75" s="1813"/>
      <c r="AL75" s="1659" t="s">
        <v>669</v>
      </c>
      <c r="AM75" s="1813"/>
      <c r="AN75" s="1659" t="s">
        <v>654</v>
      </c>
      <c r="AO75" s="1813"/>
      <c r="AP75" s="1726" t="s">
        <v>669</v>
      </c>
      <c r="AQ75" s="1813"/>
      <c r="AR75" s="1726"/>
      <c r="AS75" s="1813"/>
    </row>
    <row r="76" spans="1:45" ht="14.5" x14ac:dyDescent="0.35">
      <c r="A76" s="1817"/>
      <c r="B76" s="2045" t="s">
        <v>2469</v>
      </c>
      <c r="C76" s="1956" t="s">
        <v>2462</v>
      </c>
      <c r="D76" s="2036">
        <v>445</v>
      </c>
      <c r="E76" s="2004" t="s">
        <v>2465</v>
      </c>
      <c r="F76" s="2004"/>
      <c r="G76" s="1956"/>
      <c r="H76" s="1726"/>
      <c r="I76" s="1813"/>
      <c r="J76" s="1659" t="s">
        <v>669</v>
      </c>
      <c r="K76" s="1813"/>
      <c r="L76" s="1659" t="s">
        <v>669</v>
      </c>
      <c r="M76" s="1813"/>
      <c r="N76" s="1726" t="s">
        <v>669</v>
      </c>
      <c r="O76" s="1813"/>
      <c r="P76" s="1726" t="s">
        <v>669</v>
      </c>
      <c r="Q76" s="1813"/>
      <c r="R76" s="1726" t="s">
        <v>669</v>
      </c>
      <c r="S76" s="1813"/>
      <c r="T76" s="1659" t="s">
        <v>669</v>
      </c>
      <c r="U76" s="1813"/>
      <c r="V76" s="1726" t="s">
        <v>669</v>
      </c>
      <c r="W76" s="1813"/>
      <c r="X76" s="1726" t="s">
        <v>669</v>
      </c>
      <c r="Y76" s="1813"/>
      <c r="Z76" s="1726" t="s">
        <v>669</v>
      </c>
      <c r="AA76" s="1813"/>
      <c r="AB76" s="1659" t="s">
        <v>669</v>
      </c>
      <c r="AC76" s="1813"/>
      <c r="AD76" s="1659" t="s">
        <v>669</v>
      </c>
      <c r="AE76" s="1813"/>
      <c r="AF76" s="1726" t="s">
        <v>669</v>
      </c>
      <c r="AG76" s="1813"/>
      <c r="AH76" s="1726" t="s">
        <v>669</v>
      </c>
      <c r="AI76" s="1813"/>
      <c r="AJ76" s="1659" t="s">
        <v>1659</v>
      </c>
      <c r="AK76" s="1813"/>
      <c r="AL76" s="1659" t="s">
        <v>669</v>
      </c>
      <c r="AM76" s="1813"/>
      <c r="AN76" s="1659" t="s">
        <v>654</v>
      </c>
      <c r="AO76" s="1813"/>
      <c r="AP76" s="1726"/>
      <c r="AQ76" s="1813"/>
      <c r="AR76" s="1726"/>
      <c r="AS76" s="1813"/>
    </row>
    <row r="77" spans="1:45" ht="14.5" x14ac:dyDescent="0.35">
      <c r="A77" s="1817"/>
      <c r="B77" s="2045" t="s">
        <v>2470</v>
      </c>
      <c r="C77" s="1956" t="s">
        <v>2462</v>
      </c>
      <c r="D77" s="2036">
        <v>325</v>
      </c>
      <c r="E77" s="2004" t="s">
        <v>2465</v>
      </c>
      <c r="F77" s="2004"/>
      <c r="G77" s="1956"/>
      <c r="H77" s="1726" t="s">
        <v>669</v>
      </c>
      <c r="I77" s="1813"/>
      <c r="J77" s="1659" t="s">
        <v>669</v>
      </c>
      <c r="K77" s="1813"/>
      <c r="L77" s="1659" t="s">
        <v>669</v>
      </c>
      <c r="M77" s="1813"/>
      <c r="N77" s="1726" t="s">
        <v>669</v>
      </c>
      <c r="O77" s="1813"/>
      <c r="P77" s="1726" t="s">
        <v>669</v>
      </c>
      <c r="Q77" s="1813"/>
      <c r="R77" s="1726" t="s">
        <v>669</v>
      </c>
      <c r="S77" s="1813"/>
      <c r="T77" s="1659" t="s">
        <v>669</v>
      </c>
      <c r="U77" s="1813"/>
      <c r="V77" s="1726" t="s">
        <v>669</v>
      </c>
      <c r="W77" s="1813"/>
      <c r="X77" s="1726" t="s">
        <v>669</v>
      </c>
      <c r="Y77" s="1813"/>
      <c r="Z77" s="1726" t="s">
        <v>669</v>
      </c>
      <c r="AA77" s="1813"/>
      <c r="AB77" s="1659" t="s">
        <v>669</v>
      </c>
      <c r="AC77" s="1813"/>
      <c r="AD77" s="1659" t="s">
        <v>669</v>
      </c>
      <c r="AE77" s="1813"/>
      <c r="AF77" s="1726" t="s">
        <v>669</v>
      </c>
      <c r="AG77" s="1813"/>
      <c r="AH77" s="1726" t="s">
        <v>669</v>
      </c>
      <c r="AI77" s="1813"/>
      <c r="AJ77" s="1659" t="s">
        <v>1659</v>
      </c>
      <c r="AK77" s="1813"/>
      <c r="AL77" s="1659" t="s">
        <v>669</v>
      </c>
      <c r="AM77" s="1813"/>
      <c r="AN77" s="1659" t="s">
        <v>654</v>
      </c>
      <c r="AO77" s="1813"/>
      <c r="AP77" s="1726" t="s">
        <v>669</v>
      </c>
      <c r="AQ77" s="1813"/>
      <c r="AR77" s="1726"/>
      <c r="AS77" s="1813"/>
    </row>
    <row r="78" spans="1:45" ht="14.5" x14ac:dyDescent="0.35">
      <c r="A78" s="1817"/>
      <c r="B78" s="2045" t="s">
        <v>2471</v>
      </c>
      <c r="C78" s="1956"/>
      <c r="D78" s="2036"/>
      <c r="E78" s="2004"/>
      <c r="F78" s="2004"/>
      <c r="G78" s="1956"/>
      <c r="H78" s="1726" t="s">
        <v>669</v>
      </c>
      <c r="I78" s="1813"/>
      <c r="J78" s="1659" t="s">
        <v>669</v>
      </c>
      <c r="K78" s="1813"/>
      <c r="L78" s="1659" t="s">
        <v>669</v>
      </c>
      <c r="M78" s="1813"/>
      <c r="N78" s="1726" t="s">
        <v>669</v>
      </c>
      <c r="O78" s="1813"/>
      <c r="P78" s="1726" t="s">
        <v>669</v>
      </c>
      <c r="Q78" s="1813"/>
      <c r="R78" s="1726" t="s">
        <v>669</v>
      </c>
      <c r="S78" s="1813"/>
      <c r="T78" s="1659" t="s">
        <v>669</v>
      </c>
      <c r="U78" s="1813"/>
      <c r="V78" s="1726" t="s">
        <v>669</v>
      </c>
      <c r="W78" s="1813"/>
      <c r="X78" s="1726" t="s">
        <v>669</v>
      </c>
      <c r="Y78" s="1813"/>
      <c r="Z78" s="1726" t="s">
        <v>669</v>
      </c>
      <c r="AA78" s="1813"/>
      <c r="AB78" s="1659" t="s">
        <v>669</v>
      </c>
      <c r="AC78" s="1813"/>
      <c r="AD78" s="1659" t="s">
        <v>669</v>
      </c>
      <c r="AE78" s="1813"/>
      <c r="AF78" s="1726" t="s">
        <v>669</v>
      </c>
      <c r="AG78" s="1813"/>
      <c r="AH78" s="1726" t="s">
        <v>669</v>
      </c>
      <c r="AI78" s="1813"/>
      <c r="AJ78" s="1659" t="s">
        <v>1659</v>
      </c>
      <c r="AK78" s="1813"/>
      <c r="AL78" s="1659" t="s">
        <v>669</v>
      </c>
      <c r="AM78" s="1813"/>
      <c r="AN78" s="1659" t="s">
        <v>654</v>
      </c>
      <c r="AO78" s="1813"/>
      <c r="AP78" s="1726" t="s">
        <v>669</v>
      </c>
      <c r="AQ78" s="1813"/>
      <c r="AR78" s="1726"/>
      <c r="AS78" s="1813"/>
    </row>
    <row r="79" spans="1:45" ht="14.5" x14ac:dyDescent="0.35">
      <c r="A79" s="1817"/>
      <c r="B79" s="2045" t="s">
        <v>2472</v>
      </c>
      <c r="C79" s="1956"/>
      <c r="D79" s="2036"/>
      <c r="E79" s="2004"/>
      <c r="F79" s="2004"/>
      <c r="G79" s="1956"/>
      <c r="H79" s="1726" t="s">
        <v>669</v>
      </c>
      <c r="I79" s="1813"/>
      <c r="J79" s="1659" t="s">
        <v>669</v>
      </c>
      <c r="K79" s="1813"/>
      <c r="L79" s="1659" t="s">
        <v>669</v>
      </c>
      <c r="M79" s="1813"/>
      <c r="N79" s="1726" t="s">
        <v>669</v>
      </c>
      <c r="O79" s="1813"/>
      <c r="P79" s="1726" t="s">
        <v>669</v>
      </c>
      <c r="Q79" s="1813"/>
      <c r="R79" s="1726" t="s">
        <v>669</v>
      </c>
      <c r="S79" s="1813"/>
      <c r="T79" s="1659" t="s">
        <v>669</v>
      </c>
      <c r="U79" s="1813"/>
      <c r="V79" s="1726" t="s">
        <v>669</v>
      </c>
      <c r="W79" s="1813"/>
      <c r="X79" s="1726" t="s">
        <v>669</v>
      </c>
      <c r="Y79" s="1813"/>
      <c r="Z79" s="1726" t="s">
        <v>669</v>
      </c>
      <c r="AA79" s="1813"/>
      <c r="AB79" s="1659" t="s">
        <v>669</v>
      </c>
      <c r="AC79" s="1813"/>
      <c r="AD79" s="1659" t="s">
        <v>669</v>
      </c>
      <c r="AE79" s="1813"/>
      <c r="AF79" s="1726" t="s">
        <v>669</v>
      </c>
      <c r="AG79" s="1813"/>
      <c r="AH79" s="1726" t="s">
        <v>669</v>
      </c>
      <c r="AI79" s="1813"/>
      <c r="AJ79" s="1659" t="s">
        <v>1659</v>
      </c>
      <c r="AK79" s="1813"/>
      <c r="AL79" s="1659" t="s">
        <v>669</v>
      </c>
      <c r="AM79" s="1813"/>
      <c r="AN79" s="1659" t="s">
        <v>654</v>
      </c>
      <c r="AO79" s="1813"/>
      <c r="AP79" s="1726" t="s">
        <v>669</v>
      </c>
      <c r="AQ79" s="1813"/>
      <c r="AR79" s="1726"/>
      <c r="AS79" s="1813"/>
    </row>
    <row r="80" spans="1:45" ht="14.5" x14ac:dyDescent="0.35">
      <c r="A80" s="1817"/>
      <c r="B80" s="2045" t="s">
        <v>2473</v>
      </c>
      <c r="C80" s="1956"/>
      <c r="D80" s="2036"/>
      <c r="E80" s="2004"/>
      <c r="F80" s="2004"/>
      <c r="G80" s="1956"/>
      <c r="H80" s="1726" t="s">
        <v>669</v>
      </c>
      <c r="I80" s="1813"/>
      <c r="J80" s="1659" t="s">
        <v>669</v>
      </c>
      <c r="K80" s="1813"/>
      <c r="L80" s="1659" t="s">
        <v>669</v>
      </c>
      <c r="M80" s="1813"/>
      <c r="N80" s="1726" t="s">
        <v>669</v>
      </c>
      <c r="O80" s="1813"/>
      <c r="P80" s="1726" t="s">
        <v>669</v>
      </c>
      <c r="Q80" s="1813"/>
      <c r="R80" s="1726" t="s">
        <v>669</v>
      </c>
      <c r="S80" s="1813"/>
      <c r="T80" s="1659" t="s">
        <v>669</v>
      </c>
      <c r="U80" s="1813"/>
      <c r="V80" s="1726" t="s">
        <v>669</v>
      </c>
      <c r="W80" s="1813"/>
      <c r="X80" s="1726" t="s">
        <v>669</v>
      </c>
      <c r="Y80" s="1813"/>
      <c r="Z80" s="1726" t="s">
        <v>669</v>
      </c>
      <c r="AA80" s="1813"/>
      <c r="AB80" s="1659" t="s">
        <v>669</v>
      </c>
      <c r="AC80" s="1813"/>
      <c r="AD80" s="1659" t="s">
        <v>669</v>
      </c>
      <c r="AE80" s="1813"/>
      <c r="AF80" s="1726" t="s">
        <v>669</v>
      </c>
      <c r="AG80" s="1813"/>
      <c r="AH80" s="1726" t="s">
        <v>669</v>
      </c>
      <c r="AI80" s="1813"/>
      <c r="AJ80" s="1659" t="s">
        <v>1659</v>
      </c>
      <c r="AK80" s="1813"/>
      <c r="AL80" s="1659" t="s">
        <v>669</v>
      </c>
      <c r="AM80" s="1813"/>
      <c r="AN80" s="1659" t="s">
        <v>654</v>
      </c>
      <c r="AO80" s="1813"/>
      <c r="AP80" s="1726" t="s">
        <v>669</v>
      </c>
      <c r="AQ80" s="1813"/>
      <c r="AR80" s="1726"/>
      <c r="AS80" s="1813"/>
    </row>
    <row r="81" spans="1:45" ht="14.5" x14ac:dyDescent="0.35">
      <c r="A81" s="1817"/>
      <c r="B81" s="2045" t="s">
        <v>2474</v>
      </c>
      <c r="C81" s="1956" t="s">
        <v>2462</v>
      </c>
      <c r="D81" s="2036">
        <v>450</v>
      </c>
      <c r="E81" s="2004" t="s">
        <v>2465</v>
      </c>
      <c r="F81" s="2004"/>
      <c r="G81" s="1956"/>
      <c r="H81" s="1726" t="s">
        <v>669</v>
      </c>
      <c r="I81" s="1813"/>
      <c r="J81" s="1726" t="s">
        <v>669</v>
      </c>
      <c r="K81" s="1813"/>
      <c r="L81" s="1726" t="s">
        <v>669</v>
      </c>
      <c r="M81" s="1813"/>
      <c r="N81" s="1726" t="s">
        <v>669</v>
      </c>
      <c r="O81" s="1813"/>
      <c r="P81" s="1726" t="s">
        <v>669</v>
      </c>
      <c r="Q81" s="1813"/>
      <c r="R81" s="1726" t="s">
        <v>669</v>
      </c>
      <c r="S81" s="1813"/>
      <c r="T81" s="1726" t="s">
        <v>669</v>
      </c>
      <c r="U81" s="1813"/>
      <c r="V81" s="1726" t="s">
        <v>669</v>
      </c>
      <c r="W81" s="1813"/>
      <c r="X81" s="1726" t="s">
        <v>669</v>
      </c>
      <c r="Y81" s="1813"/>
      <c r="Z81" s="1726" t="s">
        <v>669</v>
      </c>
      <c r="AA81" s="1813"/>
      <c r="AB81" s="1726" t="s">
        <v>669</v>
      </c>
      <c r="AC81" s="1813"/>
      <c r="AD81" s="1726" t="s">
        <v>669</v>
      </c>
      <c r="AE81" s="1813"/>
      <c r="AF81" s="1726" t="s">
        <v>669</v>
      </c>
      <c r="AG81" s="1813"/>
      <c r="AH81" s="1726" t="s">
        <v>669</v>
      </c>
      <c r="AI81" s="1813"/>
      <c r="AJ81" s="1726" t="s">
        <v>669</v>
      </c>
      <c r="AK81" s="1813"/>
      <c r="AL81" s="1659" t="s">
        <v>669</v>
      </c>
      <c r="AM81" s="1813"/>
      <c r="AN81" s="1726" t="s">
        <v>669</v>
      </c>
      <c r="AO81" s="1813"/>
      <c r="AP81" s="1726" t="s">
        <v>669</v>
      </c>
      <c r="AQ81" s="1813"/>
      <c r="AR81" s="1726"/>
      <c r="AS81" s="1813"/>
    </row>
    <row r="82" spans="1:45" ht="14.5" x14ac:dyDescent="0.35">
      <c r="A82" s="1817"/>
      <c r="B82" s="2045" t="s">
        <v>2475</v>
      </c>
      <c r="C82" s="1956" t="s">
        <v>2462</v>
      </c>
      <c r="D82" s="2036">
        <v>140</v>
      </c>
      <c r="E82" s="2004" t="s">
        <v>2465</v>
      </c>
      <c r="F82" s="2004"/>
      <c r="G82" s="1956"/>
      <c r="H82" s="1726" t="s">
        <v>669</v>
      </c>
      <c r="I82" s="1813"/>
      <c r="J82" s="1726" t="s">
        <v>669</v>
      </c>
      <c r="K82" s="1813"/>
      <c r="L82" s="1726" t="s">
        <v>669</v>
      </c>
      <c r="M82" s="1813"/>
      <c r="N82" s="1726" t="s">
        <v>669</v>
      </c>
      <c r="O82" s="1813"/>
      <c r="P82" s="1726" t="s">
        <v>669</v>
      </c>
      <c r="Q82" s="1813"/>
      <c r="R82" s="1726" t="s">
        <v>669</v>
      </c>
      <c r="S82" s="1813"/>
      <c r="T82" s="1726" t="s">
        <v>669</v>
      </c>
      <c r="U82" s="1813"/>
      <c r="V82" s="1726" t="s">
        <v>669</v>
      </c>
      <c r="W82" s="1813"/>
      <c r="X82" s="1726" t="s">
        <v>669</v>
      </c>
      <c r="Y82" s="1813"/>
      <c r="Z82" s="1726" t="s">
        <v>669</v>
      </c>
      <c r="AA82" s="1813"/>
      <c r="AB82" s="1726" t="s">
        <v>669</v>
      </c>
      <c r="AC82" s="1813"/>
      <c r="AD82" s="1726" t="s">
        <v>669</v>
      </c>
      <c r="AE82" s="1813"/>
      <c r="AF82" s="1726" t="s">
        <v>669</v>
      </c>
      <c r="AG82" s="1813"/>
      <c r="AH82" s="1726" t="s">
        <v>669</v>
      </c>
      <c r="AI82" s="1813"/>
      <c r="AJ82" s="1726" t="s">
        <v>669</v>
      </c>
      <c r="AK82" s="1813"/>
      <c r="AL82" s="1659" t="s">
        <v>669</v>
      </c>
      <c r="AM82" s="1813"/>
      <c r="AN82" s="1726" t="s">
        <v>669</v>
      </c>
      <c r="AO82" s="1813"/>
      <c r="AP82" s="1726" t="s">
        <v>669</v>
      </c>
      <c r="AQ82" s="1813"/>
      <c r="AR82" s="1726"/>
      <c r="AS82" s="1813"/>
    </row>
    <row r="83" spans="1:45" ht="14.5" x14ac:dyDescent="0.35">
      <c r="A83" s="1817"/>
      <c r="B83" s="2045" t="s">
        <v>2476</v>
      </c>
      <c r="C83" s="1956" t="s">
        <v>2462</v>
      </c>
      <c r="D83" s="2036">
        <v>550</v>
      </c>
      <c r="E83" s="2004" t="s">
        <v>2465</v>
      </c>
      <c r="F83" s="2004"/>
      <c r="G83" s="1956"/>
      <c r="H83" s="1726" t="s">
        <v>669</v>
      </c>
      <c r="I83" s="1813"/>
      <c r="J83" s="1726" t="s">
        <v>669</v>
      </c>
      <c r="K83" s="1813"/>
      <c r="L83" s="1726" t="s">
        <v>669</v>
      </c>
      <c r="M83" s="1813"/>
      <c r="N83" s="1726" t="s">
        <v>669</v>
      </c>
      <c r="O83" s="1813"/>
      <c r="P83" s="1726" t="s">
        <v>669</v>
      </c>
      <c r="Q83" s="1813"/>
      <c r="R83" s="1726" t="s">
        <v>669</v>
      </c>
      <c r="S83" s="1813"/>
      <c r="T83" s="1726" t="s">
        <v>669</v>
      </c>
      <c r="U83" s="1813"/>
      <c r="V83" s="1726" t="s">
        <v>669</v>
      </c>
      <c r="W83" s="1813"/>
      <c r="X83" s="1726" t="s">
        <v>669</v>
      </c>
      <c r="Y83" s="1813"/>
      <c r="Z83" s="1726" t="s">
        <v>669</v>
      </c>
      <c r="AA83" s="1813"/>
      <c r="AB83" s="1726" t="s">
        <v>669</v>
      </c>
      <c r="AC83" s="1813"/>
      <c r="AD83" s="1726" t="s">
        <v>669</v>
      </c>
      <c r="AE83" s="1813"/>
      <c r="AF83" s="1726" t="s">
        <v>669</v>
      </c>
      <c r="AG83" s="1813"/>
      <c r="AH83" s="1726" t="s">
        <v>669</v>
      </c>
      <c r="AI83" s="1813"/>
      <c r="AJ83" s="1726" t="s">
        <v>669</v>
      </c>
      <c r="AK83" s="1813"/>
      <c r="AL83" s="1659" t="s">
        <v>669</v>
      </c>
      <c r="AM83" s="1813"/>
      <c r="AN83" s="1726" t="s">
        <v>669</v>
      </c>
      <c r="AO83" s="1813"/>
      <c r="AP83" s="1726" t="s">
        <v>669</v>
      </c>
      <c r="AQ83" s="1813"/>
      <c r="AR83" s="1726"/>
      <c r="AS83" s="1813"/>
    </row>
    <row r="84" spans="1:45" ht="14.5" x14ac:dyDescent="0.35">
      <c r="A84" s="1817"/>
      <c r="B84" s="2045" t="s">
        <v>2477</v>
      </c>
      <c r="C84" s="1956" t="s">
        <v>2462</v>
      </c>
      <c r="D84" s="2036">
        <v>1650</v>
      </c>
      <c r="E84" s="2004" t="s">
        <v>2465</v>
      </c>
      <c r="F84" s="2004"/>
      <c r="G84" s="1956"/>
      <c r="H84" s="1726" t="s">
        <v>669</v>
      </c>
      <c r="I84" s="1813"/>
      <c r="J84" s="1726" t="s">
        <v>669</v>
      </c>
      <c r="K84" s="1813"/>
      <c r="L84" s="1726" t="s">
        <v>669</v>
      </c>
      <c r="M84" s="1813"/>
      <c r="N84" s="1726" t="s">
        <v>669</v>
      </c>
      <c r="O84" s="1813"/>
      <c r="P84" s="1726" t="s">
        <v>669</v>
      </c>
      <c r="Q84" s="1813"/>
      <c r="R84" s="1726" t="s">
        <v>669</v>
      </c>
      <c r="S84" s="1813"/>
      <c r="T84" s="1726" t="s">
        <v>669</v>
      </c>
      <c r="U84" s="1813"/>
      <c r="V84" s="1726" t="s">
        <v>669</v>
      </c>
      <c r="W84" s="1813"/>
      <c r="X84" s="1726" t="s">
        <v>669</v>
      </c>
      <c r="Y84" s="1813"/>
      <c r="Z84" s="1726" t="s">
        <v>669</v>
      </c>
      <c r="AA84" s="1813"/>
      <c r="AB84" s="1726" t="s">
        <v>669</v>
      </c>
      <c r="AC84" s="1813"/>
      <c r="AD84" s="1726" t="s">
        <v>669</v>
      </c>
      <c r="AE84" s="1813"/>
      <c r="AF84" s="1726" t="s">
        <v>669</v>
      </c>
      <c r="AG84" s="1813"/>
      <c r="AH84" s="1726" t="s">
        <v>669</v>
      </c>
      <c r="AI84" s="1813"/>
      <c r="AJ84" s="1726" t="s">
        <v>669</v>
      </c>
      <c r="AK84" s="1813"/>
      <c r="AL84" s="1659" t="s">
        <v>669</v>
      </c>
      <c r="AM84" s="1813"/>
      <c r="AN84" s="1726" t="s">
        <v>669</v>
      </c>
      <c r="AO84" s="1813"/>
      <c r="AP84" s="1726" t="s">
        <v>669</v>
      </c>
      <c r="AQ84" s="1813"/>
      <c r="AR84" s="1726"/>
      <c r="AS84" s="1813"/>
    </row>
    <row r="85" spans="1:45" ht="14.5" x14ac:dyDescent="0.35">
      <c r="A85" s="1817"/>
      <c r="B85" s="2045" t="s">
        <v>2478</v>
      </c>
      <c r="C85" s="1956" t="s">
        <v>2462</v>
      </c>
      <c r="D85" s="2036">
        <v>1300</v>
      </c>
      <c r="E85" s="2004" t="s">
        <v>2465</v>
      </c>
      <c r="F85" s="2004"/>
      <c r="G85" s="1956"/>
      <c r="H85" s="1726" t="s">
        <v>669</v>
      </c>
      <c r="I85" s="1813"/>
      <c r="J85" s="1726" t="s">
        <v>669</v>
      </c>
      <c r="K85" s="1813"/>
      <c r="L85" s="1726" t="s">
        <v>669</v>
      </c>
      <c r="M85" s="1813"/>
      <c r="N85" s="1726" t="s">
        <v>669</v>
      </c>
      <c r="O85" s="1813"/>
      <c r="P85" s="1726" t="s">
        <v>669</v>
      </c>
      <c r="Q85" s="1813"/>
      <c r="R85" s="1726" t="s">
        <v>669</v>
      </c>
      <c r="S85" s="1813"/>
      <c r="T85" s="1726" t="s">
        <v>669</v>
      </c>
      <c r="U85" s="1813"/>
      <c r="V85" s="1726" t="s">
        <v>669</v>
      </c>
      <c r="W85" s="1813"/>
      <c r="X85" s="1726" t="s">
        <v>669</v>
      </c>
      <c r="Y85" s="1813"/>
      <c r="Z85" s="1726" t="s">
        <v>669</v>
      </c>
      <c r="AA85" s="1813"/>
      <c r="AB85" s="1726" t="s">
        <v>669</v>
      </c>
      <c r="AC85" s="1813"/>
      <c r="AD85" s="1726" t="s">
        <v>669</v>
      </c>
      <c r="AE85" s="1813"/>
      <c r="AF85" s="1726" t="s">
        <v>669</v>
      </c>
      <c r="AG85" s="1813"/>
      <c r="AH85" s="1726" t="s">
        <v>669</v>
      </c>
      <c r="AI85" s="1813"/>
      <c r="AJ85" s="1726" t="s">
        <v>669</v>
      </c>
      <c r="AK85" s="1813"/>
      <c r="AL85" s="1659" t="s">
        <v>669</v>
      </c>
      <c r="AM85" s="1813"/>
      <c r="AN85" s="1726" t="s">
        <v>669</v>
      </c>
      <c r="AO85" s="1813"/>
      <c r="AP85" s="1726" t="s">
        <v>669</v>
      </c>
      <c r="AQ85" s="1813"/>
      <c r="AR85" s="1726"/>
      <c r="AS85" s="1813"/>
    </row>
    <row r="86" spans="1:45" ht="14.5" x14ac:dyDescent="0.35">
      <c r="A86" s="1817"/>
      <c r="B86" s="2046" t="s">
        <v>2479</v>
      </c>
      <c r="C86" s="1956" t="s">
        <v>2462</v>
      </c>
      <c r="D86" s="2036">
        <v>135</v>
      </c>
      <c r="E86" s="2004" t="s">
        <v>2465</v>
      </c>
      <c r="F86" s="2004"/>
      <c r="G86" s="1956"/>
      <c r="H86" s="1726" t="s">
        <v>669</v>
      </c>
      <c r="I86" s="1813"/>
      <c r="J86" s="1726" t="s">
        <v>669</v>
      </c>
      <c r="K86" s="1813"/>
      <c r="L86" s="1726" t="s">
        <v>669</v>
      </c>
      <c r="M86" s="1813"/>
      <c r="N86" s="1726" t="s">
        <v>669</v>
      </c>
      <c r="O86" s="1813"/>
      <c r="P86" s="1726" t="s">
        <v>669</v>
      </c>
      <c r="Q86" s="1813"/>
      <c r="R86" s="1726" t="s">
        <v>669</v>
      </c>
      <c r="S86" s="1813"/>
      <c r="T86" s="1726" t="s">
        <v>669</v>
      </c>
      <c r="U86" s="1813"/>
      <c r="V86" s="1726" t="s">
        <v>669</v>
      </c>
      <c r="W86" s="1813"/>
      <c r="X86" s="1726" t="s">
        <v>669</v>
      </c>
      <c r="Y86" s="1813"/>
      <c r="Z86" s="1726" t="s">
        <v>669</v>
      </c>
      <c r="AA86" s="1813"/>
      <c r="AB86" s="1726" t="s">
        <v>669</v>
      </c>
      <c r="AC86" s="1813"/>
      <c r="AD86" s="1726" t="s">
        <v>669</v>
      </c>
      <c r="AE86" s="1813"/>
      <c r="AF86" s="1726" t="s">
        <v>669</v>
      </c>
      <c r="AG86" s="1813"/>
      <c r="AH86" s="1726" t="s">
        <v>669</v>
      </c>
      <c r="AI86" s="1813"/>
      <c r="AJ86" s="1726" t="s">
        <v>669</v>
      </c>
      <c r="AK86" s="1813"/>
      <c r="AL86" s="1659" t="s">
        <v>669</v>
      </c>
      <c r="AM86" s="1813"/>
      <c r="AN86" s="1726" t="s">
        <v>669</v>
      </c>
      <c r="AO86" s="1813"/>
      <c r="AP86" s="1726" t="s">
        <v>669</v>
      </c>
      <c r="AQ86" s="1813"/>
      <c r="AR86" s="1726"/>
      <c r="AS86" s="1813"/>
    </row>
    <row r="87" spans="1:45" ht="14.5" x14ac:dyDescent="0.35">
      <c r="A87" s="1817"/>
      <c r="B87" s="2045" t="s">
        <v>2480</v>
      </c>
      <c r="C87" s="1956"/>
      <c r="D87" s="2047"/>
      <c r="E87" s="2004"/>
      <c r="F87" s="2004"/>
      <c r="G87" s="1956"/>
      <c r="H87" s="1726" t="s">
        <v>669</v>
      </c>
      <c r="I87" s="1813"/>
      <c r="J87" s="1726" t="s">
        <v>669</v>
      </c>
      <c r="K87" s="1813"/>
      <c r="L87" s="1726" t="s">
        <v>669</v>
      </c>
      <c r="M87" s="1813"/>
      <c r="N87" s="1726" t="s">
        <v>669</v>
      </c>
      <c r="O87" s="1813"/>
      <c r="P87" s="1726" t="s">
        <v>669</v>
      </c>
      <c r="Q87" s="1813"/>
      <c r="R87" s="1726" t="s">
        <v>669</v>
      </c>
      <c r="S87" s="1813"/>
      <c r="T87" s="1726" t="s">
        <v>669</v>
      </c>
      <c r="U87" s="1813"/>
      <c r="V87" s="1726" t="s">
        <v>669</v>
      </c>
      <c r="W87" s="1813"/>
      <c r="X87" s="1726" t="s">
        <v>669</v>
      </c>
      <c r="Y87" s="1813"/>
      <c r="Z87" s="1726" t="s">
        <v>669</v>
      </c>
      <c r="AA87" s="1813"/>
      <c r="AB87" s="1726" t="s">
        <v>669</v>
      </c>
      <c r="AC87" s="1813"/>
      <c r="AD87" s="1726" t="s">
        <v>669</v>
      </c>
      <c r="AE87" s="1813"/>
      <c r="AF87" s="1726" t="s">
        <v>669</v>
      </c>
      <c r="AG87" s="1813"/>
      <c r="AH87" s="1726" t="s">
        <v>669</v>
      </c>
      <c r="AI87" s="1813"/>
      <c r="AJ87" s="1726" t="s">
        <v>669</v>
      </c>
      <c r="AK87" s="1813"/>
      <c r="AL87" s="1659" t="s">
        <v>669</v>
      </c>
      <c r="AM87" s="1813"/>
      <c r="AN87" s="1726" t="s">
        <v>669</v>
      </c>
      <c r="AO87" s="1813"/>
      <c r="AP87" s="1726" t="s">
        <v>669</v>
      </c>
      <c r="AQ87" s="1813"/>
      <c r="AR87" s="1726"/>
      <c r="AS87" s="1813"/>
    </row>
    <row r="88" spans="1:45" ht="14.5" x14ac:dyDescent="0.35">
      <c r="A88" s="1817"/>
      <c r="B88" s="2045" t="s">
        <v>2450</v>
      </c>
      <c r="C88" s="1956"/>
      <c r="D88" s="2047"/>
      <c r="E88" s="2004"/>
      <c r="F88" s="2004"/>
      <c r="G88" s="1956"/>
      <c r="H88" s="1726" t="s">
        <v>669</v>
      </c>
      <c r="I88" s="1813">
        <v>3985</v>
      </c>
      <c r="J88" s="1659" t="s">
        <v>669</v>
      </c>
      <c r="K88" s="1813"/>
      <c r="L88" s="1659" t="s">
        <v>669</v>
      </c>
      <c r="M88" s="1813"/>
      <c r="N88" s="1726" t="s">
        <v>669</v>
      </c>
      <c r="O88" s="1813">
        <v>4188</v>
      </c>
      <c r="P88" s="1726" t="s">
        <v>669</v>
      </c>
      <c r="Q88" s="1813"/>
      <c r="R88" s="1726" t="s">
        <v>669</v>
      </c>
      <c r="S88" s="1813"/>
      <c r="T88" s="1659" t="s">
        <v>669</v>
      </c>
      <c r="U88" s="1813">
        <v>4500</v>
      </c>
      <c r="V88" s="1659" t="s">
        <v>654</v>
      </c>
      <c r="W88" s="1813">
        <f>O88</f>
        <v>4188</v>
      </c>
      <c r="X88" s="1659" t="s">
        <v>669</v>
      </c>
      <c r="Y88" s="1813">
        <v>3428</v>
      </c>
      <c r="Z88" s="1659" t="s">
        <v>669</v>
      </c>
      <c r="AA88" s="1813">
        <v>3428</v>
      </c>
      <c r="AB88" s="1659" t="s">
        <v>669</v>
      </c>
      <c r="AC88" s="1813">
        <v>4500</v>
      </c>
      <c r="AD88" s="1659" t="s">
        <v>669</v>
      </c>
      <c r="AE88" s="1813">
        <v>4500</v>
      </c>
      <c r="AF88" s="1726" t="s">
        <v>669</v>
      </c>
      <c r="AG88" s="1813"/>
      <c r="AH88" s="1726" t="s">
        <v>669</v>
      </c>
      <c r="AI88" s="1813"/>
      <c r="AJ88" s="1659" t="s">
        <v>654</v>
      </c>
      <c r="AK88" s="1813">
        <f>W88</f>
        <v>4188</v>
      </c>
      <c r="AL88" s="1659" t="s">
        <v>1659</v>
      </c>
      <c r="AM88" s="1813">
        <f>O88</f>
        <v>4188</v>
      </c>
      <c r="AN88" s="1659" t="s">
        <v>654</v>
      </c>
      <c r="AO88" s="1813">
        <f>W88</f>
        <v>4188</v>
      </c>
      <c r="AP88" s="1726" t="s">
        <v>669</v>
      </c>
      <c r="AQ88" s="1813">
        <v>6000</v>
      </c>
      <c r="AR88" s="1726"/>
      <c r="AS88" s="1813"/>
    </row>
    <row r="89" spans="1:45" ht="14.5" x14ac:dyDescent="0.35">
      <c r="A89" s="1817"/>
      <c r="B89" s="2045" t="s">
        <v>2481</v>
      </c>
      <c r="C89" s="1956"/>
      <c r="D89" s="2047"/>
      <c r="E89" s="2004"/>
      <c r="F89" s="2004"/>
      <c r="G89" s="1956"/>
      <c r="H89" s="1726" t="s">
        <v>669</v>
      </c>
      <c r="I89" s="1813"/>
      <c r="J89" s="1659" t="s">
        <v>669</v>
      </c>
      <c r="K89" s="1813"/>
      <c r="L89" s="1659" t="s">
        <v>669</v>
      </c>
      <c r="M89" s="1813"/>
      <c r="N89" s="1726" t="s">
        <v>669</v>
      </c>
      <c r="O89" s="1813"/>
      <c r="P89" s="1726" t="s">
        <v>669</v>
      </c>
      <c r="Q89" s="1813"/>
      <c r="R89" s="1726" t="s">
        <v>669</v>
      </c>
      <c r="S89" s="1813"/>
      <c r="T89" s="1659" t="s">
        <v>669</v>
      </c>
      <c r="U89" s="1813"/>
      <c r="V89" s="1726" t="s">
        <v>669</v>
      </c>
      <c r="W89" s="1813"/>
      <c r="X89" s="1726" t="s">
        <v>669</v>
      </c>
      <c r="Y89" s="1813"/>
      <c r="Z89" s="1726" t="s">
        <v>669</v>
      </c>
      <c r="AA89" s="1813"/>
      <c r="AB89" s="1659" t="s">
        <v>669</v>
      </c>
      <c r="AC89" s="1813"/>
      <c r="AD89" s="1659" t="s">
        <v>669</v>
      </c>
      <c r="AE89" s="1813"/>
      <c r="AF89" s="1726" t="s">
        <v>669</v>
      </c>
      <c r="AG89" s="1813"/>
      <c r="AH89" s="1726" t="s">
        <v>669</v>
      </c>
      <c r="AI89" s="1813"/>
      <c r="AJ89" s="1726" t="s">
        <v>669</v>
      </c>
      <c r="AK89" s="1813"/>
      <c r="AL89" s="1659" t="s">
        <v>669</v>
      </c>
      <c r="AM89" s="1813"/>
      <c r="AN89" s="1659" t="s">
        <v>654</v>
      </c>
      <c r="AO89" s="1813"/>
      <c r="AP89" s="1726" t="s">
        <v>669</v>
      </c>
      <c r="AQ89" s="1813"/>
      <c r="AR89" s="1726"/>
      <c r="AS89" s="1813"/>
    </row>
    <row r="90" spans="1:45" ht="14.5" x14ac:dyDescent="0.35">
      <c r="A90" s="1817"/>
      <c r="B90" s="2045" t="s">
        <v>2482</v>
      </c>
      <c r="C90" s="1956"/>
      <c r="D90" s="2004"/>
      <c r="E90" s="2004"/>
      <c r="F90" s="2004"/>
      <c r="G90" s="1956"/>
      <c r="H90" s="1659" t="s">
        <v>669</v>
      </c>
      <c r="I90" s="2029"/>
      <c r="J90" s="1659" t="s">
        <v>669</v>
      </c>
      <c r="K90" s="1813"/>
      <c r="L90" s="1659" t="s">
        <v>669</v>
      </c>
      <c r="M90" s="1813"/>
      <c r="N90" s="1659" t="s">
        <v>669</v>
      </c>
      <c r="O90" s="2029"/>
      <c r="P90" s="1659" t="s">
        <v>669</v>
      </c>
      <c r="Q90" s="2029"/>
      <c r="R90" s="1659" t="s">
        <v>669</v>
      </c>
      <c r="S90" s="2029"/>
      <c r="T90" s="1659" t="s">
        <v>669</v>
      </c>
      <c r="U90" s="1813"/>
      <c r="V90" s="1659" t="s">
        <v>669</v>
      </c>
      <c r="W90" s="1813"/>
      <c r="X90" s="1659" t="s">
        <v>669</v>
      </c>
      <c r="Y90" s="1813"/>
      <c r="Z90" s="1659" t="s">
        <v>669</v>
      </c>
      <c r="AA90" s="1813"/>
      <c r="AB90" s="1659" t="s">
        <v>669</v>
      </c>
      <c r="AC90" s="1813"/>
      <c r="AD90" s="1659" t="s">
        <v>669</v>
      </c>
      <c r="AE90" s="1813"/>
      <c r="AF90" s="1659" t="s">
        <v>669</v>
      </c>
      <c r="AG90" s="1813"/>
      <c r="AH90" s="1659" t="s">
        <v>669</v>
      </c>
      <c r="AI90" s="1813"/>
      <c r="AJ90" s="1659" t="s">
        <v>669</v>
      </c>
      <c r="AK90" s="1813"/>
      <c r="AL90" s="1659" t="s">
        <v>669</v>
      </c>
      <c r="AM90" s="1813"/>
      <c r="AN90" s="1659" t="s">
        <v>654</v>
      </c>
      <c r="AO90" s="1813">
        <v>40000</v>
      </c>
      <c r="AP90" s="1659" t="s">
        <v>669</v>
      </c>
      <c r="AQ90" s="2039"/>
      <c r="AR90" s="1726"/>
      <c r="AS90" s="1813"/>
    </row>
    <row r="91" spans="1:45" ht="14.5" x14ac:dyDescent="0.35">
      <c r="A91" s="1817"/>
      <c r="B91" s="2045" t="s">
        <v>2446</v>
      </c>
      <c r="C91" s="1956"/>
      <c r="D91" s="682"/>
      <c r="E91" s="2004"/>
      <c r="F91" s="2004"/>
      <c r="G91" s="1956"/>
      <c r="H91" s="1659" t="s">
        <v>669</v>
      </c>
      <c r="I91" s="1813">
        <f>1000*3.5</f>
        <v>3500</v>
      </c>
      <c r="J91" s="1659" t="s">
        <v>669</v>
      </c>
      <c r="K91" s="1813"/>
      <c r="L91" s="1659" t="s">
        <v>669</v>
      </c>
      <c r="M91" s="1813"/>
      <c r="N91" s="1659" t="s">
        <v>669</v>
      </c>
      <c r="O91" s="1813">
        <f>1000*3.5</f>
        <v>3500</v>
      </c>
      <c r="P91" s="1659" t="s">
        <v>669</v>
      </c>
      <c r="Q91" s="1813"/>
      <c r="R91" s="1659" t="s">
        <v>669</v>
      </c>
      <c r="S91" s="1813"/>
      <c r="T91" s="1659" t="s">
        <v>669</v>
      </c>
      <c r="U91" s="1813"/>
      <c r="V91" s="1659" t="s">
        <v>654</v>
      </c>
      <c r="W91" s="1813">
        <f>O91</f>
        <v>3500</v>
      </c>
      <c r="X91" s="1659" t="s">
        <v>669</v>
      </c>
      <c r="Y91" s="1813"/>
      <c r="Z91" s="1659" t="s">
        <v>669</v>
      </c>
      <c r="AA91" s="1813"/>
      <c r="AB91" s="1659" t="s">
        <v>654</v>
      </c>
      <c r="AC91" s="1813">
        <f>AK91</f>
        <v>3500</v>
      </c>
      <c r="AD91" s="1659" t="s">
        <v>669</v>
      </c>
      <c r="AE91" s="1813">
        <f>AG91</f>
        <v>0</v>
      </c>
      <c r="AF91" s="1659" t="s">
        <v>669</v>
      </c>
      <c r="AG91" s="1813"/>
      <c r="AH91" s="1659" t="s">
        <v>669</v>
      </c>
      <c r="AI91" s="1813"/>
      <c r="AJ91" s="1659" t="s">
        <v>654</v>
      </c>
      <c r="AK91" s="1813">
        <f>W91</f>
        <v>3500</v>
      </c>
      <c r="AL91" s="1659" t="s">
        <v>669</v>
      </c>
      <c r="AM91" s="1813">
        <f>O91</f>
        <v>3500</v>
      </c>
      <c r="AN91" s="1659" t="s">
        <v>654</v>
      </c>
      <c r="AO91" s="1813">
        <f>W91</f>
        <v>3500</v>
      </c>
      <c r="AP91" s="1659" t="s">
        <v>669</v>
      </c>
      <c r="AQ91" s="1813">
        <v>6000</v>
      </c>
      <c r="AR91" s="1726"/>
      <c r="AS91" s="1813"/>
    </row>
    <row r="92" spans="1:45" ht="14.5" x14ac:dyDescent="0.35">
      <c r="A92" s="1817"/>
      <c r="B92" s="2045" t="s">
        <v>2483</v>
      </c>
      <c r="C92" s="2048"/>
      <c r="D92" s="2047"/>
      <c r="E92" s="2004"/>
      <c r="F92" s="2004"/>
      <c r="G92" s="1956"/>
      <c r="H92" s="1726"/>
      <c r="I92" s="1813"/>
      <c r="J92" s="1659" t="s">
        <v>669</v>
      </c>
      <c r="K92" s="1813">
        <v>3977</v>
      </c>
      <c r="L92" s="1659" t="s">
        <v>669</v>
      </c>
      <c r="M92" s="1813"/>
      <c r="N92" s="1726"/>
      <c r="O92" s="1813"/>
      <c r="P92" s="1726" t="s">
        <v>669</v>
      </c>
      <c r="Q92" s="1813"/>
      <c r="R92" s="1726" t="s">
        <v>669</v>
      </c>
      <c r="S92" s="1813"/>
      <c r="T92" s="1659"/>
      <c r="U92" s="1813"/>
      <c r="V92" s="1726"/>
      <c r="W92" s="1813"/>
      <c r="X92" s="1659"/>
      <c r="Y92" s="1813"/>
      <c r="Z92" s="1659"/>
      <c r="AA92" s="1813"/>
      <c r="AB92" s="1726"/>
      <c r="AC92" s="1813"/>
      <c r="AD92" s="1726"/>
      <c r="AE92" s="1813"/>
      <c r="AF92" s="1726"/>
      <c r="AG92" s="1813"/>
      <c r="AH92" s="1726"/>
      <c r="AI92" s="1813"/>
      <c r="AJ92" s="1726"/>
      <c r="AK92" s="1813"/>
      <c r="AL92" s="1726"/>
      <c r="AM92" s="1813"/>
      <c r="AN92" s="1726"/>
      <c r="AO92" s="1813"/>
      <c r="AP92" s="1726"/>
      <c r="AQ92" s="1813"/>
      <c r="AR92" s="1726"/>
      <c r="AS92" s="1813"/>
    </row>
    <row r="93" spans="1:45" ht="14.5" x14ac:dyDescent="0.35">
      <c r="A93" s="1817"/>
      <c r="B93" s="2049" t="s">
        <v>2484</v>
      </c>
      <c r="C93" s="2012"/>
      <c r="D93" s="682"/>
      <c r="E93" s="2004"/>
      <c r="F93" s="2004"/>
      <c r="G93" s="1956"/>
      <c r="H93" s="1726"/>
      <c r="I93" s="1813"/>
      <c r="J93" s="1726" t="s">
        <v>671</v>
      </c>
      <c r="K93" s="1813"/>
      <c r="L93" s="1726" t="s">
        <v>671</v>
      </c>
      <c r="M93" s="1813"/>
      <c r="N93" s="1726" t="s">
        <v>671</v>
      </c>
      <c r="O93" s="1813"/>
      <c r="P93" s="1726" t="s">
        <v>671</v>
      </c>
      <c r="Q93" s="1813"/>
      <c r="R93" s="1726" t="s">
        <v>671</v>
      </c>
      <c r="S93" s="1813"/>
      <c r="T93" s="1726" t="s">
        <v>671</v>
      </c>
      <c r="U93" s="1813"/>
      <c r="V93" s="1726" t="s">
        <v>671</v>
      </c>
      <c r="W93" s="1813"/>
      <c r="X93" s="1726" t="s">
        <v>671</v>
      </c>
      <c r="Y93" s="1813"/>
      <c r="Z93" s="1726" t="s">
        <v>671</v>
      </c>
      <c r="AA93" s="1813"/>
      <c r="AB93" s="1726" t="s">
        <v>671</v>
      </c>
      <c r="AC93" s="1813"/>
      <c r="AD93" s="1726" t="s">
        <v>671</v>
      </c>
      <c r="AE93" s="1813"/>
      <c r="AF93" s="1726" t="s">
        <v>671</v>
      </c>
      <c r="AG93" s="1813"/>
      <c r="AH93" s="1726"/>
      <c r="AI93" s="1813"/>
      <c r="AJ93" s="1726" t="s">
        <v>671</v>
      </c>
      <c r="AK93" s="1813"/>
      <c r="AL93" s="1726"/>
      <c r="AM93" s="1813"/>
      <c r="AN93" s="1726"/>
      <c r="AO93" s="1813"/>
      <c r="AP93" s="1726"/>
      <c r="AQ93" s="1813"/>
      <c r="AR93" s="1726"/>
      <c r="AS93" s="1813"/>
    </row>
    <row r="94" spans="1:45" ht="14.5" x14ac:dyDescent="0.35">
      <c r="A94" s="1817"/>
      <c r="B94" s="2050" t="s">
        <v>2485</v>
      </c>
      <c r="C94" s="2012"/>
      <c r="D94" s="682"/>
      <c r="E94" s="2004"/>
      <c r="F94" s="2004"/>
      <c r="G94" s="1956"/>
      <c r="H94" s="1726"/>
      <c r="I94" s="1813"/>
      <c r="J94" s="1726" t="s">
        <v>671</v>
      </c>
      <c r="K94" s="1813"/>
      <c r="L94" s="1726" t="s">
        <v>671</v>
      </c>
      <c r="M94" s="1813"/>
      <c r="N94" s="1726" t="s">
        <v>671</v>
      </c>
      <c r="O94" s="1813"/>
      <c r="P94" s="1726" t="s">
        <v>671</v>
      </c>
      <c r="Q94" s="1813"/>
      <c r="R94" s="1726" t="s">
        <v>671</v>
      </c>
      <c r="S94" s="1813"/>
      <c r="T94" s="1726" t="s">
        <v>671</v>
      </c>
      <c r="U94" s="1813"/>
      <c r="V94" s="1726" t="s">
        <v>671</v>
      </c>
      <c r="W94" s="1813"/>
      <c r="X94" s="1726" t="s">
        <v>671</v>
      </c>
      <c r="Y94" s="1813"/>
      <c r="Z94" s="1726" t="s">
        <v>671</v>
      </c>
      <c r="AA94" s="1813"/>
      <c r="AB94" s="1726" t="s">
        <v>671</v>
      </c>
      <c r="AC94" s="1813"/>
      <c r="AD94" s="1726" t="s">
        <v>671</v>
      </c>
      <c r="AE94" s="1813"/>
      <c r="AF94" s="1726" t="s">
        <v>671</v>
      </c>
      <c r="AG94" s="1813"/>
      <c r="AH94" s="1726"/>
      <c r="AI94" s="1813"/>
      <c r="AJ94" s="1726" t="s">
        <v>671</v>
      </c>
      <c r="AK94" s="1813"/>
      <c r="AL94" s="1726"/>
      <c r="AM94" s="1813"/>
      <c r="AN94" s="1726"/>
      <c r="AO94" s="1813"/>
      <c r="AP94" s="1726"/>
      <c r="AQ94" s="1813"/>
      <c r="AR94" s="1726"/>
      <c r="AS94" s="1813"/>
    </row>
    <row r="95" spans="1:45" ht="14.5" x14ac:dyDescent="0.35">
      <c r="A95" s="1817"/>
      <c r="B95" s="2030" t="s">
        <v>2373</v>
      </c>
      <c r="C95" s="2012"/>
      <c r="D95" s="682"/>
      <c r="E95" s="2004"/>
      <c r="F95" s="2004"/>
      <c r="G95" s="1956"/>
      <c r="H95" s="1726"/>
      <c r="I95" s="1813"/>
      <c r="J95" s="1659" t="s">
        <v>669</v>
      </c>
      <c r="K95" s="1813"/>
      <c r="L95" s="1659" t="s">
        <v>669</v>
      </c>
      <c r="M95" s="1813"/>
      <c r="N95" s="1659" t="s">
        <v>1659</v>
      </c>
      <c r="O95" s="1813">
        <f>W95</f>
        <v>1067</v>
      </c>
      <c r="P95" s="1659" t="s">
        <v>669</v>
      </c>
      <c r="Q95" s="1813"/>
      <c r="R95" s="1659" t="s">
        <v>669</v>
      </c>
      <c r="S95" s="1813"/>
      <c r="T95" s="1659" t="s">
        <v>654</v>
      </c>
      <c r="U95" s="1813">
        <v>1067</v>
      </c>
      <c r="V95" s="1726" t="s">
        <v>669</v>
      </c>
      <c r="W95" s="1813">
        <v>1067</v>
      </c>
      <c r="X95" s="1726" t="s">
        <v>669</v>
      </c>
      <c r="Y95" s="1813">
        <v>1067</v>
      </c>
      <c r="Z95" s="1726" t="s">
        <v>669</v>
      </c>
      <c r="AA95" s="1813">
        <v>1046</v>
      </c>
      <c r="AB95" s="1659" t="s">
        <v>654</v>
      </c>
      <c r="AC95" s="1813">
        <v>1067</v>
      </c>
      <c r="AD95" s="1659" t="s">
        <v>654</v>
      </c>
      <c r="AE95" s="1813">
        <v>1067</v>
      </c>
      <c r="AF95" s="1726" t="s">
        <v>669</v>
      </c>
      <c r="AG95" s="1813"/>
      <c r="AH95" s="1726" t="s">
        <v>669</v>
      </c>
      <c r="AI95" s="1813"/>
      <c r="AJ95" s="1659" t="s">
        <v>654</v>
      </c>
      <c r="AK95" s="1813">
        <v>1067</v>
      </c>
      <c r="AL95" s="1659" t="s">
        <v>654</v>
      </c>
      <c r="AM95" s="1813">
        <f>O95</f>
        <v>1067</v>
      </c>
      <c r="AN95" s="1659" t="s">
        <v>654</v>
      </c>
      <c r="AO95" s="1813">
        <v>1067</v>
      </c>
      <c r="AP95" s="1726"/>
      <c r="AQ95" s="1813"/>
      <c r="AR95" s="1726"/>
      <c r="AS95" s="1813"/>
    </row>
    <row r="96" spans="1:45" ht="14.5" x14ac:dyDescent="0.35">
      <c r="A96" s="1817"/>
      <c r="B96" s="2051" t="s">
        <v>2372</v>
      </c>
      <c r="C96" s="2012"/>
      <c r="D96" s="682"/>
      <c r="E96" s="2004"/>
      <c r="F96" s="2004"/>
      <c r="G96" s="1956"/>
      <c r="H96" s="1726"/>
      <c r="I96" s="1813"/>
      <c r="J96" s="1659" t="s">
        <v>669</v>
      </c>
      <c r="K96" s="1813">
        <v>1062</v>
      </c>
      <c r="L96" s="1659" t="s">
        <v>669</v>
      </c>
      <c r="M96" s="1813">
        <v>1141</v>
      </c>
      <c r="N96" s="1726" t="s">
        <v>669</v>
      </c>
      <c r="O96" s="1813">
        <v>2373</v>
      </c>
      <c r="P96" s="1726" t="s">
        <v>669</v>
      </c>
      <c r="Q96" s="1813">
        <v>2373</v>
      </c>
      <c r="R96" s="1726" t="s">
        <v>669</v>
      </c>
      <c r="S96" s="1813">
        <v>2373</v>
      </c>
      <c r="T96" s="1659" t="s">
        <v>654</v>
      </c>
      <c r="U96" s="1813">
        <v>2068</v>
      </c>
      <c r="V96" s="1726" t="s">
        <v>669</v>
      </c>
      <c r="W96" s="1813">
        <v>2068</v>
      </c>
      <c r="X96" s="1726" t="s">
        <v>669</v>
      </c>
      <c r="Y96" s="1813">
        <v>2068</v>
      </c>
      <c r="Z96" s="1726" t="s">
        <v>669</v>
      </c>
      <c r="AA96" s="1813">
        <v>2049</v>
      </c>
      <c r="AB96" s="1659" t="s">
        <v>654</v>
      </c>
      <c r="AC96" s="1813">
        <v>2068</v>
      </c>
      <c r="AD96" s="1659" t="s">
        <v>669</v>
      </c>
      <c r="AE96" s="1813">
        <v>1062</v>
      </c>
      <c r="AF96" s="1726" t="s">
        <v>669</v>
      </c>
      <c r="AG96" s="1813"/>
      <c r="AH96" s="1726" t="s">
        <v>669</v>
      </c>
      <c r="AI96" s="1813"/>
      <c r="AJ96" s="1659" t="s">
        <v>654</v>
      </c>
      <c r="AK96" s="1813">
        <v>2068</v>
      </c>
      <c r="AL96" s="1659" t="s">
        <v>654</v>
      </c>
      <c r="AM96" s="1813">
        <f>O96</f>
        <v>2373</v>
      </c>
      <c r="AN96" s="1659" t="s">
        <v>654</v>
      </c>
      <c r="AO96" s="1813">
        <v>2068</v>
      </c>
      <c r="AP96" s="1726"/>
      <c r="AQ96" s="1813"/>
      <c r="AR96" s="1726"/>
      <c r="AS96" s="1813"/>
    </row>
    <row r="97" spans="1:45" ht="14.5" x14ac:dyDescent="0.35">
      <c r="A97" s="1817"/>
      <c r="B97" s="2052" t="s">
        <v>2486</v>
      </c>
      <c r="C97" s="2012"/>
      <c r="D97" s="682"/>
      <c r="E97" s="2004"/>
      <c r="F97" s="2004"/>
      <c r="G97" s="1956"/>
      <c r="H97" s="1726"/>
      <c r="I97" s="1813"/>
      <c r="J97" s="1726"/>
      <c r="K97" s="1813"/>
      <c r="L97" s="1726"/>
      <c r="M97" s="1813"/>
      <c r="N97" s="1726"/>
      <c r="O97" s="1813"/>
      <c r="P97" s="1726"/>
      <c r="Q97" s="1813"/>
      <c r="R97" s="1726"/>
      <c r="S97" s="1813"/>
      <c r="T97" s="1726"/>
      <c r="U97" s="1813"/>
      <c r="V97" s="1726"/>
      <c r="W97" s="1813"/>
      <c r="X97" s="1726"/>
      <c r="Y97" s="1813"/>
      <c r="Z97" s="1726"/>
      <c r="AA97" s="1813"/>
      <c r="AB97" s="1726"/>
      <c r="AC97" s="1813"/>
      <c r="AD97" s="1726"/>
      <c r="AE97" s="1813"/>
      <c r="AF97" s="1726"/>
      <c r="AG97" s="1813"/>
      <c r="AH97" s="1726"/>
      <c r="AI97" s="1813"/>
      <c r="AJ97" s="1726"/>
      <c r="AK97" s="1813"/>
      <c r="AL97" s="1726"/>
      <c r="AM97" s="1813"/>
      <c r="AN97" s="1726"/>
      <c r="AO97" s="1813"/>
      <c r="AP97" s="1726"/>
      <c r="AQ97" s="1813"/>
      <c r="AR97" s="1726"/>
      <c r="AS97" s="1813"/>
    </row>
    <row r="98" spans="1:45" ht="14.5" x14ac:dyDescent="0.35">
      <c r="A98" s="1817"/>
      <c r="B98" s="2052"/>
      <c r="C98" s="2012"/>
      <c r="D98" s="682"/>
      <c r="E98" s="2004"/>
      <c r="F98" s="2004"/>
      <c r="G98" s="1956"/>
      <c r="H98" s="1726"/>
      <c r="I98" s="1813"/>
      <c r="J98" s="1726"/>
      <c r="K98" s="1813"/>
      <c r="L98" s="1726"/>
      <c r="M98" s="1813"/>
      <c r="N98" s="1726"/>
      <c r="O98" s="1813"/>
      <c r="P98" s="1726"/>
      <c r="Q98" s="1813"/>
      <c r="R98" s="1726"/>
      <c r="S98" s="1813"/>
      <c r="T98" s="1726"/>
      <c r="U98" s="1813"/>
      <c r="V98" s="1726"/>
      <c r="W98" s="1813"/>
      <c r="X98" s="1726"/>
      <c r="Y98" s="1813"/>
      <c r="Z98" s="1726"/>
      <c r="AA98" s="1813"/>
      <c r="AB98" s="1726"/>
      <c r="AC98" s="1813"/>
      <c r="AD98" s="1726"/>
      <c r="AE98" s="1813"/>
      <c r="AF98" s="1726"/>
      <c r="AG98" s="1813"/>
      <c r="AH98" s="1726"/>
      <c r="AI98" s="1813"/>
      <c r="AJ98" s="1726"/>
      <c r="AK98" s="1813"/>
      <c r="AL98" s="1726"/>
      <c r="AM98" s="1813"/>
      <c r="AN98" s="1726"/>
      <c r="AO98" s="1813"/>
      <c r="AP98" s="1726"/>
      <c r="AQ98" s="1813"/>
      <c r="AR98" s="1726"/>
      <c r="AS98" s="1813"/>
    </row>
    <row r="99" spans="1:45" ht="14.5" x14ac:dyDescent="0.35">
      <c r="A99" s="1179"/>
      <c r="B99" s="2053" t="s">
        <v>2487</v>
      </c>
      <c r="C99" s="2012"/>
      <c r="D99" s="682"/>
      <c r="E99" s="2004"/>
      <c r="F99" s="2004"/>
      <c r="G99" s="1956"/>
      <c r="H99" s="1726"/>
      <c r="I99" s="1813"/>
      <c r="J99" s="1726" t="s">
        <v>669</v>
      </c>
      <c r="K99" s="1813">
        <v>40000</v>
      </c>
      <c r="L99" s="1726" t="s">
        <v>669</v>
      </c>
      <c r="M99" s="1813">
        <v>39745</v>
      </c>
      <c r="N99" s="1726"/>
      <c r="O99" s="1813"/>
      <c r="P99" s="1726"/>
      <c r="Q99" s="1813"/>
      <c r="R99" s="1726"/>
      <c r="S99" s="1813"/>
      <c r="T99" s="1726"/>
      <c r="U99" s="1813"/>
      <c r="V99" s="1726"/>
      <c r="W99" s="1813"/>
      <c r="X99" s="1726"/>
      <c r="Y99" s="1813"/>
      <c r="Z99" s="1726"/>
      <c r="AA99" s="1813"/>
      <c r="AB99" s="1726"/>
      <c r="AC99" s="1813"/>
      <c r="AD99" s="1726"/>
      <c r="AE99" s="1813"/>
      <c r="AF99" s="1726"/>
      <c r="AG99" s="1813"/>
      <c r="AH99" s="1726"/>
      <c r="AI99" s="1813"/>
      <c r="AJ99" s="1726"/>
      <c r="AK99" s="1813"/>
      <c r="AL99" s="1726"/>
      <c r="AM99" s="1813"/>
      <c r="AN99" s="1726"/>
      <c r="AO99" s="1813"/>
      <c r="AP99" s="1726"/>
      <c r="AQ99" s="1813"/>
      <c r="AR99" s="1726"/>
      <c r="AS99" s="1813"/>
    </row>
    <row r="100" spans="1:45" ht="14.5" x14ac:dyDescent="0.35">
      <c r="A100" s="1817"/>
      <c r="B100" s="2054" t="s">
        <v>2488</v>
      </c>
      <c r="C100" s="2012"/>
      <c r="D100" s="682"/>
      <c r="E100" s="2004"/>
      <c r="F100" s="2004"/>
      <c r="G100" s="1956"/>
      <c r="H100" s="1726"/>
      <c r="I100" s="1813"/>
      <c r="J100" s="1726" t="s">
        <v>669</v>
      </c>
      <c r="K100" s="1813">
        <v>-50000</v>
      </c>
      <c r="L100" s="1726" t="s">
        <v>669</v>
      </c>
      <c r="M100" s="1813"/>
      <c r="N100" s="1726"/>
      <c r="O100" s="1813"/>
      <c r="P100" s="1726"/>
      <c r="Q100" s="1813"/>
      <c r="R100" s="1726"/>
      <c r="S100" s="1813"/>
      <c r="T100" s="1726"/>
      <c r="U100" s="1813"/>
      <c r="V100" s="1726"/>
      <c r="W100" s="1813"/>
      <c r="X100" s="1726"/>
      <c r="Y100" s="1813"/>
      <c r="Z100" s="1726"/>
      <c r="AA100" s="1813"/>
      <c r="AB100" s="1726"/>
      <c r="AC100" s="1813"/>
      <c r="AD100" s="1726"/>
      <c r="AE100" s="1813"/>
      <c r="AF100" s="1726"/>
      <c r="AG100" s="1813"/>
      <c r="AH100" s="1726"/>
      <c r="AI100" s="1813"/>
      <c r="AJ100" s="1726"/>
      <c r="AK100" s="1813"/>
      <c r="AL100" s="1726"/>
      <c r="AM100" s="1813"/>
      <c r="AN100" s="1726"/>
      <c r="AO100" s="1813"/>
      <c r="AP100" s="1726"/>
      <c r="AQ100" s="1813"/>
      <c r="AR100" s="1726"/>
      <c r="AS100" s="1813"/>
    </row>
    <row r="101" spans="1:45" ht="14.5" x14ac:dyDescent="0.35">
      <c r="A101" s="2055"/>
      <c r="B101" s="2050" t="s">
        <v>1789</v>
      </c>
      <c r="C101" s="2012"/>
      <c r="D101" s="682"/>
      <c r="E101" s="2004"/>
      <c r="F101" s="2004"/>
      <c r="G101" s="1956"/>
      <c r="H101" s="1726"/>
      <c r="I101" s="1813"/>
      <c r="J101" s="1726"/>
      <c r="K101" s="1813"/>
      <c r="L101" s="1726" t="s">
        <v>669</v>
      </c>
      <c r="M101" s="2056">
        <v>-150000</v>
      </c>
      <c r="N101" s="1726"/>
      <c r="O101" s="1813"/>
      <c r="P101" s="1726"/>
      <c r="Q101" s="1813"/>
      <c r="R101" s="1726"/>
      <c r="S101" s="1813"/>
      <c r="T101" s="1726"/>
      <c r="U101" s="1813"/>
      <c r="V101" s="1726"/>
      <c r="W101" s="1813"/>
      <c r="X101" s="1726"/>
      <c r="Y101" s="1813"/>
      <c r="Z101" s="1726"/>
      <c r="AA101" s="1813"/>
      <c r="AB101" s="1726"/>
      <c r="AC101" s="1813"/>
      <c r="AD101" s="1726"/>
      <c r="AE101" s="1813"/>
      <c r="AF101" s="1726"/>
      <c r="AG101" s="1825"/>
      <c r="AH101" s="1726"/>
      <c r="AI101" s="1825"/>
      <c r="AJ101" s="1726"/>
      <c r="AK101" s="1813"/>
      <c r="AL101" s="1726"/>
      <c r="AM101" s="1825"/>
      <c r="AN101" s="1726"/>
      <c r="AO101" s="1813"/>
      <c r="AP101" s="1726"/>
      <c r="AQ101" s="1813"/>
      <c r="AR101" s="1726"/>
      <c r="AS101" s="1813"/>
    </row>
    <row r="102" spans="1:45" ht="14.5" x14ac:dyDescent="0.35">
      <c r="A102" s="14"/>
      <c r="B102" s="15"/>
      <c r="C102" s="16"/>
      <c r="D102" s="16"/>
      <c r="E102" s="17"/>
      <c r="F102" s="18" t="s">
        <v>715</v>
      </c>
      <c r="G102" s="19"/>
      <c r="H102" s="20"/>
      <c r="I102" s="50">
        <f>SUM(I23:I101)</f>
        <v>2741991</v>
      </c>
      <c r="J102" s="20"/>
      <c r="K102" s="50">
        <f>SUM(K34:K101)</f>
        <v>2621291</v>
      </c>
      <c r="L102" s="20"/>
      <c r="M102" s="50">
        <f>SUM(M34:M101)</f>
        <v>2816925</v>
      </c>
      <c r="N102" s="20"/>
      <c r="O102" s="50">
        <f>SUM(O33:O101)</f>
        <v>2628460</v>
      </c>
      <c r="P102" s="20"/>
      <c r="Q102" s="50">
        <f>SUM(Q34:Q101)</f>
        <v>3155938</v>
      </c>
      <c r="R102" s="20"/>
      <c r="S102" s="50">
        <f>SUM(S34:S101)</f>
        <v>3098555</v>
      </c>
      <c r="T102" s="20"/>
      <c r="U102" s="50">
        <f>SUM(U34:U101)</f>
        <v>2795955</v>
      </c>
      <c r="V102" s="20"/>
      <c r="W102" s="50">
        <f>SUM(W34:W101)</f>
        <v>2576727</v>
      </c>
      <c r="X102" s="20"/>
      <c r="Y102" s="50">
        <f>SUM(Y34:Y101)</f>
        <v>2851847</v>
      </c>
      <c r="Z102" s="20"/>
      <c r="AA102" s="50">
        <f>SUM(AA34:AA101)</f>
        <v>3013528</v>
      </c>
      <c r="AB102" s="20"/>
      <c r="AC102" s="50">
        <f>SUM(AC26:AC101)</f>
        <v>2949608</v>
      </c>
      <c r="AD102" s="20"/>
      <c r="AE102" s="50">
        <f>SUM(AE26:AE101)</f>
        <v>2896505</v>
      </c>
      <c r="AF102" s="20"/>
      <c r="AG102" s="50">
        <f>SUM(AG23:AG101)</f>
        <v>3330025</v>
      </c>
      <c r="AH102" s="20"/>
      <c r="AI102" s="50">
        <f>SUM(AI23:AI101)</f>
        <v>3262975</v>
      </c>
      <c r="AJ102" s="20"/>
      <c r="AK102" s="50">
        <f>SUM(AK34:AK101)</f>
        <v>3379649</v>
      </c>
      <c r="AL102" s="20"/>
      <c r="AM102" s="50">
        <f>SUM(AM23:AM101)</f>
        <v>3091254</v>
      </c>
      <c r="AN102" s="20"/>
      <c r="AO102" s="50">
        <f>SUM(AO26:AO101)</f>
        <v>2666484</v>
      </c>
      <c r="AP102" s="20"/>
      <c r="AQ102" s="50">
        <f>SUM(AQ23:AQ101)</f>
        <v>4843410</v>
      </c>
      <c r="AR102" s="20"/>
      <c r="AS102" s="50">
        <f>SUM(AS26:AS101)</f>
        <v>0</v>
      </c>
    </row>
    <row r="103" spans="1:45" ht="14.5" x14ac:dyDescent="0.35">
      <c r="A103" s="2057"/>
      <c r="B103" s="2058"/>
      <c r="C103" s="2059"/>
      <c r="D103" s="2059"/>
      <c r="E103" s="2060"/>
      <c r="F103" s="2061" t="s">
        <v>716</v>
      </c>
      <c r="G103" s="2062"/>
      <c r="H103" s="2063">
        <v>0</v>
      </c>
      <c r="I103" s="2064"/>
      <c r="J103" s="2063">
        <v>0.02</v>
      </c>
      <c r="K103" s="2064"/>
      <c r="L103" s="2063">
        <v>0</v>
      </c>
      <c r="M103" s="2064"/>
      <c r="N103" s="2063">
        <v>0</v>
      </c>
      <c r="O103" s="2064"/>
      <c r="P103" s="2063">
        <v>0</v>
      </c>
      <c r="Q103" s="2064"/>
      <c r="R103" s="2063">
        <v>0</v>
      </c>
      <c r="S103" s="2064"/>
      <c r="T103" s="2063">
        <v>0</v>
      </c>
      <c r="U103" s="2064"/>
      <c r="V103" s="2063">
        <v>0</v>
      </c>
      <c r="W103" s="2064"/>
      <c r="X103" s="2063">
        <v>0</v>
      </c>
      <c r="Y103" s="2064"/>
      <c r="Z103" s="2063">
        <v>0</v>
      </c>
      <c r="AA103" s="2064"/>
      <c r="AB103" s="2063">
        <v>0</v>
      </c>
      <c r="AC103" s="2064"/>
      <c r="AD103" s="2063">
        <v>0</v>
      </c>
      <c r="AE103" s="2064"/>
      <c r="AF103" s="2065">
        <v>0</v>
      </c>
      <c r="AG103" s="2064"/>
      <c r="AH103" s="2065">
        <v>0</v>
      </c>
      <c r="AI103" s="2064"/>
      <c r="AJ103" s="2063">
        <v>0</v>
      </c>
      <c r="AK103" s="2064"/>
      <c r="AL103" s="2065">
        <v>0</v>
      </c>
      <c r="AM103" s="2064"/>
      <c r="AN103" s="2063">
        <v>0</v>
      </c>
      <c r="AO103" s="2064"/>
      <c r="AP103" s="2065">
        <v>0</v>
      </c>
      <c r="AQ103" s="2064"/>
      <c r="AR103" s="2063">
        <v>0</v>
      </c>
      <c r="AS103" s="2064"/>
    </row>
    <row r="104" spans="1:45" ht="14.5" x14ac:dyDescent="0.35">
      <c r="A104" s="2057"/>
      <c r="B104" s="2058"/>
      <c r="C104" s="2059"/>
      <c r="D104" s="2059"/>
      <c r="E104" s="2060"/>
      <c r="F104" s="2061" t="s">
        <v>717</v>
      </c>
      <c r="G104" s="2062"/>
      <c r="H104" s="2066"/>
      <c r="I104" s="2067">
        <f>H103*I102</f>
        <v>0</v>
      </c>
      <c r="J104" s="2066"/>
      <c r="K104" s="2067">
        <f>J103*K102</f>
        <v>52425.82</v>
      </c>
      <c r="L104" s="2066"/>
      <c r="M104" s="2067">
        <f>L103*M102</f>
        <v>0</v>
      </c>
      <c r="N104" s="2066"/>
      <c r="O104" s="2067">
        <f>N103*O102</f>
        <v>0</v>
      </c>
      <c r="P104" s="2066"/>
      <c r="Q104" s="2067">
        <f>P103*Q102</f>
        <v>0</v>
      </c>
      <c r="R104" s="2066"/>
      <c r="S104" s="2067">
        <f>R103*S102</f>
        <v>0</v>
      </c>
      <c r="T104" s="2066"/>
      <c r="U104" s="2067">
        <f>T103*U102</f>
        <v>0</v>
      </c>
      <c r="V104" s="2066"/>
      <c r="W104" s="2067">
        <f>V103*W102</f>
        <v>0</v>
      </c>
      <c r="X104" s="2066"/>
      <c r="Y104" s="2067">
        <f>X103*Y102</f>
        <v>0</v>
      </c>
      <c r="Z104" s="2066"/>
      <c r="AA104" s="2067">
        <f>Z103*AA102</f>
        <v>0</v>
      </c>
      <c r="AB104" s="2066"/>
      <c r="AC104" s="2067">
        <f>AB103*AC102</f>
        <v>0</v>
      </c>
      <c r="AD104" s="2066"/>
      <c r="AE104" s="2067">
        <f>AD103*AE102</f>
        <v>0</v>
      </c>
      <c r="AF104" s="2066"/>
      <c r="AG104" s="2067">
        <f>AF103*AG102</f>
        <v>0</v>
      </c>
      <c r="AH104" s="2066"/>
      <c r="AI104" s="2067">
        <f>AH103*AI102</f>
        <v>0</v>
      </c>
      <c r="AJ104" s="2066"/>
      <c r="AK104" s="2067">
        <f>AJ103*AK102</f>
        <v>0</v>
      </c>
      <c r="AL104" s="2066"/>
      <c r="AM104" s="2067">
        <f>AL103*AM102</f>
        <v>0</v>
      </c>
      <c r="AN104" s="2066"/>
      <c r="AO104" s="2067">
        <f>AN103*AO102</f>
        <v>0</v>
      </c>
      <c r="AP104" s="2066"/>
      <c r="AQ104" s="2067">
        <f>AP103*AQ102</f>
        <v>0</v>
      </c>
      <c r="AR104" s="2066"/>
      <c r="AS104" s="2067">
        <f>AR103*AS102</f>
        <v>0</v>
      </c>
    </row>
    <row r="105" spans="1:45" ht="14.5" x14ac:dyDescent="0.35">
      <c r="A105" s="2057"/>
      <c r="B105" s="2058"/>
      <c r="C105" s="2059"/>
      <c r="D105" s="2059"/>
      <c r="E105" s="2060"/>
      <c r="F105" s="2061"/>
      <c r="G105" s="2062"/>
      <c r="H105" s="2066"/>
      <c r="I105" s="2068"/>
      <c r="J105" s="2066"/>
      <c r="K105" s="2068"/>
      <c r="L105" s="2066"/>
      <c r="M105" s="2068"/>
      <c r="N105" s="2066"/>
      <c r="O105" s="2068"/>
      <c r="P105" s="2066"/>
      <c r="Q105" s="2068"/>
      <c r="R105" s="2066"/>
      <c r="S105" s="2068"/>
      <c r="T105" s="2066"/>
      <c r="U105" s="2068"/>
      <c r="V105" s="2066"/>
      <c r="W105" s="2068"/>
      <c r="X105" s="2066"/>
      <c r="Y105" s="2068"/>
      <c r="Z105" s="2066"/>
      <c r="AA105" s="2068"/>
      <c r="AB105" s="2066"/>
      <c r="AC105" s="2068"/>
      <c r="AD105" s="2066"/>
      <c r="AE105" s="2068"/>
      <c r="AF105" s="2066"/>
      <c r="AG105" s="2068"/>
      <c r="AH105" s="2066"/>
      <c r="AI105" s="2068"/>
      <c r="AJ105" s="2066"/>
      <c r="AK105" s="2068"/>
      <c r="AL105" s="2066"/>
      <c r="AM105" s="2068"/>
      <c r="AN105" s="2066"/>
      <c r="AO105" s="2068"/>
      <c r="AP105" s="2066"/>
      <c r="AQ105" s="2068"/>
      <c r="AR105" s="2066"/>
      <c r="AS105" s="2068"/>
    </row>
    <row r="106" spans="1:45" ht="14.5" x14ac:dyDescent="0.35">
      <c r="A106" s="2057"/>
      <c r="B106" s="2058"/>
      <c r="C106" s="2059"/>
      <c r="D106" s="2059"/>
      <c r="E106" s="2060"/>
      <c r="F106" s="2061" t="s">
        <v>718</v>
      </c>
      <c r="G106" s="2062"/>
      <c r="H106" s="2069"/>
      <c r="I106" s="2070">
        <f>SUM(I102:I104)</f>
        <v>2741991</v>
      </c>
      <c r="J106" s="2069"/>
      <c r="K106" s="2070">
        <f>SUM(K102:K104)</f>
        <v>2673716.8199999998</v>
      </c>
      <c r="L106" s="2069"/>
      <c r="M106" s="2070">
        <f>SUM(M102:M104)</f>
        <v>2816925</v>
      </c>
      <c r="N106" s="2069"/>
      <c r="O106" s="2070">
        <f>SUM(O102:O104)</f>
        <v>2628460</v>
      </c>
      <c r="P106" s="2069"/>
      <c r="Q106" s="2070">
        <f>SUM(Q102:Q104)</f>
        <v>3155938</v>
      </c>
      <c r="R106" s="2069"/>
      <c r="S106" s="2070">
        <f>SUM(S102:S104)</f>
        <v>3098555</v>
      </c>
      <c r="T106" s="2069"/>
      <c r="U106" s="2070">
        <f>SUM(U102:U104)</f>
        <v>2795955</v>
      </c>
      <c r="V106" s="2069"/>
      <c r="W106" s="2070">
        <f>SUM(W102:W104)</f>
        <v>2576727</v>
      </c>
      <c r="X106" s="2069"/>
      <c r="Y106" s="2070">
        <f>SUM(Y102:Y104)</f>
        <v>2851847</v>
      </c>
      <c r="Z106" s="2069"/>
      <c r="AA106" s="2070">
        <f>SUM(AA102:AA104)</f>
        <v>3013528</v>
      </c>
      <c r="AB106" s="2069"/>
      <c r="AC106" s="2070">
        <f>SUM(AC102:AC104)</f>
        <v>2949608</v>
      </c>
      <c r="AD106" s="2069"/>
      <c r="AE106" s="2070">
        <f>SUM(AE102:AE104)</f>
        <v>2896505</v>
      </c>
      <c r="AF106" s="2069"/>
      <c r="AG106" s="2070">
        <f>SUM(AG102:AG104)</f>
        <v>3330025</v>
      </c>
      <c r="AH106" s="2069"/>
      <c r="AI106" s="2070">
        <f>SUM(AI102:AI104)</f>
        <v>3262975</v>
      </c>
      <c r="AJ106" s="2069"/>
      <c r="AK106" s="2070">
        <f>SUM(AK102:AK104)</f>
        <v>3379649</v>
      </c>
      <c r="AL106" s="2069"/>
      <c r="AM106" s="2070">
        <f>SUM(AM102:AM104)</f>
        <v>3091254</v>
      </c>
      <c r="AN106" s="2069"/>
      <c r="AO106" s="2070">
        <f>SUM(AO102:AO104)</f>
        <v>2666484</v>
      </c>
      <c r="AP106" s="2069"/>
      <c r="AQ106" s="2070">
        <f>SUM(AQ102:AQ104)</f>
        <v>4843410</v>
      </c>
      <c r="AR106" s="2069"/>
      <c r="AS106" s="2070">
        <f>SUM(AS102:AS104)</f>
        <v>0</v>
      </c>
    </row>
    <row r="107" spans="1:45" ht="14.5" x14ac:dyDescent="0.35">
      <c r="A107" s="2057"/>
      <c r="B107" s="2058"/>
      <c r="C107" s="2059"/>
      <c r="D107" s="2059"/>
      <c r="E107" s="2060"/>
      <c r="F107" s="2071" t="s">
        <v>719</v>
      </c>
      <c r="G107" s="2072"/>
      <c r="H107" s="2073"/>
      <c r="I107" s="2074" t="e">
        <f>I106/#REF!</f>
        <v>#REF!</v>
      </c>
      <c r="J107" s="2073"/>
      <c r="K107" s="2074" t="e">
        <f>K106/#REF!</f>
        <v>#REF!</v>
      </c>
      <c r="L107" s="2073"/>
      <c r="M107" s="2074" t="e">
        <f>M106/#REF!</f>
        <v>#REF!</v>
      </c>
      <c r="N107" s="2073"/>
      <c r="O107" s="2074" t="e">
        <f>O106/#REF!</f>
        <v>#REF!</v>
      </c>
      <c r="P107" s="2073"/>
      <c r="Q107" s="2074" t="e">
        <f>Q106/#REF!</f>
        <v>#REF!</v>
      </c>
      <c r="R107" s="2073"/>
      <c r="S107" s="2074" t="e">
        <f>S106/#REF!</f>
        <v>#REF!</v>
      </c>
      <c r="T107" s="2073"/>
      <c r="U107" s="2074" t="e">
        <f>U106/#REF!</f>
        <v>#REF!</v>
      </c>
      <c r="V107" s="2073"/>
      <c r="W107" s="2074" t="e">
        <f>W106/#REF!</f>
        <v>#REF!</v>
      </c>
      <c r="X107" s="2073"/>
      <c r="Y107" s="2074" t="e">
        <f>Y106/#REF!</f>
        <v>#REF!</v>
      </c>
      <c r="Z107" s="2073"/>
      <c r="AA107" s="2074" t="e">
        <f>AA106/#REF!</f>
        <v>#REF!</v>
      </c>
      <c r="AB107" s="2073"/>
      <c r="AC107" s="2074" t="e">
        <f>AC106/#REF!</f>
        <v>#REF!</v>
      </c>
      <c r="AD107" s="2073"/>
      <c r="AE107" s="2074" t="e">
        <f>AE106/#REF!</f>
        <v>#REF!</v>
      </c>
      <c r="AF107" s="2073"/>
      <c r="AG107" s="2074" t="e">
        <f>AG106/#REF!</f>
        <v>#REF!</v>
      </c>
      <c r="AH107" s="2073"/>
      <c r="AI107" s="2074" t="e">
        <f>AI106/#REF!</f>
        <v>#REF!</v>
      </c>
      <c r="AJ107" s="2073"/>
      <c r="AK107" s="2074" t="e">
        <f>AK106/#REF!</f>
        <v>#REF!</v>
      </c>
      <c r="AL107" s="2073"/>
      <c r="AM107" s="2074" t="e">
        <f>AM106/#REF!</f>
        <v>#REF!</v>
      </c>
      <c r="AN107" s="2073"/>
      <c r="AO107" s="2074" t="e">
        <f>AO106/#REF!</f>
        <v>#REF!</v>
      </c>
      <c r="AP107" s="2073"/>
      <c r="AQ107" s="2074" t="e">
        <f>AQ106/#REF!</f>
        <v>#REF!</v>
      </c>
      <c r="AR107" s="2073"/>
      <c r="AS107" s="2074" t="e">
        <f>AS106/#REF!</f>
        <v>#REF!</v>
      </c>
    </row>
    <row r="108" spans="1:45" ht="14.5" x14ac:dyDescent="0.35">
      <c r="A108" s="2057"/>
      <c r="B108" s="2058"/>
      <c r="C108" s="2059"/>
      <c r="D108" s="2059"/>
      <c r="E108" s="2060"/>
      <c r="F108" s="2071" t="s">
        <v>720</v>
      </c>
      <c r="G108" s="2075"/>
      <c r="H108" s="2073"/>
      <c r="I108" s="2074" t="e">
        <f>I106/#REF!</f>
        <v>#REF!</v>
      </c>
      <c r="J108" s="2073"/>
      <c r="K108" s="2074" t="e">
        <f>K106/#REF!</f>
        <v>#REF!</v>
      </c>
      <c r="L108" s="2073"/>
      <c r="M108" s="2074" t="e">
        <f>M106/#REF!</f>
        <v>#REF!</v>
      </c>
      <c r="N108" s="2073"/>
      <c r="O108" s="2074" t="e">
        <f>O106/#REF!</f>
        <v>#REF!</v>
      </c>
      <c r="P108" s="2073"/>
      <c r="Q108" s="2074" t="e">
        <f>Q106/#REF!</f>
        <v>#REF!</v>
      </c>
      <c r="R108" s="2073"/>
      <c r="S108" s="2074" t="e">
        <f>S106/#REF!</f>
        <v>#REF!</v>
      </c>
      <c r="T108" s="2073"/>
      <c r="U108" s="2074" t="e">
        <f>U106/#REF!</f>
        <v>#REF!</v>
      </c>
      <c r="V108" s="2073"/>
      <c r="W108" s="2074" t="e">
        <f>W106/#REF!</f>
        <v>#REF!</v>
      </c>
      <c r="X108" s="2073"/>
      <c r="Y108" s="2074" t="e">
        <f>Y106/#REF!</f>
        <v>#REF!</v>
      </c>
      <c r="Z108" s="2073"/>
      <c r="AA108" s="2074" t="e">
        <f>AA106/#REF!</f>
        <v>#REF!</v>
      </c>
      <c r="AB108" s="2073"/>
      <c r="AC108" s="2074" t="e">
        <f>AC106/#REF!</f>
        <v>#REF!</v>
      </c>
      <c r="AD108" s="2073"/>
      <c r="AE108" s="2074" t="e">
        <f>AE106/#REF!</f>
        <v>#REF!</v>
      </c>
      <c r="AF108" s="2073"/>
      <c r="AG108" s="2074" t="e">
        <f>AG106/#REF!</f>
        <v>#REF!</v>
      </c>
      <c r="AH108" s="2073"/>
      <c r="AI108" s="2074" t="e">
        <f>AI106/#REF!</f>
        <v>#REF!</v>
      </c>
      <c r="AJ108" s="2073"/>
      <c r="AK108" s="2074" t="e">
        <f>AK106/#REF!</f>
        <v>#REF!</v>
      </c>
      <c r="AL108" s="2073"/>
      <c r="AM108" s="2074" t="e">
        <f>AM106/#REF!</f>
        <v>#REF!</v>
      </c>
      <c r="AN108" s="2073"/>
      <c r="AO108" s="2074" t="e">
        <f>AO106/#REF!</f>
        <v>#REF!</v>
      </c>
      <c r="AP108" s="2073"/>
      <c r="AQ108" s="2074" t="e">
        <f>AQ106/#REF!</f>
        <v>#REF!</v>
      </c>
      <c r="AR108" s="2073"/>
      <c r="AS108" s="2074" t="e">
        <f>AS106/#REF!</f>
        <v>#REF!</v>
      </c>
    </row>
    <row r="109" spans="1:45" ht="14.5" x14ac:dyDescent="0.35">
      <c r="A109" s="2057"/>
      <c r="B109" s="2058"/>
      <c r="C109" s="2059"/>
      <c r="D109" s="2059"/>
      <c r="E109" s="2060"/>
      <c r="F109" s="2061"/>
      <c r="G109" s="2076"/>
      <c r="H109" s="2077"/>
      <c r="I109" s="2078"/>
      <c r="J109" s="2079"/>
      <c r="K109" s="2080"/>
      <c r="L109" s="2079"/>
      <c r="M109" s="2080"/>
      <c r="N109" s="2077"/>
      <c r="O109" s="2078"/>
      <c r="P109" s="2077"/>
      <c r="Q109" s="2078"/>
      <c r="R109" s="2077"/>
      <c r="S109" s="2078"/>
      <c r="T109" s="2079"/>
      <c r="U109" s="2080"/>
      <c r="V109" s="2079"/>
      <c r="W109" s="2080"/>
      <c r="X109" s="2079"/>
      <c r="Y109" s="2080"/>
      <c r="Z109" s="2079"/>
      <c r="AA109" s="2080"/>
      <c r="AB109" s="2079"/>
      <c r="AC109" s="2080"/>
      <c r="AD109" s="2079"/>
      <c r="AE109" s="2080"/>
      <c r="AF109" s="2079"/>
      <c r="AG109" s="2079"/>
      <c r="AH109" s="2079"/>
      <c r="AI109" s="2079"/>
      <c r="AJ109" s="2079"/>
      <c r="AK109" s="2080"/>
      <c r="AL109" s="2079"/>
      <c r="AM109" s="2079"/>
      <c r="AN109" s="2079"/>
      <c r="AO109" s="2080"/>
      <c r="AP109" s="2079"/>
      <c r="AQ109" s="2079"/>
      <c r="AR109" s="2079"/>
      <c r="AS109" s="2080"/>
    </row>
    <row r="110" spans="1:45" ht="14.5" x14ac:dyDescent="0.35">
      <c r="A110" s="3764" t="s">
        <v>721</v>
      </c>
      <c r="B110" s="3765"/>
      <c r="C110" s="12"/>
      <c r="D110" s="12"/>
      <c r="E110" s="12"/>
      <c r="F110" s="12"/>
      <c r="G110" s="13"/>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row>
    <row r="111" spans="1:45" ht="14.5" x14ac:dyDescent="0.35">
      <c r="A111" s="1170"/>
      <c r="B111" s="2003"/>
      <c r="C111" s="1171"/>
      <c r="D111" s="1171"/>
      <c r="E111" s="1171"/>
      <c r="F111" s="1171"/>
      <c r="G111" s="1172"/>
      <c r="H111" s="1860"/>
      <c r="I111" s="1860"/>
      <c r="J111" s="1860"/>
      <c r="K111" s="1860"/>
      <c r="L111" s="1860"/>
      <c r="M111" s="1860"/>
      <c r="N111" s="1860"/>
      <c r="O111" s="1860"/>
      <c r="P111" s="1860"/>
      <c r="Q111" s="1860"/>
      <c r="R111" s="1860"/>
      <c r="S111" s="1860"/>
      <c r="T111" s="1860"/>
      <c r="U111" s="1860"/>
      <c r="V111" s="1860"/>
      <c r="W111" s="1860"/>
      <c r="X111" s="1860"/>
      <c r="Y111" s="1860"/>
      <c r="Z111" s="1860"/>
      <c r="AA111" s="1860"/>
      <c r="AB111" s="1860"/>
      <c r="AC111" s="1860"/>
      <c r="AD111" s="1860"/>
      <c r="AE111" s="1860"/>
      <c r="AF111" s="1860"/>
      <c r="AG111" s="1860"/>
      <c r="AH111" s="1860"/>
      <c r="AI111" s="1860"/>
      <c r="AJ111" s="1860"/>
      <c r="AK111" s="1860"/>
      <c r="AL111" s="1860"/>
      <c r="AM111" s="1860"/>
      <c r="AN111" s="1860"/>
      <c r="AO111" s="1860"/>
      <c r="AP111" s="1860"/>
      <c r="AQ111" s="1860"/>
      <c r="AR111" s="1860"/>
      <c r="AS111" s="1860"/>
    </row>
    <row r="112" spans="1:45" ht="14.5" x14ac:dyDescent="0.35">
      <c r="A112" s="1170"/>
      <c r="B112" s="2003"/>
      <c r="C112" s="1171"/>
      <c r="D112" s="1171"/>
      <c r="E112" s="1171"/>
      <c r="F112" s="1171"/>
      <c r="G112" s="1172"/>
      <c r="H112" s="1860"/>
      <c r="I112" s="1860"/>
      <c r="J112" s="1860"/>
      <c r="K112" s="1860"/>
      <c r="L112" s="1860"/>
      <c r="M112" s="1860"/>
      <c r="N112" s="1860"/>
      <c r="O112" s="1860"/>
      <c r="P112" s="1860"/>
      <c r="Q112" s="1860"/>
      <c r="R112" s="1860"/>
      <c r="S112" s="1860"/>
      <c r="T112" s="1860"/>
      <c r="U112" s="1860"/>
      <c r="V112" s="1860"/>
      <c r="W112" s="1860"/>
      <c r="X112" s="1860"/>
      <c r="Y112" s="1860"/>
      <c r="Z112" s="1860"/>
      <c r="AA112" s="1860"/>
      <c r="AB112" s="1860"/>
      <c r="AC112" s="1860"/>
      <c r="AD112" s="1860"/>
      <c r="AE112" s="1860"/>
      <c r="AF112" s="1860"/>
      <c r="AG112" s="1860"/>
      <c r="AH112" s="1860"/>
      <c r="AI112" s="1860"/>
      <c r="AJ112" s="1860"/>
      <c r="AK112" s="1860"/>
      <c r="AL112" s="1860"/>
      <c r="AM112" s="1860"/>
      <c r="AN112" s="1860"/>
      <c r="AO112" s="1860"/>
      <c r="AP112" s="1860"/>
      <c r="AQ112" s="1860"/>
      <c r="AR112" s="1860"/>
      <c r="AS112" s="1860"/>
    </row>
    <row r="113" spans="1:45" ht="14.5" x14ac:dyDescent="0.35">
      <c r="A113" s="1170"/>
      <c r="B113" s="2003"/>
      <c r="C113" s="1171"/>
      <c r="D113" s="1171"/>
      <c r="E113" s="1171"/>
      <c r="F113" s="1171"/>
      <c r="G113" s="1172"/>
      <c r="H113" s="1860"/>
      <c r="I113" s="1860"/>
      <c r="J113" s="1860"/>
      <c r="K113" s="1860"/>
      <c r="L113" s="1860"/>
      <c r="M113" s="1860"/>
      <c r="N113" s="1860"/>
      <c r="O113" s="1860"/>
      <c r="P113" s="1860"/>
      <c r="Q113" s="1860"/>
      <c r="R113" s="1860"/>
      <c r="S113" s="1860"/>
      <c r="T113" s="1860"/>
      <c r="U113" s="1860"/>
      <c r="V113" s="1860"/>
      <c r="W113" s="1860"/>
      <c r="X113" s="1860"/>
      <c r="Y113" s="1860"/>
      <c r="Z113" s="1860"/>
      <c r="AA113" s="1860"/>
      <c r="AB113" s="1860"/>
      <c r="AC113" s="1860"/>
      <c r="AD113" s="1860"/>
      <c r="AE113" s="1860"/>
      <c r="AF113" s="1860"/>
      <c r="AG113" s="1860"/>
      <c r="AH113" s="1860"/>
      <c r="AI113" s="1860"/>
      <c r="AJ113" s="1860"/>
      <c r="AK113" s="1860"/>
      <c r="AL113" s="1860"/>
      <c r="AM113" s="1860"/>
      <c r="AN113" s="1860"/>
      <c r="AO113" s="1860"/>
      <c r="AP113" s="1860"/>
      <c r="AQ113" s="1860"/>
      <c r="AR113" s="1860"/>
      <c r="AS113" s="1860"/>
    </row>
    <row r="114" spans="1:45" s="2" customFormat="1" ht="14.5" x14ac:dyDescent="0.35">
      <c r="A114" s="3764" t="s">
        <v>722</v>
      </c>
      <c r="B114" s="3765"/>
      <c r="C114" s="12"/>
      <c r="D114" s="12"/>
      <c r="E114" s="12"/>
      <c r="F114" s="12"/>
      <c r="G114" s="13"/>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row>
    <row r="115" spans="1:45" s="2" customFormat="1" ht="14.5" x14ac:dyDescent="0.35">
      <c r="A115" s="1170"/>
      <c r="B115" s="2003"/>
      <c r="C115" s="1171"/>
      <c r="D115" s="1171"/>
      <c r="E115" s="1171"/>
      <c r="F115" s="1171"/>
      <c r="G115" s="1172"/>
      <c r="H115" s="1860"/>
      <c r="I115" s="1860"/>
      <c r="J115" s="1860"/>
      <c r="K115" s="1860"/>
      <c r="L115" s="1860"/>
      <c r="M115" s="1860"/>
      <c r="N115" s="1860"/>
      <c r="O115" s="1860"/>
      <c r="P115" s="1860"/>
      <c r="Q115" s="1860"/>
      <c r="R115" s="1860"/>
      <c r="S115" s="1860"/>
      <c r="T115" s="1860"/>
      <c r="U115" s="1860"/>
      <c r="V115" s="1860"/>
      <c r="W115" s="1860"/>
      <c r="X115" s="1860"/>
      <c r="Y115" s="1860"/>
      <c r="Z115" s="1860"/>
      <c r="AA115" s="1860"/>
      <c r="AB115" s="1860"/>
      <c r="AC115" s="1860"/>
      <c r="AD115" s="1860"/>
      <c r="AE115" s="1860"/>
      <c r="AF115" s="1860"/>
      <c r="AG115" s="1860"/>
      <c r="AH115" s="1860"/>
      <c r="AI115" s="1860"/>
      <c r="AJ115" s="1860"/>
      <c r="AK115" s="1860"/>
      <c r="AL115" s="1860"/>
      <c r="AM115" s="1860"/>
      <c r="AN115" s="1860"/>
      <c r="AO115" s="1860"/>
      <c r="AP115" s="1860"/>
      <c r="AQ115" s="1860"/>
      <c r="AR115" s="1860"/>
      <c r="AS115" s="1860"/>
    </row>
    <row r="116" spans="1:45" s="2" customFormat="1" ht="14.5" x14ac:dyDescent="0.35">
      <c r="A116" s="1170"/>
      <c r="B116" s="2003"/>
      <c r="C116" s="1171"/>
      <c r="D116" s="1171"/>
      <c r="E116" s="1171"/>
      <c r="F116" s="1171"/>
      <c r="G116" s="1172"/>
      <c r="H116" s="1860"/>
      <c r="I116" s="1860"/>
      <c r="J116" s="1860"/>
      <c r="K116" s="1860"/>
      <c r="L116" s="1860"/>
      <c r="M116" s="1860"/>
      <c r="N116" s="1860"/>
      <c r="O116" s="1860"/>
      <c r="P116" s="1860"/>
      <c r="Q116" s="1860"/>
      <c r="R116" s="1860"/>
      <c r="S116" s="1860"/>
      <c r="T116" s="1860"/>
      <c r="U116" s="1860"/>
      <c r="V116" s="1860"/>
      <c r="W116" s="1860"/>
      <c r="X116" s="1860"/>
      <c r="Y116" s="1860"/>
      <c r="Z116" s="1860"/>
      <c r="AA116" s="1860"/>
      <c r="AB116" s="1860"/>
      <c r="AC116" s="1860"/>
      <c r="AD116" s="1860"/>
      <c r="AE116" s="1860"/>
      <c r="AF116" s="1860"/>
      <c r="AG116" s="1860"/>
      <c r="AH116" s="1860"/>
      <c r="AI116" s="1860"/>
      <c r="AJ116" s="1860"/>
      <c r="AK116" s="1860"/>
      <c r="AL116" s="1860"/>
      <c r="AM116" s="1860"/>
      <c r="AN116" s="1860"/>
      <c r="AO116" s="1860"/>
      <c r="AP116" s="1860"/>
      <c r="AQ116" s="1860"/>
      <c r="AR116" s="1860"/>
      <c r="AS116" s="1860"/>
    </row>
    <row r="117" spans="1:45" ht="14.5" x14ac:dyDescent="0.35">
      <c r="A117" s="1170"/>
      <c r="B117" s="2003"/>
      <c r="C117" s="1171"/>
      <c r="D117" s="1171"/>
      <c r="E117" s="1171"/>
      <c r="F117" s="1171"/>
      <c r="G117" s="1172"/>
      <c r="H117" s="1860"/>
      <c r="I117" s="1860"/>
      <c r="J117" s="1860"/>
      <c r="K117" s="1860"/>
      <c r="L117" s="1860"/>
      <c r="M117" s="1860"/>
      <c r="N117" s="1860"/>
      <c r="O117" s="1860"/>
      <c r="P117" s="1860"/>
      <c r="Q117" s="1860"/>
      <c r="R117" s="1860"/>
      <c r="S117" s="1860"/>
      <c r="T117" s="1860"/>
      <c r="U117" s="1860"/>
      <c r="V117" s="1860"/>
      <c r="W117" s="1860"/>
      <c r="X117" s="1860"/>
      <c r="Y117" s="1860"/>
      <c r="Z117" s="1860"/>
      <c r="AA117" s="1860"/>
      <c r="AB117" s="1860"/>
      <c r="AC117" s="1860"/>
      <c r="AD117" s="1860"/>
      <c r="AE117" s="1860"/>
      <c r="AF117" s="1860"/>
      <c r="AG117" s="1860"/>
      <c r="AH117" s="1860"/>
      <c r="AI117" s="1860"/>
      <c r="AJ117" s="1860"/>
      <c r="AK117" s="1860"/>
      <c r="AL117" s="1860"/>
      <c r="AM117" s="1860"/>
      <c r="AN117" s="1860"/>
      <c r="AO117" s="1860"/>
      <c r="AP117" s="1860"/>
      <c r="AQ117" s="1860"/>
      <c r="AR117" s="1860"/>
      <c r="AS117" s="1860"/>
    </row>
    <row r="118" spans="1:45" s="2" customFormat="1" ht="14.5" x14ac:dyDescent="0.35">
      <c r="A118" s="3764" t="s">
        <v>723</v>
      </c>
      <c r="B118" s="3765"/>
      <c r="C118" s="12"/>
      <c r="D118" s="12"/>
      <c r="E118" s="12"/>
      <c r="F118" s="12"/>
      <c r="G118" s="13"/>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row>
    <row r="119" spans="1:45" s="2" customFormat="1" ht="14.5" x14ac:dyDescent="0.35">
      <c r="A119" s="1170"/>
      <c r="B119" s="2003"/>
      <c r="C119" s="1171"/>
      <c r="D119" s="1171"/>
      <c r="E119" s="1171"/>
      <c r="F119" s="1171"/>
      <c r="G119" s="1172"/>
      <c r="H119" s="1860"/>
      <c r="I119" s="1860"/>
      <c r="J119" s="1860"/>
      <c r="K119" s="1860"/>
      <c r="L119" s="1860"/>
      <c r="M119" s="1860">
        <f>L8+M123+M125+M126</f>
        <v>2449504.17</v>
      </c>
      <c r="N119" s="1860"/>
      <c r="O119" s="1860"/>
      <c r="P119" s="1860"/>
      <c r="Q119" s="1860"/>
      <c r="R119" s="1860"/>
      <c r="S119" s="1860">
        <f>R8+S123+S124+S125+S126</f>
        <v>2225519</v>
      </c>
      <c r="T119" s="1860"/>
      <c r="U119" s="1860"/>
      <c r="V119" s="1860"/>
      <c r="W119" s="1860"/>
      <c r="X119" s="1860"/>
      <c r="Y119" s="1860"/>
      <c r="Z119" s="1860"/>
      <c r="AA119" s="1860"/>
      <c r="AB119" s="1860"/>
      <c r="AC119" s="1860"/>
      <c r="AD119" s="1860"/>
      <c r="AE119" s="1860"/>
      <c r="AF119" s="1860"/>
      <c r="AG119" s="1860"/>
      <c r="AH119" s="1860"/>
      <c r="AI119" s="1860"/>
      <c r="AJ119" s="1860"/>
      <c r="AK119" s="1860"/>
      <c r="AL119" s="1860"/>
      <c r="AM119" s="1860"/>
      <c r="AN119" s="1860"/>
      <c r="AO119" s="1860"/>
      <c r="AP119" s="1860"/>
      <c r="AQ119" s="1860"/>
      <c r="AR119" s="1860"/>
      <c r="AS119" s="1860"/>
    </row>
    <row r="120" spans="1:45" s="2" customFormat="1" ht="14.5" x14ac:dyDescent="0.35">
      <c r="A120" s="2007"/>
      <c r="B120" s="2003"/>
      <c r="C120" s="2004"/>
      <c r="D120" s="2004"/>
      <c r="E120" s="2004"/>
      <c r="F120" s="2004"/>
      <c r="G120" s="1956"/>
      <c r="H120" s="2081"/>
      <c r="I120" s="2081"/>
      <c r="J120" s="2081"/>
      <c r="K120" s="2081"/>
      <c r="L120" s="2081"/>
      <c r="M120" s="2081"/>
      <c r="N120" s="2081"/>
      <c r="O120" s="2081"/>
      <c r="P120" s="2081"/>
      <c r="Q120" s="2081"/>
      <c r="R120" s="2081"/>
      <c r="S120" s="2081"/>
      <c r="T120" s="2081"/>
      <c r="U120" s="2081"/>
      <c r="V120" s="2081"/>
      <c r="W120" s="2081"/>
      <c r="X120" s="2081"/>
      <c r="Y120" s="2081"/>
      <c r="Z120" s="2081"/>
      <c r="AA120" s="2081"/>
      <c r="AB120" s="2081"/>
      <c r="AC120" s="2081"/>
      <c r="AD120" s="2081"/>
      <c r="AE120" s="2081"/>
      <c r="AF120" s="2081"/>
      <c r="AG120" s="2081"/>
      <c r="AH120" s="2081"/>
      <c r="AI120" s="2081"/>
      <c r="AJ120" s="2081"/>
      <c r="AK120" s="2081"/>
      <c r="AL120" s="2081"/>
      <c r="AM120" s="2081"/>
      <c r="AN120" s="2081"/>
      <c r="AO120" s="2081"/>
      <c r="AP120" s="2081"/>
      <c r="AQ120" s="2081"/>
      <c r="AR120" s="2081"/>
      <c r="AS120" s="2081"/>
    </row>
    <row r="121" spans="1:45" s="2" customFormat="1" ht="14.5" x14ac:dyDescent="0.35">
      <c r="A121" s="2082"/>
      <c r="B121" s="2083"/>
      <c r="C121" s="2004"/>
      <c r="D121" s="2004"/>
      <c r="E121" s="2004"/>
      <c r="F121" s="2004"/>
      <c r="G121" s="1956"/>
      <c r="H121" s="2084"/>
      <c r="I121" s="2084"/>
      <c r="J121" s="2084"/>
      <c r="K121" s="2084"/>
      <c r="L121" s="2084"/>
      <c r="M121" s="2084"/>
      <c r="N121" s="2084"/>
      <c r="O121" s="2084"/>
      <c r="P121" s="2084"/>
      <c r="Q121" s="2084"/>
      <c r="R121" s="2084"/>
      <c r="S121" s="2084"/>
      <c r="T121" s="2084"/>
      <c r="U121" s="2084"/>
      <c r="V121" s="2084"/>
      <c r="W121" s="2084"/>
      <c r="X121" s="2084"/>
      <c r="Y121" s="2084"/>
      <c r="Z121" s="2084"/>
      <c r="AA121" s="2084"/>
      <c r="AB121" s="2084"/>
      <c r="AC121" s="2084"/>
      <c r="AD121" s="2084"/>
      <c r="AE121" s="2084"/>
      <c r="AF121" s="2084"/>
      <c r="AG121" s="2084"/>
      <c r="AH121" s="2084"/>
      <c r="AI121" s="2084"/>
      <c r="AJ121" s="2084"/>
      <c r="AK121" s="2084"/>
      <c r="AL121" s="2084"/>
      <c r="AM121" s="2084"/>
      <c r="AN121" s="2084"/>
      <c r="AO121" s="2084"/>
      <c r="AP121" s="2084"/>
      <c r="AQ121" s="2084"/>
      <c r="AR121" s="2084"/>
      <c r="AS121" s="2084"/>
    </row>
    <row r="122" spans="1:45" s="2" customFormat="1" ht="14.5" x14ac:dyDescent="0.35">
      <c r="A122" s="3764" t="s">
        <v>724</v>
      </c>
      <c r="B122" s="3765"/>
      <c r="C122" s="12"/>
      <c r="D122" s="12"/>
      <c r="E122" s="12"/>
      <c r="F122" s="12"/>
      <c r="G122" s="13"/>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row>
    <row r="123" spans="1:45" ht="43.5" x14ac:dyDescent="0.35">
      <c r="A123" s="1174"/>
      <c r="B123" s="2034" t="s">
        <v>2489</v>
      </c>
      <c r="C123" s="1171"/>
      <c r="D123" s="1171"/>
      <c r="E123" s="1171"/>
      <c r="F123" s="1171"/>
      <c r="G123" s="1172"/>
      <c r="H123" s="1860"/>
      <c r="I123" s="1860">
        <v>-482130</v>
      </c>
      <c r="J123" s="1860"/>
      <c r="K123" s="1860"/>
      <c r="L123" s="1659" t="s">
        <v>669</v>
      </c>
      <c r="M123" s="2085">
        <f>978894.17-M47</f>
        <v>-367420.82999999996</v>
      </c>
      <c r="N123" s="1659" t="s">
        <v>669</v>
      </c>
      <c r="O123" s="2085">
        <v>-430357</v>
      </c>
      <c r="P123" s="1659" t="s">
        <v>669</v>
      </c>
      <c r="Q123" s="2085">
        <v>-430357</v>
      </c>
      <c r="R123" s="1659" t="s">
        <v>669</v>
      </c>
      <c r="S123" s="2085">
        <v>-430357</v>
      </c>
      <c r="T123" s="1860"/>
      <c r="U123" s="1860"/>
      <c r="V123" s="1860"/>
      <c r="W123" s="1860"/>
      <c r="X123" s="1860"/>
      <c r="Y123" s="1860"/>
      <c r="Z123" s="1860"/>
      <c r="AA123" s="1860"/>
      <c r="AB123" s="1860"/>
      <c r="AC123" s="1860"/>
      <c r="AD123" s="1860"/>
      <c r="AE123" s="1860"/>
      <c r="AF123" s="1659" t="s">
        <v>669</v>
      </c>
      <c r="AG123" s="2086">
        <f>-363255</f>
        <v>-363255</v>
      </c>
      <c r="AH123" s="1860"/>
      <c r="AI123" s="2086">
        <v>-323665</v>
      </c>
      <c r="AJ123" s="1860"/>
      <c r="AK123" s="1860"/>
      <c r="AL123" s="1860"/>
      <c r="AM123" s="1860"/>
      <c r="AN123" s="1860"/>
      <c r="AO123" s="1860"/>
      <c r="AP123" s="1860"/>
      <c r="AQ123" s="1860"/>
      <c r="AR123" s="1860"/>
      <c r="AS123" s="1860"/>
    </row>
    <row r="124" spans="1:45" ht="49.5" customHeight="1" x14ac:dyDescent="0.35">
      <c r="A124" s="2082"/>
      <c r="B124" s="2034" t="s">
        <v>2490</v>
      </c>
      <c r="C124" s="2004"/>
      <c r="D124" s="2004"/>
      <c r="E124" s="2004"/>
      <c r="F124" s="2004"/>
      <c r="G124" s="1956"/>
      <c r="H124" s="2087"/>
      <c r="I124" s="2087">
        <v>-62630</v>
      </c>
      <c r="J124" s="2087"/>
      <c r="K124" s="2087"/>
      <c r="L124" s="1659" t="s">
        <v>669</v>
      </c>
      <c r="M124" s="2087" t="s">
        <v>1442</v>
      </c>
      <c r="N124" s="1659" t="s">
        <v>669</v>
      </c>
      <c r="O124" s="2086">
        <v>-55325</v>
      </c>
      <c r="P124" s="1659" t="s">
        <v>669</v>
      </c>
      <c r="Q124" s="2086">
        <v>-55325</v>
      </c>
      <c r="R124" s="1659" t="s">
        <v>669</v>
      </c>
      <c r="S124" s="2086">
        <v>-55325</v>
      </c>
      <c r="T124" s="2087"/>
      <c r="U124" s="2087"/>
      <c r="V124" s="2087"/>
      <c r="W124" s="2087"/>
      <c r="X124" s="2087"/>
      <c r="Y124" s="2087"/>
      <c r="Z124" s="2087"/>
      <c r="AA124" s="2087"/>
      <c r="AB124" s="2087"/>
      <c r="AC124" s="2087"/>
      <c r="AD124" s="2087"/>
      <c r="AE124" s="2087"/>
      <c r="AF124" s="2087"/>
      <c r="AG124" s="2087"/>
      <c r="AH124" s="2087"/>
      <c r="AI124" s="2087"/>
      <c r="AJ124" s="2087"/>
      <c r="AK124" s="2087"/>
      <c r="AL124" s="2087"/>
      <c r="AM124" s="2087"/>
      <c r="AN124" s="2087"/>
      <c r="AO124" s="2087"/>
      <c r="AP124" s="2087"/>
      <c r="AQ124" s="2087"/>
      <c r="AR124" s="2087"/>
      <c r="AS124" s="2087"/>
    </row>
    <row r="125" spans="1:45" ht="29" x14ac:dyDescent="0.35">
      <c r="A125" s="2082"/>
      <c r="B125" s="2034" t="s">
        <v>2491</v>
      </c>
      <c r="C125" s="2004"/>
      <c r="D125" s="2004"/>
      <c r="E125" s="2004"/>
      <c r="F125" s="2004"/>
      <c r="G125" s="1956"/>
      <c r="H125" s="2087"/>
      <c r="I125" s="2087"/>
      <c r="J125" s="2087"/>
      <c r="K125" s="2087"/>
      <c r="L125" s="1659"/>
      <c r="M125" s="2085"/>
      <c r="N125" s="2087"/>
      <c r="O125" s="2087"/>
      <c r="P125" s="1659" t="s">
        <v>669</v>
      </c>
      <c r="Q125" s="2086">
        <v>-91977</v>
      </c>
      <c r="R125" s="1659" t="s">
        <v>669</v>
      </c>
      <c r="S125" s="2086">
        <v>-91977</v>
      </c>
      <c r="T125" s="2087"/>
      <c r="U125" s="2087"/>
      <c r="V125" s="2087"/>
      <c r="W125" s="2087"/>
      <c r="X125" s="2087"/>
      <c r="Y125" s="2087"/>
      <c r="Z125" s="2087"/>
      <c r="AA125" s="2087"/>
      <c r="AB125" s="2087"/>
      <c r="AC125" s="2087"/>
      <c r="AD125" s="2087"/>
      <c r="AE125" s="2087"/>
      <c r="AF125" s="1659" t="s">
        <v>669</v>
      </c>
      <c r="AG125" s="2086">
        <f>-63780</f>
        <v>-63780</v>
      </c>
      <c r="AH125" s="2087"/>
      <c r="AI125" s="2087"/>
      <c r="AJ125" s="2087"/>
      <c r="AK125" s="2087"/>
      <c r="AL125" s="2087"/>
      <c r="AM125" s="2087"/>
      <c r="AN125" s="2087"/>
      <c r="AO125" s="2087"/>
      <c r="AP125" s="2087"/>
      <c r="AQ125" s="2087"/>
      <c r="AR125" s="2087"/>
      <c r="AS125" s="2087"/>
    </row>
    <row r="126" spans="1:45" ht="29" x14ac:dyDescent="0.35">
      <c r="A126" s="2082"/>
      <c r="B126" s="2034" t="s">
        <v>2492</v>
      </c>
      <c r="C126" s="2004"/>
      <c r="D126" s="2004"/>
      <c r="E126" s="2004"/>
      <c r="F126" s="2004"/>
      <c r="G126" s="1956"/>
      <c r="H126" s="2087"/>
      <c r="I126" s="2087"/>
      <c r="J126" s="2087"/>
      <c r="K126" s="2087"/>
      <c r="L126" s="1659"/>
      <c r="M126" s="2085"/>
      <c r="N126" s="2087"/>
      <c r="O126" s="2087"/>
      <c r="P126" s="1659" t="s">
        <v>669</v>
      </c>
      <c r="Q126" s="2086">
        <f>-283627-11750</f>
        <v>-295377</v>
      </c>
      <c r="R126" s="1659" t="s">
        <v>669</v>
      </c>
      <c r="S126" s="2086">
        <f>-283627-11750</f>
        <v>-295377</v>
      </c>
      <c r="T126" s="2087"/>
      <c r="U126" s="1860"/>
      <c r="V126" s="2087"/>
      <c r="W126" s="2087"/>
      <c r="X126" s="2087"/>
      <c r="Y126" s="2087"/>
      <c r="Z126" s="2087"/>
      <c r="AA126" s="2087"/>
      <c r="AB126" s="2087"/>
      <c r="AC126" s="1860"/>
      <c r="AD126" s="2087"/>
      <c r="AE126" s="2087"/>
      <c r="AF126" s="2087"/>
      <c r="AG126" s="2086">
        <v>-466140</v>
      </c>
      <c r="AH126" s="2087"/>
      <c r="AI126" s="2087"/>
      <c r="AJ126" s="2087"/>
      <c r="AK126" s="2087"/>
      <c r="AL126" s="2087"/>
      <c r="AM126" s="2087"/>
      <c r="AN126" s="2087"/>
      <c r="AO126" s="2087"/>
      <c r="AP126" s="2087"/>
      <c r="AQ126" s="2087"/>
      <c r="AR126" s="2087"/>
      <c r="AS126" s="2087"/>
    </row>
    <row r="127" spans="1:45" ht="43.5" x14ac:dyDescent="0.35">
      <c r="A127" s="2082"/>
      <c r="B127" s="2034" t="s">
        <v>2493</v>
      </c>
      <c r="C127" s="2004"/>
      <c r="D127" s="2004"/>
      <c r="E127" s="2004"/>
      <c r="F127" s="2004"/>
      <c r="G127" s="1956"/>
      <c r="H127" s="2087"/>
      <c r="I127" s="2087"/>
      <c r="J127" s="2087"/>
      <c r="K127" s="2087"/>
      <c r="L127" s="2038" t="s">
        <v>669</v>
      </c>
      <c r="M127" s="2085">
        <f>1068828-M47</f>
        <v>-277487</v>
      </c>
      <c r="N127" s="2087"/>
      <c r="O127" s="2087"/>
      <c r="P127" s="2038"/>
      <c r="Q127" s="2086"/>
      <c r="R127" s="2038"/>
      <c r="S127" s="2086"/>
      <c r="T127" s="2087"/>
      <c r="U127" s="1860"/>
      <c r="V127" s="2087"/>
      <c r="W127" s="2087"/>
      <c r="X127" s="2087"/>
      <c r="Y127" s="2087"/>
      <c r="Z127" s="2087"/>
      <c r="AA127" s="2087"/>
      <c r="AB127" s="2087"/>
      <c r="AC127" s="1860"/>
      <c r="AD127" s="2087"/>
      <c r="AE127" s="2087"/>
      <c r="AF127" s="2087"/>
      <c r="AG127" s="2086"/>
      <c r="AH127" s="2087"/>
      <c r="AI127" s="2087"/>
      <c r="AJ127" s="2087"/>
      <c r="AK127" s="2087"/>
      <c r="AL127" s="2087"/>
      <c r="AM127" s="2087"/>
      <c r="AN127" s="2087"/>
      <c r="AO127" s="2087"/>
      <c r="AP127" s="2087"/>
      <c r="AQ127" s="2087"/>
      <c r="AR127" s="2087"/>
      <c r="AS127" s="2087"/>
    </row>
    <row r="128" spans="1:45" ht="14.5" x14ac:dyDescent="0.35">
      <c r="A128" s="2082"/>
      <c r="B128" s="2034" t="s">
        <v>2494</v>
      </c>
      <c r="C128" s="2004"/>
      <c r="D128" s="2004"/>
      <c r="E128" s="2004"/>
      <c r="F128" s="2004"/>
      <c r="G128" s="1956"/>
      <c r="H128" s="2087"/>
      <c r="I128" s="2087"/>
      <c r="J128" s="2087"/>
      <c r="K128" s="2087"/>
      <c r="L128" s="1659" t="s">
        <v>669</v>
      </c>
      <c r="M128" s="2085">
        <f>478518-M49</f>
        <v>-203674</v>
      </c>
      <c r="N128" s="2087"/>
      <c r="O128" s="2087"/>
      <c r="P128" s="2088"/>
      <c r="Q128" s="2086"/>
      <c r="R128" s="2088"/>
      <c r="S128" s="2086"/>
      <c r="T128" s="2087"/>
      <c r="U128" s="1860"/>
      <c r="V128" s="2087"/>
      <c r="W128" s="2087"/>
      <c r="X128" s="2087"/>
      <c r="Y128" s="2087"/>
      <c r="Z128" s="2087"/>
      <c r="AA128" s="2087"/>
      <c r="AB128" s="2087"/>
      <c r="AC128" s="1860"/>
      <c r="AD128" s="2087"/>
      <c r="AE128" s="2087"/>
      <c r="AF128" s="2087"/>
      <c r="AG128" s="2086"/>
      <c r="AH128" s="2087"/>
      <c r="AI128" s="2087"/>
      <c r="AJ128" s="2087"/>
      <c r="AK128" s="2087"/>
      <c r="AL128" s="2087"/>
      <c r="AM128" s="2087"/>
      <c r="AN128" s="2087"/>
      <c r="AO128" s="2087"/>
      <c r="AP128" s="2087"/>
      <c r="AQ128" s="2087"/>
      <c r="AR128" s="2087"/>
      <c r="AS128" s="2087"/>
    </row>
    <row r="129" spans="1:45" ht="14.5" x14ac:dyDescent="0.35">
      <c r="A129" s="2082"/>
      <c r="B129" s="2034" t="s">
        <v>2495</v>
      </c>
      <c r="C129" s="2004"/>
      <c r="D129" s="2004"/>
      <c r="E129" s="2004"/>
      <c r="F129" s="2004"/>
      <c r="G129" s="1956"/>
      <c r="H129" s="2087"/>
      <c r="I129" s="2087"/>
      <c r="J129" s="2087"/>
      <c r="K129" s="2087"/>
      <c r="L129" s="1659" t="s">
        <v>669</v>
      </c>
      <c r="M129" s="2085">
        <f>117179-M52</f>
        <v>-84756</v>
      </c>
      <c r="N129" s="2087"/>
      <c r="O129" s="2087"/>
      <c r="P129" s="2088"/>
      <c r="Q129" s="2086"/>
      <c r="R129" s="2088"/>
      <c r="S129" s="2086"/>
      <c r="T129" s="2087"/>
      <c r="U129" s="1860"/>
      <c r="V129" s="2087"/>
      <c r="W129" s="2087"/>
      <c r="X129" s="2087"/>
      <c r="Y129" s="2087"/>
      <c r="Z129" s="2087"/>
      <c r="AA129" s="2087"/>
      <c r="AB129" s="2087"/>
      <c r="AC129" s="1860"/>
      <c r="AD129" s="2087"/>
      <c r="AE129" s="2087"/>
      <c r="AF129" s="2087"/>
      <c r="AG129" s="2086"/>
      <c r="AH129" s="2087"/>
      <c r="AI129" s="2087"/>
      <c r="AJ129" s="2087"/>
      <c r="AK129" s="2087"/>
      <c r="AL129" s="2087"/>
      <c r="AM129" s="2087"/>
      <c r="AN129" s="2087"/>
      <c r="AO129" s="2087"/>
      <c r="AP129" s="2087"/>
      <c r="AQ129" s="2087"/>
      <c r="AR129" s="2087"/>
      <c r="AS129" s="2087"/>
    </row>
    <row r="130" spans="1:45" ht="14.5" x14ac:dyDescent="0.35">
      <c r="A130" s="2082"/>
      <c r="B130" s="2034" t="s">
        <v>2496</v>
      </c>
      <c r="C130" s="2004"/>
      <c r="D130" s="2004"/>
      <c r="E130" s="2004"/>
      <c r="F130" s="2004"/>
      <c r="G130" s="1956"/>
      <c r="H130" s="2087"/>
      <c r="I130" s="2087"/>
      <c r="J130" s="2087"/>
      <c r="K130" s="2087"/>
      <c r="L130" s="2088"/>
      <c r="M130" s="2087"/>
      <c r="N130" s="2087"/>
      <c r="O130" s="2087"/>
      <c r="P130" s="2087"/>
      <c r="Q130" s="2087"/>
      <c r="R130" s="2087"/>
      <c r="S130" s="2087"/>
      <c r="T130" s="2087"/>
      <c r="U130" s="2085">
        <f>-948000+610000</f>
        <v>-338000</v>
      </c>
      <c r="V130" s="2087"/>
      <c r="W130" s="2087"/>
      <c r="X130" s="2087"/>
      <c r="Y130" s="2087"/>
      <c r="Z130" s="2087"/>
      <c r="AA130" s="2087"/>
      <c r="AB130" s="2087"/>
      <c r="AC130" s="2085">
        <f>-948000+610000</f>
        <v>-338000</v>
      </c>
      <c r="AD130" s="2087"/>
      <c r="AE130" s="2087"/>
      <c r="AF130" s="2087"/>
      <c r="AG130" s="2087"/>
      <c r="AH130" s="2087"/>
      <c r="AI130" s="2087"/>
      <c r="AJ130" s="2087"/>
      <c r="AK130" s="2087"/>
      <c r="AL130" s="2087"/>
      <c r="AM130" s="2087"/>
      <c r="AN130" s="2087"/>
      <c r="AO130" s="2087"/>
      <c r="AP130" s="2087"/>
      <c r="AQ130" s="2087"/>
      <c r="AR130" s="2087"/>
      <c r="AS130" s="2087"/>
    </row>
    <row r="131" spans="1:45" ht="14.5" x14ac:dyDescent="0.35">
      <c r="A131" s="2082"/>
      <c r="B131" s="2034" t="s">
        <v>2497</v>
      </c>
      <c r="C131" s="2004"/>
      <c r="D131" s="2004"/>
      <c r="E131" s="2004"/>
      <c r="F131" s="2004"/>
      <c r="G131" s="1956"/>
      <c r="H131" s="2087"/>
      <c r="I131" s="2087"/>
      <c r="J131" s="2087"/>
      <c r="K131" s="2087"/>
      <c r="L131" s="2088"/>
      <c r="M131" s="2087"/>
      <c r="N131" s="2087"/>
      <c r="O131" s="2087"/>
      <c r="P131" s="2087"/>
      <c r="Q131" s="2087"/>
      <c r="R131" s="2087"/>
      <c r="S131" s="2087"/>
      <c r="T131" s="2087"/>
      <c r="U131" s="2085"/>
      <c r="V131" s="2087"/>
      <c r="W131" s="2087"/>
      <c r="X131" s="2087"/>
      <c r="Y131" s="2087"/>
      <c r="Z131" s="2087"/>
      <c r="AA131" s="2087"/>
      <c r="AB131" s="2087"/>
      <c r="AC131" s="2085">
        <f>-1320000+728000</f>
        <v>-592000</v>
      </c>
      <c r="AD131" s="2087"/>
      <c r="AE131" s="2087"/>
      <c r="AF131" s="2087"/>
      <c r="AG131" s="2087"/>
      <c r="AH131" s="2087"/>
      <c r="AI131" s="2087"/>
      <c r="AJ131" s="2087"/>
      <c r="AK131" s="2087"/>
      <c r="AL131" s="2087"/>
      <c r="AM131" s="2087"/>
      <c r="AN131" s="2087"/>
      <c r="AO131" s="2087"/>
      <c r="AP131" s="2087"/>
      <c r="AQ131" s="2087"/>
      <c r="AR131" s="2087"/>
      <c r="AS131" s="2087"/>
    </row>
    <row r="132" spans="1:45" ht="14.5" x14ac:dyDescent="0.35">
      <c r="A132" s="2082"/>
      <c r="B132" s="2034" t="s">
        <v>2498</v>
      </c>
      <c r="C132" s="2004"/>
      <c r="D132" s="2004"/>
      <c r="E132" s="2004"/>
      <c r="F132" s="2004"/>
      <c r="G132" s="1956"/>
      <c r="H132" s="2087"/>
      <c r="I132" s="2087"/>
      <c r="J132" s="2087"/>
      <c r="K132" s="2087"/>
      <c r="L132" s="2088"/>
      <c r="M132" s="2087"/>
      <c r="N132" s="2087"/>
      <c r="O132" s="2087"/>
      <c r="P132" s="2087"/>
      <c r="Q132" s="2087"/>
      <c r="R132" s="2087"/>
      <c r="S132" s="2087"/>
      <c r="T132" s="2087"/>
      <c r="U132" s="2085">
        <f>-1061000+857000</f>
        <v>-204000</v>
      </c>
      <c r="V132" s="2087"/>
      <c r="W132" s="2087"/>
      <c r="X132" s="2087"/>
      <c r="Y132" s="2087"/>
      <c r="Z132" s="2087"/>
      <c r="AA132" s="2087"/>
      <c r="AB132" s="2087"/>
      <c r="AC132" s="2087"/>
      <c r="AD132" s="2087"/>
      <c r="AE132" s="2087"/>
      <c r="AF132" s="2087"/>
      <c r="AG132" s="2087"/>
      <c r="AH132" s="2087"/>
      <c r="AI132" s="2087"/>
      <c r="AJ132" s="2087"/>
      <c r="AK132" s="2087"/>
      <c r="AL132" s="2087"/>
      <c r="AM132" s="2087"/>
      <c r="AN132" s="2087"/>
      <c r="AO132" s="2087"/>
      <c r="AP132" s="2087"/>
      <c r="AQ132" s="2087"/>
      <c r="AR132" s="2087"/>
      <c r="AS132" s="2087"/>
    </row>
    <row r="133" spans="1:45" ht="14.5" x14ac:dyDescent="0.35">
      <c r="A133" s="2082"/>
      <c r="B133" s="2034" t="s">
        <v>2499</v>
      </c>
      <c r="C133" s="2004"/>
      <c r="D133" s="2004"/>
      <c r="E133" s="2004"/>
      <c r="F133" s="2004"/>
      <c r="G133" s="1956"/>
      <c r="H133" s="2087"/>
      <c r="I133" s="2087"/>
      <c r="J133" s="2087"/>
      <c r="K133" s="2087"/>
      <c r="L133" s="2088"/>
      <c r="M133" s="2087"/>
      <c r="N133" s="2087"/>
      <c r="O133" s="2087"/>
      <c r="P133" s="2087"/>
      <c r="Q133" s="2087"/>
      <c r="R133" s="2087"/>
      <c r="S133" s="2087"/>
      <c r="T133" s="2087"/>
      <c r="U133" s="2085">
        <f>-237000+186000</f>
        <v>-51000</v>
      </c>
      <c r="V133" s="2087"/>
      <c r="W133" s="2087"/>
      <c r="X133" s="2087"/>
      <c r="Y133" s="2087"/>
      <c r="Z133" s="2087"/>
      <c r="AA133" s="2087"/>
      <c r="AB133" s="2087"/>
      <c r="AC133" s="2087"/>
      <c r="AD133" s="2087"/>
      <c r="AE133" s="2087"/>
      <c r="AF133" s="2087"/>
      <c r="AG133" s="2087"/>
      <c r="AH133" s="2087"/>
      <c r="AI133" s="2087"/>
      <c r="AJ133" s="2087"/>
      <c r="AK133" s="2087"/>
      <c r="AL133" s="2087"/>
      <c r="AM133" s="2087"/>
      <c r="AN133" s="2087"/>
      <c r="AO133" s="2087"/>
      <c r="AP133" s="2087"/>
      <c r="AQ133" s="2087"/>
      <c r="AR133" s="2087"/>
      <c r="AS133" s="2087"/>
    </row>
    <row r="134" spans="1:45" ht="29" x14ac:dyDescent="0.35">
      <c r="A134" s="2082"/>
      <c r="B134" s="2034" t="s">
        <v>2500</v>
      </c>
      <c r="C134" s="2004"/>
      <c r="D134" s="2004"/>
      <c r="E134" s="2004"/>
      <c r="F134" s="2004"/>
      <c r="G134" s="1956"/>
      <c r="H134" s="2087"/>
      <c r="I134" s="2087"/>
      <c r="J134" s="2087"/>
      <c r="K134" s="2087"/>
      <c r="L134" s="1659" t="s">
        <v>669</v>
      </c>
      <c r="M134" s="2085">
        <f>978894-M47</f>
        <v>-367421</v>
      </c>
      <c r="N134" s="2087"/>
      <c r="O134" s="2087"/>
      <c r="P134" s="2087"/>
      <c r="Q134" s="2087"/>
      <c r="R134" s="2087"/>
      <c r="S134" s="2087"/>
      <c r="T134" s="2087"/>
      <c r="U134" s="2085"/>
      <c r="V134" s="2087"/>
      <c r="W134" s="2087"/>
      <c r="X134" s="2087"/>
      <c r="Y134" s="2087"/>
      <c r="Z134" s="2087"/>
      <c r="AA134" s="2087"/>
      <c r="AB134" s="2087"/>
      <c r="AC134" s="2087"/>
      <c r="AD134" s="2087"/>
      <c r="AE134" s="2087"/>
      <c r="AF134" s="2087"/>
      <c r="AG134" s="2087"/>
      <c r="AH134" s="2087"/>
      <c r="AI134" s="2087"/>
      <c r="AJ134" s="2087"/>
      <c r="AK134" s="2087"/>
      <c r="AL134" s="2087"/>
      <c r="AM134" s="2087"/>
      <c r="AN134" s="2087"/>
      <c r="AO134" s="2087"/>
      <c r="AP134" s="2087"/>
      <c r="AQ134" s="2087"/>
      <c r="AR134" s="2087"/>
      <c r="AS134" s="2087"/>
    </row>
    <row r="135" spans="1:45" ht="14.5" x14ac:dyDescent="0.35">
      <c r="A135" s="2082"/>
      <c r="B135" s="2034"/>
      <c r="C135" s="2004"/>
      <c r="D135" s="2004"/>
      <c r="E135" s="2004"/>
      <c r="F135" s="2004"/>
      <c r="G135" s="1956"/>
      <c r="H135" s="2087"/>
      <c r="I135" s="2087"/>
      <c r="J135" s="2087"/>
      <c r="K135" s="2087"/>
      <c r="L135" s="2087"/>
      <c r="M135" s="2087"/>
      <c r="N135" s="2087"/>
      <c r="O135" s="2087"/>
      <c r="P135" s="2087"/>
      <c r="Q135" s="2087"/>
      <c r="R135" s="2087"/>
      <c r="S135" s="2087"/>
      <c r="T135" s="2087"/>
      <c r="U135" s="2085"/>
      <c r="V135" s="2087"/>
      <c r="W135" s="2087"/>
      <c r="X135" s="2087"/>
      <c r="Y135" s="2087"/>
      <c r="Z135" s="2087"/>
      <c r="AA135" s="2087"/>
      <c r="AB135" s="2087"/>
      <c r="AC135" s="2087"/>
      <c r="AD135" s="2087"/>
      <c r="AE135" s="2087"/>
      <c r="AF135" s="2087"/>
      <c r="AG135" s="2087"/>
      <c r="AH135" s="2087"/>
      <c r="AI135" s="2087"/>
      <c r="AJ135" s="2087"/>
      <c r="AK135" s="2087"/>
      <c r="AL135" s="2087"/>
      <c r="AM135" s="2087"/>
      <c r="AN135" s="2087"/>
      <c r="AO135" s="2087"/>
      <c r="AP135" s="2087"/>
      <c r="AQ135" s="2087"/>
      <c r="AR135" s="2087"/>
      <c r="AS135" s="2087"/>
    </row>
    <row r="136" spans="1:45" ht="14.5" x14ac:dyDescent="0.35">
      <c r="A136" s="2082"/>
      <c r="B136" s="2034"/>
      <c r="C136" s="2004"/>
      <c r="D136" s="2004"/>
      <c r="E136" s="2004"/>
      <c r="F136" s="2004"/>
      <c r="G136" s="1956"/>
      <c r="H136" s="2087"/>
      <c r="I136" s="2087"/>
      <c r="J136" s="2087"/>
      <c r="K136" s="2087"/>
      <c r="L136" s="2087"/>
      <c r="M136" s="2087"/>
      <c r="N136" s="2087"/>
      <c r="O136" s="2087"/>
      <c r="P136" s="2087"/>
      <c r="Q136" s="2087"/>
      <c r="R136" s="2087"/>
      <c r="S136" s="2087"/>
      <c r="T136" s="2087"/>
      <c r="U136" s="2085"/>
      <c r="V136" s="2087"/>
      <c r="W136" s="2087"/>
      <c r="X136" s="2087"/>
      <c r="Y136" s="2087"/>
      <c r="Z136" s="2087"/>
      <c r="AA136" s="2087"/>
      <c r="AB136" s="2087"/>
      <c r="AC136" s="2087"/>
      <c r="AD136" s="2087"/>
      <c r="AE136" s="2087"/>
      <c r="AF136" s="2087"/>
      <c r="AG136" s="2087"/>
      <c r="AH136" s="2087"/>
      <c r="AI136" s="2087"/>
      <c r="AJ136" s="2087"/>
      <c r="AK136" s="2087"/>
      <c r="AL136" s="2087"/>
      <c r="AM136" s="2087"/>
      <c r="AN136" s="2087"/>
      <c r="AO136" s="2087"/>
      <c r="AP136" s="2087"/>
      <c r="AQ136" s="2087"/>
      <c r="AR136" s="2087"/>
      <c r="AS136" s="2087"/>
    </row>
    <row r="137" spans="1:45" ht="14.5" x14ac:dyDescent="0.35">
      <c r="A137" s="2082"/>
      <c r="B137" s="2034"/>
      <c r="C137" s="2004"/>
      <c r="D137" s="2004"/>
      <c r="E137" s="2004"/>
      <c r="F137" s="2004"/>
      <c r="G137" s="1956"/>
      <c r="H137" s="2087"/>
      <c r="I137" s="2087"/>
      <c r="J137" s="2087"/>
      <c r="K137" s="2087"/>
      <c r="L137" s="2087"/>
      <c r="M137" s="2087"/>
      <c r="N137" s="2087"/>
      <c r="O137" s="2087"/>
      <c r="P137" s="2087"/>
      <c r="Q137" s="2087"/>
      <c r="R137" s="2087"/>
      <c r="S137" s="2087"/>
      <c r="T137" s="2087"/>
      <c r="U137" s="2085"/>
      <c r="V137" s="2087"/>
      <c r="W137" s="2087"/>
      <c r="X137" s="2087"/>
      <c r="Y137" s="2087"/>
      <c r="Z137" s="2087"/>
      <c r="AA137" s="2087"/>
      <c r="AB137" s="2087"/>
      <c r="AC137" s="2087"/>
      <c r="AD137" s="2087"/>
      <c r="AE137" s="2087"/>
      <c r="AF137" s="2087"/>
      <c r="AG137" s="2087"/>
      <c r="AH137" s="2087"/>
      <c r="AI137" s="2087"/>
      <c r="AJ137" s="2087"/>
      <c r="AK137" s="2087"/>
      <c r="AL137" s="2087"/>
      <c r="AM137" s="2087"/>
      <c r="AN137" s="2087"/>
      <c r="AO137" s="2087"/>
      <c r="AP137" s="2087"/>
      <c r="AQ137" s="2087"/>
      <c r="AR137" s="2087"/>
      <c r="AS137" s="2087"/>
    </row>
    <row r="138" spans="1:45" ht="14.5" x14ac:dyDescent="0.35">
      <c r="A138" s="2082"/>
      <c r="B138" s="2034" t="s">
        <v>2501</v>
      </c>
      <c r="C138" s="2004"/>
      <c r="D138" s="2004"/>
      <c r="E138" s="2004"/>
      <c r="F138" s="2004"/>
      <c r="G138" s="1956"/>
      <c r="H138" s="2087"/>
      <c r="I138" s="2087"/>
      <c r="J138" s="2087"/>
      <c r="K138" s="2087"/>
      <c r="L138" s="2087"/>
      <c r="M138" s="2087"/>
      <c r="N138" s="2087"/>
      <c r="O138" s="2087"/>
      <c r="P138" s="2087"/>
      <c r="Q138" s="2087"/>
      <c r="R138" s="2087"/>
      <c r="S138" s="2087"/>
      <c r="T138" s="2087"/>
      <c r="U138" s="2085"/>
      <c r="V138" s="2087"/>
      <c r="W138" s="2087"/>
      <c r="X138" s="2087"/>
      <c r="Y138" s="2087"/>
      <c r="Z138" s="2087"/>
      <c r="AA138" s="2087"/>
      <c r="AB138" s="2087"/>
      <c r="AC138" s="2087"/>
      <c r="AD138" s="2087"/>
      <c r="AE138" s="2087"/>
      <c r="AF138" s="2087"/>
      <c r="AG138" s="2087"/>
      <c r="AH138" s="2087"/>
      <c r="AI138" s="2085">
        <v>-363255</v>
      </c>
      <c r="AJ138" s="2087"/>
      <c r="AK138" s="2087"/>
      <c r="AL138" s="2087"/>
      <c r="AM138" s="2087"/>
      <c r="AN138" s="2087"/>
      <c r="AO138" s="2087"/>
      <c r="AP138" s="2087"/>
      <c r="AQ138" s="2087"/>
      <c r="AR138" s="2087"/>
      <c r="AS138" s="2087"/>
    </row>
    <row r="139" spans="1:45" ht="14.5" x14ac:dyDescent="0.35">
      <c r="A139" s="2082"/>
      <c r="B139" s="2034" t="s">
        <v>2502</v>
      </c>
      <c r="C139" s="2004"/>
      <c r="D139" s="2004"/>
      <c r="E139" s="2004"/>
      <c r="F139" s="2004"/>
      <c r="G139" s="1956"/>
      <c r="H139" s="2087"/>
      <c r="I139" s="2087"/>
      <c r="J139" s="2087"/>
      <c r="K139" s="2087"/>
      <c r="L139" s="2087"/>
      <c r="M139" s="2087"/>
      <c r="N139" s="2087"/>
      <c r="O139" s="2087"/>
      <c r="P139" s="2087"/>
      <c r="Q139" s="2087"/>
      <c r="R139" s="2087"/>
      <c r="S139" s="2087"/>
      <c r="T139" s="2087"/>
      <c r="U139" s="2085"/>
      <c r="V139" s="2087"/>
      <c r="W139" s="2087"/>
      <c r="X139" s="2087"/>
      <c r="Y139" s="2087"/>
      <c r="Z139" s="2087"/>
      <c r="AA139" s="2087"/>
      <c r="AB139" s="2087"/>
      <c r="AC139" s="2087"/>
      <c r="AD139" s="2087"/>
      <c r="AE139" s="2087"/>
      <c r="AF139" s="2087"/>
      <c r="AG139" s="2087"/>
      <c r="AH139" s="2087"/>
      <c r="AI139" s="2085">
        <v>-323665</v>
      </c>
      <c r="AJ139" s="2087"/>
      <c r="AK139" s="2087"/>
      <c r="AL139" s="2087"/>
      <c r="AM139" s="2087"/>
      <c r="AN139" s="2087"/>
      <c r="AO139" s="2087"/>
      <c r="AP139" s="2087"/>
      <c r="AQ139" s="2087"/>
      <c r="AR139" s="2087"/>
      <c r="AS139" s="2087"/>
    </row>
    <row r="140" spans="1:45" ht="14.5" x14ac:dyDescent="0.35">
      <c r="A140" s="2082"/>
      <c r="B140" s="2034"/>
      <c r="C140" s="2004"/>
      <c r="D140" s="2004"/>
      <c r="E140" s="2004"/>
      <c r="F140" s="2004"/>
      <c r="G140" s="1956"/>
      <c r="H140" s="2087"/>
      <c r="I140" s="2087"/>
      <c r="J140" s="2087"/>
      <c r="K140" s="2087"/>
      <c r="L140" s="2087"/>
      <c r="M140" s="2087"/>
      <c r="N140" s="2087"/>
      <c r="O140" s="2087"/>
      <c r="P140" s="2087"/>
      <c r="Q140" s="2087"/>
      <c r="R140" s="2087"/>
      <c r="S140" s="2087"/>
      <c r="T140" s="2087"/>
      <c r="U140" s="2085"/>
      <c r="V140" s="2087"/>
      <c r="W140" s="2087"/>
      <c r="X140" s="2087"/>
      <c r="Y140" s="2087"/>
      <c r="Z140" s="2087"/>
      <c r="AA140" s="2087"/>
      <c r="AB140" s="2087"/>
      <c r="AC140" s="2087"/>
      <c r="AD140" s="2087"/>
      <c r="AE140" s="2087"/>
      <c r="AF140" s="2087"/>
      <c r="AG140" s="2087"/>
      <c r="AH140" s="2087"/>
      <c r="AI140" s="2085"/>
      <c r="AJ140" s="2087"/>
      <c r="AK140" s="2087"/>
      <c r="AL140" s="2087"/>
      <c r="AM140" s="2087"/>
      <c r="AN140" s="2087"/>
      <c r="AO140" s="2087"/>
      <c r="AP140" s="2087"/>
      <c r="AQ140" s="2087"/>
      <c r="AR140" s="2087"/>
      <c r="AS140" s="2087"/>
    </row>
    <row r="141" spans="1:45" ht="14.5" x14ac:dyDescent="0.35">
      <c r="A141" s="2082"/>
      <c r="B141" s="2034"/>
      <c r="C141" s="2004"/>
      <c r="D141" s="2004"/>
      <c r="E141" s="2004"/>
      <c r="F141" s="2004"/>
      <c r="G141" s="1956"/>
      <c r="H141" s="2087"/>
      <c r="I141" s="2087"/>
      <c r="J141" s="2087"/>
      <c r="K141" s="2087"/>
      <c r="L141" s="2087"/>
      <c r="M141" s="2087"/>
      <c r="N141" s="2087"/>
      <c r="O141" s="2087"/>
      <c r="P141" s="2087"/>
      <c r="Q141" s="2087"/>
      <c r="R141" s="2087"/>
      <c r="S141" s="2087"/>
      <c r="T141" s="2087"/>
      <c r="U141" s="2085"/>
      <c r="V141" s="2087"/>
      <c r="W141" s="2087"/>
      <c r="X141" s="2087"/>
      <c r="Y141" s="2087"/>
      <c r="Z141" s="2087"/>
      <c r="AA141" s="2087"/>
      <c r="AB141" s="2087"/>
      <c r="AC141" s="2087"/>
      <c r="AD141" s="2087"/>
      <c r="AE141" s="2087"/>
      <c r="AF141" s="2087"/>
      <c r="AG141" s="2087"/>
      <c r="AH141" s="2087"/>
      <c r="AI141" s="2087"/>
      <c r="AJ141" s="2087"/>
      <c r="AK141" s="2087"/>
      <c r="AL141" s="2087"/>
      <c r="AM141" s="2087"/>
      <c r="AN141" s="2087"/>
      <c r="AO141" s="2087"/>
      <c r="AP141" s="2087"/>
      <c r="AQ141" s="2087"/>
      <c r="AR141" s="2087"/>
      <c r="AS141" s="2087"/>
    </row>
    <row r="142" spans="1:45" ht="14.5" x14ac:dyDescent="0.35">
      <c r="A142" s="2082"/>
      <c r="B142" s="2034"/>
      <c r="C142" s="2004"/>
      <c r="D142" s="2004"/>
      <c r="E142" s="2004"/>
      <c r="F142" s="2004"/>
      <c r="G142" s="1956"/>
      <c r="H142" s="2087"/>
      <c r="I142" s="2087"/>
      <c r="J142" s="2087"/>
      <c r="K142" s="2087"/>
      <c r="L142" s="2087"/>
      <c r="M142" s="2087"/>
      <c r="N142" s="2087"/>
      <c r="O142" s="2087"/>
      <c r="P142" s="2087"/>
      <c r="Q142" s="2087"/>
      <c r="R142" s="2087"/>
      <c r="S142" s="2087"/>
      <c r="T142" s="2087"/>
      <c r="U142" s="2087"/>
      <c r="V142" s="2087"/>
      <c r="W142" s="2087"/>
      <c r="X142" s="2087"/>
      <c r="Y142" s="2087"/>
      <c r="Z142" s="2087"/>
      <c r="AA142" s="2087"/>
      <c r="AB142" s="2087"/>
      <c r="AC142" s="2087"/>
      <c r="AD142" s="2087"/>
      <c r="AE142" s="2087"/>
      <c r="AF142" s="2087"/>
      <c r="AG142" s="2087"/>
      <c r="AH142" s="2087"/>
      <c r="AI142" s="2087"/>
      <c r="AJ142" s="2087"/>
      <c r="AK142" s="2087"/>
      <c r="AL142" s="2087"/>
      <c r="AM142" s="2087"/>
      <c r="AN142" s="2087"/>
      <c r="AO142" s="2087"/>
      <c r="AP142" s="2087"/>
      <c r="AQ142" s="2087"/>
      <c r="AR142" s="2087"/>
      <c r="AS142" s="2087"/>
    </row>
    <row r="143" spans="1:45" ht="14.5" x14ac:dyDescent="0.35">
      <c r="A143" s="2082"/>
      <c r="B143" s="2034"/>
      <c r="C143" s="2004"/>
      <c r="D143" s="2004"/>
      <c r="E143" s="2004"/>
      <c r="F143" s="2004"/>
      <c r="G143" s="1956"/>
      <c r="H143" s="2087"/>
      <c r="I143" s="2087"/>
      <c r="J143" s="2087"/>
      <c r="K143" s="2087"/>
      <c r="L143" s="2087"/>
      <c r="M143" s="2087"/>
      <c r="N143" s="2087"/>
      <c r="O143" s="2087"/>
      <c r="P143" s="2087"/>
      <c r="Q143" s="2087"/>
      <c r="R143" s="2087"/>
      <c r="S143" s="2087"/>
      <c r="T143" s="2087"/>
      <c r="U143" s="2087"/>
      <c r="V143" s="2087"/>
      <c r="W143" s="2087"/>
      <c r="X143" s="2087"/>
      <c r="Y143" s="2087"/>
      <c r="Z143" s="2087"/>
      <c r="AA143" s="2087"/>
      <c r="AB143" s="2087"/>
      <c r="AC143" s="2087"/>
      <c r="AD143" s="2087"/>
      <c r="AE143" s="2087"/>
      <c r="AF143" s="2087"/>
      <c r="AG143" s="2087"/>
      <c r="AH143" s="2087"/>
      <c r="AI143" s="2087"/>
      <c r="AJ143" s="2087"/>
      <c r="AK143" s="2087"/>
      <c r="AL143" s="2087"/>
      <c r="AM143" s="2087"/>
      <c r="AN143" s="2087"/>
      <c r="AO143" s="2087"/>
      <c r="AP143" s="2087"/>
      <c r="AQ143" s="2087"/>
      <c r="AR143" s="2087"/>
      <c r="AS143" s="2087"/>
    </row>
    <row r="144" spans="1:45" ht="14.5" x14ac:dyDescent="0.35">
      <c r="A144" s="2082"/>
      <c r="B144" s="2083"/>
      <c r="C144" s="2004"/>
      <c r="D144" s="2004"/>
      <c r="E144" s="2004"/>
      <c r="F144" s="2004"/>
      <c r="G144" s="1956"/>
      <c r="H144" s="2087"/>
      <c r="I144" s="2087"/>
      <c r="J144" s="2087"/>
      <c r="K144" s="2087"/>
      <c r="L144" s="2087"/>
      <c r="M144" s="2087"/>
      <c r="N144" s="2087"/>
      <c r="O144" s="2087"/>
      <c r="P144" s="2087"/>
      <c r="Q144" s="2087"/>
      <c r="R144" s="2087"/>
      <c r="S144" s="2087"/>
      <c r="T144" s="2087"/>
      <c r="U144" s="2087"/>
      <c r="V144" s="2087"/>
      <c r="W144" s="2087"/>
      <c r="X144" s="2087"/>
      <c r="Y144" s="2087"/>
      <c r="Z144" s="2087"/>
      <c r="AA144" s="2087"/>
      <c r="AB144" s="2087"/>
      <c r="AC144" s="2087"/>
      <c r="AD144" s="2087"/>
      <c r="AE144" s="2087"/>
      <c r="AF144" s="2087"/>
      <c r="AG144" s="2087"/>
      <c r="AH144" s="2087"/>
      <c r="AI144" s="2087"/>
      <c r="AJ144" s="2087"/>
      <c r="AK144" s="2087"/>
      <c r="AL144" s="2087"/>
      <c r="AM144" s="2087"/>
      <c r="AN144" s="2087"/>
      <c r="AO144" s="2087"/>
      <c r="AP144" s="2087"/>
      <c r="AQ144" s="2087"/>
      <c r="AR144" s="2087"/>
      <c r="AS144" s="2087"/>
    </row>
    <row r="145" spans="1:45" ht="14.5" x14ac:dyDescent="0.35">
      <c r="A145" s="3764" t="s">
        <v>725</v>
      </c>
      <c r="B145" s="3765"/>
      <c r="C145" s="12"/>
      <c r="D145" s="12"/>
      <c r="E145" s="12"/>
      <c r="F145" s="12"/>
      <c r="G145" s="13"/>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row>
    <row r="146" spans="1:45" ht="14.5" x14ac:dyDescent="0.35">
      <c r="A146" s="2007"/>
      <c r="B146" s="2003" t="s">
        <v>726</v>
      </c>
      <c r="C146" s="2004"/>
      <c r="D146" s="2004"/>
      <c r="E146" s="2004"/>
      <c r="F146" s="2004"/>
      <c r="G146" s="1956"/>
      <c r="H146" s="2087"/>
      <c r="I146" s="2087"/>
      <c r="J146" s="2087"/>
      <c r="K146" s="2087"/>
      <c r="L146" s="2087"/>
      <c r="M146" s="2087"/>
      <c r="N146" s="2087"/>
      <c r="O146" s="2087"/>
      <c r="P146" s="2087"/>
      <c r="Q146" s="2087"/>
      <c r="R146" s="2087"/>
      <c r="S146" s="2087"/>
      <c r="T146" s="2087"/>
      <c r="U146" s="2087"/>
      <c r="V146" s="2087"/>
      <c r="W146" s="2087"/>
      <c r="X146" s="2087"/>
      <c r="Y146" s="2087"/>
      <c r="Z146" s="2087"/>
      <c r="AA146" s="2087"/>
      <c r="AB146" s="2087"/>
      <c r="AC146" s="2087"/>
      <c r="AD146" s="2087"/>
      <c r="AE146" s="2087"/>
      <c r="AF146" s="2087"/>
      <c r="AG146" s="2087"/>
      <c r="AH146" s="2087"/>
      <c r="AI146" s="2087"/>
      <c r="AJ146" s="2087"/>
      <c r="AK146" s="2087"/>
      <c r="AL146" s="2087"/>
      <c r="AM146" s="2087"/>
      <c r="AN146" s="2087"/>
      <c r="AO146" s="2087"/>
      <c r="AP146" s="2087"/>
      <c r="AQ146" s="2087"/>
      <c r="AR146" s="2087"/>
      <c r="AS146" s="2087"/>
    </row>
    <row r="147" spans="1:45" ht="14.5" x14ac:dyDescent="0.35">
      <c r="A147" s="2007"/>
      <c r="B147" s="2003" t="s">
        <v>727</v>
      </c>
      <c r="C147" s="2004"/>
      <c r="D147" s="2004"/>
      <c r="E147" s="2004"/>
      <c r="F147" s="2004"/>
      <c r="G147" s="1956"/>
      <c r="H147" s="2087"/>
      <c r="I147" s="2087"/>
      <c r="J147" s="2087"/>
      <c r="K147" s="2087"/>
      <c r="L147" s="2087"/>
      <c r="M147" s="2087"/>
      <c r="N147" s="2087"/>
      <c r="O147" s="2087"/>
      <c r="P147" s="2087"/>
      <c r="Q147" s="2087"/>
      <c r="R147" s="2087"/>
      <c r="S147" s="2087"/>
      <c r="T147" s="2087"/>
      <c r="U147" s="2087"/>
      <c r="V147" s="2087"/>
      <c r="W147" s="2087"/>
      <c r="X147" s="2087"/>
      <c r="Y147" s="2087"/>
      <c r="Z147" s="2087"/>
      <c r="AA147" s="2087"/>
      <c r="AB147" s="2087"/>
      <c r="AC147" s="2087"/>
      <c r="AD147" s="2087"/>
      <c r="AE147" s="2087"/>
      <c r="AF147" s="2087"/>
      <c r="AG147" s="2087"/>
      <c r="AH147" s="2087"/>
      <c r="AI147" s="2087"/>
      <c r="AJ147" s="2087"/>
      <c r="AK147" s="2087"/>
      <c r="AL147" s="2087"/>
      <c r="AM147" s="2087"/>
      <c r="AN147" s="2087"/>
      <c r="AO147" s="2087"/>
      <c r="AP147" s="2087"/>
      <c r="AQ147" s="2087"/>
      <c r="AR147" s="2087"/>
      <c r="AS147" s="2087"/>
    </row>
    <row r="148" spans="1:45" ht="14.5" x14ac:dyDescent="0.35">
      <c r="A148" s="2007"/>
      <c r="B148" s="2003" t="s">
        <v>728</v>
      </c>
      <c r="C148" s="2004"/>
      <c r="D148" s="2004"/>
      <c r="E148" s="2004"/>
      <c r="F148" s="2004"/>
      <c r="G148" s="1956"/>
      <c r="H148" s="2087"/>
      <c r="I148" s="2087"/>
      <c r="J148" s="2087"/>
      <c r="K148" s="2087"/>
      <c r="L148" s="2087"/>
      <c r="M148" s="2087"/>
      <c r="N148" s="2087"/>
      <c r="O148" s="2087"/>
      <c r="P148" s="2087"/>
      <c r="Q148" s="2087"/>
      <c r="R148" s="2087"/>
      <c r="S148" s="2087"/>
      <c r="T148" s="2087"/>
      <c r="U148" s="2087"/>
      <c r="V148" s="2087"/>
      <c r="W148" s="2087"/>
      <c r="X148" s="2087"/>
      <c r="Y148" s="2087"/>
      <c r="Z148" s="2087"/>
      <c r="AA148" s="2087"/>
      <c r="AB148" s="2087"/>
      <c r="AC148" s="2087"/>
      <c r="AD148" s="2087"/>
      <c r="AE148" s="2087"/>
      <c r="AF148" s="2087"/>
      <c r="AG148" s="2087"/>
      <c r="AH148" s="2087"/>
      <c r="AI148" s="2087"/>
      <c r="AJ148" s="2087"/>
      <c r="AK148" s="2087"/>
      <c r="AL148" s="2087"/>
      <c r="AM148" s="2087"/>
      <c r="AN148" s="2087"/>
      <c r="AO148" s="2087"/>
      <c r="AP148" s="2087"/>
      <c r="AQ148" s="2087"/>
      <c r="AR148" s="2087"/>
      <c r="AS148" s="2087"/>
    </row>
    <row r="149" spans="1:45" ht="14.5" x14ac:dyDescent="0.35">
      <c r="A149" s="2007"/>
      <c r="B149" s="2003" t="s">
        <v>729</v>
      </c>
      <c r="C149" s="2004"/>
      <c r="D149" s="2004"/>
      <c r="E149" s="2004"/>
      <c r="F149" s="2004"/>
      <c r="G149" s="1956"/>
      <c r="H149" s="2087"/>
      <c r="I149" s="2087"/>
      <c r="J149" s="2087"/>
      <c r="K149" s="2087"/>
      <c r="L149" s="2087"/>
      <c r="M149" s="2087"/>
      <c r="N149" s="2087"/>
      <c r="O149" s="2087"/>
      <c r="P149" s="2087"/>
      <c r="Q149" s="2087"/>
      <c r="R149" s="2087"/>
      <c r="S149" s="2087"/>
      <c r="T149" s="2087"/>
      <c r="U149" s="2087"/>
      <c r="V149" s="2087"/>
      <c r="W149" s="2087"/>
      <c r="X149" s="2087"/>
      <c r="Y149" s="2087"/>
      <c r="Z149" s="2087"/>
      <c r="AA149" s="2087"/>
      <c r="AB149" s="2087"/>
      <c r="AC149" s="2087"/>
      <c r="AD149" s="2087"/>
      <c r="AE149" s="2087"/>
      <c r="AF149" s="2087"/>
      <c r="AG149" s="2087"/>
      <c r="AH149" s="2087"/>
      <c r="AI149" s="2087"/>
      <c r="AJ149" s="2087"/>
      <c r="AK149" s="2087"/>
      <c r="AL149" s="2087"/>
      <c r="AM149" s="2087"/>
      <c r="AN149" s="2087"/>
      <c r="AO149" s="2087"/>
      <c r="AP149" s="2087"/>
      <c r="AQ149" s="2087"/>
      <c r="AR149" s="2087"/>
      <c r="AS149" s="2087"/>
    </row>
    <row r="150" spans="1:45" ht="14.5" x14ac:dyDescent="0.35">
      <c r="A150" s="978"/>
      <c r="B150" s="939"/>
      <c r="C150" s="940"/>
      <c r="D150" s="940"/>
      <c r="E150" s="940"/>
      <c r="F150" s="940"/>
      <c r="G150" s="1039"/>
      <c r="H150" s="981"/>
      <c r="I150" s="981"/>
      <c r="J150" s="981"/>
      <c r="K150" s="981"/>
      <c r="L150" s="981"/>
      <c r="M150" s="981"/>
      <c r="N150" s="981"/>
      <c r="O150" s="981"/>
      <c r="P150" s="981"/>
      <c r="Q150" s="981"/>
      <c r="R150" s="981"/>
      <c r="S150" s="981"/>
      <c r="T150" s="981"/>
      <c r="U150" s="981"/>
      <c r="V150" s="981"/>
      <c r="W150" s="981"/>
      <c r="X150" s="981"/>
      <c r="Y150" s="981"/>
      <c r="Z150" s="981"/>
      <c r="AA150" s="981"/>
      <c r="AB150" s="981"/>
      <c r="AC150" s="981"/>
      <c r="AD150" s="981"/>
      <c r="AE150" s="981"/>
      <c r="AF150" s="981"/>
      <c r="AG150" s="981"/>
      <c r="AH150" s="981"/>
      <c r="AI150" s="981"/>
      <c r="AJ150" s="981"/>
      <c r="AK150" s="981"/>
      <c r="AL150" s="981"/>
      <c r="AM150" s="981"/>
      <c r="AN150" s="981"/>
      <c r="AO150" s="981"/>
      <c r="AP150" s="981"/>
      <c r="AQ150" s="981"/>
      <c r="AR150" s="981"/>
      <c r="AS150" s="981"/>
    </row>
    <row r="151" spans="1:45" ht="14.5" x14ac:dyDescent="0.35">
      <c r="A151" s="7" t="s">
        <v>730</v>
      </c>
      <c r="B151" s="8"/>
      <c r="C151" s="12"/>
      <c r="D151" s="12"/>
      <c r="E151" s="12"/>
      <c r="F151" s="12"/>
      <c r="G151" s="13"/>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row>
    <row r="152" spans="1:45" ht="14.5" x14ac:dyDescent="0.35">
      <c r="A152" s="1170"/>
      <c r="B152" s="1176" t="s">
        <v>731</v>
      </c>
      <c r="C152" s="1171"/>
      <c r="D152" s="1171"/>
      <c r="E152" s="1171"/>
      <c r="F152" s="1171"/>
      <c r="G152" s="1172"/>
      <c r="H152" s="1869"/>
      <c r="I152" s="1869"/>
      <c r="J152" s="1869"/>
      <c r="K152" s="1869"/>
      <c r="L152" s="1869"/>
      <c r="M152" s="1869"/>
      <c r="N152" s="1869"/>
      <c r="O152" s="1869"/>
      <c r="P152" s="1869"/>
      <c r="Q152" s="1869"/>
      <c r="R152" s="1869"/>
      <c r="S152" s="1869"/>
      <c r="T152" s="1869"/>
      <c r="U152" s="1869"/>
      <c r="V152" s="1869"/>
      <c r="W152" s="1869"/>
      <c r="X152" s="1869"/>
      <c r="Y152" s="1869"/>
      <c r="Z152" s="1869"/>
      <c r="AA152" s="1869"/>
      <c r="AB152" s="1869"/>
      <c r="AC152" s="1869"/>
      <c r="AD152" s="1869"/>
      <c r="AE152" s="1869"/>
      <c r="AF152" s="1869"/>
      <c r="AG152" s="1869"/>
      <c r="AH152" s="1869"/>
      <c r="AI152" s="1869"/>
      <c r="AJ152" s="1869"/>
      <c r="AK152" s="1869"/>
      <c r="AL152" s="1869"/>
      <c r="AM152" s="1869"/>
      <c r="AN152" s="1869"/>
      <c r="AO152" s="1869"/>
      <c r="AP152" s="1869"/>
      <c r="AQ152" s="1869"/>
      <c r="AR152" s="1869"/>
      <c r="AS152" s="1869"/>
    </row>
    <row r="153" spans="1:45" ht="14.5" x14ac:dyDescent="0.35">
      <c r="A153" s="2007"/>
      <c r="B153" s="2003" t="s">
        <v>732</v>
      </c>
      <c r="C153" s="2004"/>
      <c r="D153" s="2004"/>
      <c r="E153" s="2004"/>
      <c r="F153" s="2004"/>
      <c r="G153" s="1956"/>
      <c r="H153" s="1684"/>
      <c r="I153" s="1684"/>
      <c r="J153" s="1684"/>
      <c r="K153" s="1684"/>
      <c r="L153" s="1684"/>
      <c r="M153" s="1684"/>
      <c r="N153" s="1684"/>
      <c r="O153" s="1684"/>
      <c r="P153" s="1684"/>
      <c r="Q153" s="1684"/>
      <c r="R153" s="1684"/>
      <c r="S153" s="1684"/>
      <c r="T153" s="1684"/>
      <c r="U153" s="1684"/>
      <c r="V153" s="1684"/>
      <c r="W153" s="1684"/>
      <c r="X153" s="1684"/>
      <c r="Y153" s="1684"/>
      <c r="Z153" s="1684"/>
      <c r="AA153" s="1684"/>
      <c r="AB153" s="1684"/>
      <c r="AC153" s="1684"/>
      <c r="AD153" s="1684"/>
      <c r="AE153" s="1684"/>
      <c r="AF153" s="1684"/>
      <c r="AG153" s="1684"/>
      <c r="AH153" s="1684"/>
      <c r="AI153" s="1684"/>
      <c r="AJ153" s="1684"/>
      <c r="AK153" s="1684"/>
      <c r="AL153" s="1684"/>
      <c r="AM153" s="1684"/>
      <c r="AN153" s="1684"/>
      <c r="AO153" s="1684"/>
      <c r="AP153" s="1684"/>
      <c r="AQ153" s="1684"/>
      <c r="AR153" s="1684"/>
      <c r="AS153" s="1684"/>
    </row>
    <row r="154" spans="1:45" ht="14.5" x14ac:dyDescent="0.35">
      <c r="A154" s="2089"/>
      <c r="B154" s="2090" t="s">
        <v>733</v>
      </c>
      <c r="C154" s="2091"/>
      <c r="D154" s="2091"/>
      <c r="E154" s="2091"/>
      <c r="F154" s="2091"/>
      <c r="G154" s="2092"/>
      <c r="H154" s="2093"/>
      <c r="I154" s="2093"/>
      <c r="J154" s="2093"/>
      <c r="K154" s="2093"/>
      <c r="L154" s="2093"/>
      <c r="M154" s="2093"/>
      <c r="N154" s="2093"/>
      <c r="O154" s="2093"/>
      <c r="P154" s="2093"/>
      <c r="Q154" s="2093"/>
      <c r="R154" s="2093"/>
      <c r="S154" s="2093"/>
      <c r="T154" s="2093"/>
      <c r="U154" s="2093"/>
      <c r="V154" s="2093"/>
      <c r="W154" s="2093"/>
      <c r="X154" s="2093"/>
      <c r="Y154" s="2093"/>
      <c r="Z154" s="2093"/>
      <c r="AA154" s="2093"/>
      <c r="AB154" s="2093"/>
      <c r="AC154" s="2093"/>
      <c r="AD154" s="2093"/>
      <c r="AE154" s="2093"/>
      <c r="AF154" s="2093"/>
      <c r="AG154" s="2093"/>
      <c r="AH154" s="2093"/>
      <c r="AI154" s="2093"/>
      <c r="AJ154" s="2093"/>
      <c r="AK154" s="2093"/>
      <c r="AL154" s="2093"/>
      <c r="AM154" s="2093"/>
      <c r="AN154" s="2093"/>
      <c r="AO154" s="2093"/>
      <c r="AP154" s="2093"/>
      <c r="AQ154" s="2093"/>
      <c r="AR154" s="2093"/>
      <c r="AS154" s="2093"/>
    </row>
    <row r="156" spans="1:45" ht="14.5" x14ac:dyDescent="0.35">
      <c r="A156" s="78" t="s">
        <v>734</v>
      </c>
      <c r="B156" s="80"/>
      <c r="C156" s="2" t="s">
        <v>20</v>
      </c>
    </row>
    <row r="157" spans="1:45" ht="14.5" x14ac:dyDescent="0.35">
      <c r="A157" s="79" t="s">
        <v>632</v>
      </c>
      <c r="B157" s="2094" t="str">
        <f>J4</f>
        <v>American flooringR1</v>
      </c>
    </row>
    <row r="158" spans="1:45" ht="14.5" x14ac:dyDescent="0.35">
      <c r="A158" s="2095" t="s">
        <v>636</v>
      </c>
      <c r="B158" s="2094" t="str">
        <f>J5</f>
        <v>Albon Vrskic</v>
      </c>
    </row>
    <row r="159" spans="1:45" ht="14.5" x14ac:dyDescent="0.35">
      <c r="A159" s="2096" t="s">
        <v>639</v>
      </c>
      <c r="B159" s="2097">
        <f>J6</f>
        <v>7704455955</v>
      </c>
    </row>
    <row r="160" spans="1:45" ht="14.5" x14ac:dyDescent="0.35">
      <c r="A160" s="2096" t="s">
        <v>642</v>
      </c>
      <c r="B160" s="2098" t="str">
        <f>J7</f>
        <v>albin@americanflooringservices.com</v>
      </c>
    </row>
    <row r="161" spans="1:3" ht="14.5" x14ac:dyDescent="0.35">
      <c r="A161" s="2099" t="s">
        <v>735</v>
      </c>
      <c r="B161" s="2100">
        <f>P8-C161</f>
        <v>2821318</v>
      </c>
      <c r="C161" s="333">
        <f>Q69+Q88+Q91</f>
        <v>334620</v>
      </c>
    </row>
    <row r="162" spans="1:3" ht="14.5" x14ac:dyDescent="0.35">
      <c r="B162" s="173"/>
    </row>
    <row r="163" spans="1:3" ht="14.5" x14ac:dyDescent="0.35">
      <c r="A163" s="81"/>
      <c r="B163" s="1" t="s">
        <v>736</v>
      </c>
    </row>
    <row r="164" spans="1:3" ht="14.5" x14ac:dyDescent="0.35">
      <c r="A164" s="82"/>
      <c r="B164" s="1" t="s">
        <v>737</v>
      </c>
    </row>
  </sheetData>
  <mergeCells count="138">
    <mergeCell ref="A110:B110"/>
    <mergeCell ref="A114:B114"/>
    <mergeCell ref="A118:B118"/>
    <mergeCell ref="A122:B122"/>
    <mergeCell ref="A145:B145"/>
    <mergeCell ref="AP6:AQ6"/>
    <mergeCell ref="AF6:AG6"/>
    <mergeCell ref="H7:I7"/>
    <mergeCell ref="AP7:AQ7"/>
    <mergeCell ref="AF7:AG7"/>
    <mergeCell ref="V7:W7"/>
    <mergeCell ref="AN7:AO7"/>
    <mergeCell ref="H8:I8"/>
    <mergeCell ref="AP8:AQ8"/>
    <mergeCell ref="AF8:AG8"/>
    <mergeCell ref="V8:W8"/>
    <mergeCell ref="AN8:AO8"/>
    <mergeCell ref="V6:W6"/>
    <mergeCell ref="AN6:AO6"/>
    <mergeCell ref="H6:I6"/>
    <mergeCell ref="AL8:AM8"/>
    <mergeCell ref="T7:U7"/>
    <mergeCell ref="J7:K7"/>
    <mergeCell ref="J8:K8"/>
    <mergeCell ref="AR2:AS2"/>
    <mergeCell ref="H3:I3"/>
    <mergeCell ref="AP3:AQ3"/>
    <mergeCell ref="AF3:AG3"/>
    <mergeCell ref="V3:W3"/>
    <mergeCell ref="AN3:AO3"/>
    <mergeCell ref="AL2:AM2"/>
    <mergeCell ref="AL3:AM3"/>
    <mergeCell ref="T2:U2"/>
    <mergeCell ref="T3:U3"/>
    <mergeCell ref="AH2:AI2"/>
    <mergeCell ref="AH3:AI3"/>
    <mergeCell ref="AD2:AE2"/>
    <mergeCell ref="AD3:AE3"/>
    <mergeCell ref="J2:K2"/>
    <mergeCell ref="J3:K3"/>
    <mergeCell ref="AJ2:AK2"/>
    <mergeCell ref="H2:I2"/>
    <mergeCell ref="AP2:AQ2"/>
    <mergeCell ref="AF2:AG2"/>
    <mergeCell ref="V2:W2"/>
    <mergeCell ref="AN2:AO2"/>
    <mergeCell ref="N2:O2"/>
    <mergeCell ref="N3:O3"/>
    <mergeCell ref="J4:K4"/>
    <mergeCell ref="H4:I4"/>
    <mergeCell ref="AP4:AQ4"/>
    <mergeCell ref="AF4:AG4"/>
    <mergeCell ref="V4:W4"/>
    <mergeCell ref="AN4:AO4"/>
    <mergeCell ref="AH5:AI5"/>
    <mergeCell ref="AD4:AE4"/>
    <mergeCell ref="AD5:AE5"/>
    <mergeCell ref="N4:O4"/>
    <mergeCell ref="J5:K5"/>
    <mergeCell ref="AB5:AC5"/>
    <mergeCell ref="X4:Y4"/>
    <mergeCell ref="X5:Y5"/>
    <mergeCell ref="J6:K6"/>
    <mergeCell ref="N7:O7"/>
    <mergeCell ref="N8:O8"/>
    <mergeCell ref="N5:O5"/>
    <mergeCell ref="N6:O6"/>
    <mergeCell ref="AR5:AS5"/>
    <mergeCell ref="AB7:AC7"/>
    <mergeCell ref="AB8:AC8"/>
    <mergeCell ref="H5:I5"/>
    <mergeCell ref="AP5:AQ5"/>
    <mergeCell ref="AF5:AG5"/>
    <mergeCell ref="V5:W5"/>
    <mergeCell ref="AN5:AO5"/>
    <mergeCell ref="AL5:AM5"/>
    <mergeCell ref="T5:U5"/>
    <mergeCell ref="X6:Y6"/>
    <mergeCell ref="X7:Y7"/>
    <mergeCell ref="X8:Y8"/>
    <mergeCell ref="AR4:AS4"/>
    <mergeCell ref="AL7:AM7"/>
    <mergeCell ref="AR3:AS3"/>
    <mergeCell ref="AH7:AI7"/>
    <mergeCell ref="AH8:AI8"/>
    <mergeCell ref="AH6:AI6"/>
    <mergeCell ref="AD7:AE7"/>
    <mergeCell ref="AD8:AE8"/>
    <mergeCell ref="AD6:AE6"/>
    <mergeCell ref="AJ7:AK7"/>
    <mergeCell ref="AJ8:AK8"/>
    <mergeCell ref="AJ3:AK3"/>
    <mergeCell ref="AJ4:AK4"/>
    <mergeCell ref="AJ5:AK5"/>
    <mergeCell ref="AJ6:AK6"/>
    <mergeCell ref="AH4:AI4"/>
    <mergeCell ref="AR7:AS7"/>
    <mergeCell ref="AR8:AS8"/>
    <mergeCell ref="AR6:AS6"/>
    <mergeCell ref="AL6:AM6"/>
    <mergeCell ref="AL4:AM4"/>
    <mergeCell ref="AB2:AC2"/>
    <mergeCell ref="AB3:AC3"/>
    <mergeCell ref="AB4:AC4"/>
    <mergeCell ref="AB6:AC6"/>
    <mergeCell ref="T8:U8"/>
    <mergeCell ref="P7:Q7"/>
    <mergeCell ref="P8:Q8"/>
    <mergeCell ref="P2:Q2"/>
    <mergeCell ref="P3:Q3"/>
    <mergeCell ref="P4:Q4"/>
    <mergeCell ref="P5:Q5"/>
    <mergeCell ref="P6:Q6"/>
    <mergeCell ref="T6:U6"/>
    <mergeCell ref="T4:U4"/>
    <mergeCell ref="X2:Y2"/>
    <mergeCell ref="X3:Y3"/>
    <mergeCell ref="Z2:AA2"/>
    <mergeCell ref="Z3:AA3"/>
    <mergeCell ref="Z4:AA4"/>
    <mergeCell ref="Z5:AA5"/>
    <mergeCell ref="Z6:AA6"/>
    <mergeCell ref="Z7:AA7"/>
    <mergeCell ref="Z8:AA8"/>
    <mergeCell ref="L2:M2"/>
    <mergeCell ref="L3:M3"/>
    <mergeCell ref="L4:M4"/>
    <mergeCell ref="L5:M5"/>
    <mergeCell ref="L6:M6"/>
    <mergeCell ref="L7:M7"/>
    <mergeCell ref="L8:M8"/>
    <mergeCell ref="R2:S2"/>
    <mergeCell ref="R3:S3"/>
    <mergeCell ref="R4:S4"/>
    <mergeCell ref="R5:S5"/>
    <mergeCell ref="R6:S6"/>
    <mergeCell ref="R7:S7"/>
    <mergeCell ref="R8:S8"/>
  </mergeCells>
  <conditionalFormatting sqref="H20:H32 H34:H101 J34:J101 N34:N101 P34:P101 V34:V101 AB34:AB101 T34:T101 AD34:AD101 AF34:AF101 AH34:AH101 AJ34:AJ101 AL34:AL101 AN34:AN101 AP34:AP101 AR34:AR101 X34:X101 L34:L101 Z34:Z101 R34:R101">
    <cfRule type="cellIs" dxfId="1611" priority="91" operator="equal">
      <formula>"X"</formula>
    </cfRule>
    <cfRule type="cellIs" dxfId="1610" priority="92" operator="equal">
      <formula>"I"</formula>
    </cfRule>
  </conditionalFormatting>
  <conditionalFormatting sqref="J20:J22 J32">
    <cfRule type="cellIs" dxfId="1609" priority="35" operator="equal">
      <formula>"X"</formula>
    </cfRule>
    <cfRule type="cellIs" dxfId="1608" priority="36" operator="equal">
      <formula>"I"</formula>
    </cfRule>
  </conditionalFormatting>
  <conditionalFormatting sqref="N20:N32">
    <cfRule type="cellIs" dxfId="1607" priority="83" operator="equal">
      <formula>"X"</formula>
    </cfRule>
    <cfRule type="cellIs" dxfId="1606" priority="84" operator="equal">
      <formula>"I"</formula>
    </cfRule>
  </conditionalFormatting>
  <conditionalFormatting sqref="N123:N124">
    <cfRule type="cellIs" dxfId="1605" priority="49" operator="equal">
      <formula>"X"</formula>
    </cfRule>
    <cfRule type="cellIs" dxfId="1604" priority="50" operator="equal">
      <formula>"I"</formula>
    </cfRule>
  </conditionalFormatting>
  <conditionalFormatting sqref="P20:P32">
    <cfRule type="cellIs" dxfId="1603" priority="57" operator="equal">
      <formula>"X"</formula>
    </cfRule>
    <cfRule type="cellIs" dxfId="1602" priority="58" operator="equal">
      <formula>"I"</formula>
    </cfRule>
  </conditionalFormatting>
  <conditionalFormatting sqref="P123:P129">
    <cfRule type="cellIs" dxfId="1601" priority="51" operator="equal">
      <formula>"X"</formula>
    </cfRule>
    <cfRule type="cellIs" dxfId="1600" priority="52" operator="equal">
      <formula>"I"</formula>
    </cfRule>
  </conditionalFormatting>
  <conditionalFormatting sqref="V20:V32">
    <cfRule type="cellIs" dxfId="1599" priority="111" operator="equal">
      <formula>"X"</formula>
    </cfRule>
    <cfRule type="cellIs" dxfId="1598" priority="112" operator="equal">
      <formula>"I"</formula>
    </cfRule>
  </conditionalFormatting>
  <conditionalFormatting sqref="AB20:AB32">
    <cfRule type="cellIs" dxfId="1597" priority="71" operator="equal">
      <formula>"X"</formula>
    </cfRule>
    <cfRule type="cellIs" dxfId="1596" priority="72" operator="equal">
      <formula>"I"</formula>
    </cfRule>
  </conditionalFormatting>
  <conditionalFormatting sqref="T20:T32">
    <cfRule type="cellIs" dxfId="1595" priority="39" operator="equal">
      <formula>"X"</formula>
    </cfRule>
    <cfRule type="cellIs" dxfId="1594" priority="40" operator="equal">
      <formula>"I"</formula>
    </cfRule>
  </conditionalFormatting>
  <conditionalFormatting sqref="AD20:AD32">
    <cfRule type="cellIs" dxfId="1593" priority="61" operator="equal">
      <formula>"X"</formula>
    </cfRule>
    <cfRule type="cellIs" dxfId="1592" priority="62" operator="equal">
      <formula>"I"</formula>
    </cfRule>
  </conditionalFormatting>
  <conditionalFormatting sqref="AF20:AF32">
    <cfRule type="cellIs" dxfId="1591" priority="87" operator="equal">
      <formula>"X"</formula>
    </cfRule>
    <cfRule type="cellIs" dxfId="1590" priority="88" operator="equal">
      <formula>"I"</formula>
    </cfRule>
  </conditionalFormatting>
  <conditionalFormatting sqref="AF123">
    <cfRule type="cellIs" dxfId="1589" priority="43" operator="equal">
      <formula>"X"</formula>
    </cfRule>
    <cfRule type="cellIs" dxfId="1588" priority="44" operator="equal">
      <formula>"I"</formula>
    </cfRule>
  </conditionalFormatting>
  <conditionalFormatting sqref="AF125">
    <cfRule type="cellIs" dxfId="1587" priority="47" operator="equal">
      <formula>"X"</formula>
    </cfRule>
    <cfRule type="cellIs" dxfId="1586" priority="48" operator="equal">
      <formula>"I"</formula>
    </cfRule>
  </conditionalFormatting>
  <conditionalFormatting sqref="AH20:AH32">
    <cfRule type="cellIs" dxfId="1585" priority="53" operator="equal">
      <formula>"X"</formula>
    </cfRule>
    <cfRule type="cellIs" dxfId="1584" priority="54" operator="equal">
      <formula>"I"</formula>
    </cfRule>
  </conditionalFormatting>
  <conditionalFormatting sqref="AJ20:AJ32">
    <cfRule type="cellIs" dxfId="1583" priority="77" operator="equal">
      <formula>"X"</formula>
    </cfRule>
    <cfRule type="cellIs" dxfId="1582" priority="78" operator="equal">
      <formula>"I"</formula>
    </cfRule>
  </conditionalFormatting>
  <conditionalFormatting sqref="AL20:AL32">
    <cfRule type="cellIs" dxfId="1581" priority="65" operator="equal">
      <formula>"X"</formula>
    </cfRule>
    <cfRule type="cellIs" dxfId="1580" priority="66" operator="equal">
      <formula>"I"</formula>
    </cfRule>
  </conditionalFormatting>
  <conditionalFormatting sqref="AN20:AN32">
    <cfRule type="cellIs" dxfId="1579" priority="113" operator="equal">
      <formula>"X"</formula>
    </cfRule>
    <cfRule type="cellIs" dxfId="1578" priority="114" operator="equal">
      <formula>"I"</formula>
    </cfRule>
  </conditionalFormatting>
  <conditionalFormatting sqref="AP20:AP32">
    <cfRule type="cellIs" dxfId="1577" priority="89" operator="equal">
      <formula>"X"</formula>
    </cfRule>
    <cfRule type="cellIs" dxfId="1576" priority="90" operator="equal">
      <formula>"I"</formula>
    </cfRule>
  </conditionalFormatting>
  <conditionalFormatting sqref="AR20:AR32">
    <cfRule type="cellIs" dxfId="1575" priority="115" operator="equal">
      <formula>"X"</formula>
    </cfRule>
    <cfRule type="cellIs" dxfId="1574" priority="116" operator="equal">
      <formula>"I"</formula>
    </cfRule>
  </conditionalFormatting>
  <conditionalFormatting sqref="J23:J31">
    <cfRule type="cellIs" dxfId="1573" priority="33" operator="equal">
      <formula>"X"</formula>
    </cfRule>
    <cfRule type="cellIs" dxfId="1572" priority="34" operator="equal">
      <formula>"I"</formula>
    </cfRule>
  </conditionalFormatting>
  <conditionalFormatting sqref="X20:X32">
    <cfRule type="cellIs" dxfId="1571" priority="31" operator="equal">
      <formula>"X"</formula>
    </cfRule>
    <cfRule type="cellIs" dxfId="1570" priority="32" operator="equal">
      <formula>"I"</formula>
    </cfRule>
  </conditionalFormatting>
  <conditionalFormatting sqref="L20:L22 L32">
    <cfRule type="cellIs" dxfId="1569" priority="25" operator="equal">
      <formula>"X"</formula>
    </cfRule>
    <cfRule type="cellIs" dxfId="1568" priority="26" operator="equal">
      <formula>"I"</formula>
    </cfRule>
  </conditionalFormatting>
  <conditionalFormatting sqref="L23:L31">
    <cfRule type="cellIs" dxfId="1567" priority="23" operator="equal">
      <formula>"X"</formula>
    </cfRule>
    <cfRule type="cellIs" dxfId="1566" priority="24" operator="equal">
      <formula>"I"</formula>
    </cfRule>
  </conditionalFormatting>
  <conditionalFormatting sqref="Z20:Z32">
    <cfRule type="cellIs" dxfId="1565" priority="15" operator="equal">
      <formula>"X"</formula>
    </cfRule>
    <cfRule type="cellIs" dxfId="1564" priority="16" operator="equal">
      <formula>"I"</formula>
    </cfRule>
  </conditionalFormatting>
  <conditionalFormatting sqref="R20:R32">
    <cfRule type="cellIs" dxfId="1563" priority="9" operator="equal">
      <formula>"X"</formula>
    </cfRule>
    <cfRule type="cellIs" dxfId="1562" priority="10" operator="equal">
      <formula>"I"</formula>
    </cfRule>
  </conditionalFormatting>
  <conditionalFormatting sqref="R123:R129">
    <cfRule type="cellIs" dxfId="1561" priority="7" operator="equal">
      <formula>"X"</formula>
    </cfRule>
    <cfRule type="cellIs" dxfId="1560" priority="8" operator="equal">
      <formula>"I"</formula>
    </cfRule>
  </conditionalFormatting>
  <conditionalFormatting sqref="L123:L134">
    <cfRule type="cellIs" dxfId="1559" priority="1" operator="equal">
      <formula>"X"</formula>
    </cfRule>
    <cfRule type="cellIs" dxfId="1558" priority="2" operator="equal">
      <formula>"I"</formula>
    </cfRule>
  </conditionalFormatting>
  <hyperlinks>
    <hyperlink ref="B3" location="'Cost Summary'!A1" display="BACK TO SUMMARY SHEET" xr:uid="{8548A2B4-670A-4E1F-B6F6-4192B5F41D75}"/>
    <hyperlink ref="H7" r:id="rId1" xr:uid="{1E329F76-0517-417D-873E-89EF33F259E7}"/>
    <hyperlink ref="AF7:AG7" r:id="rId2" display="richard@horizontileinc.com" xr:uid="{3D000C08-57EC-4769-B9B4-9AE9CE2429E2}"/>
    <hyperlink ref="AP7" r:id="rId3" xr:uid="{B7C9D3A8-F3F2-4436-9B00-2C33F2FC355A}"/>
    <hyperlink ref="N7" r:id="rId4" xr:uid="{6DB5AC40-B4DF-401A-A96F-5C9AECEC7548}"/>
    <hyperlink ref="V7" r:id="rId5" xr:uid="{86AB0AE6-6F75-4404-84E2-6AFC5A125B8F}"/>
    <hyperlink ref="AN7" r:id="rId6" xr:uid="{1F7189D9-CC11-4031-A148-E5BEBF9F597F}"/>
    <hyperlink ref="AJ7" r:id="rId7" xr:uid="{E0028462-3504-4524-AC09-F5B10DE941DB}"/>
    <hyperlink ref="AB7" r:id="rId8" xr:uid="{05E6C18F-1331-46E2-9D4C-34C708317D6C}"/>
    <hyperlink ref="AL7" r:id="rId9" xr:uid="{CF5A851C-72E6-45E4-8CDF-00C146AD5732}"/>
    <hyperlink ref="AD7" r:id="rId10" xr:uid="{10D81C97-987E-4E19-926B-B2152100B003}"/>
    <hyperlink ref="AD7:AE7" r:id="rId11" display="albin@americanflooringservices.com" xr:uid="{B8979994-6BF8-47FB-9E1D-AF8C25C56980}"/>
    <hyperlink ref="P7" r:id="rId12" xr:uid="{BB7A92B8-C7B7-49F8-980B-F734C1B127D0}"/>
    <hyperlink ref="AH7:AI7" r:id="rId13" display="richard@horizontileinc.com" xr:uid="{80DD2623-D976-4F9B-972B-3CF2F988AEBA}"/>
    <hyperlink ref="T7" r:id="rId14" xr:uid="{45EF014A-29A0-47D1-AE66-0170D3F9A78E}"/>
    <hyperlink ref="J7" r:id="rId15" xr:uid="{B51B46B4-DDEE-46B8-9A34-02D8269BBFC9}"/>
    <hyperlink ref="J7:K7" r:id="rId16" display="albin@americanflooringservices.com" xr:uid="{B43016C7-48AE-422B-9D76-7D6BBF2D6661}"/>
    <hyperlink ref="X7" r:id="rId17" xr:uid="{33D47800-AEE5-40F1-86F8-8AE75AE4398D}"/>
    <hyperlink ref="L7" r:id="rId18" xr:uid="{0C1BADC7-202E-43DF-8E06-7F7B663A5600}"/>
    <hyperlink ref="L7:M7" r:id="rId19" display="albin@americanflooringservices.com" xr:uid="{B885A695-2F54-4C30-BD39-7B70515D8B29}"/>
    <hyperlink ref="Z7" r:id="rId20" xr:uid="{3F0BA100-E043-4086-A47C-1058FDC6C74A}"/>
    <hyperlink ref="R7" r:id="rId21" xr:uid="{30A07A78-A1E4-40E7-99CB-CC89C2439586}"/>
  </hyperlinks>
  <pageMargins left="0.7" right="0.7" top="0.75" bottom="0.75" header="0.3" footer="0.3"/>
  <pageSetup orientation="portrait" r:id="rId22"/>
  <legacyDrawing r:id="rId2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E337-0062-45FB-9729-B39A9F981BA1}">
  <sheetPr>
    <tabColor rgb="FF92D050"/>
  </sheetPr>
  <dimension ref="A1:AK120"/>
  <sheetViews>
    <sheetView zoomScale="82" zoomScaleNormal="82" workbookViewId="0">
      <pane xSplit="2" ySplit="10" topLeftCell="C53" activePane="bottomRight" state="frozen"/>
      <selection pane="topRight" activeCell="C1" sqref="C1"/>
      <selection pane="bottomLeft" activeCell="A10" sqref="A10"/>
      <selection pane="bottomRight" activeCell="T7" sqref="T7:U7"/>
    </sheetView>
  </sheetViews>
  <sheetFormatPr defaultRowHeight="15" customHeight="1"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hidden="1" customWidth="1"/>
    <col min="9" max="9" width="14.81640625" style="2" hidden="1" customWidth="1"/>
    <col min="10" max="10" width="7.453125" style="2" hidden="1" customWidth="1"/>
    <col min="11" max="11" width="14.81640625" style="2" hidden="1" customWidth="1"/>
    <col min="12" max="12" width="7.453125" style="2" bestFit="1" customWidth="1"/>
    <col min="13" max="13" width="14.81640625" style="2" customWidth="1"/>
    <col min="14" max="14" width="7.453125" style="2" hidden="1" customWidth="1"/>
    <col min="15" max="15" width="14.81640625" style="2" hidden="1"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 min="24" max="24" width="7.453125" style="2" bestFit="1" customWidth="1"/>
    <col min="25" max="25" width="14.81640625" style="2" customWidth="1"/>
    <col min="26" max="26" width="7.453125" style="2" bestFit="1" customWidth="1"/>
    <col min="27" max="27" width="14.81640625" style="2" customWidth="1"/>
    <col min="28" max="28" width="7.453125" style="2" bestFit="1" customWidth="1"/>
    <col min="29" max="29" width="14.26953125" style="2" customWidth="1"/>
    <col min="30" max="30" width="7.453125" style="2" bestFit="1" customWidth="1"/>
    <col min="31" max="31" width="14.81640625" style="2" customWidth="1"/>
    <col min="32" max="32" width="7.453125" style="2" bestFit="1" customWidth="1"/>
    <col min="33" max="33" width="14.81640625" style="2" customWidth="1"/>
    <col min="34" max="34" width="8" style="2" bestFit="1" customWidth="1"/>
    <col min="35" max="35" width="14.81640625" style="2" customWidth="1"/>
    <col min="36" max="36" width="7.453125" style="2" bestFit="1" customWidth="1"/>
    <col min="37" max="37" width="14.81640625" style="2" customWidth="1"/>
  </cols>
  <sheetData>
    <row r="1" spans="1:37" ht="14.5" x14ac:dyDescent="0.35">
      <c r="K1" s="547"/>
      <c r="L1" s="545" t="s">
        <v>2503</v>
      </c>
      <c r="M1" s="546">
        <v>1550000</v>
      </c>
      <c r="N1" s="545" t="s">
        <v>2503</v>
      </c>
      <c r="O1" s="546">
        <v>1550000</v>
      </c>
      <c r="P1" s="545" t="s">
        <v>2503</v>
      </c>
      <c r="Q1" s="546">
        <v>1550000</v>
      </c>
      <c r="R1" s="545" t="s">
        <v>2503</v>
      </c>
      <c r="S1" s="546">
        <v>1550000</v>
      </c>
    </row>
    <row r="2" spans="1:37" ht="14.5" x14ac:dyDescent="0.35">
      <c r="E2" s="152"/>
      <c r="F2" s="125"/>
      <c r="G2" s="123" t="s">
        <v>621</v>
      </c>
      <c r="I2" s="2" t="s">
        <v>2504</v>
      </c>
      <c r="K2" s="2" t="s">
        <v>2239</v>
      </c>
      <c r="M2" s="2" t="s">
        <v>2505</v>
      </c>
    </row>
    <row r="3" spans="1:37" ht="15.75" customHeight="1" x14ac:dyDescent="0.35">
      <c r="E3" s="152"/>
      <c r="F3" s="122" t="s">
        <v>622</v>
      </c>
      <c r="G3" s="123" t="s">
        <v>451</v>
      </c>
      <c r="H3" s="3866">
        <v>5612071146</v>
      </c>
      <c r="I3" s="3866"/>
      <c r="J3" s="3866">
        <v>5612071146</v>
      </c>
      <c r="K3" s="3866"/>
      <c r="L3" s="3866">
        <v>5612071146</v>
      </c>
      <c r="M3" s="3866"/>
      <c r="N3" s="3776"/>
      <c r="O3" s="3776"/>
      <c r="P3" s="3776"/>
      <c r="Q3" s="3776"/>
      <c r="R3" s="3776"/>
      <c r="S3" s="3776"/>
      <c r="T3" s="3776"/>
      <c r="U3" s="3776"/>
      <c r="V3" s="3776"/>
      <c r="W3" s="3776"/>
      <c r="X3" s="3751"/>
      <c r="Y3" s="3751"/>
      <c r="Z3" s="3751" t="s">
        <v>2506</v>
      </c>
      <c r="AA3" s="3751"/>
      <c r="AB3" s="3866">
        <v>5613050937</v>
      </c>
      <c r="AC3" s="3866"/>
      <c r="AD3" s="3751"/>
      <c r="AE3" s="3751"/>
      <c r="AF3" s="3866">
        <v>9088095571</v>
      </c>
      <c r="AG3" s="3866"/>
      <c r="AH3" s="3751"/>
      <c r="AI3" s="3751"/>
      <c r="AJ3" s="3866">
        <v>5612071146</v>
      </c>
      <c r="AK3" s="3866"/>
    </row>
    <row r="4" spans="1:37" ht="21" customHeight="1" x14ac:dyDescent="0.35">
      <c r="B4" s="137" t="s">
        <v>623</v>
      </c>
      <c r="E4" s="152"/>
      <c r="F4" s="124" t="s">
        <v>624</v>
      </c>
      <c r="G4" s="123" t="s">
        <v>557</v>
      </c>
      <c r="H4" s="3891" t="s">
        <v>625</v>
      </c>
      <c r="I4" s="3892"/>
      <c r="J4" s="3772" t="s">
        <v>625</v>
      </c>
      <c r="K4" s="3773"/>
      <c r="L4" s="3772" t="s">
        <v>625</v>
      </c>
      <c r="M4" s="3773"/>
      <c r="N4" s="3754" t="s">
        <v>627</v>
      </c>
      <c r="O4" s="3755"/>
      <c r="P4" s="3772" t="s">
        <v>627</v>
      </c>
      <c r="Q4" s="3773"/>
      <c r="R4" s="3772" t="s">
        <v>627</v>
      </c>
      <c r="S4" s="3773"/>
      <c r="T4" s="3754" t="s">
        <v>626</v>
      </c>
      <c r="U4" s="3755"/>
      <c r="V4" s="3754" t="s">
        <v>628</v>
      </c>
      <c r="W4" s="3755"/>
      <c r="X4" s="3754" t="s">
        <v>629</v>
      </c>
      <c r="Y4" s="3755"/>
      <c r="Z4" s="3754" t="s">
        <v>629</v>
      </c>
      <c r="AA4" s="3755"/>
      <c r="AB4" s="3754" t="s">
        <v>773</v>
      </c>
      <c r="AC4" s="3755"/>
      <c r="AD4" s="3754" t="s">
        <v>630</v>
      </c>
      <c r="AE4" s="3755"/>
      <c r="AF4" s="3754" t="s">
        <v>1550</v>
      </c>
      <c r="AG4" s="3755"/>
      <c r="AH4" s="3754" t="s">
        <v>2507</v>
      </c>
      <c r="AI4" s="3755"/>
      <c r="AJ4" s="3891" t="s">
        <v>1550</v>
      </c>
      <c r="AK4" s="3892"/>
    </row>
    <row r="5" spans="1:37" ht="15.75" customHeight="1" x14ac:dyDescent="0.35">
      <c r="A5" s="3" t="s">
        <v>631</v>
      </c>
      <c r="B5" s="4" t="str">
        <f>'AREA CALC''s'!B4</f>
        <v>Alton Hilltop Gardens</v>
      </c>
      <c r="C5" s="5"/>
      <c r="D5" s="5"/>
      <c r="E5" s="5"/>
      <c r="F5" s="5"/>
      <c r="G5" s="6" t="s">
        <v>632</v>
      </c>
      <c r="H5" s="3752" t="s">
        <v>2508</v>
      </c>
      <c r="I5" s="3753"/>
      <c r="J5" s="3752" t="s">
        <v>2509</v>
      </c>
      <c r="K5" s="3753"/>
      <c r="L5" s="3752" t="s">
        <v>2509</v>
      </c>
      <c r="M5" s="3753"/>
      <c r="N5" s="3752" t="s">
        <v>2510</v>
      </c>
      <c r="O5" s="3753"/>
      <c r="P5" s="3752" t="s">
        <v>2511</v>
      </c>
      <c r="Q5" s="3753"/>
      <c r="R5" s="3752" t="s">
        <v>2511</v>
      </c>
      <c r="S5" s="3753"/>
      <c r="T5" s="3752" t="s">
        <v>2512</v>
      </c>
      <c r="U5" s="3753"/>
      <c r="V5" s="3752" t="s">
        <v>2248</v>
      </c>
      <c r="W5" s="3753"/>
      <c r="X5" s="3752" t="s">
        <v>2513</v>
      </c>
      <c r="Y5" s="3753"/>
      <c r="Z5" s="3752" t="s">
        <v>2514</v>
      </c>
      <c r="AA5" s="3753"/>
      <c r="AB5" s="3752" t="s">
        <v>2515</v>
      </c>
      <c r="AC5" s="3753"/>
      <c r="AD5" s="3752" t="s">
        <v>2516</v>
      </c>
      <c r="AE5" s="3753"/>
      <c r="AF5" s="3752" t="s">
        <v>2517</v>
      </c>
      <c r="AG5" s="3753"/>
      <c r="AH5" s="3752" t="s">
        <v>2244</v>
      </c>
      <c r="AI5" s="3753"/>
      <c r="AJ5" s="3752" t="s">
        <v>2518</v>
      </c>
      <c r="AK5" s="3753"/>
    </row>
    <row r="6" spans="1:37" ht="14.5" x14ac:dyDescent="0.35">
      <c r="A6" s="2101" t="s">
        <v>634</v>
      </c>
      <c r="B6" s="2102" t="s">
        <v>513</v>
      </c>
      <c r="C6" s="2103"/>
      <c r="D6" s="2103"/>
      <c r="E6" s="2103"/>
      <c r="F6" s="2103"/>
      <c r="G6" s="1955" t="s">
        <v>636</v>
      </c>
      <c r="H6" s="3928" t="s">
        <v>2519</v>
      </c>
      <c r="I6" s="3759"/>
      <c r="J6" s="3928" t="s">
        <v>2519</v>
      </c>
      <c r="K6" s="3759"/>
      <c r="L6" s="3928" t="s">
        <v>2519</v>
      </c>
      <c r="M6" s="3759"/>
      <c r="N6" s="3928" t="s">
        <v>2520</v>
      </c>
      <c r="O6" s="3759"/>
      <c r="P6" s="3928" t="s">
        <v>2520</v>
      </c>
      <c r="Q6" s="3759"/>
      <c r="R6" s="3928" t="s">
        <v>2520</v>
      </c>
      <c r="S6" s="3759"/>
      <c r="T6" s="3928" t="s">
        <v>2521</v>
      </c>
      <c r="U6" s="3759"/>
      <c r="V6" s="3928" t="s">
        <v>2257</v>
      </c>
      <c r="W6" s="3759"/>
      <c r="X6" s="3928" t="s">
        <v>2522</v>
      </c>
      <c r="Y6" s="3759"/>
      <c r="Z6" s="3928" t="s">
        <v>2522</v>
      </c>
      <c r="AA6" s="3759"/>
      <c r="AB6" s="3928" t="s">
        <v>2523</v>
      </c>
      <c r="AC6" s="3759"/>
      <c r="AD6" s="3928" t="s">
        <v>2524</v>
      </c>
      <c r="AE6" s="3759"/>
      <c r="AF6" s="3928" t="s">
        <v>2525</v>
      </c>
      <c r="AG6" s="3759"/>
      <c r="AH6" s="3928" t="s">
        <v>2256</v>
      </c>
      <c r="AI6" s="3759"/>
      <c r="AJ6" s="3928" t="s">
        <v>2526</v>
      </c>
      <c r="AK6" s="3759"/>
    </row>
    <row r="7" spans="1:37" ht="14.5" x14ac:dyDescent="0.35">
      <c r="A7" s="2101" t="s">
        <v>638</v>
      </c>
      <c r="B7" s="2104" t="s">
        <v>512</v>
      </c>
      <c r="C7" s="2103"/>
      <c r="D7" s="2103"/>
      <c r="E7" s="2103"/>
      <c r="F7" s="2103"/>
      <c r="G7" s="1955" t="s">
        <v>639</v>
      </c>
      <c r="H7" s="3929">
        <v>9549782294</v>
      </c>
      <c r="I7" s="3757"/>
      <c r="J7" s="3929">
        <v>9549782294</v>
      </c>
      <c r="K7" s="3757"/>
      <c r="L7" s="3929">
        <v>9549782294</v>
      </c>
      <c r="M7" s="3757"/>
      <c r="N7" s="3929">
        <v>5617482576</v>
      </c>
      <c r="O7" s="3757"/>
      <c r="P7" s="3929">
        <v>5617482576</v>
      </c>
      <c r="Q7" s="3757"/>
      <c r="R7" s="3929">
        <v>5617482576</v>
      </c>
      <c r="S7" s="3757"/>
      <c r="T7" s="3929"/>
      <c r="U7" s="3757"/>
      <c r="V7" s="3929">
        <v>2676646131</v>
      </c>
      <c r="W7" s="3757"/>
      <c r="X7" s="3929">
        <v>9545916318</v>
      </c>
      <c r="Y7" s="3757"/>
      <c r="Z7" s="3929">
        <v>9545916318</v>
      </c>
      <c r="AA7" s="3757"/>
      <c r="AB7" s="3929">
        <v>549444111</v>
      </c>
      <c r="AC7" s="3757"/>
      <c r="AD7" s="3929">
        <v>7722242793</v>
      </c>
      <c r="AE7" s="3757"/>
      <c r="AF7" s="3929">
        <v>8137566800</v>
      </c>
      <c r="AG7" s="3757"/>
      <c r="AH7" s="3929">
        <v>546101167</v>
      </c>
      <c r="AI7" s="3757"/>
      <c r="AJ7" s="3929">
        <v>7543662730</v>
      </c>
      <c r="AK7" s="3757"/>
    </row>
    <row r="8" spans="1:37" ht="14.5" x14ac:dyDescent="0.35">
      <c r="A8" s="2101" t="s">
        <v>641</v>
      </c>
      <c r="B8" s="2105"/>
      <c r="C8" s="2103"/>
      <c r="D8" s="2103"/>
      <c r="E8" s="2103"/>
      <c r="F8" s="2103"/>
      <c r="G8" s="1955" t="s">
        <v>642</v>
      </c>
      <c r="H8" s="3930" t="s">
        <v>2527</v>
      </c>
      <c r="I8" s="3763"/>
      <c r="J8" s="3930" t="s">
        <v>2527</v>
      </c>
      <c r="K8" s="3763"/>
      <c r="L8" s="3930" t="s">
        <v>2527</v>
      </c>
      <c r="M8" s="3763"/>
      <c r="N8" s="3930" t="s">
        <v>2528</v>
      </c>
      <c r="O8" s="3763"/>
      <c r="P8" s="3930" t="s">
        <v>2528</v>
      </c>
      <c r="Q8" s="3763"/>
      <c r="R8" s="3930" t="s">
        <v>2528</v>
      </c>
      <c r="S8" s="3763"/>
      <c r="T8" s="3930" t="s">
        <v>2529</v>
      </c>
      <c r="U8" s="3763"/>
      <c r="V8" s="3930" t="s">
        <v>2267</v>
      </c>
      <c r="W8" s="3763"/>
      <c r="X8" s="3930" t="s">
        <v>2530</v>
      </c>
      <c r="Y8" s="3763"/>
      <c r="Z8" s="3930" t="s">
        <v>2530</v>
      </c>
      <c r="AA8" s="3763"/>
      <c r="AB8" s="3930" t="s">
        <v>2531</v>
      </c>
      <c r="AC8" s="3763"/>
      <c r="AD8" s="3930" t="s">
        <v>2532</v>
      </c>
      <c r="AE8" s="3763"/>
      <c r="AF8" s="3930" t="s">
        <v>2533</v>
      </c>
      <c r="AG8" s="3763"/>
      <c r="AH8" s="3930" t="s">
        <v>2265</v>
      </c>
      <c r="AI8" s="3763"/>
      <c r="AJ8" s="3930" t="s">
        <v>2534</v>
      </c>
      <c r="AK8" s="3763"/>
    </row>
    <row r="9" spans="1:37" ht="15.75" customHeight="1" x14ac:dyDescent="0.35">
      <c r="A9" s="938" t="s">
        <v>644</v>
      </c>
      <c r="B9" s="939"/>
      <c r="C9" s="940"/>
      <c r="D9" s="940"/>
      <c r="E9" s="940"/>
      <c r="F9" s="940"/>
      <c r="G9" s="1024" t="s">
        <v>644</v>
      </c>
      <c r="H9" s="3926">
        <f>I77</f>
        <v>1989493.68</v>
      </c>
      <c r="I9" s="3927"/>
      <c r="J9" s="3926">
        <f>K77</f>
        <v>1729642.804</v>
      </c>
      <c r="K9" s="3927"/>
      <c r="L9" s="3926">
        <f>M77</f>
        <v>1550000</v>
      </c>
      <c r="M9" s="3927"/>
      <c r="N9" s="3926">
        <f>O77</f>
        <v>2749000</v>
      </c>
      <c r="O9" s="3927"/>
      <c r="P9" s="3926">
        <f>Q77</f>
        <v>1550000</v>
      </c>
      <c r="Q9" s="3927"/>
      <c r="R9" s="3926">
        <f>S77</f>
        <v>1550000</v>
      </c>
      <c r="S9" s="3927"/>
      <c r="T9" s="3926">
        <f>U77</f>
        <v>1881168.31</v>
      </c>
      <c r="U9" s="3927"/>
      <c r="V9" s="3926">
        <f>W77</f>
        <v>1957000</v>
      </c>
      <c r="W9" s="3927"/>
      <c r="X9" s="3926">
        <f>Y77</f>
        <v>2142827</v>
      </c>
      <c r="Y9" s="3927"/>
      <c r="Z9" s="3926">
        <f>AA77</f>
        <v>1978000</v>
      </c>
      <c r="AA9" s="3927"/>
      <c r="AB9" s="3926">
        <f>AC77</f>
        <v>2060666</v>
      </c>
      <c r="AC9" s="3927"/>
      <c r="AD9" s="3926">
        <f>AE77</f>
        <v>2339011.5499999998</v>
      </c>
      <c r="AE9" s="3927"/>
      <c r="AF9" s="3926">
        <f>AG77</f>
        <v>2537665.2000000002</v>
      </c>
      <c r="AG9" s="3927"/>
      <c r="AH9" s="3926">
        <f>AI77</f>
        <v>2654000</v>
      </c>
      <c r="AI9" s="3927"/>
      <c r="AJ9" s="3926">
        <f>AK77</f>
        <v>4116681.24</v>
      </c>
      <c r="AK9" s="3927"/>
    </row>
    <row r="10" spans="1:37" ht="29" x14ac:dyDescent="0.35">
      <c r="A10" s="7" t="s">
        <v>645</v>
      </c>
      <c r="B10" s="8"/>
      <c r="C10" s="9" t="s">
        <v>646</v>
      </c>
      <c r="D10" s="9" t="s">
        <v>647</v>
      </c>
      <c r="E10" s="9" t="s">
        <v>648</v>
      </c>
      <c r="F10" s="9" t="s">
        <v>649</v>
      </c>
      <c r="G10" s="10" t="s">
        <v>650</v>
      </c>
      <c r="H10" s="11" t="s">
        <v>651</v>
      </c>
      <c r="I10" s="11" t="s">
        <v>652</v>
      </c>
      <c r="J10" s="11" t="s">
        <v>651</v>
      </c>
      <c r="K10" s="11" t="s">
        <v>652</v>
      </c>
      <c r="L10" s="11" t="s">
        <v>651</v>
      </c>
      <c r="M10" s="11" t="s">
        <v>652</v>
      </c>
      <c r="N10" s="11" t="s">
        <v>651</v>
      </c>
      <c r="O10" s="11" t="s">
        <v>652</v>
      </c>
      <c r="P10" s="11" t="s">
        <v>651</v>
      </c>
      <c r="Q10" s="11" t="s">
        <v>652</v>
      </c>
      <c r="R10" s="11" t="s">
        <v>651</v>
      </c>
      <c r="S10" s="11" t="s">
        <v>652</v>
      </c>
      <c r="T10" s="11" t="s">
        <v>651</v>
      </c>
      <c r="U10" s="11" t="s">
        <v>652</v>
      </c>
      <c r="V10" s="11" t="s">
        <v>651</v>
      </c>
      <c r="W10" s="11" t="s">
        <v>652</v>
      </c>
      <c r="X10" s="11" t="s">
        <v>651</v>
      </c>
      <c r="Y10" s="11" t="s">
        <v>652</v>
      </c>
      <c r="Z10" s="11" t="s">
        <v>651</v>
      </c>
      <c r="AA10" s="11" t="s">
        <v>652</v>
      </c>
      <c r="AB10" s="11" t="s">
        <v>651</v>
      </c>
      <c r="AC10" s="11" t="s">
        <v>652</v>
      </c>
      <c r="AD10" s="11" t="s">
        <v>651</v>
      </c>
      <c r="AE10" s="11" t="s">
        <v>652</v>
      </c>
      <c r="AF10" s="11" t="s">
        <v>651</v>
      </c>
      <c r="AG10" s="11" t="s">
        <v>652</v>
      </c>
      <c r="AH10" s="11" t="s">
        <v>651</v>
      </c>
      <c r="AI10" s="11" t="s">
        <v>652</v>
      </c>
      <c r="AJ10" s="11" t="s">
        <v>651</v>
      </c>
      <c r="AK10" s="11" t="s">
        <v>652</v>
      </c>
    </row>
    <row r="11" spans="1:37" ht="14.5" hidden="1" x14ac:dyDescent="0.35">
      <c r="A11" s="2106"/>
      <c r="B11" s="1178" t="s">
        <v>653</v>
      </c>
      <c r="C11" s="2103"/>
      <c r="D11" s="2103"/>
      <c r="E11" s="2103"/>
      <c r="F11" s="2103"/>
      <c r="G11" s="1956"/>
      <c r="H11" s="2107"/>
      <c r="I11" s="2107"/>
      <c r="J11" s="2107"/>
      <c r="K11" s="2107"/>
      <c r="L11" s="2107"/>
      <c r="M11" s="2107"/>
      <c r="N11" s="2107"/>
      <c r="O11" s="2107"/>
      <c r="P11" s="2107"/>
      <c r="Q11" s="2107"/>
      <c r="R11" s="2107"/>
      <c r="S11" s="2107"/>
      <c r="T11" s="2107"/>
      <c r="U11" s="2107"/>
      <c r="V11" s="2107"/>
      <c r="W11" s="2107"/>
      <c r="X11" s="2107"/>
      <c r="Y11" s="2107"/>
      <c r="Z11" s="2107"/>
      <c r="AA11" s="2107"/>
      <c r="AB11" s="2107"/>
      <c r="AC11" s="2107"/>
      <c r="AD11" s="2107"/>
      <c r="AE11" s="2107"/>
      <c r="AF11" s="2107"/>
      <c r="AG11" s="2107"/>
      <c r="AH11" s="2107"/>
      <c r="AI11" s="2107"/>
      <c r="AJ11" s="2107"/>
      <c r="AK11" s="2107"/>
    </row>
    <row r="12" spans="1:37" ht="14.5" hidden="1" x14ac:dyDescent="0.35">
      <c r="A12" s="2106"/>
      <c r="B12" s="2102" t="e">
        <f>#REF!</f>
        <v>#REF!</v>
      </c>
      <c r="C12" s="2108" t="s">
        <v>654</v>
      </c>
      <c r="D12" s="2103"/>
      <c r="E12" s="2103"/>
      <c r="F12" s="2103"/>
      <c r="G12" s="1956"/>
      <c r="H12" s="2107"/>
      <c r="I12" s="2107"/>
      <c r="J12" s="2107"/>
      <c r="K12" s="2107"/>
      <c r="L12" s="2107"/>
      <c r="M12" s="2107"/>
      <c r="N12" s="2107"/>
      <c r="O12" s="2107"/>
      <c r="P12" s="2107"/>
      <c r="Q12" s="2107"/>
      <c r="R12" s="2107"/>
      <c r="S12" s="2107"/>
      <c r="T12" s="2107"/>
      <c r="U12" s="2107"/>
      <c r="V12" s="2107"/>
      <c r="W12" s="2107"/>
      <c r="X12" s="2107"/>
      <c r="Y12" s="2107"/>
      <c r="Z12" s="2107"/>
      <c r="AA12" s="2107"/>
      <c r="AB12" s="2107"/>
      <c r="AC12" s="2107"/>
      <c r="AD12" s="2107"/>
      <c r="AE12" s="2107"/>
      <c r="AF12" s="2107"/>
      <c r="AG12" s="2107"/>
      <c r="AH12" s="2107"/>
      <c r="AI12" s="2107"/>
      <c r="AJ12" s="2107"/>
      <c r="AK12" s="2107"/>
    </row>
    <row r="13" spans="1:37" ht="14.5" hidden="1" x14ac:dyDescent="0.35">
      <c r="A13" s="2106"/>
      <c r="B13" s="2102" t="e">
        <f>#REF!</f>
        <v>#REF!</v>
      </c>
      <c r="C13" s="2108" t="s">
        <v>654</v>
      </c>
      <c r="D13" s="2103"/>
      <c r="E13" s="2103"/>
      <c r="F13" s="2103"/>
      <c r="G13" s="1956"/>
      <c r="H13" s="2107"/>
      <c r="I13" s="2107"/>
      <c r="J13" s="2107"/>
      <c r="K13" s="2107"/>
      <c r="L13" s="2107"/>
      <c r="M13" s="2107"/>
      <c r="N13" s="2107"/>
      <c r="O13" s="2107"/>
      <c r="P13" s="2107"/>
      <c r="Q13" s="2107"/>
      <c r="R13" s="2107"/>
      <c r="S13" s="2107"/>
      <c r="T13" s="2107"/>
      <c r="U13" s="2107"/>
      <c r="V13" s="2107"/>
      <c r="W13" s="2107"/>
      <c r="X13" s="2107"/>
      <c r="Y13" s="2107"/>
      <c r="Z13" s="2107"/>
      <c r="AA13" s="2107"/>
      <c r="AB13" s="2107"/>
      <c r="AC13" s="2107"/>
      <c r="AD13" s="2107"/>
      <c r="AE13" s="2107"/>
      <c r="AF13" s="2107"/>
      <c r="AG13" s="2107"/>
      <c r="AH13" s="2107"/>
      <c r="AI13" s="2107"/>
      <c r="AJ13" s="2107"/>
      <c r="AK13" s="2107"/>
    </row>
    <row r="14" spans="1:37" ht="14.5" hidden="1" x14ac:dyDescent="0.35">
      <c r="A14" s="2106"/>
      <c r="B14" s="2102" t="e">
        <f>#REF!</f>
        <v>#REF!</v>
      </c>
      <c r="C14" s="2108" t="s">
        <v>654</v>
      </c>
      <c r="D14" s="2103"/>
      <c r="E14" s="2103"/>
      <c r="F14" s="2103"/>
      <c r="G14" s="1956"/>
      <c r="H14" s="2107"/>
      <c r="I14" s="2107"/>
      <c r="J14" s="2107"/>
      <c r="K14" s="2107"/>
      <c r="L14" s="2107"/>
      <c r="M14" s="2107"/>
      <c r="N14" s="2107"/>
      <c r="O14" s="2107"/>
      <c r="P14" s="2107"/>
      <c r="Q14" s="2107"/>
      <c r="R14" s="2107"/>
      <c r="S14" s="2107"/>
      <c r="T14" s="2107"/>
      <c r="U14" s="2107"/>
      <c r="V14" s="2107"/>
      <c r="W14" s="2107"/>
      <c r="X14" s="2107"/>
      <c r="Y14" s="2107"/>
      <c r="Z14" s="2107"/>
      <c r="AA14" s="2107"/>
      <c r="AB14" s="2107"/>
      <c r="AC14" s="2107"/>
      <c r="AD14" s="2107"/>
      <c r="AE14" s="2107"/>
      <c r="AF14" s="2107"/>
      <c r="AG14" s="2107"/>
      <c r="AH14" s="2107"/>
      <c r="AI14" s="2107"/>
      <c r="AJ14" s="2107"/>
      <c r="AK14" s="2107"/>
    </row>
    <row r="15" spans="1:37" ht="14.5" hidden="1" x14ac:dyDescent="0.35">
      <c r="A15" s="2106"/>
      <c r="B15" s="2102" t="e">
        <f>#REF!</f>
        <v>#REF!</v>
      </c>
      <c r="C15" s="2108" t="s">
        <v>654</v>
      </c>
      <c r="D15" s="2103"/>
      <c r="E15" s="2103"/>
      <c r="F15" s="2103"/>
      <c r="G15" s="1956"/>
      <c r="H15" s="2107"/>
      <c r="I15" s="2107"/>
      <c r="J15" s="2107"/>
      <c r="K15" s="2107"/>
      <c r="L15" s="2107"/>
      <c r="M15" s="2107"/>
      <c r="N15" s="2107"/>
      <c r="O15" s="2107"/>
      <c r="P15" s="2107"/>
      <c r="Q15" s="2107"/>
      <c r="R15" s="2107"/>
      <c r="S15" s="2107"/>
      <c r="T15" s="2107"/>
      <c r="U15" s="2107"/>
      <c r="V15" s="2107"/>
      <c r="W15" s="2107"/>
      <c r="X15" s="2107"/>
      <c r="Y15" s="2107"/>
      <c r="Z15" s="2107"/>
      <c r="AA15" s="2107"/>
      <c r="AB15" s="2107"/>
      <c r="AC15" s="2107"/>
      <c r="AD15" s="2107"/>
      <c r="AE15" s="2107"/>
      <c r="AF15" s="2107"/>
      <c r="AG15" s="2107"/>
      <c r="AH15" s="2107"/>
      <c r="AI15" s="2107"/>
      <c r="AJ15" s="2107"/>
      <c r="AK15" s="2107"/>
    </row>
    <row r="16" spans="1:37" ht="14.5" hidden="1" x14ac:dyDescent="0.35">
      <c r="A16" s="2106"/>
      <c r="B16" s="2102" t="e">
        <f>#REF!</f>
        <v>#REF!</v>
      </c>
      <c r="C16" s="2108" t="s">
        <v>654</v>
      </c>
      <c r="D16" s="2103"/>
      <c r="E16" s="2103"/>
      <c r="F16" s="2103"/>
      <c r="G16" s="1956"/>
      <c r="H16" s="2107"/>
      <c r="I16" s="2107"/>
      <c r="J16" s="2107"/>
      <c r="K16" s="2107"/>
      <c r="L16" s="2107"/>
      <c r="M16" s="2107"/>
      <c r="N16" s="2107"/>
      <c r="O16" s="2107"/>
      <c r="P16" s="2107"/>
      <c r="Q16" s="2107"/>
      <c r="R16" s="2107"/>
      <c r="S16" s="2107"/>
      <c r="T16" s="2107"/>
      <c r="U16" s="2107"/>
      <c r="V16" s="2107"/>
      <c r="W16" s="2107"/>
      <c r="X16" s="2107"/>
      <c r="Y16" s="2107"/>
      <c r="Z16" s="2107"/>
      <c r="AA16" s="2107"/>
      <c r="AB16" s="2107"/>
      <c r="AC16" s="2107"/>
      <c r="AD16" s="2107"/>
      <c r="AE16" s="2107"/>
      <c r="AF16" s="2107"/>
      <c r="AG16" s="2107"/>
      <c r="AH16" s="2107"/>
      <c r="AI16" s="2107"/>
      <c r="AJ16" s="2107"/>
      <c r="AK16" s="2107"/>
    </row>
    <row r="17" spans="1:37" ht="14.5" hidden="1" x14ac:dyDescent="0.35">
      <c r="A17" s="2106"/>
      <c r="B17" s="2102" t="e">
        <f>#REF!</f>
        <v>#REF!</v>
      </c>
      <c r="C17" s="2108" t="s">
        <v>654</v>
      </c>
      <c r="D17" s="2103"/>
      <c r="E17" s="2103"/>
      <c r="F17" s="2103"/>
      <c r="G17" s="1956"/>
      <c r="H17" s="2107"/>
      <c r="I17" s="2107"/>
      <c r="J17" s="2107"/>
      <c r="K17" s="2107"/>
      <c r="L17" s="2107"/>
      <c r="M17" s="2107"/>
      <c r="N17" s="2107"/>
      <c r="O17" s="2107"/>
      <c r="P17" s="2107"/>
      <c r="Q17" s="2107"/>
      <c r="R17" s="2107"/>
      <c r="S17" s="2107"/>
      <c r="T17" s="2107"/>
      <c r="U17" s="2107"/>
      <c r="V17" s="2107"/>
      <c r="W17" s="2107"/>
      <c r="X17" s="2107"/>
      <c r="Y17" s="2107"/>
      <c r="Z17" s="2107"/>
      <c r="AA17" s="2107"/>
      <c r="AB17" s="2107"/>
      <c r="AC17" s="2107"/>
      <c r="AD17" s="2107"/>
      <c r="AE17" s="2107"/>
      <c r="AF17" s="2107"/>
      <c r="AG17" s="2107"/>
      <c r="AH17" s="2107"/>
      <c r="AI17" s="2107"/>
      <c r="AJ17" s="2107"/>
      <c r="AK17" s="2107"/>
    </row>
    <row r="18" spans="1:37" ht="14.5" hidden="1" x14ac:dyDescent="0.35">
      <c r="A18" s="2106"/>
      <c r="B18" s="2102" t="e">
        <f>#REF!</f>
        <v>#REF!</v>
      </c>
      <c r="C18" s="2108" t="s">
        <v>654</v>
      </c>
      <c r="D18" s="2103"/>
      <c r="E18" s="2103"/>
      <c r="F18" s="2103"/>
      <c r="G18" s="1956"/>
      <c r="H18" s="2107"/>
      <c r="I18" s="2107"/>
      <c r="J18" s="2107"/>
      <c r="K18" s="2107"/>
      <c r="L18" s="2107"/>
      <c r="M18" s="2107"/>
      <c r="N18" s="2107"/>
      <c r="O18" s="2107"/>
      <c r="P18" s="2107"/>
      <c r="Q18" s="2107"/>
      <c r="R18" s="2107"/>
      <c r="S18" s="2107"/>
      <c r="T18" s="2107"/>
      <c r="U18" s="2107"/>
      <c r="V18" s="2107"/>
      <c r="W18" s="2107"/>
      <c r="X18" s="2107"/>
      <c r="Y18" s="2107"/>
      <c r="Z18" s="2107"/>
      <c r="AA18" s="2107"/>
      <c r="AB18" s="2107"/>
      <c r="AC18" s="2107"/>
      <c r="AD18" s="2107"/>
      <c r="AE18" s="2107"/>
      <c r="AF18" s="2107"/>
      <c r="AG18" s="2107"/>
      <c r="AH18" s="2107"/>
      <c r="AI18" s="2107"/>
      <c r="AJ18" s="2107"/>
      <c r="AK18" s="2107"/>
    </row>
    <row r="19" spans="1:37" ht="14.5" hidden="1" x14ac:dyDescent="0.35">
      <c r="A19" s="2106"/>
      <c r="B19" s="2102" t="e">
        <f>#REF!</f>
        <v>#REF!</v>
      </c>
      <c r="C19" s="2108" t="s">
        <v>654</v>
      </c>
      <c r="D19" s="2103"/>
      <c r="E19" s="2103"/>
      <c r="F19" s="2103"/>
      <c r="G19" s="1956"/>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2107"/>
      <c r="AD19" s="2107"/>
      <c r="AE19" s="2107"/>
      <c r="AF19" s="2107"/>
      <c r="AG19" s="2107"/>
      <c r="AH19" s="2107"/>
      <c r="AI19" s="2107"/>
      <c r="AJ19" s="2107"/>
      <c r="AK19" s="2107"/>
    </row>
    <row r="20" spans="1:37" ht="14.5" hidden="1" x14ac:dyDescent="0.35">
      <c r="A20" s="2106"/>
      <c r="B20" s="2102" t="e">
        <f>#REF!</f>
        <v>#REF!</v>
      </c>
      <c r="C20" s="2108" t="s">
        <v>654</v>
      </c>
      <c r="D20" s="2103"/>
      <c r="E20" s="2103"/>
      <c r="F20" s="2103"/>
      <c r="G20" s="1956"/>
      <c r="H20" s="2107"/>
      <c r="I20" s="2107"/>
      <c r="J20" s="2107"/>
      <c r="K20" s="2107"/>
      <c r="L20" s="2107"/>
      <c r="M20" s="2107"/>
      <c r="N20" s="2107"/>
      <c r="O20" s="2107"/>
      <c r="P20" s="2107"/>
      <c r="Q20" s="2107"/>
      <c r="R20" s="2107"/>
      <c r="S20" s="2107"/>
      <c r="T20" s="2107"/>
      <c r="U20" s="2107"/>
      <c r="V20" s="2107"/>
      <c r="W20" s="2107"/>
      <c r="X20" s="2107"/>
      <c r="Y20" s="2107"/>
      <c r="Z20" s="2107"/>
      <c r="AA20" s="2107"/>
      <c r="AB20" s="2107"/>
      <c r="AC20" s="2107"/>
      <c r="AD20" s="2107"/>
      <c r="AE20" s="2107"/>
      <c r="AF20" s="2107"/>
      <c r="AG20" s="2107"/>
      <c r="AH20" s="2107"/>
      <c r="AI20" s="2107"/>
      <c r="AJ20" s="2107"/>
      <c r="AK20" s="2107"/>
    </row>
    <row r="21" spans="1:37" ht="14.5" x14ac:dyDescent="0.35">
      <c r="A21" s="2106"/>
      <c r="B21" s="2102"/>
      <c r="C21" s="2108"/>
      <c r="D21" s="2103"/>
      <c r="E21" s="2103"/>
      <c r="F21" s="2103"/>
      <c r="G21" s="1956"/>
      <c r="H21" s="2109"/>
      <c r="I21" s="2107"/>
      <c r="J21" s="2109"/>
      <c r="K21" s="2107"/>
      <c r="L21" s="2109"/>
      <c r="M21" s="2107"/>
      <c r="N21" s="2109"/>
      <c r="O21" s="2107"/>
      <c r="P21" s="2109"/>
      <c r="Q21" s="2107"/>
      <c r="R21" s="2109"/>
      <c r="S21" s="2107"/>
      <c r="T21" s="2109"/>
      <c r="U21" s="2107"/>
      <c r="V21" s="2109"/>
      <c r="W21" s="2107"/>
      <c r="X21" s="2109"/>
      <c r="Y21" s="2107"/>
      <c r="Z21" s="2109"/>
      <c r="AA21" s="2107"/>
      <c r="AB21" s="2109"/>
      <c r="AC21" s="2107"/>
      <c r="AD21" s="2109"/>
      <c r="AE21" s="2107"/>
      <c r="AF21" s="2109"/>
      <c r="AG21" s="2107"/>
      <c r="AH21" s="2109"/>
      <c r="AI21" s="2107"/>
      <c r="AJ21" s="2109"/>
      <c r="AK21" s="2107"/>
    </row>
    <row r="22" spans="1:37" ht="14.5" x14ac:dyDescent="0.35">
      <c r="A22" s="1179"/>
      <c r="B22" s="2110" t="s">
        <v>513</v>
      </c>
      <c r="C22" s="45"/>
      <c r="D22" s="46"/>
      <c r="E22" s="46"/>
      <c r="F22" s="46"/>
      <c r="G22" s="52"/>
      <c r="H22" s="2109"/>
      <c r="I22" s="47"/>
      <c r="J22" s="2109"/>
      <c r="K22" s="47"/>
      <c r="L22" s="2109"/>
      <c r="M22" s="47"/>
      <c r="N22" s="2109"/>
      <c r="O22" s="47"/>
      <c r="P22" s="2109"/>
      <c r="Q22" s="47"/>
      <c r="R22" s="2109"/>
      <c r="S22" s="47"/>
      <c r="T22" s="2109"/>
      <c r="U22" s="47"/>
      <c r="V22" s="2109"/>
      <c r="W22" s="47"/>
      <c r="X22" s="2109"/>
      <c r="Y22" s="47"/>
      <c r="Z22" s="2109"/>
      <c r="AA22" s="47"/>
      <c r="AB22" s="2109"/>
      <c r="AC22" s="47"/>
      <c r="AD22" s="2109"/>
      <c r="AE22" s="47"/>
      <c r="AF22" s="2109"/>
      <c r="AG22" s="47"/>
      <c r="AH22" s="2109"/>
      <c r="AI22" s="47"/>
      <c r="AJ22" s="2109"/>
      <c r="AK22" s="47"/>
    </row>
    <row r="23" spans="1:37" ht="14.5" x14ac:dyDescent="0.35">
      <c r="A23" s="1179"/>
      <c r="B23" s="606" t="s">
        <v>657</v>
      </c>
      <c r="C23" s="2108"/>
      <c r="D23" s="2103"/>
      <c r="E23" s="2103"/>
      <c r="F23" s="2103"/>
      <c r="G23" s="1956"/>
      <c r="H23" s="2109"/>
      <c r="I23" s="1180"/>
      <c r="J23" s="2109"/>
      <c r="K23" s="1180"/>
      <c r="L23" s="2109"/>
      <c r="M23" s="1180"/>
      <c r="N23" s="2109"/>
      <c r="O23" s="1158"/>
      <c r="P23" s="2109"/>
      <c r="Q23" s="1158"/>
      <c r="R23" s="2109"/>
      <c r="S23" s="1158"/>
      <c r="T23" s="2109"/>
      <c r="U23" s="1158"/>
      <c r="V23" s="2109"/>
      <c r="W23" s="1158"/>
      <c r="X23" s="2109"/>
      <c r="Y23" s="1180"/>
      <c r="Z23" s="2109"/>
      <c r="AA23" s="1180"/>
      <c r="AB23" s="2109"/>
      <c r="AC23" s="1180"/>
      <c r="AD23" s="2109"/>
      <c r="AE23" s="1180"/>
      <c r="AF23" s="2109"/>
      <c r="AG23" s="1158"/>
      <c r="AH23" s="2109"/>
      <c r="AI23" s="1180"/>
      <c r="AJ23" s="2109"/>
      <c r="AK23" s="1180"/>
    </row>
    <row r="24" spans="1:37" ht="14.5" x14ac:dyDescent="0.35">
      <c r="A24" s="1179"/>
      <c r="B24" s="1157" t="s">
        <v>658</v>
      </c>
      <c r="C24" s="2108"/>
      <c r="D24" s="2103"/>
      <c r="E24" s="2103"/>
      <c r="F24" s="2103"/>
      <c r="G24" s="1956"/>
      <c r="H24" s="2109" t="s">
        <v>669</v>
      </c>
      <c r="I24" s="1158"/>
      <c r="J24" s="2109" t="s">
        <v>669</v>
      </c>
      <c r="K24" s="1158"/>
      <c r="L24" s="2109" t="s">
        <v>669</v>
      </c>
      <c r="M24" s="1158"/>
      <c r="N24" s="2109" t="s">
        <v>669</v>
      </c>
      <c r="O24" s="1158"/>
      <c r="P24" s="2109" t="s">
        <v>669</v>
      </c>
      <c r="Q24" s="1158"/>
      <c r="R24" s="2109" t="s">
        <v>669</v>
      </c>
      <c r="S24" s="1158"/>
      <c r="T24" s="2109" t="s">
        <v>669</v>
      </c>
      <c r="U24" s="1158"/>
      <c r="V24" s="2109" t="s">
        <v>669</v>
      </c>
      <c r="W24" s="1158"/>
      <c r="X24" s="2109"/>
      <c r="Y24" s="1158"/>
      <c r="Z24" s="2109"/>
      <c r="AA24" s="1158"/>
      <c r="AB24" s="2109"/>
      <c r="AC24" s="1158"/>
      <c r="AD24" s="2109"/>
      <c r="AE24" s="1158"/>
      <c r="AF24" s="2109" t="s">
        <v>669</v>
      </c>
      <c r="AG24" s="1158"/>
      <c r="AH24" s="2109"/>
      <c r="AI24" s="1158"/>
      <c r="AJ24" s="2109" t="s">
        <v>669</v>
      </c>
      <c r="AK24" s="1158"/>
    </row>
    <row r="25" spans="1:37" ht="14.5" x14ac:dyDescent="0.35">
      <c r="A25" s="1179"/>
      <c r="B25" s="1157" t="s">
        <v>659</v>
      </c>
      <c r="C25" s="2108"/>
      <c r="D25" s="2103"/>
      <c r="E25" s="2103"/>
      <c r="F25" s="2103"/>
      <c r="G25" s="1956"/>
      <c r="H25" s="2109" t="s">
        <v>669</v>
      </c>
      <c r="I25" s="1158"/>
      <c r="J25" s="2109" t="s">
        <v>669</v>
      </c>
      <c r="K25" s="1158"/>
      <c r="L25" s="2109" t="s">
        <v>669</v>
      </c>
      <c r="M25" s="1158"/>
      <c r="N25" s="2109" t="s">
        <v>669</v>
      </c>
      <c r="O25" s="1158"/>
      <c r="P25" s="2109" t="s">
        <v>669</v>
      </c>
      <c r="Q25" s="1158"/>
      <c r="R25" s="2109" t="s">
        <v>669</v>
      </c>
      <c r="S25" s="1158"/>
      <c r="T25" s="2109" t="s">
        <v>669</v>
      </c>
      <c r="U25" s="1158"/>
      <c r="V25" s="2109" t="s">
        <v>669</v>
      </c>
      <c r="W25" s="1158"/>
      <c r="X25" s="2109"/>
      <c r="Y25" s="1158"/>
      <c r="Z25" s="2109"/>
      <c r="AA25" s="1158"/>
      <c r="AB25" s="2109"/>
      <c r="AC25" s="1158"/>
      <c r="AD25" s="2109"/>
      <c r="AE25" s="1158"/>
      <c r="AF25" s="2109" t="s">
        <v>669</v>
      </c>
      <c r="AG25" s="1158"/>
      <c r="AH25" s="2109"/>
      <c r="AI25" s="1158"/>
      <c r="AJ25" s="2109"/>
      <c r="AK25" s="1158"/>
    </row>
    <row r="26" spans="1:37" ht="14.5" x14ac:dyDescent="0.35">
      <c r="A26" s="1179"/>
      <c r="B26" s="1159" t="s">
        <v>660</v>
      </c>
      <c r="C26" s="2108"/>
      <c r="D26" s="2103"/>
      <c r="E26" s="2103"/>
      <c r="F26" s="2103"/>
      <c r="G26" s="1956"/>
      <c r="H26" s="2109" t="s">
        <v>671</v>
      </c>
      <c r="I26" s="1158"/>
      <c r="J26" s="2109" t="s">
        <v>671</v>
      </c>
      <c r="K26" s="1158"/>
      <c r="L26" s="2109" t="s">
        <v>671</v>
      </c>
      <c r="M26" s="1158"/>
      <c r="N26" s="2109" t="s">
        <v>671</v>
      </c>
      <c r="O26" s="1158"/>
      <c r="P26" s="2109" t="s">
        <v>671</v>
      </c>
      <c r="Q26" s="1158"/>
      <c r="R26" s="2109" t="s">
        <v>671</v>
      </c>
      <c r="S26" s="1158"/>
      <c r="T26" s="2109" t="s">
        <v>671</v>
      </c>
      <c r="U26" s="1158"/>
      <c r="V26" s="2109" t="s">
        <v>671</v>
      </c>
      <c r="W26" s="1158"/>
      <c r="X26" s="2109"/>
      <c r="Y26" s="1158"/>
      <c r="Z26" s="2109"/>
      <c r="AA26" s="1158"/>
      <c r="AB26" s="2109"/>
      <c r="AC26" s="1158"/>
      <c r="AD26" s="2109"/>
      <c r="AE26" s="1158"/>
      <c r="AF26" s="2109" t="s">
        <v>671</v>
      </c>
      <c r="AG26" s="1158"/>
      <c r="AH26" s="2109"/>
      <c r="AI26" s="1158"/>
      <c r="AJ26" s="2109"/>
      <c r="AK26" s="1158"/>
    </row>
    <row r="27" spans="1:37" ht="14.5" x14ac:dyDescent="0.35">
      <c r="A27" s="1179"/>
      <c r="B27" s="1159" t="s">
        <v>661</v>
      </c>
      <c r="C27" s="2108"/>
      <c r="D27" s="2103"/>
      <c r="E27" s="2103"/>
      <c r="F27" s="2103"/>
      <c r="G27" s="1956"/>
      <c r="H27" s="2109" t="s">
        <v>669</v>
      </c>
      <c r="I27" s="1158"/>
      <c r="J27" s="2109" t="s">
        <v>669</v>
      </c>
      <c r="K27" s="1158"/>
      <c r="L27" s="2109" t="s">
        <v>669</v>
      </c>
      <c r="M27" s="1158"/>
      <c r="N27" s="2109" t="s">
        <v>669</v>
      </c>
      <c r="O27" s="1158"/>
      <c r="P27" s="2109" t="s">
        <v>669</v>
      </c>
      <c r="Q27" s="1158"/>
      <c r="R27" s="2109" t="s">
        <v>669</v>
      </c>
      <c r="S27" s="1158"/>
      <c r="T27" s="2109" t="s">
        <v>669</v>
      </c>
      <c r="U27" s="1158"/>
      <c r="V27" s="2109" t="s">
        <v>669</v>
      </c>
      <c r="W27" s="1158"/>
      <c r="X27" s="2109"/>
      <c r="Y27" s="1180"/>
      <c r="Z27" s="2109"/>
      <c r="AA27" s="1180"/>
      <c r="AB27" s="2109"/>
      <c r="AC27" s="1180"/>
      <c r="AD27" s="2109"/>
      <c r="AE27" s="1180"/>
      <c r="AF27" s="2109" t="s">
        <v>669</v>
      </c>
      <c r="AG27" s="1158"/>
      <c r="AH27" s="2109"/>
      <c r="AI27" s="1180"/>
      <c r="AJ27" s="2109"/>
      <c r="AK27" s="1158"/>
    </row>
    <row r="28" spans="1:37" ht="14.5" x14ac:dyDescent="0.35">
      <c r="A28" s="1179"/>
      <c r="B28" s="1159" t="s">
        <v>662</v>
      </c>
      <c r="C28" s="2108"/>
      <c r="D28" s="2103"/>
      <c r="E28" s="2103"/>
      <c r="F28" s="2103" t="s">
        <v>2512</v>
      </c>
      <c r="G28" s="1956"/>
      <c r="H28" s="2109" t="s">
        <v>669</v>
      </c>
      <c r="I28" s="1158"/>
      <c r="J28" s="2109" t="s">
        <v>669</v>
      </c>
      <c r="K28" s="1158"/>
      <c r="L28" s="2109" t="s">
        <v>669</v>
      </c>
      <c r="M28" s="1158"/>
      <c r="N28" s="2109" t="s">
        <v>669</v>
      </c>
      <c r="O28" s="1158"/>
      <c r="P28" s="2109" t="s">
        <v>669</v>
      </c>
      <c r="Q28" s="1158"/>
      <c r="R28" s="2109" t="s">
        <v>669</v>
      </c>
      <c r="S28" s="1158"/>
      <c r="T28" s="2109" t="s">
        <v>669</v>
      </c>
      <c r="U28" s="1158"/>
      <c r="V28" s="2109" t="s">
        <v>669</v>
      </c>
      <c r="W28" s="1158"/>
      <c r="X28" s="2109"/>
      <c r="Y28" s="1180"/>
      <c r="Z28" s="2109"/>
      <c r="AA28" s="1180"/>
      <c r="AB28" s="2109"/>
      <c r="AC28" s="1180"/>
      <c r="AD28" s="2109"/>
      <c r="AE28" s="1180"/>
      <c r="AF28" s="2109" t="s">
        <v>669</v>
      </c>
      <c r="AG28" s="1158"/>
      <c r="AH28" s="2109"/>
      <c r="AI28" s="1180"/>
      <c r="AJ28" s="2109"/>
      <c r="AK28" s="1158"/>
    </row>
    <row r="29" spans="1:37" ht="14.5" x14ac:dyDescent="0.35">
      <c r="A29" s="1179"/>
      <c r="B29" s="1159" t="s">
        <v>663</v>
      </c>
      <c r="C29" s="2108"/>
      <c r="D29" s="2103"/>
      <c r="E29" s="2103"/>
      <c r="F29" s="2103"/>
      <c r="G29" s="1956"/>
      <c r="H29" s="2109" t="s">
        <v>669</v>
      </c>
      <c r="I29" s="1158"/>
      <c r="J29" s="2109" t="s">
        <v>669</v>
      </c>
      <c r="K29" s="1158"/>
      <c r="L29" s="2109" t="s">
        <v>669</v>
      </c>
      <c r="M29" s="1158"/>
      <c r="N29" s="2109" t="s">
        <v>669</v>
      </c>
      <c r="O29" s="1158"/>
      <c r="P29" s="2109" t="s">
        <v>669</v>
      </c>
      <c r="Q29" s="1158"/>
      <c r="R29" s="2109" t="s">
        <v>669</v>
      </c>
      <c r="S29" s="1158"/>
      <c r="T29" s="2109" t="s">
        <v>669</v>
      </c>
      <c r="U29" s="1158"/>
      <c r="V29" s="2109" t="s">
        <v>669</v>
      </c>
      <c r="W29" s="1158"/>
      <c r="X29" s="2109"/>
      <c r="Y29" s="1180"/>
      <c r="Z29" s="2109"/>
      <c r="AA29" s="1180"/>
      <c r="AB29" s="2109"/>
      <c r="AC29" s="1180"/>
      <c r="AD29" s="2109"/>
      <c r="AE29" s="1180"/>
      <c r="AF29" s="2109" t="s">
        <v>669</v>
      </c>
      <c r="AG29" s="1158"/>
      <c r="AH29" s="2109"/>
      <c r="AI29" s="1180"/>
      <c r="AJ29" s="2109"/>
      <c r="AK29" s="1158"/>
    </row>
    <row r="30" spans="1:37" ht="14.5" x14ac:dyDescent="0.35">
      <c r="A30" s="1179"/>
      <c r="B30" s="1159" t="s">
        <v>789</v>
      </c>
      <c r="C30" s="2108"/>
      <c r="D30" s="2103"/>
      <c r="E30" s="2103"/>
      <c r="F30" s="2103"/>
      <c r="G30" s="1956"/>
      <c r="H30" s="2109" t="s">
        <v>671</v>
      </c>
      <c r="I30" s="1158" t="s">
        <v>2535</v>
      </c>
      <c r="J30" s="2109" t="s">
        <v>671</v>
      </c>
      <c r="K30" s="1158" t="s">
        <v>2535</v>
      </c>
      <c r="L30" s="2109" t="s">
        <v>671</v>
      </c>
      <c r="M30" s="1158" t="s">
        <v>2535</v>
      </c>
      <c r="N30" s="2109" t="s">
        <v>669</v>
      </c>
      <c r="O30" s="1158" t="s">
        <v>2536</v>
      </c>
      <c r="P30" s="2109" t="s">
        <v>669</v>
      </c>
      <c r="Q30" s="1158" t="s">
        <v>2536</v>
      </c>
      <c r="R30" s="2109" t="s">
        <v>669</v>
      </c>
      <c r="S30" s="1158" t="s">
        <v>2536</v>
      </c>
      <c r="T30" s="2109" t="s">
        <v>671</v>
      </c>
      <c r="U30" s="1158" t="s">
        <v>2537</v>
      </c>
      <c r="V30" s="2109" t="s">
        <v>671</v>
      </c>
      <c r="W30" s="1158" t="s">
        <v>2537</v>
      </c>
      <c r="X30" s="2109"/>
      <c r="Y30" s="1180"/>
      <c r="Z30" s="2109"/>
      <c r="AA30" s="1180"/>
      <c r="AB30" s="2109"/>
      <c r="AC30" s="1180"/>
      <c r="AD30" s="2109"/>
      <c r="AE30" s="1180"/>
      <c r="AF30" s="2109" t="s">
        <v>671</v>
      </c>
      <c r="AG30" s="1158" t="s">
        <v>2538</v>
      </c>
      <c r="AH30" s="2109"/>
      <c r="AI30" s="1180"/>
      <c r="AJ30" s="2109"/>
      <c r="AK30" s="1158"/>
    </row>
    <row r="31" spans="1:37" ht="14.5" x14ac:dyDescent="0.35">
      <c r="A31" s="1349"/>
      <c r="B31" s="1159" t="s">
        <v>790</v>
      </c>
      <c r="C31" s="2108"/>
      <c r="D31" s="2103"/>
      <c r="E31" s="2103"/>
      <c r="F31" s="2103"/>
      <c r="G31" s="1956"/>
      <c r="H31" s="2109"/>
      <c r="I31" s="1158"/>
      <c r="J31" s="2109"/>
      <c r="K31" s="1158"/>
      <c r="L31" s="2109"/>
      <c r="M31" s="1158"/>
      <c r="N31" s="2109" t="s">
        <v>669</v>
      </c>
      <c r="O31" s="1158" t="s">
        <v>2539</v>
      </c>
      <c r="P31" s="2109" t="s">
        <v>669</v>
      </c>
      <c r="Q31" s="1158" t="s">
        <v>2539</v>
      </c>
      <c r="R31" s="2109" t="s">
        <v>669</v>
      </c>
      <c r="S31" s="1158" t="s">
        <v>2539</v>
      </c>
      <c r="T31" s="2109" t="s">
        <v>669</v>
      </c>
      <c r="U31" s="1158">
        <v>4</v>
      </c>
      <c r="V31" s="2109" t="s">
        <v>669</v>
      </c>
      <c r="W31" s="1158">
        <v>4</v>
      </c>
      <c r="X31" s="2109"/>
      <c r="Y31" s="1180"/>
      <c r="Z31" s="2109"/>
      <c r="AA31" s="1180"/>
      <c r="AB31" s="2109"/>
      <c r="AC31" s="1180"/>
      <c r="AD31" s="2109"/>
      <c r="AE31" s="1180"/>
      <c r="AF31" s="2109"/>
      <c r="AG31" s="1158"/>
      <c r="AH31" s="2109"/>
      <c r="AI31" s="1180"/>
      <c r="AJ31" s="2109"/>
      <c r="AK31" s="1158"/>
    </row>
    <row r="32" spans="1:37" ht="14.5" x14ac:dyDescent="0.35">
      <c r="A32" s="1179"/>
      <c r="B32" s="1159" t="s">
        <v>791</v>
      </c>
      <c r="C32" s="2108"/>
      <c r="D32" s="2103"/>
      <c r="E32" s="2103"/>
      <c r="F32" s="2103"/>
      <c r="G32" s="1956"/>
      <c r="H32" s="2109"/>
      <c r="I32" s="1158"/>
      <c r="J32" s="2109"/>
      <c r="K32" s="1158"/>
      <c r="L32" s="2109"/>
      <c r="M32" s="1158"/>
      <c r="N32" s="2109" t="s">
        <v>669</v>
      </c>
      <c r="O32" s="1158" t="s">
        <v>1211</v>
      </c>
      <c r="P32" s="2109" t="s">
        <v>669</v>
      </c>
      <c r="Q32" s="1158" t="s">
        <v>1211</v>
      </c>
      <c r="R32" s="2109" t="s">
        <v>669</v>
      </c>
      <c r="S32" s="1158" t="s">
        <v>1211</v>
      </c>
      <c r="T32" s="2109" t="s">
        <v>669</v>
      </c>
      <c r="U32" s="1158" t="s">
        <v>2540</v>
      </c>
      <c r="V32" s="2109"/>
      <c r="W32" s="1158" t="s">
        <v>2540</v>
      </c>
      <c r="X32" s="2109"/>
      <c r="Y32" s="1180"/>
      <c r="Z32" s="2109"/>
      <c r="AA32" s="1180"/>
      <c r="AB32" s="2109"/>
      <c r="AC32" s="1180"/>
      <c r="AD32" s="2109"/>
      <c r="AE32" s="1180"/>
      <c r="AF32" s="2109"/>
      <c r="AG32" s="1158"/>
      <c r="AH32" s="2109"/>
      <c r="AI32" s="1180"/>
      <c r="AJ32" s="2109"/>
      <c r="AK32" s="1158"/>
    </row>
    <row r="33" spans="1:37" ht="14.5" x14ac:dyDescent="0.35">
      <c r="A33" s="1179"/>
      <c r="B33" s="1160" t="s">
        <v>664</v>
      </c>
      <c r="C33" s="2108"/>
      <c r="D33" s="2103"/>
      <c r="E33" s="2103"/>
      <c r="F33" s="2103"/>
      <c r="G33" s="1956"/>
      <c r="H33" s="2109"/>
      <c r="I33" s="1180"/>
      <c r="J33" s="2109"/>
      <c r="K33" s="1180"/>
      <c r="L33" s="2109"/>
      <c r="M33" s="1180"/>
      <c r="N33" s="2109"/>
      <c r="O33" s="1158"/>
      <c r="P33" s="2109"/>
      <c r="Q33" s="1158"/>
      <c r="R33" s="2109"/>
      <c r="S33" s="1158"/>
      <c r="T33" s="2109"/>
      <c r="U33" s="1158"/>
      <c r="V33" s="2109"/>
      <c r="W33" s="1158"/>
      <c r="X33" s="2109"/>
      <c r="Y33" s="1180"/>
      <c r="Z33" s="2109"/>
      <c r="AA33" s="1180"/>
      <c r="AB33" s="2109"/>
      <c r="AC33" s="1180"/>
      <c r="AD33" s="2109"/>
      <c r="AE33" s="1180"/>
      <c r="AF33" s="2109"/>
      <c r="AG33" s="1158"/>
      <c r="AH33" s="2109"/>
      <c r="AI33" s="1180"/>
      <c r="AJ33" s="2109"/>
      <c r="AK33" s="1180"/>
    </row>
    <row r="34" spans="1:37" ht="14.5" x14ac:dyDescent="0.35">
      <c r="A34" s="1179"/>
      <c r="B34" s="1161" t="s">
        <v>665</v>
      </c>
      <c r="C34" s="2111"/>
      <c r="D34" s="2112"/>
      <c r="E34" s="2112"/>
      <c r="F34" s="2113"/>
      <c r="G34" s="2114"/>
      <c r="H34" s="2115"/>
      <c r="I34" s="2114"/>
      <c r="J34" s="2115"/>
      <c r="K34" s="2114"/>
      <c r="L34" s="2115"/>
      <c r="M34" s="2114"/>
      <c r="N34" s="2115"/>
      <c r="O34" s="2116">
        <v>2749000</v>
      </c>
      <c r="P34" s="2115"/>
      <c r="Q34" s="2116">
        <v>1719485</v>
      </c>
      <c r="R34" s="2115"/>
      <c r="S34" s="2116"/>
      <c r="T34" s="2115"/>
      <c r="U34" s="2116"/>
      <c r="V34" s="2115"/>
      <c r="W34" s="2116">
        <v>1900000</v>
      </c>
      <c r="X34" s="2115"/>
      <c r="Y34" s="1163"/>
      <c r="Z34" s="2115"/>
      <c r="AA34" s="1163">
        <f>1899000+79000</f>
        <v>1978000</v>
      </c>
      <c r="AB34" s="2115"/>
      <c r="AC34" s="2114"/>
      <c r="AD34" s="2115"/>
      <c r="AE34" s="1163"/>
      <c r="AF34" s="2115"/>
      <c r="AG34" s="2114"/>
      <c r="AH34" s="2115"/>
      <c r="AI34" s="1163"/>
      <c r="AJ34" s="2115"/>
      <c r="AK34" s="2114">
        <v>4035962</v>
      </c>
    </row>
    <row r="35" spans="1:37" ht="14.5" x14ac:dyDescent="0.35">
      <c r="A35" s="1179"/>
      <c r="B35" s="2032" t="s">
        <v>874</v>
      </c>
      <c r="C35" s="2108"/>
      <c r="D35" s="2103"/>
      <c r="E35" s="2103"/>
      <c r="F35" s="1748"/>
      <c r="G35" s="2117"/>
      <c r="H35" s="2109"/>
      <c r="I35" s="1180"/>
      <c r="J35" s="2109"/>
      <c r="K35" s="1180"/>
      <c r="L35" s="2109"/>
      <c r="M35" s="1180"/>
      <c r="N35" s="2109"/>
      <c r="O35" s="1158"/>
      <c r="P35" s="2109"/>
      <c r="Q35" s="1158"/>
      <c r="R35" s="2109"/>
      <c r="S35" s="1158"/>
      <c r="T35" s="2109"/>
      <c r="U35" s="1158"/>
      <c r="V35" s="2109"/>
      <c r="W35" s="1158"/>
      <c r="X35" s="2109"/>
      <c r="Y35" s="1180"/>
      <c r="Z35" s="2109"/>
      <c r="AA35" s="1180"/>
      <c r="AB35" s="2109"/>
      <c r="AC35" s="1180"/>
      <c r="AD35" s="2109"/>
      <c r="AE35" s="1180"/>
      <c r="AF35" s="2109"/>
      <c r="AG35" s="1158"/>
      <c r="AH35" s="2109"/>
      <c r="AI35" s="1180"/>
      <c r="AJ35" s="2109"/>
      <c r="AK35" s="1180"/>
    </row>
    <row r="36" spans="1:37" ht="14.5" x14ac:dyDescent="0.35">
      <c r="A36" s="1179"/>
      <c r="B36" s="2118"/>
      <c r="C36" s="1956"/>
      <c r="D36" s="2103"/>
      <c r="E36" s="2103"/>
      <c r="F36" s="1748"/>
      <c r="G36" s="2117"/>
      <c r="H36" s="2109"/>
      <c r="I36" s="1180"/>
      <c r="J36" s="2109"/>
      <c r="K36" s="1180"/>
      <c r="L36" s="2109"/>
      <c r="M36" s="1180"/>
      <c r="N36" s="2109"/>
      <c r="O36" s="1158"/>
      <c r="P36" s="2109"/>
      <c r="Q36" s="1158"/>
      <c r="R36" s="2109"/>
      <c r="S36" s="1158"/>
      <c r="T36" s="2109"/>
      <c r="U36" s="1158"/>
      <c r="V36" s="2109"/>
      <c r="W36" s="1158"/>
      <c r="X36" s="2109"/>
      <c r="Y36" s="1180"/>
      <c r="Z36" s="2109"/>
      <c r="AA36" s="1180"/>
      <c r="AB36" s="2109"/>
      <c r="AC36" s="1180"/>
      <c r="AD36" s="2109"/>
      <c r="AE36" s="1180"/>
      <c r="AF36" s="2109"/>
      <c r="AG36" s="1158"/>
      <c r="AH36" s="2109"/>
      <c r="AI36" s="1180"/>
      <c r="AJ36" s="2109"/>
      <c r="AK36" s="1180"/>
    </row>
    <row r="37" spans="1:37" ht="14.5" x14ac:dyDescent="0.35">
      <c r="A37" s="1179"/>
      <c r="B37" s="2119" t="s">
        <v>2541</v>
      </c>
      <c r="C37" s="1956"/>
      <c r="D37" s="2103"/>
      <c r="E37" s="2103"/>
      <c r="F37" s="1748"/>
      <c r="G37" s="2117"/>
      <c r="H37" s="2109"/>
      <c r="I37" s="1180"/>
      <c r="J37" s="2109"/>
      <c r="K37" s="1180"/>
      <c r="L37" s="2109"/>
      <c r="M37" s="1180"/>
      <c r="N37" s="2109"/>
      <c r="O37" s="1158"/>
      <c r="P37" s="2109"/>
      <c r="Q37" s="1158"/>
      <c r="R37" s="2109"/>
      <c r="S37" s="1158"/>
      <c r="T37" s="2109"/>
      <c r="U37" s="1158"/>
      <c r="V37" s="2109"/>
      <c r="W37" s="1158"/>
      <c r="X37" s="2109"/>
      <c r="Y37" s="1180"/>
      <c r="Z37" s="2109"/>
      <c r="AA37" s="1180"/>
      <c r="AB37" s="2109" t="s">
        <v>669</v>
      </c>
      <c r="AC37" s="1180"/>
      <c r="AD37" s="2109" t="s">
        <v>669</v>
      </c>
      <c r="AE37" s="1180"/>
      <c r="AF37" s="2109"/>
      <c r="AG37" s="1158"/>
      <c r="AH37" s="2109" t="s">
        <v>669</v>
      </c>
      <c r="AI37" s="1180"/>
      <c r="AJ37" s="2109"/>
      <c r="AK37" s="1180"/>
    </row>
    <row r="38" spans="1:37" ht="14.5" x14ac:dyDescent="0.35">
      <c r="A38" s="1179"/>
      <c r="B38" s="2120" t="s">
        <v>2542</v>
      </c>
      <c r="C38" s="2109" t="s">
        <v>2432</v>
      </c>
      <c r="D38" s="2103"/>
      <c r="E38" s="2103"/>
      <c r="F38" s="1748"/>
      <c r="G38" s="2117"/>
      <c r="H38" s="2109" t="s">
        <v>669</v>
      </c>
      <c r="I38" s="1180"/>
      <c r="J38" s="2109" t="s">
        <v>669</v>
      </c>
      <c r="K38" s="1180"/>
      <c r="L38" s="2109" t="s">
        <v>669</v>
      </c>
      <c r="M38" s="1180"/>
      <c r="N38" s="2109" t="s">
        <v>669</v>
      </c>
      <c r="O38" s="1158"/>
      <c r="P38" s="2109" t="s">
        <v>669</v>
      </c>
      <c r="Q38" s="1158"/>
      <c r="R38" s="2109" t="s">
        <v>669</v>
      </c>
      <c r="S38" s="1158"/>
      <c r="T38" s="2109" t="s">
        <v>669</v>
      </c>
      <c r="U38" s="1158"/>
      <c r="V38" s="2109" t="s">
        <v>669</v>
      </c>
      <c r="W38" s="1158"/>
      <c r="X38" s="2109" t="s">
        <v>669</v>
      </c>
      <c r="Y38" s="1180"/>
      <c r="Z38" s="2109" t="s">
        <v>669</v>
      </c>
      <c r="AA38" s="1180"/>
      <c r="AB38" s="2109" t="s">
        <v>669</v>
      </c>
      <c r="AC38" s="1180"/>
      <c r="AD38" s="2109" t="s">
        <v>669</v>
      </c>
      <c r="AE38" s="1180"/>
      <c r="AF38" s="2109" t="s">
        <v>669</v>
      </c>
      <c r="AG38" s="1158"/>
      <c r="AH38" s="2109" t="s">
        <v>669</v>
      </c>
      <c r="AI38" s="1180"/>
      <c r="AJ38" s="2109" t="s">
        <v>669</v>
      </c>
      <c r="AK38" s="1180"/>
    </row>
    <row r="39" spans="1:37" ht="14.5" x14ac:dyDescent="0.35">
      <c r="A39" s="1179"/>
      <c r="B39" s="2120" t="s">
        <v>2543</v>
      </c>
      <c r="C39" s="2109" t="s">
        <v>2432</v>
      </c>
      <c r="D39" s="2103"/>
      <c r="E39" s="2103"/>
      <c r="F39" s="1748"/>
      <c r="G39" s="2117"/>
      <c r="H39" s="2109" t="s">
        <v>669</v>
      </c>
      <c r="I39" s="1180"/>
      <c r="J39" s="2109" t="s">
        <v>669</v>
      </c>
      <c r="K39" s="1180"/>
      <c r="L39" s="2109" t="s">
        <v>669</v>
      </c>
      <c r="M39" s="1180"/>
      <c r="N39" s="2109" t="s">
        <v>669</v>
      </c>
      <c r="O39" s="1158"/>
      <c r="P39" s="2109" t="s">
        <v>669</v>
      </c>
      <c r="Q39" s="1158"/>
      <c r="R39" s="2109" t="s">
        <v>669</v>
      </c>
      <c r="S39" s="1158"/>
      <c r="T39" s="2109" t="s">
        <v>669</v>
      </c>
      <c r="U39" s="1158"/>
      <c r="V39" s="2109" t="s">
        <v>669</v>
      </c>
      <c r="W39" s="1158"/>
      <c r="X39" s="2109" t="s">
        <v>669</v>
      </c>
      <c r="Y39" s="1180"/>
      <c r="Z39" s="2109" t="s">
        <v>669</v>
      </c>
      <c r="AA39" s="1180"/>
      <c r="AB39" s="2109" t="s">
        <v>669</v>
      </c>
      <c r="AC39" s="1180"/>
      <c r="AD39" s="2109" t="s">
        <v>669</v>
      </c>
      <c r="AE39" s="1180"/>
      <c r="AF39" s="2109" t="s">
        <v>669</v>
      </c>
      <c r="AG39" s="1158"/>
      <c r="AH39" s="2109" t="s">
        <v>669</v>
      </c>
      <c r="AI39" s="1180"/>
      <c r="AJ39" s="2109" t="s">
        <v>669</v>
      </c>
      <c r="AK39" s="1180"/>
    </row>
    <row r="40" spans="1:37" ht="14.5" x14ac:dyDescent="0.35">
      <c r="A40" s="2121"/>
      <c r="B40" s="2118" t="s">
        <v>2544</v>
      </c>
      <c r="C40" s="2122"/>
      <c r="D40" s="2103"/>
      <c r="E40" s="2103"/>
      <c r="F40" s="1748"/>
      <c r="G40" s="2117"/>
      <c r="H40" s="2109" t="s">
        <v>669</v>
      </c>
      <c r="I40" s="2123"/>
      <c r="J40" s="2109" t="s">
        <v>669</v>
      </c>
      <c r="K40" s="2123"/>
      <c r="L40" s="2109" t="s">
        <v>669</v>
      </c>
      <c r="M40" s="2123"/>
      <c r="N40" s="2109" t="s">
        <v>669</v>
      </c>
      <c r="O40" s="1158"/>
      <c r="P40" s="2109" t="s">
        <v>669</v>
      </c>
      <c r="Q40" s="1158"/>
      <c r="R40" s="2109" t="s">
        <v>669</v>
      </c>
      <c r="S40" s="1158"/>
      <c r="T40" s="2109" t="s">
        <v>669</v>
      </c>
      <c r="U40" s="1158"/>
      <c r="V40" s="2109" t="s">
        <v>669</v>
      </c>
      <c r="W40" s="1158"/>
      <c r="X40" s="2109" t="s">
        <v>669</v>
      </c>
      <c r="Y40" s="1180"/>
      <c r="Z40" s="2109" t="s">
        <v>669</v>
      </c>
      <c r="AA40" s="1180"/>
      <c r="AB40" s="2109" t="s">
        <v>669</v>
      </c>
      <c r="AC40" s="1180"/>
      <c r="AD40" s="2109" t="s">
        <v>669</v>
      </c>
      <c r="AE40" s="1180"/>
      <c r="AF40" s="2109" t="s">
        <v>669</v>
      </c>
      <c r="AG40" s="1158"/>
      <c r="AH40" s="2109" t="s">
        <v>669</v>
      </c>
      <c r="AI40" s="1180"/>
      <c r="AJ40" s="2109" t="s">
        <v>669</v>
      </c>
      <c r="AK40" s="2123"/>
    </row>
    <row r="41" spans="1:37" ht="14.5" x14ac:dyDescent="0.35">
      <c r="A41" s="2121"/>
      <c r="B41" s="2118" t="s">
        <v>2545</v>
      </c>
      <c r="C41" s="2122"/>
      <c r="D41" s="2103"/>
      <c r="E41" s="2103"/>
      <c r="F41" s="1748"/>
      <c r="G41" s="2117"/>
      <c r="H41" s="2109" t="s">
        <v>669</v>
      </c>
      <c r="I41" s="2123"/>
      <c r="J41" s="2109" t="s">
        <v>669</v>
      </c>
      <c r="K41" s="2123"/>
      <c r="L41" s="2109" t="s">
        <v>669</v>
      </c>
      <c r="M41" s="2123"/>
      <c r="N41" s="2109" t="s">
        <v>669</v>
      </c>
      <c r="O41" s="1158"/>
      <c r="P41" s="2109" t="s">
        <v>669</v>
      </c>
      <c r="Q41" s="1158"/>
      <c r="R41" s="2109" t="s">
        <v>669</v>
      </c>
      <c r="S41" s="1158"/>
      <c r="T41" s="2109" t="s">
        <v>669</v>
      </c>
      <c r="U41" s="1158"/>
      <c r="V41" s="2109" t="s">
        <v>669</v>
      </c>
      <c r="W41" s="1158"/>
      <c r="X41" s="2109" t="s">
        <v>669</v>
      </c>
      <c r="Y41" s="1180"/>
      <c r="Z41" s="2109" t="s">
        <v>669</v>
      </c>
      <c r="AA41" s="1180"/>
      <c r="AB41" s="2109" t="s">
        <v>669</v>
      </c>
      <c r="AC41" s="1180"/>
      <c r="AD41" s="2109" t="s">
        <v>669</v>
      </c>
      <c r="AE41" s="1180"/>
      <c r="AF41" s="2109" t="s">
        <v>669</v>
      </c>
      <c r="AG41" s="1158"/>
      <c r="AH41" s="2109" t="s">
        <v>669</v>
      </c>
      <c r="AI41" s="1180"/>
      <c r="AJ41" s="2109" t="s">
        <v>669</v>
      </c>
      <c r="AK41" s="2123"/>
    </row>
    <row r="42" spans="1:37" ht="14.5" x14ac:dyDescent="0.35">
      <c r="A42" s="1179"/>
      <c r="B42" s="2120" t="s">
        <v>2546</v>
      </c>
      <c r="C42" s="1956"/>
      <c r="D42" s="2103"/>
      <c r="E42" s="2103"/>
      <c r="F42" s="1748"/>
      <c r="G42" s="2117"/>
      <c r="H42" s="2109" t="s">
        <v>669</v>
      </c>
      <c r="I42" s="1180"/>
      <c r="J42" s="2109" t="s">
        <v>669</v>
      </c>
      <c r="K42" s="1180"/>
      <c r="L42" s="2109" t="s">
        <v>669</v>
      </c>
      <c r="M42" s="1180"/>
      <c r="N42" s="2109" t="s">
        <v>669</v>
      </c>
      <c r="O42" s="1158"/>
      <c r="P42" s="2109" t="s">
        <v>669</v>
      </c>
      <c r="Q42" s="1158"/>
      <c r="R42" s="2109" t="s">
        <v>669</v>
      </c>
      <c r="S42" s="1158"/>
      <c r="T42" s="2109" t="s">
        <v>669</v>
      </c>
      <c r="U42" s="1158"/>
      <c r="V42" s="2109" t="s">
        <v>669</v>
      </c>
      <c r="W42" s="1158"/>
      <c r="X42" s="2109" t="s">
        <v>669</v>
      </c>
      <c r="Y42" s="1180"/>
      <c r="Z42" s="2109" t="s">
        <v>669</v>
      </c>
      <c r="AA42" s="1180"/>
      <c r="AB42" s="2109" t="s">
        <v>669</v>
      </c>
      <c r="AC42" s="1180"/>
      <c r="AD42" s="2109" t="s">
        <v>669</v>
      </c>
      <c r="AE42" s="1180"/>
      <c r="AF42" s="2109" t="s">
        <v>669</v>
      </c>
      <c r="AG42" s="1158"/>
      <c r="AH42" s="2109" t="s">
        <v>669</v>
      </c>
      <c r="AI42" s="1180"/>
      <c r="AJ42" s="2109" t="s">
        <v>669</v>
      </c>
      <c r="AK42" s="1180"/>
    </row>
    <row r="43" spans="1:37" ht="14.5" x14ac:dyDescent="0.35">
      <c r="A43" s="1179"/>
      <c r="B43" s="2120" t="s">
        <v>2547</v>
      </c>
      <c r="C43" s="1956"/>
      <c r="D43" s="2103"/>
      <c r="E43" s="2103"/>
      <c r="F43" s="1748"/>
      <c r="G43" s="2117"/>
      <c r="H43" s="2109" t="s">
        <v>669</v>
      </c>
      <c r="I43" s="1180"/>
      <c r="J43" s="2109" t="s">
        <v>669</v>
      </c>
      <c r="K43" s="1180"/>
      <c r="L43" s="2109" t="s">
        <v>669</v>
      </c>
      <c r="M43" s="1180"/>
      <c r="N43" s="2109" t="s">
        <v>669</v>
      </c>
      <c r="O43" s="1158"/>
      <c r="P43" s="2109" t="s">
        <v>669</v>
      </c>
      <c r="Q43" s="1158"/>
      <c r="R43" s="2109" t="s">
        <v>669</v>
      </c>
      <c r="S43" s="1158"/>
      <c r="T43" s="2109" t="s">
        <v>669</v>
      </c>
      <c r="U43" s="1158"/>
      <c r="V43" s="2109" t="s">
        <v>669</v>
      </c>
      <c r="W43" s="1158"/>
      <c r="X43" s="2109" t="s">
        <v>669</v>
      </c>
      <c r="Y43" s="1180"/>
      <c r="Z43" s="2109" t="s">
        <v>669</v>
      </c>
      <c r="AA43" s="1180"/>
      <c r="AB43" s="2109" t="s">
        <v>669</v>
      </c>
      <c r="AC43" s="1180"/>
      <c r="AD43" s="2109" t="s">
        <v>669</v>
      </c>
      <c r="AE43" s="1180"/>
      <c r="AF43" s="2109" t="s">
        <v>669</v>
      </c>
      <c r="AG43" s="1158"/>
      <c r="AH43" s="2109" t="s">
        <v>669</v>
      </c>
      <c r="AI43" s="1180"/>
      <c r="AJ43" s="2109" t="s">
        <v>669</v>
      </c>
      <c r="AK43" s="1180"/>
    </row>
    <row r="44" spans="1:37" ht="14.5" x14ac:dyDescent="0.35">
      <c r="A44" s="1179"/>
      <c r="B44" s="2124" t="s">
        <v>2548</v>
      </c>
      <c r="C44" s="1956"/>
      <c r="D44" s="2103"/>
      <c r="E44" s="2103"/>
      <c r="F44" s="1748"/>
      <c r="G44" s="2117"/>
      <c r="H44" s="2109" t="s">
        <v>671</v>
      </c>
      <c r="I44" s="1180"/>
      <c r="J44" s="2109" t="s">
        <v>671</v>
      </c>
      <c r="K44" s="1180"/>
      <c r="L44" s="2109" t="s">
        <v>671</v>
      </c>
      <c r="M44" s="1180"/>
      <c r="N44" s="2109" t="s">
        <v>671</v>
      </c>
      <c r="O44" s="1158"/>
      <c r="P44" s="2109" t="s">
        <v>671</v>
      </c>
      <c r="Q44" s="1158"/>
      <c r="R44" s="2109" t="s">
        <v>671</v>
      </c>
      <c r="S44" s="1158"/>
      <c r="T44" s="2109" t="s">
        <v>671</v>
      </c>
      <c r="U44" s="1158"/>
      <c r="V44" s="2109" t="s">
        <v>671</v>
      </c>
      <c r="W44" s="1158"/>
      <c r="X44" s="2109" t="s">
        <v>671</v>
      </c>
      <c r="Y44" s="1180"/>
      <c r="Z44" s="2109" t="s">
        <v>671</v>
      </c>
      <c r="AA44" s="1180"/>
      <c r="AB44" s="2109" t="s">
        <v>671</v>
      </c>
      <c r="AC44" s="1180"/>
      <c r="AD44" s="2109" t="s">
        <v>671</v>
      </c>
      <c r="AE44" s="1180"/>
      <c r="AF44" s="2109" t="s">
        <v>671</v>
      </c>
      <c r="AG44" s="1158"/>
      <c r="AH44" s="2109" t="s">
        <v>671</v>
      </c>
      <c r="AI44" s="1180"/>
      <c r="AJ44" s="2109" t="s">
        <v>671</v>
      </c>
      <c r="AK44" s="1180"/>
    </row>
    <row r="45" spans="1:37" ht="25" x14ac:dyDescent="0.35">
      <c r="A45" s="1179"/>
      <c r="B45" s="2124" t="s">
        <v>2549</v>
      </c>
      <c r="C45" s="1956" t="s">
        <v>2550</v>
      </c>
      <c r="D45" s="2103"/>
      <c r="E45" s="2103"/>
      <c r="F45" s="1748"/>
      <c r="G45" s="2117"/>
      <c r="H45" s="2109"/>
      <c r="I45" s="1180"/>
      <c r="J45" s="2109"/>
      <c r="K45" s="1180"/>
      <c r="L45" s="2109"/>
      <c r="M45" s="1180"/>
      <c r="N45" s="2109" t="s">
        <v>669</v>
      </c>
      <c r="O45" s="1158"/>
      <c r="P45" s="2109" t="s">
        <v>669</v>
      </c>
      <c r="Q45" s="1158"/>
      <c r="R45" s="2109" t="s">
        <v>669</v>
      </c>
      <c r="S45" s="1158"/>
      <c r="T45" s="2109" t="s">
        <v>669</v>
      </c>
      <c r="U45" s="1158"/>
      <c r="V45" s="2109" t="s">
        <v>669</v>
      </c>
      <c r="W45" s="1158"/>
      <c r="X45" s="2109"/>
      <c r="Y45" s="1180"/>
      <c r="Z45" s="2109"/>
      <c r="AA45" s="1180"/>
      <c r="AB45" s="2109" t="s">
        <v>669</v>
      </c>
      <c r="AC45" s="1180"/>
      <c r="AD45" s="2109" t="s">
        <v>669</v>
      </c>
      <c r="AE45" s="1180"/>
      <c r="AF45" s="2109"/>
      <c r="AG45" s="1158"/>
      <c r="AH45" s="2109" t="s">
        <v>669</v>
      </c>
      <c r="AI45" s="1180"/>
      <c r="AJ45" s="2109"/>
      <c r="AK45" s="1180"/>
    </row>
    <row r="46" spans="1:37" ht="14.5" x14ac:dyDescent="0.35">
      <c r="A46" s="1179"/>
      <c r="B46" s="2125" t="s">
        <v>2551</v>
      </c>
      <c r="C46" s="1956"/>
      <c r="D46" s="2103"/>
      <c r="E46" s="2103"/>
      <c r="F46" s="1748"/>
      <c r="G46" s="2117"/>
      <c r="H46" s="2109" t="s">
        <v>669</v>
      </c>
      <c r="I46" s="1180"/>
      <c r="J46" s="2109" t="s">
        <v>669</v>
      </c>
      <c r="K46" s="1180"/>
      <c r="L46" s="2109" t="s">
        <v>669</v>
      </c>
      <c r="M46" s="1180"/>
      <c r="N46" s="2109" t="s">
        <v>669</v>
      </c>
      <c r="O46" s="1158"/>
      <c r="P46" s="2109" t="s">
        <v>669</v>
      </c>
      <c r="Q46" s="1158"/>
      <c r="R46" s="2109" t="s">
        <v>669</v>
      </c>
      <c r="S46" s="1158"/>
      <c r="T46" s="2109" t="s">
        <v>669</v>
      </c>
      <c r="U46" s="1158"/>
      <c r="V46" s="2109" t="s">
        <v>669</v>
      </c>
      <c r="W46" s="1158"/>
      <c r="X46" s="2109" t="s">
        <v>669</v>
      </c>
      <c r="Y46" s="1180"/>
      <c r="Z46" s="2109" t="s">
        <v>669</v>
      </c>
      <c r="AA46" s="1180"/>
      <c r="AB46" s="2109" t="s">
        <v>669</v>
      </c>
      <c r="AC46" s="1180"/>
      <c r="AD46" s="2109" t="s">
        <v>669</v>
      </c>
      <c r="AE46" s="1180"/>
      <c r="AF46" s="2109" t="s">
        <v>669</v>
      </c>
      <c r="AG46" s="1158"/>
      <c r="AH46" s="2109" t="s">
        <v>669</v>
      </c>
      <c r="AI46" s="1180"/>
      <c r="AJ46" s="2109" t="s">
        <v>669</v>
      </c>
      <c r="AK46" s="1180"/>
    </row>
    <row r="47" spans="1:37" ht="14.5" x14ac:dyDescent="0.35">
      <c r="A47" s="1179"/>
      <c r="B47" s="2125" t="s">
        <v>2552</v>
      </c>
      <c r="C47" s="2108"/>
      <c r="D47" s="2103"/>
      <c r="E47" s="2103"/>
      <c r="F47" s="1748"/>
      <c r="G47" s="2117"/>
      <c r="H47" s="2109" t="s">
        <v>669</v>
      </c>
      <c r="I47" s="1158"/>
      <c r="J47" s="2109" t="s">
        <v>669</v>
      </c>
      <c r="K47" s="1158"/>
      <c r="L47" s="2109" t="s">
        <v>669</v>
      </c>
      <c r="M47" s="1158"/>
      <c r="N47" s="2109" t="s">
        <v>669</v>
      </c>
      <c r="O47" s="1158"/>
      <c r="P47" s="2109" t="s">
        <v>669</v>
      </c>
      <c r="Q47" s="1158"/>
      <c r="R47" s="2109" t="s">
        <v>669</v>
      </c>
      <c r="S47" s="1158"/>
      <c r="T47" s="2109" t="s">
        <v>669</v>
      </c>
      <c r="U47" s="1158"/>
      <c r="V47" s="2109" t="s">
        <v>669</v>
      </c>
      <c r="W47" s="1158"/>
      <c r="X47" s="2109" t="s">
        <v>669</v>
      </c>
      <c r="Y47" s="1180"/>
      <c r="Z47" s="2109" t="s">
        <v>669</v>
      </c>
      <c r="AA47" s="1180"/>
      <c r="AB47" s="2109" t="s">
        <v>669</v>
      </c>
      <c r="AC47" s="1158"/>
      <c r="AD47" s="2109" t="s">
        <v>669</v>
      </c>
      <c r="AE47" s="1180"/>
      <c r="AF47" s="2109" t="s">
        <v>669</v>
      </c>
      <c r="AG47" s="1158"/>
      <c r="AH47" s="2109" t="s">
        <v>669</v>
      </c>
      <c r="AI47" s="1180"/>
      <c r="AJ47" s="2109" t="s">
        <v>669</v>
      </c>
      <c r="AK47" s="1158"/>
    </row>
    <row r="48" spans="1:37" ht="14.5" x14ac:dyDescent="0.35">
      <c r="A48" s="1179"/>
      <c r="B48" s="2125" t="s">
        <v>2553</v>
      </c>
      <c r="C48" s="2108"/>
      <c r="D48" s="2103"/>
      <c r="E48" s="2103"/>
      <c r="F48" s="1748"/>
      <c r="G48" s="2117"/>
      <c r="H48" s="2109" t="s">
        <v>669</v>
      </c>
      <c r="I48" s="1180"/>
      <c r="J48" s="2109" t="s">
        <v>669</v>
      </c>
      <c r="K48" s="1180"/>
      <c r="L48" s="2109" t="s">
        <v>669</v>
      </c>
      <c r="M48" s="1180"/>
      <c r="N48" s="2109" t="s">
        <v>669</v>
      </c>
      <c r="O48" s="1158"/>
      <c r="P48" s="2109" t="s">
        <v>669</v>
      </c>
      <c r="Q48" s="1158"/>
      <c r="R48" s="2109" t="s">
        <v>669</v>
      </c>
      <c r="S48" s="1158"/>
      <c r="T48" s="2109" t="s">
        <v>669</v>
      </c>
      <c r="U48" s="1158"/>
      <c r="V48" s="2109" t="s">
        <v>669</v>
      </c>
      <c r="W48" s="1158"/>
      <c r="X48" s="2109" t="s">
        <v>669</v>
      </c>
      <c r="Y48" s="1180"/>
      <c r="Z48" s="2109" t="s">
        <v>669</v>
      </c>
      <c r="AA48" s="1180"/>
      <c r="AB48" s="2109" t="s">
        <v>669</v>
      </c>
      <c r="AC48" s="1180"/>
      <c r="AD48" s="2109" t="s">
        <v>669</v>
      </c>
      <c r="AE48" s="1180"/>
      <c r="AF48" s="2109" t="s">
        <v>669</v>
      </c>
      <c r="AG48" s="1158"/>
      <c r="AH48" s="2109" t="s">
        <v>669</v>
      </c>
      <c r="AI48" s="1180"/>
      <c r="AJ48" s="2109" t="s">
        <v>669</v>
      </c>
      <c r="AK48" s="1180"/>
    </row>
    <row r="49" spans="1:37" ht="14.5" x14ac:dyDescent="0.35">
      <c r="A49" s="1179"/>
      <c r="B49" s="2125" t="s">
        <v>2554</v>
      </c>
      <c r="C49" s="2108"/>
      <c r="D49" s="2103"/>
      <c r="E49" s="2103"/>
      <c r="F49" s="1748"/>
      <c r="G49" s="2117"/>
      <c r="H49" s="2109" t="s">
        <v>669</v>
      </c>
      <c r="I49" s="1158"/>
      <c r="J49" s="2109" t="s">
        <v>669</v>
      </c>
      <c r="K49" s="1158"/>
      <c r="L49" s="2109" t="s">
        <v>669</v>
      </c>
      <c r="M49" s="1158"/>
      <c r="N49" s="2109" t="s">
        <v>669</v>
      </c>
      <c r="O49" s="1158"/>
      <c r="P49" s="2109" t="s">
        <v>669</v>
      </c>
      <c r="Q49" s="1158"/>
      <c r="R49" s="2109" t="s">
        <v>669</v>
      </c>
      <c r="S49" s="1158"/>
      <c r="T49" s="2109" t="s">
        <v>669</v>
      </c>
      <c r="U49" s="1158"/>
      <c r="V49" s="2109" t="s">
        <v>669</v>
      </c>
      <c r="W49" s="1158"/>
      <c r="X49" s="2109" t="s">
        <v>669</v>
      </c>
      <c r="Y49" s="1180"/>
      <c r="Z49" s="2109" t="s">
        <v>669</v>
      </c>
      <c r="AA49" s="1180"/>
      <c r="AB49" s="2109" t="s">
        <v>669</v>
      </c>
      <c r="AC49" s="1180"/>
      <c r="AD49" s="2109" t="s">
        <v>669</v>
      </c>
      <c r="AE49" s="1180"/>
      <c r="AF49" s="2109" t="s">
        <v>669</v>
      </c>
      <c r="AG49" s="1158"/>
      <c r="AH49" s="2109" t="s">
        <v>669</v>
      </c>
      <c r="AI49" s="1180"/>
      <c r="AJ49" s="2109" t="s">
        <v>669</v>
      </c>
      <c r="AK49" s="1158"/>
    </row>
    <row r="50" spans="1:37" ht="14.5" x14ac:dyDescent="0.35">
      <c r="A50" s="1179"/>
      <c r="B50" s="2125" t="s">
        <v>2555</v>
      </c>
      <c r="C50" s="2108"/>
      <c r="D50" s="2103"/>
      <c r="E50" s="2103"/>
      <c r="F50" s="1748"/>
      <c r="G50" s="2117"/>
      <c r="H50" s="2109" t="s">
        <v>669</v>
      </c>
      <c r="I50" s="1158">
        <f>2876+6393+9187+2879+19819+7863+7863+7077+15110+3496+7778+8693+4325</f>
        <v>103359</v>
      </c>
      <c r="J50" s="2109" t="s">
        <v>669</v>
      </c>
      <c r="K50" s="1158">
        <f>3071+2933+2139+20051+18068+3264+6002+6002+3369+3829+3828+4481+4481+2585</f>
        <v>84103</v>
      </c>
      <c r="L50" s="2109" t="s">
        <v>669</v>
      </c>
      <c r="M50" s="1158">
        <f>3071+2933+2139+20051+18068+3264+6002+6002+3369+3829+3828+4481+4481+2585</f>
        <v>84103</v>
      </c>
      <c r="N50" s="2038"/>
      <c r="O50" s="1158"/>
      <c r="P50" s="2038" t="s">
        <v>669</v>
      </c>
      <c r="Q50" s="1158"/>
      <c r="R50" s="2038" t="s">
        <v>669</v>
      </c>
      <c r="S50" s="1158"/>
      <c r="T50" s="2038"/>
      <c r="U50" s="1158"/>
      <c r="V50" s="2038"/>
      <c r="W50" s="1158"/>
      <c r="X50" s="2109" t="s">
        <v>669</v>
      </c>
      <c r="Y50" s="1180"/>
      <c r="Z50" s="2109" t="s">
        <v>669</v>
      </c>
      <c r="AA50" s="1180"/>
      <c r="AB50" s="2109" t="s">
        <v>669</v>
      </c>
      <c r="AC50" s="1180"/>
      <c r="AD50" s="2109" t="s">
        <v>669</v>
      </c>
      <c r="AE50" s="1180"/>
      <c r="AF50" s="2109" t="s">
        <v>669</v>
      </c>
      <c r="AG50" s="1158">
        <v>71152</v>
      </c>
      <c r="AH50" s="2109" t="s">
        <v>669</v>
      </c>
      <c r="AI50" s="1180"/>
      <c r="AJ50" s="2109" t="s">
        <v>669</v>
      </c>
      <c r="AK50" s="1158"/>
    </row>
    <row r="51" spans="1:37" ht="14.5" x14ac:dyDescent="0.35">
      <c r="A51" s="1179"/>
      <c r="B51" s="2125" t="s">
        <v>2556</v>
      </c>
      <c r="C51" s="2108"/>
      <c r="D51" s="2103"/>
      <c r="E51" s="2103"/>
      <c r="F51" s="1748"/>
      <c r="G51" s="2117"/>
      <c r="H51" s="2038" t="s">
        <v>654</v>
      </c>
      <c r="I51" s="1158">
        <f>AG51</f>
        <v>0</v>
      </c>
      <c r="J51" s="2109" t="s">
        <v>669</v>
      </c>
      <c r="K51" s="1158"/>
      <c r="L51" s="2109" t="s">
        <v>669</v>
      </c>
      <c r="M51" s="1158"/>
      <c r="N51" s="2038"/>
      <c r="O51" s="1158"/>
      <c r="P51" s="2038" t="s">
        <v>669</v>
      </c>
      <c r="Q51" s="1158"/>
      <c r="R51" s="2038" t="s">
        <v>669</v>
      </c>
      <c r="S51" s="1158"/>
      <c r="T51" s="2038"/>
      <c r="U51" s="1158"/>
      <c r="V51" s="2038"/>
      <c r="W51" s="1158"/>
      <c r="X51" s="2038" t="s">
        <v>669</v>
      </c>
      <c r="Y51" s="1158"/>
      <c r="Z51" s="2038" t="s">
        <v>669</v>
      </c>
      <c r="AA51" s="1158"/>
      <c r="AB51" s="2109" t="s">
        <v>669</v>
      </c>
      <c r="AC51" s="1180"/>
      <c r="AD51" s="2109" t="s">
        <v>669</v>
      </c>
      <c r="AE51" s="1180"/>
      <c r="AF51" s="2109" t="s">
        <v>669</v>
      </c>
      <c r="AG51" s="1158"/>
      <c r="AH51" s="2109" t="s">
        <v>669</v>
      </c>
      <c r="AI51" s="1180"/>
      <c r="AJ51" s="2038" t="s">
        <v>654</v>
      </c>
      <c r="AK51" s="1158"/>
    </row>
    <row r="52" spans="1:37" ht="14.5" x14ac:dyDescent="0.35">
      <c r="A52" s="1179"/>
      <c r="B52" s="2125" t="s">
        <v>2354</v>
      </c>
      <c r="C52" s="2108"/>
      <c r="D52" s="2103"/>
      <c r="E52" s="2103"/>
      <c r="F52" s="1748"/>
      <c r="G52" s="2117"/>
      <c r="H52" s="2109" t="s">
        <v>669</v>
      </c>
      <c r="I52" s="1158"/>
      <c r="J52" s="2109" t="s">
        <v>669</v>
      </c>
      <c r="K52" s="1158"/>
      <c r="L52" s="2109" t="s">
        <v>669</v>
      </c>
      <c r="M52" s="1158"/>
      <c r="N52" s="2109" t="s">
        <v>669</v>
      </c>
      <c r="O52" s="1158"/>
      <c r="P52" s="2109" t="s">
        <v>669</v>
      </c>
      <c r="Q52" s="1158"/>
      <c r="R52" s="2109" t="s">
        <v>669</v>
      </c>
      <c r="S52" s="1158"/>
      <c r="T52" s="2109" t="s">
        <v>669</v>
      </c>
      <c r="U52" s="1158"/>
      <c r="V52" s="2109" t="s">
        <v>669</v>
      </c>
      <c r="W52" s="1158"/>
      <c r="X52" s="2109" t="s">
        <v>669</v>
      </c>
      <c r="Y52" s="1180"/>
      <c r="Z52" s="2109" t="s">
        <v>669</v>
      </c>
      <c r="AA52" s="1180"/>
      <c r="AB52" s="2109" t="s">
        <v>669</v>
      </c>
      <c r="AC52" s="1180"/>
      <c r="AD52" s="2109" t="s">
        <v>669</v>
      </c>
      <c r="AE52" s="1180"/>
      <c r="AF52" s="2109" t="s">
        <v>669</v>
      </c>
      <c r="AG52" s="1158"/>
      <c r="AH52" s="2109" t="s">
        <v>669</v>
      </c>
      <c r="AI52" s="1180"/>
      <c r="AJ52" s="2109" t="s">
        <v>669</v>
      </c>
      <c r="AK52" s="1158"/>
    </row>
    <row r="53" spans="1:37" ht="14.5" x14ac:dyDescent="0.35">
      <c r="A53" s="1179"/>
      <c r="B53" s="2125" t="s">
        <v>2557</v>
      </c>
      <c r="C53" s="2108"/>
      <c r="D53" s="2103"/>
      <c r="E53" s="2103"/>
      <c r="F53" s="1748"/>
      <c r="G53" s="2117"/>
      <c r="H53" s="2109" t="s">
        <v>669</v>
      </c>
      <c r="I53" s="1158">
        <v>31995</v>
      </c>
      <c r="J53" s="2109" t="s">
        <v>669</v>
      </c>
      <c r="K53" s="1158">
        <v>30815</v>
      </c>
      <c r="L53" s="2109" t="s">
        <v>669</v>
      </c>
      <c r="M53" s="1158">
        <v>30815</v>
      </c>
      <c r="N53" s="2109" t="s">
        <v>669</v>
      </c>
      <c r="O53" s="1158"/>
      <c r="P53" s="2109" t="s">
        <v>669</v>
      </c>
      <c r="Q53" s="1158"/>
      <c r="R53" s="2109" t="s">
        <v>669</v>
      </c>
      <c r="S53" s="1158"/>
      <c r="T53" s="2109" t="s">
        <v>669</v>
      </c>
      <c r="U53" s="1158"/>
      <c r="V53" s="2109" t="s">
        <v>669</v>
      </c>
      <c r="W53" s="1158"/>
      <c r="X53" s="2109" t="s">
        <v>669</v>
      </c>
      <c r="Y53" s="1180"/>
      <c r="Z53" s="2109" t="s">
        <v>669</v>
      </c>
      <c r="AA53" s="1180"/>
      <c r="AB53" s="2109" t="s">
        <v>669</v>
      </c>
      <c r="AC53" s="1180"/>
      <c r="AD53" s="2109" t="s">
        <v>669</v>
      </c>
      <c r="AE53" s="1180"/>
      <c r="AF53" s="2109" t="s">
        <v>669</v>
      </c>
      <c r="AG53" s="1158"/>
      <c r="AH53" s="2109" t="s">
        <v>669</v>
      </c>
      <c r="AI53" s="1180"/>
      <c r="AJ53" s="2109" t="s">
        <v>669</v>
      </c>
      <c r="AK53" s="1158"/>
    </row>
    <row r="54" spans="1:37" ht="14.5" x14ac:dyDescent="0.35">
      <c r="A54" s="1349"/>
      <c r="B54" s="2126" t="s">
        <v>2558</v>
      </c>
      <c r="C54" s="2108"/>
      <c r="D54" s="2103"/>
      <c r="E54" s="2103"/>
      <c r="F54" s="1748"/>
      <c r="G54" s="2117"/>
      <c r="H54" s="2109"/>
      <c r="I54" s="1158"/>
      <c r="J54" s="2109"/>
      <c r="K54" s="1158"/>
      <c r="L54" s="2109"/>
      <c r="M54" s="1158"/>
      <c r="N54" s="2109"/>
      <c r="O54" s="1158"/>
      <c r="P54" s="2109"/>
      <c r="Q54" s="1158"/>
      <c r="R54" s="2109"/>
      <c r="S54" s="1158"/>
      <c r="T54" s="2109"/>
      <c r="U54" s="1158"/>
      <c r="V54" s="2109"/>
      <c r="W54" s="1158"/>
      <c r="X54" s="2109"/>
      <c r="Y54" s="1180"/>
      <c r="Z54" s="2109"/>
      <c r="AA54" s="1180"/>
      <c r="AB54" s="2109"/>
      <c r="AC54" s="1180"/>
      <c r="AD54" s="2109" t="s">
        <v>669</v>
      </c>
      <c r="AE54" s="1180"/>
      <c r="AF54" s="2109"/>
      <c r="AG54" s="1158"/>
      <c r="AH54" s="2109" t="s">
        <v>669</v>
      </c>
      <c r="AI54" s="1180"/>
      <c r="AJ54" s="2109"/>
      <c r="AK54" s="1158"/>
    </row>
    <row r="55" spans="1:37" ht="14.5" x14ac:dyDescent="0.35">
      <c r="A55" s="1349"/>
      <c r="B55" s="2125" t="s">
        <v>2559</v>
      </c>
      <c r="C55" s="2108"/>
      <c r="D55" s="2103"/>
      <c r="E55" s="2103"/>
      <c r="F55" s="1748"/>
      <c r="G55" s="2117"/>
      <c r="H55" s="2109" t="s">
        <v>669</v>
      </c>
      <c r="I55" s="1158"/>
      <c r="J55" s="2109" t="s">
        <v>669</v>
      </c>
      <c r="K55" s="1158"/>
      <c r="L55" s="2109" t="s">
        <v>669</v>
      </c>
      <c r="M55" s="1158"/>
      <c r="N55" s="2109" t="s">
        <v>669</v>
      </c>
      <c r="O55" s="1158"/>
      <c r="P55" s="2109" t="s">
        <v>669</v>
      </c>
      <c r="Q55" s="1158"/>
      <c r="R55" s="2109" t="s">
        <v>669</v>
      </c>
      <c r="S55" s="1158"/>
      <c r="T55" s="2109" t="s">
        <v>669</v>
      </c>
      <c r="U55" s="1158"/>
      <c r="V55" s="2109" t="s">
        <v>669</v>
      </c>
      <c r="W55" s="1158"/>
      <c r="X55" s="2109" t="s">
        <v>669</v>
      </c>
      <c r="Y55" s="1180"/>
      <c r="Z55" s="2109" t="s">
        <v>669</v>
      </c>
      <c r="AA55" s="1180"/>
      <c r="AB55" s="2109" t="s">
        <v>669</v>
      </c>
      <c r="AC55" s="1180"/>
      <c r="AD55" s="2109" t="s">
        <v>669</v>
      </c>
      <c r="AE55" s="1180"/>
      <c r="AF55" s="2109" t="s">
        <v>669</v>
      </c>
      <c r="AG55" s="1158"/>
      <c r="AH55" s="2109" t="s">
        <v>669</v>
      </c>
      <c r="AI55" s="1180"/>
      <c r="AJ55" s="2109" t="s">
        <v>669</v>
      </c>
      <c r="AK55" s="1158"/>
    </row>
    <row r="56" spans="1:37" ht="14.5" x14ac:dyDescent="0.35">
      <c r="A56" s="1179"/>
      <c r="B56" s="2125"/>
      <c r="C56" s="2108"/>
      <c r="D56" s="2103"/>
      <c r="E56" s="2103"/>
      <c r="F56" s="1748"/>
      <c r="G56" s="2117"/>
      <c r="H56" s="2109"/>
      <c r="I56" s="1158"/>
      <c r="J56" s="2109"/>
      <c r="K56" s="1158"/>
      <c r="L56" s="2109"/>
      <c r="M56" s="1158"/>
      <c r="N56" s="2109"/>
      <c r="O56" s="1158"/>
      <c r="P56" s="2109"/>
      <c r="Q56" s="1158"/>
      <c r="R56" s="2109"/>
      <c r="S56" s="1158"/>
      <c r="T56" s="2109"/>
      <c r="U56" s="1158"/>
      <c r="V56" s="2109"/>
      <c r="W56" s="1158"/>
      <c r="X56" s="2109"/>
      <c r="Y56" s="1180"/>
      <c r="Z56" s="2109"/>
      <c r="AA56" s="1180"/>
      <c r="AB56" s="2109"/>
      <c r="AC56" s="1180"/>
      <c r="AD56" s="2109"/>
      <c r="AE56" s="1180"/>
      <c r="AF56" s="2109"/>
      <c r="AG56" s="1158"/>
      <c r="AH56" s="2109"/>
      <c r="AI56" s="1180"/>
      <c r="AJ56" s="2109"/>
      <c r="AK56" s="1158"/>
    </row>
    <row r="57" spans="1:37" ht="14.5" x14ac:dyDescent="0.35">
      <c r="A57" s="1179"/>
      <c r="B57" s="2127" t="s">
        <v>2560</v>
      </c>
      <c r="C57" s="1956"/>
      <c r="D57" s="2103"/>
      <c r="E57" s="2103"/>
      <c r="F57" s="1748"/>
      <c r="G57" s="2117"/>
      <c r="H57" s="2109" t="s">
        <v>669</v>
      </c>
      <c r="I57" s="1158">
        <f>312272+10305</f>
        <v>322577</v>
      </c>
      <c r="J57" s="2109" t="s">
        <v>669</v>
      </c>
      <c r="K57" s="1158"/>
      <c r="L57" s="2109" t="s">
        <v>669</v>
      </c>
      <c r="M57" s="1158"/>
      <c r="N57" s="2109"/>
      <c r="O57" s="1158"/>
      <c r="P57" s="2109"/>
      <c r="Q57" s="1158"/>
      <c r="R57" s="2109"/>
      <c r="S57" s="1158"/>
      <c r="T57" s="2109"/>
      <c r="U57" s="1158"/>
      <c r="V57" s="2109"/>
      <c r="W57" s="1158"/>
      <c r="X57" s="2109" t="s">
        <v>624</v>
      </c>
      <c r="Y57" s="1180"/>
      <c r="Z57" s="2109" t="s">
        <v>624</v>
      </c>
      <c r="AA57" s="1180"/>
      <c r="AB57" s="2109" t="s">
        <v>669</v>
      </c>
      <c r="AC57" s="1180"/>
      <c r="AD57" s="2109" t="s">
        <v>669</v>
      </c>
      <c r="AE57" s="1180"/>
      <c r="AF57" s="2109" t="s">
        <v>669</v>
      </c>
      <c r="AG57" s="1158"/>
      <c r="AH57" s="2109" t="s">
        <v>669</v>
      </c>
      <c r="AI57" s="1180"/>
      <c r="AJ57" s="2109" t="s">
        <v>669</v>
      </c>
      <c r="AK57" s="1158"/>
    </row>
    <row r="58" spans="1:37" ht="14.5" x14ac:dyDescent="0.35">
      <c r="A58" s="1179"/>
      <c r="B58" s="2118" t="s">
        <v>2561</v>
      </c>
      <c r="C58" s="1956" t="s">
        <v>1835</v>
      </c>
      <c r="D58" s="2103"/>
      <c r="E58" s="2103"/>
      <c r="F58" s="1748"/>
      <c r="G58" s="2117"/>
      <c r="H58" s="2109"/>
      <c r="I58" s="1158"/>
      <c r="J58" s="2109"/>
      <c r="K58" s="1158"/>
      <c r="L58" s="2109"/>
      <c r="M58" s="1158"/>
      <c r="N58" s="2109"/>
      <c r="O58" s="1158"/>
      <c r="P58" s="2038" t="s">
        <v>669</v>
      </c>
      <c r="Q58" s="1158"/>
      <c r="R58" s="2038" t="s">
        <v>669</v>
      </c>
      <c r="S58" s="1158"/>
      <c r="T58" s="2109"/>
      <c r="U58" s="1158"/>
      <c r="V58" s="2109"/>
      <c r="W58" s="1158"/>
      <c r="X58" s="2109"/>
      <c r="Y58" s="1180"/>
      <c r="Z58" s="2109"/>
      <c r="AA58" s="1180"/>
      <c r="AB58" s="2109"/>
      <c r="AC58" s="1180"/>
      <c r="AD58" s="2109"/>
      <c r="AE58" s="1180"/>
      <c r="AF58" s="2109"/>
      <c r="AG58" s="1158"/>
      <c r="AH58" s="2109"/>
      <c r="AI58" s="1180"/>
      <c r="AJ58" s="2109"/>
      <c r="AK58" s="1158"/>
    </row>
    <row r="59" spans="1:37" ht="14.5" x14ac:dyDescent="0.35">
      <c r="A59" s="1179"/>
      <c r="B59" s="2118" t="s">
        <v>2562</v>
      </c>
      <c r="C59" s="1956"/>
      <c r="D59" s="2103"/>
      <c r="E59" s="2103"/>
      <c r="F59" s="1748"/>
      <c r="G59" s="2117"/>
      <c r="H59" s="2109" t="s">
        <v>669</v>
      </c>
      <c r="I59" s="1180"/>
      <c r="J59" s="2109" t="s">
        <v>669</v>
      </c>
      <c r="K59" s="1180"/>
      <c r="L59" s="2109" t="s">
        <v>669</v>
      </c>
      <c r="M59" s="1180"/>
      <c r="N59" s="2109" t="s">
        <v>669</v>
      </c>
      <c r="O59" s="1158"/>
      <c r="P59" s="2109" t="s">
        <v>669</v>
      </c>
      <c r="Q59" s="1158"/>
      <c r="R59" s="2109" t="s">
        <v>669</v>
      </c>
      <c r="S59" s="1158"/>
      <c r="T59" s="2109" t="s">
        <v>669</v>
      </c>
      <c r="U59" s="1158"/>
      <c r="V59" s="2109" t="s">
        <v>669</v>
      </c>
      <c r="W59" s="1158"/>
      <c r="X59" s="2109" t="s">
        <v>624</v>
      </c>
      <c r="Y59" s="1180"/>
      <c r="Z59" s="2109" t="s">
        <v>624</v>
      </c>
      <c r="AA59" s="1180"/>
      <c r="AB59" s="2109" t="s">
        <v>669</v>
      </c>
      <c r="AC59" s="1180"/>
      <c r="AD59" s="2109" t="s">
        <v>669</v>
      </c>
      <c r="AE59" s="1180"/>
      <c r="AF59" s="2109" t="s">
        <v>669</v>
      </c>
      <c r="AG59" s="1158"/>
      <c r="AH59" s="2109" t="s">
        <v>669</v>
      </c>
      <c r="AI59" s="1180"/>
      <c r="AJ59" s="2109" t="s">
        <v>669</v>
      </c>
      <c r="AK59" s="1180"/>
    </row>
    <row r="60" spans="1:37" ht="14.5" x14ac:dyDescent="0.35">
      <c r="A60" s="1179"/>
      <c r="B60" s="2118" t="s">
        <v>2563</v>
      </c>
      <c r="C60" s="1956"/>
      <c r="D60" s="2103"/>
      <c r="E60" s="2103"/>
      <c r="F60" s="1748"/>
      <c r="G60" s="2117"/>
      <c r="H60" s="2109" t="s">
        <v>669</v>
      </c>
      <c r="I60" s="1180"/>
      <c r="J60" s="2109" t="s">
        <v>669</v>
      </c>
      <c r="K60" s="1180"/>
      <c r="L60" s="2109" t="s">
        <v>669</v>
      </c>
      <c r="M60" s="1180"/>
      <c r="N60" s="2109" t="s">
        <v>669</v>
      </c>
      <c r="O60" s="1158"/>
      <c r="P60" s="2109" t="s">
        <v>669</v>
      </c>
      <c r="Q60" s="1158"/>
      <c r="R60" s="2109" t="s">
        <v>669</v>
      </c>
      <c r="S60" s="1158"/>
      <c r="T60" s="2109" t="s">
        <v>669</v>
      </c>
      <c r="U60" s="1158"/>
      <c r="V60" s="2109" t="s">
        <v>669</v>
      </c>
      <c r="W60" s="1158"/>
      <c r="X60" s="2109" t="s">
        <v>624</v>
      </c>
      <c r="Y60" s="1180"/>
      <c r="Z60" s="2109" t="s">
        <v>624</v>
      </c>
      <c r="AA60" s="1180"/>
      <c r="AB60" s="2109" t="s">
        <v>669</v>
      </c>
      <c r="AC60" s="1180"/>
      <c r="AD60" s="2109" t="s">
        <v>669</v>
      </c>
      <c r="AE60" s="1158"/>
      <c r="AF60" s="2109" t="s">
        <v>669</v>
      </c>
      <c r="AG60" s="1158"/>
      <c r="AH60" s="2109" t="s">
        <v>669</v>
      </c>
      <c r="AI60" s="1158"/>
      <c r="AJ60" s="2109" t="s">
        <v>669</v>
      </c>
      <c r="AK60" s="1180"/>
    </row>
    <row r="61" spans="1:37" ht="14.5" x14ac:dyDescent="0.35">
      <c r="A61" s="1349"/>
      <c r="B61" s="2125" t="s">
        <v>2559</v>
      </c>
      <c r="C61" s="1956"/>
      <c r="D61" s="2103"/>
      <c r="E61" s="2103"/>
      <c r="F61" s="1748"/>
      <c r="G61" s="2117"/>
      <c r="H61" s="2109" t="s">
        <v>669</v>
      </c>
      <c r="I61" s="1180"/>
      <c r="J61" s="2109" t="s">
        <v>669</v>
      </c>
      <c r="K61" s="1180"/>
      <c r="L61" s="2109" t="s">
        <v>669</v>
      </c>
      <c r="M61" s="1180"/>
      <c r="N61" s="2109" t="s">
        <v>669</v>
      </c>
      <c r="O61" s="1158"/>
      <c r="P61" s="2109" t="s">
        <v>669</v>
      </c>
      <c r="Q61" s="1158"/>
      <c r="R61" s="2109" t="s">
        <v>669</v>
      </c>
      <c r="S61" s="1158"/>
      <c r="T61" s="2109" t="s">
        <v>669</v>
      </c>
      <c r="U61" s="1158"/>
      <c r="V61" s="2109" t="s">
        <v>669</v>
      </c>
      <c r="W61" s="1158"/>
      <c r="X61" s="2109" t="s">
        <v>669</v>
      </c>
      <c r="Y61" s="1180"/>
      <c r="Z61" s="2109" t="s">
        <v>669</v>
      </c>
      <c r="AA61" s="1180"/>
      <c r="AB61" s="2109" t="s">
        <v>669</v>
      </c>
      <c r="AC61" s="1180"/>
      <c r="AD61" s="2109"/>
      <c r="AE61" s="1158"/>
      <c r="AF61" s="544"/>
      <c r="AG61" s="1158"/>
      <c r="AH61" s="2109"/>
      <c r="AI61" s="1158"/>
      <c r="AJ61" s="2109"/>
      <c r="AK61" s="1180"/>
    </row>
    <row r="62" spans="1:37" ht="14.5" x14ac:dyDescent="0.35">
      <c r="A62" s="1179"/>
      <c r="B62" s="2118"/>
      <c r="C62" s="1956"/>
      <c r="D62" s="2103"/>
      <c r="E62" s="2103"/>
      <c r="F62" s="1748"/>
      <c r="G62" s="2117"/>
      <c r="H62" s="2109"/>
      <c r="I62" s="1180"/>
      <c r="J62" s="2109"/>
      <c r="K62" s="1180"/>
      <c r="L62" s="2109"/>
      <c r="M62" s="1180"/>
      <c r="N62" s="2109"/>
      <c r="O62" s="1158"/>
      <c r="P62" s="2109"/>
      <c r="Q62" s="1158"/>
      <c r="R62" s="2109"/>
      <c r="S62" s="1158"/>
      <c r="T62" s="2109"/>
      <c r="U62" s="1158"/>
      <c r="V62" s="2109"/>
      <c r="W62" s="1158"/>
      <c r="X62" s="2109"/>
      <c r="Y62" s="1180"/>
      <c r="Z62" s="2109"/>
      <c r="AA62" s="1180"/>
      <c r="AB62" s="2109" t="s">
        <v>669</v>
      </c>
      <c r="AC62" s="1180"/>
      <c r="AD62" s="2109" t="s">
        <v>669</v>
      </c>
      <c r="AE62" s="1158"/>
      <c r="AF62" s="393"/>
      <c r="AG62" s="1158"/>
      <c r="AH62" s="2109" t="s">
        <v>669</v>
      </c>
      <c r="AI62" s="1158"/>
      <c r="AJ62" s="2109"/>
      <c r="AK62" s="1180"/>
    </row>
    <row r="63" spans="1:37" ht="14.5" x14ac:dyDescent="0.35">
      <c r="A63" s="1349"/>
      <c r="B63" s="2128" t="s">
        <v>2564</v>
      </c>
      <c r="C63" s="2129"/>
      <c r="D63" s="2130"/>
      <c r="E63" s="2130"/>
      <c r="F63" s="2131"/>
      <c r="G63" s="2132"/>
      <c r="H63" s="2133"/>
      <c r="I63" s="1180"/>
      <c r="J63" s="2133"/>
      <c r="K63" s="1180"/>
      <c r="L63" s="2133"/>
      <c r="M63" s="1180"/>
      <c r="N63" s="2133"/>
      <c r="O63" s="1158"/>
      <c r="P63" s="2133"/>
      <c r="Q63" s="1158"/>
      <c r="R63" s="2133"/>
      <c r="S63" s="1158"/>
      <c r="T63" s="2133"/>
      <c r="U63" s="1158">
        <v>1736089</v>
      </c>
      <c r="V63" s="2133"/>
      <c r="W63" s="1158"/>
      <c r="X63" s="2133"/>
      <c r="Y63" s="1180"/>
      <c r="Z63" s="2133"/>
      <c r="AA63" s="1180"/>
      <c r="AB63" s="2133"/>
      <c r="AC63" s="1180"/>
      <c r="AD63" s="2133"/>
      <c r="AE63" s="1158">
        <v>2154775</v>
      </c>
      <c r="AF63" s="393"/>
      <c r="AG63" s="1158"/>
      <c r="AH63" s="2133"/>
      <c r="AI63" s="1158">
        <f>1656000+726000</f>
        <v>2382000</v>
      </c>
      <c r="AJ63" s="2133"/>
      <c r="AK63" s="1180"/>
    </row>
    <row r="64" spans="1:37" ht="14.5" x14ac:dyDescent="0.35">
      <c r="A64" s="1179"/>
      <c r="B64" s="2134" t="s">
        <v>2565</v>
      </c>
      <c r="C64" s="2135"/>
      <c r="D64" s="2130"/>
      <c r="E64" s="2130"/>
      <c r="F64" s="2131"/>
      <c r="G64" s="2132"/>
      <c r="H64" s="2133" t="s">
        <v>669</v>
      </c>
      <c r="I64" s="1158">
        <v>654371</v>
      </c>
      <c r="J64" s="2133" t="s">
        <v>669</v>
      </c>
      <c r="K64" s="1158">
        <v>680839</v>
      </c>
      <c r="L64" s="2133" t="s">
        <v>669</v>
      </c>
      <c r="M64" s="1158">
        <v>680839</v>
      </c>
      <c r="N64" s="2133" t="s">
        <v>669</v>
      </c>
      <c r="O64" s="1158"/>
      <c r="P64" s="2133" t="s">
        <v>669</v>
      </c>
      <c r="Q64" s="1158"/>
      <c r="R64" s="2133" t="s">
        <v>669</v>
      </c>
      <c r="S64" s="1158">
        <f>228958*3</f>
        <v>686874</v>
      </c>
      <c r="T64" s="2133" t="s">
        <v>669</v>
      </c>
      <c r="U64" s="1158"/>
      <c r="V64" s="2133" t="s">
        <v>669</v>
      </c>
      <c r="W64" s="1158"/>
      <c r="X64" s="2133" t="s">
        <v>624</v>
      </c>
      <c r="Y64" s="1158">
        <f>(242937+92100)*3</f>
        <v>1005111</v>
      </c>
      <c r="Z64" s="2133" t="s">
        <v>624</v>
      </c>
      <c r="AA64" s="1158"/>
      <c r="AB64" s="2133" t="s">
        <v>669</v>
      </c>
      <c r="AC64" s="1158">
        <f>289832*3</f>
        <v>869496</v>
      </c>
      <c r="AD64" s="2133" t="s">
        <v>669</v>
      </c>
      <c r="AE64" s="1158"/>
      <c r="AF64" s="2109" t="s">
        <v>669</v>
      </c>
      <c r="AG64" s="1158">
        <v>1086699</v>
      </c>
      <c r="AH64" s="2133" t="s">
        <v>669</v>
      </c>
      <c r="AI64" s="1158"/>
      <c r="AJ64" s="2133" t="s">
        <v>669</v>
      </c>
      <c r="AK64" s="1158"/>
    </row>
    <row r="65" spans="1:37" ht="14.5" x14ac:dyDescent="0.35">
      <c r="A65" s="1179"/>
      <c r="B65" s="2136" t="s">
        <v>2566</v>
      </c>
      <c r="C65" s="2135"/>
      <c r="D65" s="2130"/>
      <c r="E65" s="2130"/>
      <c r="F65" s="2131"/>
      <c r="G65" s="2132"/>
      <c r="H65" s="2133" t="s">
        <v>669</v>
      </c>
      <c r="I65" s="1158">
        <v>524681</v>
      </c>
      <c r="J65" s="2133" t="s">
        <v>669</v>
      </c>
      <c r="K65" s="1158">
        <v>541025</v>
      </c>
      <c r="L65" s="2133" t="s">
        <v>669</v>
      </c>
      <c r="M65" s="1158">
        <v>541025</v>
      </c>
      <c r="N65" s="2133" t="s">
        <v>669</v>
      </c>
      <c r="O65" s="1158"/>
      <c r="P65" s="2133" t="s">
        <v>669</v>
      </c>
      <c r="Q65" s="1158"/>
      <c r="R65" s="2133" t="s">
        <v>669</v>
      </c>
      <c r="S65" s="1158">
        <f>275901.5*2</f>
        <v>551803</v>
      </c>
      <c r="T65" s="2133" t="s">
        <v>669</v>
      </c>
      <c r="U65" s="1158"/>
      <c r="V65" s="2133" t="s">
        <v>669</v>
      </c>
      <c r="W65" s="1158"/>
      <c r="X65" s="2133" t="s">
        <v>624</v>
      </c>
      <c r="Y65" s="1158">
        <f>(295544+108843)*2</f>
        <v>808774</v>
      </c>
      <c r="Z65" s="2133" t="s">
        <v>624</v>
      </c>
      <c r="AA65" s="1158"/>
      <c r="AB65" s="2133" t="s">
        <v>669</v>
      </c>
      <c r="AC65" s="1158">
        <f>350859*2</f>
        <v>701718</v>
      </c>
      <c r="AD65" s="2133" t="s">
        <v>669</v>
      </c>
      <c r="AE65" s="1158"/>
      <c r="AF65" s="2133" t="s">
        <v>669</v>
      </c>
      <c r="AG65" s="1158">
        <v>858380</v>
      </c>
      <c r="AH65" s="2133" t="s">
        <v>669</v>
      </c>
      <c r="AI65" s="1158"/>
      <c r="AJ65" s="2133" t="s">
        <v>669</v>
      </c>
      <c r="AK65" s="1158"/>
    </row>
    <row r="66" spans="1:37" ht="14.5" x14ac:dyDescent="0.35">
      <c r="A66" s="1179"/>
      <c r="B66" s="2136" t="s">
        <v>2567</v>
      </c>
      <c r="C66" s="2135"/>
      <c r="D66" s="2130"/>
      <c r="E66" s="2130"/>
      <c r="F66" s="2131"/>
      <c r="G66" s="2132"/>
      <c r="H66" s="2133" t="s">
        <v>669</v>
      </c>
      <c r="I66" s="1158">
        <v>239097</v>
      </c>
      <c r="J66" s="2133" t="s">
        <v>669</v>
      </c>
      <c r="K66" s="1158">
        <v>245181</v>
      </c>
      <c r="L66" s="2133" t="s">
        <v>669</v>
      </c>
      <c r="M66" s="1158">
        <v>245181</v>
      </c>
      <c r="N66" s="2133" t="s">
        <v>669</v>
      </c>
      <c r="O66" s="1158"/>
      <c r="P66" s="2133" t="s">
        <v>669</v>
      </c>
      <c r="Q66" s="1158"/>
      <c r="R66" s="2133" t="s">
        <v>669</v>
      </c>
      <c r="S66" s="1158">
        <v>241811</v>
      </c>
      <c r="T66" s="2133" t="s">
        <v>669</v>
      </c>
      <c r="U66" s="1158"/>
      <c r="V66" s="2133" t="s">
        <v>669</v>
      </c>
      <c r="W66" s="1158"/>
      <c r="X66" s="2133" t="s">
        <v>624</v>
      </c>
      <c r="Y66" s="1158">
        <f>269199</f>
        <v>269199</v>
      </c>
      <c r="Z66" s="2133" t="s">
        <v>624</v>
      </c>
      <c r="AA66" s="1158"/>
      <c r="AB66" s="2133" t="s">
        <v>669</v>
      </c>
      <c r="AC66" s="1158">
        <v>337843</v>
      </c>
      <c r="AD66" s="2133" t="s">
        <v>669</v>
      </c>
      <c r="AE66" s="1158"/>
      <c r="AF66" s="2133" t="s">
        <v>669</v>
      </c>
      <c r="AG66" s="1158">
        <v>378914</v>
      </c>
      <c r="AH66" s="2133" t="s">
        <v>669</v>
      </c>
      <c r="AI66" s="1158"/>
      <c r="AJ66" s="2133" t="s">
        <v>669</v>
      </c>
      <c r="AK66" s="1158"/>
    </row>
    <row r="67" spans="1:37" ht="14.5" x14ac:dyDescent="0.35">
      <c r="A67" s="1179"/>
      <c r="B67" s="2032" t="s">
        <v>2568</v>
      </c>
      <c r="C67" s="2135"/>
      <c r="D67" s="2130"/>
      <c r="E67" s="2130"/>
      <c r="F67" s="2131"/>
      <c r="G67" s="2132"/>
      <c r="H67" s="2133" t="s">
        <v>669</v>
      </c>
      <c r="I67" s="1158">
        <v>52156</v>
      </c>
      <c r="J67" s="2133" t="s">
        <v>669</v>
      </c>
      <c r="K67" s="1158">
        <v>61381</v>
      </c>
      <c r="L67" s="2133" t="s">
        <v>669</v>
      </c>
      <c r="M67" s="1158">
        <v>61381</v>
      </c>
      <c r="N67" s="2133" t="s">
        <v>669</v>
      </c>
      <c r="O67" s="1158"/>
      <c r="P67" s="2133" t="s">
        <v>669</v>
      </c>
      <c r="Q67" s="1158"/>
      <c r="R67" s="2133" t="s">
        <v>669</v>
      </c>
      <c r="S67" s="1158">
        <v>46035</v>
      </c>
      <c r="T67" s="2133" t="s">
        <v>669</v>
      </c>
      <c r="U67" s="1158">
        <v>35483</v>
      </c>
      <c r="V67" s="2133" t="s">
        <v>669</v>
      </c>
      <c r="W67" s="1158"/>
      <c r="X67" s="2133" t="s">
        <v>624</v>
      </c>
      <c r="Y67" s="1158">
        <f>8389+17272</f>
        <v>25661</v>
      </c>
      <c r="Z67" s="2133" t="s">
        <v>624</v>
      </c>
      <c r="AA67" s="1158"/>
      <c r="AB67" s="2133" t="s">
        <v>669</v>
      </c>
      <c r="AC67" s="1158">
        <v>73799</v>
      </c>
      <c r="AD67" s="2133" t="s">
        <v>669</v>
      </c>
      <c r="AE67" s="1158">
        <v>52883</v>
      </c>
      <c r="AF67" s="2133" t="s">
        <v>669</v>
      </c>
      <c r="AG67" s="1158">
        <v>87892</v>
      </c>
      <c r="AH67" s="2133" t="s">
        <v>669</v>
      </c>
      <c r="AI67" s="1158">
        <f>21000+44000+85000</f>
        <v>150000</v>
      </c>
      <c r="AJ67" s="2133" t="s">
        <v>669</v>
      </c>
      <c r="AK67" s="1158"/>
    </row>
    <row r="68" spans="1:37" ht="14.5" x14ac:dyDescent="0.35">
      <c r="A68" s="1179"/>
      <c r="B68" s="2032" t="s">
        <v>2371</v>
      </c>
      <c r="C68" s="2135"/>
      <c r="D68" s="2130"/>
      <c r="E68" s="2130"/>
      <c r="F68" s="2131"/>
      <c r="G68" s="2132"/>
      <c r="H68" s="2133" t="s">
        <v>669</v>
      </c>
      <c r="I68" s="1158">
        <f>5795+11590</f>
        <v>17385</v>
      </c>
      <c r="J68" s="2133" t="s">
        <v>669</v>
      </c>
      <c r="K68" s="1158">
        <f>13301+6651</f>
        <v>19952</v>
      </c>
      <c r="L68" s="2133" t="s">
        <v>669</v>
      </c>
      <c r="M68" s="1158">
        <f>13301+6651</f>
        <v>19952</v>
      </c>
      <c r="N68" s="2137" t="s">
        <v>669</v>
      </c>
      <c r="O68" s="1158"/>
      <c r="P68" s="2137" t="s">
        <v>669</v>
      </c>
      <c r="Q68" s="1158"/>
      <c r="R68" s="2137" t="s">
        <v>669</v>
      </c>
      <c r="S68" s="1158">
        <f>(6714*2)+6670</f>
        <v>20098</v>
      </c>
      <c r="T68" s="2137" t="s">
        <v>669</v>
      </c>
      <c r="U68" s="1158">
        <v>38038</v>
      </c>
      <c r="V68" s="2137" t="s">
        <v>669</v>
      </c>
      <c r="W68" s="1158"/>
      <c r="X68" s="2133" t="s">
        <v>624</v>
      </c>
      <c r="Y68" s="1158">
        <f>11561+10615+3015+2853</f>
        <v>28044</v>
      </c>
      <c r="Z68" s="2133" t="s">
        <v>624</v>
      </c>
      <c r="AA68" s="1158"/>
      <c r="AB68" s="2133" t="s">
        <v>669</v>
      </c>
      <c r="AC68" s="1158">
        <f>17851+16987+17249</f>
        <v>52087</v>
      </c>
      <c r="AD68" s="2133" t="s">
        <v>669</v>
      </c>
      <c r="AE68" s="1158">
        <v>49727</v>
      </c>
      <c r="AF68" s="2133" t="s">
        <v>669</v>
      </c>
      <c r="AG68" s="1158">
        <v>37976</v>
      </c>
      <c r="AH68" s="2133" t="s">
        <v>669</v>
      </c>
      <c r="AI68" s="1158">
        <f>39000+12000</f>
        <v>51000</v>
      </c>
      <c r="AJ68" s="2133" t="s">
        <v>669</v>
      </c>
      <c r="AK68" s="1158"/>
    </row>
    <row r="69" spans="1:37" ht="14.5" x14ac:dyDescent="0.35">
      <c r="A69" s="1179"/>
      <c r="B69" s="2032" t="s">
        <v>2372</v>
      </c>
      <c r="C69" s="2135"/>
      <c r="D69" s="2130"/>
      <c r="E69" s="2130"/>
      <c r="F69" s="2131"/>
      <c r="G69" s="2132"/>
      <c r="H69" s="2133" t="s">
        <v>669</v>
      </c>
      <c r="I69" s="1158">
        <v>4863</v>
      </c>
      <c r="J69" s="2133" t="s">
        <v>669</v>
      </c>
      <c r="K69" s="1158">
        <v>5742</v>
      </c>
      <c r="L69" s="2133" t="s">
        <v>669</v>
      </c>
      <c r="M69" s="1158">
        <v>5742</v>
      </c>
      <c r="N69" s="2137" t="s">
        <v>669</v>
      </c>
      <c r="O69" s="1158"/>
      <c r="P69" s="2137" t="s">
        <v>669</v>
      </c>
      <c r="Q69" s="1158"/>
      <c r="R69" s="2137" t="s">
        <v>669</v>
      </c>
      <c r="S69" s="1158">
        <v>3379</v>
      </c>
      <c r="T69" s="2137" t="s">
        <v>669</v>
      </c>
      <c r="U69" s="1158">
        <v>11417</v>
      </c>
      <c r="V69" s="2137" t="s">
        <v>669</v>
      </c>
      <c r="W69" s="1158"/>
      <c r="X69" s="2133" t="s">
        <v>624</v>
      </c>
      <c r="Y69" s="1158">
        <f>2616+3422</f>
        <v>6038</v>
      </c>
      <c r="Z69" s="2133" t="s">
        <v>624</v>
      </c>
      <c r="AA69" s="1158"/>
      <c r="AB69" s="2137" t="s">
        <v>669</v>
      </c>
      <c r="AC69" s="1158">
        <v>9667</v>
      </c>
      <c r="AD69" s="2133" t="s">
        <v>669</v>
      </c>
      <c r="AE69" s="1158">
        <v>4600</v>
      </c>
      <c r="AF69" s="2133" t="s">
        <v>669</v>
      </c>
      <c r="AG69" s="1158">
        <v>4027</v>
      </c>
      <c r="AH69" s="2133" t="s">
        <v>669</v>
      </c>
      <c r="AI69" s="1158">
        <v>5100</v>
      </c>
      <c r="AJ69" s="2133" t="s">
        <v>669</v>
      </c>
      <c r="AK69" s="1158"/>
    </row>
    <row r="70" spans="1:37" ht="14.5" x14ac:dyDescent="0.35">
      <c r="A70" s="1179"/>
      <c r="B70" s="2032" t="s">
        <v>2373</v>
      </c>
      <c r="C70" s="2135"/>
      <c r="D70" s="2130"/>
      <c r="E70" s="2130"/>
      <c r="F70" s="2131"/>
      <c r="G70" s="2132"/>
      <c r="H70" s="2133"/>
      <c r="I70" s="1158"/>
      <c r="J70" s="2137" t="s">
        <v>654</v>
      </c>
      <c r="K70" s="1158">
        <f>U70</f>
        <v>5350</v>
      </c>
      <c r="L70" s="2133" t="s">
        <v>669</v>
      </c>
      <c r="M70" s="1158"/>
      <c r="N70" s="2137"/>
      <c r="O70" s="1158"/>
      <c r="P70" s="2137" t="s">
        <v>669</v>
      </c>
      <c r="Q70" s="1158"/>
      <c r="R70" s="2137" t="s">
        <v>669</v>
      </c>
      <c r="S70" s="1158"/>
      <c r="T70" s="2137" t="s">
        <v>669</v>
      </c>
      <c r="U70" s="1158">
        <v>5350</v>
      </c>
      <c r="V70" s="2137" t="s">
        <v>669</v>
      </c>
      <c r="W70" s="1158"/>
      <c r="X70" s="2137" t="s">
        <v>669</v>
      </c>
      <c r="Y70" s="1158"/>
      <c r="Z70" s="2137" t="s">
        <v>669</v>
      </c>
      <c r="AA70" s="1158"/>
      <c r="AB70" s="2137" t="s">
        <v>669</v>
      </c>
      <c r="AC70" s="1158">
        <v>16056</v>
      </c>
      <c r="AD70" s="2133" t="s">
        <v>669</v>
      </c>
      <c r="AE70" s="1158">
        <v>8900</v>
      </c>
      <c r="AF70" s="2137" t="s">
        <v>654</v>
      </c>
      <c r="AG70" s="1158">
        <f>Q70</f>
        <v>0</v>
      </c>
      <c r="AH70" s="2133" t="s">
        <v>669</v>
      </c>
      <c r="AI70" s="1158">
        <f>8900+7000</f>
        <v>15900</v>
      </c>
      <c r="AJ70" s="2133"/>
      <c r="AK70" s="1158"/>
    </row>
    <row r="71" spans="1:37" ht="14.5" x14ac:dyDescent="0.35">
      <c r="A71" s="1179"/>
      <c r="B71" s="2138" t="s">
        <v>2306</v>
      </c>
      <c r="C71" s="2135"/>
      <c r="D71" s="2130"/>
      <c r="E71" s="2130"/>
      <c r="F71" s="2131"/>
      <c r="G71" s="2132"/>
      <c r="H71" s="2133"/>
      <c r="I71" s="1158"/>
      <c r="J71" s="2133"/>
      <c r="K71" s="1158"/>
      <c r="L71" s="2133"/>
      <c r="M71" s="1158"/>
      <c r="N71" s="2133"/>
      <c r="O71" s="1158"/>
      <c r="P71" s="2133"/>
      <c r="Q71" s="1158"/>
      <c r="R71" s="2133"/>
      <c r="S71" s="1158"/>
      <c r="T71" s="2133"/>
      <c r="U71" s="1158"/>
      <c r="V71" s="2133"/>
      <c r="W71" s="1158"/>
      <c r="X71" s="2133"/>
      <c r="Y71" s="1180"/>
      <c r="Z71" s="2133"/>
      <c r="AA71" s="1180"/>
      <c r="AB71" s="2133"/>
      <c r="AC71" s="1158"/>
      <c r="AD71" s="2133"/>
      <c r="AE71" s="1180"/>
      <c r="AF71" s="2133"/>
      <c r="AG71" s="1158"/>
      <c r="AH71" s="2133" t="s">
        <v>669</v>
      </c>
      <c r="AI71" s="1158">
        <v>50000</v>
      </c>
      <c r="AJ71" s="2133"/>
      <c r="AK71" s="1158"/>
    </row>
    <row r="72" spans="1:37" ht="14.5" x14ac:dyDescent="0.35">
      <c r="A72" s="1179"/>
      <c r="B72" s="2138" t="s">
        <v>1789</v>
      </c>
      <c r="C72" s="2135"/>
      <c r="D72" s="2130"/>
      <c r="E72" s="2130"/>
      <c r="F72" s="2131"/>
      <c r="G72" s="2132"/>
      <c r="H72" s="2133"/>
      <c r="I72" s="1158"/>
      <c r="J72" s="2133"/>
      <c r="K72" s="1158"/>
      <c r="L72" s="2133"/>
      <c r="M72" s="2139">
        <f>-87308-31730</f>
        <v>-119038</v>
      </c>
      <c r="N72" s="2133"/>
      <c r="O72" s="1158"/>
      <c r="P72" s="2133"/>
      <c r="Q72" s="2139">
        <f>1550000-1719485</f>
        <v>-169485</v>
      </c>
      <c r="R72" s="2133"/>
      <c r="S72" s="2139"/>
      <c r="T72" s="2133"/>
      <c r="U72" s="1158"/>
      <c r="V72" s="2133"/>
      <c r="W72" s="1158"/>
      <c r="X72" s="2133"/>
      <c r="Y72" s="1180"/>
      <c r="Z72" s="2133"/>
      <c r="AA72" s="1180"/>
      <c r="AB72" s="2133"/>
      <c r="AC72" s="1158"/>
      <c r="AD72" s="2133"/>
      <c r="AE72" s="1180"/>
      <c r="AF72" s="2133"/>
      <c r="AG72" s="1158"/>
      <c r="AH72" s="2133"/>
      <c r="AI72" s="1180"/>
      <c r="AJ72" s="2133"/>
      <c r="AK72" s="1158"/>
    </row>
    <row r="73" spans="1:37" ht="14.5" x14ac:dyDescent="0.35">
      <c r="A73" s="14"/>
      <c r="B73" s="15"/>
      <c r="C73" s="16"/>
      <c r="D73" s="16"/>
      <c r="E73" s="17"/>
      <c r="F73" s="18" t="s">
        <v>715</v>
      </c>
      <c r="G73" s="19"/>
      <c r="H73" s="20"/>
      <c r="I73" s="53">
        <f>SUM(I24:I72)</f>
        <v>1950484</v>
      </c>
      <c r="J73" s="20"/>
      <c r="K73" s="53">
        <f>SUM(K34:K72)</f>
        <v>1674388</v>
      </c>
      <c r="L73" s="20"/>
      <c r="M73" s="53">
        <f>SUM(M34:M72)</f>
        <v>1550000</v>
      </c>
      <c r="N73" s="20"/>
      <c r="O73" s="53">
        <f>SUM(O24:O72)</f>
        <v>2749000</v>
      </c>
      <c r="P73" s="20"/>
      <c r="Q73" s="53">
        <f>SUM(Q24:Q72)</f>
        <v>1550000</v>
      </c>
      <c r="R73" s="20"/>
      <c r="S73" s="53">
        <f>SUM(S24:S72)</f>
        <v>1550000</v>
      </c>
      <c r="T73" s="20"/>
      <c r="U73" s="53">
        <f>SUM(U34:U72)</f>
        <v>1826377</v>
      </c>
      <c r="V73" s="20"/>
      <c r="W73" s="53">
        <f>SUM(W34:W72)</f>
        <v>1900000</v>
      </c>
      <c r="X73" s="20"/>
      <c r="Y73" s="53">
        <f>SUM(Y34:Y72)</f>
        <v>2142827</v>
      </c>
      <c r="Z73" s="20"/>
      <c r="AA73" s="53">
        <f>SUM(AA34:AA72)</f>
        <v>1978000</v>
      </c>
      <c r="AB73" s="20"/>
      <c r="AC73" s="53">
        <f>SUM(AC24:AC70)</f>
        <v>2060666</v>
      </c>
      <c r="AD73" s="20"/>
      <c r="AE73" s="53">
        <f>SUM(AE24:AE72)</f>
        <v>2270885</v>
      </c>
      <c r="AF73" s="20"/>
      <c r="AG73" s="53">
        <f>SUM(AG24:AG72)</f>
        <v>2525040</v>
      </c>
      <c r="AH73" s="20"/>
      <c r="AI73" s="53">
        <f>SUM(AI24:AI72)</f>
        <v>2654000</v>
      </c>
      <c r="AJ73" s="20"/>
      <c r="AK73" s="53">
        <f>SUM(AK24:AK72)</f>
        <v>4035962</v>
      </c>
    </row>
    <row r="74" spans="1:37" ht="14.5" x14ac:dyDescent="0.35">
      <c r="A74" s="2057"/>
      <c r="B74" s="2140"/>
      <c r="C74" s="2141"/>
      <c r="D74" s="2141"/>
      <c r="E74" s="2142"/>
      <c r="F74" s="2143" t="s">
        <v>716</v>
      </c>
      <c r="G74" s="1904"/>
      <c r="H74" s="2065">
        <v>0.02</v>
      </c>
      <c r="I74" s="2144"/>
      <c r="J74" s="2145">
        <v>3.3000000000000002E-2</v>
      </c>
      <c r="K74" s="2144"/>
      <c r="L74" s="2145">
        <v>0</v>
      </c>
      <c r="M74" s="2144"/>
      <c r="N74" s="2065">
        <v>0</v>
      </c>
      <c r="O74" s="2144"/>
      <c r="P74" s="2065">
        <v>0</v>
      </c>
      <c r="Q74" s="2144"/>
      <c r="R74" s="2065">
        <v>0</v>
      </c>
      <c r="S74" s="2144"/>
      <c r="T74" s="2146">
        <v>0.03</v>
      </c>
      <c r="U74" s="2144"/>
      <c r="V74" s="2146">
        <v>0.03</v>
      </c>
      <c r="W74" s="2144"/>
      <c r="X74" s="2065">
        <v>0</v>
      </c>
      <c r="Y74" s="2144"/>
      <c r="Z74" s="2065">
        <v>0</v>
      </c>
      <c r="AA74" s="2144"/>
      <c r="AB74" s="2065">
        <v>0</v>
      </c>
      <c r="AC74" s="2144"/>
      <c r="AD74" s="2065">
        <v>0.03</v>
      </c>
      <c r="AE74" s="2144"/>
      <c r="AF74" s="2063">
        <v>5.0000000000000001E-3</v>
      </c>
      <c r="AG74" s="2144"/>
      <c r="AH74" s="2065">
        <v>0</v>
      </c>
      <c r="AI74" s="2144"/>
      <c r="AJ74" s="2065">
        <v>0.02</v>
      </c>
      <c r="AK74" s="2144"/>
    </row>
    <row r="75" spans="1:37" ht="14.5" x14ac:dyDescent="0.35">
      <c r="A75" s="2057"/>
      <c r="B75" s="2140"/>
      <c r="C75" s="2141"/>
      <c r="D75" s="2141"/>
      <c r="E75" s="2142"/>
      <c r="F75" s="2143" t="s">
        <v>717</v>
      </c>
      <c r="G75" s="1904"/>
      <c r="H75" s="2066"/>
      <c r="I75" s="2147">
        <f>I73*H74</f>
        <v>39009.68</v>
      </c>
      <c r="J75" s="2066"/>
      <c r="K75" s="2147">
        <f>K73*J74</f>
        <v>55254.804000000004</v>
      </c>
      <c r="L75" s="2066"/>
      <c r="M75" s="2147">
        <f>M73*L74</f>
        <v>0</v>
      </c>
      <c r="N75" s="2066"/>
      <c r="O75" s="2147">
        <f>O73*N74</f>
        <v>0</v>
      </c>
      <c r="P75" s="2066"/>
      <c r="Q75" s="2147">
        <f>Q73*P74</f>
        <v>0</v>
      </c>
      <c r="R75" s="2066"/>
      <c r="S75" s="2147">
        <f>S73*R74</f>
        <v>0</v>
      </c>
      <c r="T75" s="2066"/>
      <c r="U75" s="2147">
        <f>U73*T74</f>
        <v>54791.31</v>
      </c>
      <c r="V75" s="2066"/>
      <c r="W75" s="2147">
        <f>W73*V74</f>
        <v>57000</v>
      </c>
      <c r="X75" s="2066"/>
      <c r="Y75" s="2147">
        <f>Y73*X74</f>
        <v>0</v>
      </c>
      <c r="Z75" s="2066"/>
      <c r="AA75" s="2147">
        <f>AA73*Z74</f>
        <v>0</v>
      </c>
      <c r="AB75" s="2066"/>
      <c r="AC75" s="2147">
        <f>AC73*AB74</f>
        <v>0</v>
      </c>
      <c r="AD75" s="2066"/>
      <c r="AE75" s="2147">
        <f>AE73*AD74</f>
        <v>68126.55</v>
      </c>
      <c r="AF75" s="2066"/>
      <c r="AG75" s="2147">
        <f>AG73*AF74</f>
        <v>12625.2</v>
      </c>
      <c r="AH75" s="2066"/>
      <c r="AI75" s="2147">
        <f>AI73*AH74</f>
        <v>0</v>
      </c>
      <c r="AJ75" s="2066"/>
      <c r="AK75" s="2147">
        <f>AK73*AJ74</f>
        <v>80719.240000000005</v>
      </c>
    </row>
    <row r="76" spans="1:37" ht="14.5" x14ac:dyDescent="0.35">
      <c r="A76" s="2057"/>
      <c r="B76" s="2140"/>
      <c r="C76" s="2141"/>
      <c r="D76" s="2141"/>
      <c r="E76" s="2142"/>
      <c r="F76" s="2143"/>
      <c r="G76" s="1904"/>
      <c r="H76" s="2066"/>
      <c r="I76" s="2066"/>
      <c r="J76" s="2066"/>
      <c r="K76" s="2066"/>
      <c r="L76" s="2066"/>
      <c r="M76" s="2066"/>
      <c r="N76" s="2066"/>
      <c r="O76" s="2066"/>
      <c r="P76" s="2066"/>
      <c r="Q76" s="2066"/>
      <c r="R76" s="2066"/>
      <c r="S76" s="2066"/>
      <c r="T76" s="2066"/>
      <c r="U76" s="2066"/>
      <c r="V76" s="2066"/>
      <c r="W76" s="2066"/>
      <c r="X76" s="2066"/>
      <c r="Y76" s="2066"/>
      <c r="Z76" s="2066"/>
      <c r="AA76" s="2066"/>
      <c r="AB76" s="2066"/>
      <c r="AC76" s="2066"/>
      <c r="AD76" s="2066"/>
      <c r="AE76" s="2066"/>
      <c r="AF76" s="2066"/>
      <c r="AG76" s="2066"/>
      <c r="AH76" s="2066"/>
      <c r="AI76" s="2066"/>
      <c r="AJ76" s="2066"/>
      <c r="AK76" s="2066"/>
    </row>
    <row r="77" spans="1:37" ht="14.5" x14ac:dyDescent="0.35">
      <c r="A77" s="2057"/>
      <c r="B77" s="2140"/>
      <c r="C77" s="2141"/>
      <c r="D77" s="2141"/>
      <c r="E77" s="2142"/>
      <c r="F77" s="2143" t="s">
        <v>718</v>
      </c>
      <c r="G77" s="1904"/>
      <c r="H77" s="2069"/>
      <c r="I77" s="2148">
        <f>SUM(I73:I75)</f>
        <v>1989493.68</v>
      </c>
      <c r="J77" s="2069"/>
      <c r="K77" s="2148">
        <f>SUM(K73:K75)</f>
        <v>1729642.804</v>
      </c>
      <c r="L77" s="2069"/>
      <c r="M77" s="2148">
        <f>SUM(M73:M75)</f>
        <v>1550000</v>
      </c>
      <c r="N77" s="2069"/>
      <c r="O77" s="2148">
        <f>SUM(O73:O75)</f>
        <v>2749000</v>
      </c>
      <c r="P77" s="2069"/>
      <c r="Q77" s="2148">
        <f>SUM(Q73:Q75)</f>
        <v>1550000</v>
      </c>
      <c r="R77" s="2069"/>
      <c r="S77" s="2148">
        <f>SUM(S73:S75)</f>
        <v>1550000</v>
      </c>
      <c r="T77" s="2069"/>
      <c r="U77" s="2148">
        <f>SUM(U73:U75)</f>
        <v>1881168.31</v>
      </c>
      <c r="V77" s="2069"/>
      <c r="W77" s="2148">
        <f>SUM(W73:W75)</f>
        <v>1957000</v>
      </c>
      <c r="X77" s="2069"/>
      <c r="Y77" s="2148">
        <f>SUM(Y73:Y75)</f>
        <v>2142827</v>
      </c>
      <c r="Z77" s="2069"/>
      <c r="AA77" s="2148">
        <f>SUM(AA73:AA75)</f>
        <v>1978000</v>
      </c>
      <c r="AB77" s="2069"/>
      <c r="AC77" s="2148">
        <f>SUM(AC73:AC75)</f>
        <v>2060666</v>
      </c>
      <c r="AD77" s="2069"/>
      <c r="AE77" s="2148">
        <f>SUM(AE73:AE75)</f>
        <v>2339011.5499999998</v>
      </c>
      <c r="AF77" s="2069"/>
      <c r="AG77" s="2148">
        <f>SUM(AG73:AG75)</f>
        <v>2537665.2000000002</v>
      </c>
      <c r="AH77" s="2069"/>
      <c r="AI77" s="2148">
        <f>SUM(AI73:AI75)</f>
        <v>2654000</v>
      </c>
      <c r="AJ77" s="2069"/>
      <c r="AK77" s="2148">
        <f>SUM(AK73:AK75)</f>
        <v>4116681.24</v>
      </c>
    </row>
    <row r="78" spans="1:37" ht="14.5" x14ac:dyDescent="0.35">
      <c r="A78" s="2057"/>
      <c r="B78" s="2140"/>
      <c r="C78" s="2141"/>
      <c r="D78" s="2141"/>
      <c r="E78" s="2142"/>
      <c r="F78" s="2149" t="s">
        <v>719</v>
      </c>
      <c r="G78" s="1906"/>
      <c r="H78" s="2073"/>
      <c r="I78" s="2074" t="e">
        <f>I77/#REF!</f>
        <v>#REF!</v>
      </c>
      <c r="J78" s="2073"/>
      <c r="K78" s="2074" t="e">
        <f>K77/#REF!</f>
        <v>#REF!</v>
      </c>
      <c r="L78" s="2073"/>
      <c r="M78" s="2074" t="e">
        <f>M77/#REF!</f>
        <v>#REF!</v>
      </c>
      <c r="N78" s="2073"/>
      <c r="O78" s="2074" t="e">
        <f>O77/#REF!</f>
        <v>#REF!</v>
      </c>
      <c r="P78" s="2073"/>
      <c r="Q78" s="2074" t="e">
        <f>Q77/#REF!</f>
        <v>#REF!</v>
      </c>
      <c r="R78" s="2073"/>
      <c r="S78" s="2074" t="e">
        <f>S77/#REF!</f>
        <v>#REF!</v>
      </c>
      <c r="T78" s="2073"/>
      <c r="U78" s="2074" t="e">
        <f>U77/#REF!</f>
        <v>#REF!</v>
      </c>
      <c r="V78" s="2073"/>
      <c r="W78" s="2074" t="e">
        <f>W77/#REF!</f>
        <v>#REF!</v>
      </c>
      <c r="X78" s="2073"/>
      <c r="Y78" s="2074" t="e">
        <f>Y77/#REF!</f>
        <v>#REF!</v>
      </c>
      <c r="Z78" s="2073"/>
      <c r="AA78" s="2074" t="e">
        <f>AA77/#REF!</f>
        <v>#REF!</v>
      </c>
      <c r="AB78" s="2073"/>
      <c r="AC78" s="2074" t="e">
        <f>AC77/#REF!</f>
        <v>#REF!</v>
      </c>
      <c r="AD78" s="2073"/>
      <c r="AE78" s="2074" t="e">
        <f>AE77/#REF!</f>
        <v>#REF!</v>
      </c>
      <c r="AF78" s="2073"/>
      <c r="AG78" s="2074" t="e">
        <f>AG77/#REF!</f>
        <v>#REF!</v>
      </c>
      <c r="AH78" s="2073"/>
      <c r="AI78" s="2074" t="e">
        <f>AI77/#REF!</f>
        <v>#REF!</v>
      </c>
      <c r="AJ78" s="2073"/>
      <c r="AK78" s="2074" t="e">
        <f>AK77/#REF!</f>
        <v>#REF!</v>
      </c>
    </row>
    <row r="79" spans="1:37" ht="14.5" x14ac:dyDescent="0.35">
      <c r="A79" s="2057"/>
      <c r="B79" s="2140"/>
      <c r="C79" s="2141"/>
      <c r="D79" s="2141"/>
      <c r="E79" s="2142"/>
      <c r="F79" s="2149" t="s">
        <v>720</v>
      </c>
      <c r="G79" s="1907"/>
      <c r="H79" s="2073"/>
      <c r="I79" s="2074" t="e">
        <f>I77/#REF!</f>
        <v>#REF!</v>
      </c>
      <c r="J79" s="2073"/>
      <c r="K79" s="2074" t="e">
        <f>K77/#REF!</f>
        <v>#REF!</v>
      </c>
      <c r="L79" s="2073"/>
      <c r="M79" s="2074" t="e">
        <f>M77/#REF!</f>
        <v>#REF!</v>
      </c>
      <c r="N79" s="2073"/>
      <c r="O79" s="2074" t="e">
        <f>O77/#REF!</f>
        <v>#REF!</v>
      </c>
      <c r="P79" s="2073"/>
      <c r="Q79" s="2074" t="e">
        <f>Q77/#REF!</f>
        <v>#REF!</v>
      </c>
      <c r="R79" s="2073"/>
      <c r="S79" s="2074" t="e">
        <f>S77/#REF!</f>
        <v>#REF!</v>
      </c>
      <c r="T79" s="2073"/>
      <c r="U79" s="2074" t="e">
        <f>U77/#REF!</f>
        <v>#REF!</v>
      </c>
      <c r="V79" s="2073"/>
      <c r="W79" s="2074" t="e">
        <f>W77/#REF!</f>
        <v>#REF!</v>
      </c>
      <c r="X79" s="2073"/>
      <c r="Y79" s="2074" t="e">
        <f>Y77/#REF!</f>
        <v>#REF!</v>
      </c>
      <c r="Z79" s="2073"/>
      <c r="AA79" s="2074" t="e">
        <f>AA77/#REF!</f>
        <v>#REF!</v>
      </c>
      <c r="AB79" s="2073"/>
      <c r="AC79" s="2074" t="e">
        <f>AC77/#REF!</f>
        <v>#REF!</v>
      </c>
      <c r="AD79" s="2073"/>
      <c r="AE79" s="2074" t="e">
        <f>AE77/#REF!</f>
        <v>#REF!</v>
      </c>
      <c r="AF79" s="2073"/>
      <c r="AG79" s="2074" t="e">
        <f>AG77/#REF!</f>
        <v>#REF!</v>
      </c>
      <c r="AH79" s="2073"/>
      <c r="AI79" s="2074" t="e">
        <f>AI77/#REF!</f>
        <v>#REF!</v>
      </c>
      <c r="AJ79" s="2073"/>
      <c r="AK79" s="2074" t="e">
        <f>AK77/#REF!</f>
        <v>#REF!</v>
      </c>
    </row>
    <row r="80" spans="1:37" ht="14.5" x14ac:dyDescent="0.35">
      <c r="A80" s="2057"/>
      <c r="B80" s="2140"/>
      <c r="C80" s="2141"/>
      <c r="D80" s="2141"/>
      <c r="E80" s="2142"/>
      <c r="F80" s="2143"/>
      <c r="G80" s="1908"/>
      <c r="H80" s="2079"/>
      <c r="I80" s="2079"/>
      <c r="J80" s="2079"/>
      <c r="K80" s="2079"/>
      <c r="L80" s="2079"/>
      <c r="M80" s="2079"/>
      <c r="N80" s="2077"/>
      <c r="O80" s="2078"/>
      <c r="P80" s="2077"/>
      <c r="Q80" s="2078"/>
      <c r="R80" s="2077"/>
      <c r="S80" s="2078"/>
      <c r="T80" s="2077"/>
      <c r="U80" s="2078"/>
      <c r="V80" s="2077"/>
      <c r="W80" s="2078"/>
      <c r="X80" s="2079"/>
      <c r="Y80" s="2079"/>
      <c r="Z80" s="2079"/>
      <c r="AA80" s="2079"/>
      <c r="AB80" s="2079"/>
      <c r="AC80" s="2079"/>
      <c r="AD80" s="2079"/>
      <c r="AE80" s="2079"/>
      <c r="AF80" s="2079"/>
      <c r="AG80" s="2079"/>
      <c r="AH80" s="2079"/>
      <c r="AI80" s="2079"/>
      <c r="AJ80" s="2079"/>
      <c r="AK80" s="2079"/>
    </row>
    <row r="81" spans="1:37" ht="14.5" x14ac:dyDescent="0.35">
      <c r="A81" s="3764" t="s">
        <v>721</v>
      </c>
      <c r="B81" s="3765"/>
      <c r="C81" s="12"/>
      <c r="D81" s="12"/>
      <c r="E81" s="12"/>
      <c r="F81" s="12"/>
      <c r="G81" s="13"/>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row>
    <row r="82" spans="1:37" ht="14.5" x14ac:dyDescent="0.35">
      <c r="A82" s="2150"/>
      <c r="B82" s="2102"/>
      <c r="C82" s="2130"/>
      <c r="D82" s="2130"/>
      <c r="E82" s="2130"/>
      <c r="F82" s="2130"/>
      <c r="G82" s="2129"/>
      <c r="H82" s="2151"/>
      <c r="I82" s="2151"/>
      <c r="J82" s="2151"/>
      <c r="K82" s="2151"/>
      <c r="L82" s="2151"/>
      <c r="M82" s="2151"/>
      <c r="N82" s="2151"/>
      <c r="O82" s="2151"/>
      <c r="P82" s="2151"/>
      <c r="Q82" s="2151"/>
      <c r="R82" s="2151"/>
      <c r="S82" s="2151"/>
      <c r="T82" s="2151"/>
      <c r="U82" s="2151"/>
      <c r="V82" s="2151"/>
      <c r="W82" s="2151"/>
      <c r="X82" s="2151"/>
      <c r="Y82" s="2151"/>
      <c r="Z82" s="2151"/>
      <c r="AA82" s="2151"/>
      <c r="AB82" s="2151"/>
      <c r="AC82" s="2151"/>
      <c r="AD82" s="2151"/>
      <c r="AE82" s="2151"/>
      <c r="AF82" s="2151"/>
      <c r="AG82" s="2151"/>
      <c r="AH82" s="2151"/>
      <c r="AI82" s="2151"/>
      <c r="AJ82" s="2151"/>
      <c r="AK82" s="2151"/>
    </row>
    <row r="83" spans="1:37" ht="14.5" x14ac:dyDescent="0.35">
      <c r="A83" s="2150"/>
      <c r="B83" s="2102"/>
      <c r="C83" s="2130"/>
      <c r="D83" s="2130"/>
      <c r="E83" s="2130"/>
      <c r="F83" s="2130"/>
      <c r="G83" s="2129"/>
      <c r="H83" s="2151"/>
      <c r="I83" s="2151"/>
      <c r="J83" s="2151"/>
      <c r="K83" s="2151"/>
      <c r="L83" s="2151"/>
      <c r="M83" s="2151"/>
      <c r="N83" s="2151"/>
      <c r="O83" s="2151"/>
      <c r="P83" s="2151"/>
      <c r="Q83" s="2151"/>
      <c r="R83" s="2151"/>
      <c r="S83" s="2151"/>
      <c r="T83" s="2151"/>
      <c r="U83" s="2151"/>
      <c r="V83" s="2151"/>
      <c r="W83" s="2151"/>
      <c r="X83" s="2151"/>
      <c r="Y83" s="2151"/>
      <c r="Z83" s="2151"/>
      <c r="AA83" s="2151"/>
      <c r="AB83" s="2151"/>
      <c r="AC83" s="2151"/>
      <c r="AD83" s="2151"/>
      <c r="AE83" s="2151"/>
      <c r="AF83" s="2151"/>
      <c r="AG83" s="2151"/>
      <c r="AH83" s="2151"/>
      <c r="AI83" s="2151"/>
      <c r="AJ83" s="2151"/>
      <c r="AK83" s="2151"/>
    </row>
    <row r="84" spans="1:37" ht="14.5" x14ac:dyDescent="0.35">
      <c r="A84" s="2150"/>
      <c r="B84" s="2102"/>
      <c r="C84" s="2130"/>
      <c r="D84" s="2130"/>
      <c r="E84" s="2130"/>
      <c r="F84" s="2130"/>
      <c r="G84" s="2129"/>
      <c r="H84" s="2151"/>
      <c r="I84" s="2151"/>
      <c r="J84" s="2151"/>
      <c r="K84" s="2151"/>
      <c r="L84" s="2151"/>
      <c r="M84" s="2151"/>
      <c r="N84" s="2151"/>
      <c r="O84" s="2151"/>
      <c r="P84" s="2151"/>
      <c r="Q84" s="2151"/>
      <c r="R84" s="2151"/>
      <c r="S84" s="2151"/>
      <c r="T84" s="2151"/>
      <c r="U84" s="2151"/>
      <c r="V84" s="2151"/>
      <c r="W84" s="2151"/>
      <c r="X84" s="2151"/>
      <c r="Y84" s="2151"/>
      <c r="Z84" s="2151"/>
      <c r="AA84" s="2151"/>
      <c r="AB84" s="2151"/>
      <c r="AC84" s="2151"/>
      <c r="AD84" s="2151"/>
      <c r="AE84" s="2151"/>
      <c r="AF84" s="2151"/>
      <c r="AG84" s="2151"/>
      <c r="AH84" s="2151"/>
      <c r="AI84" s="2151"/>
      <c r="AJ84" s="2151"/>
      <c r="AK84" s="2151"/>
    </row>
    <row r="85" spans="1:37" s="2" customFormat="1" ht="14.5" x14ac:dyDescent="0.35">
      <c r="A85" s="3764" t="s">
        <v>722</v>
      </c>
      <c r="B85" s="3765"/>
      <c r="C85" s="12"/>
      <c r="D85" s="12"/>
      <c r="E85" s="12"/>
      <c r="F85" s="12"/>
      <c r="G85" s="13"/>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row>
    <row r="86" spans="1:37" s="2" customFormat="1" ht="14.5" x14ac:dyDescent="0.35">
      <c r="A86" s="2150"/>
      <c r="B86" s="2102"/>
      <c r="C86" s="2130"/>
      <c r="D86" s="2130"/>
      <c r="E86" s="2130"/>
      <c r="F86" s="2130"/>
      <c r="G86" s="2129"/>
      <c r="H86" s="2151"/>
      <c r="I86" s="2151"/>
      <c r="J86" s="2151"/>
      <c r="K86" s="2151"/>
      <c r="L86" s="2151"/>
      <c r="M86" s="2151"/>
      <c r="N86" s="2151"/>
      <c r="O86" s="2151"/>
      <c r="P86" s="2151"/>
      <c r="Q86" s="2151"/>
      <c r="R86" s="2151"/>
      <c r="S86" s="2151"/>
      <c r="T86" s="2151"/>
      <c r="U86" s="2151"/>
      <c r="V86" s="2151"/>
      <c r="W86" s="2151"/>
      <c r="X86" s="2151"/>
      <c r="Y86" s="2151"/>
      <c r="Z86" s="2151"/>
      <c r="AA86" s="2151"/>
      <c r="AB86" s="2151"/>
      <c r="AC86" s="2151"/>
      <c r="AD86" s="2151"/>
      <c r="AE86" s="2151"/>
      <c r="AF86" s="2151"/>
      <c r="AG86" s="2151"/>
      <c r="AH86" s="2151"/>
      <c r="AI86" s="2151"/>
      <c r="AJ86" s="2151"/>
      <c r="AK86" s="2151"/>
    </row>
    <row r="87" spans="1:37" s="2" customFormat="1" ht="14.5" x14ac:dyDescent="0.35">
      <c r="A87" s="2150"/>
      <c r="B87" s="2102"/>
      <c r="C87" s="2130"/>
      <c r="D87" s="2130"/>
      <c r="E87" s="2130"/>
      <c r="F87" s="2130"/>
      <c r="G87" s="2129"/>
      <c r="H87" s="2151"/>
      <c r="I87" s="2151"/>
      <c r="J87" s="2151"/>
      <c r="K87" s="2151"/>
      <c r="L87" s="2151"/>
      <c r="M87" s="2151"/>
      <c r="N87" s="2151"/>
      <c r="O87" s="2151"/>
      <c r="P87" s="2151"/>
      <c r="Q87" s="2151"/>
      <c r="R87" s="2151"/>
      <c r="S87" s="2151"/>
      <c r="T87" s="2151"/>
      <c r="U87" s="2151"/>
      <c r="V87" s="2151"/>
      <c r="W87" s="2151"/>
      <c r="X87" s="2151"/>
      <c r="Y87" s="2151"/>
      <c r="Z87" s="2151"/>
      <c r="AA87" s="2151"/>
      <c r="AB87" s="2151"/>
      <c r="AC87" s="2151"/>
      <c r="AD87" s="2151"/>
      <c r="AE87" s="2151"/>
      <c r="AF87" s="2151"/>
      <c r="AG87" s="2151"/>
      <c r="AH87" s="2151"/>
      <c r="AI87" s="2151"/>
      <c r="AJ87" s="2151"/>
      <c r="AK87" s="2151"/>
    </row>
    <row r="88" spans="1:37" ht="14.5" x14ac:dyDescent="0.35">
      <c r="A88" s="2150"/>
      <c r="B88" s="2102"/>
      <c r="C88" s="2130"/>
      <c r="D88" s="2130"/>
      <c r="E88" s="2130"/>
      <c r="F88" s="2130"/>
      <c r="G88" s="2129"/>
      <c r="H88" s="2151"/>
      <c r="I88" s="2151"/>
      <c r="J88" s="2151"/>
      <c r="K88" s="2151"/>
      <c r="L88" s="2151"/>
      <c r="M88" s="2151"/>
      <c r="N88" s="2151"/>
      <c r="O88" s="2151"/>
      <c r="P88" s="2151"/>
      <c r="Q88" s="2151"/>
      <c r="R88" s="2151"/>
      <c r="S88" s="2151"/>
      <c r="T88" s="2151"/>
      <c r="U88" s="2151"/>
      <c r="V88" s="2151"/>
      <c r="W88" s="2151"/>
      <c r="X88" s="2151"/>
      <c r="Y88" s="2151"/>
      <c r="Z88" s="2151"/>
      <c r="AA88" s="2151"/>
      <c r="AB88" s="2151"/>
      <c r="AC88" s="2151"/>
      <c r="AD88" s="2151"/>
      <c r="AE88" s="2151"/>
      <c r="AF88" s="2151"/>
      <c r="AG88" s="2151"/>
      <c r="AH88" s="2151"/>
      <c r="AI88" s="2151"/>
      <c r="AJ88" s="2151"/>
      <c r="AK88" s="2151"/>
    </row>
    <row r="89" spans="1:37" s="2" customFormat="1" ht="14.5" x14ac:dyDescent="0.35">
      <c r="A89" s="3764" t="s">
        <v>723</v>
      </c>
      <c r="B89" s="3765"/>
      <c r="C89" s="12"/>
      <c r="D89" s="12"/>
      <c r="E89" s="12"/>
      <c r="F89" s="12"/>
      <c r="G89" s="13"/>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row>
    <row r="90" spans="1:37" s="2" customFormat="1" ht="14.5" x14ac:dyDescent="0.35">
      <c r="A90" s="2150"/>
      <c r="B90" s="2102" t="s">
        <v>2569</v>
      </c>
      <c r="C90" s="2130"/>
      <c r="D90" s="2130"/>
      <c r="E90" s="2130"/>
      <c r="F90" s="2130"/>
      <c r="G90" s="2129"/>
      <c r="H90" s="2151"/>
      <c r="I90" s="2151"/>
      <c r="J90" s="2151"/>
      <c r="K90" s="2151"/>
      <c r="L90" s="2151"/>
      <c r="M90" s="2151"/>
      <c r="N90" s="2151"/>
      <c r="O90" s="2151"/>
      <c r="P90" s="2151"/>
      <c r="Q90" s="2151"/>
      <c r="R90" s="2151"/>
      <c r="S90" s="2151"/>
      <c r="T90" s="2151"/>
      <c r="U90" s="2151"/>
      <c r="V90" s="2151"/>
      <c r="W90" s="2151"/>
      <c r="X90" s="2151"/>
      <c r="Y90" s="2151"/>
      <c r="Z90" s="2151"/>
      <c r="AA90" s="2151"/>
      <c r="AB90" s="2151"/>
      <c r="AC90" s="2151">
        <v>74225</v>
      </c>
      <c r="AD90" s="2151"/>
      <c r="AE90" s="2151"/>
      <c r="AF90" s="2151"/>
      <c r="AG90" s="2151"/>
      <c r="AH90" s="2151"/>
      <c r="AI90" s="2151"/>
      <c r="AJ90" s="2151"/>
      <c r="AK90" s="2151"/>
    </row>
    <row r="91" spans="1:37" s="2" customFormat="1" ht="14.5" x14ac:dyDescent="0.35">
      <c r="A91" s="2106"/>
      <c r="B91" s="2102"/>
      <c r="C91" s="2103"/>
      <c r="D91" s="2103"/>
      <c r="E91" s="2103"/>
      <c r="F91" s="2103"/>
      <c r="G91" s="1956"/>
      <c r="H91" s="2081"/>
      <c r="I91" s="2081"/>
      <c r="J91" s="2081"/>
      <c r="K91" s="2081"/>
      <c r="L91" s="2081"/>
      <c r="M91" s="2081"/>
      <c r="N91" s="2081"/>
      <c r="O91" s="2081"/>
      <c r="P91" s="2081"/>
      <c r="Q91" s="2081"/>
      <c r="R91" s="2081"/>
      <c r="S91" s="2081"/>
      <c r="T91" s="2081"/>
      <c r="U91" s="2081"/>
      <c r="V91" s="2081"/>
      <c r="W91" s="2081"/>
      <c r="X91" s="2081"/>
      <c r="Y91" s="2081"/>
      <c r="Z91" s="2081"/>
      <c r="AA91" s="2081"/>
      <c r="AB91" s="2081"/>
      <c r="AC91" s="2081"/>
      <c r="AD91" s="2081"/>
      <c r="AE91" s="2081"/>
      <c r="AF91" s="2081"/>
      <c r="AG91" s="2081"/>
      <c r="AH91" s="2081"/>
      <c r="AI91" s="2081"/>
      <c r="AJ91" s="2081"/>
      <c r="AK91" s="2081"/>
    </row>
    <row r="92" spans="1:37" s="2" customFormat="1" ht="14.5" x14ac:dyDescent="0.35">
      <c r="A92" s="2082"/>
      <c r="B92" s="2152"/>
      <c r="C92" s="2103"/>
      <c r="D92" s="2103"/>
      <c r="E92" s="2103"/>
      <c r="F92" s="2103"/>
      <c r="G92" s="1956"/>
      <c r="H92" s="2084"/>
      <c r="I92" s="2153"/>
      <c r="J92" s="2084"/>
      <c r="K92" s="2084"/>
      <c r="L92" s="2084"/>
      <c r="M92" s="2084"/>
      <c r="N92" s="2084"/>
      <c r="O92" s="2084"/>
      <c r="P92" s="2084"/>
      <c r="Q92" s="2084"/>
      <c r="R92" s="2084"/>
      <c r="S92" s="2084"/>
      <c r="T92" s="2084"/>
      <c r="U92" s="2084"/>
      <c r="V92" s="2084"/>
      <c r="W92" s="2084"/>
      <c r="X92" s="2084"/>
      <c r="Y92" s="2084"/>
      <c r="Z92" s="2084"/>
      <c r="AA92" s="2084"/>
      <c r="AB92" s="2084"/>
      <c r="AC92" s="2084"/>
      <c r="AD92" s="2084"/>
      <c r="AE92" s="2084"/>
      <c r="AF92" s="2084"/>
      <c r="AG92" s="2084"/>
      <c r="AH92" s="2084"/>
      <c r="AI92" s="2084"/>
      <c r="AJ92" s="2084"/>
      <c r="AK92" s="2084"/>
    </row>
    <row r="93" spans="1:37" s="2" customFormat="1" ht="14.5" x14ac:dyDescent="0.35">
      <c r="A93" s="3764" t="s">
        <v>724</v>
      </c>
      <c r="B93" s="3765"/>
      <c r="C93" s="12"/>
      <c r="D93" s="12"/>
      <c r="E93" s="12"/>
      <c r="F93" s="12"/>
      <c r="G93" s="13"/>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row>
    <row r="94" spans="1:37" ht="14.5" x14ac:dyDescent="0.35">
      <c r="A94" s="2154"/>
      <c r="B94" s="2034" t="s">
        <v>2570</v>
      </c>
      <c r="C94" s="2130"/>
      <c r="D94" s="2130"/>
      <c r="E94" s="2130"/>
      <c r="F94" s="2130"/>
      <c r="G94" s="2129"/>
      <c r="H94" s="2151"/>
      <c r="I94" s="2151"/>
      <c r="J94" s="2151"/>
      <c r="K94" s="174">
        <v>-82415</v>
      </c>
      <c r="L94" s="2151"/>
      <c r="M94" s="174">
        <v>-82415</v>
      </c>
      <c r="N94" s="2151"/>
      <c r="O94" s="2151"/>
      <c r="P94" s="2151"/>
      <c r="Q94" s="2151"/>
      <c r="R94" s="2151"/>
      <c r="S94" s="2151"/>
      <c r="T94" s="2151"/>
      <c r="U94" s="2151"/>
      <c r="V94" s="2151"/>
      <c r="W94" s="2151"/>
      <c r="X94" s="2151"/>
      <c r="Y94" s="2151"/>
      <c r="Z94" s="2151"/>
      <c r="AA94" s="2151"/>
      <c r="AB94" s="2151"/>
      <c r="AC94" s="2151"/>
      <c r="AD94" s="2151"/>
      <c r="AE94" s="2151"/>
      <c r="AF94" s="2151"/>
      <c r="AG94" s="2151"/>
      <c r="AH94" s="2151"/>
      <c r="AI94" s="2151"/>
      <c r="AJ94" s="2151"/>
      <c r="AK94" s="2151"/>
    </row>
    <row r="95" spans="1:37" ht="14.5" x14ac:dyDescent="0.35">
      <c r="A95" s="2082"/>
      <c r="B95" s="2152" t="s">
        <v>2571</v>
      </c>
      <c r="C95" s="2103"/>
      <c r="D95" s="2103"/>
      <c r="E95" s="2103"/>
      <c r="F95" s="2103"/>
      <c r="G95" s="1956"/>
      <c r="H95" s="2087"/>
      <c r="I95" s="2087"/>
      <c r="J95" s="2087"/>
      <c r="K95" s="2155">
        <v>-100734</v>
      </c>
      <c r="L95" s="2087"/>
      <c r="M95" s="2155">
        <v>-100734</v>
      </c>
      <c r="N95" s="2087"/>
      <c r="O95" s="2087"/>
      <c r="P95" s="2087"/>
      <c r="Q95" s="2087"/>
      <c r="R95" s="2087"/>
      <c r="S95" s="2087"/>
      <c r="T95" s="2087"/>
      <c r="U95" s="2087"/>
      <c r="V95" s="2087"/>
      <c r="W95" s="2087"/>
      <c r="X95" s="2087"/>
      <c r="Y95" s="2087"/>
      <c r="Z95" s="2087"/>
      <c r="AA95" s="2087"/>
      <c r="AB95" s="2087"/>
      <c r="AC95" s="2087"/>
      <c r="AD95" s="2087"/>
      <c r="AE95" s="2087"/>
      <c r="AF95" s="2087"/>
      <c r="AG95" s="2087"/>
      <c r="AH95" s="2087"/>
      <c r="AI95" s="2087"/>
      <c r="AJ95" s="2087"/>
      <c r="AK95" s="2087"/>
    </row>
    <row r="96" spans="1:37" ht="14.5" x14ac:dyDescent="0.35">
      <c r="A96" s="2082"/>
      <c r="B96" s="2152"/>
      <c r="C96" s="2103"/>
      <c r="D96" s="2103"/>
      <c r="E96" s="2103"/>
      <c r="F96" s="2103"/>
      <c r="G96" s="1956"/>
      <c r="H96" s="2087"/>
      <c r="I96" s="2087"/>
      <c r="J96" s="2087"/>
      <c r="K96" s="2155"/>
      <c r="L96" s="2087"/>
      <c r="M96" s="2155"/>
      <c r="N96" s="2087"/>
      <c r="O96" s="2087"/>
      <c r="P96" s="2087"/>
      <c r="Q96" s="2087"/>
      <c r="R96" s="2087"/>
      <c r="S96" s="2087"/>
      <c r="T96" s="2087"/>
      <c r="U96" s="2087"/>
      <c r="V96" s="2087"/>
      <c r="W96" s="2087"/>
      <c r="X96" s="2087"/>
      <c r="Y96" s="2087"/>
      <c r="Z96" s="2087"/>
      <c r="AA96" s="2087"/>
      <c r="AB96" s="2087"/>
      <c r="AC96" s="2087"/>
      <c r="AD96" s="2087"/>
      <c r="AE96" s="2087"/>
      <c r="AF96" s="2087"/>
      <c r="AG96" s="2087"/>
      <c r="AH96" s="2087"/>
      <c r="AI96" s="2087"/>
      <c r="AJ96" s="2087"/>
      <c r="AK96" s="2087"/>
    </row>
    <row r="97" spans="1:37" ht="14.5" x14ac:dyDescent="0.35">
      <c r="A97" s="2082"/>
      <c r="B97" s="2152" t="s">
        <v>2572</v>
      </c>
      <c r="C97" s="2103"/>
      <c r="D97" s="2103"/>
      <c r="E97" s="2103"/>
      <c r="F97" s="2103"/>
      <c r="G97" s="1956"/>
      <c r="H97" s="2087"/>
      <c r="I97" s="2087"/>
      <c r="J97" s="2087"/>
      <c r="K97" s="2155"/>
      <c r="L97" s="2087"/>
      <c r="M97" s="2155"/>
      <c r="N97" s="2087"/>
      <c r="O97" s="2087"/>
      <c r="P97" s="2087"/>
      <c r="Q97" s="2087"/>
      <c r="R97" s="2087"/>
      <c r="S97" s="2087"/>
      <c r="T97" s="2087"/>
      <c r="U97" s="2087"/>
      <c r="V97" s="2087"/>
      <c r="W97" s="2087"/>
      <c r="X97" s="2087"/>
      <c r="Y97" s="2087"/>
      <c r="Z97" s="2087"/>
      <c r="AA97" s="2087"/>
      <c r="AB97" s="2087"/>
      <c r="AC97" s="2087"/>
      <c r="AD97" s="2087"/>
      <c r="AE97" s="2087"/>
      <c r="AF97" s="2087"/>
      <c r="AG97" s="2087"/>
      <c r="AH97" s="2087"/>
      <c r="AI97" s="2087"/>
      <c r="AJ97" s="2087"/>
      <c r="AK97" s="2087"/>
    </row>
    <row r="98" spans="1:37" ht="14.5" x14ac:dyDescent="0.35">
      <c r="A98" s="2082"/>
      <c r="B98" s="2152"/>
      <c r="C98" s="2103"/>
      <c r="D98" s="2103"/>
      <c r="E98" s="2103"/>
      <c r="F98" s="2103"/>
      <c r="G98" s="1956"/>
      <c r="H98" s="2087"/>
      <c r="I98" s="2087"/>
      <c r="J98" s="2087"/>
      <c r="K98" s="2155"/>
      <c r="L98" s="2087"/>
      <c r="M98" s="2155"/>
      <c r="N98" s="2087"/>
      <c r="O98" s="2087"/>
      <c r="P98" s="2087"/>
      <c r="Q98" s="2087"/>
      <c r="R98" s="2087"/>
      <c r="S98" s="2087"/>
      <c r="T98" s="2087"/>
      <c r="U98" s="2087"/>
      <c r="V98" s="2087"/>
      <c r="W98" s="2087"/>
      <c r="X98" s="2087"/>
      <c r="Y98" s="2087"/>
      <c r="Z98" s="2087"/>
      <c r="AA98" s="2087"/>
      <c r="AB98" s="2087"/>
      <c r="AC98" s="2087"/>
      <c r="AD98" s="2087"/>
      <c r="AE98" s="2087"/>
      <c r="AF98" s="2087"/>
      <c r="AG98" s="2087"/>
      <c r="AH98" s="2087"/>
      <c r="AI98" s="2087"/>
      <c r="AJ98" s="2087"/>
      <c r="AK98" s="2087"/>
    </row>
    <row r="99" spans="1:37" ht="14.5" x14ac:dyDescent="0.35">
      <c r="A99" s="2082"/>
      <c r="B99" s="2152"/>
      <c r="C99" s="2103"/>
      <c r="D99" s="2103"/>
      <c r="E99" s="2103"/>
      <c r="F99" s="2103"/>
      <c r="G99" s="1956"/>
      <c r="H99" s="2087"/>
      <c r="I99" s="2087"/>
      <c r="J99" s="2087"/>
      <c r="K99" s="2155"/>
      <c r="L99" s="2087"/>
      <c r="M99" s="2155"/>
      <c r="N99" s="2087"/>
      <c r="O99" s="2087"/>
      <c r="P99" s="2087"/>
      <c r="Q99" s="2087"/>
      <c r="R99" s="2087"/>
      <c r="S99" s="2087"/>
      <c r="T99" s="2087"/>
      <c r="U99" s="2087"/>
      <c r="V99" s="2087"/>
      <c r="W99" s="2087"/>
      <c r="X99" s="2087"/>
      <c r="Y99" s="2087"/>
      <c r="Z99" s="2087"/>
      <c r="AA99" s="2087"/>
      <c r="AB99" s="2087"/>
      <c r="AC99" s="2087"/>
      <c r="AD99" s="2087"/>
      <c r="AE99" s="2087"/>
      <c r="AF99" s="2087"/>
      <c r="AG99" s="2087"/>
      <c r="AH99" s="2087"/>
      <c r="AI99" s="2087"/>
      <c r="AJ99" s="2087"/>
      <c r="AK99" s="2087"/>
    </row>
    <row r="100" spans="1:37" ht="14.5" x14ac:dyDescent="0.35">
      <c r="A100" s="2082"/>
      <c r="B100" s="2152"/>
      <c r="C100" s="2103"/>
      <c r="D100" s="2103"/>
      <c r="E100" s="2103"/>
      <c r="F100" s="2103"/>
      <c r="G100" s="1956"/>
      <c r="H100" s="2087"/>
      <c r="I100" s="2087"/>
      <c r="J100" s="2087"/>
      <c r="K100" s="2087"/>
      <c r="L100" s="2087"/>
      <c r="M100" s="2087"/>
      <c r="N100" s="2087"/>
      <c r="O100" s="2087"/>
      <c r="P100" s="2087"/>
      <c r="Q100" s="2087"/>
      <c r="R100" s="2087"/>
      <c r="S100" s="2087"/>
      <c r="T100" s="2087"/>
      <c r="U100" s="2087"/>
      <c r="V100" s="2087"/>
      <c r="W100" s="2087"/>
      <c r="X100" s="2087"/>
      <c r="Y100" s="2087"/>
      <c r="Z100" s="2087"/>
      <c r="AA100" s="2087"/>
      <c r="AB100" s="2087"/>
      <c r="AC100" s="2087"/>
      <c r="AD100" s="2087"/>
      <c r="AE100" s="2087"/>
      <c r="AF100" s="2087"/>
      <c r="AG100" s="2087"/>
      <c r="AH100" s="2087"/>
      <c r="AI100" s="2087"/>
      <c r="AJ100" s="2087"/>
      <c r="AK100" s="2087"/>
    </row>
    <row r="101" spans="1:37" ht="14.5" x14ac:dyDescent="0.35">
      <c r="A101" s="3764" t="s">
        <v>725</v>
      </c>
      <c r="B101" s="3765"/>
      <c r="C101" s="12"/>
      <c r="D101" s="12"/>
      <c r="E101" s="12"/>
      <c r="F101" s="12"/>
      <c r="G101" s="13"/>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row>
    <row r="102" spans="1:37" ht="14.5" x14ac:dyDescent="0.35">
      <c r="A102" s="2106"/>
      <c r="B102" s="2102" t="s">
        <v>726</v>
      </c>
      <c r="C102" s="2103"/>
      <c r="D102" s="2103"/>
      <c r="E102" s="2103"/>
      <c r="F102" s="2103"/>
      <c r="G102" s="1956"/>
      <c r="H102" s="2087"/>
      <c r="I102" s="2087"/>
      <c r="J102" s="2087"/>
      <c r="K102" s="2087"/>
      <c r="L102" s="2087"/>
      <c r="M102" s="2087"/>
      <c r="N102" s="2087"/>
      <c r="O102" s="2087"/>
      <c r="P102" s="2087"/>
      <c r="Q102" s="2087"/>
      <c r="R102" s="2087"/>
      <c r="S102" s="2087"/>
      <c r="T102" s="2087"/>
      <c r="U102" s="2087"/>
      <c r="V102" s="2087"/>
      <c r="W102" s="2087"/>
      <c r="X102" s="2087"/>
      <c r="Y102" s="2087"/>
      <c r="Z102" s="2087"/>
      <c r="AA102" s="2087"/>
      <c r="AB102" s="2087"/>
      <c r="AC102" s="2087"/>
      <c r="AD102" s="2087"/>
      <c r="AE102" s="2087"/>
      <c r="AF102" s="2087"/>
      <c r="AG102" s="2087"/>
      <c r="AH102" s="2087"/>
      <c r="AI102" s="2087"/>
      <c r="AJ102" s="2087"/>
      <c r="AK102" s="2087"/>
    </row>
    <row r="103" spans="1:37" ht="14.5" x14ac:dyDescent="0.35">
      <c r="A103" s="2106"/>
      <c r="B103" s="2102" t="s">
        <v>727</v>
      </c>
      <c r="C103" s="2103"/>
      <c r="D103" s="2103"/>
      <c r="E103" s="2103"/>
      <c r="F103" s="2103"/>
      <c r="G103" s="1956"/>
      <c r="H103" s="2087"/>
      <c r="I103" s="2087"/>
      <c r="J103" s="2087"/>
      <c r="K103" s="2087"/>
      <c r="L103" s="2087"/>
      <c r="M103" s="2087"/>
      <c r="N103" s="2087"/>
      <c r="O103" s="2087"/>
      <c r="P103" s="2087"/>
      <c r="Q103" s="2087"/>
      <c r="R103" s="2087"/>
      <c r="S103" s="2087"/>
      <c r="T103" s="2087"/>
      <c r="U103" s="2087"/>
      <c r="V103" s="2087"/>
      <c r="W103" s="2087"/>
      <c r="X103" s="2087"/>
      <c r="Y103" s="2087"/>
      <c r="Z103" s="2087"/>
      <c r="AA103" s="2087"/>
      <c r="AB103" s="2087"/>
      <c r="AC103" s="2087"/>
      <c r="AD103" s="2087"/>
      <c r="AE103" s="2087"/>
      <c r="AF103" s="2087"/>
      <c r="AG103" s="2087"/>
      <c r="AH103" s="2087"/>
      <c r="AI103" s="2087"/>
      <c r="AJ103" s="2087"/>
      <c r="AK103" s="2087"/>
    </row>
    <row r="104" spans="1:37" ht="14.5" x14ac:dyDescent="0.35">
      <c r="A104" s="2106"/>
      <c r="B104" s="2102" t="s">
        <v>728</v>
      </c>
      <c r="C104" s="2103"/>
      <c r="D104" s="2103"/>
      <c r="E104" s="2103"/>
      <c r="F104" s="2103"/>
      <c r="G104" s="1956"/>
      <c r="H104" s="2087"/>
      <c r="I104" s="2087"/>
      <c r="J104" s="2087"/>
      <c r="K104" s="2087"/>
      <c r="L104" s="2087"/>
      <c r="M104" s="2087"/>
      <c r="N104" s="2087"/>
      <c r="O104" s="2087"/>
      <c r="P104" s="2087"/>
      <c r="Q104" s="2087"/>
      <c r="R104" s="2087"/>
      <c r="S104" s="2087"/>
      <c r="T104" s="2087"/>
      <c r="U104" s="2087"/>
      <c r="V104" s="2087"/>
      <c r="W104" s="2087"/>
      <c r="X104" s="2087"/>
      <c r="Y104" s="2087"/>
      <c r="Z104" s="2087"/>
      <c r="AA104" s="2087"/>
      <c r="AB104" s="2087"/>
      <c r="AC104" s="2087"/>
      <c r="AD104" s="2087"/>
      <c r="AE104" s="2087"/>
      <c r="AF104" s="2087"/>
      <c r="AG104" s="2087"/>
      <c r="AH104" s="2087"/>
      <c r="AI104" s="2087"/>
      <c r="AJ104" s="2087"/>
      <c r="AK104" s="2087"/>
    </row>
    <row r="105" spans="1:37" ht="14.5" x14ac:dyDescent="0.35">
      <c r="A105" s="2106"/>
      <c r="B105" s="2102" t="s">
        <v>729</v>
      </c>
      <c r="C105" s="2103"/>
      <c r="D105" s="2103"/>
      <c r="E105" s="2103"/>
      <c r="F105" s="2103"/>
      <c r="G105" s="1956"/>
      <c r="H105" s="2087"/>
      <c r="I105" s="2087"/>
      <c r="J105" s="2087"/>
      <c r="K105" s="2087"/>
      <c r="L105" s="2087"/>
      <c r="M105" s="2087"/>
      <c r="N105" s="2087"/>
      <c r="O105" s="2087"/>
      <c r="P105" s="2087"/>
      <c r="Q105" s="2087"/>
      <c r="R105" s="2087"/>
      <c r="S105" s="2087"/>
      <c r="T105" s="2087"/>
      <c r="U105" s="2087"/>
      <c r="V105" s="2087"/>
      <c r="W105" s="2087"/>
      <c r="X105" s="2087"/>
      <c r="Y105" s="2087"/>
      <c r="Z105" s="2087"/>
      <c r="AA105" s="2087"/>
      <c r="AB105" s="2087"/>
      <c r="AC105" s="2087"/>
      <c r="AD105" s="2087"/>
      <c r="AE105" s="2087"/>
      <c r="AF105" s="2087"/>
      <c r="AG105" s="2087"/>
      <c r="AH105" s="2087"/>
      <c r="AI105" s="2087"/>
      <c r="AJ105" s="2087"/>
      <c r="AK105" s="2087"/>
    </row>
    <row r="106" spans="1:37" ht="14.5" x14ac:dyDescent="0.35">
      <c r="A106" s="978"/>
      <c r="B106" s="939"/>
      <c r="C106" s="940"/>
      <c r="D106" s="940"/>
      <c r="E106" s="940"/>
      <c r="F106" s="940"/>
      <c r="G106" s="1039"/>
      <c r="H106" s="981"/>
      <c r="I106" s="981"/>
      <c r="J106" s="981"/>
      <c r="K106" s="981"/>
      <c r="L106" s="981"/>
      <c r="M106" s="981"/>
      <c r="N106" s="981"/>
      <c r="O106" s="981"/>
      <c r="P106" s="981"/>
      <c r="Q106" s="981"/>
      <c r="R106" s="981"/>
      <c r="S106" s="981"/>
      <c r="T106" s="981"/>
      <c r="U106" s="981"/>
      <c r="V106" s="981"/>
      <c r="W106" s="981"/>
      <c r="X106" s="981"/>
      <c r="Y106" s="981"/>
      <c r="Z106" s="981"/>
      <c r="AA106" s="981"/>
      <c r="AB106" s="981"/>
      <c r="AC106" s="981"/>
      <c r="AD106" s="981"/>
      <c r="AE106" s="981"/>
      <c r="AF106" s="981"/>
      <c r="AG106" s="981"/>
      <c r="AH106" s="981"/>
      <c r="AI106" s="981"/>
      <c r="AJ106" s="981"/>
      <c r="AK106" s="981"/>
    </row>
    <row r="107" spans="1:37" ht="14.5" x14ac:dyDescent="0.35">
      <c r="A107" s="7" t="s">
        <v>730</v>
      </c>
      <c r="B107" s="8"/>
      <c r="C107" s="12"/>
      <c r="D107" s="12"/>
      <c r="E107" s="12"/>
      <c r="F107" s="12"/>
      <c r="G107" s="13"/>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row>
    <row r="108" spans="1:37" ht="14.5" x14ac:dyDescent="0.35">
      <c r="A108" s="2150"/>
      <c r="B108" s="2156" t="s">
        <v>731</v>
      </c>
      <c r="C108" s="2130"/>
      <c r="D108" s="2130"/>
      <c r="E108" s="2130"/>
      <c r="F108" s="2130"/>
      <c r="G108" s="2129"/>
      <c r="H108" s="2157"/>
      <c r="I108" s="2157"/>
      <c r="J108" s="2157"/>
      <c r="K108" s="2157"/>
      <c r="L108" s="2157"/>
      <c r="M108" s="2157"/>
      <c r="N108" s="2157"/>
      <c r="O108" s="2157"/>
      <c r="P108" s="2157"/>
      <c r="Q108" s="2157"/>
      <c r="R108" s="2157"/>
      <c r="S108" s="2157"/>
      <c r="T108" s="2157"/>
      <c r="U108" s="2157"/>
      <c r="V108" s="2157"/>
      <c r="W108" s="2157"/>
      <c r="X108" s="2157"/>
      <c r="Y108" s="2157"/>
      <c r="Z108" s="2157"/>
      <c r="AA108" s="2157"/>
      <c r="AB108" s="2157"/>
      <c r="AC108" s="2157"/>
      <c r="AD108" s="2157"/>
      <c r="AE108" s="2157"/>
      <c r="AF108" s="2157"/>
      <c r="AG108" s="2157"/>
      <c r="AH108" s="2157"/>
      <c r="AI108" s="2157"/>
      <c r="AJ108" s="2157"/>
      <c r="AK108" s="2157"/>
    </row>
    <row r="109" spans="1:37" ht="14.5" x14ac:dyDescent="0.35">
      <c r="A109" s="2106"/>
      <c r="B109" s="2102" t="s">
        <v>732</v>
      </c>
      <c r="C109" s="2103"/>
      <c r="D109" s="2103"/>
      <c r="E109" s="2103"/>
      <c r="F109" s="2103"/>
      <c r="G109" s="1956"/>
      <c r="H109" s="2158"/>
      <c r="I109" s="2158"/>
      <c r="J109" s="2158"/>
      <c r="K109" s="2158"/>
      <c r="L109" s="2158"/>
      <c r="M109" s="2158"/>
      <c r="N109" s="2158"/>
      <c r="O109" s="2158"/>
      <c r="P109" s="2158"/>
      <c r="Q109" s="2158"/>
      <c r="R109" s="2158"/>
      <c r="S109" s="2158"/>
      <c r="T109" s="2158"/>
      <c r="U109" s="2158"/>
      <c r="V109" s="2158"/>
      <c r="W109" s="2158"/>
      <c r="X109" s="2158"/>
      <c r="Y109" s="2158"/>
      <c r="Z109" s="2158"/>
      <c r="AA109" s="2158"/>
      <c r="AB109" s="2158"/>
      <c r="AC109" s="2158"/>
      <c r="AD109" s="2158"/>
      <c r="AE109" s="2158"/>
      <c r="AF109" s="2158"/>
      <c r="AG109" s="2158"/>
      <c r="AH109" s="2158"/>
      <c r="AI109" s="2158"/>
      <c r="AJ109" s="2158"/>
      <c r="AK109" s="2158"/>
    </row>
    <row r="110" spans="1:37" ht="14.5" x14ac:dyDescent="0.35">
      <c r="A110" s="2089"/>
      <c r="B110" s="2090" t="s">
        <v>733</v>
      </c>
      <c r="C110" s="2091"/>
      <c r="D110" s="2091"/>
      <c r="E110" s="2091"/>
      <c r="F110" s="2091"/>
      <c r="G110" s="2092"/>
      <c r="H110" s="2093"/>
      <c r="I110" s="2093"/>
      <c r="J110" s="2093"/>
      <c r="K110" s="2093"/>
      <c r="L110" s="2093"/>
      <c r="M110" s="2093"/>
      <c r="N110" s="2093"/>
      <c r="O110" s="2093"/>
      <c r="P110" s="2093"/>
      <c r="Q110" s="2093"/>
      <c r="R110" s="2093"/>
      <c r="S110" s="2093"/>
      <c r="T110" s="2093"/>
      <c r="U110" s="2093"/>
      <c r="V110" s="2093"/>
      <c r="W110" s="2093"/>
      <c r="X110" s="2093"/>
      <c r="Y110" s="2093"/>
      <c r="Z110" s="2093"/>
      <c r="AA110" s="2093"/>
      <c r="AB110" s="2093"/>
      <c r="AC110" s="2093"/>
      <c r="AD110" s="2093"/>
      <c r="AE110" s="2093"/>
      <c r="AF110" s="2093"/>
      <c r="AG110" s="2093"/>
      <c r="AH110" s="2093"/>
      <c r="AI110" s="2093"/>
      <c r="AJ110" s="2093"/>
      <c r="AK110" s="2093"/>
    </row>
    <row r="112" spans="1:37" ht="14.5" x14ac:dyDescent="0.35">
      <c r="A112" s="78" t="s">
        <v>734</v>
      </c>
      <c r="B112" s="80"/>
      <c r="C112" s="2" t="s">
        <v>20</v>
      </c>
      <c r="D112" s="2" t="s">
        <v>429</v>
      </c>
      <c r="E112" s="2" t="s">
        <v>746</v>
      </c>
    </row>
    <row r="113" spans="1:5" ht="14.5" x14ac:dyDescent="0.35">
      <c r="A113" s="79" t="s">
        <v>632</v>
      </c>
      <c r="B113" s="2094" t="str">
        <f>J5</f>
        <v>Color Factory R1</v>
      </c>
    </row>
    <row r="114" spans="1:5" ht="14.5" x14ac:dyDescent="0.35">
      <c r="A114" s="2095" t="s">
        <v>636</v>
      </c>
      <c r="B114" s="2094" t="str">
        <f>J6</f>
        <v>Isaac Magalhaes 1</v>
      </c>
    </row>
    <row r="115" spans="1:5" ht="14.5" x14ac:dyDescent="0.35">
      <c r="A115" s="2096" t="s">
        <v>639</v>
      </c>
      <c r="B115" s="2097">
        <f>J7</f>
        <v>9549782294</v>
      </c>
    </row>
    <row r="116" spans="1:5" ht="14.5" x14ac:dyDescent="0.35">
      <c r="A116" s="2096" t="s">
        <v>642</v>
      </c>
      <c r="B116" s="2159" t="str">
        <f>J8</f>
        <v>estimating@colorfactorypaint.com</v>
      </c>
    </row>
    <row r="117" spans="1:5" ht="14.5" x14ac:dyDescent="0.35">
      <c r="A117" s="2099" t="s">
        <v>735</v>
      </c>
      <c r="B117" s="2100">
        <f>K53+K64+K65+K66+K75</f>
        <v>1553114.804</v>
      </c>
      <c r="C117" s="333">
        <f>K67+K50+K70</f>
        <v>150834</v>
      </c>
      <c r="D117" s="333">
        <f>K68</f>
        <v>19952</v>
      </c>
      <c r="E117" s="333">
        <f>K69</f>
        <v>5742</v>
      </c>
    </row>
    <row r="119" spans="1:5" ht="14.5" x14ac:dyDescent="0.35">
      <c r="A119" s="81"/>
      <c r="B119" s="1" t="s">
        <v>736</v>
      </c>
    </row>
    <row r="120" spans="1:5" ht="14.5" x14ac:dyDescent="0.35">
      <c r="A120" s="82"/>
      <c r="B120" s="1" t="s">
        <v>737</v>
      </c>
    </row>
  </sheetData>
  <mergeCells count="110">
    <mergeCell ref="J9:K9"/>
    <mergeCell ref="H5:I5"/>
    <mergeCell ref="H3:I3"/>
    <mergeCell ref="N6:O6"/>
    <mergeCell ref="N7:O7"/>
    <mergeCell ref="N8:O8"/>
    <mergeCell ref="N4:O4"/>
    <mergeCell ref="H4:I4"/>
    <mergeCell ref="AB4:AC4"/>
    <mergeCell ref="X4:Y4"/>
    <mergeCell ref="J3:K3"/>
    <mergeCell ref="J4:K4"/>
    <mergeCell ref="V4:W4"/>
    <mergeCell ref="P3:Q3"/>
    <mergeCell ref="P4:Q4"/>
    <mergeCell ref="N3:O3"/>
    <mergeCell ref="L3:M3"/>
    <mergeCell ref="L4:M4"/>
    <mergeCell ref="V3:W3"/>
    <mergeCell ref="R9:S9"/>
    <mergeCell ref="J5:K5"/>
    <mergeCell ref="J6:K6"/>
    <mergeCell ref="J7:K7"/>
    <mergeCell ref="J8:K8"/>
    <mergeCell ref="A85:B85"/>
    <mergeCell ref="A89:B89"/>
    <mergeCell ref="A93:B93"/>
    <mergeCell ref="A101:B101"/>
    <mergeCell ref="H6:I6"/>
    <mergeCell ref="H7:I7"/>
    <mergeCell ref="H8:I8"/>
    <mergeCell ref="H9:I9"/>
    <mergeCell ref="A81:B81"/>
    <mergeCell ref="P5:Q5"/>
    <mergeCell ref="AH5:AI5"/>
    <mergeCell ref="Z3:AA3"/>
    <mergeCell ref="Z4:AA4"/>
    <mergeCell ref="Z5:AA5"/>
    <mergeCell ref="AF3:AG3"/>
    <mergeCell ref="AF4:AG4"/>
    <mergeCell ref="AB3:AC3"/>
    <mergeCell ref="X3:Y3"/>
    <mergeCell ref="AF5:AG5"/>
    <mergeCell ref="AD4:AE4"/>
    <mergeCell ref="AH4:AI4"/>
    <mergeCell ref="AB5:AC5"/>
    <mergeCell ref="X5:Y5"/>
    <mergeCell ref="T3:U3"/>
    <mergeCell ref="T4:U4"/>
    <mergeCell ref="T5:U5"/>
    <mergeCell ref="AD5:AE5"/>
    <mergeCell ref="AJ3:AK3"/>
    <mergeCell ref="AJ4:AK4"/>
    <mergeCell ref="V5:W5"/>
    <mergeCell ref="AD6:AE6"/>
    <mergeCell ref="AD7:AE7"/>
    <mergeCell ref="AD8:AE8"/>
    <mergeCell ref="V7:W7"/>
    <mergeCell ref="V8:W8"/>
    <mergeCell ref="L7:M7"/>
    <mergeCell ref="L8:M8"/>
    <mergeCell ref="AD3:AE3"/>
    <mergeCell ref="AJ6:AK6"/>
    <mergeCell ref="AJ7:AK7"/>
    <mergeCell ref="AJ8:AK8"/>
    <mergeCell ref="R3:S3"/>
    <mergeCell ref="R4:S4"/>
    <mergeCell ref="R5:S5"/>
    <mergeCell ref="R6:S6"/>
    <mergeCell ref="R7:S7"/>
    <mergeCell ref="R8:S8"/>
    <mergeCell ref="L5:M5"/>
    <mergeCell ref="AH3:AI3"/>
    <mergeCell ref="N5:O5"/>
    <mergeCell ref="AJ5:AK5"/>
    <mergeCell ref="AJ9:AK9"/>
    <mergeCell ref="T8:U8"/>
    <mergeCell ref="T9:U9"/>
    <mergeCell ref="T6:U6"/>
    <mergeCell ref="T7:U7"/>
    <mergeCell ref="X9:Y9"/>
    <mergeCell ref="AH6:AI6"/>
    <mergeCell ref="AH7:AI7"/>
    <mergeCell ref="AH8:AI8"/>
    <mergeCell ref="AH9:AI9"/>
    <mergeCell ref="AD9:AE9"/>
    <mergeCell ref="AF8:AG8"/>
    <mergeCell ref="AF9:AG9"/>
    <mergeCell ref="AB6:AC6"/>
    <mergeCell ref="AF6:AG6"/>
    <mergeCell ref="AF7:AG7"/>
    <mergeCell ref="AB7:AC7"/>
    <mergeCell ref="AB8:AC8"/>
    <mergeCell ref="AB9:AC9"/>
    <mergeCell ref="X6:Y6"/>
    <mergeCell ref="X7:Y7"/>
    <mergeCell ref="X8:Y8"/>
    <mergeCell ref="V6:W6"/>
    <mergeCell ref="Z8:AA8"/>
    <mergeCell ref="Z9:AA9"/>
    <mergeCell ref="Z6:AA6"/>
    <mergeCell ref="Z7:AA7"/>
    <mergeCell ref="P9:Q9"/>
    <mergeCell ref="V9:W9"/>
    <mergeCell ref="L9:M9"/>
    <mergeCell ref="N9:O9"/>
    <mergeCell ref="P6:Q6"/>
    <mergeCell ref="P7:Q7"/>
    <mergeCell ref="P8:Q8"/>
    <mergeCell ref="L6:M6"/>
  </mergeCells>
  <conditionalFormatting sqref="H21:H33">
    <cfRule type="cellIs" dxfId="1557" priority="43" operator="equal">
      <formula>"X"</formula>
    </cfRule>
    <cfRule type="cellIs" dxfId="1556" priority="44" operator="equal">
      <formula>"I"</formula>
    </cfRule>
  </conditionalFormatting>
  <conditionalFormatting sqref="H35:H72 J35:J72 N35:N72 T35:T72 AB35:AB72 AD35:AD72 AJ35:AJ72 C38:C39">
    <cfRule type="cellIs" dxfId="1555" priority="49" operator="equal">
      <formula>"X"</formula>
    </cfRule>
    <cfRule type="cellIs" dxfId="1554" priority="50" operator="equal">
      <formula>"I"</formula>
    </cfRule>
  </conditionalFormatting>
  <conditionalFormatting sqref="J21:J33">
    <cfRule type="cellIs" dxfId="1553" priority="29" operator="equal">
      <formula>"X"</formula>
    </cfRule>
    <cfRule type="cellIs" dxfId="1552" priority="30" operator="equal">
      <formula>"I"</formula>
    </cfRule>
  </conditionalFormatting>
  <conditionalFormatting sqref="L21:L33">
    <cfRule type="cellIs" dxfId="1551" priority="7" operator="equal">
      <formula>"X"</formula>
    </cfRule>
    <cfRule type="cellIs" dxfId="1550" priority="8" operator="equal">
      <formula>"I"</formula>
    </cfRule>
  </conditionalFormatting>
  <conditionalFormatting sqref="L35:L72">
    <cfRule type="cellIs" dxfId="1549" priority="9" operator="equal">
      <formula>"X"</formula>
    </cfRule>
    <cfRule type="cellIs" dxfId="1548" priority="10" operator="equal">
      <formula>"I"</formula>
    </cfRule>
  </conditionalFormatting>
  <conditionalFormatting sqref="N21:N33">
    <cfRule type="cellIs" dxfId="1547" priority="47" operator="equal">
      <formula>"X"</formula>
    </cfRule>
    <cfRule type="cellIs" dxfId="1546" priority="48" operator="equal">
      <formula>"I"</formula>
    </cfRule>
  </conditionalFormatting>
  <conditionalFormatting sqref="P21:P33">
    <cfRule type="cellIs" dxfId="1545" priority="5" operator="equal">
      <formula>"X"</formula>
    </cfRule>
    <cfRule type="cellIs" dxfId="1544" priority="6" operator="equal">
      <formula>"I"</formula>
    </cfRule>
  </conditionalFormatting>
  <conditionalFormatting sqref="P35:P72">
    <cfRule type="cellIs" dxfId="1543" priority="19" operator="equal">
      <formula>"X"</formula>
    </cfRule>
    <cfRule type="cellIs" dxfId="1542" priority="20" operator="equal">
      <formula>"I"</formula>
    </cfRule>
  </conditionalFormatting>
  <conditionalFormatting sqref="R21:R33">
    <cfRule type="cellIs" dxfId="1541" priority="1" operator="equal">
      <formula>"X"</formula>
    </cfRule>
    <cfRule type="cellIs" dxfId="1540" priority="2" operator="equal">
      <formula>"I"</formula>
    </cfRule>
  </conditionalFormatting>
  <conditionalFormatting sqref="R35:R72">
    <cfRule type="cellIs" dxfId="1539" priority="3" operator="equal">
      <formula>"X"</formula>
    </cfRule>
    <cfRule type="cellIs" dxfId="1538" priority="4" operator="equal">
      <formula>"I"</formula>
    </cfRule>
  </conditionalFormatting>
  <conditionalFormatting sqref="T21:T33">
    <cfRule type="cellIs" dxfId="1537" priority="33" operator="equal">
      <formula>"X"</formula>
    </cfRule>
    <cfRule type="cellIs" dxfId="1536" priority="34" operator="equal">
      <formula>"I"</formula>
    </cfRule>
  </conditionalFormatting>
  <conditionalFormatting sqref="V21:V33">
    <cfRule type="cellIs" dxfId="1535" priority="25" operator="equal">
      <formula>"X"</formula>
    </cfRule>
    <cfRule type="cellIs" dxfId="1534" priority="26" operator="equal">
      <formula>"I"</formula>
    </cfRule>
  </conditionalFormatting>
  <conditionalFormatting sqref="V35:V72">
    <cfRule type="cellIs" dxfId="1533" priority="27" operator="equal">
      <formula>"X"</formula>
    </cfRule>
    <cfRule type="cellIs" dxfId="1532" priority="28" operator="equal">
      <formula>"I"</formula>
    </cfRule>
  </conditionalFormatting>
  <conditionalFormatting sqref="X21:X33">
    <cfRule type="cellIs" dxfId="1531" priority="73" operator="equal">
      <formula>"X"</formula>
    </cfRule>
    <cfRule type="cellIs" dxfId="1530" priority="74" operator="equal">
      <formula>"I"</formula>
    </cfRule>
  </conditionalFormatting>
  <conditionalFormatting sqref="X35:X72">
    <cfRule type="cellIs" dxfId="1529" priority="37" operator="equal">
      <formula>"X"</formula>
    </cfRule>
    <cfRule type="cellIs" dxfId="1528" priority="38" operator="equal">
      <formula>"I"</formula>
    </cfRule>
  </conditionalFormatting>
  <conditionalFormatting sqref="Z21:Z33">
    <cfRule type="cellIs" dxfId="1527" priority="13" operator="equal">
      <formula>"X"</formula>
    </cfRule>
    <cfRule type="cellIs" dxfId="1526" priority="14" operator="equal">
      <formula>"I"</formula>
    </cfRule>
  </conditionalFormatting>
  <conditionalFormatting sqref="Z35:Z72">
    <cfRule type="cellIs" dxfId="1525" priority="11" operator="equal">
      <formula>"X"</formula>
    </cfRule>
    <cfRule type="cellIs" dxfId="1524" priority="12" operator="equal">
      <formula>"I"</formula>
    </cfRule>
  </conditionalFormatting>
  <conditionalFormatting sqref="AB21:AB33">
    <cfRule type="cellIs" dxfId="1523" priority="71" operator="equal">
      <formula>"X"</formula>
    </cfRule>
    <cfRule type="cellIs" dxfId="1522" priority="72" operator="equal">
      <formula>"I"</formula>
    </cfRule>
  </conditionalFormatting>
  <conditionalFormatting sqref="AD21:AD33">
    <cfRule type="cellIs" dxfId="1521" priority="75" operator="equal">
      <formula>"X"</formula>
    </cfRule>
    <cfRule type="cellIs" dxfId="1520" priority="76" operator="equal">
      <formula>"I"</formula>
    </cfRule>
  </conditionalFormatting>
  <conditionalFormatting sqref="AF21:AF33">
    <cfRule type="cellIs" dxfId="1519" priority="45" operator="equal">
      <formula>"X"</formula>
    </cfRule>
    <cfRule type="cellIs" dxfId="1518" priority="46" operator="equal">
      <formula>"I"</formula>
    </cfRule>
  </conditionalFormatting>
  <conditionalFormatting sqref="AF35:AF61">
    <cfRule type="cellIs" dxfId="1517" priority="65" operator="equal">
      <formula>"X"</formula>
    </cfRule>
    <cfRule type="cellIs" dxfId="1516" priority="66" operator="equal">
      <formula>"I"</formula>
    </cfRule>
  </conditionalFormatting>
  <conditionalFormatting sqref="AF64:AF72">
    <cfRule type="cellIs" dxfId="1515" priority="15" operator="equal">
      <formula>"X"</formula>
    </cfRule>
    <cfRule type="cellIs" dxfId="1514" priority="16" operator="equal">
      <formula>"I"</formula>
    </cfRule>
  </conditionalFormatting>
  <conditionalFormatting sqref="AH21:AH33">
    <cfRule type="cellIs" dxfId="1513" priority="23" operator="equal">
      <formula>"X"</formula>
    </cfRule>
    <cfRule type="cellIs" dxfId="1512" priority="24" operator="equal">
      <formula>"I"</formula>
    </cfRule>
  </conditionalFormatting>
  <conditionalFormatting sqref="AH35:AH72">
    <cfRule type="cellIs" dxfId="1511" priority="21" operator="equal">
      <formula>"X"</formula>
    </cfRule>
    <cfRule type="cellIs" dxfId="1510" priority="22" operator="equal">
      <formula>"I"</formula>
    </cfRule>
  </conditionalFormatting>
  <conditionalFormatting sqref="AJ21:AJ33">
    <cfRule type="cellIs" dxfId="1509" priority="39" operator="equal">
      <formula>"X"</formula>
    </cfRule>
    <cfRule type="cellIs" dxfId="1508" priority="40" operator="equal">
      <formula>"I"</formula>
    </cfRule>
  </conditionalFormatting>
  <hyperlinks>
    <hyperlink ref="B4" location="'Cost Summary'!A1" display="BACK TO SUMMARY SHEET" xr:uid="{68A35B1B-FC94-46AD-BF47-66DFC833CCA1}"/>
    <hyperlink ref="N8" r:id="rId1" xr:uid="{D722E80B-379A-4BF1-8E63-3D138D900823}"/>
    <hyperlink ref="AF8:AG8" r:id="rId2" display="callahan@rpgfl.com" xr:uid="{1E05DA16-0217-473B-ABBC-97E518F73C46}"/>
    <hyperlink ref="H8" r:id="rId3" xr:uid="{166FA494-8FFF-4B54-A8B2-6455C2FAEE6B}"/>
    <hyperlink ref="AJ8" r:id="rId4" xr:uid="{207BCCE5-84C2-40C0-A8FC-191A5C7A3469}"/>
    <hyperlink ref="AB8" r:id="rId5" xr:uid="{2253C17E-E032-4634-8FBF-DF168A2719DE}"/>
    <hyperlink ref="X8" r:id="rId6" xr:uid="{99F8FCC3-2A63-48B0-88B0-085F65B4DF6D}"/>
    <hyperlink ref="AD8" r:id="rId7" xr:uid="{75519489-641C-47B0-9592-C44493D031E6}"/>
    <hyperlink ref="T8" r:id="rId8" xr:uid="{F0C51827-90A5-4449-A033-17464A4C37EE}"/>
    <hyperlink ref="J8" r:id="rId9" xr:uid="{08C091AB-96E8-4992-BB17-8ED1EAE50B8F}"/>
    <hyperlink ref="V8" r:id="rId10" xr:uid="{E1C1A5DC-D841-4FA0-BEAD-1D5FC8337EB1}"/>
    <hyperlink ref="AH8" r:id="rId11" xr:uid="{75F78247-98A2-4BF2-96C0-8B454012B106}"/>
    <hyperlink ref="P8" r:id="rId12" xr:uid="{C220CC5F-1F21-4B89-B0DD-D7458FC10888}"/>
    <hyperlink ref="Z8" r:id="rId13" xr:uid="{3BCF6AF3-ADC5-4171-8FCA-5B549B563B3F}"/>
    <hyperlink ref="L8" r:id="rId14" xr:uid="{944201EF-6E15-4842-BFEB-D5678EF9DA4E}"/>
    <hyperlink ref="R8" r:id="rId15" xr:uid="{BB2B1D60-23A2-447B-A13D-0F24E43B3D75}"/>
  </hyperlinks>
  <pageMargins left="0.7" right="0.7" top="0.75" bottom="0.75" header="0.3" footer="0.3"/>
  <pageSetup orientation="portrait" r:id="rId1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B2CC-7311-4585-BE84-AEBD5CDB3669}">
  <sheetPr>
    <tabColor rgb="FF92D050"/>
  </sheetPr>
  <dimension ref="A1:S107"/>
  <sheetViews>
    <sheetView zoomScale="82" zoomScaleNormal="82" workbookViewId="0">
      <pane xSplit="2" ySplit="9" topLeftCell="C20" activePane="bottomRight" state="frozen"/>
      <selection pane="topRight" activeCell="C1" sqref="C1"/>
      <selection pane="bottomLeft" activeCell="A10" sqref="A10"/>
      <selection pane="bottomRight" activeCell="D33" sqref="D3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76"/>
      <c r="I2" s="3776"/>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2101" t="s">
        <v>634</v>
      </c>
      <c r="B5" s="2160" t="s">
        <v>2573</v>
      </c>
      <c r="C5" s="2161"/>
      <c r="D5" s="2161"/>
      <c r="E5" s="2161"/>
      <c r="F5" s="2161"/>
      <c r="G5" s="1955" t="s">
        <v>636</v>
      </c>
      <c r="H5" s="3928"/>
      <c r="I5" s="3759"/>
      <c r="J5" s="3928"/>
      <c r="K5" s="3759"/>
      <c r="L5" s="3928"/>
      <c r="M5" s="3759"/>
      <c r="N5" s="3928"/>
      <c r="O5" s="3759"/>
      <c r="P5" s="3928"/>
      <c r="Q5" s="3759"/>
      <c r="R5" s="3928"/>
      <c r="S5" s="3759"/>
    </row>
    <row r="6" spans="1:19" x14ac:dyDescent="0.35">
      <c r="A6" s="2101" t="s">
        <v>638</v>
      </c>
      <c r="B6" s="2162" t="s">
        <v>2574</v>
      </c>
      <c r="C6" s="2161"/>
      <c r="D6" s="2161"/>
      <c r="E6" s="2161"/>
      <c r="F6" s="2161"/>
      <c r="G6" s="1955" t="s">
        <v>639</v>
      </c>
      <c r="H6" s="3929"/>
      <c r="I6" s="3757"/>
      <c r="J6" s="3929"/>
      <c r="K6" s="3757"/>
      <c r="L6" s="3929"/>
      <c r="M6" s="3757"/>
      <c r="N6" s="3929"/>
      <c r="O6" s="3757"/>
      <c r="P6" s="3929"/>
      <c r="Q6" s="3757"/>
      <c r="R6" s="3929"/>
      <c r="S6" s="3757"/>
    </row>
    <row r="7" spans="1:19" x14ac:dyDescent="0.35">
      <c r="A7" s="2101" t="s">
        <v>641</v>
      </c>
      <c r="B7" s="2163"/>
      <c r="C7" s="2161"/>
      <c r="D7" s="2161"/>
      <c r="E7" s="2161"/>
      <c r="F7" s="2161"/>
      <c r="G7" s="1955" t="s">
        <v>642</v>
      </c>
      <c r="H7" s="3930"/>
      <c r="I7" s="3763"/>
      <c r="J7" s="3930"/>
      <c r="K7" s="3763"/>
      <c r="L7" s="3930"/>
      <c r="M7" s="3763"/>
      <c r="N7" s="3930"/>
      <c r="O7" s="3763"/>
      <c r="P7" s="3930"/>
      <c r="Q7" s="3763"/>
      <c r="R7" s="3930"/>
      <c r="S7" s="3763"/>
    </row>
    <row r="8" spans="1:19" x14ac:dyDescent="0.35">
      <c r="A8" s="938" t="s">
        <v>644</v>
      </c>
      <c r="B8" s="939"/>
      <c r="C8" s="940"/>
      <c r="D8" s="940"/>
      <c r="E8" s="940"/>
      <c r="F8" s="940"/>
      <c r="G8" s="1024" t="s">
        <v>644</v>
      </c>
      <c r="H8" s="3926">
        <f>I68</f>
        <v>0</v>
      </c>
      <c r="I8" s="3927"/>
      <c r="J8" s="3926">
        <f>K68</f>
        <v>0</v>
      </c>
      <c r="K8" s="3927"/>
      <c r="L8" s="3926">
        <f>M68</f>
        <v>0</v>
      </c>
      <c r="M8" s="3927"/>
      <c r="N8" s="3926"/>
      <c r="O8" s="3927"/>
      <c r="P8" s="3926"/>
      <c r="Q8" s="3927"/>
      <c r="R8" s="3926"/>
      <c r="S8" s="3927"/>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106"/>
      <c r="B10" s="2164" t="s">
        <v>653</v>
      </c>
      <c r="C10" s="2161"/>
      <c r="D10" s="2161"/>
      <c r="E10" s="2161"/>
      <c r="F10" s="2161"/>
      <c r="G10" s="1956"/>
      <c r="H10" s="2107"/>
      <c r="I10" s="2107"/>
      <c r="J10" s="2107"/>
      <c r="K10" s="2107"/>
      <c r="L10" s="2107"/>
      <c r="M10" s="2107"/>
      <c r="N10" s="2107"/>
      <c r="O10" s="2107"/>
      <c r="P10" s="2107"/>
      <c r="Q10" s="2107"/>
      <c r="R10" s="2107"/>
      <c r="S10" s="2107"/>
    </row>
    <row r="11" spans="1:19" hidden="1" x14ac:dyDescent="0.35">
      <c r="A11" s="2106"/>
      <c r="B11" s="2160" t="e">
        <f>#REF!</f>
        <v>#REF!</v>
      </c>
      <c r="C11" s="2165" t="s">
        <v>654</v>
      </c>
      <c r="D11" s="2161"/>
      <c r="E11" s="2161"/>
      <c r="F11" s="2161"/>
      <c r="G11" s="1956"/>
      <c r="H11" s="2107"/>
      <c r="I11" s="2107"/>
      <c r="J11" s="2107"/>
      <c r="K11" s="2107"/>
      <c r="L11" s="2107"/>
      <c r="M11" s="2107"/>
      <c r="N11" s="2107"/>
      <c r="O11" s="2107"/>
      <c r="P11" s="2107"/>
      <c r="Q11" s="2107"/>
      <c r="R11" s="2107"/>
      <c r="S11" s="2107"/>
    </row>
    <row r="12" spans="1:19" hidden="1" x14ac:dyDescent="0.35">
      <c r="A12" s="2106"/>
      <c r="B12" s="2160" t="e">
        <f>#REF!</f>
        <v>#REF!</v>
      </c>
      <c r="C12" s="2165" t="s">
        <v>654</v>
      </c>
      <c r="D12" s="2161"/>
      <c r="E12" s="2161"/>
      <c r="F12" s="2161"/>
      <c r="G12" s="1956"/>
      <c r="H12" s="2107"/>
      <c r="I12" s="2107"/>
      <c r="J12" s="2107"/>
      <c r="K12" s="2107"/>
      <c r="L12" s="2107"/>
      <c r="M12" s="2107"/>
      <c r="N12" s="2107"/>
      <c r="O12" s="2107"/>
      <c r="P12" s="2107"/>
      <c r="Q12" s="2107"/>
      <c r="R12" s="2107"/>
      <c r="S12" s="2107"/>
    </row>
    <row r="13" spans="1:19" hidden="1" x14ac:dyDescent="0.35">
      <c r="A13" s="2106"/>
      <c r="B13" s="2160" t="e">
        <f>#REF!</f>
        <v>#REF!</v>
      </c>
      <c r="C13" s="2165" t="s">
        <v>654</v>
      </c>
      <c r="D13" s="2161"/>
      <c r="E13" s="2161"/>
      <c r="F13" s="2161"/>
      <c r="G13" s="1956"/>
      <c r="H13" s="2107"/>
      <c r="I13" s="2107"/>
      <c r="J13" s="2107"/>
      <c r="K13" s="2107"/>
      <c r="L13" s="2107"/>
      <c r="M13" s="2107"/>
      <c r="N13" s="2107"/>
      <c r="O13" s="2107"/>
      <c r="P13" s="2107"/>
      <c r="Q13" s="2107"/>
      <c r="R13" s="2107"/>
      <c r="S13" s="2107"/>
    </row>
    <row r="14" spans="1:19" hidden="1" x14ac:dyDescent="0.35">
      <c r="A14" s="2106"/>
      <c r="B14" s="2160" t="e">
        <f>#REF!</f>
        <v>#REF!</v>
      </c>
      <c r="C14" s="2165" t="s">
        <v>654</v>
      </c>
      <c r="D14" s="2161"/>
      <c r="E14" s="2161"/>
      <c r="F14" s="2161"/>
      <c r="G14" s="1956"/>
      <c r="H14" s="2107"/>
      <c r="I14" s="2107"/>
      <c r="J14" s="2107"/>
      <c r="K14" s="2107"/>
      <c r="L14" s="2107"/>
      <c r="M14" s="2107"/>
      <c r="N14" s="2107"/>
      <c r="O14" s="2107"/>
      <c r="P14" s="2107"/>
      <c r="Q14" s="2107"/>
      <c r="R14" s="2107"/>
      <c r="S14" s="2107"/>
    </row>
    <row r="15" spans="1:19" hidden="1" x14ac:dyDescent="0.35">
      <c r="A15" s="2106"/>
      <c r="B15" s="2160" t="e">
        <f>#REF!</f>
        <v>#REF!</v>
      </c>
      <c r="C15" s="2165" t="s">
        <v>654</v>
      </c>
      <c r="D15" s="2161"/>
      <c r="E15" s="2161"/>
      <c r="F15" s="2161"/>
      <c r="G15" s="1956"/>
      <c r="H15" s="2107"/>
      <c r="I15" s="2107"/>
      <c r="J15" s="2107"/>
      <c r="K15" s="2107"/>
      <c r="L15" s="2107"/>
      <c r="M15" s="2107"/>
      <c r="N15" s="2107"/>
      <c r="O15" s="2107"/>
      <c r="P15" s="2107"/>
      <c r="Q15" s="2107"/>
      <c r="R15" s="2107"/>
      <c r="S15" s="2107"/>
    </row>
    <row r="16" spans="1:19" hidden="1" x14ac:dyDescent="0.35">
      <c r="A16" s="2106"/>
      <c r="B16" s="2160" t="e">
        <f>#REF!</f>
        <v>#REF!</v>
      </c>
      <c r="C16" s="2165" t="s">
        <v>654</v>
      </c>
      <c r="D16" s="2161"/>
      <c r="E16" s="2161"/>
      <c r="F16" s="2161"/>
      <c r="G16" s="1956"/>
      <c r="H16" s="2107"/>
      <c r="I16" s="2107"/>
      <c r="J16" s="2107"/>
      <c r="K16" s="2107"/>
      <c r="L16" s="2107"/>
      <c r="M16" s="2107"/>
      <c r="N16" s="2107"/>
      <c r="O16" s="2107"/>
      <c r="P16" s="2107"/>
      <c r="Q16" s="2107"/>
      <c r="R16" s="2107"/>
      <c r="S16" s="2107"/>
    </row>
    <row r="17" spans="1:19" hidden="1" x14ac:dyDescent="0.35">
      <c r="A17" s="2106"/>
      <c r="B17" s="2160" t="e">
        <f>#REF!</f>
        <v>#REF!</v>
      </c>
      <c r="C17" s="2165" t="s">
        <v>654</v>
      </c>
      <c r="D17" s="2161"/>
      <c r="E17" s="2161"/>
      <c r="F17" s="2161"/>
      <c r="G17" s="1956"/>
      <c r="H17" s="2107"/>
      <c r="I17" s="2107"/>
      <c r="J17" s="2107"/>
      <c r="K17" s="2107"/>
      <c r="L17" s="2107"/>
      <c r="M17" s="2107"/>
      <c r="N17" s="2107"/>
      <c r="O17" s="2107"/>
      <c r="P17" s="2107"/>
      <c r="Q17" s="2107"/>
      <c r="R17" s="2107"/>
      <c r="S17" s="2107"/>
    </row>
    <row r="18" spans="1:19" hidden="1" x14ac:dyDescent="0.35">
      <c r="A18" s="2106"/>
      <c r="B18" s="2160" t="e">
        <f>#REF!</f>
        <v>#REF!</v>
      </c>
      <c r="C18" s="2165" t="s">
        <v>654</v>
      </c>
      <c r="D18" s="2161"/>
      <c r="E18" s="2161"/>
      <c r="F18" s="2161"/>
      <c r="G18" s="1956"/>
      <c r="H18" s="2107"/>
      <c r="I18" s="2107"/>
      <c r="J18" s="2107"/>
      <c r="K18" s="2107"/>
      <c r="L18" s="2107"/>
      <c r="M18" s="2107"/>
      <c r="N18" s="2107"/>
      <c r="O18" s="2107"/>
      <c r="P18" s="2107"/>
      <c r="Q18" s="2107"/>
      <c r="R18" s="2107"/>
      <c r="S18" s="2107"/>
    </row>
    <row r="19" spans="1:19" hidden="1" x14ac:dyDescent="0.35">
      <c r="A19" s="2106"/>
      <c r="B19" s="2160" t="e">
        <f>#REF!</f>
        <v>#REF!</v>
      </c>
      <c r="C19" s="2165" t="s">
        <v>654</v>
      </c>
      <c r="D19" s="2161"/>
      <c r="E19" s="2161"/>
      <c r="F19" s="2161"/>
      <c r="G19" s="1956"/>
      <c r="H19" s="2107"/>
      <c r="I19" s="2107"/>
      <c r="J19" s="2107"/>
      <c r="K19" s="2107"/>
      <c r="L19" s="2107"/>
      <c r="M19" s="2107"/>
      <c r="N19" s="2107"/>
      <c r="O19" s="2107"/>
      <c r="P19" s="2107"/>
      <c r="Q19" s="2107"/>
      <c r="R19" s="2107"/>
      <c r="S19" s="2107"/>
    </row>
    <row r="20" spans="1:19" x14ac:dyDescent="0.35">
      <c r="A20" s="2106"/>
      <c r="B20" s="2160"/>
      <c r="C20" s="2165"/>
      <c r="D20" s="2161"/>
      <c r="E20" s="2161"/>
      <c r="F20" s="2161"/>
      <c r="G20" s="1956"/>
      <c r="H20" s="2109"/>
      <c r="I20" s="2107"/>
      <c r="J20" s="2109"/>
      <c r="K20" s="2107"/>
      <c r="L20" s="2109"/>
      <c r="M20" s="2107"/>
      <c r="N20" s="2109"/>
      <c r="O20" s="2107"/>
      <c r="P20" s="2109"/>
      <c r="Q20" s="2107"/>
      <c r="R20" s="2109"/>
      <c r="S20" s="2107"/>
    </row>
    <row r="21" spans="1:19" x14ac:dyDescent="0.35">
      <c r="A21" s="1349"/>
      <c r="B21" s="2166" t="s">
        <v>2573</v>
      </c>
      <c r="C21" s="45"/>
      <c r="D21" s="46"/>
      <c r="E21" s="46"/>
      <c r="F21" s="46"/>
      <c r="G21" s="52"/>
      <c r="H21" s="2109"/>
      <c r="I21" s="47"/>
      <c r="J21" s="2109"/>
      <c r="K21" s="47"/>
      <c r="L21" s="2109"/>
      <c r="M21" s="47"/>
      <c r="N21" s="2109"/>
      <c r="O21" s="47"/>
      <c r="P21" s="2109"/>
      <c r="Q21" s="47"/>
      <c r="R21" s="2109"/>
      <c r="S21" s="47"/>
    </row>
    <row r="22" spans="1:19" x14ac:dyDescent="0.35">
      <c r="A22" s="1349"/>
      <c r="B22" s="606" t="s">
        <v>657</v>
      </c>
      <c r="C22" s="2165"/>
      <c r="D22" s="2161"/>
      <c r="E22" s="2161"/>
      <c r="F22" s="2161"/>
      <c r="G22" s="1956"/>
      <c r="H22" s="2109"/>
      <c r="I22" s="2167"/>
      <c r="J22" s="2109"/>
      <c r="K22" s="2167"/>
      <c r="L22" s="2109"/>
      <c r="M22" s="2168"/>
      <c r="N22" s="2109"/>
      <c r="O22" s="2168"/>
      <c r="P22" s="2109"/>
      <c r="Q22" s="2168"/>
      <c r="R22" s="2109"/>
      <c r="S22" s="2168"/>
    </row>
    <row r="23" spans="1:19" x14ac:dyDescent="0.35">
      <c r="A23" s="1349"/>
      <c r="B23" s="2169" t="s">
        <v>658</v>
      </c>
      <c r="C23" s="2165"/>
      <c r="D23" s="2161"/>
      <c r="E23" s="2161"/>
      <c r="F23" s="2161"/>
      <c r="G23" s="1956"/>
      <c r="H23" s="2109"/>
      <c r="I23" s="2167"/>
      <c r="J23" s="2109"/>
      <c r="K23" s="2167"/>
      <c r="L23" s="2109"/>
      <c r="M23" s="2167"/>
      <c r="N23" s="2109"/>
      <c r="O23" s="2167"/>
      <c r="P23" s="2109"/>
      <c r="Q23" s="2167"/>
      <c r="R23" s="2109"/>
      <c r="S23" s="2167"/>
    </row>
    <row r="24" spans="1:19" x14ac:dyDescent="0.35">
      <c r="A24" s="1349"/>
      <c r="B24" s="2169" t="s">
        <v>659</v>
      </c>
      <c r="C24" s="2165"/>
      <c r="D24" s="2161"/>
      <c r="E24" s="2161"/>
      <c r="F24" s="2161"/>
      <c r="G24" s="1956"/>
      <c r="H24" s="2109"/>
      <c r="I24" s="2167"/>
      <c r="J24" s="2109"/>
      <c r="K24" s="2167"/>
      <c r="L24" s="2109"/>
      <c r="M24" s="2167"/>
      <c r="N24" s="2109"/>
      <c r="O24" s="2167"/>
      <c r="P24" s="2109"/>
      <c r="Q24" s="2167"/>
      <c r="R24" s="2109"/>
      <c r="S24" s="2167"/>
    </row>
    <row r="25" spans="1:19" x14ac:dyDescent="0.35">
      <c r="A25" s="1349"/>
      <c r="B25" s="2170" t="s">
        <v>660</v>
      </c>
      <c r="C25" s="2165"/>
      <c r="D25" s="2161"/>
      <c r="E25" s="2161"/>
      <c r="F25" s="2161"/>
      <c r="G25" s="1956"/>
      <c r="H25" s="2109"/>
      <c r="I25" s="2167"/>
      <c r="J25" s="2109"/>
      <c r="K25" s="2167"/>
      <c r="L25" s="2109"/>
      <c r="M25" s="2167"/>
      <c r="N25" s="2109"/>
      <c r="O25" s="2167"/>
      <c r="P25" s="2109"/>
      <c r="Q25" s="2167"/>
      <c r="R25" s="2109"/>
      <c r="S25" s="2167"/>
    </row>
    <row r="26" spans="1:19" x14ac:dyDescent="0.35">
      <c r="A26" s="1349"/>
      <c r="B26" s="2170" t="s">
        <v>661</v>
      </c>
      <c r="C26" s="2165"/>
      <c r="D26" s="2161"/>
      <c r="E26" s="2161"/>
      <c r="F26" s="2161"/>
      <c r="G26" s="1956"/>
      <c r="H26" s="2109"/>
      <c r="I26" s="2167"/>
      <c r="J26" s="2109"/>
      <c r="K26" s="2167"/>
      <c r="L26" s="2109"/>
      <c r="M26" s="2168"/>
      <c r="N26" s="2109"/>
      <c r="O26" s="2168"/>
      <c r="P26" s="2109"/>
      <c r="Q26" s="2168"/>
      <c r="R26" s="2109"/>
      <c r="S26" s="2168"/>
    </row>
    <row r="27" spans="1:19" x14ac:dyDescent="0.35">
      <c r="A27" s="1349"/>
      <c r="B27" s="2170" t="s">
        <v>662</v>
      </c>
      <c r="C27" s="2165"/>
      <c r="D27" s="2161"/>
      <c r="E27" s="2161"/>
      <c r="F27" s="2161"/>
      <c r="G27" s="1956"/>
      <c r="H27" s="2109"/>
      <c r="I27" s="2167"/>
      <c r="J27" s="2109"/>
      <c r="K27" s="2167"/>
      <c r="L27" s="2109"/>
      <c r="M27" s="2168"/>
      <c r="N27" s="2109"/>
      <c r="O27" s="2168"/>
      <c r="P27" s="2109"/>
      <c r="Q27" s="2168"/>
      <c r="R27" s="2109"/>
      <c r="S27" s="2168"/>
    </row>
    <row r="28" spans="1:19" x14ac:dyDescent="0.35">
      <c r="A28" s="1349"/>
      <c r="B28" s="2170" t="s">
        <v>663</v>
      </c>
      <c r="C28" s="2165"/>
      <c r="D28" s="2161"/>
      <c r="E28" s="2161"/>
      <c r="F28" s="2161"/>
      <c r="G28" s="1956"/>
      <c r="H28" s="2109"/>
      <c r="I28" s="2167"/>
      <c r="J28" s="2109"/>
      <c r="K28" s="2167"/>
      <c r="L28" s="2109"/>
      <c r="M28" s="2168"/>
      <c r="N28" s="2109"/>
      <c r="O28" s="2168"/>
      <c r="P28" s="2109"/>
      <c r="Q28" s="2168"/>
      <c r="R28" s="2109"/>
      <c r="S28" s="2168"/>
    </row>
    <row r="29" spans="1:19" x14ac:dyDescent="0.35">
      <c r="A29" s="1349"/>
      <c r="B29" s="2170" t="s">
        <v>742</v>
      </c>
      <c r="C29" s="2165"/>
      <c r="D29" s="2161"/>
      <c r="E29" s="2161"/>
      <c r="F29" s="2161"/>
      <c r="G29" s="1956"/>
      <c r="H29" s="2109"/>
      <c r="I29" s="2167"/>
      <c r="J29" s="2109"/>
      <c r="K29" s="2167"/>
      <c r="L29" s="2109"/>
      <c r="M29" s="2168"/>
      <c r="N29" s="2109"/>
      <c r="O29" s="2168"/>
      <c r="P29" s="2109"/>
      <c r="Q29" s="2168"/>
      <c r="R29" s="2109"/>
      <c r="S29" s="2168"/>
    </row>
    <row r="30" spans="1:19" x14ac:dyDescent="0.35">
      <c r="A30" s="1349"/>
      <c r="B30" s="2171" t="s">
        <v>664</v>
      </c>
      <c r="C30" s="2165"/>
      <c r="D30" s="2161"/>
      <c r="E30" s="2161"/>
      <c r="F30" s="2161"/>
      <c r="G30" s="1956"/>
      <c r="H30" s="2109"/>
      <c r="I30" s="2167"/>
      <c r="J30" s="2109"/>
      <c r="K30" s="2167"/>
      <c r="L30" s="2109"/>
      <c r="M30" s="2168"/>
      <c r="N30" s="2109"/>
      <c r="O30" s="2168"/>
      <c r="P30" s="2109"/>
      <c r="Q30" s="2168"/>
      <c r="R30" s="2109"/>
      <c r="S30" s="2168"/>
    </row>
    <row r="31" spans="1:19" x14ac:dyDescent="0.35">
      <c r="A31" s="1349"/>
      <c r="B31" s="2172" t="s">
        <v>665</v>
      </c>
      <c r="C31" s="2173"/>
      <c r="D31" s="2174"/>
      <c r="E31" s="2174"/>
      <c r="F31" s="2175"/>
      <c r="G31" s="2114"/>
      <c r="H31" s="2176"/>
      <c r="I31" s="2177"/>
      <c r="J31" s="2176"/>
      <c r="K31" s="2114"/>
      <c r="L31" s="2176"/>
      <c r="M31" s="2114"/>
      <c r="N31" s="2176"/>
      <c r="O31" s="2178"/>
      <c r="P31" s="2176"/>
      <c r="Q31" s="2178"/>
      <c r="R31" s="2176"/>
      <c r="S31" s="2178"/>
    </row>
    <row r="32" spans="1:19" x14ac:dyDescent="0.35">
      <c r="A32" s="1349"/>
      <c r="B32" s="2179" t="s">
        <v>874</v>
      </c>
      <c r="C32" s="2165"/>
      <c r="D32" s="2161"/>
      <c r="E32" s="2161"/>
      <c r="F32" s="2180"/>
      <c r="G32" s="2117"/>
      <c r="H32" s="2109"/>
      <c r="I32" s="2167"/>
      <c r="J32" s="2109"/>
      <c r="K32" s="2167"/>
      <c r="L32" s="2109"/>
      <c r="M32" s="2168"/>
      <c r="N32" s="2109"/>
      <c r="O32" s="2168"/>
      <c r="P32" s="2109"/>
      <c r="Q32" s="2168"/>
      <c r="R32" s="2109"/>
      <c r="S32" s="2168"/>
    </row>
    <row r="33" spans="1:19" x14ac:dyDescent="0.35">
      <c r="A33" s="1349"/>
      <c r="B33" s="2181"/>
      <c r="C33" s="1956"/>
      <c r="D33" s="2161"/>
      <c r="E33" s="2161"/>
      <c r="F33" s="2180"/>
      <c r="G33" s="2117"/>
      <c r="H33" s="2109"/>
      <c r="I33" s="2167"/>
      <c r="J33" s="2109"/>
      <c r="K33" s="2167"/>
      <c r="L33" s="2109"/>
      <c r="M33" s="2168"/>
      <c r="N33" s="2109"/>
      <c r="O33" s="2168"/>
      <c r="P33" s="2109"/>
      <c r="Q33" s="2168"/>
      <c r="R33" s="2109"/>
      <c r="S33" s="2168"/>
    </row>
    <row r="34" spans="1:19" x14ac:dyDescent="0.35">
      <c r="A34" s="1349"/>
      <c r="B34" s="2119" t="s">
        <v>2575</v>
      </c>
      <c r="C34" s="1956"/>
      <c r="D34" s="2161"/>
      <c r="E34" s="2161"/>
      <c r="F34" s="2180"/>
      <c r="G34" s="2117"/>
      <c r="H34" s="2109"/>
      <c r="I34" s="2167"/>
      <c r="J34" s="2109"/>
      <c r="K34" s="2167"/>
      <c r="L34" s="2109"/>
      <c r="M34" s="2168"/>
      <c r="N34" s="2109"/>
      <c r="O34" s="2168"/>
      <c r="P34" s="2109"/>
      <c r="Q34" s="2168"/>
      <c r="R34" s="2109"/>
      <c r="S34" s="2168"/>
    </row>
    <row r="35" spans="1:19" x14ac:dyDescent="0.35">
      <c r="A35" s="1349"/>
      <c r="B35" s="2125" t="s">
        <v>2576</v>
      </c>
      <c r="C35" s="1956"/>
      <c r="D35" s="2161"/>
      <c r="E35" s="2161"/>
      <c r="F35" s="2180"/>
      <c r="G35" s="2117"/>
      <c r="H35" s="2109" t="s">
        <v>669</v>
      </c>
      <c r="I35" s="2167"/>
      <c r="J35" s="2109"/>
      <c r="K35" s="2167"/>
      <c r="L35" s="2109"/>
      <c r="M35" s="2168"/>
      <c r="N35" s="2109"/>
      <c r="O35" s="2168"/>
      <c r="P35" s="2109"/>
      <c r="Q35" s="2168"/>
      <c r="R35" s="2109"/>
      <c r="S35" s="2168"/>
    </row>
    <row r="36" spans="1:19" x14ac:dyDescent="0.35">
      <c r="A36" s="1349"/>
      <c r="B36" s="2125" t="s">
        <v>1828</v>
      </c>
      <c r="C36" s="2165"/>
      <c r="D36" s="2161"/>
      <c r="E36" s="2161"/>
      <c r="F36" s="2180"/>
      <c r="G36" s="2117"/>
      <c r="H36" s="2109"/>
      <c r="I36" s="2167"/>
      <c r="J36" s="2109"/>
      <c r="K36" s="2167"/>
      <c r="L36" s="2109"/>
      <c r="M36" s="2167"/>
      <c r="N36" s="2109"/>
      <c r="O36" s="2167"/>
      <c r="P36" s="2109"/>
      <c r="Q36" s="2168"/>
      <c r="R36" s="2109"/>
      <c r="S36" s="2168"/>
    </row>
    <row r="37" spans="1:19" x14ac:dyDescent="0.35">
      <c r="A37" s="1349"/>
      <c r="B37" s="2125" t="s">
        <v>2577</v>
      </c>
      <c r="C37" s="2165"/>
      <c r="D37" s="2161"/>
      <c r="E37" s="2161"/>
      <c r="F37" s="2180"/>
      <c r="G37" s="2117"/>
      <c r="H37" s="2109"/>
      <c r="I37" s="2167"/>
      <c r="J37" s="2109"/>
      <c r="K37" s="2167"/>
      <c r="L37" s="2109"/>
      <c r="M37" s="2168"/>
      <c r="N37" s="2109"/>
      <c r="O37" s="2168"/>
      <c r="P37" s="2109"/>
      <c r="Q37" s="2168"/>
      <c r="R37" s="2109"/>
      <c r="S37" s="2168"/>
    </row>
    <row r="38" spans="1:19" x14ac:dyDescent="0.35">
      <c r="A38" s="1349"/>
      <c r="B38" s="2125" t="s">
        <v>2578</v>
      </c>
      <c r="C38" s="2165"/>
      <c r="D38" s="2161"/>
      <c r="E38" s="2161"/>
      <c r="F38" s="2180"/>
      <c r="G38" s="2117"/>
      <c r="H38" s="2109"/>
      <c r="I38" s="2167"/>
      <c r="J38" s="2109"/>
      <c r="K38" s="2167"/>
      <c r="L38" s="2109"/>
      <c r="M38" s="2168"/>
      <c r="N38" s="2109"/>
      <c r="O38" s="2168"/>
      <c r="P38" s="2109"/>
      <c r="Q38" s="2168"/>
      <c r="R38" s="2109"/>
      <c r="S38" s="2168"/>
    </row>
    <row r="39" spans="1:19" x14ac:dyDescent="0.35">
      <c r="A39" s="1349"/>
      <c r="B39" s="2125" t="s">
        <v>1831</v>
      </c>
      <c r="C39" s="2165"/>
      <c r="D39" s="2161"/>
      <c r="E39" s="2161"/>
      <c r="F39" s="2180"/>
      <c r="G39" s="2117"/>
      <c r="H39" s="2109"/>
      <c r="I39" s="2167"/>
      <c r="J39" s="2109"/>
      <c r="K39" s="2167"/>
      <c r="L39" s="2109"/>
      <c r="M39" s="2123"/>
      <c r="N39" s="2109"/>
      <c r="O39" s="2168"/>
      <c r="P39" s="2109"/>
      <c r="Q39" s="2168"/>
      <c r="R39" s="2109"/>
      <c r="S39" s="2168"/>
    </row>
    <row r="40" spans="1:19" x14ac:dyDescent="0.35">
      <c r="A40" s="1349"/>
      <c r="B40" s="2125" t="s">
        <v>1832</v>
      </c>
      <c r="C40" s="2165"/>
      <c r="D40" s="2161"/>
      <c r="E40" s="2161"/>
      <c r="F40" s="2180"/>
      <c r="G40" s="2117"/>
      <c r="H40" s="2109"/>
      <c r="I40" s="2167"/>
      <c r="J40" s="2109"/>
      <c r="K40" s="2167"/>
      <c r="L40" s="2109"/>
      <c r="M40" s="2123"/>
      <c r="N40" s="2109"/>
      <c r="O40" s="2168"/>
      <c r="P40" s="2109"/>
      <c r="Q40" s="2168"/>
      <c r="R40" s="2109"/>
      <c r="S40" s="2168"/>
    </row>
    <row r="41" spans="1:19" x14ac:dyDescent="0.35">
      <c r="A41" s="1349"/>
      <c r="B41" s="2125" t="s">
        <v>1833</v>
      </c>
      <c r="C41" s="2165"/>
      <c r="D41" s="2161"/>
      <c r="E41" s="2161"/>
      <c r="F41" s="2180"/>
      <c r="G41" s="2117"/>
      <c r="H41" s="2109"/>
      <c r="I41" s="2167"/>
      <c r="J41" s="2109"/>
      <c r="K41" s="2167"/>
      <c r="L41" s="2109"/>
      <c r="M41" s="2168"/>
      <c r="N41" s="2109"/>
      <c r="O41" s="2168"/>
      <c r="P41" s="2109"/>
      <c r="Q41" s="2168"/>
      <c r="R41" s="2109"/>
      <c r="S41" s="2168"/>
    </row>
    <row r="42" spans="1:19" x14ac:dyDescent="0.35">
      <c r="A42" s="1349"/>
      <c r="B42" s="2181"/>
      <c r="C42" s="2165"/>
      <c r="D42" s="2161"/>
      <c r="E42" s="2161"/>
      <c r="F42" s="2180"/>
      <c r="G42" s="2117"/>
      <c r="H42" s="2109"/>
      <c r="I42" s="2167"/>
      <c r="J42" s="2109"/>
      <c r="K42" s="2167"/>
      <c r="L42" s="2109"/>
      <c r="M42" s="2168"/>
      <c r="N42" s="2109"/>
      <c r="O42" s="2168"/>
      <c r="P42" s="2109"/>
      <c r="Q42" s="2168"/>
      <c r="R42" s="2109"/>
      <c r="S42" s="2168"/>
    </row>
    <row r="43" spans="1:19" x14ac:dyDescent="0.35">
      <c r="A43" s="1349"/>
      <c r="B43" s="2181"/>
      <c r="C43" s="2165"/>
      <c r="D43" s="2161"/>
      <c r="E43" s="2161"/>
      <c r="F43" s="2180"/>
      <c r="G43" s="2117"/>
      <c r="H43" s="2109"/>
      <c r="I43" s="2167"/>
      <c r="J43" s="2109"/>
      <c r="K43" s="2167"/>
      <c r="L43" s="2109"/>
      <c r="M43" s="2167"/>
      <c r="N43" s="2109"/>
      <c r="O43" s="2167"/>
      <c r="P43" s="2109"/>
      <c r="Q43" s="2168"/>
      <c r="R43" s="2109"/>
      <c r="S43" s="2168"/>
    </row>
    <row r="44" spans="1:19" x14ac:dyDescent="0.35">
      <c r="A44" s="1349"/>
      <c r="B44" s="2127" t="s">
        <v>2560</v>
      </c>
      <c r="C44" s="1956"/>
      <c r="D44" s="2161"/>
      <c r="E44" s="2161"/>
      <c r="F44" s="2180"/>
      <c r="G44" s="2117"/>
      <c r="H44" s="2109"/>
      <c r="I44" s="2167"/>
      <c r="J44" s="2109"/>
      <c r="K44" s="2167"/>
      <c r="L44" s="2109"/>
      <c r="M44" s="2168"/>
      <c r="N44" s="2109"/>
      <c r="O44" s="2168"/>
      <c r="P44" s="2109"/>
      <c r="Q44" s="2168"/>
      <c r="R44" s="2109"/>
      <c r="S44" s="2168"/>
    </row>
    <row r="45" spans="1:19" x14ac:dyDescent="0.35">
      <c r="A45" s="1349"/>
      <c r="B45" s="2181" t="s">
        <v>2579</v>
      </c>
      <c r="C45" s="1956"/>
      <c r="D45" s="2161"/>
      <c r="E45" s="2161"/>
      <c r="F45" s="2180"/>
      <c r="G45" s="2117"/>
      <c r="H45" s="2109"/>
      <c r="I45" s="2167"/>
      <c r="J45" s="2109"/>
      <c r="K45" s="2167"/>
      <c r="L45" s="2109"/>
      <c r="M45" s="2168"/>
      <c r="N45" s="2109"/>
      <c r="O45" s="2168"/>
      <c r="P45" s="2109"/>
      <c r="Q45" s="2168"/>
      <c r="R45" s="2109"/>
      <c r="S45" s="2168"/>
    </row>
    <row r="46" spans="1:19" x14ac:dyDescent="0.35">
      <c r="A46" s="1349"/>
      <c r="B46" s="2181" t="s">
        <v>2580</v>
      </c>
      <c r="C46" s="1956"/>
      <c r="D46" s="2161"/>
      <c r="E46" s="2161"/>
      <c r="F46" s="2180"/>
      <c r="G46" s="2117"/>
      <c r="H46" s="2109"/>
      <c r="I46" s="2167"/>
      <c r="J46" s="2109"/>
      <c r="K46" s="2167"/>
      <c r="L46" s="2109"/>
      <c r="M46" s="2168"/>
      <c r="N46" s="2109"/>
      <c r="O46" s="2168"/>
      <c r="P46" s="2109"/>
      <c r="Q46" s="2168"/>
      <c r="R46" s="2109"/>
      <c r="S46" s="2168"/>
    </row>
    <row r="47" spans="1:19" x14ac:dyDescent="0.35">
      <c r="A47" s="1349"/>
      <c r="B47" s="2181" t="s">
        <v>2581</v>
      </c>
      <c r="C47" s="1956"/>
      <c r="D47" s="2161"/>
      <c r="E47" s="2161"/>
      <c r="F47" s="2180"/>
      <c r="G47" s="2117"/>
      <c r="H47" s="2109"/>
      <c r="I47" s="2167"/>
      <c r="J47" s="2109"/>
      <c r="K47" s="2167"/>
      <c r="L47" s="2109"/>
      <c r="M47" s="2168"/>
      <c r="N47" s="2109"/>
      <c r="O47" s="2168"/>
      <c r="P47" s="2109"/>
      <c r="Q47" s="2168"/>
      <c r="R47" s="2109"/>
      <c r="S47" s="2168"/>
    </row>
    <row r="48" spans="1:19" x14ac:dyDescent="0.35">
      <c r="A48" s="1349"/>
      <c r="B48" s="2181" t="s">
        <v>2582</v>
      </c>
      <c r="C48" s="1956"/>
      <c r="D48" s="2161"/>
      <c r="E48" s="2161"/>
      <c r="F48" s="2180"/>
      <c r="G48" s="2117"/>
      <c r="H48" s="2109"/>
      <c r="I48" s="2167"/>
      <c r="J48" s="2109"/>
      <c r="K48" s="2167"/>
      <c r="L48" s="2109"/>
      <c r="M48" s="2123"/>
      <c r="N48" s="2109"/>
      <c r="O48" s="2168"/>
      <c r="P48" s="2109"/>
      <c r="Q48" s="2168"/>
      <c r="R48" s="2109"/>
      <c r="S48" s="2168"/>
    </row>
    <row r="49" spans="1:19" x14ac:dyDescent="0.35">
      <c r="A49" s="2182"/>
      <c r="B49" s="2181"/>
      <c r="C49" s="2122"/>
      <c r="D49" s="2161"/>
      <c r="E49" s="2161"/>
      <c r="F49" s="2180"/>
      <c r="G49" s="2117"/>
      <c r="H49" s="2109"/>
      <c r="I49" s="2167"/>
      <c r="J49" s="2109"/>
      <c r="K49" s="2167"/>
      <c r="L49" s="2109"/>
      <c r="M49" s="2123"/>
      <c r="N49" s="2109"/>
      <c r="O49" s="2168"/>
      <c r="P49" s="2109"/>
      <c r="Q49" s="2168"/>
      <c r="R49" s="2109"/>
      <c r="S49" s="2168"/>
    </row>
    <row r="50" spans="1:19" x14ac:dyDescent="0.35">
      <c r="A50" s="2182"/>
      <c r="B50" s="2127" t="s">
        <v>2541</v>
      </c>
      <c r="C50" s="2122"/>
      <c r="D50" s="2161"/>
      <c r="E50" s="2161"/>
      <c r="F50" s="2180"/>
      <c r="G50" s="2117"/>
      <c r="H50" s="2109"/>
      <c r="I50" s="2167"/>
      <c r="J50" s="2109"/>
      <c r="K50" s="2167"/>
      <c r="L50" s="2109"/>
      <c r="M50" s="2123"/>
      <c r="N50" s="2109"/>
      <c r="O50" s="2168"/>
      <c r="P50" s="2109"/>
      <c r="Q50" s="2168"/>
      <c r="R50" s="2109"/>
      <c r="S50" s="2168"/>
    </row>
    <row r="51" spans="1:19" x14ac:dyDescent="0.35">
      <c r="A51" s="2182"/>
      <c r="B51" s="2181" t="s">
        <v>2579</v>
      </c>
      <c r="C51" s="2122"/>
      <c r="D51" s="2161"/>
      <c r="E51" s="2161"/>
      <c r="F51" s="2180"/>
      <c r="G51" s="2117"/>
      <c r="H51" s="2109"/>
      <c r="I51" s="2167"/>
      <c r="J51" s="2109"/>
      <c r="K51" s="2167"/>
      <c r="L51" s="2109"/>
      <c r="M51" s="2123"/>
      <c r="N51" s="2109"/>
      <c r="O51" s="2168"/>
      <c r="P51" s="2109"/>
      <c r="Q51" s="2168"/>
      <c r="R51" s="2109"/>
      <c r="S51" s="2168"/>
    </row>
    <row r="52" spans="1:19" x14ac:dyDescent="0.35">
      <c r="A52" s="2182"/>
      <c r="B52" s="2181" t="s">
        <v>2583</v>
      </c>
      <c r="C52" s="2122"/>
      <c r="D52" s="2161"/>
      <c r="E52" s="2161"/>
      <c r="F52" s="2180"/>
      <c r="G52" s="2117"/>
      <c r="H52" s="2109"/>
      <c r="I52" s="2167"/>
      <c r="J52" s="2109"/>
      <c r="K52" s="2167"/>
      <c r="L52" s="2109"/>
      <c r="M52" s="2123"/>
      <c r="N52" s="2109"/>
      <c r="O52" s="2168"/>
      <c r="P52" s="2109"/>
      <c r="Q52" s="2168"/>
      <c r="R52" s="2109"/>
      <c r="S52" s="2168"/>
    </row>
    <row r="53" spans="1:19" x14ac:dyDescent="0.35">
      <c r="A53" s="2182"/>
      <c r="B53" s="2181" t="s">
        <v>2584</v>
      </c>
      <c r="C53" s="2122"/>
      <c r="D53" s="2161"/>
      <c r="E53" s="2161"/>
      <c r="F53" s="2180"/>
      <c r="G53" s="2117"/>
      <c r="H53" s="2109"/>
      <c r="I53" s="2167"/>
      <c r="J53" s="2109"/>
      <c r="K53" s="2167"/>
      <c r="L53" s="2109"/>
      <c r="M53" s="2123"/>
      <c r="N53" s="2109"/>
      <c r="O53" s="2168"/>
      <c r="P53" s="2109"/>
      <c r="Q53" s="2168"/>
      <c r="R53" s="2109"/>
      <c r="S53" s="2168"/>
    </row>
    <row r="54" spans="1:19" x14ac:dyDescent="0.35">
      <c r="A54" s="2182"/>
      <c r="B54" s="2181" t="s">
        <v>2585</v>
      </c>
      <c r="C54" s="2122"/>
      <c r="D54" s="2161"/>
      <c r="E54" s="2161"/>
      <c r="F54" s="2180"/>
      <c r="G54" s="2117"/>
      <c r="H54" s="2109"/>
      <c r="I54" s="2167"/>
      <c r="J54" s="2109"/>
      <c r="K54" s="2167"/>
      <c r="L54" s="2109"/>
      <c r="M54" s="2123"/>
      <c r="N54" s="2109"/>
      <c r="O54" s="2168"/>
      <c r="P54" s="2109"/>
      <c r="Q54" s="2168"/>
      <c r="R54" s="2109"/>
      <c r="S54" s="2168"/>
    </row>
    <row r="55" spans="1:19" x14ac:dyDescent="0.35">
      <c r="A55" s="2182"/>
      <c r="B55" s="2181" t="s">
        <v>2586</v>
      </c>
      <c r="C55" s="2122"/>
      <c r="D55" s="2161"/>
      <c r="E55" s="2161"/>
      <c r="F55" s="2180"/>
      <c r="G55" s="2117"/>
      <c r="H55" s="2109"/>
      <c r="I55" s="2167"/>
      <c r="J55" s="2109"/>
      <c r="K55" s="2167"/>
      <c r="L55" s="2109"/>
      <c r="M55" s="2123"/>
      <c r="N55" s="2109"/>
      <c r="O55" s="2168"/>
      <c r="P55" s="2109"/>
      <c r="Q55" s="2168"/>
      <c r="R55" s="2109"/>
      <c r="S55" s="2168"/>
    </row>
    <row r="56" spans="1:19" x14ac:dyDescent="0.35">
      <c r="A56" s="2182"/>
      <c r="B56" s="2181" t="s">
        <v>2587</v>
      </c>
      <c r="C56" s="2122"/>
      <c r="D56" s="2161"/>
      <c r="E56" s="2161"/>
      <c r="F56" s="2180"/>
      <c r="G56" s="2117"/>
      <c r="H56" s="2109"/>
      <c r="I56" s="2167"/>
      <c r="J56" s="2109"/>
      <c r="K56" s="2167"/>
      <c r="L56" s="2109"/>
      <c r="M56" s="2123"/>
      <c r="N56" s="2109"/>
      <c r="O56" s="2168"/>
      <c r="P56" s="2109"/>
      <c r="Q56" s="2168"/>
      <c r="R56" s="2109"/>
      <c r="S56" s="2168"/>
    </row>
    <row r="57" spans="1:19" x14ac:dyDescent="0.35">
      <c r="A57" s="2182"/>
      <c r="B57" s="2181"/>
      <c r="C57" s="2122"/>
      <c r="D57" s="2161"/>
      <c r="E57" s="2161"/>
      <c r="F57" s="2180"/>
      <c r="G57" s="2117"/>
      <c r="H57" s="2109"/>
      <c r="I57" s="2167"/>
      <c r="J57" s="2109"/>
      <c r="K57" s="2167"/>
      <c r="L57" s="2109"/>
      <c r="M57" s="2123"/>
      <c r="N57" s="2109"/>
      <c r="O57" s="2168"/>
      <c r="P57" s="2109"/>
      <c r="Q57" s="2168"/>
      <c r="R57" s="2109"/>
      <c r="S57" s="2168"/>
    </row>
    <row r="58" spans="1:19" x14ac:dyDescent="0.35">
      <c r="A58" s="2182"/>
      <c r="B58" s="2181"/>
      <c r="C58" s="2122"/>
      <c r="D58" s="2161"/>
      <c r="E58" s="2161"/>
      <c r="F58" s="2180"/>
      <c r="G58" s="2117"/>
      <c r="H58" s="2109"/>
      <c r="I58" s="2167"/>
      <c r="J58" s="2109"/>
      <c r="K58" s="2167"/>
      <c r="L58" s="2109"/>
      <c r="M58" s="2123"/>
      <c r="N58" s="2109"/>
      <c r="O58" s="2168"/>
      <c r="P58" s="2109"/>
      <c r="Q58" s="2168"/>
      <c r="R58" s="2109"/>
      <c r="S58" s="2168"/>
    </row>
    <row r="59" spans="1:19" x14ac:dyDescent="0.35">
      <c r="A59" s="2182"/>
      <c r="B59" s="2183" t="s">
        <v>2588</v>
      </c>
      <c r="C59" s="2122"/>
      <c r="D59" s="2161"/>
      <c r="E59" s="2161"/>
      <c r="F59" s="2180"/>
      <c r="G59" s="2117"/>
      <c r="H59" s="2109"/>
      <c r="I59" s="2167"/>
      <c r="J59" s="2109"/>
      <c r="K59" s="2167"/>
      <c r="L59" s="2109"/>
      <c r="M59" s="2168"/>
      <c r="N59" s="2109"/>
      <c r="O59" s="2168"/>
      <c r="P59" s="2109"/>
      <c r="Q59" s="2168"/>
      <c r="R59" s="2109"/>
      <c r="S59" s="2168"/>
    </row>
    <row r="60" spans="1:19" x14ac:dyDescent="0.35">
      <c r="A60" s="1349"/>
      <c r="B60" s="2184" t="s">
        <v>2589</v>
      </c>
      <c r="C60" s="1956"/>
      <c r="D60" s="2161"/>
      <c r="E60" s="2161"/>
      <c r="F60" s="2180"/>
      <c r="G60" s="2117"/>
      <c r="H60" s="2109"/>
      <c r="I60" s="2167"/>
      <c r="J60" s="2109"/>
      <c r="K60" s="2167"/>
      <c r="L60" s="2109"/>
      <c r="M60" s="2168"/>
      <c r="N60" s="2109"/>
      <c r="O60" s="2168"/>
      <c r="P60" s="2109"/>
      <c r="Q60" s="2168"/>
      <c r="R60" s="2109"/>
      <c r="S60" s="2168"/>
    </row>
    <row r="61" spans="1:19" x14ac:dyDescent="0.35">
      <c r="A61" s="1349"/>
      <c r="B61" s="2185" t="s">
        <v>2590</v>
      </c>
      <c r="C61" s="2165"/>
      <c r="D61" s="2161"/>
      <c r="E61" s="2161"/>
      <c r="F61" s="2180"/>
      <c r="G61" s="2117"/>
      <c r="H61" s="2109"/>
      <c r="I61" s="2167"/>
      <c r="J61" s="2109"/>
      <c r="K61" s="2167"/>
      <c r="L61" s="2109"/>
      <c r="M61" s="2167"/>
      <c r="N61" s="2109"/>
      <c r="O61" s="2167"/>
      <c r="P61" s="2109"/>
      <c r="Q61" s="2168"/>
      <c r="R61" s="2109"/>
      <c r="S61" s="2168"/>
    </row>
    <row r="62" spans="1:19" x14ac:dyDescent="0.35">
      <c r="A62" s="1349"/>
      <c r="B62" s="2185" t="s">
        <v>2591</v>
      </c>
      <c r="C62" s="2165"/>
      <c r="D62" s="2161"/>
      <c r="E62" s="2161"/>
      <c r="F62" s="2180"/>
      <c r="G62" s="2117"/>
      <c r="H62" s="2109"/>
      <c r="I62" s="2167"/>
      <c r="J62" s="2109"/>
      <c r="K62" s="2167"/>
      <c r="L62" s="2109"/>
      <c r="M62" s="2167"/>
      <c r="N62" s="2109"/>
      <c r="O62" s="2167"/>
      <c r="P62" s="2109"/>
      <c r="Q62" s="2168"/>
      <c r="R62" s="2109"/>
      <c r="S62" s="2168"/>
    </row>
    <row r="63" spans="1:19" x14ac:dyDescent="0.35">
      <c r="A63" s="1349"/>
      <c r="B63" s="2185"/>
      <c r="C63" s="2165"/>
      <c r="D63" s="2161"/>
      <c r="E63" s="2161"/>
      <c r="F63" s="2180"/>
      <c r="G63" s="2117"/>
      <c r="H63" s="2109"/>
      <c r="I63" s="2167"/>
      <c r="J63" s="2109"/>
      <c r="K63" s="2167"/>
      <c r="L63" s="2109"/>
      <c r="M63" s="2167"/>
      <c r="N63" s="2109"/>
      <c r="O63" s="2167"/>
      <c r="P63" s="2109"/>
      <c r="Q63" s="2168"/>
      <c r="R63" s="2109"/>
      <c r="S63" s="2168"/>
    </row>
    <row r="64" spans="1:19" x14ac:dyDescent="0.35">
      <c r="A64" s="14"/>
      <c r="B64" s="15"/>
      <c r="C64" s="16"/>
      <c r="D64" s="16"/>
      <c r="E64" s="17"/>
      <c r="F64" s="18" t="s">
        <v>715</v>
      </c>
      <c r="G64" s="19"/>
      <c r="H64" s="20"/>
      <c r="I64" s="53">
        <f>SUM(I23:I63)</f>
        <v>0</v>
      </c>
      <c r="J64" s="20"/>
      <c r="K64" s="53">
        <f>SUM(K23:K63)</f>
        <v>0</v>
      </c>
      <c r="L64" s="20"/>
      <c r="M64" s="53">
        <f>SUM(M23:M63)</f>
        <v>0</v>
      </c>
      <c r="N64" s="20"/>
      <c r="O64" s="53">
        <f>SUM(O23:O63)</f>
        <v>0</v>
      </c>
      <c r="P64" s="20"/>
      <c r="Q64" s="53">
        <f>SUM(Q23:Q63)</f>
        <v>0</v>
      </c>
      <c r="R64" s="20"/>
      <c r="S64" s="53">
        <f>SUM(S23:S63)</f>
        <v>0</v>
      </c>
    </row>
    <row r="65" spans="1:19" x14ac:dyDescent="0.35">
      <c r="A65" s="2057"/>
      <c r="B65" s="2140"/>
      <c r="C65" s="2141"/>
      <c r="D65" s="2141"/>
      <c r="E65" s="2142"/>
      <c r="F65" s="2143" t="s">
        <v>716</v>
      </c>
      <c r="G65" s="1904"/>
      <c r="H65" s="2065">
        <v>0</v>
      </c>
      <c r="I65" s="2144"/>
      <c r="J65" s="2065">
        <v>0</v>
      </c>
      <c r="K65" s="2144"/>
      <c r="L65" s="2065">
        <v>0</v>
      </c>
      <c r="M65" s="2144"/>
      <c r="N65" s="2065">
        <v>0</v>
      </c>
      <c r="O65" s="2144"/>
      <c r="P65" s="2065">
        <v>0</v>
      </c>
      <c r="Q65" s="2144"/>
      <c r="R65" s="2065">
        <v>0</v>
      </c>
      <c r="S65" s="2144"/>
    </row>
    <row r="66" spans="1:19" x14ac:dyDescent="0.35">
      <c r="A66" s="2057"/>
      <c r="B66" s="2140"/>
      <c r="C66" s="2141"/>
      <c r="D66" s="2141"/>
      <c r="E66" s="2142"/>
      <c r="F66" s="2143" t="s">
        <v>717</v>
      </c>
      <c r="G66" s="1904"/>
      <c r="H66" s="2066"/>
      <c r="I66" s="2147">
        <f>I64*H65</f>
        <v>0</v>
      </c>
      <c r="J66" s="2066"/>
      <c r="K66" s="2147">
        <f>K64*J65</f>
        <v>0</v>
      </c>
      <c r="L66" s="2066"/>
      <c r="M66" s="2147">
        <f>M64*L65</f>
        <v>0</v>
      </c>
      <c r="N66" s="2066"/>
      <c r="O66" s="2147">
        <f>O64*N65</f>
        <v>0</v>
      </c>
      <c r="P66" s="2066"/>
      <c r="Q66" s="2147">
        <f>Q64*P65</f>
        <v>0</v>
      </c>
      <c r="R66" s="2066"/>
      <c r="S66" s="2147">
        <f>S64*R65</f>
        <v>0</v>
      </c>
    </row>
    <row r="67" spans="1:19" x14ac:dyDescent="0.35">
      <c r="A67" s="2057"/>
      <c r="B67" s="2140"/>
      <c r="C67" s="2141"/>
      <c r="D67" s="2141"/>
      <c r="E67" s="2142"/>
      <c r="F67" s="2143"/>
      <c r="G67" s="1904"/>
      <c r="H67" s="2066"/>
      <c r="I67" s="2066"/>
      <c r="J67" s="2066"/>
      <c r="K67" s="2066"/>
      <c r="L67" s="2066"/>
      <c r="M67" s="2066"/>
      <c r="N67" s="2066"/>
      <c r="O67" s="2066"/>
      <c r="P67" s="2066"/>
      <c r="Q67" s="2066"/>
      <c r="R67" s="2066"/>
      <c r="S67" s="2066"/>
    </row>
    <row r="68" spans="1:19" x14ac:dyDescent="0.35">
      <c r="A68" s="2057"/>
      <c r="B68" s="2140"/>
      <c r="C68" s="2141"/>
      <c r="D68" s="2141"/>
      <c r="E68" s="2142"/>
      <c r="F68" s="2143" t="s">
        <v>718</v>
      </c>
      <c r="G68" s="1904"/>
      <c r="H68" s="2069"/>
      <c r="I68" s="2148">
        <f>SUM(I64:I66)</f>
        <v>0</v>
      </c>
      <c r="J68" s="2069"/>
      <c r="K68" s="2148">
        <f>SUM(K64:K66)</f>
        <v>0</v>
      </c>
      <c r="L68" s="2069"/>
      <c r="M68" s="2148">
        <f>SUM(M64:M66)</f>
        <v>0</v>
      </c>
      <c r="N68" s="2069"/>
      <c r="O68" s="2148">
        <f>SUM(O64:O66)</f>
        <v>0</v>
      </c>
      <c r="P68" s="2069"/>
      <c r="Q68" s="2148">
        <f>SUM(Q64:Q66)</f>
        <v>0</v>
      </c>
      <c r="R68" s="2069"/>
      <c r="S68" s="2148">
        <f>SUM(S64:S66)</f>
        <v>0</v>
      </c>
    </row>
    <row r="69" spans="1:19" x14ac:dyDescent="0.35">
      <c r="A69" s="2057"/>
      <c r="B69" s="2140"/>
      <c r="C69" s="2141"/>
      <c r="D69" s="2141"/>
      <c r="E69" s="2142"/>
      <c r="F69" s="2149" t="s">
        <v>719</v>
      </c>
      <c r="G69" s="1906"/>
      <c r="H69" s="2073"/>
      <c r="I69" s="2074" t="e">
        <f>I68/#REF!</f>
        <v>#REF!</v>
      </c>
      <c r="J69" s="2073"/>
      <c r="K69" s="2074" t="e">
        <f>K68/#REF!</f>
        <v>#REF!</v>
      </c>
      <c r="L69" s="2073"/>
      <c r="M69" s="2074" t="e">
        <f>M68/#REF!</f>
        <v>#REF!</v>
      </c>
      <c r="N69" s="2073"/>
      <c r="O69" s="2074" t="e">
        <f>O68/#REF!</f>
        <v>#REF!</v>
      </c>
      <c r="P69" s="2073"/>
      <c r="Q69" s="2074" t="e">
        <f>Q68/#REF!</f>
        <v>#REF!</v>
      </c>
      <c r="R69" s="2073"/>
      <c r="S69" s="2074" t="e">
        <f>S68/#REF!</f>
        <v>#REF!</v>
      </c>
    </row>
    <row r="70" spans="1:19" x14ac:dyDescent="0.35">
      <c r="A70" s="2057"/>
      <c r="B70" s="2140"/>
      <c r="C70" s="2141"/>
      <c r="D70" s="2141"/>
      <c r="E70" s="2142"/>
      <c r="F70" s="2149" t="s">
        <v>720</v>
      </c>
      <c r="G70" s="1907"/>
      <c r="H70" s="2073"/>
      <c r="I70" s="2074" t="e">
        <f>I68/#REF!</f>
        <v>#REF!</v>
      </c>
      <c r="J70" s="2073"/>
      <c r="K70" s="2074" t="e">
        <f>K68/#REF!</f>
        <v>#REF!</v>
      </c>
      <c r="L70" s="2073"/>
      <c r="M70" s="2074" t="e">
        <f>M68/#REF!</f>
        <v>#REF!</v>
      </c>
      <c r="N70" s="2073"/>
      <c r="O70" s="2074" t="e">
        <f>O68/#REF!</f>
        <v>#REF!</v>
      </c>
      <c r="P70" s="2073"/>
      <c r="Q70" s="2074" t="e">
        <f>Q68/#REF!</f>
        <v>#REF!</v>
      </c>
      <c r="R70" s="2073"/>
      <c r="S70" s="2074" t="e">
        <f>S68/#REF!</f>
        <v>#REF!</v>
      </c>
    </row>
    <row r="71" spans="1:19" x14ac:dyDescent="0.35">
      <c r="A71" s="2057"/>
      <c r="B71" s="2140"/>
      <c r="C71" s="2141"/>
      <c r="D71" s="2141"/>
      <c r="E71" s="2142"/>
      <c r="F71" s="2143"/>
      <c r="G71" s="1908"/>
      <c r="H71" s="2077"/>
      <c r="I71" s="2078"/>
      <c r="J71" s="2079"/>
      <c r="K71" s="2079"/>
      <c r="L71" s="2079"/>
      <c r="M71" s="2079"/>
      <c r="N71" s="2079"/>
      <c r="O71" s="2079"/>
      <c r="P71" s="2079"/>
      <c r="Q71" s="2079"/>
      <c r="R71" s="2079"/>
      <c r="S71" s="2079"/>
    </row>
    <row r="72" spans="1:19" x14ac:dyDescent="0.35">
      <c r="A72" s="3764" t="s">
        <v>721</v>
      </c>
      <c r="B72" s="3765"/>
      <c r="C72" s="12"/>
      <c r="D72" s="12"/>
      <c r="E72" s="12"/>
      <c r="F72" s="12"/>
      <c r="G72" s="13"/>
      <c r="H72" s="21"/>
      <c r="I72" s="21"/>
      <c r="J72" s="21"/>
      <c r="K72" s="21"/>
      <c r="L72" s="21"/>
      <c r="M72" s="21"/>
      <c r="N72" s="21"/>
      <c r="O72" s="21"/>
      <c r="P72" s="21"/>
      <c r="Q72" s="21"/>
      <c r="R72" s="21"/>
      <c r="S72" s="21"/>
    </row>
    <row r="73" spans="1:19" x14ac:dyDescent="0.35">
      <c r="A73" s="2186"/>
      <c r="B73" s="2160"/>
      <c r="C73" s="2187"/>
      <c r="D73" s="2187"/>
      <c r="E73" s="2187"/>
      <c r="F73" s="2187"/>
      <c r="G73" s="2188"/>
      <c r="H73" s="2189"/>
      <c r="I73" s="2189"/>
      <c r="J73" s="2189"/>
      <c r="K73" s="2189"/>
      <c r="L73" s="2189"/>
      <c r="M73" s="2189"/>
      <c r="N73" s="2189"/>
      <c r="O73" s="2189"/>
      <c r="P73" s="2189"/>
      <c r="Q73" s="2189"/>
      <c r="R73" s="2189"/>
      <c r="S73" s="2189"/>
    </row>
    <row r="74" spans="1:19" x14ac:dyDescent="0.35">
      <c r="A74" s="2186"/>
      <c r="B74" s="2160"/>
      <c r="C74" s="2187"/>
      <c r="D74" s="2187"/>
      <c r="E74" s="2187"/>
      <c r="F74" s="2187"/>
      <c r="G74" s="2188"/>
      <c r="H74" s="2189"/>
      <c r="I74" s="2189"/>
      <c r="J74" s="2189"/>
      <c r="K74" s="2189"/>
      <c r="L74" s="2189"/>
      <c r="M74" s="2189"/>
      <c r="N74" s="2189"/>
      <c r="O74" s="2189"/>
      <c r="P74" s="2189"/>
      <c r="Q74" s="2189"/>
      <c r="R74" s="2189"/>
      <c r="S74" s="2189"/>
    </row>
    <row r="75" spans="1:19" x14ac:dyDescent="0.35">
      <c r="A75" s="2186"/>
      <c r="B75" s="2160"/>
      <c r="C75" s="2187"/>
      <c r="D75" s="2187"/>
      <c r="E75" s="2187"/>
      <c r="F75" s="2187"/>
      <c r="G75" s="2188"/>
      <c r="H75" s="2189"/>
      <c r="I75" s="2189"/>
      <c r="J75" s="2189"/>
      <c r="K75" s="2189"/>
      <c r="L75" s="2189"/>
      <c r="M75" s="2189"/>
      <c r="N75" s="2189"/>
      <c r="O75" s="2189"/>
      <c r="P75" s="2189"/>
      <c r="Q75" s="2189"/>
      <c r="R75" s="2189"/>
      <c r="S75" s="2189"/>
    </row>
    <row r="76" spans="1:19" s="2" customFormat="1" x14ac:dyDescent="0.35">
      <c r="A76" s="3764" t="s">
        <v>722</v>
      </c>
      <c r="B76" s="3765"/>
      <c r="C76" s="12"/>
      <c r="D76" s="12"/>
      <c r="E76" s="12"/>
      <c r="F76" s="12"/>
      <c r="G76" s="13"/>
      <c r="H76" s="21"/>
      <c r="I76" s="21"/>
      <c r="J76" s="21"/>
      <c r="K76" s="21"/>
      <c r="L76" s="21"/>
      <c r="M76" s="21"/>
      <c r="N76" s="21"/>
      <c r="O76" s="21"/>
      <c r="P76" s="21"/>
      <c r="Q76" s="21"/>
      <c r="R76" s="21"/>
      <c r="S76" s="21"/>
    </row>
    <row r="77" spans="1:19" s="2" customFormat="1" x14ac:dyDescent="0.35">
      <c r="A77" s="2186"/>
      <c r="B77" s="2160"/>
      <c r="C77" s="2187"/>
      <c r="D77" s="2187"/>
      <c r="E77" s="2187"/>
      <c r="F77" s="2187"/>
      <c r="G77" s="2188"/>
      <c r="H77" s="2189"/>
      <c r="I77" s="2189"/>
      <c r="J77" s="2189"/>
      <c r="K77" s="2189"/>
      <c r="L77" s="2189"/>
      <c r="M77" s="2189"/>
      <c r="N77" s="2189"/>
      <c r="O77" s="2189"/>
      <c r="P77" s="2189"/>
      <c r="Q77" s="2189"/>
      <c r="R77" s="2189"/>
      <c r="S77" s="2189"/>
    </row>
    <row r="78" spans="1:19" s="2" customFormat="1" x14ac:dyDescent="0.35">
      <c r="A78" s="2186"/>
      <c r="B78" s="2160"/>
      <c r="C78" s="2187"/>
      <c r="D78" s="2187"/>
      <c r="E78" s="2187"/>
      <c r="F78" s="2187"/>
      <c r="G78" s="2188"/>
      <c r="H78" s="2189"/>
      <c r="I78" s="2189"/>
      <c r="J78" s="2189"/>
      <c r="K78" s="2189"/>
      <c r="L78" s="2189"/>
      <c r="M78" s="2189"/>
      <c r="N78" s="2189"/>
      <c r="O78" s="2189"/>
      <c r="P78" s="2189"/>
      <c r="Q78" s="2189"/>
      <c r="R78" s="2189"/>
      <c r="S78" s="2189"/>
    </row>
    <row r="79" spans="1:19" x14ac:dyDescent="0.35">
      <c r="A79" s="2186"/>
      <c r="B79" s="2160"/>
      <c r="C79" s="2187"/>
      <c r="D79" s="2187"/>
      <c r="E79" s="2187"/>
      <c r="F79" s="2187"/>
      <c r="G79" s="2188"/>
      <c r="H79" s="2189"/>
      <c r="I79" s="2189"/>
      <c r="J79" s="2189"/>
      <c r="K79" s="2189"/>
      <c r="L79" s="2189"/>
      <c r="M79" s="2189"/>
      <c r="N79" s="2189"/>
      <c r="O79" s="2189"/>
      <c r="P79" s="2189"/>
      <c r="Q79" s="2189"/>
      <c r="R79" s="2189"/>
      <c r="S79" s="2189"/>
    </row>
    <row r="80" spans="1:19" s="2" customFormat="1" x14ac:dyDescent="0.35">
      <c r="A80" s="3764" t="s">
        <v>723</v>
      </c>
      <c r="B80" s="3765"/>
      <c r="C80" s="12"/>
      <c r="D80" s="12"/>
      <c r="E80" s="12"/>
      <c r="F80" s="12"/>
      <c r="G80" s="13"/>
      <c r="H80" s="21"/>
      <c r="I80" s="21"/>
      <c r="J80" s="21"/>
      <c r="K80" s="21"/>
      <c r="L80" s="21"/>
      <c r="M80" s="21"/>
      <c r="N80" s="21"/>
      <c r="O80" s="21"/>
      <c r="P80" s="21"/>
      <c r="Q80" s="21"/>
      <c r="R80" s="21"/>
      <c r="S80" s="21"/>
    </row>
    <row r="81" spans="1:19" s="2" customFormat="1" x14ac:dyDescent="0.35">
      <c r="A81" s="2186"/>
      <c r="B81" s="2160"/>
      <c r="C81" s="2187"/>
      <c r="D81" s="2187"/>
      <c r="E81" s="2187"/>
      <c r="F81" s="2187"/>
      <c r="G81" s="2188"/>
      <c r="H81" s="2189"/>
      <c r="I81" s="2189"/>
      <c r="J81" s="2189"/>
      <c r="K81" s="2189"/>
      <c r="L81" s="2189"/>
      <c r="M81" s="2189"/>
      <c r="N81" s="2189"/>
      <c r="O81" s="2189"/>
      <c r="P81" s="2189"/>
      <c r="Q81" s="2189"/>
      <c r="R81" s="2189"/>
      <c r="S81" s="2189"/>
    </row>
    <row r="82" spans="1:19" s="2" customFormat="1" x14ac:dyDescent="0.35">
      <c r="A82" s="2106"/>
      <c r="B82" s="2160"/>
      <c r="C82" s="2161"/>
      <c r="D82" s="2161"/>
      <c r="E82" s="2161"/>
      <c r="F82" s="2161"/>
      <c r="G82" s="1956"/>
      <c r="H82" s="2081"/>
      <c r="I82" s="2081"/>
      <c r="J82" s="2081"/>
      <c r="K82" s="2081"/>
      <c r="L82" s="2081"/>
      <c r="M82" s="2081"/>
      <c r="N82" s="2081"/>
      <c r="O82" s="2081"/>
      <c r="P82" s="2081"/>
      <c r="Q82" s="2081"/>
      <c r="R82" s="2081"/>
      <c r="S82" s="2081"/>
    </row>
    <row r="83" spans="1:19" s="2" customFormat="1" x14ac:dyDescent="0.35">
      <c r="A83" s="2082"/>
      <c r="B83" s="2152"/>
      <c r="C83" s="2161"/>
      <c r="D83" s="2161"/>
      <c r="E83" s="2161"/>
      <c r="F83" s="2161"/>
      <c r="G83" s="1956"/>
      <c r="H83" s="2084"/>
      <c r="I83" s="2084"/>
      <c r="J83" s="2084"/>
      <c r="K83" s="2084"/>
      <c r="L83" s="2084"/>
      <c r="M83" s="2084"/>
      <c r="N83" s="2084"/>
      <c r="O83" s="2084"/>
      <c r="P83" s="2084"/>
      <c r="Q83" s="2084"/>
      <c r="R83" s="2084"/>
      <c r="S83" s="2084"/>
    </row>
    <row r="84" spans="1:19" s="2" customFormat="1" x14ac:dyDescent="0.35">
      <c r="A84" s="3764" t="s">
        <v>724</v>
      </c>
      <c r="B84" s="3765"/>
      <c r="C84" s="12"/>
      <c r="D84" s="12"/>
      <c r="E84" s="12"/>
      <c r="F84" s="12"/>
      <c r="G84" s="13"/>
      <c r="H84" s="21"/>
      <c r="I84" s="21"/>
      <c r="J84" s="21"/>
      <c r="K84" s="21"/>
      <c r="L84" s="21"/>
      <c r="M84" s="21"/>
      <c r="N84" s="21"/>
      <c r="O84" s="21"/>
      <c r="P84" s="21"/>
      <c r="Q84" s="21"/>
      <c r="R84" s="21"/>
      <c r="S84" s="21"/>
    </row>
    <row r="85" spans="1:19" x14ac:dyDescent="0.35">
      <c r="A85" s="2190"/>
      <c r="B85" s="2191"/>
      <c r="C85" s="2187"/>
      <c r="D85" s="2187"/>
      <c r="E85" s="2187"/>
      <c r="F85" s="2187"/>
      <c r="G85" s="2188"/>
      <c r="H85" s="2189"/>
      <c r="I85" s="2189"/>
      <c r="J85" s="2189"/>
      <c r="K85" s="2189"/>
      <c r="L85" s="2189"/>
      <c r="M85" s="2189"/>
      <c r="N85" s="2189"/>
      <c r="O85" s="2189"/>
      <c r="P85" s="2189"/>
      <c r="Q85" s="2189"/>
      <c r="R85" s="2189"/>
      <c r="S85" s="2189"/>
    </row>
    <row r="86" spans="1:19" x14ac:dyDescent="0.35">
      <c r="A86" s="2082"/>
      <c r="B86" s="2152"/>
      <c r="C86" s="2161"/>
      <c r="D86" s="2161"/>
      <c r="E86" s="2161"/>
      <c r="F86" s="2161"/>
      <c r="G86" s="1956"/>
      <c r="H86" s="2087"/>
      <c r="I86" s="2087"/>
      <c r="J86" s="2087"/>
      <c r="K86" s="2087"/>
      <c r="L86" s="2087"/>
      <c r="M86" s="2087"/>
      <c r="N86" s="2087"/>
      <c r="O86" s="2087"/>
      <c r="P86" s="2087"/>
      <c r="Q86" s="2087"/>
      <c r="R86" s="2087"/>
      <c r="S86" s="2087"/>
    </row>
    <row r="87" spans="1:19" x14ac:dyDescent="0.35">
      <c r="A87" s="2082"/>
      <c r="B87" s="2152"/>
      <c r="C87" s="2161"/>
      <c r="D87" s="2161"/>
      <c r="E87" s="2161"/>
      <c r="F87" s="2161"/>
      <c r="G87" s="1956"/>
      <c r="H87" s="2087"/>
      <c r="I87" s="2087"/>
      <c r="J87" s="2087"/>
      <c r="K87" s="2087"/>
      <c r="L87" s="2087"/>
      <c r="M87" s="2087"/>
      <c r="N87" s="2087"/>
      <c r="O87" s="2087"/>
      <c r="P87" s="2087"/>
      <c r="Q87" s="2087"/>
      <c r="R87" s="2087"/>
      <c r="S87" s="2087"/>
    </row>
    <row r="88" spans="1:19" x14ac:dyDescent="0.35">
      <c r="A88" s="3764" t="s">
        <v>725</v>
      </c>
      <c r="B88" s="3765"/>
      <c r="C88" s="12"/>
      <c r="D88" s="12"/>
      <c r="E88" s="12"/>
      <c r="F88" s="12"/>
      <c r="G88" s="13"/>
      <c r="H88" s="21"/>
      <c r="I88" s="21"/>
      <c r="J88" s="21"/>
      <c r="K88" s="21"/>
      <c r="L88" s="21"/>
      <c r="M88" s="21"/>
      <c r="N88" s="21"/>
      <c r="O88" s="21"/>
      <c r="P88" s="21"/>
      <c r="Q88" s="21"/>
      <c r="R88" s="21"/>
      <c r="S88" s="21"/>
    </row>
    <row r="89" spans="1:19" x14ac:dyDescent="0.35">
      <c r="A89" s="2106"/>
      <c r="B89" s="2160" t="s">
        <v>726</v>
      </c>
      <c r="C89" s="2161"/>
      <c r="D89" s="2161"/>
      <c r="E89" s="2161"/>
      <c r="F89" s="2161"/>
      <c r="G89" s="1956"/>
      <c r="H89" s="2087"/>
      <c r="I89" s="2087"/>
      <c r="J89" s="2087"/>
      <c r="K89" s="2087"/>
      <c r="L89" s="2087"/>
      <c r="M89" s="2087"/>
      <c r="N89" s="2087"/>
      <c r="O89" s="2087"/>
      <c r="P89" s="2087"/>
      <c r="Q89" s="2087"/>
      <c r="R89" s="2087"/>
      <c r="S89" s="2087"/>
    </row>
    <row r="90" spans="1:19" x14ac:dyDescent="0.35">
      <c r="A90" s="2106"/>
      <c r="B90" s="2160" t="s">
        <v>727</v>
      </c>
      <c r="C90" s="2161"/>
      <c r="D90" s="2161"/>
      <c r="E90" s="2161"/>
      <c r="F90" s="2161"/>
      <c r="G90" s="1956"/>
      <c r="H90" s="2087"/>
      <c r="I90" s="2087"/>
      <c r="J90" s="2087"/>
      <c r="K90" s="2087"/>
      <c r="L90" s="2087"/>
      <c r="M90" s="2087"/>
      <c r="N90" s="2087"/>
      <c r="O90" s="2087"/>
      <c r="P90" s="2087"/>
      <c r="Q90" s="2087"/>
      <c r="R90" s="2087"/>
      <c r="S90" s="2087"/>
    </row>
    <row r="91" spans="1:19" x14ac:dyDescent="0.35">
      <c r="A91" s="2106"/>
      <c r="B91" s="2160" t="s">
        <v>728</v>
      </c>
      <c r="C91" s="2161"/>
      <c r="D91" s="2161"/>
      <c r="E91" s="2161"/>
      <c r="F91" s="2161"/>
      <c r="G91" s="1956"/>
      <c r="H91" s="2087"/>
      <c r="I91" s="2087"/>
      <c r="J91" s="2087"/>
      <c r="K91" s="2087"/>
      <c r="L91" s="2087"/>
      <c r="M91" s="2087"/>
      <c r="N91" s="2087"/>
      <c r="O91" s="2087"/>
      <c r="P91" s="2087"/>
      <c r="Q91" s="2087"/>
      <c r="R91" s="2087"/>
      <c r="S91" s="2087"/>
    </row>
    <row r="92" spans="1:19" x14ac:dyDescent="0.35">
      <c r="A92" s="2106"/>
      <c r="B92" s="2160" t="s">
        <v>729</v>
      </c>
      <c r="C92" s="2161"/>
      <c r="D92" s="2161"/>
      <c r="E92" s="2161"/>
      <c r="F92" s="2161"/>
      <c r="G92" s="1956"/>
      <c r="H92" s="2087"/>
      <c r="I92" s="2087"/>
      <c r="J92" s="2087"/>
      <c r="K92" s="2087"/>
      <c r="L92" s="2087"/>
      <c r="M92" s="2087"/>
      <c r="N92" s="2087"/>
      <c r="O92" s="2087"/>
      <c r="P92" s="2087"/>
      <c r="Q92" s="2087"/>
      <c r="R92" s="2087"/>
      <c r="S92" s="2087"/>
    </row>
    <row r="93" spans="1:19" x14ac:dyDescent="0.35">
      <c r="A93" s="978"/>
      <c r="B93" s="939"/>
      <c r="C93" s="940"/>
      <c r="D93" s="940"/>
      <c r="E93" s="940"/>
      <c r="F93" s="940"/>
      <c r="G93" s="1039"/>
      <c r="H93" s="981"/>
      <c r="I93" s="981"/>
      <c r="J93" s="981"/>
      <c r="K93" s="981"/>
      <c r="L93" s="981"/>
      <c r="M93" s="981"/>
      <c r="N93" s="981"/>
      <c r="O93" s="981"/>
      <c r="P93" s="981"/>
      <c r="Q93" s="981"/>
      <c r="R93" s="981"/>
      <c r="S93" s="981"/>
    </row>
    <row r="94" spans="1:19" x14ac:dyDescent="0.35">
      <c r="A94" s="7" t="s">
        <v>730</v>
      </c>
      <c r="B94" s="8"/>
      <c r="C94" s="12"/>
      <c r="D94" s="12"/>
      <c r="E94" s="12"/>
      <c r="F94" s="12"/>
      <c r="G94" s="13"/>
      <c r="H94" s="21"/>
      <c r="I94" s="21"/>
      <c r="J94" s="21"/>
      <c r="K94" s="21"/>
      <c r="L94" s="21"/>
      <c r="M94" s="21"/>
      <c r="N94" s="21"/>
      <c r="O94" s="21"/>
      <c r="P94" s="21"/>
      <c r="Q94" s="21"/>
      <c r="R94" s="21"/>
      <c r="S94" s="21"/>
    </row>
    <row r="95" spans="1:19" x14ac:dyDescent="0.35">
      <c r="A95" s="2186"/>
      <c r="B95" s="2192" t="s">
        <v>731</v>
      </c>
      <c r="C95" s="2187"/>
      <c r="D95" s="2187"/>
      <c r="E95" s="2187"/>
      <c r="F95" s="2187"/>
      <c r="G95" s="2188"/>
      <c r="H95" s="2193"/>
      <c r="I95" s="2193"/>
      <c r="J95" s="2193"/>
      <c r="K95" s="2193"/>
      <c r="L95" s="2193"/>
      <c r="M95" s="2193"/>
      <c r="N95" s="2193"/>
      <c r="O95" s="2193"/>
      <c r="P95" s="2193"/>
      <c r="Q95" s="2193"/>
      <c r="R95" s="2193"/>
      <c r="S95" s="2193"/>
    </row>
    <row r="96" spans="1:19" x14ac:dyDescent="0.35">
      <c r="A96" s="2106"/>
      <c r="B96" s="2160" t="s">
        <v>732</v>
      </c>
      <c r="C96" s="2161"/>
      <c r="D96" s="2161"/>
      <c r="E96" s="2161"/>
      <c r="F96" s="2161"/>
      <c r="G96" s="1956"/>
      <c r="H96" s="2158"/>
      <c r="I96" s="2158"/>
      <c r="J96" s="2158"/>
      <c r="K96" s="2158"/>
      <c r="L96" s="2158"/>
      <c r="M96" s="2158"/>
      <c r="N96" s="2158"/>
      <c r="O96" s="2158"/>
      <c r="P96" s="2158"/>
      <c r="Q96" s="2158"/>
      <c r="R96" s="2158"/>
      <c r="S96" s="2158"/>
    </row>
    <row r="97" spans="1:19" x14ac:dyDescent="0.35">
      <c r="A97" s="2089"/>
      <c r="B97" s="2090" t="s">
        <v>733</v>
      </c>
      <c r="C97" s="2091"/>
      <c r="D97" s="2091"/>
      <c r="E97" s="2091"/>
      <c r="F97" s="2091"/>
      <c r="G97" s="2092"/>
      <c r="H97" s="2093"/>
      <c r="I97" s="2093"/>
      <c r="J97" s="2093"/>
      <c r="K97" s="2093"/>
      <c r="L97" s="2093"/>
      <c r="M97" s="2093"/>
      <c r="N97" s="2093"/>
      <c r="O97" s="2093"/>
      <c r="P97" s="2093"/>
      <c r="Q97" s="2093"/>
      <c r="R97" s="2093"/>
      <c r="S97" s="2093"/>
    </row>
    <row r="99" spans="1:19" x14ac:dyDescent="0.35">
      <c r="A99" s="78" t="s">
        <v>734</v>
      </c>
      <c r="B99" s="80"/>
    </row>
    <row r="100" spans="1:19" x14ac:dyDescent="0.35">
      <c r="A100" s="79" t="s">
        <v>632</v>
      </c>
      <c r="B100" s="2094"/>
    </row>
    <row r="101" spans="1:19" x14ac:dyDescent="0.35">
      <c r="A101" s="2095" t="s">
        <v>636</v>
      </c>
      <c r="B101" s="2094"/>
    </row>
    <row r="102" spans="1:19" x14ac:dyDescent="0.35">
      <c r="A102" s="2096" t="s">
        <v>639</v>
      </c>
      <c r="B102" s="2097"/>
    </row>
    <row r="103" spans="1:19" x14ac:dyDescent="0.35">
      <c r="A103" s="2096" t="s">
        <v>642</v>
      </c>
      <c r="B103" s="2159"/>
    </row>
    <row r="104" spans="1:19" x14ac:dyDescent="0.35">
      <c r="A104" s="2099" t="s">
        <v>735</v>
      </c>
      <c r="B104" s="2100"/>
    </row>
    <row r="106" spans="1:19" x14ac:dyDescent="0.35">
      <c r="A106" s="81"/>
      <c r="B106" s="1" t="s">
        <v>736</v>
      </c>
    </row>
    <row r="107" spans="1:19" x14ac:dyDescent="0.35">
      <c r="A107" s="82"/>
      <c r="B107" s="1" t="s">
        <v>737</v>
      </c>
    </row>
  </sheetData>
  <mergeCells count="47">
    <mergeCell ref="A72:B72"/>
    <mergeCell ref="A76:B76"/>
    <mergeCell ref="A80:B80"/>
    <mergeCell ref="A84:B84"/>
    <mergeCell ref="A88:B8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507" priority="13" operator="equal">
      <formula>"X"</formula>
    </cfRule>
    <cfRule type="cellIs" dxfId="1506" priority="14" operator="equal">
      <formula>"I"</formula>
    </cfRule>
  </conditionalFormatting>
  <conditionalFormatting sqref="H32:H63">
    <cfRule type="cellIs" dxfId="1505" priority="1" operator="equal">
      <formula>"X"</formula>
    </cfRule>
    <cfRule type="cellIs" dxfId="1504" priority="2" operator="equal">
      <formula>"I"</formula>
    </cfRule>
  </conditionalFormatting>
  <conditionalFormatting sqref="J20:J30">
    <cfRule type="cellIs" dxfId="1503" priority="15" operator="equal">
      <formula>"X"</formula>
    </cfRule>
    <cfRule type="cellIs" dxfId="1502" priority="16" operator="equal">
      <formula>"I"</formula>
    </cfRule>
  </conditionalFormatting>
  <conditionalFormatting sqref="J32:J63">
    <cfRule type="cellIs" dxfId="1501" priority="3" operator="equal">
      <formula>"X"</formula>
    </cfRule>
    <cfRule type="cellIs" dxfId="1500" priority="4" operator="equal">
      <formula>"I"</formula>
    </cfRule>
  </conditionalFormatting>
  <conditionalFormatting sqref="L20:L30">
    <cfRule type="cellIs" dxfId="1499" priority="17" operator="equal">
      <formula>"X"</formula>
    </cfRule>
    <cfRule type="cellIs" dxfId="1498" priority="18" operator="equal">
      <formula>"I"</formula>
    </cfRule>
  </conditionalFormatting>
  <conditionalFormatting sqref="L32:L63">
    <cfRule type="cellIs" dxfId="1497" priority="5" operator="equal">
      <formula>"X"</formula>
    </cfRule>
    <cfRule type="cellIs" dxfId="1496" priority="6" operator="equal">
      <formula>"I"</formula>
    </cfRule>
  </conditionalFormatting>
  <conditionalFormatting sqref="N20:N30">
    <cfRule type="cellIs" dxfId="1495" priority="19" operator="equal">
      <formula>"X"</formula>
    </cfRule>
    <cfRule type="cellIs" dxfId="1494" priority="20" operator="equal">
      <formula>"I"</formula>
    </cfRule>
  </conditionalFormatting>
  <conditionalFormatting sqref="N32:N63">
    <cfRule type="cellIs" dxfId="1493" priority="7" operator="equal">
      <formula>"X"</formula>
    </cfRule>
    <cfRule type="cellIs" dxfId="1492" priority="8" operator="equal">
      <formula>"I"</formula>
    </cfRule>
  </conditionalFormatting>
  <conditionalFormatting sqref="P20:P30">
    <cfRule type="cellIs" dxfId="1491" priority="21" operator="equal">
      <formula>"X"</formula>
    </cfRule>
    <cfRule type="cellIs" dxfId="1490" priority="22" operator="equal">
      <formula>"I"</formula>
    </cfRule>
  </conditionalFormatting>
  <conditionalFormatting sqref="P32:P63">
    <cfRule type="cellIs" dxfId="1489" priority="9" operator="equal">
      <formula>"X"</formula>
    </cfRule>
    <cfRule type="cellIs" dxfId="1488" priority="10" operator="equal">
      <formula>"I"</formula>
    </cfRule>
  </conditionalFormatting>
  <conditionalFormatting sqref="R20:R30">
    <cfRule type="cellIs" dxfId="1487" priority="23" operator="equal">
      <formula>"X"</formula>
    </cfRule>
    <cfRule type="cellIs" dxfId="1486" priority="24" operator="equal">
      <formula>"I"</formula>
    </cfRule>
  </conditionalFormatting>
  <conditionalFormatting sqref="R32:R63">
    <cfRule type="cellIs" dxfId="1485" priority="11" operator="equal">
      <formula>"X"</formula>
    </cfRule>
    <cfRule type="cellIs" dxfId="1484" priority="12" operator="equal">
      <formula>"I"</formula>
    </cfRule>
  </conditionalFormatting>
  <hyperlinks>
    <hyperlink ref="B3" location="'Cost Summary'!A1" display="BACK TO SUMMARY SHEET" xr:uid="{D2D29649-0F69-46DF-978D-D2ED0AD1711D}"/>
  </hyperlink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7046-FC4E-4B66-9C5E-7A3C677392D0}">
  <sheetPr>
    <tabColor rgb="FFFFC000"/>
  </sheetPr>
  <dimension ref="A1:S95"/>
  <sheetViews>
    <sheetView zoomScale="89" zoomScaleNormal="89" workbookViewId="0">
      <pane xSplit="2" ySplit="9" topLeftCell="I34" activePane="bottomRight" state="frozen"/>
      <selection pane="topRight" activeCell="C1" sqref="C1"/>
      <selection pane="bottomLeft" activeCell="A10" sqref="A10"/>
      <selection pane="bottomRight" activeCell="M43" sqref="M4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179687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97" t="s">
        <v>626</v>
      </c>
      <c r="K3" s="3798"/>
      <c r="L3" s="3754" t="s">
        <v>627</v>
      </c>
      <c r="M3" s="3755"/>
      <c r="N3" s="3754" t="s">
        <v>628</v>
      </c>
      <c r="O3" s="3755"/>
      <c r="P3" s="3754" t="s">
        <v>629</v>
      </c>
      <c r="Q3" s="3755"/>
      <c r="R3" s="3754" t="s">
        <v>630</v>
      </c>
      <c r="S3" s="3755"/>
    </row>
    <row r="4" spans="1:19" ht="15.75" customHeight="1" x14ac:dyDescent="0.35">
      <c r="A4" s="3" t="s">
        <v>631</v>
      </c>
      <c r="B4" s="4" t="str">
        <f>'AREA CALC''s'!B4</f>
        <v>Alton Hilltop Gardens</v>
      </c>
      <c r="C4" s="5"/>
      <c r="D4" s="5"/>
      <c r="E4" s="5"/>
      <c r="F4" s="5"/>
      <c r="G4" s="6" t="s">
        <v>632</v>
      </c>
      <c r="H4" s="3752" t="s">
        <v>738</v>
      </c>
      <c r="I4" s="3753"/>
      <c r="J4" s="3796" t="s">
        <v>2592</v>
      </c>
      <c r="K4" s="3796"/>
      <c r="L4" s="3796" t="s">
        <v>2592</v>
      </c>
      <c r="M4" s="3796"/>
      <c r="N4" s="3796" t="s">
        <v>2593</v>
      </c>
      <c r="O4" s="3796"/>
      <c r="P4" s="3752"/>
      <c r="Q4" s="3753"/>
      <c r="R4" s="3796"/>
      <c r="S4" s="3753"/>
    </row>
    <row r="5" spans="1:19" x14ac:dyDescent="0.35">
      <c r="A5" s="2101" t="s">
        <v>634</v>
      </c>
      <c r="B5" s="2160" t="s">
        <v>516</v>
      </c>
      <c r="C5" s="2161"/>
      <c r="D5" s="2161"/>
      <c r="E5" s="2161"/>
      <c r="F5" s="2161"/>
      <c r="G5" s="2194" t="s">
        <v>636</v>
      </c>
      <c r="H5" s="3931"/>
      <c r="I5" s="3932"/>
      <c r="J5" s="3933"/>
      <c r="K5" s="3933"/>
      <c r="L5" s="3931"/>
      <c r="M5" s="3932"/>
      <c r="N5" s="3933"/>
      <c r="O5" s="3933"/>
      <c r="P5" s="3931"/>
      <c r="Q5" s="3932"/>
      <c r="R5" s="3933"/>
      <c r="S5" s="3932"/>
    </row>
    <row r="6" spans="1:19" x14ac:dyDescent="0.35">
      <c r="A6" s="2101" t="s">
        <v>638</v>
      </c>
      <c r="B6" s="2195" t="s">
        <v>515</v>
      </c>
      <c r="C6" s="2161"/>
      <c r="D6" s="2161"/>
      <c r="E6" s="2161"/>
      <c r="F6" s="2161"/>
      <c r="G6" s="2194" t="s">
        <v>639</v>
      </c>
      <c r="H6" s="3937"/>
      <c r="I6" s="3938"/>
      <c r="J6" s="3939"/>
      <c r="K6" s="3939"/>
      <c r="L6" s="3937"/>
      <c r="M6" s="3938"/>
      <c r="N6" s="3939"/>
      <c r="O6" s="3939"/>
      <c r="P6" s="3937"/>
      <c r="Q6" s="3938"/>
      <c r="R6" s="3939"/>
      <c r="S6" s="3938"/>
    </row>
    <row r="7" spans="1:19" x14ac:dyDescent="0.35">
      <c r="A7" s="2101" t="s">
        <v>641</v>
      </c>
      <c r="B7" s="2196"/>
      <c r="C7" s="2161"/>
      <c r="D7" s="2161"/>
      <c r="E7" s="2161"/>
      <c r="F7" s="2161"/>
      <c r="G7" s="2194" t="s">
        <v>642</v>
      </c>
      <c r="H7" s="3934"/>
      <c r="I7" s="3935"/>
      <c r="J7" s="3936"/>
      <c r="K7" s="3936"/>
      <c r="L7" s="3934"/>
      <c r="M7" s="3935"/>
      <c r="N7" s="3936"/>
      <c r="O7" s="3936"/>
      <c r="P7" s="3934"/>
      <c r="Q7" s="3935"/>
      <c r="R7" s="3936"/>
      <c r="S7" s="3935"/>
    </row>
    <row r="8" spans="1:19" ht="15" thickBot="1" x14ac:dyDescent="0.4">
      <c r="A8" s="938" t="s">
        <v>644</v>
      </c>
      <c r="B8" s="939"/>
      <c r="C8" s="940"/>
      <c r="D8" s="940"/>
      <c r="E8" s="940"/>
      <c r="F8" s="940"/>
      <c r="G8" s="1024" t="s">
        <v>644</v>
      </c>
      <c r="H8" s="3940">
        <v>0</v>
      </c>
      <c r="I8" s="3941"/>
      <c r="J8" s="3942">
        <f>K56</f>
        <v>88080.3</v>
      </c>
      <c r="K8" s="3941"/>
      <c r="L8" s="3940">
        <v>0</v>
      </c>
      <c r="M8" s="3941"/>
      <c r="N8" s="3940">
        <v>0</v>
      </c>
      <c r="O8" s="3942"/>
      <c r="P8" s="3940">
        <v>0</v>
      </c>
      <c r="Q8" s="3941"/>
      <c r="R8" s="3942">
        <v>0</v>
      </c>
      <c r="S8" s="3941"/>
    </row>
    <row r="9" spans="1:19" ht="30" thickTop="1" thickBot="1" x14ac:dyDescent="0.4">
      <c r="A9" s="7" t="s">
        <v>645</v>
      </c>
      <c r="B9" s="8"/>
      <c r="C9" s="9" t="s">
        <v>646</v>
      </c>
      <c r="D9" s="9" t="s">
        <v>647</v>
      </c>
      <c r="E9" s="9" t="s">
        <v>648</v>
      </c>
      <c r="F9" s="9" t="s">
        <v>649</v>
      </c>
      <c r="G9" s="10" t="s">
        <v>650</v>
      </c>
      <c r="H9" s="11" t="s">
        <v>651</v>
      </c>
      <c r="I9" s="11" t="s">
        <v>652</v>
      </c>
      <c r="J9" s="40" t="s">
        <v>651</v>
      </c>
      <c r="K9" s="11" t="s">
        <v>652</v>
      </c>
      <c r="L9" s="11" t="s">
        <v>651</v>
      </c>
      <c r="M9" s="11" t="s">
        <v>652</v>
      </c>
      <c r="N9" s="11" t="s">
        <v>651</v>
      </c>
      <c r="O9" s="11" t="s">
        <v>652</v>
      </c>
      <c r="P9" s="11" t="s">
        <v>651</v>
      </c>
      <c r="Q9" s="11" t="s">
        <v>652</v>
      </c>
      <c r="R9" s="11" t="s">
        <v>651</v>
      </c>
      <c r="S9" s="11" t="s">
        <v>652</v>
      </c>
    </row>
    <row r="10" spans="1:19" ht="15" hidden="1" thickTop="1" x14ac:dyDescent="0.35">
      <c r="A10" s="2106"/>
      <c r="B10" s="2197" t="s">
        <v>653</v>
      </c>
      <c r="C10" s="2161"/>
      <c r="D10" s="2161"/>
      <c r="E10" s="2161"/>
      <c r="F10" s="2161"/>
      <c r="G10" s="2198"/>
      <c r="H10" s="2199"/>
      <c r="I10" s="2199"/>
      <c r="J10" s="2200"/>
      <c r="K10" s="2199"/>
      <c r="L10" s="2199"/>
      <c r="M10" s="2199"/>
      <c r="N10" s="2199"/>
      <c r="O10" s="2199"/>
      <c r="P10" s="2199"/>
      <c r="Q10" s="2199"/>
      <c r="R10" s="2199"/>
      <c r="S10" s="2199"/>
    </row>
    <row r="11" spans="1:19" hidden="1" x14ac:dyDescent="0.35">
      <c r="A11" s="2106"/>
      <c r="B11" s="2160" t="e">
        <f>#REF!</f>
        <v>#REF!</v>
      </c>
      <c r="C11" s="2201" t="s">
        <v>654</v>
      </c>
      <c r="D11" s="2161"/>
      <c r="E11" s="2161"/>
      <c r="F11" s="2161"/>
      <c r="G11" s="2198"/>
      <c r="H11" s="2199"/>
      <c r="I11" s="2199"/>
      <c r="J11" s="2200"/>
      <c r="K11" s="2199"/>
      <c r="L11" s="2199"/>
      <c r="M11" s="2199"/>
      <c r="N11" s="2199"/>
      <c r="O11" s="2199"/>
      <c r="P11" s="2199"/>
      <c r="Q11" s="2199"/>
      <c r="R11" s="2199"/>
      <c r="S11" s="2199"/>
    </row>
    <row r="12" spans="1:19" hidden="1" x14ac:dyDescent="0.35">
      <c r="A12" s="2106"/>
      <c r="B12" s="2160" t="e">
        <f>#REF!</f>
        <v>#REF!</v>
      </c>
      <c r="C12" s="2201" t="s">
        <v>654</v>
      </c>
      <c r="D12" s="2161"/>
      <c r="E12" s="2161"/>
      <c r="F12" s="2161"/>
      <c r="G12" s="2198"/>
      <c r="H12" s="2199"/>
      <c r="I12" s="2199"/>
      <c r="J12" s="2200"/>
      <c r="K12" s="2199"/>
      <c r="L12" s="2199"/>
      <c r="M12" s="2199"/>
      <c r="N12" s="2199"/>
      <c r="O12" s="2199"/>
      <c r="P12" s="2199"/>
      <c r="Q12" s="2199"/>
      <c r="R12" s="2199"/>
      <c r="S12" s="2199"/>
    </row>
    <row r="13" spans="1:19" hidden="1" x14ac:dyDescent="0.35">
      <c r="A13" s="2106"/>
      <c r="B13" s="2160" t="e">
        <f>#REF!</f>
        <v>#REF!</v>
      </c>
      <c r="C13" s="2201" t="s">
        <v>654</v>
      </c>
      <c r="D13" s="2161"/>
      <c r="E13" s="2161"/>
      <c r="F13" s="2161"/>
      <c r="G13" s="2198"/>
      <c r="H13" s="2199"/>
      <c r="I13" s="2199"/>
      <c r="J13" s="2200"/>
      <c r="K13" s="2199"/>
      <c r="L13" s="2199"/>
      <c r="M13" s="2199"/>
      <c r="N13" s="2199"/>
      <c r="O13" s="2199"/>
      <c r="P13" s="2199"/>
      <c r="Q13" s="2199"/>
      <c r="R13" s="2199"/>
      <c r="S13" s="2199"/>
    </row>
    <row r="14" spans="1:19" hidden="1" x14ac:dyDescent="0.35">
      <c r="A14" s="2106"/>
      <c r="B14" s="2160" t="e">
        <f>#REF!</f>
        <v>#REF!</v>
      </c>
      <c r="C14" s="2201" t="s">
        <v>654</v>
      </c>
      <c r="D14" s="2161"/>
      <c r="E14" s="2161"/>
      <c r="F14" s="2161"/>
      <c r="G14" s="2198"/>
      <c r="H14" s="2199"/>
      <c r="I14" s="2199"/>
      <c r="J14" s="2200"/>
      <c r="K14" s="2199"/>
      <c r="L14" s="2199"/>
      <c r="M14" s="2199"/>
      <c r="N14" s="2199"/>
      <c r="O14" s="2199"/>
      <c r="P14" s="2199"/>
      <c r="Q14" s="2199"/>
      <c r="R14" s="2199"/>
      <c r="S14" s="2199"/>
    </row>
    <row r="15" spans="1:19" hidden="1" x14ac:dyDescent="0.35">
      <c r="A15" s="2106"/>
      <c r="B15" s="2160" t="e">
        <f>#REF!</f>
        <v>#REF!</v>
      </c>
      <c r="C15" s="2201" t="s">
        <v>654</v>
      </c>
      <c r="D15" s="2161"/>
      <c r="E15" s="2161"/>
      <c r="F15" s="2161"/>
      <c r="G15" s="2198"/>
      <c r="H15" s="2199"/>
      <c r="I15" s="2199"/>
      <c r="J15" s="2200"/>
      <c r="K15" s="2199"/>
      <c r="L15" s="2199"/>
      <c r="M15" s="2199"/>
      <c r="N15" s="2199"/>
      <c r="O15" s="2199"/>
      <c r="P15" s="2199"/>
      <c r="Q15" s="2199"/>
      <c r="R15" s="2199"/>
      <c r="S15" s="2199"/>
    </row>
    <row r="16" spans="1:19" hidden="1" x14ac:dyDescent="0.35">
      <c r="A16" s="2106"/>
      <c r="B16" s="2160" t="e">
        <f>#REF!</f>
        <v>#REF!</v>
      </c>
      <c r="C16" s="2201" t="s">
        <v>654</v>
      </c>
      <c r="D16" s="2161"/>
      <c r="E16" s="2161"/>
      <c r="F16" s="2161"/>
      <c r="G16" s="2198"/>
      <c r="H16" s="2199"/>
      <c r="I16" s="2199"/>
      <c r="J16" s="2200"/>
      <c r="K16" s="2199"/>
      <c r="L16" s="2199"/>
      <c r="M16" s="2199"/>
      <c r="N16" s="2199"/>
      <c r="O16" s="2199"/>
      <c r="P16" s="2199"/>
      <c r="Q16" s="2199"/>
      <c r="R16" s="2199"/>
      <c r="S16" s="2199"/>
    </row>
    <row r="17" spans="1:19" hidden="1" x14ac:dyDescent="0.35">
      <c r="A17" s="2106"/>
      <c r="B17" s="2160" t="e">
        <f>#REF!</f>
        <v>#REF!</v>
      </c>
      <c r="C17" s="2201" t="s">
        <v>654</v>
      </c>
      <c r="D17" s="2161"/>
      <c r="E17" s="2161"/>
      <c r="F17" s="2161"/>
      <c r="G17" s="2198"/>
      <c r="H17" s="2199"/>
      <c r="I17" s="2199"/>
      <c r="J17" s="2200"/>
      <c r="K17" s="2199"/>
      <c r="L17" s="2199"/>
      <c r="M17" s="2199"/>
      <c r="N17" s="2199"/>
      <c r="O17" s="2199"/>
      <c r="P17" s="2199"/>
      <c r="Q17" s="2199"/>
      <c r="R17" s="2199"/>
      <c r="S17" s="2199"/>
    </row>
    <row r="18" spans="1:19" hidden="1" x14ac:dyDescent="0.35">
      <c r="A18" s="2106"/>
      <c r="B18" s="2160" t="e">
        <f>#REF!</f>
        <v>#REF!</v>
      </c>
      <c r="C18" s="2201" t="s">
        <v>654</v>
      </c>
      <c r="D18" s="2161"/>
      <c r="E18" s="2161"/>
      <c r="F18" s="2161"/>
      <c r="G18" s="2198"/>
      <c r="H18" s="2199"/>
      <c r="I18" s="2199"/>
      <c r="J18" s="2200"/>
      <c r="K18" s="2199"/>
      <c r="L18" s="2199"/>
      <c r="M18" s="2199"/>
      <c r="N18" s="2199"/>
      <c r="O18" s="2199"/>
      <c r="P18" s="2199"/>
      <c r="Q18" s="2199"/>
      <c r="R18" s="2199"/>
      <c r="S18" s="2199"/>
    </row>
    <row r="19" spans="1:19" hidden="1" x14ac:dyDescent="0.35">
      <c r="A19" s="2106"/>
      <c r="B19" s="2160" t="e">
        <f>#REF!</f>
        <v>#REF!</v>
      </c>
      <c r="C19" s="2201" t="s">
        <v>654</v>
      </c>
      <c r="D19" s="2161"/>
      <c r="E19" s="2161"/>
      <c r="F19" s="2161"/>
      <c r="G19" s="2198"/>
      <c r="H19" s="2199"/>
      <c r="I19" s="2199"/>
      <c r="J19" s="2200"/>
      <c r="K19" s="2199"/>
      <c r="L19" s="2199"/>
      <c r="M19" s="2199"/>
      <c r="N19" s="2199"/>
      <c r="O19" s="2199"/>
      <c r="P19" s="2199"/>
      <c r="Q19" s="2199"/>
      <c r="R19" s="2199"/>
      <c r="S19" s="2199"/>
    </row>
    <row r="20" spans="1:19" ht="15" thickTop="1" x14ac:dyDescent="0.35">
      <c r="A20" s="2106"/>
      <c r="B20" s="2160"/>
      <c r="C20" s="2201"/>
      <c r="D20" s="2161"/>
      <c r="E20" s="2161"/>
      <c r="F20" s="2161"/>
      <c r="G20" s="2198"/>
      <c r="H20" s="2202"/>
      <c r="I20" s="2199"/>
      <c r="J20" s="2202"/>
      <c r="K20" s="2199"/>
      <c r="L20" s="2202"/>
      <c r="M20" s="2199"/>
      <c r="N20" s="2202"/>
      <c r="O20" s="2199"/>
      <c r="P20" s="2202"/>
      <c r="Q20" s="2199"/>
      <c r="R20" s="2202"/>
      <c r="S20" s="2199"/>
    </row>
    <row r="21" spans="1:19" ht="15" thickBot="1" x14ac:dyDescent="0.4">
      <c r="A21" s="2106"/>
      <c r="B21" s="2203" t="s">
        <v>516</v>
      </c>
      <c r="C21" s="2201"/>
      <c r="D21" s="2161"/>
      <c r="E21" s="2161"/>
      <c r="F21" s="2161"/>
      <c r="G21" s="2198"/>
      <c r="H21" s="2202"/>
      <c r="I21" s="2199"/>
      <c r="J21" s="2202"/>
      <c r="K21" s="2199"/>
      <c r="L21" s="2202"/>
      <c r="M21" s="2199"/>
      <c r="N21" s="2202"/>
      <c r="O21" s="2199"/>
      <c r="P21" s="2202"/>
      <c r="Q21" s="2199"/>
      <c r="R21" s="2202"/>
      <c r="S21" s="2199"/>
    </row>
    <row r="22" spans="1:19" ht="14.25" customHeight="1" x14ac:dyDescent="0.35">
      <c r="A22" s="2204"/>
      <c r="B22" s="606" t="s">
        <v>657</v>
      </c>
      <c r="C22" s="2201"/>
      <c r="D22" s="2161"/>
      <c r="E22" s="2161"/>
      <c r="F22" s="2161"/>
      <c r="G22" s="2198"/>
      <c r="H22" s="2202"/>
      <c r="I22" s="2205"/>
      <c r="J22" s="2202"/>
      <c r="K22" s="2205"/>
      <c r="L22" s="2202"/>
      <c r="M22" s="2205"/>
      <c r="N22" s="2202"/>
      <c r="O22" s="2205"/>
      <c r="P22" s="2202"/>
      <c r="Q22" s="2205"/>
      <c r="R22" s="2202"/>
      <c r="S22" s="2205"/>
    </row>
    <row r="23" spans="1:19" x14ac:dyDescent="0.35">
      <c r="A23" s="2204"/>
      <c r="B23" s="2206" t="s">
        <v>658</v>
      </c>
      <c r="C23" s="2201"/>
      <c r="D23" s="2161"/>
      <c r="E23" s="2161"/>
      <c r="F23" s="2161"/>
      <c r="G23" s="2198"/>
      <c r="H23" s="2202"/>
      <c r="I23" s="2207"/>
      <c r="J23" s="2202" t="s">
        <v>669</v>
      </c>
      <c r="K23" s="2205"/>
      <c r="L23" s="2202" t="s">
        <v>669</v>
      </c>
      <c r="M23" s="2205"/>
      <c r="N23" s="2202"/>
      <c r="O23" s="2205"/>
      <c r="P23" s="2202"/>
      <c r="Q23" s="2205"/>
      <c r="R23" s="2202"/>
      <c r="S23" s="2205"/>
    </row>
    <row r="24" spans="1:19" x14ac:dyDescent="0.35">
      <c r="A24" s="2204"/>
      <c r="B24" s="2206" t="s">
        <v>659</v>
      </c>
      <c r="C24" s="2208"/>
      <c r="D24" s="2161"/>
      <c r="E24" s="2161"/>
      <c r="F24" s="2161"/>
      <c r="G24" s="2198"/>
      <c r="H24" s="2202"/>
      <c r="I24" s="2207"/>
      <c r="J24" s="2202" t="s">
        <v>669</v>
      </c>
      <c r="K24" s="2205"/>
      <c r="L24" s="2202" t="s">
        <v>669</v>
      </c>
      <c r="M24" s="2205"/>
      <c r="N24" s="2202"/>
      <c r="O24" s="2205"/>
      <c r="P24" s="2202"/>
      <c r="Q24" s="2205"/>
      <c r="R24" s="2202"/>
      <c r="S24" s="2205"/>
    </row>
    <row r="25" spans="1:19" x14ac:dyDescent="0.35">
      <c r="A25" s="2204"/>
      <c r="B25" s="2209" t="s">
        <v>660</v>
      </c>
      <c r="C25" s="2208"/>
      <c r="D25" s="2161"/>
      <c r="E25" s="2161"/>
      <c r="F25" s="2161"/>
      <c r="G25" s="2198"/>
      <c r="H25" s="2202"/>
      <c r="I25" s="2207"/>
      <c r="J25" s="2202" t="s">
        <v>671</v>
      </c>
      <c r="K25" s="2205"/>
      <c r="L25" s="2202" t="s">
        <v>671</v>
      </c>
      <c r="M25" s="2205"/>
      <c r="N25" s="2202"/>
      <c r="O25" s="2205"/>
      <c r="P25" s="2202"/>
      <c r="Q25" s="2205"/>
      <c r="R25" s="2202"/>
      <c r="S25" s="2205"/>
    </row>
    <row r="26" spans="1:19" s="77" customFormat="1" x14ac:dyDescent="0.35">
      <c r="A26" s="2210"/>
      <c r="B26" s="2209" t="s">
        <v>661</v>
      </c>
      <c r="C26" s="2211"/>
      <c r="D26" s="2212"/>
      <c r="E26" s="2212"/>
      <c r="F26" s="2212"/>
      <c r="G26" s="2211"/>
      <c r="H26" s="2202"/>
      <c r="I26" s="2207"/>
      <c r="J26" s="2202" t="s">
        <v>669</v>
      </c>
      <c r="K26" s="2213"/>
      <c r="L26" s="2202" t="s">
        <v>669</v>
      </c>
      <c r="M26" s="2213"/>
      <c r="N26" s="2202"/>
      <c r="O26" s="2213"/>
      <c r="P26" s="2202"/>
      <c r="Q26" s="2213"/>
      <c r="R26" s="2202"/>
      <c r="S26" s="2213"/>
    </row>
    <row r="27" spans="1:19" s="77" customFormat="1" x14ac:dyDescent="0.35">
      <c r="A27" s="2210"/>
      <c r="B27" s="2209" t="s">
        <v>662</v>
      </c>
      <c r="C27" s="2211"/>
      <c r="D27" s="2212"/>
      <c r="E27" s="2212"/>
      <c r="F27" s="2212"/>
      <c r="G27" s="2211"/>
      <c r="H27" s="2202"/>
      <c r="I27" s="2207"/>
      <c r="J27" s="2202" t="s">
        <v>669</v>
      </c>
      <c r="K27" s="2213"/>
      <c r="L27" s="2202" t="s">
        <v>669</v>
      </c>
      <c r="M27" s="2213"/>
      <c r="N27" s="2202"/>
      <c r="O27" s="2213"/>
      <c r="P27" s="2202"/>
      <c r="Q27" s="2213"/>
      <c r="R27" s="2202"/>
      <c r="S27" s="2213"/>
    </row>
    <row r="28" spans="1:19" s="77" customFormat="1" x14ac:dyDescent="0.35">
      <c r="A28" s="2210"/>
      <c r="B28" s="2209" t="s">
        <v>663</v>
      </c>
      <c r="C28" s="2211"/>
      <c r="D28" s="2212"/>
      <c r="E28" s="2212"/>
      <c r="F28" s="2212"/>
      <c r="G28" s="2211"/>
      <c r="H28" s="2202"/>
      <c r="I28" s="2207"/>
      <c r="J28" s="2202" t="s">
        <v>669</v>
      </c>
      <c r="K28" s="2213"/>
      <c r="L28" s="2202" t="s">
        <v>669</v>
      </c>
      <c r="M28" s="2213"/>
      <c r="N28" s="2202"/>
      <c r="O28" s="2213"/>
      <c r="P28" s="2202"/>
      <c r="Q28" s="2213"/>
      <c r="R28" s="2202"/>
      <c r="S28" s="2213"/>
    </row>
    <row r="29" spans="1:19" s="77" customFormat="1" x14ac:dyDescent="0.35">
      <c r="A29" s="2210"/>
      <c r="B29" s="2209" t="s">
        <v>789</v>
      </c>
      <c r="C29" s="2211"/>
      <c r="D29" s="2212"/>
      <c r="E29" s="2212"/>
      <c r="F29" s="2212"/>
      <c r="G29" s="2211"/>
      <c r="H29" s="2202"/>
      <c r="I29" s="2207"/>
      <c r="J29" s="2202" t="s">
        <v>671</v>
      </c>
      <c r="K29" s="2213"/>
      <c r="L29" s="2202" t="s">
        <v>671</v>
      </c>
      <c r="M29" s="2213"/>
      <c r="N29" s="2202"/>
      <c r="O29" s="2213"/>
      <c r="P29" s="2202"/>
      <c r="Q29" s="2213"/>
      <c r="R29" s="2202"/>
      <c r="S29" s="2213"/>
    </row>
    <row r="30" spans="1:19" s="77" customFormat="1" x14ac:dyDescent="0.35">
      <c r="A30" s="2210"/>
      <c r="B30" s="2209" t="s">
        <v>790</v>
      </c>
      <c r="C30" s="2211"/>
      <c r="D30" s="2212"/>
      <c r="E30" s="2212"/>
      <c r="F30" s="2212"/>
      <c r="G30" s="2211"/>
      <c r="H30" s="2202"/>
      <c r="I30" s="2207"/>
      <c r="J30" s="2202" t="s">
        <v>671</v>
      </c>
      <c r="K30" s="2213"/>
      <c r="L30" s="2202" t="s">
        <v>671</v>
      </c>
      <c r="M30" s="2213"/>
      <c r="N30" s="2202"/>
      <c r="O30" s="2213"/>
      <c r="P30" s="2202"/>
      <c r="Q30" s="2213"/>
      <c r="R30" s="2202"/>
      <c r="S30" s="2213"/>
    </row>
    <row r="31" spans="1:19" s="77" customFormat="1" x14ac:dyDescent="0.35">
      <c r="A31" s="2210"/>
      <c r="B31" s="2209" t="s">
        <v>791</v>
      </c>
      <c r="C31" s="2211"/>
      <c r="D31" s="2212"/>
      <c r="E31" s="2212"/>
      <c r="F31" s="2212"/>
      <c r="G31" s="2211"/>
      <c r="H31" s="2202"/>
      <c r="I31" s="2207"/>
      <c r="J31" s="2202" t="s">
        <v>671</v>
      </c>
      <c r="K31" s="2213"/>
      <c r="L31" s="2202" t="s">
        <v>671</v>
      </c>
      <c r="M31" s="2213"/>
      <c r="N31" s="2202"/>
      <c r="O31" s="2213"/>
      <c r="P31" s="2202"/>
      <c r="Q31" s="2213"/>
      <c r="R31" s="2202"/>
      <c r="S31" s="2213"/>
    </row>
    <row r="32" spans="1:19" s="77" customFormat="1" x14ac:dyDescent="0.35">
      <c r="A32" s="2210"/>
      <c r="B32" s="2214" t="s">
        <v>664</v>
      </c>
      <c r="C32" s="2211"/>
      <c r="D32" s="2212"/>
      <c r="E32" s="2212"/>
      <c r="F32" s="2212"/>
      <c r="G32" s="2211"/>
      <c r="H32" s="2202"/>
      <c r="I32" s="2207"/>
      <c r="J32" s="2202"/>
      <c r="K32" s="2213"/>
      <c r="L32" s="2202"/>
      <c r="M32" s="2213"/>
      <c r="N32" s="2202"/>
      <c r="O32" s="2213"/>
      <c r="P32" s="2202"/>
      <c r="Q32" s="2213"/>
      <c r="R32" s="2202"/>
      <c r="S32" s="2213"/>
    </row>
    <row r="33" spans="1:19" s="77" customFormat="1" x14ac:dyDescent="0.35">
      <c r="A33" s="2210"/>
      <c r="B33" s="2215" t="s">
        <v>665</v>
      </c>
      <c r="C33" s="2216"/>
      <c r="D33" s="2217"/>
      <c r="E33" s="2217"/>
      <c r="F33" s="2218"/>
      <c r="G33" s="2219"/>
      <c r="H33" s="2220"/>
      <c r="I33" s="2221"/>
      <c r="J33" s="2222"/>
      <c r="K33" s="2223">
        <v>88080.3</v>
      </c>
      <c r="L33" s="2224"/>
      <c r="M33" s="2223"/>
      <c r="N33" s="2223"/>
      <c r="O33" s="2223"/>
      <c r="P33" s="2223"/>
      <c r="Q33" s="2223"/>
      <c r="R33" s="2223"/>
      <c r="S33" s="2223"/>
    </row>
    <row r="34" spans="1:19" s="161" customFormat="1" x14ac:dyDescent="0.35">
      <c r="A34" s="2225"/>
      <c r="B34" s="2226" t="s">
        <v>874</v>
      </c>
      <c r="C34" s="2227"/>
      <c r="D34" s="2228"/>
      <c r="E34" s="2228"/>
      <c r="F34" s="2229"/>
      <c r="G34" s="2230"/>
      <c r="H34" s="2202"/>
      <c r="I34" s="2207"/>
      <c r="J34" s="2202"/>
      <c r="K34" s="2231"/>
      <c r="L34" s="2202"/>
      <c r="M34" s="2231"/>
      <c r="N34" s="2202"/>
      <c r="O34" s="2231"/>
      <c r="P34" s="2202"/>
      <c r="Q34" s="2231"/>
      <c r="R34" s="2202"/>
      <c r="S34" s="2231"/>
    </row>
    <row r="35" spans="1:19" x14ac:dyDescent="0.35">
      <c r="A35" s="2204"/>
      <c r="B35" s="2181"/>
      <c r="C35" s="2211"/>
      <c r="D35" s="2161"/>
      <c r="E35" s="2161"/>
      <c r="F35" s="2232"/>
      <c r="G35" s="2233"/>
      <c r="H35" s="2202"/>
      <c r="I35" s="2205"/>
      <c r="J35" s="2202"/>
      <c r="K35" s="2205"/>
      <c r="L35" s="2202"/>
      <c r="M35" s="2205"/>
      <c r="N35" s="2202"/>
      <c r="O35" s="2205"/>
      <c r="P35" s="2202"/>
      <c r="Q35" s="2205"/>
      <c r="R35" s="2202"/>
      <c r="S35" s="2205"/>
    </row>
    <row r="36" spans="1:19" x14ac:dyDescent="0.35">
      <c r="A36" s="2204"/>
      <c r="B36" s="2234" t="s">
        <v>2594</v>
      </c>
      <c r="C36" s="2211"/>
      <c r="D36" s="2161"/>
      <c r="E36" s="2161"/>
      <c r="F36" s="2232"/>
      <c r="G36" s="2233"/>
      <c r="H36" s="2202"/>
      <c r="I36" s="2205"/>
      <c r="J36" s="2202"/>
      <c r="K36" s="2205"/>
      <c r="L36" s="2202"/>
      <c r="M36" s="2205"/>
      <c r="N36" s="2202"/>
      <c r="O36" s="2205"/>
      <c r="P36" s="2202"/>
      <c r="Q36" s="2205"/>
      <c r="R36" s="2202"/>
      <c r="S36" s="2205"/>
    </row>
    <row r="37" spans="1:19" x14ac:dyDescent="0.35">
      <c r="A37" s="2204"/>
      <c r="B37" s="2235" t="s">
        <v>2595</v>
      </c>
      <c r="C37" s="2211"/>
      <c r="D37" s="2161"/>
      <c r="E37" s="2161"/>
      <c r="F37" s="2232"/>
      <c r="G37" s="2233"/>
      <c r="H37" s="2202"/>
      <c r="I37" s="2205"/>
      <c r="J37" s="2202"/>
      <c r="K37" s="2205"/>
      <c r="L37" s="2202"/>
      <c r="M37" s="2205"/>
      <c r="N37" s="2202"/>
      <c r="O37" s="2205"/>
      <c r="P37" s="2202"/>
      <c r="Q37" s="2205"/>
      <c r="R37" s="2202"/>
      <c r="S37" s="2205"/>
    </row>
    <row r="38" spans="1:19" x14ac:dyDescent="0.35">
      <c r="A38" s="2204"/>
      <c r="B38" s="2235" t="s">
        <v>2596</v>
      </c>
      <c r="C38" s="2211"/>
      <c r="D38" s="2161"/>
      <c r="E38" s="2161"/>
      <c r="F38" s="2232"/>
      <c r="G38" s="2233"/>
      <c r="H38" s="2202"/>
      <c r="I38" s="2207"/>
      <c r="J38" s="2202"/>
      <c r="K38" s="2207"/>
      <c r="L38" s="2202"/>
      <c r="M38" s="2207"/>
      <c r="N38" s="2202"/>
      <c r="O38" s="2207"/>
      <c r="P38" s="2202"/>
      <c r="Q38" s="2205"/>
      <c r="R38" s="2202"/>
      <c r="S38" s="2205"/>
    </row>
    <row r="39" spans="1:19" x14ac:dyDescent="0.35">
      <c r="A39" s="2204"/>
      <c r="B39" s="2235" t="s">
        <v>2597</v>
      </c>
      <c r="C39" s="2211"/>
      <c r="D39" s="2161"/>
      <c r="E39" s="2161"/>
      <c r="F39" s="2232"/>
      <c r="G39" s="2233"/>
      <c r="H39" s="2202" t="s">
        <v>669</v>
      </c>
      <c r="I39" s="2207"/>
      <c r="J39" s="2202"/>
      <c r="K39" s="2207"/>
      <c r="L39" s="2202"/>
      <c r="M39" s="2207"/>
      <c r="N39" s="2202"/>
      <c r="O39" s="2207"/>
      <c r="P39" s="2202"/>
      <c r="Q39" s="2205"/>
      <c r="R39" s="2202"/>
      <c r="S39" s="2205"/>
    </row>
    <row r="40" spans="1:19" x14ac:dyDescent="0.35">
      <c r="A40" s="2204"/>
      <c r="B40" s="2235" t="s">
        <v>2598</v>
      </c>
      <c r="C40" s="2211"/>
      <c r="D40" s="2161"/>
      <c r="E40" s="2161"/>
      <c r="F40" s="2232"/>
      <c r="G40" s="2233"/>
      <c r="H40" s="2202"/>
      <c r="I40" s="2207"/>
      <c r="J40" s="2202"/>
      <c r="K40" s="2207"/>
      <c r="L40" s="2202"/>
      <c r="M40" s="2207"/>
      <c r="N40" s="2202"/>
      <c r="O40" s="2207"/>
      <c r="P40" s="2202"/>
      <c r="Q40" s="2205"/>
      <c r="R40" s="2202"/>
      <c r="S40" s="2205"/>
    </row>
    <row r="41" spans="1:19" x14ac:dyDescent="0.35">
      <c r="A41" s="2204"/>
      <c r="B41" s="2235" t="s">
        <v>2599</v>
      </c>
      <c r="C41" s="2211"/>
      <c r="D41" s="2161"/>
      <c r="E41" s="2161"/>
      <c r="F41" s="2232"/>
      <c r="G41" s="2233"/>
      <c r="H41" s="2202"/>
      <c r="I41" s="2207"/>
      <c r="J41" s="2202"/>
      <c r="K41" s="2207"/>
      <c r="L41" s="2202"/>
      <c r="M41" s="2207"/>
      <c r="N41" s="2202"/>
      <c r="O41" s="2207"/>
      <c r="P41" s="2202"/>
      <c r="Q41" s="2205"/>
      <c r="R41" s="2202"/>
      <c r="S41" s="2205"/>
    </row>
    <row r="42" spans="1:19" x14ac:dyDescent="0.35">
      <c r="A42" s="2204"/>
      <c r="B42" s="2235" t="s">
        <v>1059</v>
      </c>
      <c r="C42" s="2211"/>
      <c r="D42" s="2161"/>
      <c r="E42" s="2161"/>
      <c r="F42" s="2232"/>
      <c r="G42" s="2233"/>
      <c r="H42" s="2202"/>
      <c r="I42" s="2207"/>
      <c r="J42" s="2202"/>
      <c r="K42" s="2207"/>
      <c r="L42" s="2202"/>
      <c r="M42" s="2207"/>
      <c r="N42" s="2202"/>
      <c r="O42" s="2207"/>
      <c r="P42" s="2202"/>
      <c r="Q42" s="2205"/>
      <c r="R42" s="2202"/>
      <c r="S42" s="2205"/>
    </row>
    <row r="43" spans="1:19" x14ac:dyDescent="0.35">
      <c r="A43" s="2204"/>
      <c r="B43" s="2235"/>
      <c r="C43" s="2236"/>
      <c r="D43" s="2161"/>
      <c r="E43" s="2161"/>
      <c r="F43" s="2232"/>
      <c r="G43" s="2233"/>
      <c r="H43" s="2202"/>
      <c r="I43" s="2207"/>
      <c r="J43" s="2202"/>
      <c r="K43" s="2207"/>
      <c r="L43" s="2202"/>
      <c r="M43" s="2207"/>
      <c r="N43" s="2202"/>
      <c r="O43" s="2207"/>
      <c r="P43" s="2202"/>
      <c r="Q43" s="2205"/>
      <c r="R43" s="2202"/>
      <c r="S43" s="2205"/>
    </row>
    <row r="44" spans="1:19" x14ac:dyDescent="0.35">
      <c r="A44" s="2204"/>
      <c r="B44" s="2235" t="s">
        <v>2600</v>
      </c>
      <c r="C44" s="2236"/>
      <c r="D44" s="2161">
        <v>1</v>
      </c>
      <c r="E44" s="2161" t="s">
        <v>215</v>
      </c>
      <c r="F44" s="2161">
        <v>5000</v>
      </c>
      <c r="G44" s="2233">
        <f>F44*D44</f>
        <v>5000</v>
      </c>
      <c r="H44" s="2202" t="s">
        <v>669</v>
      </c>
      <c r="I44" s="2207">
        <f>G44</f>
        <v>5000</v>
      </c>
      <c r="J44" s="2202" t="s">
        <v>669</v>
      </c>
      <c r="K44" s="2207"/>
      <c r="L44" s="2202"/>
      <c r="M44" s="2207"/>
      <c r="N44" s="2202"/>
      <c r="O44" s="2207"/>
      <c r="P44" s="2202"/>
      <c r="Q44" s="2205"/>
      <c r="R44" s="2202"/>
      <c r="S44" s="2205"/>
    </row>
    <row r="45" spans="1:19" x14ac:dyDescent="0.35">
      <c r="A45" s="2204"/>
      <c r="B45" s="2235" t="s">
        <v>2601</v>
      </c>
      <c r="C45" s="2236"/>
      <c r="D45" s="2161">
        <v>1</v>
      </c>
      <c r="E45" s="2161" t="s">
        <v>215</v>
      </c>
      <c r="F45" s="2161">
        <v>30000</v>
      </c>
      <c r="G45" s="2233">
        <f>F45*D45</f>
        <v>30000</v>
      </c>
      <c r="H45" s="2202" t="s">
        <v>669</v>
      </c>
      <c r="I45" s="2207">
        <f>G45</f>
        <v>30000</v>
      </c>
      <c r="J45" s="2202" t="s">
        <v>669</v>
      </c>
      <c r="K45" s="2237"/>
      <c r="L45" s="2202"/>
      <c r="M45" s="2237"/>
      <c r="N45" s="2202"/>
      <c r="O45" s="2207"/>
      <c r="P45" s="2202"/>
      <c r="Q45" s="2205"/>
      <c r="R45" s="2202"/>
      <c r="S45" s="2205"/>
    </row>
    <row r="46" spans="1:19" x14ac:dyDescent="0.35">
      <c r="A46" s="2204"/>
      <c r="B46" s="2235" t="s">
        <v>2602</v>
      </c>
      <c r="C46" s="2236"/>
      <c r="D46" s="2161">
        <v>432</v>
      </c>
      <c r="E46" s="2161" t="s">
        <v>199</v>
      </c>
      <c r="F46" s="2161">
        <v>35</v>
      </c>
      <c r="G46" s="2233">
        <f>F46*D46</f>
        <v>15120</v>
      </c>
      <c r="H46" s="2202"/>
      <c r="I46" s="2207"/>
      <c r="J46" s="2202" t="s">
        <v>669</v>
      </c>
      <c r="K46" s="2237"/>
      <c r="L46" s="2202"/>
      <c r="M46" s="2237"/>
      <c r="N46" s="2202"/>
      <c r="O46" s="2207"/>
      <c r="P46" s="2202"/>
      <c r="Q46" s="2205"/>
      <c r="R46" s="2202"/>
      <c r="S46" s="2205"/>
    </row>
    <row r="47" spans="1:19" x14ac:dyDescent="0.35">
      <c r="A47" s="2204"/>
      <c r="B47" s="2235" t="s">
        <v>2603</v>
      </c>
      <c r="C47" s="2236"/>
      <c r="D47" s="2161"/>
      <c r="E47" s="2161"/>
      <c r="F47" s="2161"/>
      <c r="G47" s="2233"/>
      <c r="H47" s="2202"/>
      <c r="I47" s="2207"/>
      <c r="J47" s="2202" t="s">
        <v>669</v>
      </c>
      <c r="K47" s="2237"/>
      <c r="L47" s="2202"/>
      <c r="M47" s="2237"/>
      <c r="N47" s="2202"/>
      <c r="O47" s="2207"/>
      <c r="P47" s="2202"/>
      <c r="Q47" s="2205"/>
      <c r="R47" s="2202"/>
      <c r="S47" s="2205"/>
    </row>
    <row r="48" spans="1:19" ht="43.5" x14ac:dyDescent="0.35">
      <c r="A48" s="2204"/>
      <c r="B48" s="2235" t="s">
        <v>2604</v>
      </c>
      <c r="C48" s="2238" t="s">
        <v>2605</v>
      </c>
      <c r="D48" s="2161">
        <v>2</v>
      </c>
      <c r="E48" s="2161" t="s">
        <v>199</v>
      </c>
      <c r="F48" s="2232"/>
      <c r="G48" s="2233"/>
      <c r="H48" s="2202"/>
      <c r="I48" s="2207"/>
      <c r="J48" s="2202" t="s">
        <v>669</v>
      </c>
      <c r="K48" s="2207"/>
      <c r="L48" s="2202"/>
      <c r="M48" s="2207"/>
      <c r="N48" s="2202"/>
      <c r="O48" s="2207"/>
      <c r="P48" s="2202"/>
      <c r="Q48" s="2205"/>
      <c r="R48" s="2202"/>
      <c r="S48" s="2205"/>
    </row>
    <row r="49" spans="1:19" ht="29" x14ac:dyDescent="0.35">
      <c r="A49" s="2204"/>
      <c r="B49" s="2235" t="s">
        <v>2606</v>
      </c>
      <c r="C49" s="2238" t="s">
        <v>2607</v>
      </c>
      <c r="D49" s="2161">
        <v>1</v>
      </c>
      <c r="E49" s="2161" t="s">
        <v>199</v>
      </c>
      <c r="F49" s="2232"/>
      <c r="G49" s="2233"/>
      <c r="H49" s="2202"/>
      <c r="I49" s="2207"/>
      <c r="J49" s="2202" t="s">
        <v>671</v>
      </c>
      <c r="K49" s="2207"/>
      <c r="L49" s="2202"/>
      <c r="M49" s="2207"/>
      <c r="N49" s="2202"/>
      <c r="O49" s="2207"/>
      <c r="P49" s="2202"/>
      <c r="Q49" s="2205"/>
      <c r="R49" s="2202"/>
      <c r="S49" s="2205"/>
    </row>
    <row r="50" spans="1:19" x14ac:dyDescent="0.35">
      <c r="A50" s="2204"/>
      <c r="B50" s="2235"/>
      <c r="C50" s="2238"/>
      <c r="D50" s="2161"/>
      <c r="E50" s="2161"/>
      <c r="F50" s="2232"/>
      <c r="G50" s="2233"/>
      <c r="H50" s="2202"/>
      <c r="I50" s="2207"/>
      <c r="J50" s="2202"/>
      <c r="K50" s="2207"/>
      <c r="L50" s="2202"/>
      <c r="M50" s="2207"/>
      <c r="N50" s="2202"/>
      <c r="O50" s="2207"/>
      <c r="P50" s="2202"/>
      <c r="Q50" s="2205"/>
      <c r="R50" s="2202"/>
      <c r="S50" s="2205"/>
    </row>
    <row r="51" spans="1:19" ht="15" thickBot="1" x14ac:dyDescent="0.4">
      <c r="A51" s="2204"/>
      <c r="B51" s="2235"/>
      <c r="C51" s="2236"/>
      <c r="D51" s="2161"/>
      <c r="E51" s="2161"/>
      <c r="F51" s="2232"/>
      <c r="G51" s="2233"/>
      <c r="H51" s="2202"/>
      <c r="I51" s="2207"/>
      <c r="J51" s="2202"/>
      <c r="K51" s="2207"/>
      <c r="L51" s="2202"/>
      <c r="M51" s="2207"/>
      <c r="N51" s="2202"/>
      <c r="O51" s="2207"/>
      <c r="P51" s="2202"/>
      <c r="Q51" s="2205"/>
      <c r="R51" s="2202"/>
      <c r="S51" s="2205"/>
    </row>
    <row r="52" spans="1:19" ht="15" thickTop="1" x14ac:dyDescent="0.35">
      <c r="A52" s="14"/>
      <c r="B52" s="16"/>
      <c r="C52" s="16"/>
      <c r="D52" s="16"/>
      <c r="E52" s="17"/>
      <c r="F52" s="18" t="s">
        <v>715</v>
      </c>
      <c r="G52" s="19"/>
      <c r="H52" s="20"/>
      <c r="I52" s="50">
        <f>SUM(I23:I51)</f>
        <v>35000</v>
      </c>
      <c r="J52" s="41"/>
      <c r="K52" s="50">
        <f>SUM(K23:K51)</f>
        <v>88080.3</v>
      </c>
      <c r="L52" s="20"/>
      <c r="M52" s="50">
        <f>SUM(M23:M51)</f>
        <v>0</v>
      </c>
      <c r="N52" s="20"/>
      <c r="O52" s="50">
        <f>SUM(O23:O51)</f>
        <v>0</v>
      </c>
      <c r="P52" s="20"/>
      <c r="Q52" s="50">
        <f>SUM(Q23:Q51)</f>
        <v>0</v>
      </c>
      <c r="R52" s="20"/>
      <c r="S52" s="50">
        <f>SUM(S23:S51)</f>
        <v>0</v>
      </c>
    </row>
    <row r="53" spans="1:19" x14ac:dyDescent="0.35">
      <c r="A53" s="2239"/>
      <c r="B53" s="2240"/>
      <c r="C53" s="2241"/>
      <c r="D53" s="2241"/>
      <c r="E53" s="2242"/>
      <c r="F53" s="2243" t="s">
        <v>716</v>
      </c>
      <c r="G53" s="2244"/>
      <c r="H53" s="2245">
        <v>0</v>
      </c>
      <c r="I53" s="2246"/>
      <c r="J53" s="2247">
        <v>0</v>
      </c>
      <c r="K53" s="2246"/>
      <c r="L53" s="2245">
        <v>0</v>
      </c>
      <c r="M53" s="2246"/>
      <c r="N53" s="2245">
        <v>0</v>
      </c>
      <c r="O53" s="2246"/>
      <c r="P53" s="2245">
        <v>0</v>
      </c>
      <c r="Q53" s="2246"/>
      <c r="R53" s="2245">
        <v>0</v>
      </c>
      <c r="S53" s="2246"/>
    </row>
    <row r="54" spans="1:19" x14ac:dyDescent="0.35">
      <c r="A54" s="2239"/>
      <c r="B54" s="2240"/>
      <c r="C54" s="2241"/>
      <c r="D54" s="2241"/>
      <c r="E54" s="2242"/>
      <c r="F54" s="2243" t="s">
        <v>717</v>
      </c>
      <c r="G54" s="2244"/>
      <c r="H54" s="2248"/>
      <c r="I54" s="2249">
        <f>H53*I52</f>
        <v>0</v>
      </c>
      <c r="J54" s="2250"/>
      <c r="K54" s="2249">
        <f>J53*K52</f>
        <v>0</v>
      </c>
      <c r="L54" s="2248"/>
      <c r="M54" s="2249">
        <f>L53*M52</f>
        <v>0</v>
      </c>
      <c r="N54" s="2248"/>
      <c r="O54" s="2249">
        <f>N53*O52</f>
        <v>0</v>
      </c>
      <c r="P54" s="2248"/>
      <c r="Q54" s="2249">
        <f>P53*Q52</f>
        <v>0</v>
      </c>
      <c r="R54" s="2248"/>
      <c r="S54" s="2249">
        <f>R53*S52</f>
        <v>0</v>
      </c>
    </row>
    <row r="55" spans="1:19" x14ac:dyDescent="0.35">
      <c r="A55" s="2239"/>
      <c r="B55" s="2240"/>
      <c r="C55" s="2241"/>
      <c r="D55" s="2241"/>
      <c r="E55" s="2242"/>
      <c r="F55" s="2243"/>
      <c r="G55" s="2244"/>
      <c r="H55" s="2248"/>
      <c r="I55" s="2251"/>
      <c r="J55" s="2250"/>
      <c r="K55" s="2251"/>
      <c r="L55" s="2248"/>
      <c r="M55" s="2251"/>
      <c r="N55" s="2248"/>
      <c r="O55" s="2251"/>
      <c r="P55" s="2248"/>
      <c r="Q55" s="2251"/>
      <c r="R55" s="2248"/>
      <c r="S55" s="2251"/>
    </row>
    <row r="56" spans="1:19" x14ac:dyDescent="0.35">
      <c r="A56" s="2239"/>
      <c r="B56" s="2240"/>
      <c r="C56" s="2241"/>
      <c r="D56" s="2241"/>
      <c r="E56" s="2242"/>
      <c r="F56" s="2243" t="s">
        <v>718</v>
      </c>
      <c r="G56" s="2244"/>
      <c r="H56" s="2252"/>
      <c r="I56" s="2253">
        <f>SUM(I52:I54)</f>
        <v>35000</v>
      </c>
      <c r="J56" s="2254"/>
      <c r="K56" s="2253">
        <f>SUM(K52:K54)</f>
        <v>88080.3</v>
      </c>
      <c r="L56" s="2252"/>
      <c r="M56" s="2253">
        <f>SUM(M52:M54)</f>
        <v>0</v>
      </c>
      <c r="N56" s="2252"/>
      <c r="O56" s="2253">
        <f>SUM(O52:O54)</f>
        <v>0</v>
      </c>
      <c r="P56" s="2252"/>
      <c r="Q56" s="2253">
        <f>SUM(Q52:Q54)</f>
        <v>0</v>
      </c>
      <c r="R56" s="2252"/>
      <c r="S56" s="2253">
        <f>SUM(S52:S54)</f>
        <v>0</v>
      </c>
    </row>
    <row r="57" spans="1:19" x14ac:dyDescent="0.35">
      <c r="A57" s="2239"/>
      <c r="B57" s="2240"/>
      <c r="C57" s="2241"/>
      <c r="D57" s="2241"/>
      <c r="E57" s="2242"/>
      <c r="F57" s="2255" t="s">
        <v>719</v>
      </c>
      <c r="G57" s="2256"/>
      <c r="H57" s="2257"/>
      <c r="I57" s="2258" t="e">
        <f>I56/#REF!</f>
        <v>#REF!</v>
      </c>
      <c r="J57" s="2259"/>
      <c r="K57" s="2258" t="e">
        <f>K56/#REF!</f>
        <v>#REF!</v>
      </c>
      <c r="L57" s="2257"/>
      <c r="M57" s="2258" t="e">
        <f>M56/#REF!</f>
        <v>#REF!</v>
      </c>
      <c r="N57" s="2257"/>
      <c r="O57" s="2258" t="e">
        <f>O56/#REF!</f>
        <v>#REF!</v>
      </c>
      <c r="P57" s="2257"/>
      <c r="Q57" s="2258" t="e">
        <f>Q56/#REF!</f>
        <v>#REF!</v>
      </c>
      <c r="R57" s="2257"/>
      <c r="S57" s="2258" t="e">
        <f>S56/#REF!</f>
        <v>#REF!</v>
      </c>
    </row>
    <row r="58" spans="1:19" x14ac:dyDescent="0.35">
      <c r="A58" s="2239"/>
      <c r="B58" s="2240"/>
      <c r="C58" s="2241"/>
      <c r="D58" s="2241"/>
      <c r="E58" s="2242"/>
      <c r="F58" s="2255" t="s">
        <v>720</v>
      </c>
      <c r="G58" s="2260"/>
      <c r="H58" s="2257"/>
      <c r="I58" s="2258" t="e">
        <f>I56/#REF!</f>
        <v>#REF!</v>
      </c>
      <c r="J58" s="2259"/>
      <c r="K58" s="2258" t="e">
        <f>K56/#REF!</f>
        <v>#REF!</v>
      </c>
      <c r="L58" s="2257"/>
      <c r="M58" s="2258" t="e">
        <f>M56/#REF!</f>
        <v>#REF!</v>
      </c>
      <c r="N58" s="2257"/>
      <c r="O58" s="2258" t="e">
        <f>O56/#REF!</f>
        <v>#REF!</v>
      </c>
      <c r="P58" s="2257"/>
      <c r="Q58" s="2258" t="e">
        <f>Q56/#REF!</f>
        <v>#REF!</v>
      </c>
      <c r="R58" s="2257"/>
      <c r="S58" s="2258" t="e">
        <f>S56/#REF!</f>
        <v>#REF!</v>
      </c>
    </row>
    <row r="59" spans="1:19" ht="15" thickBot="1" x14ac:dyDescent="0.4">
      <c r="A59" s="2239"/>
      <c r="B59" s="2240"/>
      <c r="C59" s="2241"/>
      <c r="D59" s="2241"/>
      <c r="E59" s="2242"/>
      <c r="F59" s="2243"/>
      <c r="G59" s="2261"/>
      <c r="H59" s="2077"/>
      <c r="I59" s="2262"/>
      <c r="J59" s="2263"/>
      <c r="K59" s="2262"/>
      <c r="L59" s="2077"/>
      <c r="M59" s="2262"/>
      <c r="N59" s="2077"/>
      <c r="O59" s="2262"/>
      <c r="P59" s="2077"/>
      <c r="Q59" s="2262"/>
      <c r="R59" s="2077"/>
      <c r="S59" s="2262"/>
    </row>
    <row r="60" spans="1:19" ht="15.5" thickTop="1" thickBot="1" x14ac:dyDescent="0.4">
      <c r="A60" s="3764" t="s">
        <v>721</v>
      </c>
      <c r="B60" s="3765"/>
      <c r="C60" s="12"/>
      <c r="D60" s="12"/>
      <c r="E60" s="12"/>
      <c r="F60" s="12"/>
      <c r="G60" s="13"/>
      <c r="H60" s="21"/>
      <c r="I60" s="21"/>
      <c r="J60" s="42"/>
      <c r="K60" s="21"/>
      <c r="L60" s="21"/>
      <c r="M60" s="21"/>
      <c r="N60" s="21"/>
      <c r="O60" s="21"/>
      <c r="P60" s="21"/>
      <c r="Q60" s="21"/>
      <c r="R60" s="21"/>
      <c r="S60" s="21"/>
    </row>
    <row r="61" spans="1:19" ht="15" thickTop="1" x14ac:dyDescent="0.35">
      <c r="A61" s="2150"/>
      <c r="B61" s="2160"/>
      <c r="C61" s="2264"/>
      <c r="D61" s="2264"/>
      <c r="E61" s="2264"/>
      <c r="F61" s="2264"/>
      <c r="G61" s="2265"/>
      <c r="H61" s="2151"/>
      <c r="I61" s="2151"/>
      <c r="J61" s="2266"/>
      <c r="K61" s="2151"/>
      <c r="L61" s="2151"/>
      <c r="M61" s="2151"/>
      <c r="N61" s="2151"/>
      <c r="O61" s="2151"/>
      <c r="P61" s="2151"/>
      <c r="Q61" s="2151"/>
      <c r="R61" s="2151"/>
      <c r="S61" s="2151"/>
    </row>
    <row r="62" spans="1:19" s="2" customFormat="1" x14ac:dyDescent="0.35">
      <c r="A62" s="2150"/>
      <c r="B62" s="2160"/>
      <c r="C62" s="2264"/>
      <c r="D62" s="2264"/>
      <c r="E62" s="2264"/>
      <c r="F62" s="2264"/>
      <c r="G62" s="2265"/>
      <c r="H62" s="2151"/>
      <c r="I62" s="2151"/>
      <c r="J62" s="2266"/>
      <c r="K62" s="2151"/>
      <c r="L62" s="2151"/>
      <c r="M62" s="2151"/>
      <c r="N62" s="2151"/>
      <c r="O62" s="2151"/>
      <c r="P62" s="2151"/>
      <c r="Q62" s="2151"/>
      <c r="R62" s="2151"/>
      <c r="S62" s="2151"/>
    </row>
    <row r="63" spans="1:19" s="2" customFormat="1" ht="15" thickBot="1" x14ac:dyDescent="0.4">
      <c r="A63" s="2150"/>
      <c r="B63" s="2160"/>
      <c r="C63" s="2264"/>
      <c r="D63" s="2264"/>
      <c r="E63" s="2264"/>
      <c r="F63" s="2264"/>
      <c r="G63" s="2265"/>
      <c r="H63" s="2151"/>
      <c r="I63" s="2151"/>
      <c r="J63" s="2266"/>
      <c r="K63" s="2151"/>
      <c r="L63" s="2151"/>
      <c r="M63" s="2151"/>
      <c r="N63" s="2151"/>
      <c r="O63" s="2151"/>
      <c r="P63" s="2151"/>
      <c r="Q63" s="2151"/>
      <c r="R63" s="2151"/>
      <c r="S63" s="2151"/>
    </row>
    <row r="64" spans="1:19" ht="15.5" thickTop="1" thickBot="1" x14ac:dyDescent="0.4">
      <c r="A64" s="3764" t="s">
        <v>722</v>
      </c>
      <c r="B64" s="3765"/>
      <c r="C64" s="12"/>
      <c r="D64" s="12"/>
      <c r="E64" s="12"/>
      <c r="F64" s="12"/>
      <c r="G64" s="13"/>
      <c r="H64" s="21"/>
      <c r="I64" s="21"/>
      <c r="J64" s="42"/>
      <c r="K64" s="21"/>
      <c r="L64" s="21"/>
      <c r="M64" s="21"/>
      <c r="N64" s="21"/>
      <c r="O64" s="21"/>
      <c r="P64" s="21"/>
      <c r="Q64" s="21"/>
      <c r="R64" s="21"/>
      <c r="S64" s="21"/>
    </row>
    <row r="65" spans="1:19" s="2" customFormat="1" ht="15" thickTop="1" x14ac:dyDescent="0.35">
      <c r="A65" s="2150"/>
      <c r="B65" s="2160"/>
      <c r="C65" s="2264"/>
      <c r="D65" s="2264"/>
      <c r="E65" s="2264"/>
      <c r="F65" s="2264"/>
      <c r="G65" s="2265"/>
      <c r="H65" s="2151"/>
      <c r="I65" s="2151"/>
      <c r="J65" s="2266"/>
      <c r="K65" s="2151"/>
      <c r="L65" s="2151"/>
      <c r="M65" s="2151"/>
      <c r="N65" s="2151"/>
      <c r="O65" s="2151"/>
      <c r="P65" s="2151"/>
      <c r="Q65" s="2151"/>
      <c r="R65" s="2151"/>
      <c r="S65" s="2151"/>
    </row>
    <row r="66" spans="1:19" s="2" customFormat="1" x14ac:dyDescent="0.35">
      <c r="A66" s="2150"/>
      <c r="B66" s="2160"/>
      <c r="C66" s="2264"/>
      <c r="D66" s="2264"/>
      <c r="E66" s="2264"/>
      <c r="F66" s="2264"/>
      <c r="G66" s="2265"/>
      <c r="H66" s="2151"/>
      <c r="I66" s="2151"/>
      <c r="J66" s="2266"/>
      <c r="K66" s="2151"/>
      <c r="L66" s="2151"/>
      <c r="M66" s="2151"/>
      <c r="N66" s="2151"/>
      <c r="O66" s="2151"/>
      <c r="P66" s="2151"/>
      <c r="Q66" s="2151"/>
      <c r="R66" s="2151"/>
      <c r="S66" s="2151"/>
    </row>
    <row r="67" spans="1:19" ht="15" thickBot="1" x14ac:dyDescent="0.4">
      <c r="A67" s="2150"/>
      <c r="B67" s="2160"/>
      <c r="C67" s="2264"/>
      <c r="D67" s="2264"/>
      <c r="E67" s="2264"/>
      <c r="F67" s="2264"/>
      <c r="G67" s="2265"/>
      <c r="H67" s="2151"/>
      <c r="I67" s="2151"/>
      <c r="J67" s="2266"/>
      <c r="K67" s="2151"/>
      <c r="L67" s="2151"/>
      <c r="M67" s="2151"/>
      <c r="N67" s="2151"/>
      <c r="O67" s="2151"/>
      <c r="P67" s="2151"/>
      <c r="Q67" s="2151"/>
      <c r="R67" s="2151"/>
      <c r="S67" s="2151"/>
    </row>
    <row r="68" spans="1:19" ht="15.5" thickTop="1" thickBot="1" x14ac:dyDescent="0.4">
      <c r="A68" s="3764" t="s">
        <v>723</v>
      </c>
      <c r="B68" s="3765"/>
      <c r="C68" s="12"/>
      <c r="D68" s="12"/>
      <c r="E68" s="12"/>
      <c r="F68" s="12"/>
      <c r="G68" s="13"/>
      <c r="H68" s="21"/>
      <c r="I68" s="21"/>
      <c r="J68" s="42"/>
      <c r="K68" s="21"/>
      <c r="L68" s="21"/>
      <c r="M68" s="21"/>
      <c r="N68" s="21"/>
      <c r="O68" s="21"/>
      <c r="P68" s="21"/>
      <c r="Q68" s="21"/>
      <c r="R68" s="21"/>
      <c r="S68" s="21"/>
    </row>
    <row r="69" spans="1:19" ht="15" thickTop="1" x14ac:dyDescent="0.35">
      <c r="A69" s="2150"/>
      <c r="B69" s="2160"/>
      <c r="C69" s="2264"/>
      <c r="D69" s="2264"/>
      <c r="E69" s="2264"/>
      <c r="F69" s="2264"/>
      <c r="G69" s="2265"/>
      <c r="H69" s="2151"/>
      <c r="I69" s="2151"/>
      <c r="J69" s="2266"/>
      <c r="K69" s="2151"/>
      <c r="L69" s="2151"/>
      <c r="M69" s="2151"/>
      <c r="N69" s="2151"/>
      <c r="O69" s="2151"/>
      <c r="P69" s="2151"/>
      <c r="Q69" s="2151"/>
      <c r="R69" s="2151"/>
      <c r="S69" s="2151"/>
    </row>
    <row r="70" spans="1:19" x14ac:dyDescent="0.35">
      <c r="A70" s="2106"/>
      <c r="B70" s="2160"/>
      <c r="C70" s="2161"/>
      <c r="D70" s="2161"/>
      <c r="E70" s="2161"/>
      <c r="F70" s="2161"/>
      <c r="G70" s="2198"/>
      <c r="H70" s="2267"/>
      <c r="I70" s="2267"/>
      <c r="J70" s="2268"/>
      <c r="K70" s="2267"/>
      <c r="L70" s="2267"/>
      <c r="M70" s="2267"/>
      <c r="N70" s="2267"/>
      <c r="O70" s="2267"/>
      <c r="P70" s="2267"/>
      <c r="Q70" s="2267"/>
      <c r="R70" s="2267"/>
      <c r="S70" s="2267"/>
    </row>
    <row r="71" spans="1:19" ht="15" thickBot="1" x14ac:dyDescent="0.4">
      <c r="A71" s="2269"/>
      <c r="B71" s="2270"/>
      <c r="C71" s="2161"/>
      <c r="D71" s="2161"/>
      <c r="E71" s="2161"/>
      <c r="F71" s="2161"/>
      <c r="G71" s="2198"/>
      <c r="H71" s="2271"/>
      <c r="I71" s="2271"/>
      <c r="J71" s="2272"/>
      <c r="K71" s="2271"/>
      <c r="L71" s="2271"/>
      <c r="M71" s="2271"/>
      <c r="N71" s="2271"/>
      <c r="O71" s="2271"/>
      <c r="P71" s="2271"/>
      <c r="Q71" s="2271"/>
      <c r="R71" s="2271"/>
      <c r="S71" s="2271"/>
    </row>
    <row r="72" spans="1:19" ht="15.5" thickTop="1" thickBot="1" x14ac:dyDescent="0.4">
      <c r="A72" s="3764" t="s">
        <v>724</v>
      </c>
      <c r="B72" s="3765"/>
      <c r="C72" s="12"/>
      <c r="D72" s="12"/>
      <c r="E72" s="12"/>
      <c r="F72" s="12"/>
      <c r="G72" s="13"/>
      <c r="H72" s="21"/>
      <c r="I72" s="21"/>
      <c r="J72" s="42"/>
      <c r="K72" s="21"/>
      <c r="L72" s="21"/>
      <c r="M72" s="21"/>
      <c r="N72" s="21"/>
      <c r="O72" s="21"/>
      <c r="P72" s="21"/>
      <c r="Q72" s="21"/>
      <c r="R72" s="21"/>
      <c r="S72" s="21"/>
    </row>
    <row r="73" spans="1:19" ht="15" thickTop="1" x14ac:dyDescent="0.35">
      <c r="A73" s="2154"/>
      <c r="B73" s="2034"/>
      <c r="C73" s="2264"/>
      <c r="D73" s="2264"/>
      <c r="E73" s="2264"/>
      <c r="F73" s="2264"/>
      <c r="G73" s="2265"/>
      <c r="H73" s="2151"/>
      <c r="I73" s="2151"/>
      <c r="J73" s="2266"/>
      <c r="K73" s="2151"/>
      <c r="L73" s="2151"/>
      <c r="M73" s="2151"/>
      <c r="N73" s="2151"/>
      <c r="O73" s="2151"/>
      <c r="P73" s="2151"/>
      <c r="Q73" s="2151"/>
      <c r="R73" s="2151"/>
      <c r="S73" s="2151"/>
    </row>
    <row r="74" spans="1:19" x14ac:dyDescent="0.35">
      <c r="A74" s="2269"/>
      <c r="B74" s="2270"/>
      <c r="C74" s="2161"/>
      <c r="D74" s="2161"/>
      <c r="E74" s="2161"/>
      <c r="F74" s="2161"/>
      <c r="G74" s="2198"/>
      <c r="H74" s="2273"/>
      <c r="I74" s="2273"/>
      <c r="J74" s="2274"/>
      <c r="K74" s="2273"/>
      <c r="L74" s="2273"/>
      <c r="M74" s="2273"/>
      <c r="N74" s="2273"/>
      <c r="O74" s="2273"/>
      <c r="P74" s="2273"/>
      <c r="Q74" s="2273"/>
      <c r="R74" s="2273"/>
      <c r="S74" s="2273"/>
    </row>
    <row r="75" spans="1:19" ht="15" thickBot="1" x14ac:dyDescent="0.4">
      <c r="A75" s="2269"/>
      <c r="B75" s="2270"/>
      <c r="C75" s="2161"/>
      <c r="D75" s="2161"/>
      <c r="E75" s="2161"/>
      <c r="F75" s="2161"/>
      <c r="G75" s="2198"/>
      <c r="H75" s="2273"/>
      <c r="I75" s="2273"/>
      <c r="J75" s="2274"/>
      <c r="K75" s="2273"/>
      <c r="L75" s="2273"/>
      <c r="M75" s="2273"/>
      <c r="N75" s="2273"/>
      <c r="O75" s="2273"/>
      <c r="P75" s="2273"/>
      <c r="Q75" s="2273"/>
      <c r="R75" s="2273"/>
      <c r="S75" s="2273"/>
    </row>
    <row r="76" spans="1:19" ht="15.5" thickTop="1" thickBot="1" x14ac:dyDescent="0.4">
      <c r="A76" s="3764" t="s">
        <v>725</v>
      </c>
      <c r="B76" s="3765"/>
      <c r="C76" s="12"/>
      <c r="D76" s="12"/>
      <c r="E76" s="12"/>
      <c r="F76" s="12"/>
      <c r="G76" s="13"/>
      <c r="H76" s="21"/>
      <c r="I76" s="21"/>
      <c r="J76" s="42"/>
      <c r="K76" s="21"/>
      <c r="L76" s="21"/>
      <c r="M76" s="21"/>
      <c r="N76" s="21"/>
      <c r="O76" s="21"/>
      <c r="P76" s="21"/>
      <c r="Q76" s="21"/>
      <c r="R76" s="21"/>
      <c r="S76" s="21"/>
    </row>
    <row r="77" spans="1:19" ht="15" thickTop="1" x14ac:dyDescent="0.35">
      <c r="A77" s="2106"/>
      <c r="B77" s="2160" t="s">
        <v>726</v>
      </c>
      <c r="C77" s="2161"/>
      <c r="D77" s="2161"/>
      <c r="E77" s="2161"/>
      <c r="F77" s="2161"/>
      <c r="G77" s="2198"/>
      <c r="H77" s="2273"/>
      <c r="I77" s="2273"/>
      <c r="J77" s="2274"/>
      <c r="K77" s="2273"/>
      <c r="L77" s="2273"/>
      <c r="M77" s="2273"/>
      <c r="N77" s="2273"/>
      <c r="O77" s="2273"/>
      <c r="P77" s="2273"/>
      <c r="Q77" s="2273"/>
      <c r="R77" s="2273"/>
      <c r="S77" s="2273"/>
    </row>
    <row r="78" spans="1:19" x14ac:dyDescent="0.35">
      <c r="A78" s="2106"/>
      <c r="B78" s="2160" t="s">
        <v>727</v>
      </c>
      <c r="C78" s="2161"/>
      <c r="D78" s="2161"/>
      <c r="E78" s="2161"/>
      <c r="F78" s="2161"/>
      <c r="G78" s="2198"/>
      <c r="H78" s="2273"/>
      <c r="I78" s="2273"/>
      <c r="J78" s="2274"/>
      <c r="K78" s="2273"/>
      <c r="L78" s="2273"/>
      <c r="M78" s="2273"/>
      <c r="N78" s="2273"/>
      <c r="O78" s="2273"/>
      <c r="P78" s="2273"/>
      <c r="Q78" s="2273"/>
      <c r="R78" s="2273"/>
      <c r="S78" s="2273"/>
    </row>
    <row r="79" spans="1:19" x14ac:dyDescent="0.35">
      <c r="A79" s="2106"/>
      <c r="B79" s="2160" t="s">
        <v>728</v>
      </c>
      <c r="C79" s="2161"/>
      <c r="D79" s="2161"/>
      <c r="E79" s="2161"/>
      <c r="F79" s="2161"/>
      <c r="G79" s="2198"/>
      <c r="H79" s="2273"/>
      <c r="I79" s="2273"/>
      <c r="J79" s="2274"/>
      <c r="K79" s="2273"/>
      <c r="L79" s="2273"/>
      <c r="M79" s="2273"/>
      <c r="N79" s="2273"/>
      <c r="O79" s="2273"/>
      <c r="P79" s="2273"/>
      <c r="Q79" s="2273"/>
      <c r="R79" s="2273"/>
      <c r="S79" s="2273"/>
    </row>
    <row r="80" spans="1:19" x14ac:dyDescent="0.35">
      <c r="A80" s="2106"/>
      <c r="B80" s="2160" t="s">
        <v>729</v>
      </c>
      <c r="C80" s="2161"/>
      <c r="D80" s="2161"/>
      <c r="E80" s="2161"/>
      <c r="F80" s="2161"/>
      <c r="G80" s="2198"/>
      <c r="H80" s="2273"/>
      <c r="I80" s="2273"/>
      <c r="J80" s="2274"/>
      <c r="K80" s="2273"/>
      <c r="L80" s="2273"/>
      <c r="M80" s="2273"/>
      <c r="N80" s="2273"/>
      <c r="O80" s="2273"/>
      <c r="P80" s="2273"/>
      <c r="Q80" s="2273"/>
      <c r="R80" s="2273"/>
      <c r="S80" s="2273"/>
    </row>
    <row r="81" spans="1:19" ht="15" thickBot="1" x14ac:dyDescent="0.4">
      <c r="A81" s="978"/>
      <c r="B81" s="939"/>
      <c r="C81" s="940"/>
      <c r="D81" s="940"/>
      <c r="E81" s="940"/>
      <c r="F81" s="940"/>
      <c r="G81" s="1039"/>
      <c r="H81" s="981"/>
      <c r="I81" s="981"/>
      <c r="J81" s="980"/>
      <c r="K81" s="981"/>
      <c r="L81" s="981"/>
      <c r="M81" s="981"/>
      <c r="N81" s="981"/>
      <c r="O81" s="981"/>
      <c r="P81" s="981"/>
      <c r="Q81" s="981"/>
      <c r="R81" s="981"/>
      <c r="S81" s="981"/>
    </row>
    <row r="82" spans="1:19" ht="15.5" thickTop="1" thickBot="1" x14ac:dyDescent="0.4">
      <c r="A82" s="7" t="s">
        <v>730</v>
      </c>
      <c r="B82" s="8"/>
      <c r="C82" s="12"/>
      <c r="D82" s="12"/>
      <c r="E82" s="12"/>
      <c r="F82" s="12"/>
      <c r="G82" s="13"/>
      <c r="H82" s="21"/>
      <c r="I82" s="21"/>
      <c r="J82" s="42"/>
      <c r="K82" s="21"/>
      <c r="L82" s="21"/>
      <c r="M82" s="21"/>
      <c r="N82" s="21"/>
      <c r="O82" s="21"/>
      <c r="P82" s="21"/>
      <c r="Q82" s="21"/>
      <c r="R82" s="21"/>
      <c r="S82" s="21"/>
    </row>
    <row r="83" spans="1:19" ht="15" thickTop="1" x14ac:dyDescent="0.35">
      <c r="A83" s="2150"/>
      <c r="B83" s="2156" t="s">
        <v>731</v>
      </c>
      <c r="C83" s="2264"/>
      <c r="D83" s="2264"/>
      <c r="E83" s="2264"/>
      <c r="F83" s="2264"/>
      <c r="G83" s="2265"/>
      <c r="H83" s="2157"/>
      <c r="I83" s="2157"/>
      <c r="J83" s="2205"/>
      <c r="K83" s="2157"/>
      <c r="L83" s="2157"/>
      <c r="M83" s="2157"/>
      <c r="N83" s="2157"/>
      <c r="O83" s="2157"/>
      <c r="P83" s="2157"/>
      <c r="Q83" s="2157"/>
      <c r="R83" s="2157"/>
      <c r="S83" s="2157"/>
    </row>
    <row r="84" spans="1:19" x14ac:dyDescent="0.35">
      <c r="A84" s="2106"/>
      <c r="B84" s="2160" t="s">
        <v>732</v>
      </c>
      <c r="C84" s="2161"/>
      <c r="D84" s="2161"/>
      <c r="E84" s="2161"/>
      <c r="F84" s="2161"/>
      <c r="G84" s="2198"/>
      <c r="H84" s="2275"/>
      <c r="I84" s="2275"/>
      <c r="J84" s="2276"/>
      <c r="K84" s="2275"/>
      <c r="L84" s="2275"/>
      <c r="M84" s="2275"/>
      <c r="N84" s="2275"/>
      <c r="O84" s="2275"/>
      <c r="P84" s="2275"/>
      <c r="Q84" s="2275"/>
      <c r="R84" s="2275"/>
      <c r="S84" s="2275"/>
    </row>
    <row r="85" spans="1:19" ht="15" thickBot="1" x14ac:dyDescent="0.4">
      <c r="A85" s="2089"/>
      <c r="B85" s="2090" t="s">
        <v>733</v>
      </c>
      <c r="C85" s="2091"/>
      <c r="D85" s="2091"/>
      <c r="E85" s="2091"/>
      <c r="F85" s="2091"/>
      <c r="G85" s="2092"/>
      <c r="H85" s="2093"/>
      <c r="I85" s="2093"/>
      <c r="J85" s="2277"/>
      <c r="K85" s="2093"/>
      <c r="L85" s="2093"/>
      <c r="M85" s="2093"/>
      <c r="N85" s="2093"/>
      <c r="O85" s="2093"/>
      <c r="P85" s="2093"/>
      <c r="Q85" s="2093"/>
      <c r="R85" s="2093"/>
      <c r="S85" s="2093"/>
    </row>
    <row r="86" spans="1:19" ht="15.5" thickTop="1" thickBot="1" x14ac:dyDescent="0.4"/>
    <row r="87" spans="1:19" ht="15.5" thickTop="1" thickBot="1" x14ac:dyDescent="0.4">
      <c r="A87" s="78" t="s">
        <v>734</v>
      </c>
      <c r="B87" s="80"/>
    </row>
    <row r="88" spans="1:19" ht="15" thickTop="1" x14ac:dyDescent="0.35">
      <c r="A88" s="79" t="s">
        <v>632</v>
      </c>
      <c r="B88" s="2278" t="str">
        <f>J4</f>
        <v>Creative Sign Design</v>
      </c>
    </row>
    <row r="89" spans="1:19" x14ac:dyDescent="0.35">
      <c r="A89" s="2279" t="s">
        <v>636</v>
      </c>
      <c r="B89" s="2278">
        <f>J5</f>
        <v>0</v>
      </c>
    </row>
    <row r="90" spans="1:19" x14ac:dyDescent="0.35">
      <c r="A90" s="2280" t="s">
        <v>639</v>
      </c>
      <c r="B90" s="2281">
        <f>J6</f>
        <v>0</v>
      </c>
    </row>
    <row r="91" spans="1:19" x14ac:dyDescent="0.35">
      <c r="A91" s="2280" t="s">
        <v>642</v>
      </c>
      <c r="B91" s="2282">
        <f>J7</f>
        <v>0</v>
      </c>
    </row>
    <row r="92" spans="1:19" ht="15" thickBot="1" x14ac:dyDescent="0.4">
      <c r="A92" s="2099" t="s">
        <v>735</v>
      </c>
      <c r="B92" s="2100">
        <f>J8</f>
        <v>88080.3</v>
      </c>
    </row>
    <row r="93" spans="1:19" ht="15" thickTop="1" x14ac:dyDescent="0.35"/>
    <row r="94" spans="1:19" x14ac:dyDescent="0.35">
      <c r="A94" s="81"/>
      <c r="B94" s="1" t="s">
        <v>736</v>
      </c>
    </row>
    <row r="95" spans="1:19" x14ac:dyDescent="0.35">
      <c r="A95" s="82"/>
      <c r="B95" s="1" t="s">
        <v>737</v>
      </c>
    </row>
  </sheetData>
  <mergeCells count="47">
    <mergeCell ref="A60:B60"/>
    <mergeCell ref="A64:B64"/>
    <mergeCell ref="A68:B68"/>
    <mergeCell ref="A72:B72"/>
    <mergeCell ref="A76:B76"/>
    <mergeCell ref="R4:S4"/>
    <mergeCell ref="R5:S5"/>
    <mergeCell ref="R6:S6"/>
    <mergeCell ref="R7:S7"/>
    <mergeCell ref="R8:S8"/>
    <mergeCell ref="H8:I8"/>
    <mergeCell ref="J8:K8"/>
    <mergeCell ref="L8:M8"/>
    <mergeCell ref="N8:O8"/>
    <mergeCell ref="P8:Q8"/>
    <mergeCell ref="H6:I6"/>
    <mergeCell ref="J6:K6"/>
    <mergeCell ref="L6:M6"/>
    <mergeCell ref="N6:O6"/>
    <mergeCell ref="P6:Q6"/>
    <mergeCell ref="H7:I7"/>
    <mergeCell ref="J7:K7"/>
    <mergeCell ref="L7:M7"/>
    <mergeCell ref="N7:O7"/>
    <mergeCell ref="P7:Q7"/>
    <mergeCell ref="H4:I4"/>
    <mergeCell ref="J4:K4"/>
    <mergeCell ref="L4:M4"/>
    <mergeCell ref="N4:O4"/>
    <mergeCell ref="P4:Q4"/>
    <mergeCell ref="H5:I5"/>
    <mergeCell ref="J5:K5"/>
    <mergeCell ref="L5:M5"/>
    <mergeCell ref="N5:O5"/>
    <mergeCell ref="P5:Q5"/>
    <mergeCell ref="R3:S3"/>
    <mergeCell ref="H2:I2"/>
    <mergeCell ref="J2:K2"/>
    <mergeCell ref="L2:M2"/>
    <mergeCell ref="N2:O2"/>
    <mergeCell ref="P2:Q2"/>
    <mergeCell ref="R2:S2"/>
    <mergeCell ref="H3:I3"/>
    <mergeCell ref="J3:K3"/>
    <mergeCell ref="L3:M3"/>
    <mergeCell ref="N3:O3"/>
    <mergeCell ref="P3:Q3"/>
  </mergeCells>
  <conditionalFormatting sqref="H20:H32">
    <cfRule type="cellIs" dxfId="1483" priority="11" operator="equal">
      <formula>"X"</formula>
    </cfRule>
    <cfRule type="cellIs" dxfId="1482" priority="12" operator="equal">
      <formula>"I"</formula>
    </cfRule>
  </conditionalFormatting>
  <conditionalFormatting sqref="H34:H51">
    <cfRule type="cellIs" dxfId="1481" priority="17" operator="equal">
      <formula>"X"</formula>
    </cfRule>
    <cfRule type="cellIs" dxfId="1480" priority="18" operator="equal">
      <formula>"I"</formula>
    </cfRule>
  </conditionalFormatting>
  <conditionalFormatting sqref="J20:J32">
    <cfRule type="cellIs" dxfId="1479" priority="5" operator="equal">
      <formula>"X"</formula>
    </cfRule>
    <cfRule type="cellIs" dxfId="1478" priority="6" operator="equal">
      <formula>"I"</formula>
    </cfRule>
  </conditionalFormatting>
  <conditionalFormatting sqref="J34:J51">
    <cfRule type="cellIs" dxfId="1477" priority="3" operator="equal">
      <formula>"X"</formula>
    </cfRule>
    <cfRule type="cellIs" dxfId="1476" priority="4" operator="equal">
      <formula>"I"</formula>
    </cfRule>
  </conditionalFormatting>
  <conditionalFormatting sqref="L20:L32">
    <cfRule type="cellIs" dxfId="1475" priority="1" operator="equal">
      <formula>"X"</formula>
    </cfRule>
    <cfRule type="cellIs" dxfId="1474" priority="2" operator="equal">
      <formula>"I"</formula>
    </cfRule>
  </conditionalFormatting>
  <conditionalFormatting sqref="L34:L51">
    <cfRule type="cellIs" dxfId="1473" priority="25" operator="equal">
      <formula>"X"</formula>
    </cfRule>
    <cfRule type="cellIs" dxfId="1472" priority="26" operator="equal">
      <formula>"I"</formula>
    </cfRule>
  </conditionalFormatting>
  <conditionalFormatting sqref="N20:N32">
    <cfRule type="cellIs" dxfId="1471" priority="31" operator="equal">
      <formula>"X"</formula>
    </cfRule>
    <cfRule type="cellIs" dxfId="1470" priority="32" operator="equal">
      <formula>"I"</formula>
    </cfRule>
  </conditionalFormatting>
  <conditionalFormatting sqref="N34:N51">
    <cfRule type="cellIs" dxfId="1469" priority="29" operator="equal">
      <formula>"X"</formula>
    </cfRule>
    <cfRule type="cellIs" dxfId="1468" priority="30" operator="equal">
      <formula>"I"</formula>
    </cfRule>
  </conditionalFormatting>
  <conditionalFormatting sqref="P20:P32">
    <cfRule type="cellIs" dxfId="1467" priority="35" operator="equal">
      <formula>"X"</formula>
    </cfRule>
    <cfRule type="cellIs" dxfId="1466" priority="36" operator="equal">
      <formula>"I"</formula>
    </cfRule>
  </conditionalFormatting>
  <conditionalFormatting sqref="P34:P51">
    <cfRule type="cellIs" dxfId="1465" priority="33" operator="equal">
      <formula>"X"</formula>
    </cfRule>
    <cfRule type="cellIs" dxfId="1464" priority="34" operator="equal">
      <formula>"I"</formula>
    </cfRule>
  </conditionalFormatting>
  <conditionalFormatting sqref="R20:R32">
    <cfRule type="cellIs" dxfId="1463" priority="39" operator="equal">
      <formula>"X"</formula>
    </cfRule>
    <cfRule type="cellIs" dxfId="1462" priority="40" operator="equal">
      <formula>"I"</formula>
    </cfRule>
  </conditionalFormatting>
  <conditionalFormatting sqref="R34:R51">
    <cfRule type="cellIs" dxfId="1461" priority="37" operator="equal">
      <formula>"X"</formula>
    </cfRule>
    <cfRule type="cellIs" dxfId="1460" priority="38" operator="equal">
      <formula>"I"</formula>
    </cfRule>
  </conditionalFormatting>
  <hyperlinks>
    <hyperlink ref="B3" location="'Cost Summary'!A1" display="BACK TO SUMMARY SHEET" xr:uid="{139179C1-8E4D-4E5E-AAD5-8E8339568B39}"/>
  </hyperlink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AB1B-525C-4141-A8E4-0D2809A36324}">
  <sheetPr>
    <tabColor rgb="FF92D050"/>
  </sheetPr>
  <dimension ref="A1:S89"/>
  <sheetViews>
    <sheetView zoomScale="89" zoomScaleNormal="89" workbookViewId="0">
      <pane xSplit="2" ySplit="9" topLeftCell="C28" activePane="bottomRight" state="frozen"/>
      <selection pane="topRight" activeCell="C1" sqref="C1"/>
      <selection pane="bottomLeft" activeCell="A10" sqref="A10"/>
      <selection pane="bottomRight" activeCell="B28" sqref="B28"/>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179687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796"/>
      <c r="K4" s="3796"/>
      <c r="L4" s="3752"/>
      <c r="M4" s="3753"/>
      <c r="N4" s="3796"/>
      <c r="O4" s="3796"/>
      <c r="P4" s="3752"/>
      <c r="Q4" s="3753"/>
      <c r="R4" s="3796"/>
      <c r="S4" s="3753"/>
    </row>
    <row r="5" spans="1:19" x14ac:dyDescent="0.35">
      <c r="A5" s="2283" t="s">
        <v>634</v>
      </c>
      <c r="B5" s="2284" t="s">
        <v>2608</v>
      </c>
      <c r="C5" s="2285"/>
      <c r="D5" s="2285"/>
      <c r="E5" s="2285"/>
      <c r="F5" s="2285"/>
      <c r="G5" s="2194" t="s">
        <v>636</v>
      </c>
      <c r="H5" s="3931"/>
      <c r="I5" s="3932"/>
      <c r="J5" s="3933"/>
      <c r="K5" s="3933"/>
      <c r="L5" s="3931"/>
      <c r="M5" s="3932"/>
      <c r="N5" s="3933"/>
      <c r="O5" s="3933"/>
      <c r="P5" s="3931"/>
      <c r="Q5" s="3932"/>
      <c r="R5" s="3933"/>
      <c r="S5" s="3932"/>
    </row>
    <row r="6" spans="1:19" x14ac:dyDescent="0.35">
      <c r="A6" s="2283" t="s">
        <v>638</v>
      </c>
      <c r="B6" s="2195" t="s">
        <v>2609</v>
      </c>
      <c r="C6" s="2285"/>
      <c r="D6" s="2285"/>
      <c r="E6" s="2285"/>
      <c r="F6" s="2285"/>
      <c r="G6" s="2194" t="s">
        <v>639</v>
      </c>
      <c r="H6" s="3937"/>
      <c r="I6" s="3938"/>
      <c r="J6" s="3939"/>
      <c r="K6" s="3939"/>
      <c r="L6" s="3937"/>
      <c r="M6" s="3938"/>
      <c r="N6" s="3939"/>
      <c r="O6" s="3939"/>
      <c r="P6" s="3937"/>
      <c r="Q6" s="3938"/>
      <c r="R6" s="3939"/>
      <c r="S6" s="3938"/>
    </row>
    <row r="7" spans="1:19" x14ac:dyDescent="0.35">
      <c r="A7" s="2283" t="s">
        <v>641</v>
      </c>
      <c r="B7" s="2196"/>
      <c r="C7" s="2285"/>
      <c r="D7" s="2285"/>
      <c r="E7" s="2285"/>
      <c r="F7" s="2285"/>
      <c r="G7" s="2194" t="s">
        <v>642</v>
      </c>
      <c r="H7" s="3934"/>
      <c r="I7" s="3935"/>
      <c r="J7" s="3936"/>
      <c r="K7" s="3936"/>
      <c r="L7" s="3934"/>
      <c r="M7" s="3935"/>
      <c r="N7" s="3936"/>
      <c r="O7" s="3936"/>
      <c r="P7" s="3934"/>
      <c r="Q7" s="3935"/>
      <c r="R7" s="3936"/>
      <c r="S7" s="3935"/>
    </row>
    <row r="8" spans="1:19" x14ac:dyDescent="0.35">
      <c r="A8" s="938" t="s">
        <v>644</v>
      </c>
      <c r="B8" s="939"/>
      <c r="C8" s="940"/>
      <c r="D8" s="940"/>
      <c r="E8" s="940"/>
      <c r="F8" s="940"/>
      <c r="G8" s="1024" t="s">
        <v>644</v>
      </c>
      <c r="H8" s="3945">
        <v>0</v>
      </c>
      <c r="I8" s="3944"/>
      <c r="J8" s="3943">
        <v>0</v>
      </c>
      <c r="K8" s="3944"/>
      <c r="L8" s="3945">
        <v>0</v>
      </c>
      <c r="M8" s="3944"/>
      <c r="N8" s="3945">
        <v>0</v>
      </c>
      <c r="O8" s="3943"/>
      <c r="P8" s="3945">
        <v>0</v>
      </c>
      <c r="Q8" s="3944"/>
      <c r="R8" s="3943">
        <v>0</v>
      </c>
      <c r="S8" s="3944"/>
    </row>
    <row r="9" spans="1:19" ht="29" x14ac:dyDescent="0.35">
      <c r="A9" s="7" t="s">
        <v>645</v>
      </c>
      <c r="B9" s="8"/>
      <c r="C9" s="9" t="s">
        <v>646</v>
      </c>
      <c r="D9" s="9" t="s">
        <v>647</v>
      </c>
      <c r="E9" s="9" t="s">
        <v>648</v>
      </c>
      <c r="F9" s="9" t="s">
        <v>649</v>
      </c>
      <c r="G9" s="10" t="s">
        <v>650</v>
      </c>
      <c r="H9" s="11" t="s">
        <v>651</v>
      </c>
      <c r="I9" s="11" t="s">
        <v>652</v>
      </c>
      <c r="J9" s="40" t="s">
        <v>651</v>
      </c>
      <c r="K9" s="11" t="s">
        <v>652</v>
      </c>
      <c r="L9" s="11" t="s">
        <v>651</v>
      </c>
      <c r="M9" s="11" t="s">
        <v>652</v>
      </c>
      <c r="N9" s="11" t="s">
        <v>651</v>
      </c>
      <c r="O9" s="11" t="s">
        <v>652</v>
      </c>
      <c r="P9" s="11" t="s">
        <v>651</v>
      </c>
      <c r="Q9" s="11" t="s">
        <v>652</v>
      </c>
      <c r="R9" s="11" t="s">
        <v>651</v>
      </c>
      <c r="S9" s="11" t="s">
        <v>652</v>
      </c>
    </row>
    <row r="10" spans="1:19" hidden="1" x14ac:dyDescent="0.35">
      <c r="A10" s="2286"/>
      <c r="B10" s="2164" t="s">
        <v>653</v>
      </c>
      <c r="C10" s="2285"/>
      <c r="D10" s="2285"/>
      <c r="E10" s="2285"/>
      <c r="F10" s="2285"/>
      <c r="G10" s="2198"/>
      <c r="H10" s="2107"/>
      <c r="I10" s="2107"/>
      <c r="J10" s="2200"/>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200"/>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200"/>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200"/>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200"/>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200"/>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200"/>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200"/>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200"/>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200"/>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286"/>
      <c r="B21" s="2203" t="s">
        <v>2608</v>
      </c>
      <c r="C21" s="2201"/>
      <c r="D21" s="2285"/>
      <c r="E21" s="2285"/>
      <c r="F21" s="2285"/>
      <c r="G21" s="2198"/>
      <c r="H21" s="2109"/>
      <c r="I21" s="2107"/>
      <c r="J21" s="2109"/>
      <c r="K21" s="2107"/>
      <c r="L21" s="2109"/>
      <c r="M21" s="2107"/>
      <c r="N21" s="2109"/>
      <c r="O21" s="2107"/>
      <c r="P21" s="2109"/>
      <c r="Q21" s="2107"/>
      <c r="R21" s="2109"/>
      <c r="S21" s="2107"/>
    </row>
    <row r="22" spans="1:19" ht="14.25" customHeight="1" x14ac:dyDescent="0.35">
      <c r="A22" s="1349"/>
      <c r="B22" s="606" t="s">
        <v>657</v>
      </c>
      <c r="C22" s="2201"/>
      <c r="D22" s="2285"/>
      <c r="E22" s="2285"/>
      <c r="F22" s="2285"/>
      <c r="G22" s="2198"/>
      <c r="H22" s="2109"/>
      <c r="I22" s="2168"/>
      <c r="J22" s="2109"/>
      <c r="K22" s="2168"/>
      <c r="L22" s="2109"/>
      <c r="M22" s="2168"/>
      <c r="N22" s="2109"/>
      <c r="O22" s="2168"/>
      <c r="P22" s="2109"/>
      <c r="Q22" s="2168"/>
      <c r="R22" s="2109"/>
      <c r="S22" s="2168"/>
    </row>
    <row r="23" spans="1:19" x14ac:dyDescent="0.35">
      <c r="A23" s="1349"/>
      <c r="B23" s="2169" t="s">
        <v>658</v>
      </c>
      <c r="C23" s="2201"/>
      <c r="D23" s="2285"/>
      <c r="E23" s="2285"/>
      <c r="F23" s="2285"/>
      <c r="G23" s="2198"/>
      <c r="H23" s="2109"/>
      <c r="I23" s="2167"/>
      <c r="J23" s="2109"/>
      <c r="K23" s="2168"/>
      <c r="L23" s="2109"/>
      <c r="M23" s="2168"/>
      <c r="N23" s="2109"/>
      <c r="O23" s="2168"/>
      <c r="P23" s="2109"/>
      <c r="Q23" s="2168"/>
      <c r="R23" s="2109"/>
      <c r="S23" s="2168"/>
    </row>
    <row r="24" spans="1:19" x14ac:dyDescent="0.35">
      <c r="A24" s="1349"/>
      <c r="B24" s="2169" t="s">
        <v>659</v>
      </c>
      <c r="C24" s="2208"/>
      <c r="D24" s="2285"/>
      <c r="E24" s="2285"/>
      <c r="F24" s="2285"/>
      <c r="G24" s="2198"/>
      <c r="H24" s="2109"/>
      <c r="I24" s="2167"/>
      <c r="J24" s="2109"/>
      <c r="K24" s="2168"/>
      <c r="L24" s="2109"/>
      <c r="M24" s="2168"/>
      <c r="N24" s="2109"/>
      <c r="O24" s="2168"/>
      <c r="P24" s="2109"/>
      <c r="Q24" s="2168"/>
      <c r="R24" s="2109"/>
      <c r="S24" s="2168"/>
    </row>
    <row r="25" spans="1:19" x14ac:dyDescent="0.35">
      <c r="A25" s="1349"/>
      <c r="B25" s="2170" t="s">
        <v>660</v>
      </c>
      <c r="C25" s="2208"/>
      <c r="D25" s="2285"/>
      <c r="E25" s="2285"/>
      <c r="F25" s="2285"/>
      <c r="G25" s="2198"/>
      <c r="H25" s="2109"/>
      <c r="I25" s="2167"/>
      <c r="J25" s="2109"/>
      <c r="K25" s="2168"/>
      <c r="L25" s="2109"/>
      <c r="M25" s="2168"/>
      <c r="N25" s="2109"/>
      <c r="O25" s="2168"/>
      <c r="P25" s="2109"/>
      <c r="Q25" s="2168"/>
      <c r="R25" s="2109"/>
      <c r="S25" s="2168"/>
    </row>
    <row r="26" spans="1:19" s="77" customFormat="1" x14ac:dyDescent="0.35">
      <c r="A26" s="2287"/>
      <c r="B26" s="2170" t="s">
        <v>661</v>
      </c>
      <c r="C26" s="2211"/>
      <c r="D26" s="2212"/>
      <c r="E26" s="2212"/>
      <c r="F26" s="2212"/>
      <c r="G26" s="2211"/>
      <c r="H26" s="2109"/>
      <c r="I26" s="2167"/>
      <c r="J26" s="2109"/>
      <c r="K26" s="2213"/>
      <c r="L26" s="2109"/>
      <c r="M26" s="2213"/>
      <c r="N26" s="2109"/>
      <c r="O26" s="2213"/>
      <c r="P26" s="2109"/>
      <c r="Q26" s="2213"/>
      <c r="R26" s="2109"/>
      <c r="S26" s="2213"/>
    </row>
    <row r="27" spans="1:19" s="77" customFormat="1" x14ac:dyDescent="0.35">
      <c r="A27" s="2287"/>
      <c r="B27" s="2170" t="s">
        <v>662</v>
      </c>
      <c r="C27" s="2211"/>
      <c r="D27" s="2212"/>
      <c r="E27" s="2212"/>
      <c r="F27" s="2212"/>
      <c r="G27" s="2211"/>
      <c r="H27" s="2109"/>
      <c r="I27" s="2167"/>
      <c r="J27" s="2109"/>
      <c r="K27" s="2213"/>
      <c r="L27" s="2109"/>
      <c r="M27" s="2213"/>
      <c r="N27" s="2109"/>
      <c r="O27" s="2213"/>
      <c r="P27" s="2109"/>
      <c r="Q27" s="2213"/>
      <c r="R27" s="2109"/>
      <c r="S27" s="2213"/>
    </row>
    <row r="28" spans="1:19" s="77" customFormat="1" ht="18" customHeight="1" x14ac:dyDescent="0.35">
      <c r="A28" s="2287"/>
      <c r="B28" s="2170" t="s">
        <v>663</v>
      </c>
      <c r="C28" s="2211"/>
      <c r="D28" s="2212"/>
      <c r="E28" s="2212"/>
      <c r="F28" s="2212"/>
      <c r="G28" s="2211"/>
      <c r="H28" s="2109"/>
      <c r="I28" s="2167"/>
      <c r="J28" s="2109"/>
      <c r="K28" s="2213"/>
      <c r="L28" s="2109"/>
      <c r="M28" s="2213"/>
      <c r="N28" s="2109"/>
      <c r="O28" s="2213"/>
      <c r="P28" s="2109"/>
      <c r="Q28" s="2213"/>
      <c r="R28" s="2109"/>
      <c r="S28" s="2213"/>
    </row>
    <row r="29" spans="1:19" s="77" customFormat="1" ht="18" customHeight="1" x14ac:dyDescent="0.35">
      <c r="A29" s="2287"/>
      <c r="B29" s="2170" t="s">
        <v>742</v>
      </c>
      <c r="C29" s="2211"/>
      <c r="D29" s="2212"/>
      <c r="E29" s="2212"/>
      <c r="F29" s="2212"/>
      <c r="G29" s="2211"/>
      <c r="H29" s="2109"/>
      <c r="I29" s="2167"/>
      <c r="J29" s="2109"/>
      <c r="K29" s="2213"/>
      <c r="L29" s="2109"/>
      <c r="M29" s="2213"/>
      <c r="N29" s="2109"/>
      <c r="O29" s="2213"/>
      <c r="P29" s="2109"/>
      <c r="Q29" s="2213"/>
      <c r="R29" s="2109"/>
      <c r="S29" s="2213"/>
    </row>
    <row r="30" spans="1:19" s="77" customFormat="1" x14ac:dyDescent="0.35">
      <c r="A30" s="2287"/>
      <c r="B30" s="2214" t="s">
        <v>664</v>
      </c>
      <c r="C30" s="2211"/>
      <c r="D30" s="2212"/>
      <c r="E30" s="2212"/>
      <c r="F30" s="2212"/>
      <c r="G30" s="2211"/>
      <c r="H30" s="2109"/>
      <c r="I30" s="2167"/>
      <c r="J30" s="2109"/>
      <c r="K30" s="2213"/>
      <c r="L30" s="2109"/>
      <c r="M30" s="2213"/>
      <c r="N30" s="2109"/>
      <c r="O30" s="2213"/>
      <c r="P30" s="2109"/>
      <c r="Q30" s="2213"/>
      <c r="R30" s="2109"/>
      <c r="S30" s="2213"/>
    </row>
    <row r="31" spans="1:19" s="77" customFormat="1" x14ac:dyDescent="0.35">
      <c r="A31" s="2287"/>
      <c r="B31" s="2215" t="s">
        <v>665</v>
      </c>
      <c r="C31" s="2216"/>
      <c r="D31" s="2217"/>
      <c r="E31" s="2217"/>
      <c r="F31" s="2218"/>
      <c r="G31" s="2219"/>
      <c r="H31" s="2288"/>
      <c r="I31" s="2221"/>
      <c r="J31" s="2222"/>
      <c r="K31" s="2223"/>
      <c r="L31" s="2289"/>
      <c r="M31" s="2223"/>
      <c r="N31" s="2223"/>
      <c r="O31" s="2223"/>
      <c r="P31" s="2223"/>
      <c r="Q31" s="2223"/>
      <c r="R31" s="2223"/>
      <c r="S31" s="2223"/>
    </row>
    <row r="32" spans="1:19" s="161" customFormat="1" x14ac:dyDescent="0.35">
      <c r="A32" s="2225"/>
      <c r="B32" s="2290" t="s">
        <v>874</v>
      </c>
      <c r="C32" s="2227"/>
      <c r="D32" s="2228"/>
      <c r="E32" s="2228"/>
      <c r="F32" s="2229"/>
      <c r="G32" s="2230"/>
      <c r="H32" s="2109"/>
      <c r="I32" s="2167"/>
      <c r="J32" s="2109"/>
      <c r="K32" s="2291"/>
      <c r="L32" s="2109"/>
      <c r="M32" s="2291"/>
      <c r="N32" s="2109"/>
      <c r="O32" s="2291"/>
      <c r="P32" s="2109"/>
      <c r="Q32" s="2291"/>
      <c r="R32" s="2109"/>
      <c r="S32" s="2291"/>
    </row>
    <row r="33" spans="1:19" x14ac:dyDescent="0.35">
      <c r="A33" s="1349"/>
      <c r="B33" s="2292"/>
      <c r="C33" s="2211"/>
      <c r="D33" s="2285"/>
      <c r="E33" s="2285"/>
      <c r="F33" s="2232"/>
      <c r="G33" s="2233"/>
      <c r="H33" s="2109"/>
      <c r="I33" s="2168"/>
      <c r="J33" s="2109"/>
      <c r="K33" s="2168"/>
      <c r="L33" s="2109"/>
      <c r="M33" s="2168"/>
      <c r="N33" s="2109"/>
      <c r="O33" s="2168"/>
      <c r="P33" s="2109"/>
      <c r="Q33" s="2168"/>
      <c r="R33" s="2109"/>
      <c r="S33" s="2168"/>
    </row>
    <row r="34" spans="1:19" x14ac:dyDescent="0.35">
      <c r="A34" s="1349"/>
      <c r="B34" s="2234" t="s">
        <v>2594</v>
      </c>
      <c r="C34" s="2211"/>
      <c r="D34" s="2285"/>
      <c r="E34" s="2285"/>
      <c r="F34" s="2232"/>
      <c r="G34" s="2233"/>
      <c r="H34" s="2109"/>
      <c r="I34" s="2168"/>
      <c r="J34" s="2109"/>
      <c r="K34" s="2168"/>
      <c r="L34" s="2109"/>
      <c r="M34" s="2168"/>
      <c r="N34" s="2109"/>
      <c r="O34" s="2168"/>
      <c r="P34" s="2109"/>
      <c r="Q34" s="2168"/>
      <c r="R34" s="2109"/>
      <c r="S34" s="2168"/>
    </row>
    <row r="35" spans="1:19" x14ac:dyDescent="0.35">
      <c r="A35" s="1349"/>
      <c r="B35" s="2235" t="s">
        <v>2595</v>
      </c>
      <c r="C35" s="2211"/>
      <c r="D35" s="2285"/>
      <c r="E35" s="2285"/>
      <c r="F35" s="2232"/>
      <c r="G35" s="2233"/>
      <c r="H35" s="2109"/>
      <c r="I35" s="2168"/>
      <c r="J35" s="2109"/>
      <c r="K35" s="2168"/>
      <c r="L35" s="2109"/>
      <c r="M35" s="2168"/>
      <c r="N35" s="2109"/>
      <c r="O35" s="2168"/>
      <c r="P35" s="2109"/>
      <c r="Q35" s="2168"/>
      <c r="R35" s="2109"/>
      <c r="S35" s="2168"/>
    </row>
    <row r="36" spans="1:19" x14ac:dyDescent="0.35">
      <c r="A36" s="1349"/>
      <c r="B36" s="2235" t="s">
        <v>2596</v>
      </c>
      <c r="C36" s="2211"/>
      <c r="D36" s="2285"/>
      <c r="E36" s="2285"/>
      <c r="F36" s="2232"/>
      <c r="G36" s="2233"/>
      <c r="H36" s="2109"/>
      <c r="I36" s="2167"/>
      <c r="J36" s="2109"/>
      <c r="K36" s="2167"/>
      <c r="L36" s="2109"/>
      <c r="M36" s="2167"/>
      <c r="N36" s="2109"/>
      <c r="O36" s="2167"/>
      <c r="P36" s="2109"/>
      <c r="Q36" s="2168"/>
      <c r="R36" s="2109"/>
      <c r="S36" s="2168"/>
    </row>
    <row r="37" spans="1:19" x14ac:dyDescent="0.35">
      <c r="A37" s="1349"/>
      <c r="B37" s="2235" t="s">
        <v>2597</v>
      </c>
      <c r="C37" s="2211"/>
      <c r="D37" s="2285"/>
      <c r="E37" s="2285"/>
      <c r="F37" s="2232"/>
      <c r="G37" s="2233"/>
      <c r="H37" s="2109" t="s">
        <v>669</v>
      </c>
      <c r="I37" s="2167"/>
      <c r="J37" s="2109"/>
      <c r="K37" s="2167"/>
      <c r="L37" s="2109"/>
      <c r="M37" s="2167"/>
      <c r="N37" s="2109"/>
      <c r="O37" s="2167"/>
      <c r="P37" s="2109"/>
      <c r="Q37" s="2168"/>
      <c r="R37" s="2109"/>
      <c r="S37" s="2168"/>
    </row>
    <row r="38" spans="1:19" x14ac:dyDescent="0.35">
      <c r="A38" s="1349"/>
      <c r="B38" s="2235" t="s">
        <v>2598</v>
      </c>
      <c r="C38" s="2211"/>
      <c r="D38" s="2285"/>
      <c r="E38" s="2285"/>
      <c r="F38" s="2232"/>
      <c r="G38" s="2233"/>
      <c r="H38" s="2109"/>
      <c r="I38" s="2167"/>
      <c r="J38" s="2109"/>
      <c r="K38" s="2167"/>
      <c r="L38" s="2109"/>
      <c r="M38" s="2167"/>
      <c r="N38" s="2109"/>
      <c r="O38" s="2167"/>
      <c r="P38" s="2109"/>
      <c r="Q38" s="2168"/>
      <c r="R38" s="2109"/>
      <c r="S38" s="2168"/>
    </row>
    <row r="39" spans="1:19" x14ac:dyDescent="0.35">
      <c r="A39" s="1349"/>
      <c r="B39" s="2235" t="s">
        <v>2599</v>
      </c>
      <c r="C39" s="2211"/>
      <c r="D39" s="2285"/>
      <c r="E39" s="2285"/>
      <c r="F39" s="2232"/>
      <c r="G39" s="2233"/>
      <c r="H39" s="2109"/>
      <c r="I39" s="2167"/>
      <c r="J39" s="2109"/>
      <c r="K39" s="2167"/>
      <c r="L39" s="2109"/>
      <c r="M39" s="2167"/>
      <c r="N39" s="2109"/>
      <c r="O39" s="2167"/>
      <c r="P39" s="2109"/>
      <c r="Q39" s="2168"/>
      <c r="R39" s="2109"/>
      <c r="S39" s="2168"/>
    </row>
    <row r="40" spans="1:19" x14ac:dyDescent="0.35">
      <c r="A40" s="1349"/>
      <c r="B40" s="2235" t="s">
        <v>1059</v>
      </c>
      <c r="C40" s="2211"/>
      <c r="D40" s="2285"/>
      <c r="E40" s="2285"/>
      <c r="F40" s="2232"/>
      <c r="G40" s="2233"/>
      <c r="H40" s="2109"/>
      <c r="I40" s="2167"/>
      <c r="J40" s="2109"/>
      <c r="K40" s="2167"/>
      <c r="L40" s="2109"/>
      <c r="M40" s="2167"/>
      <c r="N40" s="2109"/>
      <c r="O40" s="2167"/>
      <c r="P40" s="2109"/>
      <c r="Q40" s="2168"/>
      <c r="R40" s="2109"/>
      <c r="S40" s="2168"/>
    </row>
    <row r="41" spans="1:19" x14ac:dyDescent="0.35">
      <c r="A41" s="1349"/>
      <c r="B41" s="2235"/>
      <c r="C41" s="2236"/>
      <c r="D41" s="2285"/>
      <c r="E41" s="2285"/>
      <c r="F41" s="2232"/>
      <c r="G41" s="2233"/>
      <c r="H41" s="2109"/>
      <c r="I41" s="2167"/>
      <c r="J41" s="2109"/>
      <c r="K41" s="2167"/>
      <c r="L41" s="2109"/>
      <c r="M41" s="2167"/>
      <c r="N41" s="2109"/>
      <c r="O41" s="2167"/>
      <c r="P41" s="2109"/>
      <c r="Q41" s="2168"/>
      <c r="R41" s="2109"/>
      <c r="S41" s="2168"/>
    </row>
    <row r="42" spans="1:19" x14ac:dyDescent="0.35">
      <c r="A42" s="1349"/>
      <c r="B42" s="2235"/>
      <c r="C42" s="2236"/>
      <c r="D42" s="2285"/>
      <c r="E42" s="2285"/>
      <c r="F42" s="2232"/>
      <c r="G42" s="2233"/>
      <c r="H42" s="2109"/>
      <c r="I42" s="2167"/>
      <c r="J42" s="2109"/>
      <c r="K42" s="2167"/>
      <c r="L42" s="2109"/>
      <c r="M42" s="2167"/>
      <c r="N42" s="2109"/>
      <c r="O42" s="2167"/>
      <c r="P42" s="2109"/>
      <c r="Q42" s="2168"/>
      <c r="R42" s="2109"/>
      <c r="S42" s="2168"/>
    </row>
    <row r="43" spans="1:19" x14ac:dyDescent="0.35">
      <c r="A43" s="1349"/>
      <c r="B43" s="2235"/>
      <c r="C43" s="2236"/>
      <c r="D43" s="2285"/>
      <c r="E43" s="2285"/>
      <c r="F43" s="2232"/>
      <c r="G43" s="2233"/>
      <c r="H43" s="2109"/>
      <c r="I43" s="2167"/>
      <c r="J43" s="2109"/>
      <c r="K43" s="2167"/>
      <c r="L43" s="2109"/>
      <c r="M43" s="2167"/>
      <c r="N43" s="2109"/>
      <c r="O43" s="2167"/>
      <c r="P43" s="2109"/>
      <c r="Q43" s="2168"/>
      <c r="R43" s="2109"/>
      <c r="S43" s="2168"/>
    </row>
    <row r="44" spans="1:19" x14ac:dyDescent="0.35">
      <c r="A44" s="1349"/>
      <c r="B44" s="2235"/>
      <c r="C44" s="2236"/>
      <c r="D44" s="2285"/>
      <c r="E44" s="2285"/>
      <c r="F44" s="2232"/>
      <c r="G44" s="2233"/>
      <c r="H44" s="2109"/>
      <c r="I44" s="2167"/>
      <c r="J44" s="2109"/>
      <c r="K44" s="2167"/>
      <c r="L44" s="2109"/>
      <c r="M44" s="2167"/>
      <c r="N44" s="2109"/>
      <c r="O44" s="2167"/>
      <c r="P44" s="2109"/>
      <c r="Q44" s="2168"/>
      <c r="R44" s="2109"/>
      <c r="S44" s="2168"/>
    </row>
    <row r="45" spans="1:19" x14ac:dyDescent="0.35">
      <c r="A45" s="1349"/>
      <c r="B45" s="2235"/>
      <c r="C45" s="2236"/>
      <c r="D45" s="2285"/>
      <c r="E45" s="2285"/>
      <c r="F45" s="2232"/>
      <c r="G45" s="2233"/>
      <c r="H45" s="2109"/>
      <c r="I45" s="2167"/>
      <c r="J45" s="2109"/>
      <c r="K45" s="2167"/>
      <c r="L45" s="2109"/>
      <c r="M45" s="2167"/>
      <c r="N45" s="2109"/>
      <c r="O45" s="2167"/>
      <c r="P45" s="2109"/>
      <c r="Q45" s="2168"/>
      <c r="R45" s="2109"/>
      <c r="S45" s="2168"/>
    </row>
    <row r="46" spans="1:19" x14ac:dyDescent="0.35">
      <c r="A46" s="14"/>
      <c r="B46" s="16"/>
      <c r="C46" s="16"/>
      <c r="D46" s="16"/>
      <c r="E46" s="17"/>
      <c r="F46" s="18" t="s">
        <v>715</v>
      </c>
      <c r="G46" s="19"/>
      <c r="H46" s="20"/>
      <c r="I46" s="50">
        <f>SUM(I23:I45)</f>
        <v>0</v>
      </c>
      <c r="J46" s="41"/>
      <c r="K46" s="50">
        <f>SUM(K23:K45)</f>
        <v>0</v>
      </c>
      <c r="L46" s="20"/>
      <c r="M46" s="50">
        <f>SUM(M23:M45)</f>
        <v>0</v>
      </c>
      <c r="N46" s="20"/>
      <c r="O46" s="50">
        <f>SUM(O23:O45)</f>
        <v>0</v>
      </c>
      <c r="P46" s="20"/>
      <c r="Q46" s="50">
        <f>SUM(Q23:Q45)</f>
        <v>0</v>
      </c>
      <c r="R46" s="20"/>
      <c r="S46" s="50">
        <f>SUM(S23:S45)</f>
        <v>0</v>
      </c>
    </row>
    <row r="47" spans="1:19" x14ac:dyDescent="0.35">
      <c r="A47" s="2239"/>
      <c r="B47" s="2240"/>
      <c r="C47" s="2241"/>
      <c r="D47" s="2241"/>
      <c r="E47" s="2242"/>
      <c r="F47" s="2243" t="s">
        <v>716</v>
      </c>
      <c r="G47" s="2244"/>
      <c r="H47" s="2065">
        <v>0</v>
      </c>
      <c r="I47" s="2064"/>
      <c r="J47" s="2247">
        <v>0</v>
      </c>
      <c r="K47" s="2064"/>
      <c r="L47" s="2065">
        <v>0</v>
      </c>
      <c r="M47" s="2064"/>
      <c r="N47" s="2065">
        <v>0</v>
      </c>
      <c r="O47" s="2064"/>
      <c r="P47" s="2065">
        <v>0</v>
      </c>
      <c r="Q47" s="2064"/>
      <c r="R47" s="2065">
        <v>0</v>
      </c>
      <c r="S47" s="2064"/>
    </row>
    <row r="48" spans="1:19" x14ac:dyDescent="0.35">
      <c r="A48" s="2239"/>
      <c r="B48" s="2240"/>
      <c r="C48" s="2241"/>
      <c r="D48" s="2241"/>
      <c r="E48" s="2242"/>
      <c r="F48" s="2243" t="s">
        <v>717</v>
      </c>
      <c r="G48" s="2244"/>
      <c r="H48" s="2066"/>
      <c r="I48" s="2067">
        <f>H47*I46</f>
        <v>0</v>
      </c>
      <c r="J48" s="2250"/>
      <c r="K48" s="2067">
        <f>J47*K46</f>
        <v>0</v>
      </c>
      <c r="L48" s="2066"/>
      <c r="M48" s="2067">
        <f>L47*M46</f>
        <v>0</v>
      </c>
      <c r="N48" s="2066"/>
      <c r="O48" s="2067">
        <f>N47*O46</f>
        <v>0</v>
      </c>
      <c r="P48" s="2066"/>
      <c r="Q48" s="2067">
        <f>P47*Q46</f>
        <v>0</v>
      </c>
      <c r="R48" s="2066"/>
      <c r="S48" s="2067">
        <f>R47*S46</f>
        <v>0</v>
      </c>
    </row>
    <row r="49" spans="1:19" x14ac:dyDescent="0.35">
      <c r="A49" s="2239"/>
      <c r="B49" s="2240"/>
      <c r="C49" s="2241"/>
      <c r="D49" s="2241"/>
      <c r="E49" s="2242"/>
      <c r="F49" s="2243"/>
      <c r="G49" s="2244"/>
      <c r="H49" s="2066"/>
      <c r="I49" s="2068"/>
      <c r="J49" s="2250"/>
      <c r="K49" s="2068"/>
      <c r="L49" s="2066"/>
      <c r="M49" s="2068"/>
      <c r="N49" s="2066"/>
      <c r="O49" s="2068"/>
      <c r="P49" s="2066"/>
      <c r="Q49" s="2068"/>
      <c r="R49" s="2066"/>
      <c r="S49" s="2068"/>
    </row>
    <row r="50" spans="1:19" x14ac:dyDescent="0.35">
      <c r="A50" s="2239"/>
      <c r="B50" s="2240"/>
      <c r="C50" s="2241"/>
      <c r="D50" s="2241"/>
      <c r="E50" s="2242"/>
      <c r="F50" s="2243" t="s">
        <v>718</v>
      </c>
      <c r="G50" s="2244"/>
      <c r="H50" s="2069"/>
      <c r="I50" s="2070">
        <f>SUM(I46:I48)</f>
        <v>0</v>
      </c>
      <c r="J50" s="2254"/>
      <c r="K50" s="2070">
        <f>SUM(K46:K48)</f>
        <v>0</v>
      </c>
      <c r="L50" s="2069"/>
      <c r="M50" s="2070">
        <f>SUM(M46:M48)</f>
        <v>0</v>
      </c>
      <c r="N50" s="2069"/>
      <c r="O50" s="2070">
        <f>SUM(O46:O48)</f>
        <v>0</v>
      </c>
      <c r="P50" s="2069"/>
      <c r="Q50" s="2070">
        <f>SUM(Q46:Q48)</f>
        <v>0</v>
      </c>
      <c r="R50" s="2069"/>
      <c r="S50" s="2070">
        <f>SUM(S46:S48)</f>
        <v>0</v>
      </c>
    </row>
    <row r="51" spans="1:19" x14ac:dyDescent="0.35">
      <c r="A51" s="2239"/>
      <c r="B51" s="2240"/>
      <c r="C51" s="2241"/>
      <c r="D51" s="2241"/>
      <c r="E51" s="2242"/>
      <c r="F51" s="2255" t="s">
        <v>719</v>
      </c>
      <c r="G51" s="2256"/>
      <c r="H51" s="2073"/>
      <c r="I51" s="2074" t="e">
        <f>I50/#REF!</f>
        <v>#REF!</v>
      </c>
      <c r="J51" s="2259"/>
      <c r="K51" s="2074" t="e">
        <f>K50/#REF!</f>
        <v>#REF!</v>
      </c>
      <c r="L51" s="2073"/>
      <c r="M51" s="2074" t="e">
        <f>M50/#REF!</f>
        <v>#REF!</v>
      </c>
      <c r="N51" s="2073"/>
      <c r="O51" s="2074" t="e">
        <f>O50/#REF!</f>
        <v>#REF!</v>
      </c>
      <c r="P51" s="2073"/>
      <c r="Q51" s="2074" t="e">
        <f>Q50/#REF!</f>
        <v>#REF!</v>
      </c>
      <c r="R51" s="2073"/>
      <c r="S51" s="2074" t="e">
        <f>S50/#REF!</f>
        <v>#REF!</v>
      </c>
    </row>
    <row r="52" spans="1:19" x14ac:dyDescent="0.35">
      <c r="A52" s="2239"/>
      <c r="B52" s="2240"/>
      <c r="C52" s="2241"/>
      <c r="D52" s="2241"/>
      <c r="E52" s="2242"/>
      <c r="F52" s="2255" t="s">
        <v>720</v>
      </c>
      <c r="G52" s="2260"/>
      <c r="H52" s="2073"/>
      <c r="I52" s="2074" t="e">
        <f>I50/#REF!</f>
        <v>#REF!</v>
      </c>
      <c r="J52" s="2259"/>
      <c r="K52" s="2074" t="e">
        <f>K50/#REF!</f>
        <v>#REF!</v>
      </c>
      <c r="L52" s="2073"/>
      <c r="M52" s="2074" t="e">
        <f>M50/#REF!</f>
        <v>#REF!</v>
      </c>
      <c r="N52" s="2073"/>
      <c r="O52" s="2074" t="e">
        <f>O50/#REF!</f>
        <v>#REF!</v>
      </c>
      <c r="P52" s="2073"/>
      <c r="Q52" s="2074" t="e">
        <f>Q50/#REF!</f>
        <v>#REF!</v>
      </c>
      <c r="R52" s="2073"/>
      <c r="S52" s="2074" t="e">
        <f>S50/#REF!</f>
        <v>#REF!</v>
      </c>
    </row>
    <row r="53" spans="1:19" x14ac:dyDescent="0.35">
      <c r="A53" s="2239"/>
      <c r="B53" s="2240"/>
      <c r="C53" s="2241"/>
      <c r="D53" s="2241"/>
      <c r="E53" s="2242"/>
      <c r="F53" s="2243"/>
      <c r="G53" s="2261"/>
      <c r="H53" s="2077"/>
      <c r="I53" s="2078"/>
      <c r="J53" s="2263"/>
      <c r="K53" s="2078"/>
      <c r="L53" s="2077"/>
      <c r="M53" s="2078"/>
      <c r="N53" s="2077"/>
      <c r="O53" s="2078"/>
      <c r="P53" s="2077"/>
      <c r="Q53" s="2078"/>
      <c r="R53" s="2077"/>
      <c r="S53" s="2078"/>
    </row>
    <row r="54" spans="1:19" x14ac:dyDescent="0.35">
      <c r="A54" s="3764" t="s">
        <v>721</v>
      </c>
      <c r="B54" s="3765"/>
      <c r="C54" s="12"/>
      <c r="D54" s="12"/>
      <c r="E54" s="12"/>
      <c r="F54" s="12"/>
      <c r="G54" s="13"/>
      <c r="H54" s="21"/>
      <c r="I54" s="21"/>
      <c r="J54" s="42"/>
      <c r="K54" s="21"/>
      <c r="L54" s="21"/>
      <c r="M54" s="21"/>
      <c r="N54" s="21"/>
      <c r="O54" s="21"/>
      <c r="P54" s="21"/>
      <c r="Q54" s="21"/>
      <c r="R54" s="21"/>
      <c r="S54" s="21"/>
    </row>
    <row r="55" spans="1:19" x14ac:dyDescent="0.35">
      <c r="A55" s="2293"/>
      <c r="B55" s="2284"/>
      <c r="C55" s="2294"/>
      <c r="D55" s="2294"/>
      <c r="E55" s="2294"/>
      <c r="F55" s="2294"/>
      <c r="G55" s="2295"/>
      <c r="H55" s="2296"/>
      <c r="I55" s="2296"/>
      <c r="J55" s="2297"/>
      <c r="K55" s="2296"/>
      <c r="L55" s="2296"/>
      <c r="M55" s="2296"/>
      <c r="N55" s="2296"/>
      <c r="O55" s="2296"/>
      <c r="P55" s="2296"/>
      <c r="Q55" s="2296"/>
      <c r="R55" s="2296"/>
      <c r="S55" s="2296"/>
    </row>
    <row r="56" spans="1:19" s="2" customFormat="1" x14ac:dyDescent="0.35">
      <c r="A56" s="2293"/>
      <c r="B56" s="2284"/>
      <c r="C56" s="2294"/>
      <c r="D56" s="2294"/>
      <c r="E56" s="2294"/>
      <c r="F56" s="2294"/>
      <c r="G56" s="2295"/>
      <c r="H56" s="2296"/>
      <c r="I56" s="2296"/>
      <c r="J56" s="2297"/>
      <c r="K56" s="2296"/>
      <c r="L56" s="2296"/>
      <c r="M56" s="2296"/>
      <c r="N56" s="2296"/>
      <c r="O56" s="2296"/>
      <c r="P56" s="2296"/>
      <c r="Q56" s="2296"/>
      <c r="R56" s="2296"/>
      <c r="S56" s="2296"/>
    </row>
    <row r="57" spans="1:19" s="2" customFormat="1" x14ac:dyDescent="0.35">
      <c r="A57" s="2293"/>
      <c r="B57" s="2284"/>
      <c r="C57" s="2294"/>
      <c r="D57" s="2294"/>
      <c r="E57" s="2294"/>
      <c r="F57" s="2294"/>
      <c r="G57" s="2295"/>
      <c r="H57" s="2296"/>
      <c r="I57" s="2296"/>
      <c r="J57" s="2297"/>
      <c r="K57" s="2296"/>
      <c r="L57" s="2296"/>
      <c r="M57" s="2296"/>
      <c r="N57" s="2296"/>
      <c r="O57" s="2296"/>
      <c r="P57" s="2296"/>
      <c r="Q57" s="2296"/>
      <c r="R57" s="2296"/>
      <c r="S57" s="2296"/>
    </row>
    <row r="58" spans="1:19" x14ac:dyDescent="0.35">
      <c r="A58" s="3764" t="s">
        <v>722</v>
      </c>
      <c r="B58" s="3765"/>
      <c r="C58" s="12"/>
      <c r="D58" s="12"/>
      <c r="E58" s="12"/>
      <c r="F58" s="12"/>
      <c r="G58" s="13"/>
      <c r="H58" s="21"/>
      <c r="I58" s="21"/>
      <c r="J58" s="42"/>
      <c r="K58" s="21"/>
      <c r="L58" s="21"/>
      <c r="M58" s="21"/>
      <c r="N58" s="21"/>
      <c r="O58" s="21"/>
      <c r="P58" s="21"/>
      <c r="Q58" s="21"/>
      <c r="R58" s="21"/>
      <c r="S58" s="21"/>
    </row>
    <row r="59" spans="1:19" s="2" customFormat="1" x14ac:dyDescent="0.35">
      <c r="A59" s="2293"/>
      <c r="B59" s="2284"/>
      <c r="C59" s="2294"/>
      <c r="D59" s="2294"/>
      <c r="E59" s="2294"/>
      <c r="F59" s="2294"/>
      <c r="G59" s="2295"/>
      <c r="H59" s="2296"/>
      <c r="I59" s="2296"/>
      <c r="J59" s="2297"/>
      <c r="K59" s="2296"/>
      <c r="L59" s="2296"/>
      <c r="M59" s="2296"/>
      <c r="N59" s="2296"/>
      <c r="O59" s="2296"/>
      <c r="P59" s="2296"/>
      <c r="Q59" s="2296"/>
      <c r="R59" s="2296"/>
      <c r="S59" s="2296"/>
    </row>
    <row r="60" spans="1:19" s="2" customFormat="1" x14ac:dyDescent="0.35">
      <c r="A60" s="2293"/>
      <c r="B60" s="2284"/>
      <c r="C60" s="2294"/>
      <c r="D60" s="2294"/>
      <c r="E60" s="2294"/>
      <c r="F60" s="2294"/>
      <c r="G60" s="2295"/>
      <c r="H60" s="2296"/>
      <c r="I60" s="2296"/>
      <c r="J60" s="2297"/>
      <c r="K60" s="2296"/>
      <c r="L60" s="2296"/>
      <c r="M60" s="2296"/>
      <c r="N60" s="2296"/>
      <c r="O60" s="2296"/>
      <c r="P60" s="2296"/>
      <c r="Q60" s="2296"/>
      <c r="R60" s="2296"/>
      <c r="S60" s="2296"/>
    </row>
    <row r="61" spans="1:19" x14ac:dyDescent="0.35">
      <c r="A61" s="2293"/>
      <c r="B61" s="2284"/>
      <c r="C61" s="2294"/>
      <c r="D61" s="2294"/>
      <c r="E61" s="2294"/>
      <c r="F61" s="2294"/>
      <c r="G61" s="2295"/>
      <c r="H61" s="2296"/>
      <c r="I61" s="2296"/>
      <c r="J61" s="2297"/>
      <c r="K61" s="2296"/>
      <c r="L61" s="2296"/>
      <c r="M61" s="2296"/>
      <c r="N61" s="2296"/>
      <c r="O61" s="2296"/>
      <c r="P61" s="2296"/>
      <c r="Q61" s="2296"/>
      <c r="R61" s="2296"/>
      <c r="S61" s="2296"/>
    </row>
    <row r="62" spans="1:19" x14ac:dyDescent="0.35">
      <c r="A62" s="3764" t="s">
        <v>723</v>
      </c>
      <c r="B62" s="3765"/>
      <c r="C62" s="12"/>
      <c r="D62" s="12"/>
      <c r="E62" s="12"/>
      <c r="F62" s="12"/>
      <c r="G62" s="13"/>
      <c r="H62" s="21"/>
      <c r="I62" s="21"/>
      <c r="J62" s="42"/>
      <c r="K62" s="21"/>
      <c r="L62" s="21"/>
      <c r="M62" s="21"/>
      <c r="N62" s="21"/>
      <c r="O62" s="21"/>
      <c r="P62" s="21"/>
      <c r="Q62" s="21"/>
      <c r="R62" s="21"/>
      <c r="S62" s="21"/>
    </row>
    <row r="63" spans="1:19" x14ac:dyDescent="0.35">
      <c r="A63" s="2293"/>
      <c r="B63" s="2284"/>
      <c r="C63" s="2294"/>
      <c r="D63" s="2294"/>
      <c r="E63" s="2294"/>
      <c r="F63" s="2294"/>
      <c r="G63" s="2295"/>
      <c r="H63" s="2296"/>
      <c r="I63" s="2296"/>
      <c r="J63" s="2297"/>
      <c r="K63" s="2296"/>
      <c r="L63" s="2296"/>
      <c r="M63" s="2296"/>
      <c r="N63" s="2296"/>
      <c r="O63" s="2296"/>
      <c r="P63" s="2296"/>
      <c r="Q63" s="2296"/>
      <c r="R63" s="2296"/>
      <c r="S63" s="2296"/>
    </row>
    <row r="64" spans="1:19" x14ac:dyDescent="0.35">
      <c r="A64" s="2286"/>
      <c r="B64" s="2284"/>
      <c r="C64" s="2285"/>
      <c r="D64" s="2285"/>
      <c r="E64" s="2285"/>
      <c r="F64" s="2285"/>
      <c r="G64" s="2198"/>
      <c r="H64" s="2081"/>
      <c r="I64" s="2081"/>
      <c r="J64" s="2268"/>
      <c r="K64" s="2081"/>
      <c r="L64" s="2081"/>
      <c r="M64" s="2081"/>
      <c r="N64" s="2081"/>
      <c r="O64" s="2081"/>
      <c r="P64" s="2081"/>
      <c r="Q64" s="2081"/>
      <c r="R64" s="2081"/>
      <c r="S64" s="2081"/>
    </row>
    <row r="65" spans="1:19" x14ac:dyDescent="0.35">
      <c r="A65" s="2269"/>
      <c r="B65" s="2270"/>
      <c r="C65" s="2285"/>
      <c r="D65" s="2285"/>
      <c r="E65" s="2285"/>
      <c r="F65" s="2285"/>
      <c r="G65" s="2198"/>
      <c r="H65" s="2084"/>
      <c r="I65" s="2084"/>
      <c r="J65" s="2272"/>
      <c r="K65" s="2084"/>
      <c r="L65" s="2084"/>
      <c r="M65" s="2084"/>
      <c r="N65" s="2084"/>
      <c r="O65" s="2084"/>
      <c r="P65" s="2084"/>
      <c r="Q65" s="2084"/>
      <c r="R65" s="2084"/>
      <c r="S65" s="2084"/>
    </row>
    <row r="66" spans="1:19" x14ac:dyDescent="0.35">
      <c r="A66" s="3764" t="s">
        <v>724</v>
      </c>
      <c r="B66" s="3765"/>
      <c r="C66" s="12"/>
      <c r="D66" s="12"/>
      <c r="E66" s="12"/>
      <c r="F66" s="12"/>
      <c r="G66" s="13"/>
      <c r="H66" s="21"/>
      <c r="I66" s="21"/>
      <c r="J66" s="42"/>
      <c r="K66" s="21"/>
      <c r="L66" s="21"/>
      <c r="M66" s="21"/>
      <c r="N66" s="21"/>
      <c r="O66" s="21"/>
      <c r="P66" s="21"/>
      <c r="Q66" s="21"/>
      <c r="R66" s="21"/>
      <c r="S66" s="21"/>
    </row>
    <row r="67" spans="1:19" x14ac:dyDescent="0.35">
      <c r="A67" s="2298"/>
      <c r="B67" s="2299"/>
      <c r="C67" s="2294"/>
      <c r="D67" s="2294"/>
      <c r="E67" s="2294"/>
      <c r="F67" s="2294"/>
      <c r="G67" s="2295"/>
      <c r="H67" s="2296"/>
      <c r="I67" s="2296"/>
      <c r="J67" s="2297"/>
      <c r="K67" s="2296"/>
      <c r="L67" s="2296"/>
      <c r="M67" s="2296"/>
      <c r="N67" s="2296"/>
      <c r="O67" s="2296"/>
      <c r="P67" s="2296"/>
      <c r="Q67" s="2296"/>
      <c r="R67" s="2296"/>
      <c r="S67" s="2296"/>
    </row>
    <row r="68" spans="1:19" x14ac:dyDescent="0.35">
      <c r="A68" s="2269"/>
      <c r="B68" s="2270"/>
      <c r="C68" s="2285"/>
      <c r="D68" s="2285"/>
      <c r="E68" s="2285"/>
      <c r="F68" s="2285"/>
      <c r="G68" s="2198"/>
      <c r="H68" s="2087"/>
      <c r="I68" s="2087"/>
      <c r="J68" s="2274"/>
      <c r="K68" s="2087"/>
      <c r="L68" s="2087"/>
      <c r="M68" s="2087"/>
      <c r="N68" s="2087"/>
      <c r="O68" s="2087"/>
      <c r="P68" s="2087"/>
      <c r="Q68" s="2087"/>
      <c r="R68" s="2087"/>
      <c r="S68" s="2087"/>
    </row>
    <row r="69" spans="1:19" x14ac:dyDescent="0.35">
      <c r="A69" s="2269"/>
      <c r="B69" s="2270"/>
      <c r="C69" s="2285"/>
      <c r="D69" s="2285"/>
      <c r="E69" s="2285"/>
      <c r="F69" s="2285"/>
      <c r="G69" s="2198"/>
      <c r="H69" s="2087"/>
      <c r="I69" s="2087"/>
      <c r="J69" s="2274"/>
      <c r="K69" s="2087"/>
      <c r="L69" s="2087"/>
      <c r="M69" s="2087"/>
      <c r="N69" s="2087"/>
      <c r="O69" s="2087"/>
      <c r="P69" s="2087"/>
      <c r="Q69" s="2087"/>
      <c r="R69" s="2087"/>
      <c r="S69" s="2087"/>
    </row>
    <row r="70" spans="1:19" x14ac:dyDescent="0.35">
      <c r="A70" s="3764" t="s">
        <v>725</v>
      </c>
      <c r="B70" s="3765"/>
      <c r="C70" s="12"/>
      <c r="D70" s="12"/>
      <c r="E70" s="12"/>
      <c r="F70" s="12"/>
      <c r="G70" s="13"/>
      <c r="H70" s="21"/>
      <c r="I70" s="21"/>
      <c r="J70" s="42"/>
      <c r="K70" s="21"/>
      <c r="L70" s="21"/>
      <c r="M70" s="21"/>
      <c r="N70" s="21"/>
      <c r="O70" s="21"/>
      <c r="P70" s="21"/>
      <c r="Q70" s="21"/>
      <c r="R70" s="21"/>
      <c r="S70" s="21"/>
    </row>
    <row r="71" spans="1:19" x14ac:dyDescent="0.35">
      <c r="A71" s="2286"/>
      <c r="B71" s="2284" t="s">
        <v>726</v>
      </c>
      <c r="C71" s="2285"/>
      <c r="D71" s="2285"/>
      <c r="E71" s="2285"/>
      <c r="F71" s="2285"/>
      <c r="G71" s="2198"/>
      <c r="H71" s="2087"/>
      <c r="I71" s="2087"/>
      <c r="J71" s="2274"/>
      <c r="K71" s="2087"/>
      <c r="L71" s="2087"/>
      <c r="M71" s="2087"/>
      <c r="N71" s="2087"/>
      <c r="O71" s="2087"/>
      <c r="P71" s="2087"/>
      <c r="Q71" s="2087"/>
      <c r="R71" s="2087"/>
      <c r="S71" s="2087"/>
    </row>
    <row r="72" spans="1:19" x14ac:dyDescent="0.35">
      <c r="A72" s="2286"/>
      <c r="B72" s="2284" t="s">
        <v>727</v>
      </c>
      <c r="C72" s="2285"/>
      <c r="D72" s="2285"/>
      <c r="E72" s="2285"/>
      <c r="F72" s="2285"/>
      <c r="G72" s="2198"/>
      <c r="H72" s="2087"/>
      <c r="I72" s="2087"/>
      <c r="J72" s="2274"/>
      <c r="K72" s="2087"/>
      <c r="L72" s="2087"/>
      <c r="M72" s="2087"/>
      <c r="N72" s="2087"/>
      <c r="O72" s="2087"/>
      <c r="P72" s="2087"/>
      <c r="Q72" s="2087"/>
      <c r="R72" s="2087"/>
      <c r="S72" s="2087"/>
    </row>
    <row r="73" spans="1:19" x14ac:dyDescent="0.35">
      <c r="A73" s="2286"/>
      <c r="B73" s="2284" t="s">
        <v>728</v>
      </c>
      <c r="C73" s="2285"/>
      <c r="D73" s="2285"/>
      <c r="E73" s="2285"/>
      <c r="F73" s="2285"/>
      <c r="G73" s="2198"/>
      <c r="H73" s="2087"/>
      <c r="I73" s="2087"/>
      <c r="J73" s="2274"/>
      <c r="K73" s="2087"/>
      <c r="L73" s="2087"/>
      <c r="M73" s="2087"/>
      <c r="N73" s="2087"/>
      <c r="O73" s="2087"/>
      <c r="P73" s="2087"/>
      <c r="Q73" s="2087"/>
      <c r="R73" s="2087"/>
      <c r="S73" s="2087"/>
    </row>
    <row r="74" spans="1:19" x14ac:dyDescent="0.35">
      <c r="A74" s="2286"/>
      <c r="B74" s="2284" t="s">
        <v>729</v>
      </c>
      <c r="C74" s="2285"/>
      <c r="D74" s="2285"/>
      <c r="E74" s="2285"/>
      <c r="F74" s="2285"/>
      <c r="G74" s="2198"/>
      <c r="H74" s="2087"/>
      <c r="I74" s="2087"/>
      <c r="J74" s="2274"/>
      <c r="K74" s="2087"/>
      <c r="L74" s="2087"/>
      <c r="M74" s="2087"/>
      <c r="N74" s="2087"/>
      <c r="O74" s="2087"/>
      <c r="P74" s="2087"/>
      <c r="Q74" s="2087"/>
      <c r="R74" s="2087"/>
      <c r="S74" s="2087"/>
    </row>
    <row r="75" spans="1:19" x14ac:dyDescent="0.35">
      <c r="A75" s="978"/>
      <c r="B75" s="939"/>
      <c r="C75" s="940"/>
      <c r="D75" s="940"/>
      <c r="E75" s="940"/>
      <c r="F75" s="940"/>
      <c r="G75" s="1039"/>
      <c r="H75" s="981"/>
      <c r="I75" s="981"/>
      <c r="J75" s="980"/>
      <c r="K75" s="981"/>
      <c r="L75" s="981"/>
      <c r="M75" s="981"/>
      <c r="N75" s="981"/>
      <c r="O75" s="981"/>
      <c r="P75" s="981"/>
      <c r="Q75" s="981"/>
      <c r="R75" s="981"/>
      <c r="S75" s="981"/>
    </row>
    <row r="76" spans="1:19" x14ac:dyDescent="0.35">
      <c r="A76" s="7" t="s">
        <v>730</v>
      </c>
      <c r="B76" s="8"/>
      <c r="C76" s="12"/>
      <c r="D76" s="12"/>
      <c r="E76" s="12"/>
      <c r="F76" s="12"/>
      <c r="G76" s="13"/>
      <c r="H76" s="21"/>
      <c r="I76" s="21"/>
      <c r="J76" s="42"/>
      <c r="K76" s="21"/>
      <c r="L76" s="21"/>
      <c r="M76" s="21"/>
      <c r="N76" s="21"/>
      <c r="O76" s="21"/>
      <c r="P76" s="21"/>
      <c r="Q76" s="21"/>
      <c r="R76" s="21"/>
      <c r="S76" s="21"/>
    </row>
    <row r="77" spans="1:19" x14ac:dyDescent="0.35">
      <c r="A77" s="2293"/>
      <c r="B77" s="2300" t="s">
        <v>731</v>
      </c>
      <c r="C77" s="2294"/>
      <c r="D77" s="2294"/>
      <c r="E77" s="2294"/>
      <c r="F77" s="2294"/>
      <c r="G77" s="2295"/>
      <c r="H77" s="2301"/>
      <c r="I77" s="2301"/>
      <c r="J77" s="2168"/>
      <c r="K77" s="2301"/>
      <c r="L77" s="2301"/>
      <c r="M77" s="2301"/>
      <c r="N77" s="2301"/>
      <c r="O77" s="2301"/>
      <c r="P77" s="2301"/>
      <c r="Q77" s="2301"/>
      <c r="R77" s="2301"/>
      <c r="S77" s="2301"/>
    </row>
    <row r="78" spans="1:19" x14ac:dyDescent="0.35">
      <c r="A78" s="2286"/>
      <c r="B78" s="2284" t="s">
        <v>732</v>
      </c>
      <c r="C78" s="2285"/>
      <c r="D78" s="2285"/>
      <c r="E78" s="2285"/>
      <c r="F78" s="2285"/>
      <c r="G78" s="2198"/>
      <c r="H78" s="2158"/>
      <c r="I78" s="2158"/>
      <c r="J78" s="2276"/>
      <c r="K78" s="2158"/>
      <c r="L78" s="2158"/>
      <c r="M78" s="2158"/>
      <c r="N78" s="2158"/>
      <c r="O78" s="2158"/>
      <c r="P78" s="2158"/>
      <c r="Q78" s="2158"/>
      <c r="R78" s="2158"/>
      <c r="S78" s="2158"/>
    </row>
    <row r="79" spans="1:19" x14ac:dyDescent="0.35">
      <c r="A79" s="2089"/>
      <c r="B79" s="2090" t="s">
        <v>733</v>
      </c>
      <c r="C79" s="2091"/>
      <c r="D79" s="2091"/>
      <c r="E79" s="2091"/>
      <c r="F79" s="2091"/>
      <c r="G79" s="2092"/>
      <c r="H79" s="2093"/>
      <c r="I79" s="2093"/>
      <c r="J79" s="2277"/>
      <c r="K79" s="2093"/>
      <c r="L79" s="2093"/>
      <c r="M79" s="2093"/>
      <c r="N79" s="2093"/>
      <c r="O79" s="2093"/>
      <c r="P79" s="2093"/>
      <c r="Q79" s="2093"/>
      <c r="R79" s="2093"/>
      <c r="S79" s="2093"/>
    </row>
    <row r="81" spans="1:2" x14ac:dyDescent="0.35">
      <c r="A81" s="78" t="s">
        <v>734</v>
      </c>
      <c r="B81" s="80"/>
    </row>
    <row r="82" spans="1:2" x14ac:dyDescent="0.35">
      <c r="A82" s="79" t="s">
        <v>632</v>
      </c>
      <c r="B82" s="2094"/>
    </row>
    <row r="83" spans="1:2" x14ac:dyDescent="0.35">
      <c r="A83" s="2279" t="s">
        <v>636</v>
      </c>
      <c r="B83" s="2094"/>
    </row>
    <row r="84" spans="1:2" x14ac:dyDescent="0.35">
      <c r="A84" s="2096" t="s">
        <v>639</v>
      </c>
      <c r="B84" s="2097"/>
    </row>
    <row r="85" spans="1:2" x14ac:dyDescent="0.35">
      <c r="A85" s="2096" t="s">
        <v>642</v>
      </c>
      <c r="B85" s="2159"/>
    </row>
    <row r="86" spans="1:2" x14ac:dyDescent="0.35">
      <c r="A86" s="2099" t="s">
        <v>735</v>
      </c>
      <c r="B86" s="2100"/>
    </row>
    <row r="88" spans="1:2" x14ac:dyDescent="0.35">
      <c r="A88" s="81"/>
      <c r="B88" s="1" t="s">
        <v>736</v>
      </c>
    </row>
    <row r="89" spans="1:2" x14ac:dyDescent="0.35">
      <c r="A89" s="82"/>
      <c r="B89" s="1" t="s">
        <v>737</v>
      </c>
    </row>
  </sheetData>
  <mergeCells count="47">
    <mergeCell ref="A54:B54"/>
    <mergeCell ref="A58:B58"/>
    <mergeCell ref="A62:B62"/>
    <mergeCell ref="A66:B66"/>
    <mergeCell ref="A70:B7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459" priority="3" operator="equal">
      <formula>"X"</formula>
    </cfRule>
    <cfRule type="cellIs" dxfId="1458" priority="4" operator="equal">
      <formula>"I"</formula>
    </cfRule>
  </conditionalFormatting>
  <conditionalFormatting sqref="H32:H45">
    <cfRule type="cellIs" dxfId="1457" priority="1" operator="equal">
      <formula>"X"</formula>
    </cfRule>
    <cfRule type="cellIs" dxfId="1456" priority="2" operator="equal">
      <formula>"I"</formula>
    </cfRule>
  </conditionalFormatting>
  <conditionalFormatting sqref="J20:J30">
    <cfRule type="cellIs" dxfId="1455" priority="7" operator="equal">
      <formula>"X"</formula>
    </cfRule>
    <cfRule type="cellIs" dxfId="1454" priority="8" operator="equal">
      <formula>"I"</formula>
    </cfRule>
  </conditionalFormatting>
  <conditionalFormatting sqref="J32:J45">
    <cfRule type="cellIs" dxfId="1453" priority="5" operator="equal">
      <formula>"X"</formula>
    </cfRule>
    <cfRule type="cellIs" dxfId="1452" priority="6" operator="equal">
      <formula>"I"</formula>
    </cfRule>
  </conditionalFormatting>
  <conditionalFormatting sqref="L20:L30">
    <cfRule type="cellIs" dxfId="1451" priority="11" operator="equal">
      <formula>"X"</formula>
    </cfRule>
    <cfRule type="cellIs" dxfId="1450" priority="12" operator="equal">
      <formula>"I"</formula>
    </cfRule>
  </conditionalFormatting>
  <conditionalFormatting sqref="L32:L45">
    <cfRule type="cellIs" dxfId="1449" priority="9" operator="equal">
      <formula>"X"</formula>
    </cfRule>
    <cfRule type="cellIs" dxfId="1448" priority="10" operator="equal">
      <formula>"I"</formula>
    </cfRule>
  </conditionalFormatting>
  <conditionalFormatting sqref="N20:N30">
    <cfRule type="cellIs" dxfId="1447" priority="15" operator="equal">
      <formula>"X"</formula>
    </cfRule>
    <cfRule type="cellIs" dxfId="1446" priority="16" operator="equal">
      <formula>"I"</formula>
    </cfRule>
  </conditionalFormatting>
  <conditionalFormatting sqref="N32:N45">
    <cfRule type="cellIs" dxfId="1445" priority="13" operator="equal">
      <formula>"X"</formula>
    </cfRule>
    <cfRule type="cellIs" dxfId="1444" priority="14" operator="equal">
      <formula>"I"</formula>
    </cfRule>
  </conditionalFormatting>
  <conditionalFormatting sqref="P20:P30">
    <cfRule type="cellIs" dxfId="1443" priority="19" operator="equal">
      <formula>"X"</formula>
    </cfRule>
    <cfRule type="cellIs" dxfId="1442" priority="20" operator="equal">
      <formula>"I"</formula>
    </cfRule>
  </conditionalFormatting>
  <conditionalFormatting sqref="P32:P45">
    <cfRule type="cellIs" dxfId="1441" priority="17" operator="equal">
      <formula>"X"</formula>
    </cfRule>
    <cfRule type="cellIs" dxfId="1440" priority="18" operator="equal">
      <formula>"I"</formula>
    </cfRule>
  </conditionalFormatting>
  <conditionalFormatting sqref="R20:R30">
    <cfRule type="cellIs" dxfId="1439" priority="23" operator="equal">
      <formula>"X"</formula>
    </cfRule>
    <cfRule type="cellIs" dxfId="1438" priority="24" operator="equal">
      <formula>"I"</formula>
    </cfRule>
  </conditionalFormatting>
  <conditionalFormatting sqref="R32:R45">
    <cfRule type="cellIs" dxfId="1437" priority="21" operator="equal">
      <formula>"X"</formula>
    </cfRule>
    <cfRule type="cellIs" dxfId="1436" priority="22" operator="equal">
      <formula>"I"</formula>
    </cfRule>
  </conditionalFormatting>
  <hyperlinks>
    <hyperlink ref="B3" location="'Cost Summary'!A1" display="BACK TO SUMMARY SHEET" xr:uid="{1319B25A-0575-4B74-8B1D-FDD9BADAA8A1}"/>
  </hyperlink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7A28-1B96-4878-9CE3-BBD9B1762ABE}">
  <sheetPr>
    <tabColor theme="7"/>
  </sheetPr>
  <dimension ref="A1:U98"/>
  <sheetViews>
    <sheetView workbookViewId="0">
      <pane xSplit="2" ySplit="9" topLeftCell="G35" activePane="bottomRight" state="frozen"/>
      <selection pane="topRight" activeCell="C1" sqref="C1"/>
      <selection pane="bottomLeft" activeCell="A11" sqref="A11"/>
      <selection pane="bottomRight" activeCell="H29" sqref="H29:I31"/>
    </sheetView>
  </sheetViews>
  <sheetFormatPr defaultRowHeight="14.5" x14ac:dyDescent="0.35"/>
  <cols>
    <col min="1" max="1" width="11" customWidth="1"/>
    <col min="2" max="2" width="70.7265625" style="1" customWidth="1"/>
    <col min="3" max="3" width="10.81640625" style="2" bestFit="1" customWidth="1"/>
    <col min="4" max="4" width="8.81640625" style="2" customWidth="1"/>
    <col min="5" max="5" width="7.54296875" style="2" customWidth="1"/>
    <col min="6" max="6" width="10.26953125" style="2" customWidth="1"/>
    <col min="7" max="7" width="12.26953125" style="2" customWidth="1"/>
    <col min="8" max="8" width="7.453125" style="2" customWidth="1"/>
    <col min="9" max="9" width="14.81640625" style="2" customWidth="1"/>
    <col min="10" max="10" width="7.453125" style="2" customWidth="1"/>
    <col min="11" max="11" width="12.269531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s>
  <sheetData>
    <row r="1" spans="1:21" x14ac:dyDescent="0.35">
      <c r="E1" s="152"/>
      <c r="F1" s="125"/>
      <c r="G1" s="123" t="s">
        <v>621</v>
      </c>
      <c r="L1" s="3785"/>
      <c r="M1" s="3785"/>
      <c r="N1" s="3785" t="s">
        <v>770</v>
      </c>
      <c r="O1" s="3785"/>
    </row>
    <row r="2" spans="1:21" x14ac:dyDescent="0.35">
      <c r="E2" s="152"/>
      <c r="F2" s="122" t="s">
        <v>622</v>
      </c>
      <c r="G2" s="123" t="s">
        <v>451</v>
      </c>
      <c r="H2" s="3866" t="s">
        <v>2610</v>
      </c>
      <c r="I2" s="3866"/>
      <c r="J2" s="3866" t="s">
        <v>2611</v>
      </c>
      <c r="K2" s="3866"/>
      <c r="L2" s="3751"/>
      <c r="M2" s="3751"/>
      <c r="N2" s="3751" t="s">
        <v>1872</v>
      </c>
      <c r="O2" s="3751"/>
      <c r="P2" s="3946" t="s">
        <v>2612</v>
      </c>
      <c r="Q2" s="3751"/>
      <c r="R2" s="3751"/>
      <c r="S2" s="3751"/>
      <c r="T2" s="3751"/>
      <c r="U2" s="3751"/>
    </row>
    <row r="3" spans="1:21" ht="19.5" x14ac:dyDescent="0.35">
      <c r="B3" s="137" t="s">
        <v>623</v>
      </c>
      <c r="E3" s="152"/>
      <c r="F3" s="124" t="s">
        <v>624</v>
      </c>
      <c r="G3" s="123" t="s">
        <v>557</v>
      </c>
      <c r="H3" s="3754" t="s">
        <v>625</v>
      </c>
      <c r="I3" s="3755"/>
      <c r="J3" s="3754" t="s">
        <v>626</v>
      </c>
      <c r="K3" s="3755"/>
      <c r="L3" s="3772" t="s">
        <v>627</v>
      </c>
      <c r="M3" s="3773"/>
      <c r="N3" s="3778" t="s">
        <v>627</v>
      </c>
      <c r="O3" s="3779"/>
      <c r="P3" s="3754" t="s">
        <v>628</v>
      </c>
      <c r="Q3" s="3755"/>
      <c r="R3" s="3754" t="s">
        <v>772</v>
      </c>
      <c r="S3" s="3755"/>
      <c r="T3" s="3754" t="s">
        <v>773</v>
      </c>
      <c r="U3" s="3755"/>
    </row>
    <row r="4" spans="1:21" x14ac:dyDescent="0.35">
      <c r="A4" s="3" t="s">
        <v>631</v>
      </c>
      <c r="B4" s="4" t="str">
        <f>'AREA CALC''s'!B4</f>
        <v>Alton Hilltop Gardens</v>
      </c>
      <c r="C4" s="5"/>
      <c r="D4" s="5"/>
      <c r="E4" s="5"/>
      <c r="F4" s="5"/>
      <c r="G4" s="6" t="s">
        <v>632</v>
      </c>
      <c r="H4" s="3898" t="s">
        <v>2197</v>
      </c>
      <c r="I4" s="3898"/>
      <c r="J4" s="3898" t="s">
        <v>2198</v>
      </c>
      <c r="K4" s="3898"/>
      <c r="L4" s="3947" t="s">
        <v>2613</v>
      </c>
      <c r="M4" s="3948"/>
      <c r="N4" s="3947" t="s">
        <v>2614</v>
      </c>
      <c r="O4" s="3948"/>
      <c r="P4" s="3898" t="s">
        <v>2199</v>
      </c>
      <c r="Q4" s="3898"/>
      <c r="R4" s="3898" t="s">
        <v>2201</v>
      </c>
      <c r="S4" s="3898"/>
      <c r="T4" s="3898" t="s">
        <v>1340</v>
      </c>
      <c r="U4" s="3898"/>
    </row>
    <row r="5" spans="1:21" x14ac:dyDescent="0.35">
      <c r="A5" s="2283" t="s">
        <v>634</v>
      </c>
      <c r="B5" s="2284" t="s">
        <v>2615</v>
      </c>
      <c r="C5" s="2285"/>
      <c r="D5" s="2285"/>
      <c r="E5" s="2285"/>
      <c r="F5" s="2285"/>
      <c r="G5" s="2194" t="s">
        <v>636</v>
      </c>
      <c r="H5" s="3950" t="s">
        <v>2202</v>
      </c>
      <c r="I5" s="3950"/>
      <c r="J5" s="3950" t="s">
        <v>2203</v>
      </c>
      <c r="K5" s="3950"/>
      <c r="L5" s="3931" t="s">
        <v>2616</v>
      </c>
      <c r="M5" s="3932"/>
      <c r="N5" s="3931" t="s">
        <v>2616</v>
      </c>
      <c r="O5" s="3932"/>
      <c r="P5" s="3950" t="s">
        <v>1343</v>
      </c>
      <c r="Q5" s="3950"/>
      <c r="R5" s="3950" t="s">
        <v>2205</v>
      </c>
      <c r="S5" s="3950"/>
      <c r="T5" s="3950" t="s">
        <v>2617</v>
      </c>
      <c r="U5" s="3950"/>
    </row>
    <row r="6" spans="1:21" x14ac:dyDescent="0.35">
      <c r="A6" s="2283" t="s">
        <v>638</v>
      </c>
      <c r="B6" s="2195" t="s">
        <v>517</v>
      </c>
      <c r="C6" s="2285"/>
      <c r="D6" s="2285"/>
      <c r="E6" s="2285"/>
      <c r="F6" s="2285"/>
      <c r="G6" s="2194" t="s">
        <v>639</v>
      </c>
      <c r="H6" s="3949" t="s">
        <v>2206</v>
      </c>
      <c r="I6" s="3949"/>
      <c r="J6" s="3949" t="s">
        <v>2207</v>
      </c>
      <c r="K6" s="3949"/>
      <c r="L6" s="3937">
        <v>5618485556</v>
      </c>
      <c r="M6" s="3938"/>
      <c r="N6" s="3937">
        <v>5618485556</v>
      </c>
      <c r="O6" s="3938"/>
      <c r="P6" s="3949" t="s">
        <v>2208</v>
      </c>
      <c r="Q6" s="3949"/>
      <c r="R6" s="3949" t="s">
        <v>2210</v>
      </c>
      <c r="S6" s="3949"/>
      <c r="T6" s="3949" t="s">
        <v>1885</v>
      </c>
      <c r="U6" s="3949"/>
    </row>
    <row r="7" spans="1:21" x14ac:dyDescent="0.35">
      <c r="A7" s="2283" t="s">
        <v>641</v>
      </c>
      <c r="B7" s="2196"/>
      <c r="C7" s="2285"/>
      <c r="D7" s="2285"/>
      <c r="E7" s="2285"/>
      <c r="F7" s="2285"/>
      <c r="G7" s="2194" t="s">
        <v>642</v>
      </c>
      <c r="H7" s="3951" t="s">
        <v>2211</v>
      </c>
      <c r="I7" s="3951"/>
      <c r="J7" s="3951" t="s">
        <v>2212</v>
      </c>
      <c r="K7" s="3951"/>
      <c r="L7" s="3934" t="s">
        <v>2618</v>
      </c>
      <c r="M7" s="3935"/>
      <c r="N7" s="3934" t="s">
        <v>2618</v>
      </c>
      <c r="O7" s="3935"/>
      <c r="P7" s="3951" t="s">
        <v>2213</v>
      </c>
      <c r="Q7" s="3951"/>
      <c r="R7" s="3951" t="s">
        <v>2215</v>
      </c>
      <c r="S7" s="3951"/>
      <c r="T7" s="3951" t="s">
        <v>2619</v>
      </c>
      <c r="U7" s="3951"/>
    </row>
    <row r="8" spans="1:21" x14ac:dyDescent="0.35">
      <c r="A8" s="938" t="s">
        <v>644</v>
      </c>
      <c r="B8" s="939"/>
      <c r="C8" s="940"/>
      <c r="D8" s="940"/>
      <c r="E8" s="940"/>
      <c r="F8" s="940"/>
      <c r="G8" s="1024" t="s">
        <v>644</v>
      </c>
      <c r="H8" s="3945">
        <f>I60</f>
        <v>317675.48</v>
      </c>
      <c r="I8" s="3944"/>
      <c r="J8" s="3945">
        <f>K60</f>
        <v>334170.87080000003</v>
      </c>
      <c r="K8" s="3944"/>
      <c r="L8" s="3945">
        <f>M60</f>
        <v>352460</v>
      </c>
      <c r="M8" s="3944"/>
      <c r="N8" s="3945">
        <f>O60</f>
        <v>359300</v>
      </c>
      <c r="O8" s="3944"/>
      <c r="P8" s="3945">
        <f>Q60</f>
        <v>302217</v>
      </c>
      <c r="Q8" s="3944"/>
      <c r="R8" s="3945">
        <f>S60</f>
        <v>342919</v>
      </c>
      <c r="S8" s="3944"/>
      <c r="T8" s="3945">
        <f>U60</f>
        <v>479192.96</v>
      </c>
      <c r="U8" s="3944"/>
    </row>
    <row r="9" spans="1:2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idden="1" x14ac:dyDescent="0.35">
      <c r="A10" s="2286"/>
      <c r="B10" s="2302" t="s">
        <v>653</v>
      </c>
      <c r="C10" s="2285"/>
      <c r="D10" s="2285"/>
      <c r="E10" s="2285"/>
      <c r="F10" s="2285"/>
      <c r="G10" s="2198"/>
      <c r="H10" s="2107"/>
      <c r="I10" s="2107"/>
      <c r="J10" s="2107"/>
      <c r="K10" s="2107"/>
      <c r="L10" s="2107"/>
      <c r="M10" s="2107"/>
      <c r="N10" s="2107"/>
      <c r="O10" s="2107"/>
      <c r="P10" s="2107"/>
      <c r="Q10" s="2107"/>
      <c r="R10" s="2107"/>
      <c r="S10" s="2107"/>
      <c r="T10" s="2107"/>
      <c r="U10" s="2107"/>
    </row>
    <row r="11" spans="1:21"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row>
    <row r="12" spans="1:21"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row>
    <row r="13" spans="1:21"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row>
    <row r="14" spans="1:21"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row>
    <row r="15" spans="1:21"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row>
    <row r="16" spans="1:21"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row>
    <row r="17" spans="1:21"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row>
    <row r="18" spans="1:21"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row>
    <row r="19" spans="1:21"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row>
    <row r="20" spans="1:21" x14ac:dyDescent="0.35">
      <c r="A20" s="2286"/>
      <c r="B20" s="2284"/>
      <c r="C20" s="2201"/>
      <c r="D20" s="2285"/>
      <c r="E20" s="2285"/>
      <c r="F20" s="2285"/>
      <c r="G20" s="2198"/>
      <c r="H20" s="2109"/>
      <c r="I20" s="2107"/>
      <c r="J20" s="2109"/>
      <c r="K20" s="2107"/>
      <c r="L20" s="2109"/>
      <c r="M20" s="2107"/>
      <c r="N20" s="2109"/>
      <c r="O20" s="2107"/>
      <c r="P20" s="2109"/>
      <c r="Q20" s="2107"/>
      <c r="R20" s="2109"/>
      <c r="S20" s="2107"/>
      <c r="T20" s="2109"/>
      <c r="U20" s="2107"/>
    </row>
    <row r="21" spans="1:21" x14ac:dyDescent="0.35">
      <c r="A21" s="48"/>
      <c r="B21" s="2203" t="s">
        <v>2615</v>
      </c>
      <c r="C21" s="45"/>
      <c r="D21" s="46"/>
      <c r="E21" s="46"/>
      <c r="F21" s="46"/>
      <c r="G21" s="52"/>
      <c r="H21" s="2109"/>
      <c r="I21" s="2303"/>
      <c r="J21" s="2109"/>
      <c r="K21" s="2303"/>
      <c r="L21" s="2109"/>
      <c r="M21" s="2303"/>
      <c r="N21" s="2109"/>
      <c r="O21" s="2303"/>
      <c r="P21" s="2109"/>
      <c r="Q21" s="2303"/>
      <c r="R21" s="2109"/>
      <c r="S21" s="2303"/>
      <c r="T21" s="2109"/>
      <c r="U21" s="2303"/>
    </row>
    <row r="22" spans="1:21" x14ac:dyDescent="0.35">
      <c r="A22" s="2304"/>
      <c r="B22" s="606" t="s">
        <v>657</v>
      </c>
      <c r="C22" s="2201"/>
      <c r="D22" s="2285"/>
      <c r="E22" s="2285"/>
      <c r="F22" s="2285"/>
      <c r="G22" s="2198"/>
      <c r="H22" s="2109"/>
      <c r="I22" s="2303"/>
      <c r="J22" s="2109"/>
      <c r="K22" s="2303"/>
      <c r="L22" s="2109"/>
      <c r="M22" s="2303"/>
      <c r="N22" s="2109"/>
      <c r="O22" s="2303"/>
      <c r="P22" s="2109"/>
      <c r="Q22" s="2303"/>
      <c r="R22" s="2109"/>
      <c r="S22" s="2303"/>
      <c r="T22" s="2109"/>
      <c r="U22" s="2303"/>
    </row>
    <row r="23" spans="1:21" x14ac:dyDescent="0.35">
      <c r="A23" s="2304"/>
      <c r="B23" s="2305" t="s">
        <v>658</v>
      </c>
      <c r="C23" s="2201"/>
      <c r="D23" s="2285"/>
      <c r="E23" s="2285"/>
      <c r="F23" s="2285"/>
      <c r="G23" s="2198"/>
      <c r="H23" s="2109" t="s">
        <v>669</v>
      </c>
      <c r="I23" s="2306"/>
      <c r="J23" s="2109" t="s">
        <v>669</v>
      </c>
      <c r="K23" s="2307"/>
      <c r="L23" s="2109" t="s">
        <v>669</v>
      </c>
      <c r="M23" s="2306"/>
      <c r="N23" s="2109" t="s">
        <v>669</v>
      </c>
      <c r="O23" s="2306"/>
      <c r="P23" s="2109" t="s">
        <v>669</v>
      </c>
      <c r="Q23" s="2307"/>
      <c r="R23" s="2109" t="s">
        <v>669</v>
      </c>
      <c r="S23" s="2307"/>
      <c r="T23" s="2109" t="s">
        <v>669</v>
      </c>
      <c r="U23" s="2307"/>
    </row>
    <row r="24" spans="1:21" x14ac:dyDescent="0.35">
      <c r="A24" s="2304"/>
      <c r="B24" s="2305" t="s">
        <v>659</v>
      </c>
      <c r="C24" s="2208"/>
      <c r="D24" s="2285"/>
      <c r="E24" s="2285"/>
      <c r="F24" s="2285"/>
      <c r="G24" s="2198"/>
      <c r="H24" s="2109" t="s">
        <v>669</v>
      </c>
      <c r="I24" s="2306"/>
      <c r="J24" s="2109" t="s">
        <v>669</v>
      </c>
      <c r="K24" s="2307"/>
      <c r="L24" s="2109" t="s">
        <v>669</v>
      </c>
      <c r="M24" s="2306"/>
      <c r="N24" s="2109" t="s">
        <v>669</v>
      </c>
      <c r="O24" s="2306"/>
      <c r="P24" s="2109" t="s">
        <v>669</v>
      </c>
      <c r="Q24" s="2307"/>
      <c r="R24" s="2109" t="s">
        <v>669</v>
      </c>
      <c r="S24" s="2307"/>
      <c r="T24" s="2109" t="s">
        <v>669</v>
      </c>
      <c r="U24" s="2307"/>
    </row>
    <row r="25" spans="1:21" x14ac:dyDescent="0.35">
      <c r="A25" s="2304"/>
      <c r="B25" s="2308" t="s">
        <v>660</v>
      </c>
      <c r="C25" s="2208"/>
      <c r="D25" s="2285"/>
      <c r="E25" s="2285"/>
      <c r="F25" s="2285"/>
      <c r="G25" s="2198"/>
      <c r="H25" s="2109" t="s">
        <v>671</v>
      </c>
      <c r="I25" s="2306"/>
      <c r="J25" s="2109" t="s">
        <v>671</v>
      </c>
      <c r="K25" s="2307"/>
      <c r="L25" s="2109" t="s">
        <v>671</v>
      </c>
      <c r="M25" s="2306"/>
      <c r="N25" s="2109" t="s">
        <v>671</v>
      </c>
      <c r="O25" s="2306"/>
      <c r="P25" s="2109" t="s">
        <v>671</v>
      </c>
      <c r="Q25" s="2307"/>
      <c r="R25" s="2109" t="s">
        <v>671</v>
      </c>
      <c r="S25" s="2307"/>
      <c r="T25" s="2109" t="s">
        <v>671</v>
      </c>
      <c r="U25" s="2307"/>
    </row>
    <row r="26" spans="1:21" s="77" customFormat="1" x14ac:dyDescent="0.35">
      <c r="A26" s="2309"/>
      <c r="B26" s="2308" t="s">
        <v>661</v>
      </c>
      <c r="C26" s="2211"/>
      <c r="D26" s="2212"/>
      <c r="E26" s="2212"/>
      <c r="F26" s="2212"/>
      <c r="G26" s="2211"/>
      <c r="H26" s="2109" t="s">
        <v>669</v>
      </c>
      <c r="I26" s="2306"/>
      <c r="J26" s="2109" t="s">
        <v>669</v>
      </c>
      <c r="K26" s="2310"/>
      <c r="L26" s="2109" t="s">
        <v>669</v>
      </c>
      <c r="M26" s="2306"/>
      <c r="N26" s="2109" t="s">
        <v>669</v>
      </c>
      <c r="O26" s="2306"/>
      <c r="P26" s="2109" t="s">
        <v>669</v>
      </c>
      <c r="Q26" s="2310"/>
      <c r="R26" s="2109" t="s">
        <v>669</v>
      </c>
      <c r="S26" s="2310"/>
      <c r="T26" s="2109" t="s">
        <v>669</v>
      </c>
      <c r="U26" s="2310"/>
    </row>
    <row r="27" spans="1:21" s="77" customFormat="1" x14ac:dyDescent="0.35">
      <c r="A27" s="2309"/>
      <c r="B27" s="2308" t="s">
        <v>662</v>
      </c>
      <c r="C27" s="2211"/>
      <c r="D27" s="2212"/>
      <c r="E27" s="2212"/>
      <c r="F27" s="2212"/>
      <c r="G27" s="2211"/>
      <c r="H27" s="2109" t="s">
        <v>669</v>
      </c>
      <c r="I27" s="2306"/>
      <c r="J27" s="2109" t="s">
        <v>669</v>
      </c>
      <c r="K27" s="2310"/>
      <c r="L27" s="2109" t="s">
        <v>669</v>
      </c>
      <c r="M27" s="2306"/>
      <c r="N27" s="2109" t="s">
        <v>669</v>
      </c>
      <c r="O27" s="2306"/>
      <c r="P27" s="2109" t="s">
        <v>669</v>
      </c>
      <c r="Q27" s="2310"/>
      <c r="R27" s="2109" t="s">
        <v>669</v>
      </c>
      <c r="S27" s="2310"/>
      <c r="T27" s="2109" t="s">
        <v>669</v>
      </c>
      <c r="U27" s="2310"/>
    </row>
    <row r="28" spans="1:21" s="77" customFormat="1" x14ac:dyDescent="0.35">
      <c r="A28" s="2309"/>
      <c r="B28" s="2308" t="s">
        <v>663</v>
      </c>
      <c r="C28" s="2211"/>
      <c r="D28" s="2212"/>
      <c r="E28" s="2212"/>
      <c r="F28" s="2212"/>
      <c r="G28" s="2211"/>
      <c r="H28" s="2109" t="s">
        <v>669</v>
      </c>
      <c r="I28" s="2306"/>
      <c r="J28" s="2109" t="s">
        <v>669</v>
      </c>
      <c r="K28" s="2310"/>
      <c r="L28" s="2109" t="s">
        <v>669</v>
      </c>
      <c r="M28" s="2306"/>
      <c r="N28" s="2109" t="s">
        <v>669</v>
      </c>
      <c r="O28" s="2306"/>
      <c r="P28" s="2109" t="s">
        <v>669</v>
      </c>
      <c r="Q28" s="2310"/>
      <c r="R28" s="2109" t="s">
        <v>669</v>
      </c>
      <c r="S28" s="2310"/>
      <c r="T28" s="2109" t="s">
        <v>669</v>
      </c>
      <c r="U28" s="2310"/>
    </row>
    <row r="29" spans="1:21" s="77" customFormat="1" x14ac:dyDescent="0.35">
      <c r="A29" s="2309"/>
      <c r="B29" s="2308" t="s">
        <v>789</v>
      </c>
      <c r="C29" s="2211"/>
      <c r="D29" s="2212"/>
      <c r="E29" s="2212"/>
      <c r="F29" s="2212"/>
      <c r="G29" s="2211"/>
      <c r="H29" s="2109" t="s">
        <v>671</v>
      </c>
      <c r="I29" s="2306" t="s">
        <v>1733</v>
      </c>
      <c r="J29" s="2109" t="s">
        <v>671</v>
      </c>
      <c r="K29" s="2310"/>
      <c r="L29" s="2109" t="s">
        <v>671</v>
      </c>
      <c r="M29" s="2303"/>
      <c r="N29" s="2109" t="s">
        <v>671</v>
      </c>
      <c r="O29" s="2303"/>
      <c r="P29" s="2109" t="s">
        <v>671</v>
      </c>
      <c r="Q29" s="2310"/>
      <c r="R29" s="2109" t="s">
        <v>671</v>
      </c>
      <c r="S29" s="2310"/>
      <c r="T29" s="2109" t="s">
        <v>671</v>
      </c>
      <c r="U29" s="2310"/>
    </row>
    <row r="30" spans="1:21" s="77" customFormat="1" x14ac:dyDescent="0.35">
      <c r="A30" s="2309"/>
      <c r="B30" s="2308" t="s">
        <v>790</v>
      </c>
      <c r="C30" s="2211"/>
      <c r="D30" s="2212"/>
      <c r="E30" s="2212"/>
      <c r="F30" s="2212"/>
      <c r="G30" s="2211"/>
      <c r="H30" s="2109" t="s">
        <v>671</v>
      </c>
      <c r="I30" s="2306" t="s">
        <v>2620</v>
      </c>
      <c r="J30" s="2109" t="s">
        <v>671</v>
      </c>
      <c r="K30" s="2310"/>
      <c r="L30" s="2109" t="s">
        <v>671</v>
      </c>
      <c r="M30" s="2303"/>
      <c r="N30" s="2109" t="s">
        <v>671</v>
      </c>
      <c r="O30" s="2303"/>
      <c r="P30" s="2109" t="s">
        <v>671</v>
      </c>
      <c r="Q30" s="2310"/>
      <c r="R30" s="2109" t="s">
        <v>671</v>
      </c>
      <c r="S30" s="2310"/>
      <c r="T30" s="2109" t="s">
        <v>671</v>
      </c>
      <c r="U30" s="2310"/>
    </row>
    <row r="31" spans="1:21" s="77" customFormat="1" x14ac:dyDescent="0.35">
      <c r="A31" s="2309"/>
      <c r="B31" s="2308" t="s">
        <v>791</v>
      </c>
      <c r="C31" s="2211"/>
      <c r="D31" s="2212"/>
      <c r="E31" s="2212"/>
      <c r="F31" s="2212"/>
      <c r="G31" s="2211"/>
      <c r="H31" s="2109" t="s">
        <v>671</v>
      </c>
      <c r="I31" s="2306" t="s">
        <v>2621</v>
      </c>
      <c r="J31" s="2109" t="s">
        <v>671</v>
      </c>
      <c r="K31" s="2310"/>
      <c r="L31" s="2109" t="s">
        <v>671</v>
      </c>
      <c r="M31" s="2303"/>
      <c r="N31" s="2109" t="s">
        <v>671</v>
      </c>
      <c r="O31" s="2303"/>
      <c r="P31" s="2109" t="s">
        <v>671</v>
      </c>
      <c r="Q31" s="2310"/>
      <c r="R31" s="2109" t="s">
        <v>671</v>
      </c>
      <c r="S31" s="2310"/>
      <c r="T31" s="2109" t="s">
        <v>671</v>
      </c>
      <c r="U31" s="2310"/>
    </row>
    <row r="32" spans="1:21" s="77" customFormat="1" x14ac:dyDescent="0.35">
      <c r="A32" s="2309"/>
      <c r="B32" s="2311" t="s">
        <v>664</v>
      </c>
      <c r="C32" s="2211"/>
      <c r="D32" s="2212"/>
      <c r="E32" s="2212"/>
      <c r="F32" s="2212"/>
      <c r="G32" s="2211"/>
      <c r="H32" s="2109"/>
      <c r="I32" s="2310"/>
      <c r="J32" s="2109"/>
      <c r="K32" s="2310"/>
      <c r="L32" s="2109"/>
      <c r="M32" s="2303"/>
      <c r="N32" s="2109"/>
      <c r="O32" s="2303"/>
      <c r="P32" s="2109"/>
      <c r="Q32" s="2310"/>
      <c r="R32" s="2109"/>
      <c r="S32" s="2310"/>
      <c r="T32" s="2109"/>
      <c r="U32" s="2310"/>
    </row>
    <row r="33" spans="1:21" s="77" customFormat="1" x14ac:dyDescent="0.35">
      <c r="A33" s="2309"/>
      <c r="B33" s="162" t="s">
        <v>665</v>
      </c>
      <c r="C33" s="2216"/>
      <c r="D33" s="2217"/>
      <c r="E33" s="2217"/>
      <c r="F33" s="2217"/>
      <c r="G33" s="2216"/>
      <c r="H33" s="2289"/>
      <c r="I33" s="2312"/>
      <c r="J33" s="2289"/>
      <c r="K33" s="2312"/>
      <c r="L33" s="2288"/>
      <c r="M33" s="2313"/>
      <c r="N33" s="2288"/>
      <c r="O33" s="2313"/>
      <c r="P33" s="2312"/>
      <c r="Q33" s="2312"/>
      <c r="R33" s="2312"/>
      <c r="S33" s="2312"/>
      <c r="T33" s="2312"/>
      <c r="U33" s="2312"/>
    </row>
    <row r="34" spans="1:21" s="77" customFormat="1" x14ac:dyDescent="0.35">
      <c r="A34" s="2314"/>
      <c r="B34" s="2315" t="s">
        <v>874</v>
      </c>
      <c r="C34" s="2236"/>
      <c r="D34" s="2212"/>
      <c r="E34" s="2212"/>
      <c r="F34" s="2212"/>
      <c r="G34" s="2211"/>
      <c r="H34" s="2109"/>
      <c r="I34" s="2310"/>
      <c r="J34" s="2109"/>
      <c r="K34" s="2310"/>
      <c r="L34" s="2109"/>
      <c r="M34" s="2303"/>
      <c r="N34" s="2109"/>
      <c r="O34" s="2303"/>
      <c r="P34" s="2109"/>
      <c r="Q34" s="2310"/>
      <c r="R34" s="2109"/>
      <c r="S34" s="2310"/>
      <c r="T34" s="2109"/>
      <c r="U34" s="2310"/>
    </row>
    <row r="35" spans="1:21" s="77" customFormat="1" x14ac:dyDescent="0.35">
      <c r="A35" s="2314"/>
      <c r="B35" s="2315"/>
      <c r="C35" s="2236"/>
      <c r="D35" s="2212"/>
      <c r="E35" s="2212"/>
      <c r="F35" s="2212"/>
      <c r="G35" s="2211"/>
      <c r="H35" s="2109"/>
      <c r="I35" s="2310"/>
      <c r="J35" s="2109"/>
      <c r="K35" s="2310"/>
      <c r="L35" s="2109"/>
      <c r="M35" s="2303"/>
      <c r="N35" s="2109"/>
      <c r="O35" s="2303"/>
      <c r="P35" s="2109"/>
      <c r="Q35" s="2310"/>
      <c r="R35" s="2109"/>
      <c r="S35" s="2310"/>
      <c r="T35" s="2109"/>
      <c r="U35" s="2310"/>
    </row>
    <row r="36" spans="1:21" x14ac:dyDescent="0.35">
      <c r="A36" s="2314"/>
      <c r="B36" s="128" t="s">
        <v>2622</v>
      </c>
      <c r="C36" s="2236"/>
      <c r="D36" s="2212"/>
      <c r="E36" s="2212"/>
      <c r="F36" s="2212"/>
      <c r="G36" s="2211"/>
      <c r="H36" s="2109" t="s">
        <v>669</v>
      </c>
      <c r="I36" s="2310">
        <v>174000</v>
      </c>
      <c r="J36" s="2109" t="s">
        <v>669</v>
      </c>
      <c r="K36" s="2310">
        <f>35184.84+35184.84+35184.84+36278.5+36278.5+26622.03</f>
        <v>204733.55</v>
      </c>
      <c r="L36" s="2109" t="s">
        <v>669</v>
      </c>
      <c r="M36" s="2316">
        <f>180175+42615</f>
        <v>222790</v>
      </c>
      <c r="N36" s="2109" t="s">
        <v>669</v>
      </c>
      <c r="O36" s="2316">
        <f>178445+40275</f>
        <v>218720</v>
      </c>
      <c r="P36" s="2109" t="s">
        <v>669</v>
      </c>
      <c r="Q36" s="2310">
        <v>115881</v>
      </c>
      <c r="R36" s="2109" t="s">
        <v>669</v>
      </c>
      <c r="S36" s="2310">
        <v>204451</v>
      </c>
      <c r="T36" s="2109" t="s">
        <v>669</v>
      </c>
      <c r="U36" s="2310">
        <f>48676+132460+190643</f>
        <v>371779</v>
      </c>
    </row>
    <row r="37" spans="1:21" ht="25" x14ac:dyDescent="0.35">
      <c r="A37" s="2304"/>
      <c r="B37" s="2317" t="s">
        <v>2623</v>
      </c>
      <c r="C37" s="2211"/>
      <c r="D37" s="2285">
        <v>626</v>
      </c>
      <c r="E37" s="2285" t="s">
        <v>666</v>
      </c>
      <c r="F37" s="2285"/>
      <c r="G37" s="2198"/>
      <c r="H37" s="2109" t="s">
        <v>669</v>
      </c>
      <c r="I37" s="2303"/>
      <c r="J37" s="2109" t="s">
        <v>669</v>
      </c>
      <c r="K37" s="2303"/>
      <c r="L37" s="2109" t="s">
        <v>669</v>
      </c>
      <c r="M37" s="2303"/>
      <c r="N37" s="2109" t="s">
        <v>669</v>
      </c>
      <c r="O37" s="2303"/>
      <c r="P37" s="2109" t="s">
        <v>669</v>
      </c>
      <c r="Q37" s="2303"/>
      <c r="R37" s="2109" t="s">
        <v>669</v>
      </c>
      <c r="S37" s="2307"/>
      <c r="T37" s="2109" t="s">
        <v>669</v>
      </c>
      <c r="U37" s="2318"/>
    </row>
    <row r="38" spans="1:21" ht="25" x14ac:dyDescent="0.35">
      <c r="A38" s="2304"/>
      <c r="B38" s="2317" t="s">
        <v>2624</v>
      </c>
      <c r="C38" s="2211"/>
      <c r="D38" s="2285">
        <v>281</v>
      </c>
      <c r="E38" s="2285" t="s">
        <v>666</v>
      </c>
      <c r="F38" s="2285"/>
      <c r="G38" s="2198"/>
      <c r="H38" s="2109" t="s">
        <v>669</v>
      </c>
      <c r="I38" s="2303"/>
      <c r="J38" s="2109" t="s">
        <v>669</v>
      </c>
      <c r="K38" s="2310"/>
      <c r="L38" s="2109" t="s">
        <v>669</v>
      </c>
      <c r="M38" s="2303"/>
      <c r="N38" s="2109" t="s">
        <v>669</v>
      </c>
      <c r="O38" s="2303"/>
      <c r="P38" s="2109" t="s">
        <v>669</v>
      </c>
      <c r="Q38" s="2303"/>
      <c r="R38" s="2109" t="s">
        <v>669</v>
      </c>
      <c r="S38" s="2307"/>
      <c r="T38" s="2109" t="s">
        <v>669</v>
      </c>
      <c r="U38" s="2318"/>
    </row>
    <row r="39" spans="1:21" x14ac:dyDescent="0.35">
      <c r="A39" s="2304"/>
      <c r="B39" s="2235" t="s">
        <v>2625</v>
      </c>
      <c r="C39" s="2211"/>
      <c r="D39" s="2285">
        <f>23+23</f>
        <v>46</v>
      </c>
      <c r="E39" s="2285" t="s">
        <v>666</v>
      </c>
      <c r="F39" s="2285"/>
      <c r="G39" s="2198"/>
      <c r="H39" s="2038" t="s">
        <v>654</v>
      </c>
      <c r="I39" s="2319">
        <f>K39</f>
        <v>22154.959999999999</v>
      </c>
      <c r="J39" s="2109" t="s">
        <v>669</v>
      </c>
      <c r="K39" s="2310">
        <v>22154.959999999999</v>
      </c>
      <c r="L39" s="2109" t="s">
        <v>669</v>
      </c>
      <c r="M39" s="2316">
        <f>25795+6145</f>
        <v>31940</v>
      </c>
      <c r="N39" s="2109" t="s">
        <v>669</v>
      </c>
      <c r="O39" s="2316">
        <f>25545+6125</f>
        <v>31670</v>
      </c>
      <c r="P39" s="2038" t="s">
        <v>654</v>
      </c>
      <c r="Q39" s="2320">
        <f>M39</f>
        <v>31940</v>
      </c>
      <c r="R39" s="2038" t="s">
        <v>654</v>
      </c>
      <c r="S39" s="2321">
        <f>Q39</f>
        <v>31940</v>
      </c>
      <c r="T39" s="2038" t="s">
        <v>654</v>
      </c>
      <c r="U39" s="2320">
        <f>I39</f>
        <v>22154.959999999999</v>
      </c>
    </row>
    <row r="40" spans="1:21" x14ac:dyDescent="0.35">
      <c r="A40" s="2304"/>
      <c r="B40" s="2234" t="s">
        <v>2626</v>
      </c>
      <c r="C40" s="2211"/>
      <c r="D40" s="2285"/>
      <c r="E40" s="2285"/>
      <c r="F40" s="2285"/>
      <c r="G40" s="2198"/>
      <c r="H40" s="2109" t="s">
        <v>669</v>
      </c>
      <c r="I40" s="2310">
        <v>35500</v>
      </c>
      <c r="J40" s="2109" t="s">
        <v>669</v>
      </c>
      <c r="K40" s="2316">
        <v>21226.03</v>
      </c>
      <c r="L40" s="2109" t="s">
        <v>669</v>
      </c>
      <c r="M40" s="2316">
        <f>25940+1345</f>
        <v>27285</v>
      </c>
      <c r="N40" s="2109" t="s">
        <v>669</v>
      </c>
      <c r="O40" s="2316">
        <f>25695+1340</f>
        <v>27035</v>
      </c>
      <c r="P40" s="2109" t="s">
        <v>669</v>
      </c>
      <c r="Q40" s="2316">
        <f>44067</f>
        <v>44067</v>
      </c>
      <c r="R40" s="2109" t="s">
        <v>669</v>
      </c>
      <c r="S40" s="2316">
        <v>19225</v>
      </c>
      <c r="T40" s="2109" t="s">
        <v>669</v>
      </c>
      <c r="U40" s="2318">
        <v>36527</v>
      </c>
    </row>
    <row r="41" spans="1:21" x14ac:dyDescent="0.35">
      <c r="A41" s="2304" t="s">
        <v>2627</v>
      </c>
      <c r="B41" s="2235" t="s">
        <v>2628</v>
      </c>
      <c r="C41" s="2211"/>
      <c r="D41" s="2285">
        <v>15</v>
      </c>
      <c r="E41" s="2285" t="s">
        <v>666</v>
      </c>
      <c r="F41" s="2285"/>
      <c r="G41" s="2198"/>
      <c r="H41" s="2109" t="s">
        <v>669</v>
      </c>
      <c r="I41" s="2303"/>
      <c r="J41" s="2109" t="s">
        <v>669</v>
      </c>
      <c r="K41" s="2303"/>
      <c r="L41" s="2109" t="s">
        <v>669</v>
      </c>
      <c r="M41" s="2303"/>
      <c r="N41" s="2109" t="s">
        <v>669</v>
      </c>
      <c r="O41" s="2303"/>
      <c r="P41" s="2109" t="s">
        <v>669</v>
      </c>
      <c r="Q41" s="2303"/>
      <c r="R41" s="2109" t="s">
        <v>669</v>
      </c>
      <c r="S41" s="2307"/>
      <c r="T41" s="2109" t="s">
        <v>669</v>
      </c>
      <c r="U41" s="2307"/>
    </row>
    <row r="42" spans="1:21" x14ac:dyDescent="0.35">
      <c r="A42" s="2304" t="s">
        <v>2629</v>
      </c>
      <c r="B42" s="2235" t="s">
        <v>2630</v>
      </c>
      <c r="C42" s="2211"/>
      <c r="D42" s="2285">
        <v>7</v>
      </c>
      <c r="E42" s="2285" t="s">
        <v>666</v>
      </c>
      <c r="F42" s="2285"/>
      <c r="G42" s="2198"/>
      <c r="H42" s="2109" t="s">
        <v>669</v>
      </c>
      <c r="I42" s="2303"/>
      <c r="J42" s="2109" t="s">
        <v>669</v>
      </c>
      <c r="K42" s="2303"/>
      <c r="L42" s="2109" t="s">
        <v>669</v>
      </c>
      <c r="M42" s="2303"/>
      <c r="N42" s="2109" t="s">
        <v>669</v>
      </c>
      <c r="O42" s="2303"/>
      <c r="P42" s="2109" t="s">
        <v>669</v>
      </c>
      <c r="Q42" s="2303"/>
      <c r="R42" s="2109" t="s">
        <v>669</v>
      </c>
      <c r="S42" s="2307"/>
      <c r="T42" s="2109" t="s">
        <v>669</v>
      </c>
      <c r="U42" s="2307"/>
    </row>
    <row r="43" spans="1:21" x14ac:dyDescent="0.35">
      <c r="A43" s="2304" t="s">
        <v>2631</v>
      </c>
      <c r="B43" s="2235" t="s">
        <v>2632</v>
      </c>
      <c r="C43" s="2211"/>
      <c r="D43" s="2285">
        <v>9</v>
      </c>
      <c r="E43" s="2285" t="s">
        <v>666</v>
      </c>
      <c r="F43" s="2285"/>
      <c r="G43" s="2198"/>
      <c r="H43" s="2109" t="s">
        <v>669</v>
      </c>
      <c r="I43" s="2303"/>
      <c r="J43" s="2109" t="s">
        <v>669</v>
      </c>
      <c r="K43" s="2303"/>
      <c r="L43" s="2109" t="s">
        <v>669</v>
      </c>
      <c r="M43" s="2303"/>
      <c r="N43" s="2109" t="s">
        <v>669</v>
      </c>
      <c r="O43" s="2303"/>
      <c r="P43" s="2109" t="s">
        <v>669</v>
      </c>
      <c r="Q43" s="2303"/>
      <c r="R43" s="2109" t="s">
        <v>669</v>
      </c>
      <c r="S43" s="2307"/>
      <c r="T43" s="2109" t="s">
        <v>669</v>
      </c>
      <c r="U43" s="2307"/>
    </row>
    <row r="44" spans="1:21" x14ac:dyDescent="0.35">
      <c r="A44" s="2304" t="s">
        <v>2633</v>
      </c>
      <c r="B44" s="2235" t="s">
        <v>2634</v>
      </c>
      <c r="C44" s="2211"/>
      <c r="D44" s="2285">
        <v>7</v>
      </c>
      <c r="E44" s="2285" t="s">
        <v>666</v>
      </c>
      <c r="F44" s="2285"/>
      <c r="G44" s="2198"/>
      <c r="H44" s="2109" t="s">
        <v>669</v>
      </c>
      <c r="I44" s="2303"/>
      <c r="J44" s="2109" t="s">
        <v>669</v>
      </c>
      <c r="K44" s="2303"/>
      <c r="L44" s="2109" t="s">
        <v>669</v>
      </c>
      <c r="M44" s="2303"/>
      <c r="N44" s="2109" t="s">
        <v>669</v>
      </c>
      <c r="O44" s="2303"/>
      <c r="P44" s="2109" t="s">
        <v>669</v>
      </c>
      <c r="Q44" s="2303"/>
      <c r="R44" s="2109" t="s">
        <v>669</v>
      </c>
      <c r="S44" s="2307"/>
      <c r="T44" s="2109" t="s">
        <v>669</v>
      </c>
      <c r="U44" s="2307"/>
    </row>
    <row r="45" spans="1:21" x14ac:dyDescent="0.35">
      <c r="A45" s="2304" t="s">
        <v>2635</v>
      </c>
      <c r="B45" s="2235" t="s">
        <v>2636</v>
      </c>
      <c r="C45" s="2211"/>
      <c r="D45" s="2285">
        <v>9</v>
      </c>
      <c r="E45" s="2285" t="s">
        <v>666</v>
      </c>
      <c r="F45" s="2285"/>
      <c r="G45" s="2198"/>
      <c r="H45" s="2109" t="s">
        <v>669</v>
      </c>
      <c r="I45" s="2303"/>
      <c r="J45" s="2109" t="s">
        <v>669</v>
      </c>
      <c r="K45" s="2303"/>
      <c r="L45" s="2109" t="s">
        <v>669</v>
      </c>
      <c r="M45" s="2303"/>
      <c r="N45" s="2109" t="s">
        <v>669</v>
      </c>
      <c r="O45" s="2303"/>
      <c r="P45" s="2109" t="s">
        <v>669</v>
      </c>
      <c r="Q45" s="2303"/>
      <c r="R45" s="2109" t="s">
        <v>669</v>
      </c>
      <c r="S45" s="2307"/>
      <c r="T45" s="2109" t="s">
        <v>669</v>
      </c>
      <c r="U45" s="2307"/>
    </row>
    <row r="46" spans="1:21" x14ac:dyDescent="0.35">
      <c r="A46" s="2304" t="s">
        <v>2637</v>
      </c>
      <c r="B46" s="2235" t="s">
        <v>2638</v>
      </c>
      <c r="C46" s="2211"/>
      <c r="D46" s="2285">
        <v>9</v>
      </c>
      <c r="E46" s="2285" t="s">
        <v>666</v>
      </c>
      <c r="F46" s="2285"/>
      <c r="G46" s="2198"/>
      <c r="H46" s="2109" t="s">
        <v>669</v>
      </c>
      <c r="I46" s="2303"/>
      <c r="J46" s="2109" t="s">
        <v>669</v>
      </c>
      <c r="K46" s="2303"/>
      <c r="L46" s="2109" t="s">
        <v>669</v>
      </c>
      <c r="M46" s="2303"/>
      <c r="N46" s="2109" t="s">
        <v>669</v>
      </c>
      <c r="O46" s="2303"/>
      <c r="P46" s="2109" t="s">
        <v>669</v>
      </c>
      <c r="Q46" s="2303"/>
      <c r="R46" s="2109" t="s">
        <v>669</v>
      </c>
      <c r="S46" s="2307"/>
      <c r="T46" s="2109" t="s">
        <v>669</v>
      </c>
      <c r="U46" s="2307"/>
    </row>
    <row r="47" spans="1:21" x14ac:dyDescent="0.35">
      <c r="A47" s="2235" t="s">
        <v>2639</v>
      </c>
      <c r="B47" s="2235" t="s">
        <v>2640</v>
      </c>
      <c r="C47" s="2211"/>
      <c r="D47" s="2285">
        <v>5</v>
      </c>
      <c r="E47" s="2285" t="s">
        <v>666</v>
      </c>
      <c r="F47" s="2285"/>
      <c r="G47" s="2198"/>
      <c r="H47" s="2109" t="s">
        <v>669</v>
      </c>
      <c r="I47" s="2303"/>
      <c r="J47" s="2109" t="s">
        <v>669</v>
      </c>
      <c r="K47" s="2303"/>
      <c r="L47" s="2109" t="s">
        <v>669</v>
      </c>
      <c r="M47" s="2303"/>
      <c r="N47" s="2109" t="s">
        <v>669</v>
      </c>
      <c r="O47" s="2303"/>
      <c r="P47" s="2109" t="s">
        <v>669</v>
      </c>
      <c r="Q47" s="2303"/>
      <c r="R47" s="2109" t="s">
        <v>669</v>
      </c>
      <c r="S47" s="2307"/>
      <c r="T47" s="2109" t="s">
        <v>669</v>
      </c>
      <c r="U47" s="2307"/>
    </row>
    <row r="48" spans="1:21" ht="25" x14ac:dyDescent="0.35">
      <c r="A48" s="2304"/>
      <c r="B48" s="2317" t="s">
        <v>2641</v>
      </c>
      <c r="C48" s="2211"/>
      <c r="D48" s="2285">
        <v>1</v>
      </c>
      <c r="E48" s="2285" t="s">
        <v>755</v>
      </c>
      <c r="F48" s="2285"/>
      <c r="G48" s="2198"/>
      <c r="H48" s="2109" t="s">
        <v>669</v>
      </c>
      <c r="I48" s="2310">
        <v>29000</v>
      </c>
      <c r="J48" s="2109" t="s">
        <v>669</v>
      </c>
      <c r="K48" s="2316">
        <v>22407.19</v>
      </c>
      <c r="L48" s="2109" t="s">
        <v>669</v>
      </c>
      <c r="M48" s="2316">
        <f>20770+5120</f>
        <v>25890</v>
      </c>
      <c r="N48" s="2109" t="s">
        <v>669</v>
      </c>
      <c r="O48" s="2316">
        <f>20570+5105</f>
        <v>25675</v>
      </c>
      <c r="P48" s="2109" t="s">
        <v>669</v>
      </c>
      <c r="Q48" s="2316">
        <f>15549</f>
        <v>15549</v>
      </c>
      <c r="R48" s="2109" t="s">
        <v>669</v>
      </c>
      <c r="S48" s="2316">
        <v>24223</v>
      </c>
      <c r="T48" s="2109" t="s">
        <v>669</v>
      </c>
      <c r="U48" s="2307"/>
    </row>
    <row r="49" spans="1:21" x14ac:dyDescent="0.35">
      <c r="A49" s="2304"/>
      <c r="B49" s="2234" t="s">
        <v>2642</v>
      </c>
      <c r="C49" s="2211"/>
      <c r="D49" s="2285"/>
      <c r="E49" s="2285"/>
      <c r="F49" s="2285"/>
      <c r="G49" s="2198"/>
      <c r="H49" s="2038" t="s">
        <v>654</v>
      </c>
      <c r="I49" s="2319">
        <f>K49</f>
        <v>820.52</v>
      </c>
      <c r="J49" s="2109" t="s">
        <v>669</v>
      </c>
      <c r="K49" s="2316">
        <v>820.52</v>
      </c>
      <c r="L49" s="2109" t="s">
        <v>669</v>
      </c>
      <c r="M49" s="2303"/>
      <c r="N49" s="2109" t="s">
        <v>669</v>
      </c>
      <c r="O49" s="2303"/>
      <c r="P49" s="2109" t="s">
        <v>669</v>
      </c>
      <c r="Q49" s="2303"/>
      <c r="R49" s="2109" t="s">
        <v>669</v>
      </c>
      <c r="S49" s="2307"/>
      <c r="T49" s="2109" t="s">
        <v>669</v>
      </c>
      <c r="U49" s="2318">
        <v>4674</v>
      </c>
    </row>
    <row r="50" spans="1:21" x14ac:dyDescent="0.35">
      <c r="A50" s="2304"/>
      <c r="B50" s="2234"/>
      <c r="C50" s="2211"/>
      <c r="D50" s="2285"/>
      <c r="E50" s="2285"/>
      <c r="F50" s="2285"/>
      <c r="G50" s="2198"/>
      <c r="H50" s="2109"/>
      <c r="I50" s="2303"/>
      <c r="J50" s="2109"/>
      <c r="K50" s="2303"/>
      <c r="L50" s="2109"/>
      <c r="M50" s="2303"/>
      <c r="N50" s="2109"/>
      <c r="O50" s="2303"/>
      <c r="P50" s="2109"/>
      <c r="Q50" s="2303"/>
      <c r="R50" s="2109"/>
      <c r="S50" s="2307"/>
      <c r="T50" s="2109"/>
      <c r="U50" s="2307"/>
    </row>
    <row r="51" spans="1:21" x14ac:dyDescent="0.35">
      <c r="A51" s="2304"/>
      <c r="B51" s="2234" t="s">
        <v>2643</v>
      </c>
      <c r="C51" s="2211"/>
      <c r="D51" s="2285"/>
      <c r="E51" s="2285"/>
      <c r="F51" s="2285"/>
      <c r="G51" s="2198"/>
      <c r="H51" s="2109" t="s">
        <v>669</v>
      </c>
      <c r="I51" s="2310">
        <f>'10I Fire Extinguishers&amp;Cabinet'!J8</f>
        <v>56200</v>
      </c>
      <c r="J51" s="2109" t="s">
        <v>669</v>
      </c>
      <c r="K51" s="2310">
        <f>'10I Fire Extinguishers&amp;Cabinet'!L8</f>
        <v>58832.098800000014</v>
      </c>
      <c r="L51" s="2109" t="s">
        <v>669</v>
      </c>
      <c r="M51" s="2310">
        <f>'10I Fire Extinguishers&amp;Cabinet'!H8</f>
        <v>44555</v>
      </c>
      <c r="N51" s="2109" t="s">
        <v>669</v>
      </c>
      <c r="O51" s="2310">
        <f>'10I Fire Extinguishers&amp;Cabinet'!J8</f>
        <v>56200</v>
      </c>
      <c r="P51" s="2109" t="s">
        <v>669</v>
      </c>
      <c r="Q51" s="2310">
        <f>'10I Fire Extinguishers&amp;Cabinet'!P8</f>
        <v>94780</v>
      </c>
      <c r="R51" s="2109" t="s">
        <v>669</v>
      </c>
      <c r="S51" s="2310">
        <f>'10I Fire Extinguishers&amp;Cabinet'!R8</f>
        <v>63080</v>
      </c>
      <c r="T51" s="2109" t="s">
        <v>669</v>
      </c>
      <c r="U51" s="2310">
        <f>'10I Fire Extinguishers&amp;Cabinet'!T8</f>
        <v>44058</v>
      </c>
    </row>
    <row r="52" spans="1:21" x14ac:dyDescent="0.35">
      <c r="A52" s="2304"/>
      <c r="B52" s="2234"/>
      <c r="C52" s="2211"/>
      <c r="D52" s="2285"/>
      <c r="E52" s="2285"/>
      <c r="F52" s="2285"/>
      <c r="G52" s="2198"/>
      <c r="H52" s="2109"/>
      <c r="I52" s="2303"/>
      <c r="J52" s="2109"/>
      <c r="K52" s="2303"/>
      <c r="L52" s="2109"/>
      <c r="M52" s="2303"/>
      <c r="N52" s="2109"/>
      <c r="O52" s="2303"/>
      <c r="P52" s="2109"/>
      <c r="Q52" s="2303"/>
      <c r="R52" s="2109"/>
      <c r="S52" s="2322"/>
      <c r="T52" s="2109"/>
      <c r="U52" s="2322"/>
    </row>
    <row r="53" spans="1:21" x14ac:dyDescent="0.35">
      <c r="A53" s="2304"/>
      <c r="B53" s="2235" t="s">
        <v>1125</v>
      </c>
      <c r="C53" s="2211"/>
      <c r="D53" s="2285"/>
      <c r="E53" s="2285"/>
      <c r="F53" s="2285"/>
      <c r="G53" s="2198"/>
      <c r="H53" s="2109" t="s">
        <v>669</v>
      </c>
      <c r="I53" s="2303"/>
      <c r="J53" s="2109" t="s">
        <v>669</v>
      </c>
      <c r="K53" s="2316">
        <f>0.06*SUM(K37:K49)</f>
        <v>3996.5219999999995</v>
      </c>
      <c r="L53" s="2109" t="s">
        <v>669</v>
      </c>
      <c r="M53" s="2303"/>
      <c r="N53" s="2109" t="s">
        <v>669</v>
      </c>
      <c r="O53" s="2303"/>
      <c r="P53" s="2109" t="s">
        <v>669</v>
      </c>
      <c r="Q53" s="2303"/>
      <c r="R53" s="2109" t="s">
        <v>669</v>
      </c>
      <c r="S53" s="2307"/>
      <c r="T53" s="2109" t="s">
        <v>669</v>
      </c>
      <c r="U53" s="2307"/>
    </row>
    <row r="54" spans="1:21" x14ac:dyDescent="0.35">
      <c r="A54" s="2304"/>
      <c r="B54" s="2235"/>
      <c r="C54" s="2211"/>
      <c r="D54" s="2285"/>
      <c r="E54" s="2285"/>
      <c r="F54" s="2285"/>
      <c r="G54" s="2198"/>
      <c r="H54" s="2109"/>
      <c r="I54" s="2303"/>
      <c r="J54" s="2109"/>
      <c r="K54" s="2303"/>
      <c r="L54" s="2109"/>
      <c r="M54" s="2303"/>
      <c r="N54" s="2109"/>
      <c r="O54" s="2303"/>
      <c r="P54" s="2109"/>
      <c r="Q54" s="2303"/>
      <c r="R54" s="2109"/>
      <c r="S54" s="2307"/>
      <c r="T54" s="2109"/>
      <c r="U54" s="2307"/>
    </row>
    <row r="55" spans="1:21" x14ac:dyDescent="0.35">
      <c r="A55" s="2304"/>
      <c r="B55" s="2235"/>
      <c r="C55" s="2211"/>
      <c r="D55" s="2285"/>
      <c r="E55" s="2285"/>
      <c r="F55" s="2285"/>
      <c r="G55" s="2198"/>
      <c r="H55" s="2109"/>
      <c r="I55" s="2303"/>
      <c r="J55" s="2109"/>
      <c r="K55" s="2303"/>
      <c r="L55" s="2109"/>
      <c r="M55" s="2303"/>
      <c r="N55" s="2109"/>
      <c r="O55" s="2303"/>
      <c r="P55" s="2109"/>
      <c r="Q55" s="2303"/>
      <c r="R55" s="2109"/>
      <c r="S55" s="2307"/>
      <c r="T55" s="2109"/>
      <c r="U55" s="2307"/>
    </row>
    <row r="56" spans="1:21" x14ac:dyDescent="0.35">
      <c r="A56" s="14"/>
      <c r="B56" s="15"/>
      <c r="C56" s="16"/>
      <c r="D56" s="16"/>
      <c r="E56" s="17"/>
      <c r="F56" s="18" t="s">
        <v>715</v>
      </c>
      <c r="G56" s="19"/>
      <c r="H56" s="20"/>
      <c r="I56" s="50">
        <f>SUM(I23:I55)</f>
        <v>317675.48</v>
      </c>
      <c r="J56" s="20"/>
      <c r="K56" s="50">
        <f>SUM(K23:K55)</f>
        <v>334170.87080000003</v>
      </c>
      <c r="L56" s="20"/>
      <c r="M56" s="50">
        <f>SUM(M23:M55)</f>
        <v>352460</v>
      </c>
      <c r="N56" s="20"/>
      <c r="O56" s="50">
        <f>SUM(O23:O55)</f>
        <v>359300</v>
      </c>
      <c r="P56" s="20"/>
      <c r="Q56" s="50">
        <f>SUM(Q23:Q55)</f>
        <v>302217</v>
      </c>
      <c r="R56" s="20"/>
      <c r="S56" s="50">
        <f>SUM(S23:S55)</f>
        <v>342919</v>
      </c>
      <c r="T56" s="20"/>
      <c r="U56" s="50">
        <f>SUM(U23:U55)</f>
        <v>479192.96</v>
      </c>
    </row>
    <row r="57" spans="1:21" x14ac:dyDescent="0.35">
      <c r="A57" s="2239"/>
      <c r="B57" s="2240"/>
      <c r="C57" s="2241"/>
      <c r="D57" s="2241"/>
      <c r="E57" s="2242"/>
      <c r="F57" s="2243" t="s">
        <v>716</v>
      </c>
      <c r="G57" s="2244"/>
      <c r="H57" s="2065">
        <v>0</v>
      </c>
      <c r="I57" s="2064"/>
      <c r="J57" s="2065">
        <v>0</v>
      </c>
      <c r="K57" s="2064"/>
      <c r="L57" s="2065">
        <v>0</v>
      </c>
      <c r="M57" s="2064"/>
      <c r="N57" s="2065">
        <v>0</v>
      </c>
      <c r="O57" s="2064"/>
      <c r="P57" s="2065">
        <v>0</v>
      </c>
      <c r="Q57" s="2064"/>
      <c r="R57" s="2065">
        <v>0</v>
      </c>
      <c r="S57" s="2064"/>
      <c r="T57" s="2065">
        <v>0</v>
      </c>
      <c r="U57" s="2064"/>
    </row>
    <row r="58" spans="1:21" x14ac:dyDescent="0.35">
      <c r="A58" s="2239"/>
      <c r="B58" s="2240"/>
      <c r="C58" s="2241"/>
      <c r="D58" s="2241"/>
      <c r="E58" s="2242"/>
      <c r="F58" s="2243" t="s">
        <v>717</v>
      </c>
      <c r="G58" s="2244"/>
      <c r="H58" s="2066"/>
      <c r="I58" s="2067">
        <f>H57*I56</f>
        <v>0</v>
      </c>
      <c r="J58" s="2066"/>
      <c r="K58" s="2067">
        <f>J57*K56</f>
        <v>0</v>
      </c>
      <c r="L58" s="2066"/>
      <c r="M58" s="2067">
        <f>L57*M56</f>
        <v>0</v>
      </c>
      <c r="N58" s="2066"/>
      <c r="O58" s="2067">
        <f>N57*O56</f>
        <v>0</v>
      </c>
      <c r="P58" s="2066"/>
      <c r="Q58" s="2067">
        <f>P57*Q56</f>
        <v>0</v>
      </c>
      <c r="R58" s="2066"/>
      <c r="S58" s="2067">
        <f>R57*S56</f>
        <v>0</v>
      </c>
      <c r="T58" s="2066"/>
      <c r="U58" s="2067">
        <f>T57*U56</f>
        <v>0</v>
      </c>
    </row>
    <row r="59" spans="1:21" x14ac:dyDescent="0.35">
      <c r="A59" s="2239"/>
      <c r="B59" s="2240"/>
      <c r="C59" s="2241"/>
      <c r="D59" s="2241"/>
      <c r="E59" s="2242"/>
      <c r="F59" s="2243"/>
      <c r="G59" s="2244"/>
      <c r="H59" s="2066"/>
      <c r="I59" s="2068"/>
      <c r="J59" s="2066"/>
      <c r="K59" s="2068"/>
      <c r="L59" s="2066"/>
      <c r="M59" s="2068"/>
      <c r="N59" s="2066"/>
      <c r="O59" s="2068"/>
      <c r="P59" s="2066"/>
      <c r="Q59" s="2068"/>
      <c r="R59" s="2066"/>
      <c r="S59" s="2068"/>
      <c r="T59" s="2066"/>
      <c r="U59" s="2068"/>
    </row>
    <row r="60" spans="1:21" x14ac:dyDescent="0.35">
      <c r="A60" s="2239"/>
      <c r="B60" s="2240"/>
      <c r="C60" s="2241"/>
      <c r="D60" s="2241"/>
      <c r="E60" s="2242"/>
      <c r="F60" s="2243" t="s">
        <v>718</v>
      </c>
      <c r="G60" s="2244"/>
      <c r="H60" s="2069"/>
      <c r="I60" s="2070">
        <f>SUM(I56:I58)</f>
        <v>317675.48</v>
      </c>
      <c r="J60" s="2069"/>
      <c r="K60" s="2070">
        <f>SUM(K56:K58)</f>
        <v>334170.87080000003</v>
      </c>
      <c r="L60" s="2069"/>
      <c r="M60" s="2070">
        <f>SUM(M56:M58)</f>
        <v>352460</v>
      </c>
      <c r="N60" s="2069"/>
      <c r="O60" s="2070">
        <f>SUM(O56:O58)</f>
        <v>359300</v>
      </c>
      <c r="P60" s="2069"/>
      <c r="Q60" s="2070">
        <f>SUM(Q56:Q58)</f>
        <v>302217</v>
      </c>
      <c r="R60" s="2069"/>
      <c r="S60" s="2070">
        <f>SUM(S56:S58)</f>
        <v>342919</v>
      </c>
      <c r="T60" s="2069"/>
      <c r="U60" s="2070">
        <f>SUM(U56:U58)</f>
        <v>479192.96</v>
      </c>
    </row>
    <row r="61" spans="1:21" x14ac:dyDescent="0.35">
      <c r="A61" s="2239"/>
      <c r="B61" s="2240"/>
      <c r="C61" s="2241"/>
      <c r="D61" s="2241"/>
      <c r="E61" s="2242"/>
      <c r="F61" s="2255" t="s">
        <v>719</v>
      </c>
      <c r="G61" s="2256"/>
      <c r="H61" s="2073"/>
      <c r="I61" s="2074" t="e">
        <f>I60/#REF!</f>
        <v>#REF!</v>
      </c>
      <c r="J61" s="2073"/>
      <c r="K61" s="2074" t="e">
        <f>K60/#REF!</f>
        <v>#REF!</v>
      </c>
      <c r="L61" s="2073"/>
      <c r="M61" s="2074" t="e">
        <f>M60/#REF!</f>
        <v>#REF!</v>
      </c>
      <c r="N61" s="2073"/>
      <c r="O61" s="2074" t="e">
        <f>O60/#REF!</f>
        <v>#REF!</v>
      </c>
      <c r="P61" s="2073"/>
      <c r="Q61" s="2074" t="e">
        <f>Q60/#REF!</f>
        <v>#REF!</v>
      </c>
      <c r="R61" s="2073"/>
      <c r="S61" s="2074" t="e">
        <f>S60/#REF!</f>
        <v>#REF!</v>
      </c>
      <c r="T61" s="2073"/>
      <c r="U61" s="2074" t="e">
        <f>U60/#REF!</f>
        <v>#REF!</v>
      </c>
    </row>
    <row r="62" spans="1:21" x14ac:dyDescent="0.35">
      <c r="A62" s="2239"/>
      <c r="B62" s="2240"/>
      <c r="C62" s="2241"/>
      <c r="D62" s="2241"/>
      <c r="E62" s="2242"/>
      <c r="F62" s="2255" t="s">
        <v>720</v>
      </c>
      <c r="G62" s="2260"/>
      <c r="H62" s="2073"/>
      <c r="I62" s="2074" t="e">
        <f>I60/#REF!</f>
        <v>#REF!</v>
      </c>
      <c r="J62" s="2073"/>
      <c r="K62" s="2074" t="e">
        <f>K60/#REF!</f>
        <v>#REF!</v>
      </c>
      <c r="L62" s="2073"/>
      <c r="M62" s="2074" t="e">
        <f>M60/#REF!</f>
        <v>#REF!</v>
      </c>
      <c r="N62" s="2073"/>
      <c r="O62" s="2074" t="e">
        <f>O60/#REF!</f>
        <v>#REF!</v>
      </c>
      <c r="P62" s="2073"/>
      <c r="Q62" s="2074" t="e">
        <f>Q60/#REF!</f>
        <v>#REF!</v>
      </c>
      <c r="R62" s="2073"/>
      <c r="S62" s="2074" t="e">
        <f>S60/#REF!</f>
        <v>#REF!</v>
      </c>
      <c r="T62" s="2073"/>
      <c r="U62" s="2074" t="e">
        <f>U60/#REF!</f>
        <v>#REF!</v>
      </c>
    </row>
    <row r="63" spans="1:21" x14ac:dyDescent="0.35">
      <c r="A63" s="2239"/>
      <c r="B63" s="2240"/>
      <c r="C63" s="2241"/>
      <c r="D63" s="2241"/>
      <c r="E63" s="2242"/>
      <c r="F63" s="2243"/>
      <c r="G63" s="2261"/>
      <c r="H63" s="2077"/>
      <c r="I63" s="2078"/>
      <c r="J63" s="2077"/>
      <c r="K63" s="2078"/>
      <c r="L63" s="2077"/>
      <c r="M63" s="2078"/>
      <c r="N63" s="2077"/>
      <c r="O63" s="2078"/>
      <c r="P63" s="2077"/>
      <c r="Q63" s="2078"/>
      <c r="R63" s="2077"/>
      <c r="S63" s="2078"/>
      <c r="T63" s="2077"/>
      <c r="U63" s="2078"/>
    </row>
    <row r="64" spans="1:21" x14ac:dyDescent="0.35">
      <c r="A64" s="3764" t="s">
        <v>721</v>
      </c>
      <c r="B64" s="3765"/>
      <c r="C64" s="12"/>
      <c r="D64" s="12"/>
      <c r="E64" s="12"/>
      <c r="F64" s="12"/>
      <c r="G64" s="13"/>
      <c r="H64" s="21"/>
      <c r="I64" s="21"/>
      <c r="J64" s="21"/>
      <c r="K64" s="21"/>
      <c r="L64" s="21"/>
      <c r="M64" s="21"/>
      <c r="N64" s="21"/>
      <c r="O64" s="21"/>
      <c r="P64" s="21"/>
      <c r="Q64" s="21"/>
      <c r="R64" s="21"/>
      <c r="S64" s="21"/>
      <c r="T64" s="21"/>
      <c r="U64" s="21"/>
    </row>
    <row r="65" spans="1:21" x14ac:dyDescent="0.35">
      <c r="A65" s="2293"/>
      <c r="B65" s="2284"/>
      <c r="C65" s="2294"/>
      <c r="D65" s="2294"/>
      <c r="E65" s="2294"/>
      <c r="F65" s="2294"/>
      <c r="G65" s="2295"/>
      <c r="H65" s="2323"/>
      <c r="I65" s="2323"/>
      <c r="J65" s="2323"/>
      <c r="K65" s="2323"/>
      <c r="L65" s="2323"/>
      <c r="M65" s="2323"/>
      <c r="N65" s="2323"/>
      <c r="O65" s="2323"/>
      <c r="P65" s="2323"/>
      <c r="Q65" s="2323"/>
      <c r="R65" s="2323"/>
      <c r="S65" s="2323"/>
      <c r="T65" s="2323"/>
      <c r="U65" s="2323"/>
    </row>
    <row r="66" spans="1:21" s="2" customFormat="1" x14ac:dyDescent="0.35">
      <c r="A66" s="2293"/>
      <c r="B66" s="2284"/>
      <c r="C66" s="2294"/>
      <c r="D66" s="2294"/>
      <c r="E66" s="2294"/>
      <c r="F66" s="2294"/>
      <c r="G66" s="2295"/>
      <c r="H66" s="2323"/>
      <c r="I66" s="2323"/>
      <c r="J66" s="2323"/>
      <c r="K66" s="2323"/>
      <c r="L66" s="2323"/>
      <c r="M66" s="2323"/>
      <c r="N66" s="2323"/>
      <c r="O66" s="2323"/>
      <c r="P66" s="2323"/>
      <c r="Q66" s="2323"/>
      <c r="R66" s="2323"/>
      <c r="S66" s="2323"/>
      <c r="T66" s="2323"/>
      <c r="U66" s="2323"/>
    </row>
    <row r="67" spans="1:21" s="2" customFormat="1" x14ac:dyDescent="0.35">
      <c r="A67" s="2293"/>
      <c r="B67" s="2284"/>
      <c r="C67" s="2294"/>
      <c r="D67" s="2294"/>
      <c r="E67" s="2294"/>
      <c r="F67" s="2294"/>
      <c r="G67" s="2295"/>
      <c r="H67" s="2323"/>
      <c r="I67" s="2323"/>
      <c r="J67" s="2323"/>
      <c r="K67" s="2323"/>
      <c r="L67" s="2323"/>
      <c r="M67" s="2323"/>
      <c r="N67" s="2323"/>
      <c r="O67" s="2323"/>
      <c r="P67" s="2323"/>
      <c r="Q67" s="2323"/>
      <c r="R67" s="2323"/>
      <c r="S67" s="2323"/>
      <c r="T67" s="2323"/>
      <c r="U67" s="2323"/>
    </row>
    <row r="68" spans="1:21" x14ac:dyDescent="0.35">
      <c r="A68" s="3764" t="s">
        <v>722</v>
      </c>
      <c r="B68" s="3765"/>
      <c r="C68" s="12"/>
      <c r="D68" s="12"/>
      <c r="E68" s="12"/>
      <c r="F68" s="12"/>
      <c r="G68" s="13"/>
      <c r="H68" s="21"/>
      <c r="I68" s="21"/>
      <c r="J68" s="21"/>
      <c r="K68" s="21"/>
      <c r="L68" s="21"/>
      <c r="M68" s="21"/>
      <c r="N68" s="21"/>
      <c r="O68" s="21"/>
      <c r="P68" s="21"/>
      <c r="Q68" s="21"/>
      <c r="R68" s="21"/>
      <c r="S68" s="21"/>
      <c r="T68" s="21"/>
      <c r="U68" s="21"/>
    </row>
    <row r="69" spans="1:21" s="2" customFormat="1" x14ac:dyDescent="0.35">
      <c r="A69" s="2293"/>
      <c r="B69" s="2284"/>
      <c r="C69" s="2294"/>
      <c r="D69" s="2294"/>
      <c r="E69" s="2294"/>
      <c r="F69" s="2294"/>
      <c r="G69" s="2295"/>
      <c r="H69" s="2323"/>
      <c r="I69" s="2323"/>
      <c r="J69" s="2323"/>
      <c r="K69" s="2323"/>
      <c r="L69" s="2323"/>
      <c r="M69" s="2323"/>
      <c r="N69" s="2323"/>
      <c r="O69" s="2323"/>
      <c r="P69" s="2323"/>
      <c r="Q69" s="2323"/>
      <c r="R69" s="2323"/>
      <c r="S69" s="2323"/>
      <c r="T69" s="2323"/>
      <c r="U69" s="2323"/>
    </row>
    <row r="70" spans="1:21" s="2" customFormat="1" x14ac:dyDescent="0.35">
      <c r="A70" s="2293"/>
      <c r="B70" s="2284"/>
      <c r="C70" s="2294"/>
      <c r="D70" s="2294"/>
      <c r="E70" s="2294"/>
      <c r="F70" s="2294"/>
      <c r="G70" s="2295"/>
      <c r="H70" s="2323"/>
      <c r="I70" s="2323"/>
      <c r="J70" s="2323"/>
      <c r="K70" s="2323"/>
      <c r="L70" s="2323"/>
      <c r="M70" s="2323"/>
      <c r="N70" s="2323"/>
      <c r="O70" s="2323"/>
      <c r="P70" s="2323"/>
      <c r="Q70" s="2323"/>
      <c r="R70" s="2323"/>
      <c r="S70" s="2323"/>
      <c r="T70" s="2323"/>
      <c r="U70" s="2323"/>
    </row>
    <row r="71" spans="1:21" x14ac:dyDescent="0.35">
      <c r="A71" s="2293"/>
      <c r="B71" s="2284"/>
      <c r="C71" s="2294"/>
      <c r="D71" s="2294"/>
      <c r="E71" s="2294"/>
      <c r="F71" s="2294"/>
      <c r="G71" s="2295"/>
      <c r="H71" s="2323"/>
      <c r="I71" s="2323"/>
      <c r="J71" s="2323"/>
      <c r="K71" s="2323"/>
      <c r="L71" s="2323"/>
      <c r="M71" s="2323"/>
      <c r="N71" s="2323"/>
      <c r="O71" s="2323"/>
      <c r="P71" s="2323"/>
      <c r="Q71" s="2323"/>
      <c r="R71" s="2323"/>
      <c r="S71" s="2323"/>
      <c r="T71" s="2323"/>
      <c r="U71" s="2323"/>
    </row>
    <row r="72" spans="1:21" x14ac:dyDescent="0.35">
      <c r="A72" s="3764" t="s">
        <v>723</v>
      </c>
      <c r="B72" s="3765"/>
      <c r="C72" s="12"/>
      <c r="D72" s="12"/>
      <c r="E72" s="12"/>
      <c r="F72" s="12"/>
      <c r="G72" s="13"/>
      <c r="H72" s="21"/>
      <c r="I72" s="21"/>
      <c r="J72" s="21"/>
      <c r="K72" s="21"/>
      <c r="L72" s="21"/>
      <c r="M72" s="21"/>
      <c r="N72" s="21"/>
      <c r="O72" s="21"/>
      <c r="P72" s="21"/>
      <c r="Q72" s="21"/>
      <c r="R72" s="21"/>
      <c r="S72" s="21"/>
      <c r="T72" s="21"/>
      <c r="U72" s="21"/>
    </row>
    <row r="73" spans="1:21" x14ac:dyDescent="0.35">
      <c r="A73" s="2293"/>
      <c r="B73" s="2284"/>
      <c r="C73" s="2294"/>
      <c r="D73" s="2294"/>
      <c r="E73" s="2294"/>
      <c r="F73" s="2294"/>
      <c r="G73" s="2295"/>
      <c r="H73" s="2323"/>
      <c r="I73" s="2323"/>
      <c r="J73" s="2323"/>
      <c r="K73" s="2323"/>
      <c r="L73" s="2323"/>
      <c r="M73" s="2323"/>
      <c r="N73" s="2323"/>
      <c r="O73" s="2323"/>
      <c r="P73" s="2323"/>
      <c r="Q73" s="2323"/>
      <c r="R73" s="2323"/>
      <c r="S73" s="2323"/>
      <c r="T73" s="2323"/>
      <c r="U73" s="2323"/>
    </row>
    <row r="74" spans="1:21" x14ac:dyDescent="0.35">
      <c r="A74" s="2286"/>
      <c r="B74" s="2284"/>
      <c r="C74" s="2285"/>
      <c r="D74" s="2285"/>
      <c r="E74" s="2285"/>
      <c r="F74" s="2285"/>
      <c r="G74" s="2198"/>
      <c r="H74" s="2081"/>
      <c r="I74" s="2081"/>
      <c r="J74" s="2081"/>
      <c r="K74" s="2081"/>
      <c r="L74" s="2081"/>
      <c r="M74" s="2081"/>
      <c r="N74" s="2081"/>
      <c r="O74" s="2081"/>
      <c r="P74" s="2081"/>
      <c r="Q74" s="2081"/>
      <c r="R74" s="2081"/>
      <c r="S74" s="2081"/>
      <c r="T74" s="2081"/>
      <c r="U74" s="2081"/>
    </row>
    <row r="75" spans="1:21" x14ac:dyDescent="0.35">
      <c r="A75" s="2269"/>
      <c r="B75" s="2270"/>
      <c r="C75" s="2285"/>
      <c r="D75" s="2285"/>
      <c r="E75" s="2285"/>
      <c r="F75" s="2285"/>
      <c r="G75" s="2198"/>
      <c r="H75" s="2084"/>
      <c r="I75" s="2084"/>
      <c r="J75" s="2084"/>
      <c r="K75" s="2084"/>
      <c r="L75" s="2084"/>
      <c r="M75" s="2084"/>
      <c r="N75" s="2084"/>
      <c r="O75" s="2084"/>
      <c r="P75" s="2084"/>
      <c r="Q75" s="2084"/>
      <c r="R75" s="2084"/>
      <c r="S75" s="2084"/>
      <c r="T75" s="2084"/>
      <c r="U75" s="2084"/>
    </row>
    <row r="76" spans="1:21" x14ac:dyDescent="0.35">
      <c r="A76" s="3764" t="s">
        <v>724</v>
      </c>
      <c r="B76" s="3765"/>
      <c r="C76" s="12"/>
      <c r="D76" s="12"/>
      <c r="E76" s="12"/>
      <c r="F76" s="12"/>
      <c r="G76" s="13"/>
      <c r="H76" s="21"/>
      <c r="I76" s="21"/>
      <c r="J76" s="21"/>
      <c r="K76" s="21"/>
      <c r="L76" s="21"/>
      <c r="M76" s="21"/>
      <c r="N76" s="21"/>
      <c r="O76" s="21"/>
      <c r="P76" s="21"/>
      <c r="Q76" s="21"/>
      <c r="R76" s="21"/>
      <c r="S76" s="21"/>
      <c r="T76" s="21"/>
      <c r="U76" s="21"/>
    </row>
    <row r="77" spans="1:21" x14ac:dyDescent="0.35">
      <c r="A77" s="2324"/>
      <c r="B77" s="2325" t="s">
        <v>2644</v>
      </c>
      <c r="C77" s="2294"/>
      <c r="D77" s="2294"/>
      <c r="E77" s="2294"/>
      <c r="F77" s="2294"/>
      <c r="G77" s="2295"/>
      <c r="H77" s="2109" t="s">
        <v>669</v>
      </c>
      <c r="I77" s="2323">
        <f>123500-174000</f>
        <v>-50500</v>
      </c>
      <c r="J77" s="2109" t="s">
        <v>669</v>
      </c>
      <c r="K77" s="2323"/>
      <c r="L77" s="2109" t="s">
        <v>669</v>
      </c>
      <c r="M77" s="2323">
        <v>-114785</v>
      </c>
      <c r="N77" s="2109" t="s">
        <v>669</v>
      </c>
      <c r="O77" s="2323">
        <v>-114785</v>
      </c>
      <c r="P77" s="2323"/>
      <c r="Q77" s="2323"/>
      <c r="R77" s="2323"/>
      <c r="S77" s="2323"/>
      <c r="T77" s="2323"/>
      <c r="U77" s="2323"/>
    </row>
    <row r="78" spans="1:21" x14ac:dyDescent="0.35">
      <c r="A78" s="2269"/>
      <c r="B78" s="2270"/>
      <c r="C78" s="2285"/>
      <c r="D78" s="2285"/>
      <c r="E78" s="2285"/>
      <c r="F78" s="2285"/>
      <c r="G78" s="2198"/>
      <c r="H78" s="2087"/>
      <c r="I78" s="2087"/>
      <c r="J78" s="2087"/>
      <c r="K78" s="2087"/>
      <c r="L78" s="2087"/>
      <c r="M78" s="2087"/>
      <c r="N78" s="2087"/>
      <c r="O78" s="2087"/>
      <c r="P78" s="2087"/>
      <c r="Q78" s="2087"/>
      <c r="R78" s="2087"/>
      <c r="S78" s="2087"/>
      <c r="T78" s="2087"/>
      <c r="U78" s="2087"/>
    </row>
    <row r="79" spans="1:21" x14ac:dyDescent="0.35">
      <c r="A79" s="3764" t="s">
        <v>725</v>
      </c>
      <c r="B79" s="3765"/>
      <c r="C79" s="12"/>
      <c r="D79" s="12"/>
      <c r="E79" s="12"/>
      <c r="F79" s="12"/>
      <c r="G79" s="13"/>
      <c r="H79" s="21"/>
      <c r="I79" s="21"/>
      <c r="J79" s="21"/>
      <c r="K79" s="21"/>
      <c r="L79" s="21"/>
      <c r="M79" s="21"/>
      <c r="N79" s="21"/>
      <c r="O79" s="21"/>
      <c r="P79" s="21"/>
      <c r="Q79" s="21"/>
      <c r="R79" s="21"/>
      <c r="S79" s="21"/>
      <c r="T79" s="21"/>
      <c r="U79" s="21"/>
    </row>
    <row r="80" spans="1:21" x14ac:dyDescent="0.35">
      <c r="A80" s="2286"/>
      <c r="B80" s="2284" t="s">
        <v>726</v>
      </c>
      <c r="C80" s="2285"/>
      <c r="D80" s="2285"/>
      <c r="E80" s="2285"/>
      <c r="F80" s="2285"/>
      <c r="G80" s="2198"/>
      <c r="H80" s="2087"/>
      <c r="I80" s="2087"/>
      <c r="J80" s="2087"/>
      <c r="K80" s="2087"/>
      <c r="L80" s="2087"/>
      <c r="M80" s="2087"/>
      <c r="N80" s="2087"/>
      <c r="O80" s="2087"/>
      <c r="P80" s="2087"/>
      <c r="Q80" s="2087"/>
      <c r="R80" s="2087"/>
      <c r="S80" s="2087"/>
      <c r="T80" s="2087"/>
      <c r="U80" s="2087"/>
    </row>
    <row r="81" spans="1:21" x14ac:dyDescent="0.35">
      <c r="A81" s="2286"/>
      <c r="B81" s="2284" t="s">
        <v>727</v>
      </c>
      <c r="C81" s="2285"/>
      <c r="D81" s="2285"/>
      <c r="E81" s="2285"/>
      <c r="F81" s="2285"/>
      <c r="G81" s="2198"/>
      <c r="H81" s="2087"/>
      <c r="I81" s="2087"/>
      <c r="J81" s="2087"/>
      <c r="K81" s="2087"/>
      <c r="L81" s="2087"/>
      <c r="M81" s="2087"/>
      <c r="N81" s="2087"/>
      <c r="O81" s="2087"/>
      <c r="P81" s="2087"/>
      <c r="Q81" s="2087"/>
      <c r="R81" s="2087"/>
      <c r="S81" s="2087"/>
      <c r="T81" s="2087"/>
      <c r="U81" s="2087"/>
    </row>
    <row r="82" spans="1:21" x14ac:dyDescent="0.35">
      <c r="A82" s="2286"/>
      <c r="B82" s="2284" t="s">
        <v>728</v>
      </c>
      <c r="C82" s="2285"/>
      <c r="D82" s="2285"/>
      <c r="E82" s="2285"/>
      <c r="F82" s="2285"/>
      <c r="G82" s="2198"/>
      <c r="H82" s="2087"/>
      <c r="I82" s="2087"/>
      <c r="J82" s="2087"/>
      <c r="K82" s="2087"/>
      <c r="L82" s="2087"/>
      <c r="M82" s="2087"/>
      <c r="N82" s="2087"/>
      <c r="O82" s="2087"/>
      <c r="P82" s="2087"/>
      <c r="Q82" s="2087"/>
      <c r="R82" s="2087"/>
      <c r="S82" s="2087"/>
      <c r="T82" s="2087"/>
      <c r="U82" s="2087"/>
    </row>
    <row r="83" spans="1:21" x14ac:dyDescent="0.35">
      <c r="A83" s="2286"/>
      <c r="B83" s="2284" t="s">
        <v>729</v>
      </c>
      <c r="C83" s="2285"/>
      <c r="D83" s="2285"/>
      <c r="E83" s="2285"/>
      <c r="F83" s="2285"/>
      <c r="G83" s="2198"/>
      <c r="H83" s="2087"/>
      <c r="I83" s="2087"/>
      <c r="J83" s="2087"/>
      <c r="K83" s="2087"/>
      <c r="L83" s="2087"/>
      <c r="M83" s="2087"/>
      <c r="N83" s="2087"/>
      <c r="O83" s="2087"/>
      <c r="P83" s="2087"/>
      <c r="Q83" s="2087"/>
      <c r="R83" s="2087"/>
      <c r="S83" s="2087"/>
      <c r="T83" s="2087"/>
      <c r="U83" s="2087"/>
    </row>
    <row r="84" spans="1:21" x14ac:dyDescent="0.35">
      <c r="A84" s="978"/>
      <c r="B84" s="939"/>
      <c r="C84" s="940"/>
      <c r="D84" s="940"/>
      <c r="E84" s="940"/>
      <c r="F84" s="940"/>
      <c r="G84" s="1039"/>
      <c r="H84" s="981"/>
      <c r="I84" s="981"/>
      <c r="J84" s="981"/>
      <c r="K84" s="981"/>
      <c r="L84" s="981"/>
      <c r="M84" s="981"/>
      <c r="N84" s="981"/>
      <c r="O84" s="981"/>
      <c r="P84" s="981"/>
      <c r="Q84" s="981"/>
      <c r="R84" s="981"/>
      <c r="S84" s="981"/>
      <c r="T84" s="981"/>
      <c r="U84" s="981"/>
    </row>
    <row r="85" spans="1:21" x14ac:dyDescent="0.35">
      <c r="A85" s="7" t="s">
        <v>730</v>
      </c>
      <c r="B85" s="8"/>
      <c r="C85" s="12"/>
      <c r="D85" s="12"/>
      <c r="E85" s="12"/>
      <c r="F85" s="12"/>
      <c r="G85" s="13"/>
      <c r="H85" s="21"/>
      <c r="I85" s="21"/>
      <c r="J85" s="21"/>
      <c r="K85" s="21"/>
      <c r="L85" s="21"/>
      <c r="M85" s="21"/>
      <c r="N85" s="21"/>
      <c r="O85" s="21"/>
      <c r="P85" s="21"/>
      <c r="Q85" s="21"/>
      <c r="R85" s="21"/>
      <c r="S85" s="21"/>
      <c r="T85" s="21"/>
      <c r="U85" s="21"/>
    </row>
    <row r="86" spans="1:21" x14ac:dyDescent="0.35">
      <c r="A86" s="2293"/>
      <c r="B86" s="2326" t="s">
        <v>731</v>
      </c>
      <c r="C86" s="2294"/>
      <c r="D86" s="2294"/>
      <c r="E86" s="2294"/>
      <c r="F86" s="2294"/>
      <c r="G86" s="2295"/>
      <c r="H86" s="2327"/>
      <c r="I86" s="2327"/>
      <c r="J86" s="2327"/>
      <c r="K86" s="2327"/>
      <c r="L86" s="2327"/>
      <c r="M86" s="2327"/>
      <c r="N86" s="2327"/>
      <c r="O86" s="2327"/>
      <c r="P86" s="2327"/>
      <c r="Q86" s="2327"/>
      <c r="R86" s="2327"/>
      <c r="S86" s="2327"/>
      <c r="T86" s="2327"/>
      <c r="U86" s="2327"/>
    </row>
    <row r="87" spans="1:21" x14ac:dyDescent="0.35">
      <c r="A87" s="2286"/>
      <c r="B87" s="2284" t="s">
        <v>732</v>
      </c>
      <c r="C87" s="2285"/>
      <c r="D87" s="2285"/>
      <c r="E87" s="2285"/>
      <c r="F87" s="2285"/>
      <c r="G87" s="2198"/>
      <c r="H87" s="2158"/>
      <c r="I87" s="2158"/>
      <c r="J87" s="2158"/>
      <c r="K87" s="2158"/>
      <c r="L87" s="2158"/>
      <c r="M87" s="2158"/>
      <c r="N87" s="2158"/>
      <c r="O87" s="2158"/>
      <c r="P87" s="2158"/>
      <c r="Q87" s="2158"/>
      <c r="R87" s="2158"/>
      <c r="S87" s="2158"/>
      <c r="T87" s="2158"/>
      <c r="U87" s="2158"/>
    </row>
    <row r="88" spans="1:21" x14ac:dyDescent="0.35">
      <c r="A88" s="2089"/>
      <c r="B88" s="2090" t="s">
        <v>733</v>
      </c>
      <c r="C88" s="2091"/>
      <c r="D88" s="2091"/>
      <c r="E88" s="2091"/>
      <c r="F88" s="2091"/>
      <c r="G88" s="2092"/>
      <c r="H88" s="2093"/>
      <c r="I88" s="2093"/>
      <c r="J88" s="2093"/>
      <c r="K88" s="2093"/>
      <c r="L88" s="2093"/>
      <c r="M88" s="2093"/>
      <c r="N88" s="2093"/>
      <c r="O88" s="2093"/>
      <c r="P88" s="2093"/>
      <c r="Q88" s="2093"/>
      <c r="R88" s="2093"/>
      <c r="S88" s="2093"/>
      <c r="T88" s="2093"/>
      <c r="U88" s="2093"/>
    </row>
    <row r="90" spans="1:21" x14ac:dyDescent="0.35">
      <c r="A90" s="78" t="s">
        <v>734</v>
      </c>
      <c r="B90" s="80"/>
      <c r="C90" s="2" t="s">
        <v>20</v>
      </c>
    </row>
    <row r="91" spans="1:21" x14ac:dyDescent="0.35">
      <c r="A91" s="79" t="s">
        <v>632</v>
      </c>
      <c r="B91" s="2094" t="str">
        <f>L4</f>
        <v>National Millwork</v>
      </c>
    </row>
    <row r="92" spans="1:21" x14ac:dyDescent="0.35">
      <c r="A92" s="2279" t="s">
        <v>636</v>
      </c>
      <c r="B92" s="2094" t="str">
        <f>L5</f>
        <v>Chris Chlupp</v>
      </c>
    </row>
    <row r="93" spans="1:21" x14ac:dyDescent="0.35">
      <c r="A93" s="2096" t="s">
        <v>639</v>
      </c>
      <c r="B93" s="2097">
        <f>L6</f>
        <v>5618485556</v>
      </c>
    </row>
    <row r="94" spans="1:21" x14ac:dyDescent="0.35">
      <c r="A94" s="2096" t="s">
        <v>642</v>
      </c>
      <c r="B94" s="2159" t="str">
        <f>L7</f>
        <v>cchlupp@nationalmillworkinc.com </v>
      </c>
    </row>
    <row r="95" spans="1:21" x14ac:dyDescent="0.35">
      <c r="A95" s="2099" t="s">
        <v>735</v>
      </c>
      <c r="B95" s="2100">
        <f>L8</f>
        <v>352460</v>
      </c>
      <c r="C95" s="333"/>
    </row>
    <row r="97" spans="1:2" x14ac:dyDescent="0.35">
      <c r="A97" s="81"/>
      <c r="B97" s="1" t="s">
        <v>736</v>
      </c>
    </row>
    <row r="98" spans="1:2" x14ac:dyDescent="0.35">
      <c r="A98" s="82"/>
      <c r="B98" s="1" t="s">
        <v>737</v>
      </c>
    </row>
  </sheetData>
  <mergeCells count="56">
    <mergeCell ref="L1:M1"/>
    <mergeCell ref="N1:O1"/>
    <mergeCell ref="N2:O2"/>
    <mergeCell ref="N3:O3"/>
    <mergeCell ref="N4:O4"/>
    <mergeCell ref="A64:B64"/>
    <mergeCell ref="A68:B68"/>
    <mergeCell ref="A72:B72"/>
    <mergeCell ref="A76:B76"/>
    <mergeCell ref="A79:B79"/>
    <mergeCell ref="T8:U8"/>
    <mergeCell ref="L7:M7"/>
    <mergeCell ref="H7:I7"/>
    <mergeCell ref="J7:K7"/>
    <mergeCell ref="P7:Q7"/>
    <mergeCell ref="R7:S7"/>
    <mergeCell ref="T7:U7"/>
    <mergeCell ref="L8:M8"/>
    <mergeCell ref="H8:I8"/>
    <mergeCell ref="J8:K8"/>
    <mergeCell ref="P8:Q8"/>
    <mergeCell ref="R8:S8"/>
    <mergeCell ref="N7:O7"/>
    <mergeCell ref="N8:O8"/>
    <mergeCell ref="T6:U6"/>
    <mergeCell ref="L5:M5"/>
    <mergeCell ref="H5:I5"/>
    <mergeCell ref="J5:K5"/>
    <mergeCell ref="P5:Q5"/>
    <mergeCell ref="R5:S5"/>
    <mergeCell ref="T5:U5"/>
    <mergeCell ref="L6:M6"/>
    <mergeCell ref="H6:I6"/>
    <mergeCell ref="J6:K6"/>
    <mergeCell ref="P6:Q6"/>
    <mergeCell ref="R6:S6"/>
    <mergeCell ref="N5:O5"/>
    <mergeCell ref="N6:O6"/>
    <mergeCell ref="T4:U4"/>
    <mergeCell ref="L3:M3"/>
    <mergeCell ref="H3:I3"/>
    <mergeCell ref="J3:K3"/>
    <mergeCell ref="P3:Q3"/>
    <mergeCell ref="R3:S3"/>
    <mergeCell ref="T3:U3"/>
    <mergeCell ref="L4:M4"/>
    <mergeCell ref="H4:I4"/>
    <mergeCell ref="J4:K4"/>
    <mergeCell ref="P4:Q4"/>
    <mergeCell ref="R4:S4"/>
    <mergeCell ref="T2:U2"/>
    <mergeCell ref="L2:M2"/>
    <mergeCell ref="H2:I2"/>
    <mergeCell ref="J2:K2"/>
    <mergeCell ref="P2:Q2"/>
    <mergeCell ref="R2:S2"/>
  </mergeCells>
  <conditionalFormatting sqref="H20:H28 H34:H55 J34:J55 L34:L55 P34:P55 N34:N55 R34:R55 T34:T55 H32">
    <cfRule type="cellIs" dxfId="1435" priority="19" operator="equal">
      <formula>"X"</formula>
    </cfRule>
    <cfRule type="cellIs" dxfId="1434" priority="20" operator="equal">
      <formula>"I"</formula>
    </cfRule>
  </conditionalFormatting>
  <conditionalFormatting sqref="H77">
    <cfRule type="cellIs" dxfId="1433" priority="9" operator="equal">
      <formula>"X"</formula>
    </cfRule>
    <cfRule type="cellIs" dxfId="1432" priority="10" operator="equal">
      <formula>"I"</formula>
    </cfRule>
  </conditionalFormatting>
  <conditionalFormatting sqref="J20:J32">
    <cfRule type="cellIs" dxfId="1431" priority="17" operator="equal">
      <formula>"X"</formula>
    </cfRule>
    <cfRule type="cellIs" dxfId="1430" priority="18" operator="equal">
      <formula>"I"</formula>
    </cfRule>
  </conditionalFormatting>
  <conditionalFormatting sqref="J77">
    <cfRule type="cellIs" dxfId="1429" priority="15" operator="equal">
      <formula>"X"</formula>
    </cfRule>
    <cfRule type="cellIs" dxfId="1428" priority="16" operator="equal">
      <formula>"I"</formula>
    </cfRule>
  </conditionalFormatting>
  <conditionalFormatting sqref="L20:L32">
    <cfRule type="cellIs" dxfId="1427" priority="25" operator="equal">
      <formula>"X"</formula>
    </cfRule>
    <cfRule type="cellIs" dxfId="1426" priority="26" operator="equal">
      <formula>"I"</formula>
    </cfRule>
  </conditionalFormatting>
  <conditionalFormatting sqref="L77">
    <cfRule type="cellIs" dxfId="1425" priority="21" operator="equal">
      <formula>"X"</formula>
    </cfRule>
    <cfRule type="cellIs" dxfId="1424" priority="22" operator="equal">
      <formula>"I"</formula>
    </cfRule>
  </conditionalFormatting>
  <conditionalFormatting sqref="P20:P32">
    <cfRule type="cellIs" dxfId="1423" priority="13" operator="equal">
      <formula>"X"</formula>
    </cfRule>
    <cfRule type="cellIs" dxfId="1422" priority="14" operator="equal">
      <formula>"I"</formula>
    </cfRule>
  </conditionalFormatting>
  <conditionalFormatting sqref="R20:R32">
    <cfRule type="cellIs" dxfId="1421" priority="11" operator="equal">
      <formula>"X"</formula>
    </cfRule>
    <cfRule type="cellIs" dxfId="1420" priority="12" operator="equal">
      <formula>"I"</formula>
    </cfRule>
  </conditionalFormatting>
  <conditionalFormatting sqref="T20:T32">
    <cfRule type="cellIs" dxfId="1419" priority="7" operator="equal">
      <formula>"X"</formula>
    </cfRule>
    <cfRule type="cellIs" dxfId="1418" priority="8" operator="equal">
      <formula>"I"</formula>
    </cfRule>
  </conditionalFormatting>
  <conditionalFormatting sqref="N20:N32">
    <cfRule type="cellIs" dxfId="1417" priority="5" operator="equal">
      <formula>"X"</formula>
    </cfRule>
    <cfRule type="cellIs" dxfId="1416" priority="6" operator="equal">
      <formula>"I"</formula>
    </cfRule>
  </conditionalFormatting>
  <conditionalFormatting sqref="N77">
    <cfRule type="cellIs" dxfId="1415" priority="3" operator="equal">
      <formula>"X"</formula>
    </cfRule>
    <cfRule type="cellIs" dxfId="1414" priority="4" operator="equal">
      <formula>"I"</formula>
    </cfRule>
  </conditionalFormatting>
  <conditionalFormatting sqref="H29:H31">
    <cfRule type="cellIs" dxfId="1413" priority="1" operator="equal">
      <formula>"X"</formula>
    </cfRule>
    <cfRule type="cellIs" dxfId="1412" priority="2" operator="equal">
      <formula>"I"</formula>
    </cfRule>
  </conditionalFormatting>
  <hyperlinks>
    <hyperlink ref="B3" location="'Cost Summary'!A1" display="BACK TO SUMMARY SHEET" xr:uid="{1889A787-41EB-48BD-88EE-70A88A74F29A}"/>
    <hyperlink ref="P7:Q7" r:id="rId1" display="hanna@asterakb.com" xr:uid="{3F126FA7-E148-46A2-B793-485AACA5FA44}"/>
    <hyperlink ref="R7:S7" r:id="rId2" display="eddy@granitestatespecialties.com" xr:uid="{AACAE93F-6AD6-48ED-A34B-4DEB3CE87EAF}"/>
    <hyperlink ref="H7:I7" r:id="rId3" display="Michael@nationalkb.com" xr:uid="{901F8868-001C-46D2-85AC-B4FFC50A65FB}"/>
    <hyperlink ref="T7:U7" r:id="rId4" display="&lt;lgraef@etiflorida.com&gt; " xr:uid="{A4DDA431-6B74-4AD6-948D-E1AA13EEA789}"/>
    <hyperlink ref="L7" r:id="rId5" xr:uid="{DD733772-DC60-4637-BAC3-EC81B1824267}"/>
    <hyperlink ref="N7" r:id="rId6" xr:uid="{B3D3253F-C7D9-4A9C-86C5-FC6524B3E134}"/>
  </hyperlinks>
  <pageMargins left="0.7" right="0.7" top="0.75" bottom="0.75" header="0.3" footer="0.3"/>
  <pageSetup orientation="portrait" r:id="rId7"/>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73B-ABB9-4ABD-B535-BBB32D0BF040}">
  <dimension ref="A1:S109"/>
  <sheetViews>
    <sheetView workbookViewId="0">
      <pane xSplit="2" ySplit="9" topLeftCell="C61" activePane="bottomRight" state="frozen"/>
      <selection pane="topRight" activeCell="C1" sqref="C1"/>
      <selection pane="bottomLeft" activeCell="A11" sqref="A11"/>
      <selection pane="bottomRight" activeCell="I71" sqref="I71:I72"/>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c r="G2" s="123" t="s">
        <v>451</v>
      </c>
      <c r="H2" s="3751"/>
      <c r="I2" s="3751"/>
      <c r="J2" s="3751"/>
      <c r="K2" s="3751"/>
      <c r="L2" s="3751"/>
      <c r="M2" s="3751"/>
      <c r="N2" s="3751"/>
      <c r="O2" s="3751"/>
      <c r="P2" s="3751"/>
      <c r="Q2" s="3751"/>
      <c r="R2" s="3751"/>
      <c r="S2" s="3751"/>
    </row>
    <row r="3" spans="1:19" ht="20" thickBot="1" x14ac:dyDescent="0.4">
      <c r="B3" s="137" t="s">
        <v>623</v>
      </c>
      <c r="E3" s="152"/>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952"/>
      <c r="K4" s="3753"/>
      <c r="L4" s="3952"/>
      <c r="M4" s="3753"/>
      <c r="N4" s="3952"/>
      <c r="O4" s="3753"/>
      <c r="P4" s="3952"/>
      <c r="Q4" s="3753"/>
      <c r="R4" s="3952"/>
      <c r="S4" s="3753"/>
    </row>
    <row r="5" spans="1:19" x14ac:dyDescent="0.35">
      <c r="A5" s="2283" t="s">
        <v>634</v>
      </c>
      <c r="B5" s="2284" t="s">
        <v>2608</v>
      </c>
      <c r="C5" s="2285"/>
      <c r="D5" s="2285"/>
      <c r="E5" s="2285"/>
      <c r="F5" s="2285"/>
      <c r="G5" s="2194" t="s">
        <v>636</v>
      </c>
      <c r="H5" s="3931"/>
      <c r="I5" s="3932"/>
      <c r="J5" s="3954"/>
      <c r="K5" s="3932"/>
      <c r="L5" s="3954"/>
      <c r="M5" s="3932"/>
      <c r="N5" s="3954"/>
      <c r="O5" s="3932"/>
      <c r="P5" s="3954"/>
      <c r="Q5" s="3932"/>
      <c r="R5" s="3954"/>
      <c r="S5" s="3932"/>
    </row>
    <row r="6" spans="1:19" x14ac:dyDescent="0.35">
      <c r="A6" s="2283" t="s">
        <v>638</v>
      </c>
      <c r="B6" s="2195" t="s">
        <v>2645</v>
      </c>
      <c r="C6" s="2285"/>
      <c r="D6" s="2285"/>
      <c r="E6" s="2285"/>
      <c r="F6" s="2285"/>
      <c r="G6" s="2194" t="s">
        <v>639</v>
      </c>
      <c r="H6" s="3937"/>
      <c r="I6" s="3938"/>
      <c r="J6" s="3953"/>
      <c r="K6" s="3938"/>
      <c r="L6" s="3953"/>
      <c r="M6" s="3938"/>
      <c r="N6" s="3953"/>
      <c r="O6" s="3938"/>
      <c r="P6" s="3953"/>
      <c r="Q6" s="3938"/>
      <c r="R6" s="3953"/>
      <c r="S6" s="3938"/>
    </row>
    <row r="7" spans="1:19" x14ac:dyDescent="0.35">
      <c r="A7" s="2283" t="s">
        <v>641</v>
      </c>
      <c r="B7" s="2196"/>
      <c r="C7" s="2285"/>
      <c r="D7" s="2285"/>
      <c r="E7" s="2285"/>
      <c r="F7" s="2285"/>
      <c r="G7" s="2194" t="s">
        <v>642</v>
      </c>
      <c r="H7" s="3934"/>
      <c r="I7" s="3935"/>
      <c r="J7" s="3955"/>
      <c r="K7" s="3935"/>
      <c r="L7" s="3955"/>
      <c r="M7" s="3935"/>
      <c r="N7" s="3955"/>
      <c r="O7" s="3935"/>
      <c r="P7" s="3955"/>
      <c r="Q7" s="3935"/>
      <c r="R7" s="3955"/>
      <c r="S7" s="3935"/>
    </row>
    <row r="8" spans="1:19" ht="15" thickBot="1" x14ac:dyDescent="0.4">
      <c r="A8" s="938" t="s">
        <v>644</v>
      </c>
      <c r="B8" s="939"/>
      <c r="C8" s="940"/>
      <c r="D8" s="940"/>
      <c r="E8" s="940"/>
      <c r="F8" s="940"/>
      <c r="G8" s="938" t="s">
        <v>644</v>
      </c>
      <c r="H8" s="3945">
        <f>I70</f>
        <v>0</v>
      </c>
      <c r="I8" s="3944"/>
      <c r="J8" s="3945">
        <f>K70</f>
        <v>0</v>
      </c>
      <c r="K8" s="3944"/>
      <c r="L8" s="3945">
        <f>M70</f>
        <v>0</v>
      </c>
      <c r="M8" s="3944"/>
      <c r="N8" s="3945">
        <f>O70</f>
        <v>0</v>
      </c>
      <c r="O8" s="3944"/>
      <c r="P8" s="3945">
        <f>Q70</f>
        <v>0</v>
      </c>
      <c r="Q8" s="3944"/>
      <c r="R8" s="3945">
        <f>S70</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328"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329"/>
      <c r="B20" s="2284"/>
      <c r="C20" s="2201"/>
      <c r="D20" s="2285"/>
      <c r="E20" s="2285"/>
      <c r="F20" s="2285"/>
      <c r="G20" s="2198"/>
      <c r="H20" s="2107"/>
      <c r="I20" s="2107"/>
      <c r="J20" s="2107"/>
      <c r="K20" s="2107"/>
      <c r="L20" s="2107"/>
      <c r="M20" s="2107"/>
      <c r="N20" s="2107"/>
      <c r="O20" s="2107"/>
      <c r="P20" s="2107"/>
      <c r="Q20" s="2107"/>
      <c r="R20" s="2107"/>
      <c r="S20" s="2107"/>
    </row>
    <row r="21" spans="1:19" ht="15" thickBot="1" x14ac:dyDescent="0.4">
      <c r="A21" s="2330"/>
      <c r="B21" s="2203" t="s">
        <v>2608</v>
      </c>
      <c r="C21" s="45"/>
      <c r="D21" s="46"/>
      <c r="E21" s="46"/>
      <c r="F21" s="46"/>
      <c r="G21" s="52"/>
      <c r="H21" s="2331"/>
      <c r="I21" s="2306"/>
      <c r="J21" s="2331"/>
      <c r="K21" s="2306"/>
      <c r="L21" s="2331"/>
      <c r="M21" s="2306"/>
      <c r="N21" s="2331"/>
      <c r="O21" s="2306"/>
      <c r="P21" s="2331"/>
      <c r="Q21" s="2306"/>
      <c r="R21" s="2331"/>
      <c r="S21" s="2306"/>
    </row>
    <row r="22" spans="1:19" x14ac:dyDescent="0.35">
      <c r="A22" s="2330"/>
      <c r="B22" s="606" t="s">
        <v>657</v>
      </c>
      <c r="C22" s="2201"/>
      <c r="D22" s="2285"/>
      <c r="E22" s="2285"/>
      <c r="F22" s="2285"/>
      <c r="G22" s="2198"/>
      <c r="H22" s="2331"/>
      <c r="I22" s="2306"/>
      <c r="J22" s="2331"/>
      <c r="K22" s="2306"/>
      <c r="L22" s="2331"/>
      <c r="M22" s="2306"/>
      <c r="N22" s="2331"/>
      <c r="O22" s="2306"/>
      <c r="P22" s="2331"/>
      <c r="Q22" s="2306"/>
      <c r="R22" s="2331"/>
      <c r="S22" s="2306"/>
    </row>
    <row r="23" spans="1:19" x14ac:dyDescent="0.35">
      <c r="A23" s="2330"/>
      <c r="B23" s="2305" t="s">
        <v>658</v>
      </c>
      <c r="C23" s="2201"/>
      <c r="D23" s="2285"/>
      <c r="E23" s="2285"/>
      <c r="F23" s="2285"/>
      <c r="G23" s="2198"/>
      <c r="H23" s="2331"/>
      <c r="I23" s="2306"/>
      <c r="J23" s="2331"/>
      <c r="K23" s="2307"/>
      <c r="L23" s="2331"/>
      <c r="M23" s="2307"/>
      <c r="N23" s="2307"/>
      <c r="O23" s="2307"/>
      <c r="P23" s="2307"/>
      <c r="Q23" s="2307"/>
      <c r="R23" s="2307"/>
      <c r="S23" s="2307"/>
    </row>
    <row r="24" spans="1:19" x14ac:dyDescent="0.35">
      <c r="A24" s="2332"/>
      <c r="B24" s="2305" t="s">
        <v>659</v>
      </c>
      <c r="C24" s="2208"/>
      <c r="D24" s="2285"/>
      <c r="E24" s="2285"/>
      <c r="F24" s="2285"/>
      <c r="G24" s="2198"/>
      <c r="H24" s="2331"/>
      <c r="I24" s="2306"/>
      <c r="J24" s="2331"/>
      <c r="K24" s="2307"/>
      <c r="L24" s="2331"/>
      <c r="M24" s="2307"/>
      <c r="N24" s="2307"/>
      <c r="O24" s="2307"/>
      <c r="P24" s="2307"/>
      <c r="Q24" s="2307"/>
      <c r="R24" s="2307"/>
      <c r="S24" s="2307"/>
    </row>
    <row r="25" spans="1:19" x14ac:dyDescent="0.35">
      <c r="A25" s="2332"/>
      <c r="B25" s="2333" t="s">
        <v>660</v>
      </c>
      <c r="C25" s="2208"/>
      <c r="D25" s="2285"/>
      <c r="E25" s="2285"/>
      <c r="F25" s="2285"/>
      <c r="G25" s="2198"/>
      <c r="H25" s="2331"/>
      <c r="I25" s="2306"/>
      <c r="J25" s="2331"/>
      <c r="K25" s="2307"/>
      <c r="L25" s="2331"/>
      <c r="M25" s="2307"/>
      <c r="N25" s="2307"/>
      <c r="O25" s="2307"/>
      <c r="P25" s="2307"/>
      <c r="Q25" s="2307"/>
      <c r="R25" s="2307"/>
      <c r="S25" s="2307"/>
    </row>
    <row r="26" spans="1:19" s="77" customFormat="1" x14ac:dyDescent="0.35">
      <c r="A26" s="2329"/>
      <c r="B26" s="2333" t="s">
        <v>661</v>
      </c>
      <c r="C26" s="2211"/>
      <c r="D26" s="2212"/>
      <c r="E26" s="2212"/>
      <c r="F26" s="2212"/>
      <c r="G26" s="2211"/>
      <c r="H26" s="2331"/>
      <c r="I26" s="2306"/>
      <c r="J26" s="2334"/>
      <c r="K26" s="2335"/>
      <c r="L26" s="2334"/>
      <c r="M26" s="2335"/>
      <c r="N26" s="2335"/>
      <c r="O26" s="2335"/>
      <c r="P26" s="2335"/>
      <c r="Q26" s="2335"/>
      <c r="R26" s="2335"/>
      <c r="S26" s="2335"/>
    </row>
    <row r="27" spans="1:19" s="77" customFormat="1" x14ac:dyDescent="0.35">
      <c r="A27" s="2330"/>
      <c r="B27" s="2333" t="s">
        <v>662</v>
      </c>
      <c r="C27" s="2211"/>
      <c r="D27" s="2212"/>
      <c r="E27" s="2212"/>
      <c r="F27" s="2212"/>
      <c r="G27" s="2211"/>
      <c r="H27" s="2331"/>
      <c r="I27" s="2306"/>
      <c r="J27" s="2334"/>
      <c r="K27" s="2335"/>
      <c r="L27" s="2334"/>
      <c r="M27" s="2335"/>
      <c r="N27" s="2335"/>
      <c r="O27" s="2335"/>
      <c r="P27" s="2335"/>
      <c r="Q27" s="2335"/>
      <c r="R27" s="2335"/>
      <c r="S27" s="2335"/>
    </row>
    <row r="28" spans="1:19" s="77" customFormat="1" x14ac:dyDescent="0.35">
      <c r="A28" s="2330"/>
      <c r="B28" s="2333" t="s">
        <v>663</v>
      </c>
      <c r="C28" s="2211"/>
      <c r="D28" s="2212"/>
      <c r="E28" s="2212"/>
      <c r="F28" s="2212"/>
      <c r="G28" s="2211"/>
      <c r="H28" s="2331"/>
      <c r="I28" s="2306"/>
      <c r="J28" s="2334"/>
      <c r="K28" s="2335"/>
      <c r="L28" s="2334"/>
      <c r="M28" s="2335"/>
      <c r="N28" s="2335"/>
      <c r="O28" s="2335"/>
      <c r="P28" s="2335"/>
      <c r="Q28" s="2335"/>
      <c r="R28" s="2335"/>
      <c r="S28" s="2335"/>
    </row>
    <row r="29" spans="1:19" s="77" customFormat="1" x14ac:dyDescent="0.35">
      <c r="A29" s="2330"/>
      <c r="B29" s="2336" t="s">
        <v>664</v>
      </c>
      <c r="C29" s="2211"/>
      <c r="D29" s="2212"/>
      <c r="E29" s="2212"/>
      <c r="F29" s="2212"/>
      <c r="G29" s="2211"/>
      <c r="H29" s="2331"/>
      <c r="I29" s="2306"/>
      <c r="J29" s="2334"/>
      <c r="K29" s="2335"/>
      <c r="L29" s="2334"/>
      <c r="M29" s="2335"/>
      <c r="N29" s="2335"/>
      <c r="O29" s="2335"/>
      <c r="P29" s="2335"/>
      <c r="Q29" s="2335"/>
      <c r="R29" s="2335"/>
      <c r="S29" s="2335"/>
    </row>
    <row r="30" spans="1:19" s="77" customFormat="1" x14ac:dyDescent="0.35">
      <c r="A30" s="2329"/>
      <c r="B30" s="2337" t="s">
        <v>665</v>
      </c>
      <c r="C30" s="2216"/>
      <c r="D30" s="2217"/>
      <c r="E30" s="2217"/>
      <c r="F30" s="2217"/>
      <c r="G30" s="2216"/>
      <c r="H30" s="2288"/>
      <c r="I30" s="2338"/>
      <c r="J30" s="2289"/>
      <c r="K30" s="2339"/>
      <c r="L30" s="2289"/>
      <c r="M30" s="2339"/>
      <c r="N30" s="2339"/>
      <c r="O30" s="2339"/>
      <c r="P30" s="2339"/>
      <c r="Q30" s="2339"/>
      <c r="R30" s="2339"/>
      <c r="S30" s="2339"/>
    </row>
    <row r="31" spans="1:19" s="77" customFormat="1" x14ac:dyDescent="0.35">
      <c r="A31" s="2329"/>
      <c r="B31" s="2340"/>
      <c r="C31" s="2211"/>
      <c r="D31" s="2212"/>
      <c r="E31" s="2212"/>
      <c r="F31" s="2212"/>
      <c r="G31" s="2211"/>
      <c r="H31" s="2331"/>
      <c r="I31" s="2306"/>
      <c r="J31" s="2334"/>
      <c r="K31" s="2335"/>
      <c r="L31" s="2334"/>
      <c r="M31" s="2335"/>
      <c r="N31" s="2335"/>
      <c r="O31" s="2335"/>
      <c r="P31" s="2335"/>
      <c r="Q31" s="2335"/>
      <c r="R31" s="2335"/>
      <c r="S31" s="2335"/>
    </row>
    <row r="32" spans="1:19" s="77" customFormat="1" x14ac:dyDescent="0.35">
      <c r="A32" s="2330"/>
      <c r="B32" s="2340"/>
      <c r="C32" s="2236"/>
      <c r="D32" s="2212"/>
      <c r="E32" s="2212"/>
      <c r="F32" s="2212"/>
      <c r="G32" s="2211"/>
      <c r="H32" s="2331"/>
      <c r="I32" s="2306"/>
      <c r="J32" s="2334"/>
      <c r="K32" s="2335"/>
      <c r="L32" s="2334"/>
      <c r="M32" s="2335"/>
      <c r="N32" s="2335"/>
      <c r="O32" s="2335"/>
      <c r="P32" s="2335"/>
      <c r="Q32" s="2335"/>
      <c r="R32" s="2335"/>
      <c r="S32" s="2335"/>
    </row>
    <row r="33" spans="1:19" s="77" customFormat="1" x14ac:dyDescent="0.35">
      <c r="A33" s="2330"/>
      <c r="B33" s="2340"/>
      <c r="C33" s="2236"/>
      <c r="D33" s="2212"/>
      <c r="E33" s="2212"/>
      <c r="F33" s="2212"/>
      <c r="G33" s="2211"/>
      <c r="H33" s="2331"/>
      <c r="I33" s="2306"/>
      <c r="J33" s="2334"/>
      <c r="K33" s="2335"/>
      <c r="L33" s="2334"/>
      <c r="M33" s="2335"/>
      <c r="N33" s="2335"/>
      <c r="O33" s="2335"/>
      <c r="P33" s="2335"/>
      <c r="Q33" s="2335"/>
      <c r="R33" s="2335"/>
      <c r="S33" s="2335"/>
    </row>
    <row r="34" spans="1:19" s="77" customFormat="1" x14ac:dyDescent="0.35">
      <c r="A34" s="2330"/>
      <c r="B34" s="2340"/>
      <c r="C34" s="2236"/>
      <c r="D34" s="2212"/>
      <c r="E34" s="2212"/>
      <c r="F34" s="2212"/>
      <c r="G34" s="2211"/>
      <c r="H34" s="2331"/>
      <c r="I34" s="2306"/>
      <c r="J34" s="2334"/>
      <c r="K34" s="2335"/>
      <c r="L34" s="2334"/>
      <c r="M34" s="2335"/>
      <c r="N34" s="2335"/>
      <c r="O34" s="2335"/>
      <c r="P34" s="2335"/>
      <c r="Q34" s="2335"/>
      <c r="R34" s="2335"/>
      <c r="S34" s="2335"/>
    </row>
    <row r="35" spans="1:19" s="77" customFormat="1" x14ac:dyDescent="0.35">
      <c r="A35" s="2330"/>
      <c r="B35" s="2340"/>
      <c r="C35" s="2236"/>
      <c r="D35" s="2212"/>
      <c r="E35" s="2212"/>
      <c r="F35" s="2212"/>
      <c r="G35" s="2211"/>
      <c r="H35" s="2331"/>
      <c r="I35" s="2306"/>
      <c r="J35" s="2334"/>
      <c r="K35" s="2335"/>
      <c r="L35" s="2334"/>
      <c r="M35" s="2335"/>
      <c r="N35" s="2335"/>
      <c r="O35" s="2335"/>
      <c r="P35" s="2335"/>
      <c r="Q35" s="2335"/>
      <c r="R35" s="2335"/>
      <c r="S35" s="2335"/>
    </row>
    <row r="36" spans="1:19" s="77" customFormat="1" x14ac:dyDescent="0.35">
      <c r="A36" s="2330"/>
      <c r="B36" s="2340"/>
      <c r="C36" s="2236"/>
      <c r="D36" s="2212"/>
      <c r="E36" s="2212"/>
      <c r="F36" s="2212"/>
      <c r="G36" s="2211"/>
      <c r="H36" s="2331"/>
      <c r="I36" s="2306"/>
      <c r="J36" s="2334"/>
      <c r="K36" s="2335"/>
      <c r="L36" s="2334"/>
      <c r="M36" s="2335"/>
      <c r="N36" s="2335"/>
      <c r="O36" s="2335"/>
      <c r="P36" s="2335"/>
      <c r="Q36" s="2335"/>
      <c r="R36" s="2335"/>
      <c r="S36" s="2335"/>
    </row>
    <row r="37" spans="1:19" s="77" customFormat="1" x14ac:dyDescent="0.35">
      <c r="A37" s="2330"/>
      <c r="B37" s="2340"/>
      <c r="C37" s="2236"/>
      <c r="D37" s="2212"/>
      <c r="E37" s="2341"/>
      <c r="F37" s="2342"/>
      <c r="G37" s="2211"/>
      <c r="H37" s="2331"/>
      <c r="I37" s="2306"/>
      <c r="J37" s="2334"/>
      <c r="K37" s="2335"/>
      <c r="L37" s="2334"/>
      <c r="M37" s="2335"/>
      <c r="N37" s="2335"/>
      <c r="O37" s="2335"/>
      <c r="P37" s="2335"/>
      <c r="Q37" s="2335"/>
      <c r="R37" s="2335"/>
      <c r="S37" s="2335"/>
    </row>
    <row r="38" spans="1:19" s="77" customFormat="1" x14ac:dyDescent="0.35">
      <c r="A38" s="2330"/>
      <c r="B38" s="2340"/>
      <c r="C38" s="2236"/>
      <c r="D38" s="2212"/>
      <c r="E38" s="2341"/>
      <c r="F38" s="2342"/>
      <c r="G38" s="2211"/>
      <c r="H38" s="2331"/>
      <c r="I38" s="2306"/>
      <c r="J38" s="2334"/>
      <c r="K38" s="2335"/>
      <c r="L38" s="2334"/>
      <c r="M38" s="2335"/>
      <c r="N38" s="2335"/>
      <c r="O38" s="2335"/>
      <c r="P38" s="2335"/>
      <c r="Q38" s="2335"/>
      <c r="R38" s="2335"/>
      <c r="S38" s="2335"/>
    </row>
    <row r="39" spans="1:19" s="77" customFormat="1" x14ac:dyDescent="0.35">
      <c r="A39" s="2330"/>
      <c r="B39" s="2340"/>
      <c r="C39" s="2236"/>
      <c r="D39" s="2212"/>
      <c r="E39" s="2341"/>
      <c r="F39" s="2342"/>
      <c r="G39" s="2211"/>
      <c r="H39" s="2331"/>
      <c r="I39" s="2306"/>
      <c r="J39" s="2334"/>
      <c r="K39" s="2335"/>
      <c r="L39" s="2334"/>
      <c r="M39" s="2335"/>
      <c r="N39" s="2335"/>
      <c r="O39" s="2335"/>
      <c r="P39" s="2335"/>
      <c r="Q39" s="2335"/>
      <c r="R39" s="2335"/>
      <c r="S39" s="2335"/>
    </row>
    <row r="40" spans="1:19" s="77" customFormat="1" x14ac:dyDescent="0.35">
      <c r="A40" s="2330"/>
      <c r="B40" s="2343"/>
      <c r="C40" s="2236"/>
      <c r="D40" s="2212"/>
      <c r="E40" s="2341"/>
      <c r="F40" s="2342"/>
      <c r="G40" s="2211"/>
      <c r="H40" s="2331"/>
      <c r="I40" s="2306"/>
      <c r="J40" s="2334"/>
      <c r="K40" s="2335"/>
      <c r="L40" s="2334"/>
      <c r="M40" s="2335"/>
      <c r="N40" s="2335"/>
      <c r="O40" s="2335"/>
      <c r="P40" s="2335"/>
      <c r="Q40" s="2335"/>
      <c r="R40" s="2335"/>
      <c r="S40" s="2335"/>
    </row>
    <row r="41" spans="1:19" s="77" customFormat="1" x14ac:dyDescent="0.35">
      <c r="A41" s="2330"/>
      <c r="B41" s="2344"/>
      <c r="C41" s="2236"/>
      <c r="D41" s="2212"/>
      <c r="E41" s="2341"/>
      <c r="F41" s="2342"/>
      <c r="G41" s="2211"/>
      <c r="H41" s="2331"/>
      <c r="I41" s="2306"/>
      <c r="J41" s="2334"/>
      <c r="K41" s="2335"/>
      <c r="L41" s="2334"/>
      <c r="M41" s="2335"/>
      <c r="N41" s="2335"/>
      <c r="O41" s="2335"/>
      <c r="P41" s="2335"/>
      <c r="Q41" s="2335"/>
      <c r="R41" s="2335"/>
      <c r="S41" s="2335"/>
    </row>
    <row r="42" spans="1:19" s="77" customFormat="1" x14ac:dyDescent="0.35">
      <c r="A42" s="2330"/>
      <c r="B42" s="128"/>
      <c r="C42" s="2236"/>
      <c r="D42" s="2212"/>
      <c r="E42" s="2341"/>
      <c r="F42" s="2342"/>
      <c r="G42" s="2211"/>
      <c r="H42" s="2331"/>
      <c r="I42" s="2306"/>
      <c r="J42" s="2334"/>
      <c r="K42" s="2335"/>
      <c r="L42" s="2334"/>
      <c r="M42" s="2335"/>
      <c r="N42" s="2335"/>
      <c r="O42" s="2335"/>
      <c r="P42" s="2335"/>
      <c r="Q42" s="2335"/>
      <c r="R42" s="2335"/>
      <c r="S42" s="2335"/>
    </row>
    <row r="43" spans="1:19" s="77" customFormat="1" x14ac:dyDescent="0.35">
      <c r="A43" s="2330"/>
      <c r="B43" s="2340"/>
      <c r="C43" s="2236"/>
      <c r="D43" s="2212"/>
      <c r="E43" s="2341"/>
      <c r="F43" s="2342"/>
      <c r="G43" s="2211"/>
      <c r="H43" s="2331"/>
      <c r="I43" s="2306"/>
      <c r="J43" s="2334"/>
      <c r="K43" s="2335"/>
      <c r="L43" s="2334"/>
      <c r="M43" s="2335"/>
      <c r="N43" s="2335"/>
      <c r="O43" s="2335"/>
      <c r="P43" s="2335"/>
      <c r="Q43" s="2335"/>
      <c r="R43" s="2335"/>
      <c r="S43" s="2335"/>
    </row>
    <row r="44" spans="1:19" s="77" customFormat="1" x14ac:dyDescent="0.35">
      <c r="A44" s="2330"/>
      <c r="B44" s="2340"/>
      <c r="C44" s="2236"/>
      <c r="D44" s="2212"/>
      <c r="E44" s="2341"/>
      <c r="F44" s="2342"/>
      <c r="G44" s="2211"/>
      <c r="H44" s="2331"/>
      <c r="I44" s="2306"/>
      <c r="J44" s="2334"/>
      <c r="K44" s="2335"/>
      <c r="L44" s="2334"/>
      <c r="M44" s="2335"/>
      <c r="N44" s="2335"/>
      <c r="O44" s="2335"/>
      <c r="P44" s="2335"/>
      <c r="Q44" s="2335"/>
      <c r="R44" s="2335"/>
      <c r="S44" s="2335"/>
    </row>
    <row r="45" spans="1:19" s="77" customFormat="1" x14ac:dyDescent="0.35">
      <c r="A45" s="2330"/>
      <c r="B45" s="2340"/>
      <c r="C45" s="2236"/>
      <c r="D45" s="2212"/>
      <c r="E45" s="2341"/>
      <c r="F45" s="2342"/>
      <c r="G45" s="2211"/>
      <c r="H45" s="2331"/>
      <c r="I45" s="2306"/>
      <c r="J45" s="2334"/>
      <c r="K45" s="2335"/>
      <c r="L45" s="2334"/>
      <c r="M45" s="2335"/>
      <c r="N45" s="2335"/>
      <c r="O45" s="2335"/>
      <c r="P45" s="2335"/>
      <c r="Q45" s="2335"/>
      <c r="R45" s="2335"/>
      <c r="S45" s="2335"/>
    </row>
    <row r="46" spans="1:19" s="77" customFormat="1" x14ac:dyDescent="0.35">
      <c r="A46" s="2330"/>
      <c r="B46" s="2340"/>
      <c r="C46" s="2236"/>
      <c r="D46" s="2212"/>
      <c r="E46" s="2341"/>
      <c r="F46" s="2342"/>
      <c r="G46" s="2211"/>
      <c r="H46" s="2331"/>
      <c r="I46" s="2306"/>
      <c r="J46" s="2334"/>
      <c r="K46" s="2335"/>
      <c r="L46" s="2334"/>
      <c r="M46" s="2335"/>
      <c r="N46" s="2335"/>
      <c r="O46" s="2335"/>
      <c r="P46" s="2335"/>
      <c r="Q46" s="2335"/>
      <c r="R46" s="2335"/>
      <c r="S46" s="2335"/>
    </row>
    <row r="47" spans="1:19" s="77" customFormat="1" x14ac:dyDescent="0.35">
      <c r="A47" s="2330"/>
      <c r="B47" s="2340"/>
      <c r="C47" s="2236"/>
      <c r="D47" s="2212"/>
      <c r="E47" s="2341"/>
      <c r="F47" s="2342"/>
      <c r="G47" s="2211"/>
      <c r="H47" s="2331"/>
      <c r="I47" s="2306"/>
      <c r="J47" s="2334"/>
      <c r="K47" s="2335"/>
      <c r="L47" s="2334"/>
      <c r="M47" s="2335"/>
      <c r="N47" s="2335"/>
      <c r="O47" s="2335"/>
      <c r="P47" s="2335"/>
      <c r="Q47" s="2335"/>
      <c r="R47" s="2335"/>
      <c r="S47" s="2335"/>
    </row>
    <row r="48" spans="1:19" s="77" customFormat="1" x14ac:dyDescent="0.35">
      <c r="A48" s="2330"/>
      <c r="B48" s="2340"/>
      <c r="C48" s="2236"/>
      <c r="D48" s="2212"/>
      <c r="E48" s="2341"/>
      <c r="F48" s="2342"/>
      <c r="G48" s="2211"/>
      <c r="H48" s="2331"/>
      <c r="I48" s="2306"/>
      <c r="J48" s="2334"/>
      <c r="K48" s="2335"/>
      <c r="L48" s="2334"/>
      <c r="M48" s="2335"/>
      <c r="N48" s="2335"/>
      <c r="O48" s="2335"/>
      <c r="P48" s="2335"/>
      <c r="Q48" s="2335"/>
      <c r="R48" s="2335"/>
      <c r="S48" s="2335"/>
    </row>
    <row r="49" spans="1:19" s="77" customFormat="1" x14ac:dyDescent="0.35">
      <c r="A49" s="2330"/>
      <c r="B49" s="2340"/>
      <c r="C49" s="2236"/>
      <c r="D49" s="2212"/>
      <c r="E49" s="2341"/>
      <c r="F49" s="2342"/>
      <c r="G49" s="2211"/>
      <c r="H49" s="2331"/>
      <c r="I49" s="2306"/>
      <c r="J49" s="2334"/>
      <c r="K49" s="2335"/>
      <c r="L49" s="2334"/>
      <c r="M49" s="2335"/>
      <c r="N49" s="2335"/>
      <c r="O49" s="2335"/>
      <c r="P49" s="2335"/>
      <c r="Q49" s="2335"/>
      <c r="R49" s="2335"/>
      <c r="S49" s="2335"/>
    </row>
    <row r="50" spans="1:19" s="77" customFormat="1" x14ac:dyDescent="0.35">
      <c r="A50" s="2330"/>
      <c r="B50" s="2340"/>
      <c r="C50" s="2236"/>
      <c r="D50" s="2212"/>
      <c r="E50" s="2341"/>
      <c r="F50" s="2342"/>
      <c r="G50" s="2211"/>
      <c r="H50" s="2331"/>
      <c r="I50" s="2306"/>
      <c r="J50" s="2334"/>
      <c r="K50" s="2335"/>
      <c r="L50" s="2334"/>
      <c r="M50" s="2335"/>
      <c r="N50" s="2335"/>
      <c r="O50" s="2335"/>
      <c r="P50" s="2335"/>
      <c r="Q50" s="2335"/>
      <c r="R50" s="2335"/>
      <c r="S50" s="2335"/>
    </row>
    <row r="51" spans="1:19" s="77" customFormat="1" x14ac:dyDescent="0.35">
      <c r="A51" s="2330"/>
      <c r="B51" s="2340"/>
      <c r="C51" s="2236"/>
      <c r="D51" s="2212"/>
      <c r="E51" s="2341"/>
      <c r="F51" s="2342"/>
      <c r="G51" s="2211"/>
      <c r="H51" s="2331"/>
      <c r="I51" s="2306"/>
      <c r="J51" s="2334"/>
      <c r="K51" s="2335"/>
      <c r="L51" s="2334"/>
      <c r="M51" s="2335"/>
      <c r="N51" s="2335"/>
      <c r="O51" s="2335"/>
      <c r="P51" s="2335"/>
      <c r="Q51" s="2335"/>
      <c r="R51" s="2335"/>
      <c r="S51" s="2335"/>
    </row>
    <row r="52" spans="1:19" s="77" customFormat="1" x14ac:dyDescent="0.35">
      <c r="A52" s="2330"/>
      <c r="B52" s="2340"/>
      <c r="C52" s="2236"/>
      <c r="D52" s="2212"/>
      <c r="E52" s="2341"/>
      <c r="F52" s="2342"/>
      <c r="G52" s="2211"/>
      <c r="H52" s="2331"/>
      <c r="I52" s="2306"/>
      <c r="J52" s="2334"/>
      <c r="K52" s="2335"/>
      <c r="L52" s="2334"/>
      <c r="M52" s="2335"/>
      <c r="N52" s="2335"/>
      <c r="O52" s="2335"/>
      <c r="P52" s="2335"/>
      <c r="Q52" s="2335"/>
      <c r="R52" s="2335"/>
      <c r="S52" s="2335"/>
    </row>
    <row r="53" spans="1:19" s="77" customFormat="1" x14ac:dyDescent="0.35">
      <c r="A53" s="2330"/>
      <c r="B53" s="2340"/>
      <c r="C53" s="2236"/>
      <c r="D53" s="2212"/>
      <c r="E53" s="2341"/>
      <c r="F53" s="2342"/>
      <c r="G53" s="2211"/>
      <c r="H53" s="2331"/>
      <c r="I53" s="2306"/>
      <c r="J53" s="2334"/>
      <c r="K53" s="2335"/>
      <c r="L53" s="2334"/>
      <c r="M53" s="2335"/>
      <c r="N53" s="2335"/>
      <c r="O53" s="2335"/>
      <c r="P53" s="2335"/>
      <c r="Q53" s="2335"/>
      <c r="R53" s="2335"/>
      <c r="S53" s="2335"/>
    </row>
    <row r="54" spans="1:19" s="77" customFormat="1" x14ac:dyDescent="0.35">
      <c r="A54" s="2329"/>
      <c r="B54" s="2340"/>
      <c r="C54" s="2211"/>
      <c r="D54" s="2212"/>
      <c r="E54" s="2341"/>
      <c r="F54" s="2342"/>
      <c r="G54" s="2211"/>
      <c r="H54" s="2331"/>
      <c r="I54" s="2306"/>
      <c r="J54" s="2334"/>
      <c r="K54" s="2335"/>
      <c r="L54" s="2334"/>
      <c r="M54" s="2335"/>
      <c r="N54" s="2335"/>
      <c r="O54" s="2335"/>
      <c r="P54" s="2335"/>
      <c r="Q54" s="2335"/>
      <c r="R54" s="2335"/>
      <c r="S54" s="2335"/>
    </row>
    <row r="55" spans="1:19" x14ac:dyDescent="0.35">
      <c r="A55" s="2332"/>
      <c r="B55" s="2340"/>
      <c r="C55" s="2211"/>
      <c r="D55" s="2285"/>
      <c r="E55" s="2341"/>
      <c r="F55" s="2342"/>
      <c r="G55" s="2198"/>
      <c r="H55" s="2331"/>
      <c r="I55" s="2306"/>
      <c r="J55" s="2158"/>
      <c r="K55" s="2158"/>
      <c r="L55" s="2158"/>
      <c r="M55" s="2307"/>
      <c r="N55" s="2307"/>
      <c r="O55" s="2307"/>
      <c r="P55" s="2307"/>
      <c r="Q55" s="2307"/>
      <c r="R55" s="2307"/>
      <c r="S55" s="2307"/>
    </row>
    <row r="56" spans="1:19" x14ac:dyDescent="0.35">
      <c r="A56" s="2332"/>
      <c r="B56" s="121"/>
      <c r="C56" s="2211"/>
      <c r="D56" s="2285"/>
      <c r="E56" s="2341"/>
      <c r="F56" s="2342"/>
      <c r="G56" s="2198"/>
      <c r="H56" s="2331"/>
      <c r="I56" s="2306"/>
      <c r="J56" s="2331"/>
      <c r="K56" s="2307"/>
      <c r="L56" s="2331"/>
      <c r="M56" s="2307"/>
      <c r="N56" s="2307"/>
      <c r="O56" s="2307"/>
      <c r="P56" s="2307"/>
      <c r="Q56" s="2307"/>
      <c r="R56" s="2307"/>
      <c r="S56" s="2307"/>
    </row>
    <row r="57" spans="1:19" x14ac:dyDescent="0.35">
      <c r="A57" s="2332"/>
      <c r="B57" s="2343"/>
      <c r="C57" s="2211"/>
      <c r="D57" s="2285"/>
      <c r="E57" s="2285"/>
      <c r="F57" s="2285"/>
      <c r="G57" s="2198"/>
      <c r="H57" s="2331"/>
      <c r="I57" s="2306"/>
      <c r="J57" s="2331"/>
      <c r="K57" s="2307"/>
      <c r="L57" s="2331"/>
      <c r="M57" s="2307"/>
      <c r="N57" s="2307"/>
      <c r="O57" s="2307"/>
      <c r="P57" s="2307"/>
      <c r="Q57" s="2307"/>
      <c r="R57" s="2307"/>
      <c r="S57" s="2307"/>
    </row>
    <row r="58" spans="1:19" x14ac:dyDescent="0.35">
      <c r="A58" s="2332"/>
      <c r="B58" s="2343"/>
      <c r="C58" s="2211"/>
      <c r="D58" s="2285"/>
      <c r="E58" s="2285"/>
      <c r="F58" s="2285"/>
      <c r="G58" s="2198"/>
      <c r="H58" s="2331"/>
      <c r="I58" s="2307"/>
      <c r="J58" s="2158"/>
      <c r="K58" s="2307"/>
      <c r="L58" s="2331"/>
      <c r="M58" s="2307"/>
      <c r="N58" s="2307"/>
      <c r="O58" s="2307"/>
      <c r="P58" s="2307"/>
      <c r="Q58" s="2307"/>
      <c r="R58" s="2307"/>
      <c r="S58" s="2307"/>
    </row>
    <row r="59" spans="1:19" x14ac:dyDescent="0.35">
      <c r="A59" s="2332"/>
      <c r="B59" s="2234"/>
      <c r="C59" s="2211"/>
      <c r="D59" s="2285"/>
      <c r="E59" s="2285"/>
      <c r="F59" s="2285"/>
      <c r="G59" s="2198"/>
      <c r="H59" s="2331"/>
      <c r="I59" s="2307"/>
      <c r="J59" s="2331"/>
      <c r="K59" s="2307"/>
      <c r="L59" s="2331"/>
      <c r="M59" s="2307"/>
      <c r="N59" s="2307"/>
      <c r="O59" s="2307"/>
      <c r="P59" s="2307"/>
      <c r="Q59" s="2307"/>
      <c r="R59" s="2307"/>
      <c r="S59" s="2307"/>
    </row>
    <row r="60" spans="1:19" x14ac:dyDescent="0.35">
      <c r="A60" s="2332"/>
      <c r="B60" s="2235"/>
      <c r="C60" s="2211"/>
      <c r="D60" s="2285"/>
      <c r="E60" s="2285"/>
      <c r="F60" s="2285"/>
      <c r="G60" s="2198"/>
      <c r="H60" s="2331"/>
      <c r="I60" s="2307"/>
      <c r="J60" s="2331"/>
      <c r="K60" s="2307"/>
      <c r="L60" s="2331"/>
      <c r="M60" s="2307"/>
      <c r="N60" s="2307"/>
      <c r="O60" s="2307"/>
      <c r="P60" s="2307"/>
      <c r="Q60" s="2307"/>
      <c r="R60" s="2307"/>
      <c r="S60" s="2307"/>
    </row>
    <row r="61" spans="1:19" x14ac:dyDescent="0.35">
      <c r="A61" s="2332"/>
      <c r="B61" s="2235"/>
      <c r="C61" s="2211"/>
      <c r="D61" s="2285"/>
      <c r="E61" s="2285"/>
      <c r="F61" s="2285"/>
      <c r="G61" s="2198"/>
      <c r="H61" s="2331"/>
      <c r="I61" s="2306"/>
      <c r="J61" s="2331"/>
      <c r="K61" s="2306"/>
      <c r="L61" s="2307"/>
      <c r="M61" s="2306"/>
      <c r="N61" s="2307"/>
      <c r="O61" s="2306"/>
      <c r="P61" s="2307"/>
      <c r="Q61" s="2307"/>
      <c r="R61" s="2307"/>
      <c r="S61" s="2307"/>
    </row>
    <row r="62" spans="1:19" x14ac:dyDescent="0.35">
      <c r="A62" s="2332"/>
      <c r="B62" s="2235"/>
      <c r="C62" s="2211"/>
      <c r="D62" s="2285"/>
      <c r="E62" s="2285"/>
      <c r="F62" s="2285"/>
      <c r="G62" s="2198"/>
      <c r="H62" s="2331"/>
      <c r="I62" s="2306"/>
      <c r="J62" s="2331"/>
      <c r="K62" s="2306"/>
      <c r="L62" s="2307"/>
      <c r="M62" s="2306"/>
      <c r="N62" s="2307"/>
      <c r="O62" s="2306"/>
      <c r="P62" s="2307"/>
      <c r="Q62" s="2307"/>
      <c r="R62" s="2307"/>
      <c r="S62" s="2307"/>
    </row>
    <row r="63" spans="1:19" x14ac:dyDescent="0.35">
      <c r="A63" s="2332"/>
      <c r="B63" s="2235"/>
      <c r="C63" s="2211"/>
      <c r="D63" s="2285"/>
      <c r="E63" s="2285"/>
      <c r="F63" s="2285"/>
      <c r="G63" s="2198"/>
      <c r="H63" s="2331"/>
      <c r="I63" s="2306"/>
      <c r="J63" s="2331"/>
      <c r="K63" s="2306"/>
      <c r="L63" s="2307"/>
      <c r="M63" s="2306"/>
      <c r="N63" s="2307"/>
      <c r="O63" s="2306"/>
      <c r="P63" s="2307"/>
      <c r="Q63" s="2307"/>
      <c r="R63" s="2307"/>
      <c r="S63" s="2307"/>
    </row>
    <row r="64" spans="1:19" x14ac:dyDescent="0.35">
      <c r="A64" s="2332"/>
      <c r="B64" s="2235"/>
      <c r="C64" s="2211"/>
      <c r="D64" s="2285"/>
      <c r="E64" s="2285"/>
      <c r="F64" s="2285"/>
      <c r="G64" s="2198"/>
      <c r="H64" s="2331"/>
      <c r="I64" s="2306"/>
      <c r="J64" s="2331"/>
      <c r="K64" s="2306"/>
      <c r="L64" s="2307"/>
      <c r="M64" s="2306"/>
      <c r="N64" s="2307"/>
      <c r="O64" s="2306"/>
      <c r="P64" s="2307"/>
      <c r="Q64" s="2307"/>
      <c r="R64" s="2307"/>
      <c r="S64" s="2307"/>
    </row>
    <row r="65" spans="1:19" ht="15" thickBot="1" x14ac:dyDescent="0.4">
      <c r="A65" s="2332"/>
      <c r="B65" s="2235"/>
      <c r="C65" s="2211"/>
      <c r="D65" s="2285"/>
      <c r="E65" s="2285"/>
      <c r="F65" s="2285"/>
      <c r="G65" s="2198"/>
      <c r="H65" s="2331"/>
      <c r="I65" s="2306"/>
      <c r="J65" s="2331"/>
      <c r="K65" s="2306"/>
      <c r="L65" s="2307"/>
      <c r="M65" s="2306"/>
      <c r="N65" s="2307"/>
      <c r="O65" s="2306"/>
      <c r="P65" s="2307"/>
      <c r="Q65" s="2307"/>
      <c r="R65" s="2307"/>
      <c r="S65" s="2307"/>
    </row>
    <row r="66" spans="1:19" ht="15" thickTop="1" x14ac:dyDescent="0.35">
      <c r="A66" s="14"/>
      <c r="B66" s="15"/>
      <c r="C66" s="16"/>
      <c r="D66" s="16"/>
      <c r="E66" s="17"/>
      <c r="F66" s="18" t="s">
        <v>715</v>
      </c>
      <c r="G66" s="19"/>
      <c r="H66" s="20"/>
      <c r="I66" s="50">
        <f>SUM(I23:I65)</f>
        <v>0</v>
      </c>
      <c r="J66" s="20"/>
      <c r="K66" s="50">
        <f>SUM(K23:K65)</f>
        <v>0</v>
      </c>
      <c r="L66" s="20"/>
      <c r="M66" s="50">
        <f>SUM(M23:M65)</f>
        <v>0</v>
      </c>
      <c r="N66" s="20"/>
      <c r="O66" s="50">
        <f>SUM(O23:O65)</f>
        <v>0</v>
      </c>
      <c r="P66" s="20"/>
      <c r="Q66" s="50">
        <f>SUM(Q23:Q65)</f>
        <v>0</v>
      </c>
      <c r="R66" s="20"/>
      <c r="S66" s="50">
        <f>SUM(S23:S65)</f>
        <v>0</v>
      </c>
    </row>
    <row r="67" spans="1:19" x14ac:dyDescent="0.35">
      <c r="A67" s="2239"/>
      <c r="B67" s="2240"/>
      <c r="C67" s="2241"/>
      <c r="D67" s="2241"/>
      <c r="E67" s="2242"/>
      <c r="F67" s="2243" t="s">
        <v>716</v>
      </c>
      <c r="G67" s="2244"/>
      <c r="H67" s="2065">
        <v>0</v>
      </c>
      <c r="I67" s="2064"/>
      <c r="J67" s="2065">
        <v>0</v>
      </c>
      <c r="K67" s="2064"/>
      <c r="L67" s="2065">
        <v>0</v>
      </c>
      <c r="M67" s="2064"/>
      <c r="N67" s="2065">
        <v>0</v>
      </c>
      <c r="O67" s="2064"/>
      <c r="P67" s="2065">
        <v>0</v>
      </c>
      <c r="Q67" s="2064"/>
      <c r="R67" s="2065">
        <v>0</v>
      </c>
      <c r="S67" s="2064"/>
    </row>
    <row r="68" spans="1:19" x14ac:dyDescent="0.35">
      <c r="A68" s="2239"/>
      <c r="B68" s="2240"/>
      <c r="C68" s="2241"/>
      <c r="D68" s="2241"/>
      <c r="E68" s="2242"/>
      <c r="F68" s="2243" t="s">
        <v>717</v>
      </c>
      <c r="G68" s="2244"/>
      <c r="H68" s="2066"/>
      <c r="I68" s="2067">
        <f>H67*I66</f>
        <v>0</v>
      </c>
      <c r="J68" s="2066"/>
      <c r="K68" s="2067">
        <f>J67*K66</f>
        <v>0</v>
      </c>
      <c r="L68" s="2066"/>
      <c r="M68" s="2067">
        <f>L67*M66</f>
        <v>0</v>
      </c>
      <c r="N68" s="2066"/>
      <c r="O68" s="2067">
        <f>N67*O66</f>
        <v>0</v>
      </c>
      <c r="P68" s="2066"/>
      <c r="Q68" s="2067">
        <f>P67*Q66</f>
        <v>0</v>
      </c>
      <c r="R68" s="2066"/>
      <c r="S68" s="2067">
        <f>R67*S66</f>
        <v>0</v>
      </c>
    </row>
    <row r="69" spans="1:19" x14ac:dyDescent="0.35">
      <c r="A69" s="2239"/>
      <c r="B69" s="2240"/>
      <c r="C69" s="2241"/>
      <c r="D69" s="2241"/>
      <c r="E69" s="2242"/>
      <c r="F69" s="2243"/>
      <c r="G69" s="2244"/>
      <c r="H69" s="2066"/>
      <c r="I69" s="2068"/>
      <c r="J69" s="2066"/>
      <c r="K69" s="2068"/>
      <c r="L69" s="2066"/>
      <c r="M69" s="2068"/>
      <c r="N69" s="2066"/>
      <c r="O69" s="2068"/>
      <c r="P69" s="2066"/>
      <c r="Q69" s="2068"/>
      <c r="R69" s="2066"/>
      <c r="S69" s="2068"/>
    </row>
    <row r="70" spans="1:19" x14ac:dyDescent="0.35">
      <c r="A70" s="2239"/>
      <c r="B70" s="2240"/>
      <c r="C70" s="2241"/>
      <c r="D70" s="2241"/>
      <c r="E70" s="2242"/>
      <c r="F70" s="2243" t="s">
        <v>718</v>
      </c>
      <c r="G70" s="2244"/>
      <c r="H70" s="2069"/>
      <c r="I70" s="2070">
        <f>SUM(I66:I68)</f>
        <v>0</v>
      </c>
      <c r="J70" s="2069"/>
      <c r="K70" s="2070">
        <f>SUM(K66:K68)</f>
        <v>0</v>
      </c>
      <c r="L70" s="2069"/>
      <c r="M70" s="2070">
        <f>SUM(M66:M68)</f>
        <v>0</v>
      </c>
      <c r="N70" s="2069"/>
      <c r="O70" s="2070">
        <f>SUM(O66:O68)</f>
        <v>0</v>
      </c>
      <c r="P70" s="2069"/>
      <c r="Q70" s="2070">
        <f>SUM(Q66:Q68)</f>
        <v>0</v>
      </c>
      <c r="R70" s="2069"/>
      <c r="S70" s="2070">
        <f>SUM(S66:S68)</f>
        <v>0</v>
      </c>
    </row>
    <row r="71" spans="1:19" x14ac:dyDescent="0.35">
      <c r="A71" s="2239"/>
      <c r="B71" s="2240"/>
      <c r="C71" s="2241"/>
      <c r="D71" s="2241"/>
      <c r="E71" s="2242"/>
      <c r="F71" s="2255" t="s">
        <v>719</v>
      </c>
      <c r="G71" s="2256"/>
      <c r="H71" s="2073"/>
      <c r="I71" s="2074" t="e">
        <f>I70/#REF!</f>
        <v>#REF!</v>
      </c>
      <c r="J71" s="2073"/>
      <c r="K71" s="2074" t="e">
        <f>K70/#REF!</f>
        <v>#REF!</v>
      </c>
      <c r="L71" s="2073"/>
      <c r="M71" s="2074" t="e">
        <f>M70/#REF!</f>
        <v>#REF!</v>
      </c>
      <c r="N71" s="2073"/>
      <c r="O71" s="2074" t="e">
        <f>O70/#REF!</f>
        <v>#REF!</v>
      </c>
      <c r="P71" s="2073"/>
      <c r="Q71" s="2074" t="e">
        <f>Q70/#REF!</f>
        <v>#REF!</v>
      </c>
      <c r="R71" s="2073"/>
      <c r="S71" s="2074" t="e">
        <f>S70/#REF!</f>
        <v>#REF!</v>
      </c>
    </row>
    <row r="72" spans="1:19" x14ac:dyDescent="0.35">
      <c r="A72" s="2239"/>
      <c r="B72" s="2240"/>
      <c r="C72" s="2241"/>
      <c r="D72" s="2241"/>
      <c r="E72" s="2242"/>
      <c r="F72" s="2255" t="s">
        <v>720</v>
      </c>
      <c r="G72" s="2260"/>
      <c r="H72" s="2073"/>
      <c r="I72" s="2074" t="e">
        <f>I70/#REF!</f>
        <v>#REF!</v>
      </c>
      <c r="J72" s="2073"/>
      <c r="K72" s="2074" t="e">
        <f>K70/#REF!</f>
        <v>#REF!</v>
      </c>
      <c r="L72" s="2073"/>
      <c r="M72" s="2074" t="e">
        <f>M70/#REF!</f>
        <v>#REF!</v>
      </c>
      <c r="N72" s="2073"/>
      <c r="O72" s="2074" t="e">
        <f>O70/#REF!</f>
        <v>#REF!</v>
      </c>
      <c r="P72" s="2073"/>
      <c r="Q72" s="2074" t="e">
        <f>Q70/#REF!</f>
        <v>#REF!</v>
      </c>
      <c r="R72" s="2073"/>
      <c r="S72" s="2074" t="e">
        <f>S70/#REF!</f>
        <v>#REF!</v>
      </c>
    </row>
    <row r="73" spans="1:19" ht="15" thickBot="1" x14ac:dyDescent="0.4">
      <c r="A73" s="2239"/>
      <c r="B73" s="2240"/>
      <c r="C73" s="2241"/>
      <c r="D73" s="2241"/>
      <c r="E73" s="2242"/>
      <c r="F73" s="2243"/>
      <c r="G73" s="2261"/>
      <c r="H73" s="2077"/>
      <c r="I73" s="2078"/>
      <c r="J73" s="2077"/>
      <c r="K73" s="2078"/>
      <c r="L73" s="2077"/>
      <c r="M73" s="2078"/>
      <c r="N73" s="2077"/>
      <c r="O73" s="2078"/>
      <c r="P73" s="2079"/>
      <c r="Q73" s="2079"/>
      <c r="R73" s="2079"/>
      <c r="S73" s="2079"/>
    </row>
    <row r="74" spans="1:19" ht="15.5" thickTop="1" thickBot="1" x14ac:dyDescent="0.4">
      <c r="A74" s="3764" t="s">
        <v>721</v>
      </c>
      <c r="B74" s="3765"/>
      <c r="C74" s="12"/>
      <c r="D74" s="12"/>
      <c r="E74" s="12"/>
      <c r="F74" s="12"/>
      <c r="G74" s="43"/>
      <c r="H74" s="42"/>
      <c r="I74" s="21"/>
      <c r="J74" s="21"/>
      <c r="K74" s="21"/>
      <c r="L74" s="21"/>
      <c r="M74" s="21"/>
      <c r="N74" s="21"/>
      <c r="O74" s="21"/>
      <c r="P74" s="21"/>
      <c r="Q74" s="21"/>
      <c r="R74" s="21"/>
      <c r="S74" s="21"/>
    </row>
    <row r="75" spans="1:19" ht="15" thickTop="1" x14ac:dyDescent="0.35">
      <c r="A75" s="2345"/>
      <c r="B75" s="2284"/>
      <c r="C75" s="2346"/>
      <c r="D75" s="2346"/>
      <c r="E75" s="2346"/>
      <c r="F75" s="2346"/>
      <c r="G75" s="2347"/>
      <c r="H75" s="2348"/>
      <c r="I75" s="2323"/>
      <c r="J75" s="2323"/>
      <c r="K75" s="2323"/>
      <c r="L75" s="2323"/>
      <c r="M75" s="2323"/>
      <c r="N75" s="2323"/>
      <c r="O75" s="2323"/>
      <c r="P75" s="2323"/>
      <c r="Q75" s="2323"/>
      <c r="R75" s="2323"/>
      <c r="S75" s="2323"/>
    </row>
    <row r="76" spans="1:19" s="2" customFormat="1" x14ac:dyDescent="0.35">
      <c r="A76" s="2345"/>
      <c r="B76" s="2284"/>
      <c r="C76" s="2346"/>
      <c r="D76" s="2346"/>
      <c r="E76" s="2346"/>
      <c r="F76" s="2346"/>
      <c r="G76" s="2347"/>
      <c r="H76" s="2348"/>
      <c r="I76" s="2323"/>
      <c r="J76" s="2323"/>
      <c r="K76" s="2323"/>
      <c r="L76" s="2323"/>
      <c r="M76" s="2323"/>
      <c r="N76" s="2323"/>
      <c r="O76" s="2323"/>
      <c r="P76" s="2323"/>
      <c r="Q76" s="2323"/>
      <c r="R76" s="2323"/>
      <c r="S76" s="2323"/>
    </row>
    <row r="77" spans="1:19" s="2" customFormat="1" ht="15" thickBot="1" x14ac:dyDescent="0.4">
      <c r="A77" s="2345"/>
      <c r="B77" s="2284"/>
      <c r="C77" s="2346"/>
      <c r="D77" s="2346"/>
      <c r="E77" s="2346"/>
      <c r="F77" s="2346"/>
      <c r="G77" s="2347"/>
      <c r="H77" s="2348"/>
      <c r="I77" s="2323"/>
      <c r="J77" s="2323"/>
      <c r="K77" s="2323"/>
      <c r="L77" s="2323"/>
      <c r="M77" s="2323"/>
      <c r="N77" s="2323"/>
      <c r="O77" s="2323"/>
      <c r="P77" s="2323"/>
      <c r="Q77" s="2323"/>
      <c r="R77" s="2323"/>
      <c r="S77" s="2323"/>
    </row>
    <row r="78" spans="1:19" ht="15.5" thickTop="1" thickBot="1" x14ac:dyDescent="0.4">
      <c r="A78" s="3764" t="s">
        <v>722</v>
      </c>
      <c r="B78" s="3765"/>
      <c r="C78" s="12"/>
      <c r="D78" s="12"/>
      <c r="E78" s="12"/>
      <c r="F78" s="12"/>
      <c r="G78" s="43"/>
      <c r="H78" s="42"/>
      <c r="I78" s="21"/>
      <c r="J78" s="21"/>
      <c r="K78" s="21"/>
      <c r="L78" s="21"/>
      <c r="M78" s="21"/>
      <c r="N78" s="21"/>
      <c r="O78" s="21"/>
      <c r="P78" s="21"/>
      <c r="Q78" s="21"/>
      <c r="R78" s="21"/>
      <c r="S78" s="21"/>
    </row>
    <row r="79" spans="1:19" s="2" customFormat="1" ht="15" thickTop="1" x14ac:dyDescent="0.35">
      <c r="A79" s="2345"/>
      <c r="B79" s="2284"/>
      <c r="C79" s="2346"/>
      <c r="D79" s="2346"/>
      <c r="E79" s="2346"/>
      <c r="F79" s="2346"/>
      <c r="G79" s="2347"/>
      <c r="H79" s="2348"/>
      <c r="I79" s="2323"/>
      <c r="J79" s="2323"/>
      <c r="K79" s="2323"/>
      <c r="L79" s="2323"/>
      <c r="M79" s="2323"/>
      <c r="N79" s="2323"/>
      <c r="O79" s="2323"/>
      <c r="P79" s="2323"/>
      <c r="Q79" s="2323"/>
      <c r="R79" s="2323"/>
      <c r="S79" s="2323"/>
    </row>
    <row r="80" spans="1:19" s="2" customFormat="1" x14ac:dyDescent="0.35">
      <c r="A80" s="2345"/>
      <c r="B80" s="2284"/>
      <c r="C80" s="2346"/>
      <c r="D80" s="2346"/>
      <c r="E80" s="2346"/>
      <c r="F80" s="2346"/>
      <c r="G80" s="2347"/>
      <c r="H80" s="2348"/>
      <c r="I80" s="2323"/>
      <c r="J80" s="2323"/>
      <c r="K80" s="2323"/>
      <c r="L80" s="2323"/>
      <c r="M80" s="2323"/>
      <c r="N80" s="2323"/>
      <c r="O80" s="2323"/>
      <c r="P80" s="2323"/>
      <c r="Q80" s="2323"/>
      <c r="R80" s="2323"/>
      <c r="S80" s="2323"/>
    </row>
    <row r="81" spans="1:19" ht="15" thickBot="1" x14ac:dyDescent="0.4">
      <c r="A81" s="2345"/>
      <c r="B81" s="2284"/>
      <c r="C81" s="2346"/>
      <c r="D81" s="2346"/>
      <c r="E81" s="2346"/>
      <c r="F81" s="2346"/>
      <c r="G81" s="2347"/>
      <c r="H81" s="2348"/>
      <c r="I81" s="2323"/>
      <c r="J81" s="2323"/>
      <c r="K81" s="2323"/>
      <c r="L81" s="2323"/>
      <c r="M81" s="2323"/>
      <c r="N81" s="2323"/>
      <c r="O81" s="2323"/>
      <c r="P81" s="2323"/>
      <c r="Q81" s="2323"/>
      <c r="R81" s="2323"/>
      <c r="S81" s="2323"/>
    </row>
    <row r="82" spans="1:19" ht="15.5" thickTop="1" thickBot="1" x14ac:dyDescent="0.4">
      <c r="A82" s="3764" t="s">
        <v>723</v>
      </c>
      <c r="B82" s="3765"/>
      <c r="C82" s="12"/>
      <c r="D82" s="12"/>
      <c r="E82" s="12"/>
      <c r="F82" s="12"/>
      <c r="G82" s="43"/>
      <c r="H82" s="42"/>
      <c r="I82" s="21"/>
      <c r="J82" s="21"/>
      <c r="K82" s="21"/>
      <c r="L82" s="21"/>
      <c r="M82" s="21"/>
      <c r="N82" s="21"/>
      <c r="O82" s="21"/>
      <c r="P82" s="21"/>
      <c r="Q82" s="21"/>
      <c r="R82" s="21"/>
      <c r="S82" s="21"/>
    </row>
    <row r="83" spans="1:19" ht="15" thickTop="1" x14ac:dyDescent="0.35">
      <c r="A83" s="2345"/>
      <c r="B83" s="2284"/>
      <c r="C83" s="2346"/>
      <c r="D83" s="2346"/>
      <c r="E83" s="2346"/>
      <c r="F83" s="2346"/>
      <c r="G83" s="2347"/>
      <c r="H83" s="2348"/>
      <c r="I83" s="2323"/>
      <c r="J83" s="2323"/>
      <c r="K83" s="2323"/>
      <c r="L83" s="2323"/>
      <c r="M83" s="2323"/>
      <c r="N83" s="2323"/>
      <c r="O83" s="2323"/>
      <c r="P83" s="2323"/>
      <c r="Q83" s="2323"/>
      <c r="R83" s="2323"/>
      <c r="S83" s="2323"/>
    </row>
    <row r="84" spans="1:19" x14ac:dyDescent="0.35">
      <c r="A84" s="2286"/>
      <c r="B84" s="2284"/>
      <c r="C84" s="2285"/>
      <c r="D84" s="2285"/>
      <c r="E84" s="2285"/>
      <c r="F84" s="2285"/>
      <c r="G84" s="2349"/>
      <c r="H84" s="2268"/>
      <c r="I84" s="2081"/>
      <c r="J84" s="2081"/>
      <c r="K84" s="2081"/>
      <c r="L84" s="2081"/>
      <c r="M84" s="2081"/>
      <c r="N84" s="2081"/>
      <c r="O84" s="2081"/>
      <c r="P84" s="2081"/>
      <c r="Q84" s="2081"/>
      <c r="R84" s="2081"/>
      <c r="S84" s="2081"/>
    </row>
    <row r="85" spans="1:19" ht="15" thickBot="1" x14ac:dyDescent="0.4">
      <c r="A85" s="2269"/>
      <c r="B85" s="2270"/>
      <c r="C85" s="2285"/>
      <c r="D85" s="2285"/>
      <c r="E85" s="2285"/>
      <c r="F85" s="2285"/>
      <c r="G85" s="2349"/>
      <c r="H85" s="2272"/>
      <c r="I85" s="2084"/>
      <c r="J85" s="2084"/>
      <c r="K85" s="2084"/>
      <c r="L85" s="2084"/>
      <c r="M85" s="2084"/>
      <c r="N85" s="2084"/>
      <c r="O85" s="2084"/>
      <c r="P85" s="2084"/>
      <c r="Q85" s="2084"/>
      <c r="R85" s="2084"/>
      <c r="S85" s="2084"/>
    </row>
    <row r="86" spans="1:19" ht="15.5" thickTop="1" thickBot="1" x14ac:dyDescent="0.4">
      <c r="A86" s="3764" t="s">
        <v>724</v>
      </c>
      <c r="B86" s="3765"/>
      <c r="C86" s="12"/>
      <c r="D86" s="12"/>
      <c r="E86" s="12"/>
      <c r="F86" s="12"/>
      <c r="G86" s="43"/>
      <c r="H86" s="42"/>
      <c r="I86" s="21"/>
      <c r="J86" s="21"/>
      <c r="K86" s="21"/>
      <c r="L86" s="21"/>
      <c r="M86" s="21"/>
      <c r="N86" s="21"/>
      <c r="O86" s="21"/>
      <c r="P86" s="21"/>
      <c r="Q86" s="21"/>
      <c r="R86" s="21"/>
      <c r="S86" s="21"/>
    </row>
    <row r="87" spans="1:19" ht="15" thickTop="1" x14ac:dyDescent="0.35">
      <c r="A87" s="2324"/>
      <c r="B87" s="2325"/>
      <c r="C87" s="2346"/>
      <c r="D87" s="2346"/>
      <c r="E87" s="2346"/>
      <c r="F87" s="2346"/>
      <c r="G87" s="2347"/>
      <c r="H87" s="2348"/>
      <c r="I87" s="2323"/>
      <c r="J87" s="2323"/>
      <c r="K87" s="2323"/>
      <c r="L87" s="2323"/>
      <c r="M87" s="2323"/>
      <c r="N87" s="2323"/>
      <c r="O87" s="2323"/>
      <c r="P87" s="2323"/>
      <c r="Q87" s="2323"/>
      <c r="R87" s="2323"/>
      <c r="S87" s="2323"/>
    </row>
    <row r="88" spans="1:19" x14ac:dyDescent="0.35">
      <c r="A88" s="2269"/>
      <c r="B88" s="2270"/>
      <c r="C88" s="2285"/>
      <c r="D88" s="2285"/>
      <c r="E88" s="2285"/>
      <c r="F88" s="2285"/>
      <c r="G88" s="2349"/>
      <c r="H88" s="2274"/>
      <c r="I88" s="2087"/>
      <c r="J88" s="2087"/>
      <c r="K88" s="2087"/>
      <c r="L88" s="2087"/>
      <c r="M88" s="2087"/>
      <c r="N88" s="2087"/>
      <c r="O88" s="2087"/>
      <c r="P88" s="2087"/>
      <c r="Q88" s="2087"/>
      <c r="R88" s="2087"/>
      <c r="S88" s="2087"/>
    </row>
    <row r="89" spans="1:19" ht="15" thickBot="1" x14ac:dyDescent="0.4">
      <c r="A89" s="2269"/>
      <c r="B89" s="2270"/>
      <c r="C89" s="2285"/>
      <c r="D89" s="2285"/>
      <c r="E89" s="2285"/>
      <c r="F89" s="2285"/>
      <c r="G89" s="2349"/>
      <c r="H89" s="2274"/>
      <c r="I89" s="2087"/>
      <c r="J89" s="2087"/>
      <c r="K89" s="2087"/>
      <c r="L89" s="2087"/>
      <c r="M89" s="2087"/>
      <c r="N89" s="2087"/>
      <c r="O89" s="2087"/>
      <c r="P89" s="2087"/>
      <c r="Q89" s="2087"/>
      <c r="R89" s="2087"/>
      <c r="S89" s="2087"/>
    </row>
    <row r="90" spans="1:19" ht="15.5" thickTop="1" thickBot="1" x14ac:dyDescent="0.4">
      <c r="A90" s="3764" t="s">
        <v>725</v>
      </c>
      <c r="B90" s="3765"/>
      <c r="C90" s="12"/>
      <c r="D90" s="12"/>
      <c r="E90" s="12"/>
      <c r="F90" s="12"/>
      <c r="G90" s="43"/>
      <c r="H90" s="42"/>
      <c r="I90" s="21"/>
      <c r="J90" s="21"/>
      <c r="K90" s="21"/>
      <c r="L90" s="21"/>
      <c r="M90" s="21"/>
      <c r="N90" s="21"/>
      <c r="O90" s="21"/>
      <c r="P90" s="21"/>
      <c r="Q90" s="21"/>
      <c r="R90" s="21"/>
      <c r="S90" s="21"/>
    </row>
    <row r="91" spans="1:19" ht="15" thickTop="1" x14ac:dyDescent="0.35">
      <c r="A91" s="2286"/>
      <c r="B91" s="2284" t="s">
        <v>726</v>
      </c>
      <c r="C91" s="2285"/>
      <c r="D91" s="2285"/>
      <c r="E91" s="2285"/>
      <c r="F91" s="2285"/>
      <c r="G91" s="2349"/>
      <c r="H91" s="2274"/>
      <c r="I91" s="2087"/>
      <c r="J91" s="2087"/>
      <c r="K91" s="2087"/>
      <c r="L91" s="2087"/>
      <c r="M91" s="2087"/>
      <c r="N91" s="2087"/>
      <c r="O91" s="2087"/>
      <c r="P91" s="2087"/>
      <c r="Q91" s="2087"/>
      <c r="R91" s="2087"/>
      <c r="S91" s="2087"/>
    </row>
    <row r="92" spans="1:19" x14ac:dyDescent="0.35">
      <c r="A92" s="2286"/>
      <c r="B92" s="2284" t="s">
        <v>727</v>
      </c>
      <c r="C92" s="2285"/>
      <c r="D92" s="2285"/>
      <c r="E92" s="2285"/>
      <c r="F92" s="2285"/>
      <c r="G92" s="2349"/>
      <c r="H92" s="2274"/>
      <c r="I92" s="2087"/>
      <c r="J92" s="2087"/>
      <c r="K92" s="2087"/>
      <c r="L92" s="2087"/>
      <c r="M92" s="2087"/>
      <c r="N92" s="2087"/>
      <c r="O92" s="2087"/>
      <c r="P92" s="2087"/>
      <c r="Q92" s="2087"/>
      <c r="R92" s="2087"/>
      <c r="S92" s="2087"/>
    </row>
    <row r="93" spans="1:19" x14ac:dyDescent="0.35">
      <c r="A93" s="2286"/>
      <c r="B93" s="2284" t="s">
        <v>728</v>
      </c>
      <c r="C93" s="2285"/>
      <c r="D93" s="2285"/>
      <c r="E93" s="2285"/>
      <c r="F93" s="2285"/>
      <c r="G93" s="2349"/>
      <c r="H93" s="2274"/>
      <c r="I93" s="2087"/>
      <c r="J93" s="2087"/>
      <c r="K93" s="2087"/>
      <c r="L93" s="2087"/>
      <c r="M93" s="2087"/>
      <c r="N93" s="2087"/>
      <c r="O93" s="2087"/>
      <c r="P93" s="2087"/>
      <c r="Q93" s="2087"/>
      <c r="R93" s="2087"/>
      <c r="S93" s="2087"/>
    </row>
    <row r="94" spans="1:19" x14ac:dyDescent="0.35">
      <c r="A94" s="2286"/>
      <c r="B94" s="2284" t="s">
        <v>729</v>
      </c>
      <c r="C94" s="2285"/>
      <c r="D94" s="2285"/>
      <c r="E94" s="2285"/>
      <c r="F94" s="2285"/>
      <c r="G94" s="2349"/>
      <c r="H94" s="2274"/>
      <c r="I94" s="2087"/>
      <c r="J94" s="2087"/>
      <c r="K94" s="2087"/>
      <c r="L94" s="2087"/>
      <c r="M94" s="2087"/>
      <c r="N94" s="2087"/>
      <c r="O94" s="2087"/>
      <c r="P94" s="2087"/>
      <c r="Q94" s="2087"/>
      <c r="R94" s="2087"/>
      <c r="S94" s="2087"/>
    </row>
    <row r="95" spans="1:19" ht="15" thickBot="1" x14ac:dyDescent="0.4">
      <c r="A95" s="978"/>
      <c r="B95" s="939"/>
      <c r="C95" s="940"/>
      <c r="D95" s="940"/>
      <c r="E95" s="940"/>
      <c r="F95" s="940"/>
      <c r="G95" s="979"/>
      <c r="H95" s="980"/>
      <c r="I95" s="981"/>
      <c r="J95" s="981"/>
      <c r="K95" s="981"/>
      <c r="L95" s="981"/>
      <c r="M95" s="981"/>
      <c r="N95" s="981"/>
      <c r="O95" s="981"/>
      <c r="P95" s="981"/>
      <c r="Q95" s="981"/>
      <c r="R95" s="981"/>
      <c r="S95" s="981"/>
    </row>
    <row r="96" spans="1:19" ht="15.5" thickTop="1" thickBot="1" x14ac:dyDescent="0.4">
      <c r="A96" s="7" t="s">
        <v>730</v>
      </c>
      <c r="B96" s="8"/>
      <c r="C96" s="12"/>
      <c r="D96" s="12"/>
      <c r="E96" s="12"/>
      <c r="F96" s="12"/>
      <c r="G96" s="43"/>
      <c r="H96" s="42"/>
      <c r="I96" s="21"/>
      <c r="J96" s="21"/>
      <c r="K96" s="21"/>
      <c r="L96" s="21"/>
      <c r="M96" s="21"/>
      <c r="N96" s="21"/>
      <c r="O96" s="21"/>
      <c r="P96" s="21"/>
      <c r="Q96" s="21"/>
      <c r="R96" s="21"/>
      <c r="S96" s="21"/>
    </row>
    <row r="97" spans="1:19" ht="15" thickTop="1" x14ac:dyDescent="0.35">
      <c r="A97" s="2345"/>
      <c r="B97" s="2326" t="s">
        <v>731</v>
      </c>
      <c r="C97" s="2346"/>
      <c r="D97" s="2346"/>
      <c r="E97" s="2346"/>
      <c r="F97" s="2346"/>
      <c r="G97" s="2347"/>
      <c r="H97" s="2307"/>
      <c r="I97" s="2327"/>
      <c r="J97" s="2327"/>
      <c r="K97" s="2327"/>
      <c r="L97" s="2327"/>
      <c r="M97" s="2327"/>
      <c r="N97" s="2327"/>
      <c r="O97" s="2327"/>
      <c r="P97" s="2327"/>
      <c r="Q97" s="2327"/>
      <c r="R97" s="2327"/>
      <c r="S97" s="2327"/>
    </row>
    <row r="98" spans="1:19" x14ac:dyDescent="0.35">
      <c r="A98" s="2286"/>
      <c r="B98" s="2284" t="s">
        <v>732</v>
      </c>
      <c r="C98" s="2285"/>
      <c r="D98" s="2285"/>
      <c r="E98" s="2285"/>
      <c r="F98" s="2285"/>
      <c r="G98" s="2349"/>
      <c r="H98" s="2276"/>
      <c r="I98" s="2158"/>
      <c r="J98" s="2158"/>
      <c r="K98" s="2158"/>
      <c r="L98" s="2158"/>
      <c r="M98" s="2158"/>
      <c r="N98" s="2158"/>
      <c r="O98" s="2158"/>
      <c r="P98" s="2158"/>
      <c r="Q98" s="2158"/>
      <c r="R98" s="2158"/>
      <c r="S98" s="2158"/>
    </row>
    <row r="99" spans="1:19" ht="15" thickBot="1" x14ac:dyDescent="0.4">
      <c r="A99" s="2089"/>
      <c r="B99" s="2090" t="s">
        <v>733</v>
      </c>
      <c r="C99" s="2091"/>
      <c r="D99" s="2091"/>
      <c r="E99" s="2091"/>
      <c r="F99" s="2091"/>
      <c r="G99" s="2350"/>
      <c r="H99" s="2277"/>
      <c r="I99" s="2093"/>
      <c r="J99" s="2093"/>
      <c r="K99" s="2093"/>
      <c r="L99" s="2093"/>
      <c r="M99" s="2093"/>
      <c r="N99" s="2093"/>
      <c r="O99" s="2093"/>
      <c r="P99" s="2093"/>
      <c r="Q99" s="2093"/>
      <c r="R99" s="2093"/>
      <c r="S99" s="2093"/>
    </row>
    <row r="100" spans="1:19" ht="15.5" thickTop="1" thickBot="1" x14ac:dyDescent="0.4"/>
    <row r="101" spans="1:19" ht="15.5" thickTop="1" thickBot="1" x14ac:dyDescent="0.4">
      <c r="A101" s="78" t="s">
        <v>734</v>
      </c>
      <c r="B101" s="80"/>
    </row>
    <row r="102" spans="1:19" ht="15" thickTop="1" x14ac:dyDescent="0.35">
      <c r="A102" s="79" t="s">
        <v>632</v>
      </c>
      <c r="B102" s="2094"/>
    </row>
    <row r="103" spans="1:19" x14ac:dyDescent="0.35">
      <c r="A103" s="2279" t="s">
        <v>636</v>
      </c>
      <c r="B103" s="2094"/>
    </row>
    <row r="104" spans="1:19" x14ac:dyDescent="0.35">
      <c r="A104" s="2096" t="s">
        <v>639</v>
      </c>
      <c r="B104" s="2097"/>
    </row>
    <row r="105" spans="1:19" x14ac:dyDescent="0.35">
      <c r="A105" s="2096" t="s">
        <v>642</v>
      </c>
      <c r="B105" s="2159"/>
    </row>
    <row r="106" spans="1:19" ht="15" thickBot="1" x14ac:dyDescent="0.4">
      <c r="A106" s="2099" t="s">
        <v>735</v>
      </c>
      <c r="B106" s="2100"/>
    </row>
    <row r="107" spans="1:19" ht="15" thickTop="1" x14ac:dyDescent="0.35"/>
    <row r="108" spans="1:19" x14ac:dyDescent="0.35">
      <c r="A108" s="81"/>
      <c r="B108" s="1" t="s">
        <v>736</v>
      </c>
    </row>
    <row r="109" spans="1:19" x14ac:dyDescent="0.35">
      <c r="A109" s="82"/>
      <c r="B109" s="1" t="s">
        <v>737</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6875F7F9-888D-46E3-BF19-CB2E6CDB4CFF}"/>
  </hyperlink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CD6-FD37-49DF-8F2E-61FC8391B199}">
  <sheetPr>
    <tabColor rgb="FFFFC000"/>
  </sheetPr>
  <dimension ref="A1:W91"/>
  <sheetViews>
    <sheetView zoomScale="87" zoomScaleNormal="87" workbookViewId="0">
      <pane xSplit="2" ySplit="9" topLeftCell="G40" activePane="bottomRight" state="frozen"/>
      <selection pane="topRight" activeCell="C1" sqref="C1"/>
      <selection pane="bottomLeft" activeCell="A11" sqref="A11"/>
      <selection pane="bottomRight" activeCell="J29" sqref="J29:K31"/>
    </sheetView>
  </sheetViews>
  <sheetFormatPr defaultColWidth="9.1796875" defaultRowHeight="14.5" x14ac:dyDescent="0.35"/>
  <cols>
    <col min="1" max="1" width="11" customWidth="1"/>
    <col min="2" max="2" width="70.7265625" style="1" customWidth="1"/>
    <col min="3" max="3" width="10.81640625" style="2" bestFit="1" customWidth="1"/>
    <col min="4" max="4" width="9.8164062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6.7265625" style="2" customWidth="1"/>
    <col min="11" max="11" width="16.54296875" style="2" customWidth="1"/>
    <col min="12" max="12" width="7.453125" style="2" bestFit="1" customWidth="1"/>
    <col min="13" max="13" width="14.81640625" style="2" customWidth="1"/>
    <col min="15" max="15" width="21.26953125"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customWidth="1"/>
    <col min="23" max="23" width="14.81640625" style="2" customWidth="1"/>
  </cols>
  <sheetData>
    <row r="1" spans="1:23" x14ac:dyDescent="0.35">
      <c r="E1" s="152"/>
      <c r="F1" s="125"/>
      <c r="G1" s="123" t="s">
        <v>621</v>
      </c>
      <c r="N1" s="2"/>
      <c r="O1" s="2"/>
    </row>
    <row r="2" spans="1:23" ht="15.75" customHeight="1" thickBot="1" x14ac:dyDescent="0.4">
      <c r="E2" s="152"/>
      <c r="F2" s="122" t="s">
        <v>622</v>
      </c>
      <c r="G2" s="123" t="s">
        <v>451</v>
      </c>
      <c r="H2" s="3751"/>
      <c r="I2" s="3751"/>
      <c r="L2" s="3751"/>
      <c r="M2" s="3751"/>
      <c r="N2" s="3866"/>
      <c r="O2" s="3866"/>
      <c r="P2" s="3751"/>
      <c r="Q2" s="3751"/>
      <c r="R2" s="3751"/>
      <c r="S2" s="3751"/>
      <c r="T2" s="3751"/>
      <c r="U2" s="3751"/>
      <c r="V2" s="3866"/>
      <c r="W2" s="3866"/>
    </row>
    <row r="3" spans="1:23" ht="21" customHeight="1" thickBot="1" x14ac:dyDescent="0.4">
      <c r="B3" s="137" t="s">
        <v>623</v>
      </c>
      <c r="E3" s="152"/>
      <c r="F3" s="124" t="s">
        <v>624</v>
      </c>
      <c r="G3" s="123" t="s">
        <v>557</v>
      </c>
      <c r="H3" s="3754" t="s">
        <v>625</v>
      </c>
      <c r="I3" s="3755"/>
      <c r="J3" s="3772" t="s">
        <v>626</v>
      </c>
      <c r="K3" s="3773"/>
      <c r="L3" s="3754" t="s">
        <v>627</v>
      </c>
      <c r="M3" s="3755"/>
      <c r="N3" s="3754" t="s">
        <v>628</v>
      </c>
      <c r="O3" s="3755"/>
      <c r="P3" s="3754" t="s">
        <v>772</v>
      </c>
      <c r="Q3" s="3755"/>
      <c r="R3" s="3754" t="s">
        <v>773</v>
      </c>
      <c r="S3" s="3755"/>
      <c r="T3" s="3754" t="s">
        <v>1550</v>
      </c>
      <c r="U3" s="3755"/>
      <c r="V3" s="3754" t="s">
        <v>1678</v>
      </c>
      <c r="W3" s="3755"/>
    </row>
    <row r="4" spans="1:23" ht="15.75" customHeight="1" thickTop="1" x14ac:dyDescent="0.35">
      <c r="A4" s="3" t="s">
        <v>631</v>
      </c>
      <c r="B4" s="4" t="str">
        <f>'AREA CALC''s'!B4</f>
        <v>Alton Hilltop Gardens</v>
      </c>
      <c r="C4" s="5"/>
      <c r="D4" s="5"/>
      <c r="E4" s="5"/>
      <c r="F4" s="5"/>
      <c r="G4" s="6" t="s">
        <v>632</v>
      </c>
      <c r="H4" s="3898" t="s">
        <v>2200</v>
      </c>
      <c r="I4" s="3898"/>
      <c r="J4" s="3898" t="s">
        <v>2197</v>
      </c>
      <c r="K4" s="3898"/>
      <c r="L4" s="3898" t="s">
        <v>2646</v>
      </c>
      <c r="M4" s="3898"/>
      <c r="N4" s="3898" t="s">
        <v>4328</v>
      </c>
      <c r="O4" s="3898"/>
      <c r="P4" s="3898" t="s">
        <v>2199</v>
      </c>
      <c r="Q4" s="3898"/>
      <c r="R4" s="3752" t="s">
        <v>1554</v>
      </c>
      <c r="S4" s="3753"/>
      <c r="T4" s="3898" t="s">
        <v>2198</v>
      </c>
      <c r="U4" s="3898"/>
      <c r="V4" s="3898" t="s">
        <v>2201</v>
      </c>
      <c r="W4" s="3898"/>
    </row>
    <row r="5" spans="1:23" x14ac:dyDescent="0.35">
      <c r="A5" s="2283" t="s">
        <v>634</v>
      </c>
      <c r="B5" s="2284" t="s">
        <v>2647</v>
      </c>
      <c r="C5" s="2285"/>
      <c r="D5" s="2285"/>
      <c r="E5" s="2285"/>
      <c r="F5" s="2285"/>
      <c r="G5" s="2194" t="s">
        <v>636</v>
      </c>
      <c r="H5" s="3950" t="s">
        <v>2204</v>
      </c>
      <c r="I5" s="3950"/>
      <c r="J5" s="3950" t="s">
        <v>2202</v>
      </c>
      <c r="K5" s="3950"/>
      <c r="L5" s="3950" t="s">
        <v>2648</v>
      </c>
      <c r="M5" s="3950"/>
      <c r="N5" s="4062" t="s">
        <v>4331</v>
      </c>
      <c r="O5" s="4062"/>
      <c r="P5" s="3950" t="s">
        <v>1343</v>
      </c>
      <c r="Q5" s="3950"/>
      <c r="R5" s="3931" t="s">
        <v>1706</v>
      </c>
      <c r="S5" s="3932"/>
      <c r="T5" s="3950" t="s">
        <v>2203</v>
      </c>
      <c r="U5" s="3950"/>
      <c r="V5" s="3950" t="s">
        <v>2205</v>
      </c>
      <c r="W5" s="3950"/>
    </row>
    <row r="6" spans="1:23" x14ac:dyDescent="0.35">
      <c r="A6" s="2283" t="s">
        <v>638</v>
      </c>
      <c r="B6" s="2195" t="s">
        <v>519</v>
      </c>
      <c r="C6" s="2285"/>
      <c r="D6" s="2285"/>
      <c r="E6" s="2285"/>
      <c r="F6" s="2285"/>
      <c r="G6" s="2194" t="s">
        <v>639</v>
      </c>
      <c r="H6" s="3949" t="s">
        <v>2209</v>
      </c>
      <c r="I6" s="3949"/>
      <c r="J6" s="3949" t="s">
        <v>2206</v>
      </c>
      <c r="K6" s="3949"/>
      <c r="L6" s="3949" t="s">
        <v>2649</v>
      </c>
      <c r="M6" s="3949"/>
      <c r="N6" s="4063" t="s">
        <v>4330</v>
      </c>
      <c r="O6" s="4063"/>
      <c r="P6" s="3949" t="s">
        <v>2208</v>
      </c>
      <c r="Q6" s="3949"/>
      <c r="R6" s="3937" t="s">
        <v>1718</v>
      </c>
      <c r="S6" s="3938"/>
      <c r="T6" s="3949" t="s">
        <v>2207</v>
      </c>
      <c r="U6" s="3949"/>
      <c r="V6" s="3949" t="s">
        <v>2210</v>
      </c>
      <c r="W6" s="3949"/>
    </row>
    <row r="7" spans="1:23" x14ac:dyDescent="0.35">
      <c r="A7" s="2283" t="s">
        <v>641</v>
      </c>
      <c r="B7" s="2196"/>
      <c r="C7" s="2285"/>
      <c r="D7" s="2285"/>
      <c r="E7" s="2285"/>
      <c r="F7" s="2285"/>
      <c r="G7" s="2194" t="s">
        <v>642</v>
      </c>
      <c r="H7" s="3951" t="s">
        <v>2214</v>
      </c>
      <c r="I7" s="3951"/>
      <c r="J7" s="3951" t="s">
        <v>2211</v>
      </c>
      <c r="K7" s="3951"/>
      <c r="L7" s="3951" t="s">
        <v>2650</v>
      </c>
      <c r="M7" s="3951"/>
      <c r="N7" s="4064" t="s">
        <v>4329</v>
      </c>
      <c r="O7" s="4064"/>
      <c r="P7" s="3951" t="s">
        <v>2213</v>
      </c>
      <c r="Q7" s="3951"/>
      <c r="R7" s="3853" t="s">
        <v>1730</v>
      </c>
      <c r="S7" s="3854"/>
      <c r="T7" s="3951" t="s">
        <v>2212</v>
      </c>
      <c r="U7" s="3951"/>
      <c r="V7" s="3951" t="s">
        <v>2215</v>
      </c>
      <c r="W7" s="3951"/>
    </row>
    <row r="8" spans="1:23" ht="15" thickBot="1" x14ac:dyDescent="0.4">
      <c r="A8" s="938" t="s">
        <v>644</v>
      </c>
      <c r="B8" s="939"/>
      <c r="C8" s="940"/>
      <c r="D8" s="940"/>
      <c r="E8" s="940"/>
      <c r="F8" s="940"/>
      <c r="G8" s="1024" t="s">
        <v>644</v>
      </c>
      <c r="H8" s="3945">
        <f>I52</f>
        <v>249550</v>
      </c>
      <c r="I8" s="3944"/>
      <c r="J8" s="3926">
        <f>K52</f>
        <v>254000</v>
      </c>
      <c r="K8" s="3927"/>
      <c r="L8" s="3945">
        <f>M52</f>
        <v>282370</v>
      </c>
      <c r="M8" s="3944"/>
      <c r="N8" s="4065">
        <f>O52</f>
        <v>284430</v>
      </c>
      <c r="O8" s="4066"/>
      <c r="P8" s="3945">
        <f>Q52</f>
        <v>317900</v>
      </c>
      <c r="Q8" s="3944"/>
      <c r="R8" s="3945">
        <f>S52</f>
        <v>355300</v>
      </c>
      <c r="S8" s="3944"/>
      <c r="T8" s="3945">
        <f>U52</f>
        <v>674743.05300000007</v>
      </c>
      <c r="U8" s="3944"/>
      <c r="V8" s="3945">
        <f>W52</f>
        <v>620592</v>
      </c>
      <c r="W8" s="3944"/>
    </row>
    <row r="9" spans="1:23"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row>
    <row r="10" spans="1:23" ht="15" hidden="1" thickTop="1" x14ac:dyDescent="0.35">
      <c r="A10" s="2286"/>
      <c r="B10" s="2328" t="s">
        <v>653</v>
      </c>
      <c r="C10" s="2285"/>
      <c r="D10" s="2285"/>
      <c r="E10" s="2285"/>
      <c r="F10" s="2285"/>
      <c r="G10" s="2198"/>
      <c r="H10" s="2107"/>
      <c r="I10" s="2107"/>
      <c r="J10" s="2107"/>
      <c r="K10" s="2107"/>
      <c r="L10" s="2107"/>
      <c r="M10" s="2107"/>
      <c r="N10" s="4042"/>
      <c r="O10" s="4042"/>
      <c r="P10" s="2107"/>
      <c r="Q10" s="2107"/>
      <c r="R10" s="2107"/>
      <c r="S10" s="2107"/>
      <c r="T10" s="2107"/>
      <c r="U10" s="2107"/>
      <c r="V10" s="2107"/>
      <c r="W10" s="2107"/>
    </row>
    <row r="11" spans="1:23" ht="15" hidden="1" thickTop="1" x14ac:dyDescent="0.35">
      <c r="A11" s="2286"/>
      <c r="B11" s="2284" t="e">
        <f>#REF!</f>
        <v>#REF!</v>
      </c>
      <c r="C11" s="2201" t="s">
        <v>654</v>
      </c>
      <c r="D11" s="2285"/>
      <c r="E11" s="2285"/>
      <c r="F11" s="2285"/>
      <c r="G11" s="2198"/>
      <c r="H11" s="2107"/>
      <c r="I11" s="2107"/>
      <c r="J11" s="2107"/>
      <c r="K11" s="2107"/>
      <c r="L11" s="2107"/>
      <c r="M11" s="2107"/>
      <c r="N11" s="4042"/>
      <c r="O11" s="4042"/>
      <c r="P11" s="2107"/>
      <c r="Q11" s="2107"/>
      <c r="R11" s="2107"/>
      <c r="S11" s="2107"/>
      <c r="T11" s="2107"/>
      <c r="U11" s="2107"/>
      <c r="V11" s="2107"/>
      <c r="W11" s="2107"/>
    </row>
    <row r="12" spans="1:23" ht="15" hidden="1" thickTop="1" x14ac:dyDescent="0.35">
      <c r="A12" s="2286"/>
      <c r="B12" s="2284" t="e">
        <f>#REF!</f>
        <v>#REF!</v>
      </c>
      <c r="C12" s="2201" t="s">
        <v>654</v>
      </c>
      <c r="D12" s="2285"/>
      <c r="E12" s="2285"/>
      <c r="F12" s="2285"/>
      <c r="G12" s="2198"/>
      <c r="H12" s="2107"/>
      <c r="I12" s="2107"/>
      <c r="J12" s="2107"/>
      <c r="K12" s="2107"/>
      <c r="L12" s="2107"/>
      <c r="M12" s="2107"/>
      <c r="N12" s="4042"/>
      <c r="O12" s="4042"/>
      <c r="P12" s="2107"/>
      <c r="Q12" s="2107"/>
      <c r="R12" s="2107"/>
      <c r="S12" s="2107"/>
      <c r="T12" s="2107"/>
      <c r="U12" s="2107"/>
      <c r="V12" s="2107"/>
      <c r="W12" s="2107"/>
    </row>
    <row r="13" spans="1:23" ht="15" hidden="1" thickTop="1" x14ac:dyDescent="0.35">
      <c r="A13" s="2286"/>
      <c r="B13" s="2284" t="e">
        <f>#REF!</f>
        <v>#REF!</v>
      </c>
      <c r="C13" s="2201" t="s">
        <v>654</v>
      </c>
      <c r="D13" s="2285"/>
      <c r="E13" s="2285"/>
      <c r="F13" s="2285"/>
      <c r="G13" s="2198"/>
      <c r="H13" s="2107"/>
      <c r="I13" s="2107"/>
      <c r="J13" s="2107"/>
      <c r="K13" s="2107"/>
      <c r="L13" s="2107"/>
      <c r="M13" s="2107"/>
      <c r="N13" s="4042"/>
      <c r="O13" s="4042"/>
      <c r="P13" s="2107"/>
      <c r="Q13" s="2107"/>
      <c r="R13" s="2107"/>
      <c r="S13" s="2107"/>
      <c r="T13" s="2107"/>
      <c r="U13" s="2107"/>
      <c r="V13" s="2107"/>
      <c r="W13" s="2107"/>
    </row>
    <row r="14" spans="1:23" ht="15" hidden="1" thickTop="1" x14ac:dyDescent="0.35">
      <c r="A14" s="2286"/>
      <c r="B14" s="2284" t="e">
        <f>#REF!</f>
        <v>#REF!</v>
      </c>
      <c r="C14" s="2201" t="s">
        <v>654</v>
      </c>
      <c r="D14" s="2285"/>
      <c r="E14" s="2285"/>
      <c r="F14" s="2285"/>
      <c r="G14" s="2198"/>
      <c r="H14" s="2107"/>
      <c r="I14" s="2107"/>
      <c r="J14" s="2107"/>
      <c r="K14" s="2107"/>
      <c r="L14" s="2107"/>
      <c r="M14" s="2107"/>
      <c r="N14" s="4042"/>
      <c r="O14" s="4042"/>
      <c r="P14" s="2107"/>
      <c r="Q14" s="2107"/>
      <c r="R14" s="2107"/>
      <c r="S14" s="2107"/>
      <c r="T14" s="2107"/>
      <c r="U14" s="2107"/>
      <c r="V14" s="2107"/>
      <c r="W14" s="2107"/>
    </row>
    <row r="15" spans="1:23" ht="15" hidden="1" thickTop="1" x14ac:dyDescent="0.35">
      <c r="A15" s="2286"/>
      <c r="B15" s="2284" t="e">
        <f>#REF!</f>
        <v>#REF!</v>
      </c>
      <c r="C15" s="2201" t="s">
        <v>654</v>
      </c>
      <c r="D15" s="2285"/>
      <c r="E15" s="2285"/>
      <c r="F15" s="2285"/>
      <c r="G15" s="2198"/>
      <c r="H15" s="2107"/>
      <c r="I15" s="2107"/>
      <c r="J15" s="2107"/>
      <c r="K15" s="2107"/>
      <c r="L15" s="2107"/>
      <c r="M15" s="2107"/>
      <c r="N15" s="4042"/>
      <c r="O15" s="4042"/>
      <c r="P15" s="2107"/>
      <c r="Q15" s="2107"/>
      <c r="R15" s="2107"/>
      <c r="S15" s="2107"/>
      <c r="T15" s="2107"/>
      <c r="U15" s="2107"/>
      <c r="V15" s="2107"/>
      <c r="W15" s="2107"/>
    </row>
    <row r="16" spans="1:23" ht="15" hidden="1" thickTop="1" x14ac:dyDescent="0.35">
      <c r="A16" s="2286"/>
      <c r="B16" s="2284" t="e">
        <f>#REF!</f>
        <v>#REF!</v>
      </c>
      <c r="C16" s="2201" t="s">
        <v>654</v>
      </c>
      <c r="D16" s="2285"/>
      <c r="E16" s="2285"/>
      <c r="F16" s="2285"/>
      <c r="G16" s="2198"/>
      <c r="H16" s="2107"/>
      <c r="I16" s="2107"/>
      <c r="J16" s="2107"/>
      <c r="K16" s="2107"/>
      <c r="L16" s="2107"/>
      <c r="M16" s="2107"/>
      <c r="N16" s="4042"/>
      <c r="O16" s="4042"/>
      <c r="P16" s="2107"/>
      <c r="Q16" s="2107"/>
      <c r="R16" s="2107"/>
      <c r="S16" s="2107"/>
      <c r="T16" s="2107"/>
      <c r="U16" s="2107"/>
      <c r="V16" s="2107"/>
      <c r="W16" s="2107"/>
    </row>
    <row r="17" spans="1:23" ht="15" hidden="1" thickTop="1" x14ac:dyDescent="0.35">
      <c r="A17" s="2286"/>
      <c r="B17" s="2284" t="e">
        <f>#REF!</f>
        <v>#REF!</v>
      </c>
      <c r="C17" s="2201" t="s">
        <v>654</v>
      </c>
      <c r="D17" s="2285"/>
      <c r="E17" s="2285"/>
      <c r="F17" s="2285"/>
      <c r="G17" s="2198"/>
      <c r="H17" s="2107"/>
      <c r="I17" s="2107"/>
      <c r="J17" s="2107"/>
      <c r="K17" s="2107"/>
      <c r="L17" s="2107"/>
      <c r="M17" s="2107"/>
      <c r="N17" s="4042"/>
      <c r="O17" s="4042"/>
      <c r="P17" s="2107"/>
      <c r="Q17" s="2107"/>
      <c r="R17" s="2107"/>
      <c r="S17" s="2107"/>
      <c r="T17" s="2107"/>
      <c r="U17" s="2107"/>
      <c r="V17" s="2107"/>
      <c r="W17" s="2107"/>
    </row>
    <row r="18" spans="1:23" ht="15" hidden="1" thickTop="1" x14ac:dyDescent="0.35">
      <c r="A18" s="2286"/>
      <c r="B18" s="2284" t="e">
        <f>#REF!</f>
        <v>#REF!</v>
      </c>
      <c r="C18" s="2201" t="s">
        <v>654</v>
      </c>
      <c r="D18" s="2285"/>
      <c r="E18" s="2285"/>
      <c r="F18" s="2285"/>
      <c r="G18" s="2198"/>
      <c r="H18" s="2107"/>
      <c r="I18" s="2107"/>
      <c r="J18" s="2107"/>
      <c r="K18" s="2107"/>
      <c r="L18" s="2107"/>
      <c r="M18" s="2107"/>
      <c r="N18" s="4042"/>
      <c r="O18" s="4042"/>
      <c r="P18" s="2107"/>
      <c r="Q18" s="2107"/>
      <c r="R18" s="2107"/>
      <c r="S18" s="2107"/>
      <c r="T18" s="2107"/>
      <c r="U18" s="2107"/>
      <c r="V18" s="2107"/>
      <c r="W18" s="2107"/>
    </row>
    <row r="19" spans="1:23" ht="15" hidden="1" thickTop="1" x14ac:dyDescent="0.35">
      <c r="A19" s="2286"/>
      <c r="B19" s="2284" t="e">
        <f>#REF!</f>
        <v>#REF!</v>
      </c>
      <c r="C19" s="2201" t="s">
        <v>654</v>
      </c>
      <c r="D19" s="2285"/>
      <c r="E19" s="2285"/>
      <c r="F19" s="2285"/>
      <c r="G19" s="2198"/>
      <c r="H19" s="2107"/>
      <c r="I19" s="2107"/>
      <c r="J19" s="2107"/>
      <c r="K19" s="2107"/>
      <c r="L19" s="2107"/>
      <c r="M19" s="2107"/>
      <c r="N19" s="4042"/>
      <c r="O19" s="4042"/>
      <c r="P19" s="2107"/>
      <c r="Q19" s="2107"/>
      <c r="R19" s="2107"/>
      <c r="S19" s="2107"/>
      <c r="T19" s="2107"/>
      <c r="U19" s="2107"/>
      <c r="V19" s="2107"/>
      <c r="W19" s="2107"/>
    </row>
    <row r="20" spans="1:23" ht="15" thickTop="1" x14ac:dyDescent="0.35">
      <c r="A20" s="2286"/>
      <c r="B20" s="2284"/>
      <c r="C20" s="2201"/>
      <c r="D20" s="2285"/>
      <c r="E20" s="2285"/>
      <c r="F20" s="2285"/>
      <c r="G20" s="2198"/>
      <c r="H20" s="2109"/>
      <c r="I20" s="2107"/>
      <c r="J20" s="2109"/>
      <c r="K20" s="2107"/>
      <c r="L20" s="2109"/>
      <c r="M20" s="2107"/>
      <c r="N20" s="4053"/>
      <c r="O20" s="4042"/>
      <c r="P20" s="2109"/>
      <c r="Q20" s="2107"/>
      <c r="R20" s="2109"/>
      <c r="S20" s="2107"/>
      <c r="T20" s="2109"/>
      <c r="U20" s="2107"/>
      <c r="V20" s="2109"/>
      <c r="W20" s="2107"/>
    </row>
    <row r="21" spans="1:23" ht="15" thickBot="1" x14ac:dyDescent="0.4">
      <c r="A21" s="2332"/>
      <c r="B21" s="2203" t="s">
        <v>2647</v>
      </c>
      <c r="C21" s="45"/>
      <c r="D21" s="46"/>
      <c r="E21" s="46"/>
      <c r="F21" s="46"/>
      <c r="G21" s="52"/>
      <c r="H21" s="2109"/>
      <c r="I21" s="2307"/>
      <c r="J21" s="2109"/>
      <c r="K21" s="2107"/>
      <c r="L21" s="2109"/>
      <c r="M21" s="2307"/>
      <c r="N21" s="4053"/>
      <c r="O21" s="4040"/>
      <c r="P21" s="2109"/>
      <c r="Q21" s="2307"/>
      <c r="R21" s="2109"/>
      <c r="S21" s="2307"/>
      <c r="T21" s="2109"/>
      <c r="U21" s="2307"/>
      <c r="V21" s="2109"/>
      <c r="W21" s="2306"/>
    </row>
    <row r="22" spans="1:23" x14ac:dyDescent="0.35">
      <c r="A22" s="2332"/>
      <c r="B22" s="606" t="s">
        <v>657</v>
      </c>
      <c r="C22" s="2201"/>
      <c r="D22" s="2285"/>
      <c r="E22" s="2285"/>
      <c r="F22" s="2285"/>
      <c r="G22" s="2198"/>
      <c r="H22" s="2109"/>
      <c r="I22" s="2307"/>
      <c r="J22" s="2109"/>
      <c r="K22" s="2158"/>
      <c r="L22" s="2109"/>
      <c r="M22" s="2307"/>
      <c r="N22" s="4053"/>
      <c r="O22" s="4040"/>
      <c r="P22" s="2109"/>
      <c r="Q22" s="2307"/>
      <c r="R22" s="2109"/>
      <c r="S22" s="2307"/>
      <c r="T22" s="2109"/>
      <c r="U22" s="2307"/>
      <c r="V22" s="2109"/>
      <c r="W22" s="2306"/>
    </row>
    <row r="23" spans="1:23" x14ac:dyDescent="0.35">
      <c r="A23" s="2329"/>
      <c r="B23" s="2351" t="s">
        <v>658</v>
      </c>
      <c r="C23" s="2201"/>
      <c r="D23" s="2285"/>
      <c r="E23" s="2285"/>
      <c r="F23" s="2285"/>
      <c r="G23" s="2198"/>
      <c r="H23" s="2109" t="s">
        <v>671</v>
      </c>
      <c r="I23" s="2307"/>
      <c r="J23" s="2109" t="s">
        <v>669</v>
      </c>
      <c r="K23" s="2352"/>
      <c r="L23" s="2109" t="s">
        <v>669</v>
      </c>
      <c r="M23" s="2307"/>
      <c r="N23" s="4053"/>
      <c r="O23" s="4040"/>
      <c r="P23" s="2109" t="s">
        <v>671</v>
      </c>
      <c r="Q23" s="2307"/>
      <c r="R23" s="2109" t="s">
        <v>671</v>
      </c>
      <c r="S23" s="2307"/>
      <c r="T23" s="2109" t="s">
        <v>671</v>
      </c>
      <c r="U23" s="2307"/>
      <c r="V23" s="2109"/>
      <c r="W23" s="2306"/>
    </row>
    <row r="24" spans="1:23" x14ac:dyDescent="0.35">
      <c r="A24" s="2332"/>
      <c r="B24" s="2351" t="s">
        <v>659</v>
      </c>
      <c r="C24" s="2208"/>
      <c r="D24" s="2285"/>
      <c r="E24" s="2285"/>
      <c r="F24" s="2285"/>
      <c r="G24" s="2198"/>
      <c r="H24" s="2109" t="s">
        <v>669</v>
      </c>
      <c r="I24" s="2307"/>
      <c r="J24" s="2109" t="s">
        <v>669</v>
      </c>
      <c r="K24" s="2353"/>
      <c r="L24" s="2109" t="s">
        <v>669</v>
      </c>
      <c r="M24" s="2307"/>
      <c r="N24" s="4053"/>
      <c r="O24" s="4040"/>
      <c r="P24" s="2109" t="s">
        <v>669</v>
      </c>
      <c r="Q24" s="2307"/>
      <c r="R24" s="2109" t="s">
        <v>669</v>
      </c>
      <c r="S24" s="2307"/>
      <c r="T24" s="2109" t="s">
        <v>669</v>
      </c>
      <c r="U24" s="2307"/>
      <c r="V24" s="2109"/>
      <c r="W24" s="2306"/>
    </row>
    <row r="25" spans="1:23" x14ac:dyDescent="0.35">
      <c r="A25" s="2332"/>
      <c r="B25" s="2333" t="s">
        <v>660</v>
      </c>
      <c r="C25" s="2208"/>
      <c r="D25" s="2285"/>
      <c r="E25" s="2285"/>
      <c r="F25" s="2285"/>
      <c r="G25" s="2198"/>
      <c r="H25" s="2109" t="s">
        <v>671</v>
      </c>
      <c r="I25" s="2307"/>
      <c r="J25" s="2109" t="s">
        <v>671</v>
      </c>
      <c r="K25" s="2353"/>
      <c r="L25" s="2109" t="s">
        <v>671</v>
      </c>
      <c r="M25" s="2307"/>
      <c r="N25" s="4053"/>
      <c r="O25" s="4040"/>
      <c r="P25" s="2109" t="s">
        <v>671</v>
      </c>
      <c r="Q25" s="2307"/>
      <c r="R25" s="2109" t="s">
        <v>671</v>
      </c>
      <c r="S25" s="2307"/>
      <c r="T25" s="2109" t="s">
        <v>671</v>
      </c>
      <c r="U25" s="2307"/>
      <c r="V25" s="2109"/>
      <c r="W25" s="2306"/>
    </row>
    <row r="26" spans="1:23" s="77" customFormat="1" x14ac:dyDescent="0.35">
      <c r="A26" s="2329"/>
      <c r="B26" s="2333" t="s">
        <v>661</v>
      </c>
      <c r="C26" s="2211"/>
      <c r="D26" s="2212"/>
      <c r="E26" s="2212"/>
      <c r="F26" s="2212"/>
      <c r="G26" s="2211"/>
      <c r="H26" s="2109" t="s">
        <v>669</v>
      </c>
      <c r="I26" s="2335"/>
      <c r="J26" s="2109" t="s">
        <v>669</v>
      </c>
      <c r="K26" s="2352"/>
      <c r="L26" s="2109" t="s">
        <v>669</v>
      </c>
      <c r="M26" s="2335"/>
      <c r="N26" s="4053"/>
      <c r="O26" s="4040"/>
      <c r="P26" s="2109" t="s">
        <v>669</v>
      </c>
      <c r="Q26" s="2335"/>
      <c r="R26" s="2109" t="s">
        <v>669</v>
      </c>
      <c r="S26" s="2335"/>
      <c r="T26" s="2109" t="s">
        <v>669</v>
      </c>
      <c r="U26" s="2335"/>
      <c r="V26" s="2109"/>
      <c r="W26" s="2306"/>
    </row>
    <row r="27" spans="1:23" s="77" customFormat="1" x14ac:dyDescent="0.35">
      <c r="A27" s="2329"/>
      <c r="B27" s="2333" t="s">
        <v>662</v>
      </c>
      <c r="C27" s="2211"/>
      <c r="D27" s="2212"/>
      <c r="E27" s="2212"/>
      <c r="F27" s="2212"/>
      <c r="G27" s="2211"/>
      <c r="H27" s="2109" t="s">
        <v>669</v>
      </c>
      <c r="I27" s="2335"/>
      <c r="J27" s="2109" t="s">
        <v>669</v>
      </c>
      <c r="K27" s="2352"/>
      <c r="L27" s="2109" t="s">
        <v>669</v>
      </c>
      <c r="M27" s="2335"/>
      <c r="N27" s="4053"/>
      <c r="O27" s="4040"/>
      <c r="P27" s="2109" t="s">
        <v>669</v>
      </c>
      <c r="Q27" s="2335"/>
      <c r="R27" s="2109" t="s">
        <v>669</v>
      </c>
      <c r="S27" s="2335"/>
      <c r="T27" s="2109" t="s">
        <v>669</v>
      </c>
      <c r="U27" s="2335"/>
      <c r="V27" s="2109"/>
      <c r="W27" s="2306"/>
    </row>
    <row r="28" spans="1:23" s="77" customFormat="1" x14ac:dyDescent="0.35">
      <c r="A28" s="2329"/>
      <c r="B28" s="2333" t="s">
        <v>663</v>
      </c>
      <c r="C28" s="2211"/>
      <c r="D28" s="2212"/>
      <c r="E28" s="2212"/>
      <c r="F28" s="2212"/>
      <c r="G28" s="2211"/>
      <c r="H28" s="2109" t="s">
        <v>669</v>
      </c>
      <c r="I28" s="2335"/>
      <c r="J28" s="2109" t="s">
        <v>669</v>
      </c>
      <c r="K28" s="2352"/>
      <c r="L28" s="2109" t="s">
        <v>669</v>
      </c>
      <c r="M28" s="2335"/>
      <c r="N28" s="4053"/>
      <c r="O28" s="4040"/>
      <c r="P28" s="2109" t="s">
        <v>669</v>
      </c>
      <c r="Q28" s="2335"/>
      <c r="R28" s="2109" t="s">
        <v>669</v>
      </c>
      <c r="S28" s="2335"/>
      <c r="T28" s="2109" t="s">
        <v>669</v>
      </c>
      <c r="U28" s="2335"/>
      <c r="V28" s="2109"/>
      <c r="W28" s="2306"/>
    </row>
    <row r="29" spans="1:23" s="77" customFormat="1" x14ac:dyDescent="0.35">
      <c r="A29" s="2329"/>
      <c r="B29" s="2333" t="s">
        <v>789</v>
      </c>
      <c r="C29" s="2211"/>
      <c r="D29" s="2212"/>
      <c r="E29" s="2212"/>
      <c r="F29" s="2212"/>
      <c r="G29" s="2211"/>
      <c r="H29" s="2109" t="s">
        <v>671</v>
      </c>
      <c r="I29" s="2335" t="s">
        <v>1008</v>
      </c>
      <c r="J29" s="2109" t="s">
        <v>671</v>
      </c>
      <c r="K29" s="2352" t="s">
        <v>1733</v>
      </c>
      <c r="L29" s="2109" t="s">
        <v>669</v>
      </c>
      <c r="M29" s="2335" t="s">
        <v>1099</v>
      </c>
      <c r="N29" s="4053"/>
      <c r="O29" s="4040"/>
      <c r="P29" s="2109" t="s">
        <v>671</v>
      </c>
      <c r="Q29" s="2335"/>
      <c r="R29" s="2109" t="s">
        <v>671</v>
      </c>
      <c r="S29" s="2335"/>
      <c r="T29" s="2109" t="s">
        <v>671</v>
      </c>
      <c r="U29" s="2335"/>
      <c r="V29" s="2109"/>
      <c r="W29" s="2306"/>
    </row>
    <row r="30" spans="1:23" s="77" customFormat="1" x14ac:dyDescent="0.35">
      <c r="A30" s="2329"/>
      <c r="B30" s="2333" t="s">
        <v>790</v>
      </c>
      <c r="C30" s="2211"/>
      <c r="D30" s="2212"/>
      <c r="E30" s="2212"/>
      <c r="F30" s="2212"/>
      <c r="G30" s="2211"/>
      <c r="H30" s="2109" t="s">
        <v>671</v>
      </c>
      <c r="I30" s="2335"/>
      <c r="J30" s="2109" t="s">
        <v>671</v>
      </c>
      <c r="K30" s="2352" t="s">
        <v>2620</v>
      </c>
      <c r="L30" s="2109" t="s">
        <v>669</v>
      </c>
      <c r="M30" s="2335" t="s">
        <v>2095</v>
      </c>
      <c r="N30" s="4053"/>
      <c r="O30" s="4040"/>
      <c r="P30" s="2109" t="s">
        <v>671</v>
      </c>
      <c r="Q30" s="2335"/>
      <c r="R30" s="2109" t="s">
        <v>671</v>
      </c>
      <c r="S30" s="2335"/>
      <c r="T30" s="2109" t="s">
        <v>671</v>
      </c>
      <c r="U30" s="2335"/>
      <c r="V30" s="2109"/>
      <c r="W30" s="2306"/>
    </row>
    <row r="31" spans="1:23" s="77" customFormat="1" x14ac:dyDescent="0.35">
      <c r="A31" s="2329"/>
      <c r="B31" s="2333" t="s">
        <v>791</v>
      </c>
      <c r="C31" s="2211"/>
      <c r="D31" s="2212"/>
      <c r="E31" s="2212"/>
      <c r="F31" s="2212"/>
      <c r="G31" s="2211"/>
      <c r="H31" s="2109" t="s">
        <v>671</v>
      </c>
      <c r="I31" s="2335"/>
      <c r="J31" s="2109" t="s">
        <v>671</v>
      </c>
      <c r="K31" s="2352" t="s">
        <v>2621</v>
      </c>
      <c r="L31" s="2109" t="s">
        <v>669</v>
      </c>
      <c r="M31" s="2335" t="s">
        <v>2651</v>
      </c>
      <c r="N31" s="4053"/>
      <c r="O31" s="4040"/>
      <c r="P31" s="2109" t="s">
        <v>671</v>
      </c>
      <c r="Q31" s="2335"/>
      <c r="R31" s="2109" t="s">
        <v>671</v>
      </c>
      <c r="S31" s="2335"/>
      <c r="T31" s="2109" t="s">
        <v>671</v>
      </c>
      <c r="U31" s="2335"/>
      <c r="V31" s="2109"/>
      <c r="W31" s="2352"/>
    </row>
    <row r="32" spans="1:23" s="77" customFormat="1" x14ac:dyDescent="0.35">
      <c r="A32" s="2329"/>
      <c r="B32" s="2336" t="s">
        <v>664</v>
      </c>
      <c r="C32" s="2211"/>
      <c r="D32" s="2212"/>
      <c r="E32" s="2212"/>
      <c r="F32" s="2212"/>
      <c r="G32" s="2211"/>
      <c r="H32" s="2109"/>
      <c r="I32" s="2335"/>
      <c r="J32" s="2109"/>
      <c r="K32" s="2352"/>
      <c r="L32" s="2109"/>
      <c r="M32" s="2335"/>
      <c r="N32" s="4053"/>
      <c r="O32" s="4040"/>
      <c r="P32" s="2109"/>
      <c r="Q32" s="2335"/>
      <c r="R32" s="2109"/>
      <c r="S32" s="2335"/>
      <c r="T32" s="2109"/>
      <c r="U32" s="2335"/>
      <c r="V32" s="2109"/>
      <c r="W32" s="2306"/>
    </row>
    <row r="33" spans="1:23" s="77" customFormat="1" x14ac:dyDescent="0.35">
      <c r="A33" s="2329"/>
      <c r="B33" s="2337" t="s">
        <v>665</v>
      </c>
      <c r="C33" s="2216"/>
      <c r="D33" s="2217"/>
      <c r="E33" s="2217"/>
      <c r="F33" s="2217"/>
      <c r="G33" s="2216"/>
      <c r="H33" s="2339"/>
      <c r="I33" s="2339">
        <v>249550</v>
      </c>
      <c r="J33" s="2288"/>
      <c r="K33" s="2354">
        <v>254000</v>
      </c>
      <c r="L33" s="2289"/>
      <c r="M33" s="2339">
        <v>282370</v>
      </c>
      <c r="N33" s="4054"/>
      <c r="O33" s="4032">
        <v>284430</v>
      </c>
      <c r="P33" s="2339"/>
      <c r="Q33" s="2339">
        <v>317900</v>
      </c>
      <c r="R33" s="2289"/>
      <c r="S33" s="2339">
        <v>355300</v>
      </c>
      <c r="T33" s="2339"/>
      <c r="U33" s="2339">
        <f>86696.27*3+131204.31*2+114052.62</f>
        <v>636550.05000000005</v>
      </c>
      <c r="V33" s="2288"/>
      <c r="W33" s="2339">
        <v>620592</v>
      </c>
    </row>
    <row r="34" spans="1:23" s="77" customFormat="1" x14ac:dyDescent="0.35">
      <c r="A34" s="2329"/>
      <c r="B34" s="121" t="s">
        <v>874</v>
      </c>
      <c r="C34" s="2227"/>
      <c r="D34" s="2355"/>
      <c r="E34" s="2228"/>
      <c r="F34" s="2228"/>
      <c r="G34" s="2227"/>
      <c r="H34" s="2109"/>
      <c r="I34" s="2356"/>
      <c r="J34" s="2109"/>
      <c r="K34" s="2352"/>
      <c r="L34" s="2109"/>
      <c r="M34" s="2356"/>
      <c r="N34" s="4053"/>
      <c r="O34" s="4040"/>
      <c r="P34" s="2109"/>
      <c r="Q34" s="2356"/>
      <c r="R34" s="2109"/>
      <c r="S34" s="2356"/>
      <c r="T34" s="2109"/>
      <c r="U34" s="2356"/>
      <c r="V34" s="2109"/>
      <c r="W34" s="2306"/>
    </row>
    <row r="35" spans="1:23" s="77" customFormat="1" x14ac:dyDescent="0.35">
      <c r="A35" s="2329"/>
      <c r="B35" s="2340"/>
      <c r="C35" s="2211"/>
      <c r="D35" s="2357"/>
      <c r="E35" s="2212"/>
      <c r="F35" s="2212"/>
      <c r="G35" s="2211"/>
      <c r="H35" s="2109"/>
      <c r="I35" s="2335"/>
      <c r="J35" s="2109"/>
      <c r="K35" s="2352"/>
      <c r="L35" s="2109"/>
      <c r="M35" s="2335"/>
      <c r="N35" s="4053"/>
      <c r="O35" s="4040"/>
      <c r="P35" s="2109"/>
      <c r="Q35" s="2335"/>
      <c r="R35" s="2109"/>
      <c r="S35" s="2335"/>
      <c r="T35" s="2109"/>
      <c r="U35" s="2335"/>
      <c r="V35" s="2109"/>
      <c r="W35" s="2306"/>
    </row>
    <row r="36" spans="1:23" s="77" customFormat="1" x14ac:dyDescent="0.35">
      <c r="A36" s="2358"/>
      <c r="B36" s="2359" t="s">
        <v>2652</v>
      </c>
      <c r="C36" s="2236"/>
      <c r="D36" s="2357"/>
      <c r="E36" s="2212"/>
      <c r="F36" s="2212"/>
      <c r="G36" s="2211"/>
      <c r="H36" s="2109" t="s">
        <v>669</v>
      </c>
      <c r="I36" s="2335" t="s">
        <v>2653</v>
      </c>
      <c r="J36" s="2109" t="s">
        <v>669</v>
      </c>
      <c r="K36" s="2335" t="s">
        <v>2653</v>
      </c>
      <c r="L36" s="2109" t="s">
        <v>669</v>
      </c>
      <c r="M36" s="2335" t="s">
        <v>2653</v>
      </c>
      <c r="N36" s="4053" t="s">
        <v>669</v>
      </c>
      <c r="O36" s="4040"/>
      <c r="P36" s="2109" t="s">
        <v>669</v>
      </c>
      <c r="Q36" s="2335" t="s">
        <v>2653</v>
      </c>
      <c r="R36" s="2109" t="s">
        <v>669</v>
      </c>
      <c r="S36" s="2335"/>
      <c r="T36" s="2109" t="s">
        <v>669</v>
      </c>
      <c r="U36" s="2335" t="s">
        <v>2654</v>
      </c>
      <c r="V36" s="2109" t="s">
        <v>669</v>
      </c>
      <c r="W36" s="2306"/>
    </row>
    <row r="37" spans="1:23" s="77" customFormat="1" x14ac:dyDescent="0.35">
      <c r="A37" s="2358"/>
      <c r="B37" s="2360" t="s">
        <v>1212</v>
      </c>
      <c r="C37" s="2236"/>
      <c r="D37" s="2357"/>
      <c r="E37" s="2212"/>
      <c r="F37" s="2212"/>
      <c r="G37" s="2211"/>
      <c r="H37" s="2109" t="s">
        <v>669</v>
      </c>
      <c r="I37" s="2335"/>
      <c r="J37" s="2109" t="s">
        <v>669</v>
      </c>
      <c r="K37" s="2352"/>
      <c r="L37" s="2109" t="s">
        <v>669</v>
      </c>
      <c r="M37" s="2335"/>
      <c r="N37" s="4053" t="s">
        <v>669</v>
      </c>
      <c r="O37" s="4040"/>
      <c r="P37" s="2109" t="s">
        <v>669</v>
      </c>
      <c r="Q37" s="2335"/>
      <c r="R37" s="2109" t="s">
        <v>669</v>
      </c>
      <c r="S37" s="2335"/>
      <c r="T37" s="2109" t="s">
        <v>669</v>
      </c>
      <c r="U37" s="2335" t="s">
        <v>191</v>
      </c>
      <c r="V37" s="2109" t="s">
        <v>669</v>
      </c>
      <c r="W37" s="2306"/>
    </row>
    <row r="38" spans="1:23" s="77" customFormat="1" x14ac:dyDescent="0.35">
      <c r="A38" s="2358"/>
      <c r="B38" s="2360" t="s">
        <v>1220</v>
      </c>
      <c r="C38" s="2236"/>
      <c r="D38" s="2357"/>
      <c r="E38" s="2212"/>
      <c r="F38" s="2212"/>
      <c r="G38" s="2211"/>
      <c r="H38" s="2109" t="s">
        <v>669</v>
      </c>
      <c r="I38" s="2335"/>
      <c r="J38" s="2109" t="s">
        <v>669</v>
      </c>
      <c r="K38" s="2352"/>
      <c r="L38" s="2109" t="s">
        <v>669</v>
      </c>
      <c r="M38" s="2335"/>
      <c r="N38" s="4053" t="s">
        <v>669</v>
      </c>
      <c r="O38" s="4040"/>
      <c r="P38" s="2109" t="s">
        <v>669</v>
      </c>
      <c r="Q38" s="2335"/>
      <c r="R38" s="2109" t="s">
        <v>669</v>
      </c>
      <c r="S38" s="2335"/>
      <c r="T38" s="2109" t="s">
        <v>669</v>
      </c>
      <c r="U38" s="2335"/>
      <c r="V38" s="2109" t="s">
        <v>669</v>
      </c>
      <c r="W38" s="2306"/>
    </row>
    <row r="39" spans="1:23" s="77" customFormat="1" x14ac:dyDescent="0.35">
      <c r="A39" s="2358"/>
      <c r="B39" s="2360" t="s">
        <v>1226</v>
      </c>
      <c r="C39" s="2236"/>
      <c r="D39" s="2357"/>
      <c r="E39" s="2212"/>
      <c r="F39" s="2212"/>
      <c r="G39" s="2211"/>
      <c r="H39" s="2109" t="s">
        <v>669</v>
      </c>
      <c r="I39" s="2335"/>
      <c r="J39" s="2109" t="s">
        <v>669</v>
      </c>
      <c r="K39" s="2352"/>
      <c r="L39" s="2109" t="s">
        <v>669</v>
      </c>
      <c r="M39" s="2335"/>
      <c r="N39" s="4053" t="s">
        <v>669</v>
      </c>
      <c r="O39" s="4040"/>
      <c r="P39" s="2109" t="s">
        <v>669</v>
      </c>
      <c r="Q39" s="2335"/>
      <c r="R39" s="2109" t="s">
        <v>669</v>
      </c>
      <c r="S39" s="2335"/>
      <c r="T39" s="2109" t="s">
        <v>669</v>
      </c>
      <c r="U39" s="2335"/>
      <c r="V39" s="2109" t="s">
        <v>669</v>
      </c>
      <c r="W39" s="2306"/>
    </row>
    <row r="40" spans="1:23" s="77" customFormat="1" x14ac:dyDescent="0.35">
      <c r="A40" s="2358"/>
      <c r="B40" s="2360" t="s">
        <v>1231</v>
      </c>
      <c r="C40" s="2236"/>
      <c r="D40" s="2357"/>
      <c r="E40" s="2212"/>
      <c r="F40" s="2212"/>
      <c r="G40" s="2211"/>
      <c r="H40" s="2109" t="s">
        <v>669</v>
      </c>
      <c r="I40" s="2335"/>
      <c r="J40" s="2109" t="s">
        <v>669</v>
      </c>
      <c r="K40" s="2352"/>
      <c r="L40" s="2109" t="s">
        <v>669</v>
      </c>
      <c r="M40" s="2335"/>
      <c r="N40" s="4053" t="s">
        <v>669</v>
      </c>
      <c r="O40" s="4040"/>
      <c r="P40" s="2109" t="s">
        <v>669</v>
      </c>
      <c r="Q40" s="2335"/>
      <c r="R40" s="2109" t="s">
        <v>669</v>
      </c>
      <c r="S40" s="2335"/>
      <c r="T40" s="2109" t="s">
        <v>669</v>
      </c>
      <c r="U40" s="2335"/>
      <c r="V40" s="2109" t="s">
        <v>669</v>
      </c>
      <c r="W40" s="2306"/>
    </row>
    <row r="41" spans="1:23" s="77" customFormat="1" x14ac:dyDescent="0.35">
      <c r="A41" s="2358"/>
      <c r="B41" s="2360" t="s">
        <v>1240</v>
      </c>
      <c r="C41" s="2236"/>
      <c r="D41" s="2357"/>
      <c r="E41" s="2341"/>
      <c r="F41" s="2342"/>
      <c r="G41" s="2211"/>
      <c r="H41" s="2109" t="s">
        <v>669</v>
      </c>
      <c r="I41" s="2335"/>
      <c r="J41" s="2109" t="s">
        <v>669</v>
      </c>
      <c r="K41" s="2352"/>
      <c r="L41" s="2109" t="s">
        <v>669</v>
      </c>
      <c r="M41" s="2335"/>
      <c r="N41" s="4053" t="s">
        <v>669</v>
      </c>
      <c r="O41" s="4040"/>
      <c r="P41" s="2109" t="s">
        <v>669</v>
      </c>
      <c r="Q41" s="2335"/>
      <c r="R41" s="2109" t="s">
        <v>669</v>
      </c>
      <c r="S41" s="2335"/>
      <c r="T41" s="2109" t="s">
        <v>669</v>
      </c>
      <c r="U41" s="2335"/>
      <c r="V41" s="2109" t="s">
        <v>669</v>
      </c>
      <c r="W41" s="2306"/>
    </row>
    <row r="42" spans="1:23" s="77" customFormat="1" x14ac:dyDescent="0.35">
      <c r="A42" s="2358"/>
      <c r="B42" s="2360" t="s">
        <v>1245</v>
      </c>
      <c r="C42" s="2236"/>
      <c r="D42" s="2357"/>
      <c r="E42" s="2341"/>
      <c r="F42" s="2342"/>
      <c r="G42" s="2211"/>
      <c r="H42" s="2109" t="s">
        <v>669</v>
      </c>
      <c r="I42" s="2335"/>
      <c r="J42" s="2109" t="s">
        <v>669</v>
      </c>
      <c r="K42" s="2361"/>
      <c r="L42" s="2109" t="s">
        <v>669</v>
      </c>
      <c r="M42" s="2335"/>
      <c r="N42" s="4053" t="s">
        <v>669</v>
      </c>
      <c r="O42" s="4040"/>
      <c r="P42" s="2109" t="s">
        <v>669</v>
      </c>
      <c r="Q42" s="2335"/>
      <c r="R42" s="2109" t="s">
        <v>669</v>
      </c>
      <c r="S42" s="2335"/>
      <c r="T42" s="2109" t="s">
        <v>669</v>
      </c>
      <c r="U42" s="2335"/>
      <c r="V42" s="2109" t="s">
        <v>669</v>
      </c>
      <c r="W42" s="2306"/>
    </row>
    <row r="43" spans="1:23" s="77" customFormat="1" x14ac:dyDescent="0.35">
      <c r="A43" s="2358"/>
      <c r="B43" s="2340"/>
      <c r="C43" s="2236"/>
      <c r="D43" s="2357"/>
      <c r="E43" s="2341"/>
      <c r="F43" s="2342"/>
      <c r="G43" s="2211"/>
      <c r="H43" s="2109"/>
      <c r="I43" s="2335"/>
      <c r="J43" s="2109"/>
      <c r="K43" s="2335"/>
      <c r="L43" s="2109"/>
      <c r="M43" s="2335"/>
      <c r="N43" s="4053"/>
      <c r="O43" s="4040"/>
      <c r="P43" s="2109"/>
      <c r="Q43" s="2335"/>
      <c r="R43" s="2109"/>
      <c r="S43" s="2335"/>
      <c r="T43" s="2109"/>
      <c r="U43" s="2335"/>
      <c r="V43" s="2109"/>
      <c r="W43" s="2306"/>
    </row>
    <row r="44" spans="1:23" s="77" customFormat="1" ht="52.5" x14ac:dyDescent="0.35">
      <c r="A44" s="2358"/>
      <c r="B44" s="2362" t="s">
        <v>2655</v>
      </c>
      <c r="C44" s="2236" t="s">
        <v>2656</v>
      </c>
      <c r="D44" s="2357"/>
      <c r="E44" s="2341"/>
      <c r="F44" s="2342"/>
      <c r="G44" s="2211"/>
      <c r="H44" s="2109" t="s">
        <v>669</v>
      </c>
      <c r="I44" s="2363" t="s">
        <v>2658</v>
      </c>
      <c r="J44" s="2109" t="s">
        <v>669</v>
      </c>
      <c r="K44" s="2363" t="s">
        <v>2657</v>
      </c>
      <c r="L44" s="2109" t="s">
        <v>669</v>
      </c>
      <c r="M44" s="2363" t="s">
        <v>2657</v>
      </c>
      <c r="N44" s="4053" t="s">
        <v>669</v>
      </c>
      <c r="O44" s="4055" t="s">
        <v>2659</v>
      </c>
      <c r="P44" s="2109" t="s">
        <v>669</v>
      </c>
      <c r="Q44" s="2335"/>
      <c r="R44" s="2109" t="s">
        <v>669</v>
      </c>
      <c r="S44" s="2363" t="s">
        <v>2659</v>
      </c>
      <c r="T44" s="2109" t="s">
        <v>669</v>
      </c>
      <c r="U44" s="2363" t="s">
        <v>2659</v>
      </c>
      <c r="V44" s="2109" t="s">
        <v>669</v>
      </c>
      <c r="W44" s="2363" t="s">
        <v>2659</v>
      </c>
    </row>
    <row r="45" spans="1:23" s="77" customFormat="1" x14ac:dyDescent="0.35">
      <c r="A45" s="2358"/>
      <c r="B45" s="2362" t="s">
        <v>2660</v>
      </c>
      <c r="C45" s="2236" t="s">
        <v>1898</v>
      </c>
      <c r="D45" s="2357"/>
      <c r="E45" s="2341"/>
      <c r="F45" s="2342"/>
      <c r="G45" s="2211"/>
      <c r="H45" s="2109" t="s">
        <v>669</v>
      </c>
      <c r="I45" s="2335"/>
      <c r="J45" s="2109"/>
      <c r="K45" s="2361"/>
      <c r="L45" s="2109" t="s">
        <v>669</v>
      </c>
      <c r="M45" s="2335"/>
      <c r="N45" s="4053" t="s">
        <v>669</v>
      </c>
      <c r="O45" s="4031"/>
      <c r="P45" s="2109" t="s">
        <v>669</v>
      </c>
      <c r="Q45" s="2335"/>
      <c r="R45" s="2109" t="s">
        <v>669</v>
      </c>
      <c r="S45" s="2335"/>
      <c r="T45" s="2109" t="s">
        <v>669</v>
      </c>
      <c r="U45" s="2335"/>
      <c r="V45" s="2109" t="s">
        <v>669</v>
      </c>
      <c r="W45" s="2335"/>
    </row>
    <row r="46" spans="1:23" s="77" customFormat="1" x14ac:dyDescent="0.35">
      <c r="A46" s="2358"/>
      <c r="B46" s="121" t="s">
        <v>1125</v>
      </c>
      <c r="C46" s="2236"/>
      <c r="D46" s="2212"/>
      <c r="E46" s="2341"/>
      <c r="F46" s="2342"/>
      <c r="G46" s="2211"/>
      <c r="H46" s="2109" t="s">
        <v>669</v>
      </c>
      <c r="I46" s="2335"/>
      <c r="J46" s="2109" t="s">
        <v>669</v>
      </c>
      <c r="K46" s="2361"/>
      <c r="L46" s="2109" t="s">
        <v>669</v>
      </c>
      <c r="M46" s="2335"/>
      <c r="N46" s="4053" t="s">
        <v>669</v>
      </c>
      <c r="O46" s="4040"/>
      <c r="P46" s="2109" t="s">
        <v>669</v>
      </c>
      <c r="Q46" s="2335"/>
      <c r="R46" s="2109" t="s">
        <v>669</v>
      </c>
      <c r="S46" s="2335"/>
      <c r="T46" s="2109" t="s">
        <v>669</v>
      </c>
      <c r="U46" s="2335">
        <f>0.06*SUM(U33:U45)</f>
        <v>38193.003000000004</v>
      </c>
      <c r="V46" s="2109" t="s">
        <v>669</v>
      </c>
      <c r="W46" s="2306"/>
    </row>
    <row r="47" spans="1:23" s="77" customFormat="1" ht="15" thickBot="1" x14ac:dyDescent="0.4">
      <c r="A47" s="2358"/>
      <c r="B47" s="2340"/>
      <c r="C47" s="2236"/>
      <c r="D47" s="2212"/>
      <c r="E47" s="2341"/>
      <c r="F47" s="2342"/>
      <c r="G47" s="2211"/>
      <c r="H47" s="2109"/>
      <c r="I47" s="2335"/>
      <c r="J47" s="2109"/>
      <c r="K47" s="2335"/>
      <c r="L47" s="2109"/>
      <c r="M47" s="2335"/>
      <c r="N47" s="4053"/>
      <c r="O47" s="4040"/>
      <c r="P47" s="2109"/>
      <c r="Q47" s="2335"/>
      <c r="R47" s="2109"/>
      <c r="S47" s="2335"/>
      <c r="T47" s="2109"/>
      <c r="U47" s="2335"/>
      <c r="V47" s="2109"/>
      <c r="W47" s="2306"/>
    </row>
    <row r="48" spans="1:23" ht="15" thickTop="1" x14ac:dyDescent="0.35">
      <c r="A48" s="14"/>
      <c r="B48" s="15"/>
      <c r="C48" s="16"/>
      <c r="D48" s="16"/>
      <c r="E48" s="17"/>
      <c r="F48" s="18" t="s">
        <v>715</v>
      </c>
      <c r="G48" s="19"/>
      <c r="H48" s="20"/>
      <c r="I48" s="50">
        <f>SUM(I23:I47)</f>
        <v>249550</v>
      </c>
      <c r="J48" s="20"/>
      <c r="K48" s="50">
        <f>SUM(K23:K47)</f>
        <v>254000</v>
      </c>
      <c r="L48" s="20"/>
      <c r="M48" s="50">
        <f>SUM(M23:M47)</f>
        <v>282370</v>
      </c>
      <c r="N48" s="20"/>
      <c r="O48" s="50">
        <f>SUM(O23:O47)</f>
        <v>284430</v>
      </c>
      <c r="P48" s="20"/>
      <c r="Q48" s="50">
        <f>SUM(Q23:Q47)</f>
        <v>317900</v>
      </c>
      <c r="R48" s="20"/>
      <c r="S48" s="50">
        <f>SUM(S23:S47)</f>
        <v>355300</v>
      </c>
      <c r="T48" s="20"/>
      <c r="U48" s="50">
        <f>SUM(U23:U47)</f>
        <v>674743.05300000007</v>
      </c>
      <c r="V48" s="20"/>
      <c r="W48" s="50">
        <f>SUM(W23:W47)</f>
        <v>620592</v>
      </c>
    </row>
    <row r="49" spans="1:23" x14ac:dyDescent="0.35">
      <c r="A49" s="2239"/>
      <c r="B49" s="2240"/>
      <c r="C49" s="2241"/>
      <c r="D49" s="2241"/>
      <c r="E49" s="2242"/>
      <c r="F49" s="2243" t="s">
        <v>716</v>
      </c>
      <c r="G49" s="2244"/>
      <c r="H49" s="2065">
        <v>0</v>
      </c>
      <c r="I49" s="2064"/>
      <c r="J49" s="2065">
        <v>0</v>
      </c>
      <c r="K49" s="2064"/>
      <c r="L49" s="2065">
        <v>0</v>
      </c>
      <c r="M49" s="2064"/>
      <c r="N49" s="4056">
        <v>0</v>
      </c>
      <c r="O49" s="4043"/>
      <c r="P49" s="2065">
        <v>0</v>
      </c>
      <c r="Q49" s="2064"/>
      <c r="R49" s="2065">
        <v>0</v>
      </c>
      <c r="S49" s="2064"/>
      <c r="T49" s="2065">
        <v>0</v>
      </c>
      <c r="U49" s="2064"/>
      <c r="V49" s="2065">
        <v>0</v>
      </c>
      <c r="W49" s="2064"/>
    </row>
    <row r="50" spans="1:23" x14ac:dyDescent="0.35">
      <c r="A50" s="2239"/>
      <c r="B50" s="2240"/>
      <c r="C50" s="2241"/>
      <c r="D50" s="2241"/>
      <c r="E50" s="2242"/>
      <c r="F50" s="2243" t="s">
        <v>717</v>
      </c>
      <c r="G50" s="2244"/>
      <c r="H50" s="2066"/>
      <c r="I50" s="2067">
        <f>H49*I48</f>
        <v>0</v>
      </c>
      <c r="J50" s="2066"/>
      <c r="K50" s="2067">
        <f>J49*K48</f>
        <v>0</v>
      </c>
      <c r="L50" s="2066"/>
      <c r="M50" s="2067">
        <f>L49*M48</f>
        <v>0</v>
      </c>
      <c r="N50" s="4057"/>
      <c r="O50" s="4044">
        <f>N49*O48</f>
        <v>0</v>
      </c>
      <c r="P50" s="2066"/>
      <c r="Q50" s="2067">
        <f>P49*Q48</f>
        <v>0</v>
      </c>
      <c r="R50" s="2066"/>
      <c r="S50" s="2067">
        <f>R49*S48</f>
        <v>0</v>
      </c>
      <c r="T50" s="2066"/>
      <c r="U50" s="2067">
        <f>T49*U48</f>
        <v>0</v>
      </c>
      <c r="V50" s="2066"/>
      <c r="W50" s="2067">
        <f>V49*W48</f>
        <v>0</v>
      </c>
    </row>
    <row r="51" spans="1:23" x14ac:dyDescent="0.35">
      <c r="A51" s="2239"/>
      <c r="B51" s="2240"/>
      <c r="C51" s="2241"/>
      <c r="D51" s="2241"/>
      <c r="E51" s="2242"/>
      <c r="F51" s="2243"/>
      <c r="G51" s="2244"/>
      <c r="H51" s="2066"/>
      <c r="I51" s="2068"/>
      <c r="J51" s="2066"/>
      <c r="K51" s="2068"/>
      <c r="L51" s="2066"/>
      <c r="M51" s="2068"/>
      <c r="N51" s="4057"/>
      <c r="O51" s="4045"/>
      <c r="P51" s="2066"/>
      <c r="Q51" s="2068"/>
      <c r="R51" s="2066"/>
      <c r="S51" s="2068"/>
      <c r="T51" s="2066"/>
      <c r="U51" s="2068"/>
      <c r="V51" s="2066"/>
      <c r="W51" s="2068"/>
    </row>
    <row r="52" spans="1:23" x14ac:dyDescent="0.35">
      <c r="A52" s="2239"/>
      <c r="B52" s="2240"/>
      <c r="C52" s="2241"/>
      <c r="D52" s="2241"/>
      <c r="E52" s="2242"/>
      <c r="F52" s="2243" t="s">
        <v>718</v>
      </c>
      <c r="G52" s="2244"/>
      <c r="H52" s="2069"/>
      <c r="I52" s="2070">
        <f>SUM(I48:I50)</f>
        <v>249550</v>
      </c>
      <c r="J52" s="2069"/>
      <c r="K52" s="2070">
        <f>SUM(K48:K50)</f>
        <v>254000</v>
      </c>
      <c r="L52" s="2069"/>
      <c r="M52" s="2070">
        <f>SUM(M48:M50)</f>
        <v>282370</v>
      </c>
      <c r="N52" s="4058"/>
      <c r="O52" s="4046">
        <f>SUM(O48:O50)</f>
        <v>284430</v>
      </c>
      <c r="P52" s="2069"/>
      <c r="Q52" s="2070">
        <f>SUM(Q48:Q50)</f>
        <v>317900</v>
      </c>
      <c r="R52" s="2069"/>
      <c r="S52" s="2070">
        <f>SUM(S48:S50)</f>
        <v>355300</v>
      </c>
      <c r="T52" s="2069"/>
      <c r="U52" s="2070">
        <f>SUM(U48:U50)</f>
        <v>674743.05300000007</v>
      </c>
      <c r="V52" s="2069"/>
      <c r="W52" s="2070">
        <f>SUM(W48:W50)</f>
        <v>620592</v>
      </c>
    </row>
    <row r="53" spans="1:23" x14ac:dyDescent="0.35">
      <c r="A53" s="2239"/>
      <c r="B53" s="2240"/>
      <c r="C53" s="2241"/>
      <c r="D53" s="2241"/>
      <c r="E53" s="2242"/>
      <c r="F53" s="2255" t="s">
        <v>719</v>
      </c>
      <c r="G53" s="2256"/>
      <c r="H53" s="2073"/>
      <c r="I53" s="2074" t="e">
        <f>I52/#REF!</f>
        <v>#REF!</v>
      </c>
      <c r="J53" s="2073"/>
      <c r="K53" s="2074" t="e">
        <f>K52/#REF!</f>
        <v>#REF!</v>
      </c>
      <c r="L53" s="2073"/>
      <c r="M53" s="2074" t="e">
        <f>M52/#REF!</f>
        <v>#REF!</v>
      </c>
      <c r="N53" s="4059"/>
      <c r="O53" s="4047" t="e">
        <f>O52/#REF!</f>
        <v>#REF!</v>
      </c>
      <c r="P53" s="2073"/>
      <c r="Q53" s="2074" t="e">
        <f>Q52/#REF!</f>
        <v>#REF!</v>
      </c>
      <c r="R53" s="2073"/>
      <c r="S53" s="2074" t="e">
        <f>S52/#REF!</f>
        <v>#REF!</v>
      </c>
      <c r="T53" s="2073"/>
      <c r="U53" s="2074" t="e">
        <f>U52/#REF!</f>
        <v>#REF!</v>
      </c>
      <c r="V53" s="2073"/>
      <c r="W53" s="2074" t="e">
        <f>W52/#REF!</f>
        <v>#REF!</v>
      </c>
    </row>
    <row r="54" spans="1:23" x14ac:dyDescent="0.35">
      <c r="A54" s="2239"/>
      <c r="B54" s="2240"/>
      <c r="C54" s="2241"/>
      <c r="D54" s="2241"/>
      <c r="E54" s="2242"/>
      <c r="F54" s="2255" t="s">
        <v>720</v>
      </c>
      <c r="G54" s="2260"/>
      <c r="H54" s="2073"/>
      <c r="I54" s="2074" t="e">
        <f>I52/#REF!</f>
        <v>#REF!</v>
      </c>
      <c r="J54" s="2073"/>
      <c r="K54" s="2074" t="e">
        <f>K52/#REF!</f>
        <v>#REF!</v>
      </c>
      <c r="L54" s="2073"/>
      <c r="M54" s="2074" t="e">
        <f>M52/#REF!</f>
        <v>#REF!</v>
      </c>
      <c r="N54" s="4059"/>
      <c r="O54" s="4047" t="e">
        <f>O52/#REF!</f>
        <v>#REF!</v>
      </c>
      <c r="P54" s="2073"/>
      <c r="Q54" s="2074" t="e">
        <f>Q52/#REF!</f>
        <v>#REF!</v>
      </c>
      <c r="R54" s="2073"/>
      <c r="S54" s="2074" t="e">
        <f>S52/#REF!</f>
        <v>#REF!</v>
      </c>
      <c r="T54" s="2073"/>
      <c r="U54" s="2074" t="e">
        <f>U52/#REF!</f>
        <v>#REF!</v>
      </c>
      <c r="V54" s="2073"/>
      <c r="W54" s="2074" t="e">
        <f>W52/#REF!</f>
        <v>#REF!</v>
      </c>
    </row>
    <row r="55" spans="1:23" ht="15" thickBot="1" x14ac:dyDescent="0.4">
      <c r="A55" s="2239"/>
      <c r="B55" s="2240"/>
      <c r="C55" s="2241"/>
      <c r="D55" s="2241"/>
      <c r="E55" s="2242"/>
      <c r="F55" s="2243"/>
      <c r="G55" s="2261"/>
      <c r="H55" s="2079"/>
      <c r="I55" s="2079"/>
      <c r="J55" s="2079"/>
      <c r="K55" s="2079"/>
      <c r="L55" s="2079"/>
      <c r="M55" s="2079"/>
      <c r="N55" s="4060"/>
      <c r="O55" s="4061"/>
      <c r="P55" s="2079"/>
      <c r="Q55" s="2079"/>
      <c r="R55" s="2079"/>
      <c r="S55" s="2079"/>
      <c r="T55" s="2079"/>
      <c r="U55" s="2079"/>
      <c r="V55" s="2077"/>
      <c r="W55" s="2078"/>
    </row>
    <row r="56" spans="1:23" ht="15.5" thickTop="1" thickBot="1" x14ac:dyDescent="0.4">
      <c r="A56" s="3764" t="s">
        <v>721</v>
      </c>
      <c r="B56" s="3765"/>
      <c r="C56" s="12"/>
      <c r="D56" s="12"/>
      <c r="E56" s="12"/>
      <c r="F56" s="12"/>
      <c r="G56" s="13"/>
      <c r="H56" s="21"/>
      <c r="I56" s="21"/>
      <c r="J56" s="21"/>
      <c r="K56" s="21"/>
      <c r="L56" s="21"/>
      <c r="M56" s="21"/>
      <c r="N56" s="21"/>
      <c r="O56" s="21"/>
      <c r="P56" s="21"/>
      <c r="Q56" s="21"/>
      <c r="R56" s="21"/>
      <c r="S56" s="21"/>
      <c r="T56" s="21"/>
      <c r="U56" s="21"/>
      <c r="V56" s="21"/>
      <c r="W56" s="21"/>
    </row>
    <row r="57" spans="1:23" ht="15" thickTop="1" x14ac:dyDescent="0.35">
      <c r="A57" s="2364"/>
      <c r="B57" s="2284"/>
      <c r="C57" s="2365"/>
      <c r="D57" s="2365"/>
      <c r="E57" s="2365"/>
      <c r="F57" s="2365"/>
      <c r="G57" s="2366"/>
      <c r="H57" s="2367"/>
      <c r="I57" s="2367"/>
      <c r="J57" s="2367"/>
      <c r="K57" s="2367"/>
      <c r="L57" s="2367"/>
      <c r="M57" s="2367"/>
      <c r="N57" s="3543"/>
      <c r="O57" s="3543"/>
      <c r="P57" s="2367"/>
      <c r="Q57" s="2367"/>
      <c r="R57" s="2367"/>
      <c r="S57" s="2367"/>
      <c r="T57" s="2367"/>
      <c r="U57" s="2367"/>
      <c r="V57" s="2367"/>
      <c r="W57" s="2367"/>
    </row>
    <row r="58" spans="1:23" s="2" customFormat="1" x14ac:dyDescent="0.35">
      <c r="A58" s="2364"/>
      <c r="B58" s="2284"/>
      <c r="C58" s="2365"/>
      <c r="D58" s="2365"/>
      <c r="E58" s="2365"/>
      <c r="F58" s="2365"/>
      <c r="G58" s="2366"/>
      <c r="H58" s="2367"/>
      <c r="I58" s="2367"/>
      <c r="J58" s="2367"/>
      <c r="K58" s="2367"/>
      <c r="L58" s="2367"/>
      <c r="M58" s="2367"/>
      <c r="N58" s="3543"/>
      <c r="O58" s="3543"/>
      <c r="P58" s="2367"/>
      <c r="Q58" s="2367"/>
      <c r="R58" s="2367"/>
      <c r="S58" s="2367"/>
      <c r="T58" s="2367"/>
      <c r="U58" s="2367"/>
      <c r="V58" s="2367"/>
      <c r="W58" s="2367"/>
    </row>
    <row r="59" spans="1:23" s="2" customFormat="1" ht="15" thickBot="1" x14ac:dyDescent="0.4">
      <c r="A59" s="2364"/>
      <c r="B59" s="2284"/>
      <c r="C59" s="2365"/>
      <c r="D59" s="2365"/>
      <c r="E59" s="2365"/>
      <c r="F59" s="2365"/>
      <c r="G59" s="2366"/>
      <c r="H59" s="2367"/>
      <c r="I59" s="2367"/>
      <c r="J59" s="2367"/>
      <c r="K59" s="2367"/>
      <c r="L59" s="2367"/>
      <c r="M59" s="2367"/>
      <c r="N59" s="3543"/>
      <c r="O59" s="3543"/>
      <c r="P59" s="2367"/>
      <c r="Q59" s="2367"/>
      <c r="R59" s="2367"/>
      <c r="S59" s="2367"/>
      <c r="T59" s="2367"/>
      <c r="U59" s="2367"/>
      <c r="V59" s="2367"/>
      <c r="W59" s="2367"/>
    </row>
    <row r="60" spans="1:23" ht="15.5" thickTop="1" thickBot="1" x14ac:dyDescent="0.4">
      <c r="A60" s="3764" t="s">
        <v>722</v>
      </c>
      <c r="B60" s="3765"/>
      <c r="C60" s="12"/>
      <c r="D60" s="12"/>
      <c r="E60" s="12"/>
      <c r="F60" s="12"/>
      <c r="G60" s="13"/>
      <c r="H60" s="21"/>
      <c r="I60" s="21"/>
      <c r="J60" s="21"/>
      <c r="K60" s="21"/>
      <c r="L60" s="21"/>
      <c r="M60" s="21"/>
      <c r="N60" s="21"/>
      <c r="O60" s="21"/>
      <c r="P60" s="21"/>
      <c r="Q60" s="21"/>
      <c r="R60" s="21"/>
      <c r="S60" s="21"/>
      <c r="T60" s="21"/>
      <c r="U60" s="21"/>
      <c r="V60" s="21"/>
      <c r="W60" s="21"/>
    </row>
    <row r="61" spans="1:23" s="2" customFormat="1" ht="15" thickTop="1" x14ac:dyDescent="0.35">
      <c r="A61" s="2364"/>
      <c r="B61" s="2284"/>
      <c r="C61" s="2365"/>
      <c r="D61" s="2365"/>
      <c r="E61" s="2365"/>
      <c r="F61" s="2365"/>
      <c r="G61" s="2366"/>
      <c r="H61" s="2367"/>
      <c r="I61" s="2367"/>
      <c r="J61" s="2367"/>
      <c r="K61" s="2367"/>
      <c r="L61" s="2367"/>
      <c r="M61" s="2367"/>
      <c r="N61" s="3543"/>
      <c r="O61" s="3543"/>
      <c r="P61" s="2367"/>
      <c r="Q61" s="2367"/>
      <c r="R61" s="2367"/>
      <c r="S61" s="2367"/>
      <c r="T61" s="2367"/>
      <c r="U61" s="2367"/>
      <c r="V61" s="2367"/>
      <c r="W61" s="2367"/>
    </row>
    <row r="62" spans="1:23" s="2" customFormat="1" x14ac:dyDescent="0.35">
      <c r="A62" s="2364"/>
      <c r="B62" s="2284"/>
      <c r="C62" s="2365"/>
      <c r="D62" s="2365"/>
      <c r="E62" s="2365"/>
      <c r="F62" s="2365"/>
      <c r="G62" s="2366"/>
      <c r="H62" s="2367"/>
      <c r="I62" s="2367"/>
      <c r="J62" s="2367"/>
      <c r="K62" s="2367"/>
      <c r="L62" s="2367"/>
      <c r="M62" s="2367"/>
      <c r="N62" s="3543"/>
      <c r="O62" s="3543"/>
      <c r="P62" s="2367"/>
      <c r="Q62" s="2367"/>
      <c r="R62" s="2367"/>
      <c r="S62" s="2367"/>
      <c r="T62" s="2367"/>
      <c r="U62" s="2367"/>
      <c r="V62" s="2367"/>
      <c r="W62" s="2367"/>
    </row>
    <row r="63" spans="1:23" ht="15" thickBot="1" x14ac:dyDescent="0.4">
      <c r="A63" s="2364"/>
      <c r="B63" s="2284"/>
      <c r="C63" s="2365"/>
      <c r="D63" s="2365"/>
      <c r="E63" s="2365"/>
      <c r="F63" s="2365"/>
      <c r="G63" s="2366"/>
      <c r="H63" s="2367"/>
      <c r="I63" s="2367"/>
      <c r="J63" s="2367"/>
      <c r="K63" s="2367"/>
      <c r="L63" s="2367"/>
      <c r="M63" s="2367"/>
      <c r="N63" s="3543"/>
      <c r="O63" s="3543"/>
      <c r="P63" s="2367"/>
      <c r="Q63" s="2367"/>
      <c r="R63" s="2367"/>
      <c r="S63" s="2367"/>
      <c r="T63" s="2367"/>
      <c r="U63" s="2367"/>
      <c r="V63" s="2367"/>
      <c r="W63" s="2367"/>
    </row>
    <row r="64" spans="1:23" ht="15.5" thickTop="1" thickBot="1" x14ac:dyDescent="0.4">
      <c r="A64" s="3764" t="s">
        <v>723</v>
      </c>
      <c r="B64" s="3765"/>
      <c r="C64" s="12"/>
      <c r="D64" s="12"/>
      <c r="E64" s="12"/>
      <c r="F64" s="12"/>
      <c r="G64" s="13"/>
      <c r="H64" s="21"/>
      <c r="I64" s="21"/>
      <c r="J64" s="21"/>
      <c r="K64" s="21"/>
      <c r="L64" s="21"/>
      <c r="M64" s="21"/>
      <c r="N64" s="21"/>
      <c r="O64" s="21"/>
      <c r="P64" s="21"/>
      <c r="Q64" s="21"/>
      <c r="R64" s="21"/>
      <c r="S64" s="21"/>
      <c r="T64" s="21"/>
      <c r="U64" s="21"/>
      <c r="V64" s="21"/>
      <c r="W64" s="21"/>
    </row>
    <row r="65" spans="1:23" ht="15" thickTop="1" x14ac:dyDescent="0.35">
      <c r="A65" s="2364"/>
      <c r="B65" s="2284"/>
      <c r="C65" s="2365"/>
      <c r="D65" s="2365"/>
      <c r="E65" s="2365"/>
      <c r="F65" s="2365"/>
      <c r="G65" s="2366"/>
      <c r="H65" s="2367"/>
      <c r="I65" s="2367"/>
      <c r="J65" s="2367"/>
      <c r="K65" s="2367"/>
      <c r="L65" s="2367"/>
      <c r="M65" s="2367"/>
      <c r="N65" s="3543"/>
      <c r="O65" s="3543"/>
      <c r="P65" s="2367"/>
      <c r="Q65" s="2367"/>
      <c r="R65" s="2367"/>
      <c r="S65" s="2367"/>
      <c r="T65" s="2367"/>
      <c r="U65" s="2367"/>
      <c r="V65" s="2367"/>
      <c r="W65" s="2367"/>
    </row>
    <row r="66" spans="1:23" x14ac:dyDescent="0.35">
      <c r="A66" s="2286"/>
      <c r="B66" s="2284"/>
      <c r="C66" s="2285"/>
      <c r="D66" s="2285"/>
      <c r="E66" s="2285"/>
      <c r="F66" s="2285"/>
      <c r="G66" s="2198"/>
      <c r="H66" s="2081"/>
      <c r="I66" s="2081"/>
      <c r="J66" s="2081"/>
      <c r="K66" s="2081"/>
      <c r="L66" s="2081"/>
      <c r="M66" s="2081"/>
      <c r="N66" s="4048"/>
      <c r="O66" s="4048"/>
      <c r="P66" s="2081"/>
      <c r="Q66" s="2081"/>
      <c r="R66" s="2081"/>
      <c r="S66" s="2081"/>
      <c r="T66" s="2081"/>
      <c r="U66" s="2081"/>
      <c r="V66" s="2081"/>
      <c r="W66" s="2081"/>
    </row>
    <row r="67" spans="1:23" ht="15" thickBot="1" x14ac:dyDescent="0.4">
      <c r="A67" s="2269"/>
      <c r="B67" s="2270"/>
      <c r="C67" s="2285"/>
      <c r="D67" s="2285"/>
      <c r="E67" s="2285"/>
      <c r="F67" s="2285"/>
      <c r="G67" s="2198"/>
      <c r="H67" s="2084"/>
      <c r="I67" s="2084"/>
      <c r="J67" s="2084"/>
      <c r="K67" s="2084"/>
      <c r="L67" s="2084"/>
      <c r="M67" s="2084"/>
      <c r="N67" s="4049"/>
      <c r="O67" s="4049"/>
      <c r="P67" s="2084"/>
      <c r="Q67" s="2084"/>
      <c r="R67" s="2084"/>
      <c r="S67" s="2084"/>
      <c r="T67" s="2084"/>
      <c r="U67" s="2084"/>
      <c r="V67" s="2084"/>
      <c r="W67" s="2084"/>
    </row>
    <row r="68" spans="1:23" ht="15.5" thickTop="1" thickBot="1" x14ac:dyDescent="0.4">
      <c r="A68" s="3764" t="s">
        <v>724</v>
      </c>
      <c r="B68" s="3765"/>
      <c r="C68" s="12"/>
      <c r="D68" s="12"/>
      <c r="E68" s="12"/>
      <c r="F68" s="12"/>
      <c r="G68" s="13"/>
      <c r="H68" s="21"/>
      <c r="I68" s="21"/>
      <c r="J68" s="21"/>
      <c r="K68" s="21"/>
      <c r="L68" s="21"/>
      <c r="M68" s="21"/>
      <c r="N68" s="21"/>
      <c r="O68" s="21"/>
      <c r="P68" s="21"/>
      <c r="Q68" s="21"/>
      <c r="R68" s="21"/>
      <c r="S68" s="21"/>
      <c r="T68" s="21"/>
      <c r="U68" s="21"/>
      <c r="V68" s="21"/>
      <c r="W68" s="21"/>
    </row>
    <row r="69" spans="1:23" ht="15" thickTop="1" x14ac:dyDescent="0.35">
      <c r="A69" s="2368"/>
      <c r="B69" s="2369" t="s">
        <v>2661</v>
      </c>
      <c r="C69" s="2365"/>
      <c r="D69" s="2365"/>
      <c r="E69" s="2365"/>
      <c r="F69" s="2365"/>
      <c r="G69" s="2366"/>
      <c r="H69" s="2367"/>
      <c r="I69" s="2367"/>
      <c r="J69" s="2109"/>
      <c r="K69" s="2367"/>
      <c r="L69" s="2109" t="s">
        <v>669</v>
      </c>
      <c r="M69" s="2367">
        <f>261800-282370</f>
        <v>-20570</v>
      </c>
      <c r="N69" s="3543"/>
      <c r="O69" s="3543"/>
      <c r="P69" s="2367"/>
      <c r="Q69" s="2367"/>
      <c r="R69" s="2109" t="s">
        <v>669</v>
      </c>
      <c r="S69" s="2367">
        <f>295500-R8</f>
        <v>-59800</v>
      </c>
      <c r="T69" s="2367"/>
      <c r="U69" s="2367"/>
      <c r="V69" s="2367"/>
      <c r="W69" s="2367"/>
    </row>
    <row r="70" spans="1:23" x14ac:dyDescent="0.35">
      <c r="A70" s="2269"/>
      <c r="B70" s="2270"/>
      <c r="C70" s="2285"/>
      <c r="D70" s="2285"/>
      <c r="E70" s="2285"/>
      <c r="F70" s="2285"/>
      <c r="G70" s="2198"/>
      <c r="H70" s="2087"/>
      <c r="I70" s="2087"/>
      <c r="J70" s="2087"/>
      <c r="K70" s="2087"/>
      <c r="L70" s="2087"/>
      <c r="M70" s="2087"/>
      <c r="N70" s="4050"/>
      <c r="O70" s="4050"/>
      <c r="P70" s="2087"/>
      <c r="Q70" s="2087"/>
      <c r="R70" s="2087"/>
      <c r="S70" s="2087"/>
      <c r="T70" s="2087"/>
      <c r="U70" s="2087"/>
      <c r="V70" s="2087"/>
      <c r="W70" s="2087"/>
    </row>
    <row r="71" spans="1:23" ht="15" thickBot="1" x14ac:dyDescent="0.4">
      <c r="A71" s="2269"/>
      <c r="B71" s="2270"/>
      <c r="C71" s="2285"/>
      <c r="D71" s="2285"/>
      <c r="E71" s="2285"/>
      <c r="F71" s="2285"/>
      <c r="G71" s="2198"/>
      <c r="H71" s="2087"/>
      <c r="I71" s="2087"/>
      <c r="J71" s="2087"/>
      <c r="K71" s="2087"/>
      <c r="L71" s="2087"/>
      <c r="M71" s="2087"/>
      <c r="N71" s="4050"/>
      <c r="O71" s="4050"/>
      <c r="P71" s="2087"/>
      <c r="Q71" s="2087"/>
      <c r="R71" s="2087"/>
      <c r="S71" s="2087"/>
      <c r="T71" s="2087"/>
      <c r="U71" s="2087"/>
      <c r="V71" s="2087"/>
      <c r="W71" s="2087"/>
    </row>
    <row r="72" spans="1:23" ht="15.5" thickTop="1" thickBot="1" x14ac:dyDescent="0.4">
      <c r="A72" s="3764" t="s">
        <v>725</v>
      </c>
      <c r="B72" s="3765"/>
      <c r="C72" s="12"/>
      <c r="D72" s="12"/>
      <c r="E72" s="12"/>
      <c r="F72" s="12"/>
      <c r="G72" s="13"/>
      <c r="H72" s="21"/>
      <c r="I72" s="21"/>
      <c r="J72" s="21"/>
      <c r="K72" s="21"/>
      <c r="L72" s="21"/>
      <c r="M72" s="21"/>
      <c r="N72" s="21"/>
      <c r="O72" s="21"/>
      <c r="P72" s="21"/>
      <c r="Q72" s="21"/>
      <c r="R72" s="21"/>
      <c r="S72" s="21"/>
      <c r="T72" s="21"/>
      <c r="U72" s="21"/>
      <c r="V72" s="21"/>
      <c r="W72" s="21"/>
    </row>
    <row r="73" spans="1:23" ht="15" thickTop="1" x14ac:dyDescent="0.35">
      <c r="A73" s="2286"/>
      <c r="B73" s="2284" t="s">
        <v>726</v>
      </c>
      <c r="C73" s="2285"/>
      <c r="D73" s="2285"/>
      <c r="E73" s="2285"/>
      <c r="F73" s="2285"/>
      <c r="G73" s="2198"/>
      <c r="H73" s="2087"/>
      <c r="I73" s="2087"/>
      <c r="J73" s="2087"/>
      <c r="K73" s="2087"/>
      <c r="L73" s="2087"/>
      <c r="M73" s="2087"/>
      <c r="N73" s="4050"/>
      <c r="O73" s="4050"/>
      <c r="P73" s="2087"/>
      <c r="Q73" s="2087"/>
      <c r="R73" s="2087"/>
      <c r="S73" s="2087"/>
      <c r="T73" s="2087"/>
      <c r="U73" s="2087"/>
      <c r="V73" s="2087"/>
      <c r="W73" s="2087"/>
    </row>
    <row r="74" spans="1:23" x14ac:dyDescent="0.35">
      <c r="A74" s="2286"/>
      <c r="B74" s="2284" t="s">
        <v>727</v>
      </c>
      <c r="C74" s="2285"/>
      <c r="D74" s="2285"/>
      <c r="E74" s="2285"/>
      <c r="F74" s="2285"/>
      <c r="G74" s="2198"/>
      <c r="H74" s="2087"/>
      <c r="I74" s="2087"/>
      <c r="J74" s="2087"/>
      <c r="K74" s="2087"/>
      <c r="L74" s="2087"/>
      <c r="M74" s="2087"/>
      <c r="N74" s="4050"/>
      <c r="O74" s="4050"/>
      <c r="P74" s="2087"/>
      <c r="Q74" s="2087"/>
      <c r="R74" s="2087"/>
      <c r="S74" s="2087"/>
      <c r="T74" s="2087"/>
      <c r="U74" s="2087"/>
      <c r="V74" s="2087"/>
      <c r="W74" s="2087"/>
    </row>
    <row r="75" spans="1:23" x14ac:dyDescent="0.35">
      <c r="A75" s="2286"/>
      <c r="B75" s="2284" t="s">
        <v>728</v>
      </c>
      <c r="C75" s="2285"/>
      <c r="D75" s="2285"/>
      <c r="E75" s="2285"/>
      <c r="F75" s="2285"/>
      <c r="G75" s="2198"/>
      <c r="H75" s="2087"/>
      <c r="I75" s="2087"/>
      <c r="J75" s="2087"/>
      <c r="K75" s="2087"/>
      <c r="L75" s="2087"/>
      <c r="M75" s="2087"/>
      <c r="N75" s="4050"/>
      <c r="O75" s="4050"/>
      <c r="P75" s="2087"/>
      <c r="Q75" s="2087"/>
      <c r="R75" s="2087"/>
      <c r="S75" s="2087"/>
      <c r="T75" s="2087"/>
      <c r="U75" s="2087"/>
      <c r="V75" s="2087"/>
      <c r="W75" s="2087"/>
    </row>
    <row r="76" spans="1:23" x14ac:dyDescent="0.35">
      <c r="A76" s="2286"/>
      <c r="B76" s="2284" t="s">
        <v>729</v>
      </c>
      <c r="C76" s="2285"/>
      <c r="D76" s="2285"/>
      <c r="E76" s="2285"/>
      <c r="F76" s="2285"/>
      <c r="G76" s="2198"/>
      <c r="H76" s="2087"/>
      <c r="I76" s="2087"/>
      <c r="J76" s="2087"/>
      <c r="K76" s="2087"/>
      <c r="L76" s="2087"/>
      <c r="M76" s="2087"/>
      <c r="N76" s="4050"/>
      <c r="O76" s="4050"/>
      <c r="P76" s="2087"/>
      <c r="Q76" s="2087"/>
      <c r="R76" s="2087"/>
      <c r="S76" s="2087"/>
      <c r="T76" s="2087"/>
      <c r="U76" s="2087"/>
      <c r="V76" s="2087"/>
      <c r="W76" s="2087"/>
    </row>
    <row r="77" spans="1:23" ht="15" thickBot="1" x14ac:dyDescent="0.4">
      <c r="A77" s="978"/>
      <c r="B77" s="939"/>
      <c r="C77" s="940"/>
      <c r="D77" s="940"/>
      <c r="E77" s="940"/>
      <c r="F77" s="940"/>
      <c r="G77" s="1039"/>
      <c r="H77" s="981"/>
      <c r="I77" s="981"/>
      <c r="J77" s="981"/>
      <c r="K77" s="981"/>
      <c r="L77" s="981"/>
      <c r="M77" s="981"/>
      <c r="N77" s="981"/>
      <c r="O77" s="981"/>
      <c r="P77" s="981"/>
      <c r="Q77" s="981"/>
      <c r="R77" s="981"/>
      <c r="S77" s="981"/>
      <c r="T77" s="981"/>
      <c r="U77" s="981"/>
      <c r="V77" s="981"/>
      <c r="W77" s="981"/>
    </row>
    <row r="78" spans="1:23" ht="15.5" thickTop="1" thickBot="1" x14ac:dyDescent="0.4">
      <c r="A78" s="7" t="s">
        <v>730</v>
      </c>
      <c r="B78" s="8"/>
      <c r="C78" s="12"/>
      <c r="D78" s="12"/>
      <c r="E78" s="12"/>
      <c r="F78" s="12"/>
      <c r="G78" s="13"/>
      <c r="H78" s="21"/>
      <c r="I78" s="21"/>
      <c r="J78" s="21"/>
      <c r="K78" s="21"/>
      <c r="L78" s="21"/>
      <c r="M78" s="21"/>
      <c r="N78" s="21"/>
      <c r="O78" s="21"/>
      <c r="P78" s="21"/>
      <c r="Q78" s="21"/>
      <c r="R78" s="21"/>
      <c r="S78" s="21"/>
      <c r="T78" s="21"/>
      <c r="U78" s="21"/>
      <c r="V78" s="21"/>
      <c r="W78" s="21"/>
    </row>
    <row r="79" spans="1:23" ht="15" thickTop="1" x14ac:dyDescent="0.35">
      <c r="A79" s="2364"/>
      <c r="B79" s="2370" t="s">
        <v>731</v>
      </c>
      <c r="C79" s="2365"/>
      <c r="D79" s="2365"/>
      <c r="E79" s="2365"/>
      <c r="F79" s="2365"/>
      <c r="G79" s="2366"/>
      <c r="H79" s="2371"/>
      <c r="I79" s="2371"/>
      <c r="J79" s="2371"/>
      <c r="K79" s="2371"/>
      <c r="L79" s="2371"/>
      <c r="M79" s="2371"/>
      <c r="N79" s="3547"/>
      <c r="O79" s="3547"/>
      <c r="P79" s="2371"/>
      <c r="Q79" s="2371"/>
      <c r="R79" s="2371"/>
      <c r="S79" s="2371"/>
      <c r="T79" s="2371"/>
      <c r="U79" s="2371"/>
      <c r="V79" s="2371"/>
      <c r="W79" s="2371"/>
    </row>
    <row r="80" spans="1:23" x14ac:dyDescent="0.35">
      <c r="A80" s="2286"/>
      <c r="B80" s="2284" t="s">
        <v>732</v>
      </c>
      <c r="C80" s="2285"/>
      <c r="D80" s="2285"/>
      <c r="E80" s="2285"/>
      <c r="F80" s="2285"/>
      <c r="G80" s="2198"/>
      <c r="H80" s="2158"/>
      <c r="I80" s="2158"/>
      <c r="J80" s="2158"/>
      <c r="K80" s="2158"/>
      <c r="L80" s="2158"/>
      <c r="M80" s="2158"/>
      <c r="N80" s="4051"/>
      <c r="O80" s="4051"/>
      <c r="P80" s="2158"/>
      <c r="Q80" s="2158"/>
      <c r="R80" s="2158"/>
      <c r="S80" s="2158"/>
      <c r="T80" s="2158"/>
      <c r="U80" s="2158"/>
      <c r="V80" s="2158"/>
      <c r="W80" s="2158"/>
    </row>
    <row r="81" spans="1:23" ht="15" thickBot="1" x14ac:dyDescent="0.4">
      <c r="A81" s="2089"/>
      <c r="B81" s="2090" t="s">
        <v>733</v>
      </c>
      <c r="C81" s="2091"/>
      <c r="D81" s="2091"/>
      <c r="E81" s="2091"/>
      <c r="F81" s="2091"/>
      <c r="G81" s="2092"/>
      <c r="H81" s="2093"/>
      <c r="I81" s="2093"/>
      <c r="J81" s="2093"/>
      <c r="K81" s="2093"/>
      <c r="L81" s="2093"/>
      <c r="M81" s="2093"/>
      <c r="N81" s="4052"/>
      <c r="O81" s="4052"/>
      <c r="P81" s="2093"/>
      <c r="Q81" s="2093"/>
      <c r="R81" s="2093"/>
      <c r="S81" s="2093"/>
      <c r="T81" s="2093"/>
      <c r="U81" s="2093"/>
      <c r="V81" s="2093"/>
      <c r="W81" s="2093"/>
    </row>
    <row r="82" spans="1:23" ht="15.5" thickTop="1" thickBot="1" x14ac:dyDescent="0.4">
      <c r="N82" s="2"/>
      <c r="O82" s="2"/>
    </row>
    <row r="83" spans="1:23" ht="15.5" thickTop="1" thickBot="1" x14ac:dyDescent="0.4">
      <c r="A83" s="78" t="s">
        <v>734</v>
      </c>
      <c r="B83" s="80"/>
      <c r="N83" s="2"/>
      <c r="O83" s="2"/>
    </row>
    <row r="84" spans="1:23" ht="15" thickTop="1" x14ac:dyDescent="0.35">
      <c r="A84" s="79" t="s">
        <v>632</v>
      </c>
      <c r="B84" s="2094" t="str">
        <f>J4</f>
        <v>Confidentia International</v>
      </c>
      <c r="N84" s="2"/>
      <c r="O84" s="2"/>
    </row>
    <row r="85" spans="1:23" x14ac:dyDescent="0.35">
      <c r="A85" s="2279" t="s">
        <v>636</v>
      </c>
      <c r="B85" s="2094" t="str">
        <f>J5</f>
        <v>Mark Silva</v>
      </c>
      <c r="N85" s="2"/>
      <c r="O85" s="2"/>
    </row>
    <row r="86" spans="1:23" x14ac:dyDescent="0.35">
      <c r="A86" s="2096" t="s">
        <v>639</v>
      </c>
      <c r="B86" s="2097" t="str">
        <f>J6</f>
        <v>561-401-6666</v>
      </c>
      <c r="N86" s="2"/>
      <c r="O86" s="2"/>
    </row>
    <row r="87" spans="1:23" x14ac:dyDescent="0.35">
      <c r="A87" s="2096" t="s">
        <v>642</v>
      </c>
      <c r="B87" s="2159" t="str">
        <f>J7</f>
        <v>Mark Silva &lt;msilva@confidentiainternational.com&gt;</v>
      </c>
      <c r="N87" s="2"/>
      <c r="O87" s="2"/>
    </row>
    <row r="88" spans="1:23" ht="15" thickBot="1" x14ac:dyDescent="0.4">
      <c r="A88" s="2099" t="s">
        <v>735</v>
      </c>
      <c r="B88" s="2372">
        <f>J8</f>
        <v>254000</v>
      </c>
      <c r="N88" s="2"/>
      <c r="O88" s="2"/>
    </row>
    <row r="89" spans="1:23" ht="15" thickTop="1" x14ac:dyDescent="0.35">
      <c r="N89" s="2"/>
      <c r="O89" s="2"/>
    </row>
    <row r="90" spans="1:23" x14ac:dyDescent="0.35">
      <c r="A90" s="81"/>
      <c r="B90" s="1" t="s">
        <v>736</v>
      </c>
      <c r="N90" s="2"/>
      <c r="O90" s="2"/>
    </row>
    <row r="91" spans="1:23" x14ac:dyDescent="0.35">
      <c r="A91" s="82"/>
      <c r="B91" s="1" t="s">
        <v>737</v>
      </c>
      <c r="N91" s="2"/>
      <c r="O91" s="2"/>
    </row>
  </sheetData>
  <mergeCells count="60">
    <mergeCell ref="N7:O7"/>
    <mergeCell ref="N8:O8"/>
    <mergeCell ref="N2:O2"/>
    <mergeCell ref="N3:O3"/>
    <mergeCell ref="N4:O4"/>
    <mergeCell ref="N5:O5"/>
    <mergeCell ref="N6:O6"/>
    <mergeCell ref="A56:B56"/>
    <mergeCell ref="A60:B60"/>
    <mergeCell ref="A64:B64"/>
    <mergeCell ref="A68:B68"/>
    <mergeCell ref="A72:B72"/>
    <mergeCell ref="V8:W8"/>
    <mergeCell ref="L8:M8"/>
    <mergeCell ref="R8:S8"/>
    <mergeCell ref="T8:U8"/>
    <mergeCell ref="H8:I8"/>
    <mergeCell ref="V7:W7"/>
    <mergeCell ref="L7:M7"/>
    <mergeCell ref="R7:S7"/>
    <mergeCell ref="T7:U7"/>
    <mergeCell ref="H7:I7"/>
    <mergeCell ref="P7:Q7"/>
    <mergeCell ref="J8:K8"/>
    <mergeCell ref="P6:Q6"/>
    <mergeCell ref="V5:W5"/>
    <mergeCell ref="L5:M5"/>
    <mergeCell ref="R5:S5"/>
    <mergeCell ref="T5:U5"/>
    <mergeCell ref="H5:I5"/>
    <mergeCell ref="P5:Q5"/>
    <mergeCell ref="V6:W6"/>
    <mergeCell ref="L6:M6"/>
    <mergeCell ref="R6:S6"/>
    <mergeCell ref="T6:U6"/>
    <mergeCell ref="H6:I6"/>
    <mergeCell ref="J5:K5"/>
    <mergeCell ref="J6:K6"/>
    <mergeCell ref="P8:Q8"/>
    <mergeCell ref="L4:M4"/>
    <mergeCell ref="R4:S4"/>
    <mergeCell ref="T4:U4"/>
    <mergeCell ref="H4:I4"/>
    <mergeCell ref="J7:K7"/>
    <mergeCell ref="J3:K3"/>
    <mergeCell ref="J4:K4"/>
    <mergeCell ref="P2:Q2"/>
    <mergeCell ref="V2:W2"/>
    <mergeCell ref="L2:M2"/>
    <mergeCell ref="R2:S2"/>
    <mergeCell ref="T2:U2"/>
    <mergeCell ref="H2:I2"/>
    <mergeCell ref="P4:Q4"/>
    <mergeCell ref="V3:W3"/>
    <mergeCell ref="L3:M3"/>
    <mergeCell ref="R3:S3"/>
    <mergeCell ref="T3:U3"/>
    <mergeCell ref="H3:I3"/>
    <mergeCell ref="P3:Q3"/>
    <mergeCell ref="V4:W4"/>
  </mergeCells>
  <conditionalFormatting sqref="J20:J32">
    <cfRule type="cellIs" dxfId="1411" priority="19" operator="equal">
      <formula>"X"</formula>
    </cfRule>
    <cfRule type="cellIs" dxfId="1410" priority="20" operator="equal">
      <formula>"I"</formula>
    </cfRule>
  </conditionalFormatting>
  <conditionalFormatting sqref="J34:J47">
    <cfRule type="cellIs" dxfId="1409" priority="9" operator="equal">
      <formula>"X"</formula>
    </cfRule>
    <cfRule type="cellIs" dxfId="1408" priority="10" operator="equal">
      <formula>"I"</formula>
    </cfRule>
  </conditionalFormatting>
  <conditionalFormatting sqref="J69">
    <cfRule type="cellIs" dxfId="1407" priority="17" operator="equal">
      <formula>"X"</formula>
    </cfRule>
    <cfRule type="cellIs" dxfId="1406" priority="18" operator="equal">
      <formula>"I"</formula>
    </cfRule>
  </conditionalFormatting>
  <conditionalFormatting sqref="H20:H32">
    <cfRule type="cellIs" dxfId="1405" priority="35" operator="equal">
      <formula>"X"</formula>
    </cfRule>
    <cfRule type="cellIs" dxfId="1404" priority="36" operator="equal">
      <formula>"I"</formula>
    </cfRule>
  </conditionalFormatting>
  <conditionalFormatting sqref="H34:H47">
    <cfRule type="cellIs" dxfId="1403" priority="37" operator="equal">
      <formula>"X"</formula>
    </cfRule>
    <cfRule type="cellIs" dxfId="1402" priority="38" operator="equal">
      <formula>"I"</formula>
    </cfRule>
  </conditionalFormatting>
  <conditionalFormatting sqref="L20:L32">
    <cfRule type="cellIs" dxfId="1401" priority="67" operator="equal">
      <formula>"X"</formula>
    </cfRule>
    <cfRule type="cellIs" dxfId="1400" priority="68" operator="equal">
      <formula>"I"</formula>
    </cfRule>
  </conditionalFormatting>
  <conditionalFormatting sqref="L34:L47">
    <cfRule type="cellIs" dxfId="1399" priority="57" operator="equal">
      <formula>"X"</formula>
    </cfRule>
    <cfRule type="cellIs" dxfId="1398" priority="58" operator="equal">
      <formula>"I"</formula>
    </cfRule>
  </conditionalFormatting>
  <conditionalFormatting sqref="L69">
    <cfRule type="cellIs" dxfId="1397" priority="61" operator="equal">
      <formula>"X"</formula>
    </cfRule>
    <cfRule type="cellIs" dxfId="1396" priority="62" operator="equal">
      <formula>"I"</formula>
    </cfRule>
  </conditionalFormatting>
  <conditionalFormatting sqref="P20:P32">
    <cfRule type="cellIs" dxfId="1395" priority="31" operator="equal">
      <formula>"X"</formula>
    </cfRule>
    <cfRule type="cellIs" dxfId="1394" priority="32" operator="equal">
      <formula>"I"</formula>
    </cfRule>
  </conditionalFormatting>
  <conditionalFormatting sqref="P34:P47">
    <cfRule type="cellIs" dxfId="1393" priority="25" operator="equal">
      <formula>"X"</formula>
    </cfRule>
    <cfRule type="cellIs" dxfId="1392" priority="26" operator="equal">
      <formula>"I"</formula>
    </cfRule>
  </conditionalFormatting>
  <conditionalFormatting sqref="R20:R32">
    <cfRule type="cellIs" dxfId="1391" priority="59" operator="equal">
      <formula>"X"</formula>
    </cfRule>
    <cfRule type="cellIs" dxfId="1390" priority="60" operator="equal">
      <formula>"I"</formula>
    </cfRule>
  </conditionalFormatting>
  <conditionalFormatting sqref="R34:R47">
    <cfRule type="cellIs" dxfId="1389" priority="45" operator="equal">
      <formula>"X"</formula>
    </cfRule>
    <cfRule type="cellIs" dxfId="1388" priority="46" operator="equal">
      <formula>"I"</formula>
    </cfRule>
  </conditionalFormatting>
  <conditionalFormatting sqref="R69">
    <cfRule type="cellIs" dxfId="1387" priority="33" operator="equal">
      <formula>"X"</formula>
    </cfRule>
    <cfRule type="cellIs" dxfId="1386" priority="34" operator="equal">
      <formula>"I"</formula>
    </cfRule>
  </conditionalFormatting>
  <conditionalFormatting sqref="T20:T32">
    <cfRule type="cellIs" dxfId="1385" priority="51" operator="equal">
      <formula>"X"</formula>
    </cfRule>
    <cfRule type="cellIs" dxfId="1384" priority="52" operator="equal">
      <formula>"I"</formula>
    </cfRule>
  </conditionalFormatting>
  <conditionalFormatting sqref="T34:T47">
    <cfRule type="cellIs" dxfId="1383" priority="43" operator="equal">
      <formula>"X"</formula>
    </cfRule>
    <cfRule type="cellIs" dxfId="1382" priority="44" operator="equal">
      <formula>"I"</formula>
    </cfRule>
  </conditionalFormatting>
  <conditionalFormatting sqref="V20:V32">
    <cfRule type="cellIs" dxfId="1381" priority="83" operator="equal">
      <formula>"X"</formula>
    </cfRule>
    <cfRule type="cellIs" dxfId="1380" priority="84" operator="equal">
      <formula>"I"</formula>
    </cfRule>
  </conditionalFormatting>
  <conditionalFormatting sqref="V47 V34:V43">
    <cfRule type="cellIs" dxfId="1379" priority="71" operator="equal">
      <formula>"X"</formula>
    </cfRule>
    <cfRule type="cellIs" dxfId="1378" priority="72" operator="equal">
      <formula>"I"</formula>
    </cfRule>
  </conditionalFormatting>
  <conditionalFormatting sqref="V44:V46">
    <cfRule type="cellIs" dxfId="1377" priority="7" operator="equal">
      <formula>"X"</formula>
    </cfRule>
    <cfRule type="cellIs" dxfId="1376" priority="8" operator="equal">
      <formula>"I"</formula>
    </cfRule>
  </conditionalFormatting>
  <conditionalFormatting sqref="N20:N32">
    <cfRule type="cellIs" dxfId="1375" priority="5" operator="equal">
      <formula>"X"</formula>
    </cfRule>
    <cfRule type="cellIs" dxfId="1374" priority="6" operator="equal">
      <formula>"I"</formula>
    </cfRule>
  </conditionalFormatting>
  <conditionalFormatting sqref="N47 N34:N43">
    <cfRule type="cellIs" dxfId="1373" priority="3" operator="equal">
      <formula>"X"</formula>
    </cfRule>
    <cfRule type="cellIs" dxfId="1372" priority="4" operator="equal">
      <formula>"I"</formula>
    </cfRule>
  </conditionalFormatting>
  <conditionalFormatting sqref="N44:N46">
    <cfRule type="cellIs" dxfId="1371" priority="1" operator="equal">
      <formula>"X"</formula>
    </cfRule>
    <cfRule type="cellIs" dxfId="1370" priority="2" operator="equal">
      <formula>"I"</formula>
    </cfRule>
  </conditionalFormatting>
  <hyperlinks>
    <hyperlink ref="B3" location="'Cost Summary'!A1" display="BACK TO SUMMARY SHEET" xr:uid="{41F3D4CD-1ED2-45B3-A9B3-90204ED6E7BF}"/>
    <hyperlink ref="R7:S7" r:id="rId1" display="jeff.thomas@truteam.com" xr:uid="{1B38E731-8AD7-4B15-AF9B-439CBD9744C1}"/>
    <hyperlink ref="P7:Q7" r:id="rId2" display="hanna@asterakb.com" xr:uid="{E7745225-EBD4-41F9-8597-7D5EA7991329}"/>
    <hyperlink ref="J7:K7" r:id="rId3" display="Michael@nationalkb.com" xr:uid="{2A9537C7-AACF-4A86-AEBC-DC4F64C9D37C}"/>
    <hyperlink ref="V7:W7" r:id="rId4" display="eddy@granitestatespecialties.com" xr:uid="{640C72A4-C254-44A4-B0E9-9A60CC3DD3C1}"/>
    <hyperlink ref="N7:O7" r:id="rId5" display="sergey@isqinteriors.com" xr:uid="{6A1B5DD3-C439-4FDD-8362-8A4918099D6C}"/>
  </hyperlinks>
  <pageMargins left="0.7" right="0.7" top="0.75" bottom="0.75" header="0.3" footer="0.3"/>
  <pageSetup orientation="portrait" r:id="rId6"/>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47A4-AEBF-44A9-AF6A-87151C928709}">
  <dimension ref="A1:S109"/>
  <sheetViews>
    <sheetView workbookViewId="0">
      <pane xSplit="2" ySplit="9" topLeftCell="G61" activePane="bottomRight" state="frozen"/>
      <selection pane="topRight" activeCell="C1" sqref="C1"/>
      <selection pane="bottomLeft" activeCell="A11" sqref="A11"/>
      <selection pane="bottomRight" activeCell="I71" sqref="I71:I72"/>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c r="G2" s="123" t="s">
        <v>451</v>
      </c>
      <c r="H2" s="3751"/>
      <c r="I2" s="3751"/>
      <c r="J2" s="3751"/>
      <c r="K2" s="3751"/>
      <c r="L2" s="3751"/>
      <c r="M2" s="3751"/>
      <c r="N2" s="3751"/>
      <c r="O2" s="3751"/>
      <c r="P2" s="3751"/>
      <c r="Q2" s="3751"/>
      <c r="R2" s="3751"/>
      <c r="S2" s="3751"/>
    </row>
    <row r="3" spans="1:19" ht="20" thickBot="1" x14ac:dyDescent="0.4">
      <c r="B3" s="137" t="s">
        <v>623</v>
      </c>
      <c r="E3" s="152"/>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952"/>
      <c r="K4" s="3753"/>
      <c r="L4" s="3952"/>
      <c r="M4" s="3753"/>
      <c r="N4" s="3952"/>
      <c r="O4" s="3753"/>
      <c r="P4" s="3952"/>
      <c r="Q4" s="3753"/>
      <c r="R4" s="3952"/>
      <c r="S4" s="3753"/>
    </row>
    <row r="5" spans="1:19" x14ac:dyDescent="0.35">
      <c r="A5" s="2283" t="s">
        <v>634</v>
      </c>
      <c r="B5" s="2284" t="s">
        <v>2662</v>
      </c>
      <c r="C5" s="2285"/>
      <c r="D5" s="2285"/>
      <c r="E5" s="2285"/>
      <c r="F5" s="2285"/>
      <c r="G5" s="2194" t="s">
        <v>636</v>
      </c>
      <c r="H5" s="3931"/>
      <c r="I5" s="3932"/>
      <c r="J5" s="3954"/>
      <c r="K5" s="3932"/>
      <c r="L5" s="3954"/>
      <c r="M5" s="3932"/>
      <c r="N5" s="3954"/>
      <c r="O5" s="3932"/>
      <c r="P5" s="3954"/>
      <c r="Q5" s="3932"/>
      <c r="R5" s="3954"/>
      <c r="S5" s="3932"/>
    </row>
    <row r="6" spans="1:19" x14ac:dyDescent="0.35">
      <c r="A6" s="2283" t="s">
        <v>638</v>
      </c>
      <c r="B6" s="2195" t="s">
        <v>2663</v>
      </c>
      <c r="C6" s="2285"/>
      <c r="D6" s="2285"/>
      <c r="E6" s="2285"/>
      <c r="F6" s="2285"/>
      <c r="G6" s="2194" t="s">
        <v>639</v>
      </c>
      <c r="H6" s="3937"/>
      <c r="I6" s="3938"/>
      <c r="J6" s="3953"/>
      <c r="K6" s="3938"/>
      <c r="L6" s="3953"/>
      <c r="M6" s="3938"/>
      <c r="N6" s="3953"/>
      <c r="O6" s="3938"/>
      <c r="P6" s="3953"/>
      <c r="Q6" s="3938"/>
      <c r="R6" s="3953"/>
      <c r="S6" s="3938"/>
    </row>
    <row r="7" spans="1:19" x14ac:dyDescent="0.35">
      <c r="A7" s="2283" t="s">
        <v>641</v>
      </c>
      <c r="B7" s="2196"/>
      <c r="C7" s="2285"/>
      <c r="D7" s="2285"/>
      <c r="E7" s="2285"/>
      <c r="F7" s="2285"/>
      <c r="G7" s="2194" t="s">
        <v>642</v>
      </c>
      <c r="H7" s="3934"/>
      <c r="I7" s="3935"/>
      <c r="J7" s="3955"/>
      <c r="K7" s="3935"/>
      <c r="L7" s="3955"/>
      <c r="M7" s="3935"/>
      <c r="N7" s="3955"/>
      <c r="O7" s="3935"/>
      <c r="P7" s="3955"/>
      <c r="Q7" s="3935"/>
      <c r="R7" s="3955"/>
      <c r="S7" s="3935"/>
    </row>
    <row r="8" spans="1:19" ht="15" thickBot="1" x14ac:dyDescent="0.4">
      <c r="A8" s="938" t="s">
        <v>644</v>
      </c>
      <c r="B8" s="939"/>
      <c r="C8" s="940"/>
      <c r="D8" s="940"/>
      <c r="E8" s="940"/>
      <c r="F8" s="940"/>
      <c r="G8" s="938" t="s">
        <v>644</v>
      </c>
      <c r="H8" s="3945">
        <f>I70</f>
        <v>0</v>
      </c>
      <c r="I8" s="3944"/>
      <c r="J8" s="3945">
        <f>K70</f>
        <v>0</v>
      </c>
      <c r="K8" s="3944"/>
      <c r="L8" s="3945">
        <f>M70</f>
        <v>0</v>
      </c>
      <c r="M8" s="3944"/>
      <c r="N8" s="3945">
        <f>O70</f>
        <v>0</v>
      </c>
      <c r="O8" s="3944"/>
      <c r="P8" s="3945">
        <f>Q70</f>
        <v>0</v>
      </c>
      <c r="Q8" s="3944"/>
      <c r="R8" s="3945">
        <f>S70</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373"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286"/>
      <c r="B20" s="2284"/>
      <c r="C20" s="2201"/>
      <c r="D20" s="2285"/>
      <c r="E20" s="2285"/>
      <c r="F20" s="2285"/>
      <c r="G20" s="2198"/>
      <c r="H20" s="2107"/>
      <c r="I20" s="2107"/>
      <c r="J20" s="2107"/>
      <c r="K20" s="2107"/>
      <c r="L20" s="2107"/>
      <c r="M20" s="2107"/>
      <c r="N20" s="2107"/>
      <c r="O20" s="2107"/>
      <c r="P20" s="2107"/>
      <c r="Q20" s="2107"/>
      <c r="R20" s="2107"/>
      <c r="S20" s="2107"/>
    </row>
    <row r="21" spans="1:19" ht="15" thickBot="1" x14ac:dyDescent="0.4">
      <c r="A21" s="48"/>
      <c r="B21" s="2203" t="s">
        <v>2662</v>
      </c>
      <c r="C21" s="45"/>
      <c r="D21" s="46"/>
      <c r="E21" s="46"/>
      <c r="F21" s="46"/>
      <c r="G21" s="52"/>
      <c r="H21" s="2107"/>
      <c r="I21" s="2107"/>
      <c r="J21" s="2107"/>
      <c r="K21" s="2107"/>
      <c r="L21" s="2107"/>
      <c r="M21" s="2107"/>
      <c r="N21" s="2107"/>
      <c r="O21" s="2107"/>
      <c r="P21" s="2107"/>
      <c r="Q21" s="2107"/>
      <c r="R21" s="2107"/>
      <c r="S21" s="2107"/>
    </row>
    <row r="22" spans="1:19" x14ac:dyDescent="0.35">
      <c r="A22" s="2374"/>
      <c r="B22" s="606" t="s">
        <v>657</v>
      </c>
      <c r="C22" s="2201"/>
      <c r="D22" s="2285"/>
      <c r="E22" s="2285"/>
      <c r="F22" s="2285"/>
      <c r="G22" s="2198"/>
      <c r="H22" s="2371"/>
      <c r="I22" s="2375"/>
      <c r="J22" s="2375"/>
      <c r="K22" s="2375"/>
      <c r="L22" s="2331"/>
      <c r="M22" s="2375"/>
      <c r="N22" s="2375"/>
      <c r="O22" s="2375"/>
      <c r="P22" s="2375"/>
      <c r="Q22" s="2375"/>
      <c r="R22" s="2375"/>
      <c r="S22" s="2375"/>
    </row>
    <row r="23" spans="1:19" x14ac:dyDescent="0.35">
      <c r="A23" s="2374"/>
      <c r="B23" s="2376" t="s">
        <v>658</v>
      </c>
      <c r="C23" s="2201"/>
      <c r="D23" s="2285"/>
      <c r="E23" s="2285"/>
      <c r="F23" s="2285"/>
      <c r="G23" s="2198"/>
      <c r="H23" s="2331"/>
      <c r="I23" s="2377"/>
      <c r="J23" s="2331"/>
      <c r="K23" s="2375"/>
      <c r="L23" s="2331"/>
      <c r="M23" s="2375"/>
      <c r="N23" s="2375"/>
      <c r="O23" s="2375"/>
      <c r="P23" s="2375"/>
      <c r="Q23" s="2375"/>
      <c r="R23" s="2375"/>
      <c r="S23" s="2375"/>
    </row>
    <row r="24" spans="1:19" x14ac:dyDescent="0.35">
      <c r="A24" s="2374"/>
      <c r="B24" s="2376" t="s">
        <v>659</v>
      </c>
      <c r="C24" s="2208"/>
      <c r="D24" s="2285"/>
      <c r="E24" s="2285"/>
      <c r="F24" s="2285"/>
      <c r="G24" s="2198"/>
      <c r="H24" s="2331"/>
      <c r="I24" s="2377"/>
      <c r="J24" s="2331"/>
      <c r="K24" s="2375"/>
      <c r="L24" s="2331"/>
      <c r="M24" s="2375"/>
      <c r="N24" s="2375"/>
      <c r="O24" s="2375"/>
      <c r="P24" s="2375"/>
      <c r="Q24" s="2375"/>
      <c r="R24" s="2375"/>
      <c r="S24" s="2375"/>
    </row>
    <row r="25" spans="1:19" x14ac:dyDescent="0.35">
      <c r="A25" s="2374"/>
      <c r="B25" s="2378" t="s">
        <v>660</v>
      </c>
      <c r="C25" s="2208"/>
      <c r="D25" s="2285"/>
      <c r="E25" s="2285"/>
      <c r="F25" s="2285"/>
      <c r="G25" s="2198"/>
      <c r="H25" s="2331"/>
      <c r="I25" s="2377"/>
      <c r="J25" s="2331"/>
      <c r="K25" s="2375"/>
      <c r="L25" s="2331"/>
      <c r="M25" s="2375"/>
      <c r="N25" s="2375"/>
      <c r="O25" s="2375"/>
      <c r="P25" s="2375"/>
      <c r="Q25" s="2375"/>
      <c r="R25" s="2375"/>
      <c r="S25" s="2375"/>
    </row>
    <row r="26" spans="1:19" s="77" customFormat="1" x14ac:dyDescent="0.35">
      <c r="A26" s="2379"/>
      <c r="B26" s="2378" t="s">
        <v>661</v>
      </c>
      <c r="C26" s="2211"/>
      <c r="D26" s="2212"/>
      <c r="E26" s="2212"/>
      <c r="F26" s="2212"/>
      <c r="G26" s="2211"/>
      <c r="H26" s="2331"/>
      <c r="I26" s="2377"/>
      <c r="J26" s="2334"/>
      <c r="K26" s="2380"/>
      <c r="L26" s="2334"/>
      <c r="M26" s="2380"/>
      <c r="N26" s="2380"/>
      <c r="O26" s="2380"/>
      <c r="P26" s="2380"/>
      <c r="Q26" s="2380"/>
      <c r="R26" s="2380"/>
      <c r="S26" s="2380"/>
    </row>
    <row r="27" spans="1:19" s="77" customFormat="1" x14ac:dyDescent="0.35">
      <c r="A27" s="2379"/>
      <c r="B27" s="2378" t="s">
        <v>662</v>
      </c>
      <c r="C27" s="2211"/>
      <c r="D27" s="2212"/>
      <c r="E27" s="2212"/>
      <c r="F27" s="2212"/>
      <c r="G27" s="2211"/>
      <c r="H27" s="2331"/>
      <c r="I27" s="2377"/>
      <c r="J27" s="2334"/>
      <c r="K27" s="2380"/>
      <c r="L27" s="2334"/>
      <c r="M27" s="2380"/>
      <c r="N27" s="2380"/>
      <c r="O27" s="2380"/>
      <c r="P27" s="2380"/>
      <c r="Q27" s="2380"/>
      <c r="R27" s="2380"/>
      <c r="S27" s="2380"/>
    </row>
    <row r="28" spans="1:19" s="77" customFormat="1" x14ac:dyDescent="0.35">
      <c r="A28" s="2379"/>
      <c r="B28" s="2378" t="s">
        <v>663</v>
      </c>
      <c r="C28" s="2211"/>
      <c r="D28" s="2212"/>
      <c r="E28" s="2212"/>
      <c r="F28" s="2212"/>
      <c r="G28" s="2211"/>
      <c r="H28" s="2331"/>
      <c r="I28" s="2377"/>
      <c r="J28" s="2334"/>
      <c r="K28" s="2380"/>
      <c r="L28" s="2334"/>
      <c r="M28" s="2380"/>
      <c r="N28" s="2380"/>
      <c r="O28" s="2380"/>
      <c r="P28" s="2380"/>
      <c r="Q28" s="2380"/>
      <c r="R28" s="2380"/>
      <c r="S28" s="2380"/>
    </row>
    <row r="29" spans="1:19" s="77" customFormat="1" x14ac:dyDescent="0.35">
      <c r="A29" s="2379"/>
      <c r="B29" s="2381" t="s">
        <v>664</v>
      </c>
      <c r="C29" s="2211"/>
      <c r="D29" s="2212"/>
      <c r="E29" s="2212"/>
      <c r="F29" s="2212"/>
      <c r="G29" s="2211"/>
      <c r="H29" s="2331"/>
      <c r="I29" s="2377"/>
      <c r="J29" s="2334"/>
      <c r="K29" s="2380"/>
      <c r="L29" s="2334"/>
      <c r="M29" s="2380"/>
      <c r="N29" s="2380"/>
      <c r="O29" s="2380"/>
      <c r="P29" s="2380"/>
      <c r="Q29" s="2380"/>
      <c r="R29" s="2380"/>
      <c r="S29" s="2380"/>
    </row>
    <row r="30" spans="1:19" s="77" customFormat="1" x14ac:dyDescent="0.35">
      <c r="A30" s="2379"/>
      <c r="B30" s="2382" t="s">
        <v>665</v>
      </c>
      <c r="C30" s="2216"/>
      <c r="D30" s="2217"/>
      <c r="E30" s="2217"/>
      <c r="F30" s="2217"/>
      <c r="G30" s="2216"/>
      <c r="H30" s="2288"/>
      <c r="I30" s="2383"/>
      <c r="J30" s="2289"/>
      <c r="K30" s="2384"/>
      <c r="L30" s="2289"/>
      <c r="M30" s="2384"/>
      <c r="N30" s="2384"/>
      <c r="O30" s="2384"/>
      <c r="P30" s="2384"/>
      <c r="Q30" s="2384"/>
      <c r="R30" s="2384"/>
      <c r="S30" s="2384"/>
    </row>
    <row r="31" spans="1:19" s="77" customFormat="1" x14ac:dyDescent="0.35">
      <c r="A31" s="2379"/>
      <c r="B31" s="2340"/>
      <c r="C31" s="2211"/>
      <c r="D31" s="2212"/>
      <c r="E31" s="2212"/>
      <c r="F31" s="2212"/>
      <c r="G31" s="2211"/>
      <c r="H31" s="2331"/>
      <c r="I31" s="2377"/>
      <c r="J31" s="2334"/>
      <c r="K31" s="2380"/>
      <c r="L31" s="2334"/>
      <c r="M31" s="2380"/>
      <c r="N31" s="2380"/>
      <c r="O31" s="2380"/>
      <c r="P31" s="2380"/>
      <c r="Q31" s="2380"/>
      <c r="R31" s="2380"/>
      <c r="S31" s="2380"/>
    </row>
    <row r="32" spans="1:19" s="77" customFormat="1" x14ac:dyDescent="0.35">
      <c r="A32" s="2385"/>
      <c r="B32" s="2340"/>
      <c r="C32" s="2236"/>
      <c r="D32" s="2212"/>
      <c r="E32" s="2212"/>
      <c r="F32" s="2212"/>
      <c r="G32" s="2211"/>
      <c r="H32" s="2331"/>
      <c r="I32" s="2377"/>
      <c r="J32" s="2334"/>
      <c r="K32" s="2380"/>
      <c r="L32" s="2334"/>
      <c r="M32" s="2380"/>
      <c r="N32" s="2380"/>
      <c r="O32" s="2380"/>
      <c r="P32" s="2380"/>
      <c r="Q32" s="2380"/>
      <c r="R32" s="2380"/>
      <c r="S32" s="2380"/>
    </row>
    <row r="33" spans="1:19" s="77" customFormat="1" x14ac:dyDescent="0.35">
      <c r="A33" s="2385"/>
      <c r="B33" s="2340"/>
      <c r="C33" s="2236"/>
      <c r="D33" s="2212"/>
      <c r="E33" s="2212"/>
      <c r="F33" s="2212"/>
      <c r="G33" s="2211"/>
      <c r="H33" s="2331"/>
      <c r="I33" s="2377"/>
      <c r="J33" s="2334"/>
      <c r="K33" s="2380"/>
      <c r="L33" s="2334"/>
      <c r="M33" s="2380"/>
      <c r="N33" s="2380"/>
      <c r="O33" s="2380"/>
      <c r="P33" s="2380"/>
      <c r="Q33" s="2380"/>
      <c r="R33" s="2380"/>
      <c r="S33" s="2380"/>
    </row>
    <row r="34" spans="1:19" s="77" customFormat="1" x14ac:dyDescent="0.35">
      <c r="A34" s="2385"/>
      <c r="B34" s="2340"/>
      <c r="C34" s="2236"/>
      <c r="D34" s="2212"/>
      <c r="E34" s="2212"/>
      <c r="F34" s="2212"/>
      <c r="G34" s="2211"/>
      <c r="H34" s="2331"/>
      <c r="I34" s="2377"/>
      <c r="J34" s="2334"/>
      <c r="K34" s="2380"/>
      <c r="L34" s="2334"/>
      <c r="M34" s="2380"/>
      <c r="N34" s="2380"/>
      <c r="O34" s="2380"/>
      <c r="P34" s="2380"/>
      <c r="Q34" s="2380"/>
      <c r="R34" s="2380"/>
      <c r="S34" s="2380"/>
    </row>
    <row r="35" spans="1:19" s="77" customFormat="1" x14ac:dyDescent="0.35">
      <c r="A35" s="2385"/>
      <c r="B35" s="2340"/>
      <c r="C35" s="2236"/>
      <c r="D35" s="2212"/>
      <c r="E35" s="2212"/>
      <c r="F35" s="2212"/>
      <c r="G35" s="2211"/>
      <c r="H35" s="2331"/>
      <c r="I35" s="2377"/>
      <c r="J35" s="2334"/>
      <c r="K35" s="2380"/>
      <c r="L35" s="2334"/>
      <c r="M35" s="2380"/>
      <c r="N35" s="2380"/>
      <c r="O35" s="2380"/>
      <c r="P35" s="2380"/>
      <c r="Q35" s="2380"/>
      <c r="R35" s="2380"/>
      <c r="S35" s="2380"/>
    </row>
    <row r="36" spans="1:19" s="77" customFormat="1" x14ac:dyDescent="0.35">
      <c r="A36" s="2385"/>
      <c r="B36" s="2340"/>
      <c r="C36" s="2236"/>
      <c r="D36" s="2212"/>
      <c r="E36" s="2212"/>
      <c r="F36" s="2212"/>
      <c r="G36" s="2211"/>
      <c r="H36" s="2331"/>
      <c r="I36" s="2377"/>
      <c r="J36" s="2334"/>
      <c r="K36" s="2380"/>
      <c r="L36" s="2334"/>
      <c r="M36" s="2380"/>
      <c r="N36" s="2380"/>
      <c r="O36" s="2380"/>
      <c r="P36" s="2380"/>
      <c r="Q36" s="2380"/>
      <c r="R36" s="2380"/>
      <c r="S36" s="2380"/>
    </row>
    <row r="37" spans="1:19" s="77" customFormat="1" x14ac:dyDescent="0.35">
      <c r="A37" s="2385"/>
      <c r="B37" s="2340"/>
      <c r="C37" s="2236"/>
      <c r="D37" s="2212"/>
      <c r="E37" s="2341"/>
      <c r="F37" s="2342"/>
      <c r="G37" s="2211"/>
      <c r="H37" s="2331"/>
      <c r="I37" s="2377"/>
      <c r="J37" s="2334"/>
      <c r="K37" s="2380"/>
      <c r="L37" s="2334"/>
      <c r="M37" s="2380"/>
      <c r="N37" s="2380"/>
      <c r="O37" s="2380"/>
      <c r="P37" s="2380"/>
      <c r="Q37" s="2380"/>
      <c r="R37" s="2380"/>
      <c r="S37" s="2380"/>
    </row>
    <row r="38" spans="1:19" s="77" customFormat="1" x14ac:dyDescent="0.35">
      <c r="A38" s="2385"/>
      <c r="B38" s="2340"/>
      <c r="C38" s="2236"/>
      <c r="D38" s="2212"/>
      <c r="E38" s="2341"/>
      <c r="F38" s="2342"/>
      <c r="G38" s="2211"/>
      <c r="H38" s="2331"/>
      <c r="I38" s="2377"/>
      <c r="J38" s="2334"/>
      <c r="K38" s="2380"/>
      <c r="L38" s="2334"/>
      <c r="M38" s="2380"/>
      <c r="N38" s="2380"/>
      <c r="O38" s="2380"/>
      <c r="P38" s="2380"/>
      <c r="Q38" s="2380"/>
      <c r="R38" s="2380"/>
      <c r="S38" s="2380"/>
    </row>
    <row r="39" spans="1:19" s="77" customFormat="1" x14ac:dyDescent="0.35">
      <c r="A39" s="2385"/>
      <c r="B39" s="2340"/>
      <c r="C39" s="2236"/>
      <c r="D39" s="2212"/>
      <c r="E39" s="2341"/>
      <c r="F39" s="2342"/>
      <c r="G39" s="2211"/>
      <c r="H39" s="2331"/>
      <c r="I39" s="2377"/>
      <c r="J39" s="2334"/>
      <c r="K39" s="2380"/>
      <c r="L39" s="2334"/>
      <c r="M39" s="2380"/>
      <c r="N39" s="2380"/>
      <c r="O39" s="2380"/>
      <c r="P39" s="2380"/>
      <c r="Q39" s="2380"/>
      <c r="R39" s="2380"/>
      <c r="S39" s="2380"/>
    </row>
    <row r="40" spans="1:19" s="77" customFormat="1" x14ac:dyDescent="0.35">
      <c r="A40" s="2385"/>
      <c r="B40" s="2386"/>
      <c r="C40" s="2236"/>
      <c r="D40" s="2212"/>
      <c r="E40" s="2341"/>
      <c r="F40" s="2342"/>
      <c r="G40" s="2211"/>
      <c r="H40" s="2331"/>
      <c r="I40" s="2377"/>
      <c r="J40" s="2334"/>
      <c r="K40" s="2380"/>
      <c r="L40" s="2334"/>
      <c r="M40" s="2380"/>
      <c r="N40" s="2380"/>
      <c r="O40" s="2380"/>
      <c r="P40" s="2380"/>
      <c r="Q40" s="2380"/>
      <c r="R40" s="2380"/>
      <c r="S40" s="2380"/>
    </row>
    <row r="41" spans="1:19" s="77" customFormat="1" x14ac:dyDescent="0.35">
      <c r="A41" s="2385"/>
      <c r="B41" s="2387"/>
      <c r="C41" s="2236"/>
      <c r="D41" s="2212"/>
      <c r="E41" s="2341"/>
      <c r="F41" s="2342"/>
      <c r="G41" s="2211"/>
      <c r="H41" s="2331"/>
      <c r="I41" s="2377"/>
      <c r="J41" s="2334"/>
      <c r="K41" s="2380"/>
      <c r="L41" s="2334"/>
      <c r="M41" s="2380"/>
      <c r="N41" s="2380"/>
      <c r="O41" s="2380"/>
      <c r="P41" s="2380"/>
      <c r="Q41" s="2380"/>
      <c r="R41" s="2380"/>
      <c r="S41" s="2380"/>
    </row>
    <row r="42" spans="1:19" s="77" customFormat="1" x14ac:dyDescent="0.35">
      <c r="A42" s="2385"/>
      <c r="B42" s="128"/>
      <c r="C42" s="2236"/>
      <c r="D42" s="2212"/>
      <c r="E42" s="2341"/>
      <c r="F42" s="2342"/>
      <c r="G42" s="2211"/>
      <c r="H42" s="2331"/>
      <c r="I42" s="2377"/>
      <c r="J42" s="2334"/>
      <c r="K42" s="2380"/>
      <c r="L42" s="2334"/>
      <c r="M42" s="2380"/>
      <c r="N42" s="2380"/>
      <c r="O42" s="2380"/>
      <c r="P42" s="2380"/>
      <c r="Q42" s="2380"/>
      <c r="R42" s="2380"/>
      <c r="S42" s="2380"/>
    </row>
    <row r="43" spans="1:19" s="77" customFormat="1" x14ac:dyDescent="0.35">
      <c r="A43" s="2385"/>
      <c r="B43" s="2340"/>
      <c r="C43" s="2236"/>
      <c r="D43" s="2212"/>
      <c r="E43" s="2341"/>
      <c r="F43" s="2342"/>
      <c r="G43" s="2211"/>
      <c r="H43" s="2331"/>
      <c r="I43" s="2377"/>
      <c r="J43" s="2334"/>
      <c r="K43" s="2380"/>
      <c r="L43" s="2334"/>
      <c r="M43" s="2380"/>
      <c r="N43" s="2380"/>
      <c r="O43" s="2380"/>
      <c r="P43" s="2380"/>
      <c r="Q43" s="2380"/>
      <c r="R43" s="2380"/>
      <c r="S43" s="2380"/>
    </row>
    <row r="44" spans="1:19" s="77" customFormat="1" x14ac:dyDescent="0.35">
      <c r="A44" s="2385"/>
      <c r="B44" s="2340"/>
      <c r="C44" s="2236"/>
      <c r="D44" s="2212"/>
      <c r="E44" s="2341"/>
      <c r="F44" s="2342"/>
      <c r="G44" s="2211"/>
      <c r="H44" s="2331"/>
      <c r="I44" s="2377"/>
      <c r="J44" s="2334"/>
      <c r="K44" s="2380"/>
      <c r="L44" s="2334"/>
      <c r="M44" s="2380"/>
      <c r="N44" s="2380"/>
      <c r="O44" s="2380"/>
      <c r="P44" s="2380"/>
      <c r="Q44" s="2380"/>
      <c r="R44" s="2380"/>
      <c r="S44" s="2380"/>
    </row>
    <row r="45" spans="1:19" s="77" customFormat="1" x14ac:dyDescent="0.35">
      <c r="A45" s="2385"/>
      <c r="B45" s="2340"/>
      <c r="C45" s="2236"/>
      <c r="D45" s="2212"/>
      <c r="E45" s="2341"/>
      <c r="F45" s="2342"/>
      <c r="G45" s="2211"/>
      <c r="H45" s="2331"/>
      <c r="I45" s="2377"/>
      <c r="J45" s="2334"/>
      <c r="K45" s="2380"/>
      <c r="L45" s="2334"/>
      <c r="M45" s="2380"/>
      <c r="N45" s="2380"/>
      <c r="O45" s="2380"/>
      <c r="P45" s="2380"/>
      <c r="Q45" s="2380"/>
      <c r="R45" s="2380"/>
      <c r="S45" s="2380"/>
    </row>
    <row r="46" spans="1:19" s="77" customFormat="1" x14ac:dyDescent="0.35">
      <c r="A46" s="2385"/>
      <c r="B46" s="2340"/>
      <c r="C46" s="2236"/>
      <c r="D46" s="2212"/>
      <c r="E46" s="2341"/>
      <c r="F46" s="2342"/>
      <c r="G46" s="2211"/>
      <c r="H46" s="2331"/>
      <c r="I46" s="2377"/>
      <c r="J46" s="2334"/>
      <c r="K46" s="2380"/>
      <c r="L46" s="2334"/>
      <c r="M46" s="2380"/>
      <c r="N46" s="2380"/>
      <c r="O46" s="2380"/>
      <c r="P46" s="2380"/>
      <c r="Q46" s="2380"/>
      <c r="R46" s="2380"/>
      <c r="S46" s="2380"/>
    </row>
    <row r="47" spans="1:19" s="77" customFormat="1" x14ac:dyDescent="0.35">
      <c r="A47" s="2385"/>
      <c r="B47" s="2340"/>
      <c r="C47" s="2236"/>
      <c r="D47" s="2212"/>
      <c r="E47" s="2341"/>
      <c r="F47" s="2342"/>
      <c r="G47" s="2211"/>
      <c r="H47" s="2331"/>
      <c r="I47" s="2377"/>
      <c r="J47" s="2334"/>
      <c r="K47" s="2380"/>
      <c r="L47" s="2334"/>
      <c r="M47" s="2380"/>
      <c r="N47" s="2380"/>
      <c r="O47" s="2380"/>
      <c r="P47" s="2380"/>
      <c r="Q47" s="2380"/>
      <c r="R47" s="2380"/>
      <c r="S47" s="2380"/>
    </row>
    <row r="48" spans="1:19" s="77" customFormat="1" x14ac:dyDescent="0.35">
      <c r="A48" s="2385"/>
      <c r="B48" s="2340"/>
      <c r="C48" s="2236"/>
      <c r="D48" s="2212"/>
      <c r="E48" s="2341"/>
      <c r="F48" s="2342"/>
      <c r="G48" s="2211"/>
      <c r="H48" s="2331"/>
      <c r="I48" s="2377"/>
      <c r="J48" s="2334"/>
      <c r="K48" s="2380"/>
      <c r="L48" s="2334"/>
      <c r="M48" s="2380"/>
      <c r="N48" s="2380"/>
      <c r="O48" s="2380"/>
      <c r="P48" s="2380"/>
      <c r="Q48" s="2380"/>
      <c r="R48" s="2380"/>
      <c r="S48" s="2380"/>
    </row>
    <row r="49" spans="1:19" s="77" customFormat="1" x14ac:dyDescent="0.35">
      <c r="A49" s="2385"/>
      <c r="B49" s="2340"/>
      <c r="C49" s="2236"/>
      <c r="D49" s="2212"/>
      <c r="E49" s="2341"/>
      <c r="F49" s="2342"/>
      <c r="G49" s="2211"/>
      <c r="H49" s="2331"/>
      <c r="I49" s="2377"/>
      <c r="J49" s="2334"/>
      <c r="K49" s="2380"/>
      <c r="L49" s="2334"/>
      <c r="M49" s="2380"/>
      <c r="N49" s="2380"/>
      <c r="O49" s="2380"/>
      <c r="P49" s="2380"/>
      <c r="Q49" s="2380"/>
      <c r="R49" s="2380"/>
      <c r="S49" s="2380"/>
    </row>
    <row r="50" spans="1:19" s="77" customFormat="1" x14ac:dyDescent="0.35">
      <c r="A50" s="2385"/>
      <c r="B50" s="2340"/>
      <c r="C50" s="2236"/>
      <c r="D50" s="2212"/>
      <c r="E50" s="2341"/>
      <c r="F50" s="2342"/>
      <c r="G50" s="2211"/>
      <c r="H50" s="2331"/>
      <c r="I50" s="2377"/>
      <c r="J50" s="2334"/>
      <c r="K50" s="2380"/>
      <c r="L50" s="2334"/>
      <c r="M50" s="2380"/>
      <c r="N50" s="2380"/>
      <c r="O50" s="2380"/>
      <c r="P50" s="2380"/>
      <c r="Q50" s="2380"/>
      <c r="R50" s="2380"/>
      <c r="S50" s="2380"/>
    </row>
    <row r="51" spans="1:19" s="77" customFormat="1" x14ac:dyDescent="0.35">
      <c r="A51" s="2385"/>
      <c r="B51" s="2340"/>
      <c r="C51" s="2236"/>
      <c r="D51" s="2212"/>
      <c r="E51" s="2341"/>
      <c r="F51" s="2342"/>
      <c r="G51" s="2211"/>
      <c r="H51" s="2331"/>
      <c r="I51" s="2377"/>
      <c r="J51" s="2334"/>
      <c r="K51" s="2380"/>
      <c r="L51" s="2334"/>
      <c r="M51" s="2380"/>
      <c r="N51" s="2380"/>
      <c r="O51" s="2380"/>
      <c r="P51" s="2380"/>
      <c r="Q51" s="2380"/>
      <c r="R51" s="2380"/>
      <c r="S51" s="2380"/>
    </row>
    <row r="52" spans="1:19" s="77" customFormat="1" x14ac:dyDescent="0.35">
      <c r="A52" s="2385"/>
      <c r="B52" s="2340"/>
      <c r="C52" s="2236"/>
      <c r="D52" s="2212"/>
      <c r="E52" s="2341"/>
      <c r="F52" s="2342"/>
      <c r="G52" s="2211"/>
      <c r="H52" s="2331"/>
      <c r="I52" s="2377"/>
      <c r="J52" s="2334"/>
      <c r="K52" s="2380"/>
      <c r="L52" s="2334"/>
      <c r="M52" s="2380"/>
      <c r="N52" s="2380"/>
      <c r="O52" s="2380"/>
      <c r="P52" s="2380"/>
      <c r="Q52" s="2380"/>
      <c r="R52" s="2380"/>
      <c r="S52" s="2380"/>
    </row>
    <row r="53" spans="1:19" s="77" customFormat="1" x14ac:dyDescent="0.35">
      <c r="A53" s="2385"/>
      <c r="B53" s="2340"/>
      <c r="C53" s="2236"/>
      <c r="D53" s="2212"/>
      <c r="E53" s="2341"/>
      <c r="F53" s="2342"/>
      <c r="G53" s="2211"/>
      <c r="H53" s="2331"/>
      <c r="I53" s="2377"/>
      <c r="J53" s="2334"/>
      <c r="K53" s="2380"/>
      <c r="L53" s="2334"/>
      <c r="M53" s="2380"/>
      <c r="N53" s="2380"/>
      <c r="O53" s="2380"/>
      <c r="P53" s="2380"/>
      <c r="Q53" s="2380"/>
      <c r="R53" s="2380"/>
      <c r="S53" s="2380"/>
    </row>
    <row r="54" spans="1:19" s="77" customFormat="1" x14ac:dyDescent="0.35">
      <c r="A54" s="2379"/>
      <c r="B54" s="2340"/>
      <c r="C54" s="2211"/>
      <c r="D54" s="2212"/>
      <c r="E54" s="2341"/>
      <c r="F54" s="2342"/>
      <c r="G54" s="2211"/>
      <c r="H54" s="2331"/>
      <c r="I54" s="2377"/>
      <c r="J54" s="2334"/>
      <c r="K54" s="2380"/>
      <c r="L54" s="2334"/>
      <c r="M54" s="2380"/>
      <c r="N54" s="2380"/>
      <c r="O54" s="2380"/>
      <c r="P54" s="2380"/>
      <c r="Q54" s="2380"/>
      <c r="R54" s="2380"/>
      <c r="S54" s="2380"/>
    </row>
    <row r="55" spans="1:19" x14ac:dyDescent="0.35">
      <c r="A55" s="2374"/>
      <c r="B55" s="2340"/>
      <c r="C55" s="2211"/>
      <c r="D55" s="2285"/>
      <c r="E55" s="2341"/>
      <c r="F55" s="2342"/>
      <c r="G55" s="2198"/>
      <c r="H55" s="2331"/>
      <c r="I55" s="2377"/>
      <c r="J55" s="2158"/>
      <c r="K55" s="2158"/>
      <c r="L55" s="2158"/>
      <c r="M55" s="2375"/>
      <c r="N55" s="2375"/>
      <c r="O55" s="2375"/>
      <c r="P55" s="2375"/>
      <c r="Q55" s="2375"/>
      <c r="R55" s="2375"/>
      <c r="S55" s="2375"/>
    </row>
    <row r="56" spans="1:19" x14ac:dyDescent="0.35">
      <c r="A56" s="2374"/>
      <c r="B56" s="2340"/>
      <c r="C56" s="2211"/>
      <c r="D56" s="2285"/>
      <c r="E56" s="2341"/>
      <c r="F56" s="2342"/>
      <c r="G56" s="2198"/>
      <c r="H56" s="2331"/>
      <c r="I56" s="2377"/>
      <c r="J56" s="2331"/>
      <c r="K56" s="2375"/>
      <c r="L56" s="2331"/>
      <c r="M56" s="2375"/>
      <c r="N56" s="2375"/>
      <c r="O56" s="2375"/>
      <c r="P56" s="2375"/>
      <c r="Q56" s="2375"/>
      <c r="R56" s="2375"/>
      <c r="S56" s="2375"/>
    </row>
    <row r="57" spans="1:19" x14ac:dyDescent="0.35">
      <c r="A57" s="2374"/>
      <c r="B57" s="2340"/>
      <c r="C57" s="2211"/>
      <c r="D57" s="2285"/>
      <c r="E57" s="2285"/>
      <c r="F57" s="2285"/>
      <c r="G57" s="2198"/>
      <c r="H57" s="2331"/>
      <c r="I57" s="2377"/>
      <c r="J57" s="2331"/>
      <c r="K57" s="2375"/>
      <c r="L57" s="2331"/>
      <c r="M57" s="2375"/>
      <c r="N57" s="2375"/>
      <c r="O57" s="2375"/>
      <c r="P57" s="2375"/>
      <c r="Q57" s="2375"/>
      <c r="R57" s="2375"/>
      <c r="S57" s="2375"/>
    </row>
    <row r="58" spans="1:19" x14ac:dyDescent="0.35">
      <c r="A58" s="2374"/>
      <c r="B58" s="2340"/>
      <c r="C58" s="2211"/>
      <c r="D58" s="2285"/>
      <c r="E58" s="2285"/>
      <c r="F58" s="2285"/>
      <c r="G58" s="2198"/>
      <c r="H58" s="2331"/>
      <c r="I58" s="2375"/>
      <c r="J58" s="2158"/>
      <c r="K58" s="2375"/>
      <c r="L58" s="2331"/>
      <c r="M58" s="2375"/>
      <c r="N58" s="2375"/>
      <c r="O58" s="2375"/>
      <c r="P58" s="2375"/>
      <c r="Q58" s="2375"/>
      <c r="R58" s="2375"/>
      <c r="S58" s="2375"/>
    </row>
    <row r="59" spans="1:19" x14ac:dyDescent="0.35">
      <c r="A59" s="2374"/>
      <c r="B59" s="2234"/>
      <c r="C59" s="2211"/>
      <c r="D59" s="2285"/>
      <c r="E59" s="2285"/>
      <c r="F59" s="2285"/>
      <c r="G59" s="2198"/>
      <c r="H59" s="2331"/>
      <c r="I59" s="2375"/>
      <c r="J59" s="2331"/>
      <c r="K59" s="2375"/>
      <c r="L59" s="2331"/>
      <c r="M59" s="2375"/>
      <c r="N59" s="2375"/>
      <c r="O59" s="2375"/>
      <c r="P59" s="2375"/>
      <c r="Q59" s="2375"/>
      <c r="R59" s="2375"/>
      <c r="S59" s="2375"/>
    </row>
    <row r="60" spans="1:19" x14ac:dyDescent="0.35">
      <c r="A60" s="2374"/>
      <c r="B60" s="2235"/>
      <c r="C60" s="2211"/>
      <c r="D60" s="2285"/>
      <c r="E60" s="2285"/>
      <c r="F60" s="2285"/>
      <c r="G60" s="2198"/>
      <c r="H60" s="2331"/>
      <c r="I60" s="2375"/>
      <c r="J60" s="2331"/>
      <c r="K60" s="2375"/>
      <c r="L60" s="2331"/>
      <c r="M60" s="2375"/>
      <c r="N60" s="2375"/>
      <c r="O60" s="2375"/>
      <c r="P60" s="2375"/>
      <c r="Q60" s="2375"/>
      <c r="R60" s="2375"/>
      <c r="S60" s="2375"/>
    </row>
    <row r="61" spans="1:19" x14ac:dyDescent="0.35">
      <c r="A61" s="2374"/>
      <c r="B61" s="2235"/>
      <c r="C61" s="2211"/>
      <c r="D61" s="2285"/>
      <c r="E61" s="2285"/>
      <c r="F61" s="2285"/>
      <c r="G61" s="2198"/>
      <c r="H61" s="2331"/>
      <c r="I61" s="2377"/>
      <c r="J61" s="2331"/>
      <c r="K61" s="2377"/>
      <c r="L61" s="2375"/>
      <c r="M61" s="2377"/>
      <c r="N61" s="2375"/>
      <c r="O61" s="2377"/>
      <c r="P61" s="2375"/>
      <c r="Q61" s="2375"/>
      <c r="R61" s="2375"/>
      <c r="S61" s="2375"/>
    </row>
    <row r="62" spans="1:19" x14ac:dyDescent="0.35">
      <c r="A62" s="2374"/>
      <c r="B62" s="2235"/>
      <c r="C62" s="2211"/>
      <c r="D62" s="2285"/>
      <c r="E62" s="2285"/>
      <c r="F62" s="2285"/>
      <c r="G62" s="2198"/>
      <c r="H62" s="2331"/>
      <c r="I62" s="2377"/>
      <c r="J62" s="2331"/>
      <c r="K62" s="2377"/>
      <c r="L62" s="2375"/>
      <c r="M62" s="2377"/>
      <c r="N62" s="2375"/>
      <c r="O62" s="2377"/>
      <c r="P62" s="2375"/>
      <c r="Q62" s="2375"/>
      <c r="R62" s="2375"/>
      <c r="S62" s="2375"/>
    </row>
    <row r="63" spans="1:19" x14ac:dyDescent="0.35">
      <c r="A63" s="2374"/>
      <c r="B63" s="2235"/>
      <c r="C63" s="2211"/>
      <c r="D63" s="2285"/>
      <c r="E63" s="2285"/>
      <c r="F63" s="2285"/>
      <c r="G63" s="2198"/>
      <c r="H63" s="2331"/>
      <c r="I63" s="2377"/>
      <c r="J63" s="2331"/>
      <c r="K63" s="2377"/>
      <c r="L63" s="2375"/>
      <c r="M63" s="2377"/>
      <c r="N63" s="2375"/>
      <c r="O63" s="2377"/>
      <c r="P63" s="2375"/>
      <c r="Q63" s="2375"/>
      <c r="R63" s="2375"/>
      <c r="S63" s="2375"/>
    </row>
    <row r="64" spans="1:19" x14ac:dyDescent="0.35">
      <c r="A64" s="2374"/>
      <c r="B64" s="2235"/>
      <c r="C64" s="2211"/>
      <c r="D64" s="2285"/>
      <c r="E64" s="2285"/>
      <c r="F64" s="2285"/>
      <c r="G64" s="2198"/>
      <c r="H64" s="2331"/>
      <c r="I64" s="2377"/>
      <c r="J64" s="2331"/>
      <c r="K64" s="2377"/>
      <c r="L64" s="2375"/>
      <c r="M64" s="2377"/>
      <c r="N64" s="2375"/>
      <c r="O64" s="2377"/>
      <c r="P64" s="2375"/>
      <c r="Q64" s="2375"/>
      <c r="R64" s="2375"/>
      <c r="S64" s="2375"/>
    </row>
    <row r="65" spans="1:19" ht="15" thickBot="1" x14ac:dyDescent="0.4">
      <c r="A65" s="2374"/>
      <c r="B65" s="2235"/>
      <c r="C65" s="2211"/>
      <c r="D65" s="2285"/>
      <c r="E65" s="2285"/>
      <c r="F65" s="2285"/>
      <c r="G65" s="2198"/>
      <c r="H65" s="2331"/>
      <c r="I65" s="2377"/>
      <c r="J65" s="2331"/>
      <c r="K65" s="2377"/>
      <c r="L65" s="2375"/>
      <c r="M65" s="2377"/>
      <c r="N65" s="2375"/>
      <c r="O65" s="2377"/>
      <c r="P65" s="2375"/>
      <c r="Q65" s="2375"/>
      <c r="R65" s="2375"/>
      <c r="S65" s="2375"/>
    </row>
    <row r="66" spans="1:19" ht="15" thickTop="1" x14ac:dyDescent="0.35">
      <c r="A66" s="14"/>
      <c r="B66" s="15"/>
      <c r="C66" s="16"/>
      <c r="D66" s="16"/>
      <c r="E66" s="17"/>
      <c r="F66" s="18" t="s">
        <v>715</v>
      </c>
      <c r="G66" s="19"/>
      <c r="H66" s="20"/>
      <c r="I66" s="50">
        <f>SUM(I23:I65)</f>
        <v>0</v>
      </c>
      <c r="J66" s="20"/>
      <c r="K66" s="50">
        <f>SUM(K23:K65)</f>
        <v>0</v>
      </c>
      <c r="L66" s="20"/>
      <c r="M66" s="50">
        <f>SUM(M23:M65)</f>
        <v>0</v>
      </c>
      <c r="N66" s="20"/>
      <c r="O66" s="50">
        <f>SUM(O23:O65)</f>
        <v>0</v>
      </c>
      <c r="P66" s="20"/>
      <c r="Q66" s="50">
        <f>SUM(Q23:Q65)</f>
        <v>0</v>
      </c>
      <c r="R66" s="20"/>
      <c r="S66" s="50">
        <f>SUM(S23:S65)</f>
        <v>0</v>
      </c>
    </row>
    <row r="67" spans="1:19" x14ac:dyDescent="0.35">
      <c r="A67" s="2239"/>
      <c r="B67" s="2240"/>
      <c r="C67" s="2241"/>
      <c r="D67" s="2241"/>
      <c r="E67" s="2242"/>
      <c r="F67" s="2243" t="s">
        <v>716</v>
      </c>
      <c r="G67" s="2244"/>
      <c r="H67" s="2065">
        <v>0</v>
      </c>
      <c r="I67" s="2064"/>
      <c r="J67" s="2065">
        <v>0</v>
      </c>
      <c r="K67" s="2064"/>
      <c r="L67" s="2065">
        <v>0</v>
      </c>
      <c r="M67" s="2064"/>
      <c r="N67" s="2065">
        <v>0</v>
      </c>
      <c r="O67" s="2064"/>
      <c r="P67" s="2065">
        <v>0</v>
      </c>
      <c r="Q67" s="2064"/>
      <c r="R67" s="2065">
        <v>0</v>
      </c>
      <c r="S67" s="2064"/>
    </row>
    <row r="68" spans="1:19" x14ac:dyDescent="0.35">
      <c r="A68" s="2239"/>
      <c r="B68" s="2240"/>
      <c r="C68" s="2241"/>
      <c r="D68" s="2241"/>
      <c r="E68" s="2242"/>
      <c r="F68" s="2243" t="s">
        <v>717</v>
      </c>
      <c r="G68" s="2244"/>
      <c r="H68" s="2066"/>
      <c r="I68" s="2067">
        <f>H67*I66</f>
        <v>0</v>
      </c>
      <c r="J68" s="2066"/>
      <c r="K68" s="2067">
        <f>J67*K66</f>
        <v>0</v>
      </c>
      <c r="L68" s="2066"/>
      <c r="M68" s="2067">
        <f>L67*M66</f>
        <v>0</v>
      </c>
      <c r="N68" s="2066"/>
      <c r="O68" s="2067">
        <f>N67*O66</f>
        <v>0</v>
      </c>
      <c r="P68" s="2066"/>
      <c r="Q68" s="2067">
        <f>P67*Q66</f>
        <v>0</v>
      </c>
      <c r="R68" s="2066"/>
      <c r="S68" s="2067">
        <f>R67*S66</f>
        <v>0</v>
      </c>
    </row>
    <row r="69" spans="1:19" x14ac:dyDescent="0.35">
      <c r="A69" s="2239"/>
      <c r="B69" s="2240"/>
      <c r="C69" s="2241"/>
      <c r="D69" s="2241"/>
      <c r="E69" s="2242"/>
      <c r="F69" s="2243"/>
      <c r="G69" s="2244"/>
      <c r="H69" s="2066"/>
      <c r="I69" s="2068"/>
      <c r="J69" s="2066"/>
      <c r="K69" s="2068"/>
      <c r="L69" s="2066"/>
      <c r="M69" s="2068"/>
      <c r="N69" s="2066"/>
      <c r="O69" s="2068"/>
      <c r="P69" s="2066"/>
      <c r="Q69" s="2068"/>
      <c r="R69" s="2066"/>
      <c r="S69" s="2068"/>
    </row>
    <row r="70" spans="1:19" x14ac:dyDescent="0.35">
      <c r="A70" s="2239"/>
      <c r="B70" s="2240"/>
      <c r="C70" s="2241"/>
      <c r="D70" s="2241"/>
      <c r="E70" s="2242"/>
      <c r="F70" s="2243" t="s">
        <v>718</v>
      </c>
      <c r="G70" s="2244"/>
      <c r="H70" s="2069"/>
      <c r="I70" s="2070">
        <f>SUM(I66:I68)</f>
        <v>0</v>
      </c>
      <c r="J70" s="2069"/>
      <c r="K70" s="2070">
        <f>SUM(K66:K68)</f>
        <v>0</v>
      </c>
      <c r="L70" s="2069"/>
      <c r="M70" s="2070">
        <f>SUM(M66:M68)</f>
        <v>0</v>
      </c>
      <c r="N70" s="2069"/>
      <c r="O70" s="2070">
        <f>SUM(O66:O68)</f>
        <v>0</v>
      </c>
      <c r="P70" s="2069"/>
      <c r="Q70" s="2070">
        <f>SUM(Q66:Q68)</f>
        <v>0</v>
      </c>
      <c r="R70" s="2069"/>
      <c r="S70" s="2070">
        <f>SUM(S66:S68)</f>
        <v>0</v>
      </c>
    </row>
    <row r="71" spans="1:19" x14ac:dyDescent="0.35">
      <c r="A71" s="2239"/>
      <c r="B71" s="2240"/>
      <c r="C71" s="2241"/>
      <c r="D71" s="2241"/>
      <c r="E71" s="2242"/>
      <c r="F71" s="2255" t="s">
        <v>719</v>
      </c>
      <c r="G71" s="2256"/>
      <c r="H71" s="2073"/>
      <c r="I71" s="2074" t="e">
        <f>I70/#REF!</f>
        <v>#REF!</v>
      </c>
      <c r="J71" s="2073"/>
      <c r="K71" s="2074" t="e">
        <f>K70/#REF!</f>
        <v>#REF!</v>
      </c>
      <c r="L71" s="2073"/>
      <c r="M71" s="2074" t="e">
        <f>M70/#REF!</f>
        <v>#REF!</v>
      </c>
      <c r="N71" s="2073"/>
      <c r="O71" s="2074" t="e">
        <f>O70/#REF!</f>
        <v>#REF!</v>
      </c>
      <c r="P71" s="2073"/>
      <c r="Q71" s="2074" t="e">
        <f>Q70/#REF!</f>
        <v>#REF!</v>
      </c>
      <c r="R71" s="2073"/>
      <c r="S71" s="2074" t="e">
        <f>S70/#REF!</f>
        <v>#REF!</v>
      </c>
    </row>
    <row r="72" spans="1:19" x14ac:dyDescent="0.35">
      <c r="A72" s="2239"/>
      <c r="B72" s="2240"/>
      <c r="C72" s="2241"/>
      <c r="D72" s="2241"/>
      <c r="E72" s="2242"/>
      <c r="F72" s="2255" t="s">
        <v>720</v>
      </c>
      <c r="G72" s="2260"/>
      <c r="H72" s="2073"/>
      <c r="I72" s="2074" t="e">
        <f>I70/#REF!</f>
        <v>#REF!</v>
      </c>
      <c r="J72" s="2073"/>
      <c r="K72" s="2074" t="e">
        <f>K70/#REF!</f>
        <v>#REF!</v>
      </c>
      <c r="L72" s="2073"/>
      <c r="M72" s="2074" t="e">
        <f>M70/#REF!</f>
        <v>#REF!</v>
      </c>
      <c r="N72" s="2073"/>
      <c r="O72" s="2074" t="e">
        <f>O70/#REF!</f>
        <v>#REF!</v>
      </c>
      <c r="P72" s="2073"/>
      <c r="Q72" s="2074" t="e">
        <f>Q70/#REF!</f>
        <v>#REF!</v>
      </c>
      <c r="R72" s="2073"/>
      <c r="S72" s="2074" t="e">
        <f>S70/#REF!</f>
        <v>#REF!</v>
      </c>
    </row>
    <row r="73" spans="1:19" ht="15" thickBot="1" x14ac:dyDescent="0.4">
      <c r="A73" s="2239"/>
      <c r="B73" s="2240"/>
      <c r="C73" s="2241"/>
      <c r="D73" s="2241"/>
      <c r="E73" s="2242"/>
      <c r="F73" s="2243"/>
      <c r="G73" s="2261"/>
      <c r="H73" s="2077"/>
      <c r="I73" s="2078"/>
      <c r="J73" s="2077"/>
      <c r="K73" s="2078"/>
      <c r="L73" s="2077"/>
      <c r="M73" s="2078"/>
      <c r="N73" s="2077"/>
      <c r="O73" s="2078"/>
      <c r="P73" s="2077"/>
      <c r="Q73" s="2078"/>
      <c r="R73" s="2077"/>
      <c r="S73" s="2078"/>
    </row>
    <row r="74" spans="1:19" ht="15.5" thickTop="1" thickBot="1" x14ac:dyDescent="0.4">
      <c r="A74" s="3764" t="s">
        <v>721</v>
      </c>
      <c r="B74" s="3765"/>
      <c r="C74" s="12"/>
      <c r="D74" s="12"/>
      <c r="E74" s="12"/>
      <c r="F74" s="12"/>
      <c r="G74" s="43"/>
      <c r="H74" s="42"/>
      <c r="I74" s="21"/>
      <c r="J74" s="21"/>
      <c r="K74" s="21"/>
      <c r="L74" s="21"/>
      <c r="M74" s="21"/>
      <c r="N74" s="21"/>
      <c r="O74" s="21"/>
      <c r="P74" s="21"/>
      <c r="Q74" s="21"/>
      <c r="R74" s="21"/>
      <c r="S74" s="21"/>
    </row>
    <row r="75" spans="1:19" ht="15" thickTop="1" x14ac:dyDescent="0.35">
      <c r="A75" s="2364"/>
      <c r="B75" s="2284"/>
      <c r="C75" s="2365"/>
      <c r="D75" s="2365"/>
      <c r="E75" s="2365"/>
      <c r="F75" s="2365"/>
      <c r="G75" s="2388"/>
      <c r="H75" s="2389"/>
      <c r="I75" s="2367"/>
      <c r="J75" s="2367"/>
      <c r="K75" s="2367"/>
      <c r="L75" s="2367"/>
      <c r="M75" s="2367"/>
      <c r="N75" s="2367"/>
      <c r="O75" s="2367"/>
      <c r="P75" s="2367"/>
      <c r="Q75" s="2367"/>
      <c r="R75" s="2367"/>
      <c r="S75" s="2367"/>
    </row>
    <row r="76" spans="1:19" s="2" customFormat="1" x14ac:dyDescent="0.35">
      <c r="A76" s="2364"/>
      <c r="B76" s="2284"/>
      <c r="C76" s="2365"/>
      <c r="D76" s="2365"/>
      <c r="E76" s="2365"/>
      <c r="F76" s="2365"/>
      <c r="G76" s="2388"/>
      <c r="H76" s="2389"/>
      <c r="I76" s="2367"/>
      <c r="J76" s="2367"/>
      <c r="K76" s="2367"/>
      <c r="L76" s="2367"/>
      <c r="M76" s="2367"/>
      <c r="N76" s="2367"/>
      <c r="O76" s="2367"/>
      <c r="P76" s="2367"/>
      <c r="Q76" s="2367"/>
      <c r="R76" s="2367"/>
      <c r="S76" s="2367"/>
    </row>
    <row r="77" spans="1:19" s="2" customFormat="1" ht="15" thickBot="1" x14ac:dyDescent="0.4">
      <c r="A77" s="2364"/>
      <c r="B77" s="2284"/>
      <c r="C77" s="2365"/>
      <c r="D77" s="2365"/>
      <c r="E77" s="2365"/>
      <c r="F77" s="2365"/>
      <c r="G77" s="2388"/>
      <c r="H77" s="2389"/>
      <c r="I77" s="2367"/>
      <c r="J77" s="2367"/>
      <c r="K77" s="2367"/>
      <c r="L77" s="2367"/>
      <c r="M77" s="2367"/>
      <c r="N77" s="2367"/>
      <c r="O77" s="2367"/>
      <c r="P77" s="2367"/>
      <c r="Q77" s="2367"/>
      <c r="R77" s="2367"/>
      <c r="S77" s="2367"/>
    </row>
    <row r="78" spans="1:19" ht="15.5" thickTop="1" thickBot="1" x14ac:dyDescent="0.4">
      <c r="A78" s="3764" t="s">
        <v>722</v>
      </c>
      <c r="B78" s="3765"/>
      <c r="C78" s="12"/>
      <c r="D78" s="12"/>
      <c r="E78" s="12"/>
      <c r="F78" s="12"/>
      <c r="G78" s="43"/>
      <c r="H78" s="42"/>
      <c r="I78" s="21"/>
      <c r="J78" s="21"/>
      <c r="K78" s="21"/>
      <c r="L78" s="21"/>
      <c r="M78" s="21"/>
      <c r="N78" s="21"/>
      <c r="O78" s="21"/>
      <c r="P78" s="21"/>
      <c r="Q78" s="21"/>
      <c r="R78" s="21"/>
      <c r="S78" s="21"/>
    </row>
    <row r="79" spans="1:19" s="2" customFormat="1" ht="15" thickTop="1" x14ac:dyDescent="0.35">
      <c r="A79" s="2364"/>
      <c r="B79" s="2284"/>
      <c r="C79" s="2365"/>
      <c r="D79" s="2365"/>
      <c r="E79" s="2365"/>
      <c r="F79" s="2365"/>
      <c r="G79" s="2388"/>
      <c r="H79" s="2389"/>
      <c r="I79" s="2367"/>
      <c r="J79" s="2367"/>
      <c r="K79" s="2367"/>
      <c r="L79" s="2367"/>
      <c r="M79" s="2367"/>
      <c r="N79" s="2367"/>
      <c r="O79" s="2367"/>
      <c r="P79" s="2367"/>
      <c r="Q79" s="2367"/>
      <c r="R79" s="2367"/>
      <c r="S79" s="2367"/>
    </row>
    <row r="80" spans="1:19" s="2" customFormat="1" x14ac:dyDescent="0.35">
      <c r="A80" s="2364"/>
      <c r="B80" s="2284"/>
      <c r="C80" s="2365"/>
      <c r="D80" s="2365"/>
      <c r="E80" s="2365"/>
      <c r="F80" s="2365"/>
      <c r="G80" s="2388"/>
      <c r="H80" s="2389"/>
      <c r="I80" s="2367"/>
      <c r="J80" s="2367"/>
      <c r="K80" s="2367"/>
      <c r="L80" s="2367"/>
      <c r="M80" s="2367"/>
      <c r="N80" s="2367"/>
      <c r="O80" s="2367"/>
      <c r="P80" s="2367"/>
      <c r="Q80" s="2367"/>
      <c r="R80" s="2367"/>
      <c r="S80" s="2367"/>
    </row>
    <row r="81" spans="1:19" ht="15" thickBot="1" x14ac:dyDescent="0.4">
      <c r="A81" s="2364"/>
      <c r="B81" s="2284"/>
      <c r="C81" s="2365"/>
      <c r="D81" s="2365"/>
      <c r="E81" s="2365"/>
      <c r="F81" s="2365"/>
      <c r="G81" s="2388"/>
      <c r="H81" s="2389"/>
      <c r="I81" s="2367"/>
      <c r="J81" s="2367"/>
      <c r="K81" s="2367"/>
      <c r="L81" s="2367"/>
      <c r="M81" s="2367"/>
      <c r="N81" s="2367"/>
      <c r="O81" s="2367"/>
      <c r="P81" s="2367"/>
      <c r="Q81" s="2367"/>
      <c r="R81" s="2367"/>
      <c r="S81" s="2367"/>
    </row>
    <row r="82" spans="1:19" ht="15.5" thickTop="1" thickBot="1" x14ac:dyDescent="0.4">
      <c r="A82" s="3764" t="s">
        <v>723</v>
      </c>
      <c r="B82" s="3765"/>
      <c r="C82" s="12"/>
      <c r="D82" s="12"/>
      <c r="E82" s="12"/>
      <c r="F82" s="12"/>
      <c r="G82" s="43"/>
      <c r="H82" s="42"/>
      <c r="I82" s="21"/>
      <c r="J82" s="21"/>
      <c r="K82" s="21"/>
      <c r="L82" s="21"/>
      <c r="M82" s="21"/>
      <c r="N82" s="21"/>
      <c r="O82" s="21"/>
      <c r="P82" s="21"/>
      <c r="Q82" s="21"/>
      <c r="R82" s="21"/>
      <c r="S82" s="21"/>
    </row>
    <row r="83" spans="1:19" ht="15" thickTop="1" x14ac:dyDescent="0.35">
      <c r="A83" s="2364"/>
      <c r="B83" s="2284"/>
      <c r="C83" s="2365"/>
      <c r="D83" s="2365"/>
      <c r="E83" s="2365"/>
      <c r="F83" s="2365"/>
      <c r="G83" s="2388"/>
      <c r="H83" s="2389"/>
      <c r="I83" s="2367"/>
      <c r="J83" s="2367"/>
      <c r="K83" s="2367"/>
      <c r="L83" s="2367"/>
      <c r="M83" s="2367"/>
      <c r="N83" s="2367"/>
      <c r="O83" s="2367"/>
      <c r="P83" s="2367"/>
      <c r="Q83" s="2367"/>
      <c r="R83" s="2367"/>
      <c r="S83" s="2367"/>
    </row>
    <row r="84" spans="1:19" x14ac:dyDescent="0.35">
      <c r="A84" s="2286"/>
      <c r="B84" s="2284"/>
      <c r="C84" s="2285"/>
      <c r="D84" s="2285"/>
      <c r="E84" s="2285"/>
      <c r="F84" s="2285"/>
      <c r="G84" s="2349"/>
      <c r="H84" s="2268"/>
      <c r="I84" s="2081"/>
      <c r="J84" s="2081"/>
      <c r="K84" s="2081"/>
      <c r="L84" s="2081"/>
      <c r="M84" s="2081"/>
      <c r="N84" s="2081"/>
      <c r="O84" s="2081"/>
      <c r="P84" s="2081"/>
      <c r="Q84" s="2081"/>
      <c r="R84" s="2081"/>
      <c r="S84" s="2081"/>
    </row>
    <row r="85" spans="1:19" ht="15" thickBot="1" x14ac:dyDescent="0.4">
      <c r="A85" s="2269"/>
      <c r="B85" s="2270"/>
      <c r="C85" s="2285"/>
      <c r="D85" s="2285"/>
      <c r="E85" s="2285"/>
      <c r="F85" s="2285"/>
      <c r="G85" s="2349"/>
      <c r="H85" s="2272"/>
      <c r="I85" s="2084"/>
      <c r="J85" s="2084"/>
      <c r="K85" s="2084"/>
      <c r="L85" s="2084"/>
      <c r="M85" s="2084"/>
      <c r="N85" s="2084"/>
      <c r="O85" s="2084"/>
      <c r="P85" s="2084"/>
      <c r="Q85" s="2084"/>
      <c r="R85" s="2084"/>
      <c r="S85" s="2084"/>
    </row>
    <row r="86" spans="1:19" ht="15.5" thickTop="1" thickBot="1" x14ac:dyDescent="0.4">
      <c r="A86" s="3764" t="s">
        <v>724</v>
      </c>
      <c r="B86" s="3765"/>
      <c r="C86" s="12"/>
      <c r="D86" s="12"/>
      <c r="E86" s="12"/>
      <c r="F86" s="12"/>
      <c r="G86" s="43"/>
      <c r="H86" s="42"/>
      <c r="I86" s="21"/>
      <c r="J86" s="21"/>
      <c r="K86" s="21"/>
      <c r="L86" s="21"/>
      <c r="M86" s="21"/>
      <c r="N86" s="21"/>
      <c r="O86" s="21"/>
      <c r="P86" s="21"/>
      <c r="Q86" s="21"/>
      <c r="R86" s="21"/>
      <c r="S86" s="21"/>
    </row>
    <row r="87" spans="1:19" ht="15" thickTop="1" x14ac:dyDescent="0.35">
      <c r="A87" s="2368"/>
      <c r="B87" s="2369"/>
      <c r="C87" s="2365"/>
      <c r="D87" s="2365"/>
      <c r="E87" s="2365"/>
      <c r="F87" s="2365"/>
      <c r="G87" s="2388"/>
      <c r="H87" s="2389"/>
      <c r="I87" s="2367"/>
      <c r="J87" s="2367"/>
      <c r="K87" s="2367"/>
      <c r="L87" s="2367"/>
      <c r="M87" s="2367"/>
      <c r="N87" s="2367"/>
      <c r="O87" s="2367"/>
      <c r="P87" s="2367"/>
      <c r="Q87" s="2367"/>
      <c r="R87" s="2367"/>
      <c r="S87" s="2367"/>
    </row>
    <row r="88" spans="1:19" x14ac:dyDescent="0.35">
      <c r="A88" s="2269"/>
      <c r="B88" s="2270"/>
      <c r="C88" s="2285"/>
      <c r="D88" s="2285"/>
      <c r="E88" s="2285"/>
      <c r="F88" s="2285"/>
      <c r="G88" s="2349"/>
      <c r="H88" s="2274"/>
      <c r="I88" s="2087"/>
      <c r="J88" s="2087"/>
      <c r="K88" s="2087"/>
      <c r="L88" s="2087"/>
      <c r="M88" s="2087"/>
      <c r="N88" s="2087"/>
      <c r="O88" s="2087"/>
      <c r="P88" s="2087"/>
      <c r="Q88" s="2087"/>
      <c r="R88" s="2087"/>
      <c r="S88" s="2087"/>
    </row>
    <row r="89" spans="1:19" ht="15" thickBot="1" x14ac:dyDescent="0.4">
      <c r="A89" s="2269"/>
      <c r="B89" s="2270"/>
      <c r="C89" s="2285"/>
      <c r="D89" s="2285"/>
      <c r="E89" s="2285"/>
      <c r="F89" s="2285"/>
      <c r="G89" s="2349"/>
      <c r="H89" s="2274"/>
      <c r="I89" s="2087"/>
      <c r="J89" s="2087"/>
      <c r="K89" s="2087"/>
      <c r="L89" s="2087"/>
      <c r="M89" s="2087"/>
      <c r="N89" s="2087"/>
      <c r="O89" s="2087"/>
      <c r="P89" s="2087"/>
      <c r="Q89" s="2087"/>
      <c r="R89" s="2087"/>
      <c r="S89" s="2087"/>
    </row>
    <row r="90" spans="1:19" ht="15.5" thickTop="1" thickBot="1" x14ac:dyDescent="0.4">
      <c r="A90" s="3764" t="s">
        <v>725</v>
      </c>
      <c r="B90" s="3765"/>
      <c r="C90" s="12"/>
      <c r="D90" s="12"/>
      <c r="E90" s="12"/>
      <c r="F90" s="12"/>
      <c r="G90" s="43"/>
      <c r="H90" s="42"/>
      <c r="I90" s="21"/>
      <c r="J90" s="21"/>
      <c r="K90" s="21"/>
      <c r="L90" s="21"/>
      <c r="M90" s="21"/>
      <c r="N90" s="21"/>
      <c r="O90" s="21"/>
      <c r="P90" s="21"/>
      <c r="Q90" s="21"/>
      <c r="R90" s="21"/>
      <c r="S90" s="21"/>
    </row>
    <row r="91" spans="1:19" ht="15" thickTop="1" x14ac:dyDescent="0.35">
      <c r="A91" s="2286"/>
      <c r="B91" s="2284" t="s">
        <v>726</v>
      </c>
      <c r="C91" s="2285"/>
      <c r="D91" s="2285"/>
      <c r="E91" s="2285"/>
      <c r="F91" s="2285"/>
      <c r="G91" s="2349"/>
      <c r="H91" s="2274"/>
      <c r="I91" s="2087"/>
      <c r="J91" s="2087"/>
      <c r="K91" s="2087"/>
      <c r="L91" s="2087"/>
      <c r="M91" s="2087"/>
      <c r="N91" s="2087"/>
      <c r="O91" s="2087"/>
      <c r="P91" s="2087"/>
      <c r="Q91" s="2087"/>
      <c r="R91" s="2087"/>
      <c r="S91" s="2087"/>
    </row>
    <row r="92" spans="1:19" x14ac:dyDescent="0.35">
      <c r="A92" s="2286"/>
      <c r="B92" s="2284" t="s">
        <v>727</v>
      </c>
      <c r="C92" s="2285"/>
      <c r="D92" s="2285"/>
      <c r="E92" s="2285"/>
      <c r="F92" s="2285"/>
      <c r="G92" s="2349"/>
      <c r="H92" s="2274"/>
      <c r="I92" s="2087"/>
      <c r="J92" s="2087"/>
      <c r="K92" s="2087"/>
      <c r="L92" s="2087"/>
      <c r="M92" s="2087"/>
      <c r="N92" s="2087"/>
      <c r="O92" s="2087"/>
      <c r="P92" s="2087"/>
      <c r="Q92" s="2087"/>
      <c r="R92" s="2087"/>
      <c r="S92" s="2087"/>
    </row>
    <row r="93" spans="1:19" x14ac:dyDescent="0.35">
      <c r="A93" s="2286"/>
      <c r="B93" s="2284" t="s">
        <v>728</v>
      </c>
      <c r="C93" s="2285"/>
      <c r="D93" s="2285"/>
      <c r="E93" s="2285"/>
      <c r="F93" s="2285"/>
      <c r="G93" s="2349"/>
      <c r="H93" s="2274"/>
      <c r="I93" s="2087"/>
      <c r="J93" s="2087"/>
      <c r="K93" s="2087"/>
      <c r="L93" s="2087"/>
      <c r="M93" s="2087"/>
      <c r="N93" s="2087"/>
      <c r="O93" s="2087"/>
      <c r="P93" s="2087"/>
      <c r="Q93" s="2087"/>
      <c r="R93" s="2087"/>
      <c r="S93" s="2087"/>
    </row>
    <row r="94" spans="1:19" x14ac:dyDescent="0.35">
      <c r="A94" s="2286"/>
      <c r="B94" s="2284" t="s">
        <v>729</v>
      </c>
      <c r="C94" s="2285"/>
      <c r="D94" s="2285"/>
      <c r="E94" s="2285"/>
      <c r="F94" s="2285"/>
      <c r="G94" s="2349"/>
      <c r="H94" s="2274"/>
      <c r="I94" s="2087"/>
      <c r="J94" s="2087"/>
      <c r="K94" s="2087"/>
      <c r="L94" s="2087"/>
      <c r="M94" s="2087"/>
      <c r="N94" s="2087"/>
      <c r="O94" s="2087"/>
      <c r="P94" s="2087"/>
      <c r="Q94" s="2087"/>
      <c r="R94" s="2087"/>
      <c r="S94" s="2087"/>
    </row>
    <row r="95" spans="1:19" ht="15" thickBot="1" x14ac:dyDescent="0.4">
      <c r="A95" s="978"/>
      <c r="B95" s="939"/>
      <c r="C95" s="940"/>
      <c r="D95" s="940"/>
      <c r="E95" s="940"/>
      <c r="F95" s="940"/>
      <c r="G95" s="979"/>
      <c r="H95" s="980"/>
      <c r="I95" s="981"/>
      <c r="J95" s="981"/>
      <c r="K95" s="981"/>
      <c r="L95" s="981"/>
      <c r="M95" s="981"/>
      <c r="N95" s="981"/>
      <c r="O95" s="981"/>
      <c r="P95" s="981"/>
      <c r="Q95" s="981"/>
      <c r="R95" s="981"/>
      <c r="S95" s="981"/>
    </row>
    <row r="96" spans="1:19" ht="15.5" thickTop="1" thickBot="1" x14ac:dyDescent="0.4">
      <c r="A96" s="7" t="s">
        <v>730</v>
      </c>
      <c r="B96" s="8"/>
      <c r="C96" s="12"/>
      <c r="D96" s="12"/>
      <c r="E96" s="12"/>
      <c r="F96" s="12"/>
      <c r="G96" s="43"/>
      <c r="H96" s="42"/>
      <c r="I96" s="21"/>
      <c r="J96" s="21"/>
      <c r="K96" s="21"/>
      <c r="L96" s="21"/>
      <c r="M96" s="21"/>
      <c r="N96" s="21"/>
      <c r="O96" s="21"/>
      <c r="P96" s="21"/>
      <c r="Q96" s="21"/>
      <c r="R96" s="21"/>
      <c r="S96" s="21"/>
    </row>
    <row r="97" spans="1:19" ht="15" thickTop="1" x14ac:dyDescent="0.35">
      <c r="A97" s="2364"/>
      <c r="B97" s="2370" t="s">
        <v>731</v>
      </c>
      <c r="C97" s="2365"/>
      <c r="D97" s="2365"/>
      <c r="E97" s="2365"/>
      <c r="F97" s="2365"/>
      <c r="G97" s="2388"/>
      <c r="H97" s="2375"/>
      <c r="I97" s="2371"/>
      <c r="J97" s="2371"/>
      <c r="K97" s="2371"/>
      <c r="L97" s="2371"/>
      <c r="M97" s="2371"/>
      <c r="N97" s="2371"/>
      <c r="O97" s="2371"/>
      <c r="P97" s="2371"/>
      <c r="Q97" s="2371"/>
      <c r="R97" s="2371"/>
      <c r="S97" s="2371"/>
    </row>
    <row r="98" spans="1:19" x14ac:dyDescent="0.35">
      <c r="A98" s="2286"/>
      <c r="B98" s="2284" t="s">
        <v>732</v>
      </c>
      <c r="C98" s="2285"/>
      <c r="D98" s="2285"/>
      <c r="E98" s="2285"/>
      <c r="F98" s="2285"/>
      <c r="G98" s="2349"/>
      <c r="H98" s="2276"/>
      <c r="I98" s="2158"/>
      <c r="J98" s="2158"/>
      <c r="K98" s="2158"/>
      <c r="L98" s="2158"/>
      <c r="M98" s="2158"/>
      <c r="N98" s="2158"/>
      <c r="O98" s="2158"/>
      <c r="P98" s="2158"/>
      <c r="Q98" s="2158"/>
      <c r="R98" s="2158"/>
      <c r="S98" s="2158"/>
    </row>
    <row r="99" spans="1:19" ht="15" thickBot="1" x14ac:dyDescent="0.4">
      <c r="A99" s="2089"/>
      <c r="B99" s="2090" t="s">
        <v>733</v>
      </c>
      <c r="C99" s="2091"/>
      <c r="D99" s="2091"/>
      <c r="E99" s="2091"/>
      <c r="F99" s="2091"/>
      <c r="G99" s="2350"/>
      <c r="H99" s="2277"/>
      <c r="I99" s="2093"/>
      <c r="J99" s="2093"/>
      <c r="K99" s="2093"/>
      <c r="L99" s="2093"/>
      <c r="M99" s="2093"/>
      <c r="N99" s="2093"/>
      <c r="O99" s="2093"/>
      <c r="P99" s="2093"/>
      <c r="Q99" s="2093"/>
      <c r="R99" s="2093"/>
      <c r="S99" s="2093"/>
    </row>
    <row r="100" spans="1:19" ht="15.5" thickTop="1" thickBot="1" x14ac:dyDescent="0.4"/>
    <row r="101" spans="1:19" ht="15.5" thickTop="1" thickBot="1" x14ac:dyDescent="0.4">
      <c r="A101" s="78" t="s">
        <v>734</v>
      </c>
      <c r="B101" s="80"/>
    </row>
    <row r="102" spans="1:19" ht="15" thickTop="1" x14ac:dyDescent="0.35">
      <c r="A102" s="79" t="s">
        <v>632</v>
      </c>
      <c r="B102" s="2094"/>
    </row>
    <row r="103" spans="1:19" x14ac:dyDescent="0.35">
      <c r="A103" s="2279" t="s">
        <v>636</v>
      </c>
      <c r="B103" s="2094"/>
    </row>
    <row r="104" spans="1:19" x14ac:dyDescent="0.35">
      <c r="A104" s="2096" t="s">
        <v>639</v>
      </c>
      <c r="B104" s="2097"/>
    </row>
    <row r="105" spans="1:19" x14ac:dyDescent="0.35">
      <c r="A105" s="2096" t="s">
        <v>642</v>
      </c>
      <c r="B105" s="2159"/>
    </row>
    <row r="106" spans="1:19" ht="15" thickBot="1" x14ac:dyDescent="0.4">
      <c r="A106" s="2099" t="s">
        <v>735</v>
      </c>
      <c r="B106" s="2100"/>
    </row>
    <row r="107" spans="1:19" ht="15" thickTop="1" x14ac:dyDescent="0.35"/>
    <row r="108" spans="1:19" x14ac:dyDescent="0.35">
      <c r="A108" s="81"/>
      <c r="B108" s="1" t="s">
        <v>736</v>
      </c>
    </row>
    <row r="109" spans="1:19" x14ac:dyDescent="0.35">
      <c r="A109" s="82"/>
      <c r="B109" s="1" t="s">
        <v>737</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545205F6-FA4E-4375-9979-3E2AD6C37031}"/>
  </hyperlink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D3C9-72B8-41C3-9463-0257A7AEEA79}">
  <sheetPr>
    <tabColor rgb="FF92D050"/>
  </sheetPr>
  <dimension ref="A1:S98"/>
  <sheetViews>
    <sheetView zoomScale="87" zoomScaleNormal="87" workbookViewId="0">
      <pane xSplit="2" ySplit="9" topLeftCell="C50" activePane="bottomRight" state="frozen"/>
      <selection pane="topRight" activeCell="C1" sqref="C1"/>
      <selection pane="bottomLeft" activeCell="A11" sqref="A11"/>
      <selection pane="bottomRight" activeCell="H35" sqref="H35:H40"/>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2664</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2665</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ht="15" thickBot="1" x14ac:dyDescent="0.4">
      <c r="A8" s="938" t="s">
        <v>644</v>
      </c>
      <c r="B8" s="939"/>
      <c r="C8" s="940"/>
      <c r="D8" s="940"/>
      <c r="E8" s="940"/>
      <c r="F8" s="940"/>
      <c r="G8" s="1024" t="s">
        <v>644</v>
      </c>
      <c r="H8" s="3945">
        <f>I59</f>
        <v>0</v>
      </c>
      <c r="I8" s="3944"/>
      <c r="J8" s="3945">
        <f>K59</f>
        <v>0</v>
      </c>
      <c r="K8" s="3944"/>
      <c r="L8" s="3945">
        <f>M59</f>
        <v>0</v>
      </c>
      <c r="M8" s="3944"/>
      <c r="N8" s="3945">
        <f>O59</f>
        <v>0</v>
      </c>
      <c r="O8" s="3944"/>
      <c r="P8" s="3945">
        <f>Q59</f>
        <v>0</v>
      </c>
      <c r="Q8" s="3944"/>
      <c r="R8" s="3945">
        <f>S59</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373"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ht="15" thickBot="1" x14ac:dyDescent="0.4">
      <c r="A21" s="2379"/>
      <c r="B21" s="2203" t="s">
        <v>2664</v>
      </c>
      <c r="C21" s="45"/>
      <c r="D21" s="46"/>
      <c r="E21" s="46"/>
      <c r="F21" s="46"/>
      <c r="G21" s="52"/>
      <c r="H21" s="2109"/>
      <c r="I21" s="47"/>
      <c r="J21" s="2109"/>
      <c r="K21" s="47"/>
      <c r="L21" s="2109"/>
      <c r="M21" s="47"/>
      <c r="N21" s="2109"/>
      <c r="O21" s="47"/>
      <c r="P21" s="2109"/>
      <c r="Q21" s="47"/>
      <c r="R21" s="2109"/>
      <c r="S21" s="47"/>
    </row>
    <row r="22" spans="1:19" ht="13.5" customHeight="1" x14ac:dyDescent="0.35">
      <c r="A22" s="2379"/>
      <c r="B22" s="606" t="s">
        <v>657</v>
      </c>
      <c r="C22" s="2201"/>
      <c r="D22" s="2285"/>
      <c r="E22" s="2285"/>
      <c r="F22" s="2285"/>
      <c r="G22" s="2198"/>
      <c r="H22" s="2109"/>
      <c r="I22" s="2375"/>
      <c r="J22" s="2109"/>
      <c r="K22" s="2375"/>
      <c r="L22" s="2109"/>
      <c r="M22" s="2375"/>
      <c r="N22" s="2109"/>
      <c r="O22" s="2375"/>
      <c r="P22" s="2109"/>
      <c r="Q22" s="2375"/>
      <c r="R22" s="2109"/>
      <c r="S22" s="2375"/>
    </row>
    <row r="23" spans="1:19" x14ac:dyDescent="0.35">
      <c r="A23" s="2374"/>
      <c r="B23" s="2376" t="s">
        <v>658</v>
      </c>
      <c r="C23" s="2201"/>
      <c r="D23" s="2285"/>
      <c r="E23" s="2285"/>
      <c r="F23" s="2285"/>
      <c r="G23" s="2198"/>
      <c r="H23" s="2109"/>
      <c r="I23" s="2377"/>
      <c r="J23" s="2109"/>
      <c r="K23" s="2375"/>
      <c r="L23" s="2109"/>
      <c r="M23" s="2375"/>
      <c r="N23" s="2109"/>
      <c r="O23" s="2375"/>
      <c r="P23" s="2109"/>
      <c r="Q23" s="2375"/>
      <c r="R23" s="2109"/>
      <c r="S23" s="2375"/>
    </row>
    <row r="24" spans="1:19" x14ac:dyDescent="0.35">
      <c r="A24" s="2374"/>
      <c r="B24" s="2376" t="s">
        <v>659</v>
      </c>
      <c r="C24" s="2208"/>
      <c r="D24" s="2285"/>
      <c r="E24" s="2285"/>
      <c r="F24" s="2285"/>
      <c r="G24" s="2198"/>
      <c r="H24" s="2109"/>
      <c r="I24" s="2377"/>
      <c r="J24" s="2109"/>
      <c r="K24" s="2375"/>
      <c r="L24" s="2109"/>
      <c r="M24" s="2375"/>
      <c r="N24" s="2109"/>
      <c r="O24" s="2375"/>
      <c r="P24" s="2109"/>
      <c r="Q24" s="2375"/>
      <c r="R24" s="2109"/>
      <c r="S24" s="2375"/>
    </row>
    <row r="25" spans="1:19" x14ac:dyDescent="0.35">
      <c r="A25" s="2374"/>
      <c r="B25" s="2378" t="s">
        <v>660</v>
      </c>
      <c r="C25" s="2208"/>
      <c r="D25" s="2285"/>
      <c r="E25" s="2285"/>
      <c r="F25" s="2285"/>
      <c r="G25" s="2198"/>
      <c r="H25" s="2109"/>
      <c r="I25" s="2377"/>
      <c r="J25" s="2109"/>
      <c r="K25" s="2375"/>
      <c r="L25" s="2109"/>
      <c r="M25" s="2375"/>
      <c r="N25" s="2109"/>
      <c r="O25" s="2375"/>
      <c r="P25" s="2109"/>
      <c r="Q25" s="2375"/>
      <c r="R25" s="2109"/>
      <c r="S25" s="2375"/>
    </row>
    <row r="26" spans="1:19" s="77" customFormat="1" x14ac:dyDescent="0.35">
      <c r="A26" s="2379"/>
      <c r="B26" s="2378" t="s">
        <v>661</v>
      </c>
      <c r="C26" s="2211"/>
      <c r="D26" s="2212"/>
      <c r="E26" s="2212"/>
      <c r="F26" s="2212"/>
      <c r="G26" s="2211"/>
      <c r="H26" s="2109"/>
      <c r="I26" s="2377"/>
      <c r="J26" s="2109"/>
      <c r="K26" s="2390"/>
      <c r="L26" s="2109"/>
      <c r="M26" s="2390"/>
      <c r="N26" s="2109"/>
      <c r="O26" s="2390"/>
      <c r="P26" s="2109"/>
      <c r="Q26" s="2390"/>
      <c r="R26" s="2109"/>
      <c r="S26" s="2390"/>
    </row>
    <row r="27" spans="1:19" s="77" customFormat="1" x14ac:dyDescent="0.35">
      <c r="A27" s="2379"/>
      <c r="B27" s="2378" t="s">
        <v>662</v>
      </c>
      <c r="C27" s="2211"/>
      <c r="D27" s="2212"/>
      <c r="E27" s="2212"/>
      <c r="F27" s="2212"/>
      <c r="G27" s="2211"/>
      <c r="H27" s="2109"/>
      <c r="I27" s="2377"/>
      <c r="J27" s="2109"/>
      <c r="K27" s="2390"/>
      <c r="L27" s="2109"/>
      <c r="M27" s="2390"/>
      <c r="N27" s="2109"/>
      <c r="O27" s="2390"/>
      <c r="P27" s="2109"/>
      <c r="Q27" s="2390"/>
      <c r="R27" s="2109"/>
      <c r="S27" s="2390"/>
    </row>
    <row r="28" spans="1:19" s="77" customFormat="1" x14ac:dyDescent="0.35">
      <c r="A28" s="2379"/>
      <c r="B28" s="2378" t="s">
        <v>663</v>
      </c>
      <c r="C28" s="2211"/>
      <c r="D28" s="2212"/>
      <c r="E28" s="2212"/>
      <c r="F28" s="2212"/>
      <c r="G28" s="2211"/>
      <c r="H28" s="2109"/>
      <c r="I28" s="2377"/>
      <c r="J28" s="2109"/>
      <c r="K28" s="2390"/>
      <c r="L28" s="2109"/>
      <c r="M28" s="2390"/>
      <c r="N28" s="2109"/>
      <c r="O28" s="2390"/>
      <c r="P28" s="2109"/>
      <c r="Q28" s="2390"/>
      <c r="R28" s="2109"/>
      <c r="S28" s="2390"/>
    </row>
    <row r="29" spans="1:19" s="77" customFormat="1" x14ac:dyDescent="0.35">
      <c r="A29" s="2379"/>
      <c r="B29" s="2378" t="s">
        <v>742</v>
      </c>
      <c r="C29" s="2211"/>
      <c r="D29" s="2212"/>
      <c r="E29" s="2212"/>
      <c r="F29" s="2212"/>
      <c r="G29" s="2211"/>
      <c r="H29" s="2109"/>
      <c r="I29" s="2377"/>
      <c r="J29" s="2109"/>
      <c r="K29" s="2390"/>
      <c r="L29" s="2109"/>
      <c r="M29" s="2390"/>
      <c r="N29" s="2109"/>
      <c r="O29" s="2390"/>
      <c r="P29" s="2109"/>
      <c r="Q29" s="2390"/>
      <c r="R29" s="2109"/>
      <c r="S29" s="2390"/>
    </row>
    <row r="30" spans="1:19" s="77" customFormat="1" x14ac:dyDescent="0.35">
      <c r="A30" s="2379"/>
      <c r="B30" s="2391" t="s">
        <v>664</v>
      </c>
      <c r="C30" s="2211"/>
      <c r="D30" s="2212"/>
      <c r="E30" s="2212"/>
      <c r="F30" s="2212"/>
      <c r="G30" s="2211"/>
      <c r="H30" s="2109"/>
      <c r="I30" s="2377"/>
      <c r="J30" s="2109"/>
      <c r="K30" s="2390"/>
      <c r="L30" s="2109"/>
      <c r="M30" s="2390"/>
      <c r="N30" s="2109"/>
      <c r="O30" s="2390"/>
      <c r="P30" s="2109"/>
      <c r="Q30" s="2390"/>
      <c r="R30" s="2109"/>
      <c r="S30" s="2390"/>
    </row>
    <row r="31" spans="1:19" s="77" customFormat="1" x14ac:dyDescent="0.35">
      <c r="A31" s="2379"/>
      <c r="B31" s="2392" t="s">
        <v>665</v>
      </c>
      <c r="C31" s="2216"/>
      <c r="D31" s="2217"/>
      <c r="E31" s="2217"/>
      <c r="F31" s="2217"/>
      <c r="G31" s="2216"/>
      <c r="H31" s="2288"/>
      <c r="I31" s="2393"/>
      <c r="J31" s="2289"/>
      <c r="K31" s="2394"/>
      <c r="L31" s="2289"/>
      <c r="M31" s="2394"/>
      <c r="N31" s="2394"/>
      <c r="O31" s="2394"/>
      <c r="P31" s="2394"/>
      <c r="Q31" s="2394"/>
      <c r="R31" s="2394"/>
      <c r="S31" s="2394"/>
    </row>
    <row r="32" spans="1:19" s="77" customFormat="1" x14ac:dyDescent="0.35">
      <c r="A32" s="2379"/>
      <c r="B32" s="2340"/>
      <c r="C32" s="2211"/>
      <c r="D32" s="2212"/>
      <c r="E32" s="2212"/>
      <c r="F32" s="2212"/>
      <c r="G32" s="2211"/>
      <c r="H32" s="2109"/>
      <c r="I32" s="2377"/>
      <c r="J32" s="2109"/>
      <c r="K32" s="2390"/>
      <c r="L32" s="2109"/>
      <c r="M32" s="2390"/>
      <c r="N32" s="2109"/>
      <c r="O32" s="2390"/>
      <c r="P32" s="2109"/>
      <c r="Q32" s="2390"/>
      <c r="R32" s="2109"/>
      <c r="S32" s="2390"/>
    </row>
    <row r="33" spans="1:19" s="77" customFormat="1" x14ac:dyDescent="0.35">
      <c r="A33" s="2395"/>
      <c r="B33" s="2340"/>
      <c r="C33" s="2236"/>
      <c r="D33" s="2212"/>
      <c r="E33" s="2212"/>
      <c r="F33" s="2212"/>
      <c r="G33" s="2211"/>
      <c r="H33" s="2109"/>
      <c r="I33" s="2377"/>
      <c r="J33" s="2109"/>
      <c r="K33" s="2390"/>
      <c r="L33" s="2109"/>
      <c r="M33" s="2390"/>
      <c r="N33" s="2109"/>
      <c r="O33" s="2390"/>
      <c r="P33" s="2109"/>
      <c r="Q33" s="2390"/>
      <c r="R33" s="2109"/>
      <c r="S33" s="2390"/>
    </row>
    <row r="34" spans="1:19" s="77" customFormat="1" x14ac:dyDescent="0.35">
      <c r="A34" s="2395"/>
      <c r="B34" s="2340"/>
      <c r="C34" s="2236"/>
      <c r="D34" s="2212"/>
      <c r="E34" s="2212"/>
      <c r="F34" s="2212"/>
      <c r="G34" s="2211"/>
      <c r="H34" s="2109"/>
      <c r="I34" s="2377"/>
      <c r="J34" s="2109"/>
      <c r="K34" s="2390"/>
      <c r="L34" s="2109"/>
      <c r="M34" s="2390"/>
      <c r="N34" s="2109"/>
      <c r="O34" s="2390"/>
      <c r="P34" s="2109"/>
      <c r="Q34" s="2390"/>
      <c r="R34" s="2109"/>
      <c r="S34" s="2390"/>
    </row>
    <row r="35" spans="1:19" s="77" customFormat="1" x14ac:dyDescent="0.35">
      <c r="A35" s="2395"/>
      <c r="B35" s="2340"/>
      <c r="C35" s="2236"/>
      <c r="D35" s="2212"/>
      <c r="E35" s="2212"/>
      <c r="F35" s="2212"/>
      <c r="G35" s="2211"/>
      <c r="H35" s="2109"/>
      <c r="I35" s="2377"/>
      <c r="J35" s="2109"/>
      <c r="K35" s="2390"/>
      <c r="L35" s="2109"/>
      <c r="M35" s="2390"/>
      <c r="N35" s="2109"/>
      <c r="O35" s="2390"/>
      <c r="P35" s="2109"/>
      <c r="Q35" s="2390"/>
      <c r="R35" s="2109"/>
      <c r="S35" s="2390"/>
    </row>
    <row r="36" spans="1:19" s="77" customFormat="1" x14ac:dyDescent="0.35">
      <c r="A36" s="2395"/>
      <c r="B36" s="2340"/>
      <c r="C36" s="2236"/>
      <c r="D36" s="2212"/>
      <c r="E36" s="2212"/>
      <c r="F36" s="2212"/>
      <c r="G36" s="2211"/>
      <c r="H36" s="2109"/>
      <c r="I36" s="2377"/>
      <c r="J36" s="2109"/>
      <c r="K36" s="2390"/>
      <c r="L36" s="2109"/>
      <c r="M36" s="2390"/>
      <c r="N36" s="2109"/>
      <c r="O36" s="2390"/>
      <c r="P36" s="2109"/>
      <c r="Q36" s="2390"/>
      <c r="R36" s="2109"/>
      <c r="S36" s="2390"/>
    </row>
    <row r="37" spans="1:19" s="77" customFormat="1" x14ac:dyDescent="0.35">
      <c r="A37" s="2395"/>
      <c r="B37" s="2340"/>
      <c r="C37" s="2236"/>
      <c r="D37" s="2212"/>
      <c r="E37" s="2212"/>
      <c r="F37" s="2212"/>
      <c r="G37" s="2211"/>
      <c r="H37" s="2109"/>
      <c r="I37" s="2377"/>
      <c r="J37" s="2109"/>
      <c r="K37" s="2390"/>
      <c r="L37" s="2109"/>
      <c r="M37" s="2390"/>
      <c r="N37" s="2109"/>
      <c r="O37" s="2390"/>
      <c r="P37" s="2109"/>
      <c r="Q37" s="2390"/>
      <c r="R37" s="2109"/>
      <c r="S37" s="2390"/>
    </row>
    <row r="38" spans="1:19" s="77" customFormat="1" x14ac:dyDescent="0.35">
      <c r="A38" s="2395"/>
      <c r="B38" s="2340"/>
      <c r="C38" s="2236"/>
      <c r="D38" s="2212"/>
      <c r="E38" s="2341"/>
      <c r="F38" s="2342"/>
      <c r="G38" s="2211"/>
      <c r="H38" s="2109"/>
      <c r="I38" s="2377"/>
      <c r="J38" s="2109"/>
      <c r="K38" s="2390"/>
      <c r="L38" s="2109"/>
      <c r="M38" s="2390"/>
      <c r="N38" s="2109"/>
      <c r="O38" s="2390"/>
      <c r="P38" s="2109"/>
      <c r="Q38" s="2390"/>
      <c r="R38" s="2109"/>
      <c r="S38" s="2390"/>
    </row>
    <row r="39" spans="1:19" s="77" customFormat="1" x14ac:dyDescent="0.35">
      <c r="A39" s="2395"/>
      <c r="B39" s="2340"/>
      <c r="C39" s="2236"/>
      <c r="D39" s="2212"/>
      <c r="E39" s="2341"/>
      <c r="F39" s="2342"/>
      <c r="G39" s="2211"/>
      <c r="H39" s="2109"/>
      <c r="I39" s="2377"/>
      <c r="J39" s="2109"/>
      <c r="K39" s="2390"/>
      <c r="L39" s="2109"/>
      <c r="M39" s="2390"/>
      <c r="N39" s="2109"/>
      <c r="O39" s="2390"/>
      <c r="P39" s="2109"/>
      <c r="Q39" s="2390"/>
      <c r="R39" s="2109"/>
      <c r="S39" s="2390"/>
    </row>
    <row r="40" spans="1:19" s="77" customFormat="1" x14ac:dyDescent="0.35">
      <c r="A40" s="2395"/>
      <c r="B40" s="2340"/>
      <c r="C40" s="2236"/>
      <c r="D40" s="2212"/>
      <c r="E40" s="2341"/>
      <c r="F40" s="2342"/>
      <c r="G40" s="2211"/>
      <c r="H40" s="2109"/>
      <c r="I40" s="2377"/>
      <c r="J40" s="2109"/>
      <c r="K40" s="2390"/>
      <c r="L40" s="2109"/>
      <c r="M40" s="2390"/>
      <c r="N40" s="2109"/>
      <c r="O40" s="2390"/>
      <c r="P40" s="2109"/>
      <c r="Q40" s="2390"/>
      <c r="R40" s="2109"/>
      <c r="S40" s="2390"/>
    </row>
    <row r="41" spans="1:19" s="77" customFormat="1" x14ac:dyDescent="0.35">
      <c r="A41" s="2395"/>
      <c r="B41" s="2396"/>
      <c r="C41" s="2236"/>
      <c r="D41" s="2212"/>
      <c r="E41" s="2341"/>
      <c r="F41" s="2342"/>
      <c r="G41" s="2211"/>
      <c r="H41" s="2109"/>
      <c r="I41" s="2377"/>
      <c r="J41" s="2109"/>
      <c r="K41" s="2390"/>
      <c r="L41" s="2109"/>
      <c r="M41" s="2390"/>
      <c r="N41" s="2109"/>
      <c r="O41" s="2390"/>
      <c r="P41" s="2109"/>
      <c r="Q41" s="2390"/>
      <c r="R41" s="2109"/>
      <c r="S41" s="2390"/>
    </row>
    <row r="42" spans="1:19" s="77" customFormat="1" x14ac:dyDescent="0.35">
      <c r="A42" s="2395"/>
      <c r="B42" s="2397"/>
      <c r="C42" s="2236"/>
      <c r="D42" s="2212"/>
      <c r="E42" s="2341"/>
      <c r="F42" s="2342"/>
      <c r="G42" s="2211"/>
      <c r="H42" s="2109"/>
      <c r="I42" s="2377"/>
      <c r="J42" s="2109"/>
      <c r="K42" s="2390"/>
      <c r="L42" s="2109"/>
      <c r="M42" s="2390"/>
      <c r="N42" s="2109"/>
      <c r="O42" s="2390"/>
      <c r="P42" s="2109"/>
      <c r="Q42" s="2390"/>
      <c r="R42" s="2109"/>
      <c r="S42" s="2390"/>
    </row>
    <row r="43" spans="1:19" s="77" customFormat="1" x14ac:dyDescent="0.35">
      <c r="A43" s="2395"/>
      <c r="B43" s="128"/>
      <c r="C43" s="2236"/>
      <c r="D43" s="2212"/>
      <c r="E43" s="2341"/>
      <c r="F43" s="2342"/>
      <c r="G43" s="2211"/>
      <c r="H43" s="2109"/>
      <c r="I43" s="2377"/>
      <c r="J43" s="2109"/>
      <c r="K43" s="2390"/>
      <c r="L43" s="2109"/>
      <c r="M43" s="2390"/>
      <c r="N43" s="2109"/>
      <c r="O43" s="2390"/>
      <c r="P43" s="2109"/>
      <c r="Q43" s="2390"/>
      <c r="R43" s="2109"/>
      <c r="S43" s="2390"/>
    </row>
    <row r="44" spans="1:19" s="77" customFormat="1" x14ac:dyDescent="0.35">
      <c r="A44" s="2395"/>
      <c r="B44" s="2340"/>
      <c r="C44" s="2236"/>
      <c r="D44" s="2212"/>
      <c r="E44" s="2341"/>
      <c r="F44" s="2342"/>
      <c r="G44" s="2211"/>
      <c r="H44" s="2109"/>
      <c r="I44" s="2377"/>
      <c r="J44" s="2109"/>
      <c r="K44" s="2390"/>
      <c r="L44" s="2109"/>
      <c r="M44" s="2390"/>
      <c r="N44" s="2109"/>
      <c r="O44" s="2390"/>
      <c r="P44" s="2109"/>
      <c r="Q44" s="2390"/>
      <c r="R44" s="2109"/>
      <c r="S44" s="2390"/>
    </row>
    <row r="45" spans="1:19" s="77" customFormat="1" x14ac:dyDescent="0.35">
      <c r="A45" s="2395"/>
      <c r="B45" s="2340"/>
      <c r="C45" s="2236"/>
      <c r="D45" s="2212"/>
      <c r="E45" s="2341"/>
      <c r="F45" s="2342"/>
      <c r="G45" s="2211"/>
      <c r="H45" s="2109"/>
      <c r="I45" s="2377"/>
      <c r="J45" s="2109"/>
      <c r="K45" s="2390"/>
      <c r="L45" s="2109"/>
      <c r="M45" s="2390"/>
      <c r="N45" s="2109"/>
      <c r="O45" s="2390"/>
      <c r="P45" s="2109"/>
      <c r="Q45" s="2390"/>
      <c r="R45" s="2109"/>
      <c r="S45" s="2390"/>
    </row>
    <row r="46" spans="1:19" s="77" customFormat="1" x14ac:dyDescent="0.35">
      <c r="A46" s="2395"/>
      <c r="B46" s="2340"/>
      <c r="C46" s="2236"/>
      <c r="D46" s="2212"/>
      <c r="E46" s="2341"/>
      <c r="F46" s="2342"/>
      <c r="G46" s="2211"/>
      <c r="H46" s="2109"/>
      <c r="I46" s="2377"/>
      <c r="J46" s="2109"/>
      <c r="K46" s="2390"/>
      <c r="L46" s="2109"/>
      <c r="M46" s="2390"/>
      <c r="N46" s="2109"/>
      <c r="O46" s="2390"/>
      <c r="P46" s="2109"/>
      <c r="Q46" s="2390"/>
      <c r="R46" s="2109"/>
      <c r="S46" s="2390"/>
    </row>
    <row r="47" spans="1:19" s="77" customFormat="1" x14ac:dyDescent="0.35">
      <c r="A47" s="2395"/>
      <c r="B47" s="2340"/>
      <c r="C47" s="2236"/>
      <c r="D47" s="2212"/>
      <c r="E47" s="2341"/>
      <c r="F47" s="2342"/>
      <c r="G47" s="2211"/>
      <c r="H47" s="2109"/>
      <c r="I47" s="2377"/>
      <c r="J47" s="2109"/>
      <c r="K47" s="2390"/>
      <c r="L47" s="2109"/>
      <c r="M47" s="2390"/>
      <c r="N47" s="2109"/>
      <c r="O47" s="2390"/>
      <c r="P47" s="2109"/>
      <c r="Q47" s="2390"/>
      <c r="R47" s="2109"/>
      <c r="S47" s="2390"/>
    </row>
    <row r="48" spans="1:19" s="77" customFormat="1" x14ac:dyDescent="0.35">
      <c r="A48" s="2395"/>
      <c r="B48" s="2340"/>
      <c r="C48" s="2236"/>
      <c r="D48" s="2212"/>
      <c r="E48" s="2341"/>
      <c r="F48" s="2342"/>
      <c r="G48" s="2211"/>
      <c r="H48" s="2109"/>
      <c r="I48" s="2377"/>
      <c r="J48" s="2109"/>
      <c r="K48" s="2390"/>
      <c r="L48" s="2109"/>
      <c r="M48" s="2390"/>
      <c r="N48" s="2109"/>
      <c r="O48" s="2390"/>
      <c r="P48" s="2109"/>
      <c r="Q48" s="2390"/>
      <c r="R48" s="2109"/>
      <c r="S48" s="2390"/>
    </row>
    <row r="49" spans="1:19" s="77" customFormat="1" x14ac:dyDescent="0.35">
      <c r="A49" s="2395"/>
      <c r="B49" s="2340"/>
      <c r="C49" s="2236"/>
      <c r="D49" s="2212"/>
      <c r="E49" s="2341"/>
      <c r="F49" s="2342"/>
      <c r="G49" s="2211"/>
      <c r="H49" s="2109"/>
      <c r="I49" s="2377"/>
      <c r="J49" s="2109"/>
      <c r="K49" s="2390"/>
      <c r="L49" s="2109"/>
      <c r="M49" s="2390"/>
      <c r="N49" s="2109"/>
      <c r="O49" s="2390"/>
      <c r="P49" s="2109"/>
      <c r="Q49" s="2390"/>
      <c r="R49" s="2109"/>
      <c r="S49" s="2390"/>
    </row>
    <row r="50" spans="1:19" s="77" customFormat="1" x14ac:dyDescent="0.35">
      <c r="A50" s="2395"/>
      <c r="B50" s="2340"/>
      <c r="C50" s="2236"/>
      <c r="D50" s="2212"/>
      <c r="E50" s="2341"/>
      <c r="F50" s="2342"/>
      <c r="G50" s="2211"/>
      <c r="H50" s="2109"/>
      <c r="I50" s="2377"/>
      <c r="J50" s="2109"/>
      <c r="K50" s="2390"/>
      <c r="L50" s="2109"/>
      <c r="M50" s="2390"/>
      <c r="N50" s="2109"/>
      <c r="O50" s="2390"/>
      <c r="P50" s="2109"/>
      <c r="Q50" s="2390"/>
      <c r="R50" s="2109"/>
      <c r="S50" s="2390"/>
    </row>
    <row r="51" spans="1:19" s="77" customFormat="1" x14ac:dyDescent="0.35">
      <c r="A51" s="2395"/>
      <c r="B51" s="2340"/>
      <c r="C51" s="2236"/>
      <c r="D51" s="2212"/>
      <c r="E51" s="2341"/>
      <c r="F51" s="2342"/>
      <c r="G51" s="2211"/>
      <c r="H51" s="2109"/>
      <c r="I51" s="2377"/>
      <c r="J51" s="2109"/>
      <c r="K51" s="2390"/>
      <c r="L51" s="2109"/>
      <c r="M51" s="2390"/>
      <c r="N51" s="2109"/>
      <c r="O51" s="2390"/>
      <c r="P51" s="2109"/>
      <c r="Q51" s="2390"/>
      <c r="R51" s="2109"/>
      <c r="S51" s="2390"/>
    </row>
    <row r="52" spans="1:19" s="77" customFormat="1" x14ac:dyDescent="0.35">
      <c r="A52" s="2395"/>
      <c r="B52" s="2340"/>
      <c r="C52" s="2236"/>
      <c r="D52" s="2212"/>
      <c r="E52" s="2341"/>
      <c r="F52" s="2342"/>
      <c r="G52" s="2211"/>
      <c r="H52" s="2109"/>
      <c r="I52" s="2377"/>
      <c r="J52" s="2109"/>
      <c r="K52" s="2390"/>
      <c r="L52" s="2109"/>
      <c r="M52" s="2390"/>
      <c r="N52" s="2109"/>
      <c r="O52" s="2390"/>
      <c r="P52" s="2109"/>
      <c r="Q52" s="2390"/>
      <c r="R52" s="2109"/>
      <c r="S52" s="2390"/>
    </row>
    <row r="53" spans="1:19" s="77" customFormat="1" x14ac:dyDescent="0.35">
      <c r="A53" s="2395"/>
      <c r="B53" s="2340"/>
      <c r="C53" s="2236"/>
      <c r="D53" s="2212"/>
      <c r="E53" s="2341"/>
      <c r="F53" s="2342"/>
      <c r="G53" s="2211"/>
      <c r="H53" s="2109"/>
      <c r="I53" s="2377"/>
      <c r="J53" s="2109"/>
      <c r="K53" s="2390"/>
      <c r="L53" s="2109"/>
      <c r="M53" s="2390"/>
      <c r="N53" s="2109"/>
      <c r="O53" s="2390"/>
      <c r="P53" s="2109"/>
      <c r="Q53" s="2390"/>
      <c r="R53" s="2109"/>
      <c r="S53" s="2390"/>
    </row>
    <row r="54" spans="1:19" s="77" customFormat="1" ht="15" thickBot="1" x14ac:dyDescent="0.4">
      <c r="A54" s="2395"/>
      <c r="B54" s="2340"/>
      <c r="C54" s="2236"/>
      <c r="D54" s="2212"/>
      <c r="E54" s="2341"/>
      <c r="F54" s="2342"/>
      <c r="G54" s="2211"/>
      <c r="H54" s="2109"/>
      <c r="I54" s="2377"/>
      <c r="J54" s="2109"/>
      <c r="K54" s="2390"/>
      <c r="L54" s="2109"/>
      <c r="M54" s="2390"/>
      <c r="N54" s="2109"/>
      <c r="O54" s="2390"/>
      <c r="P54" s="2109"/>
      <c r="Q54" s="2390"/>
      <c r="R54" s="2109"/>
      <c r="S54" s="2390"/>
    </row>
    <row r="55" spans="1:19" ht="15" thickTop="1" x14ac:dyDescent="0.35">
      <c r="A55" s="14"/>
      <c r="B55" s="15"/>
      <c r="C55" s="16"/>
      <c r="D55" s="16"/>
      <c r="E55" s="17"/>
      <c r="F55" s="18" t="s">
        <v>715</v>
      </c>
      <c r="G55" s="19"/>
      <c r="H55" s="20"/>
      <c r="I55" s="50">
        <f>SUM(I23:I54)</f>
        <v>0</v>
      </c>
      <c r="J55" s="20"/>
      <c r="K55" s="50">
        <f>SUM(K23:K54)</f>
        <v>0</v>
      </c>
      <c r="L55" s="20"/>
      <c r="M55" s="50">
        <f>SUM(M23:M54)</f>
        <v>0</v>
      </c>
      <c r="N55" s="20"/>
      <c r="O55" s="50">
        <f>SUM(O23:O54)</f>
        <v>0</v>
      </c>
      <c r="P55" s="20"/>
      <c r="Q55" s="50">
        <f>SUM(Q23:Q54)</f>
        <v>0</v>
      </c>
      <c r="R55" s="20"/>
      <c r="S55" s="50">
        <f>SUM(S23:S54)</f>
        <v>0</v>
      </c>
    </row>
    <row r="56" spans="1:19" x14ac:dyDescent="0.35">
      <c r="A56" s="2239"/>
      <c r="B56" s="2240"/>
      <c r="C56" s="2241"/>
      <c r="D56" s="2241"/>
      <c r="E56" s="2242"/>
      <c r="F56" s="2243" t="s">
        <v>716</v>
      </c>
      <c r="G56" s="2244"/>
      <c r="H56" s="2065">
        <v>0</v>
      </c>
      <c r="I56" s="2064"/>
      <c r="J56" s="2065">
        <v>0</v>
      </c>
      <c r="K56" s="2064"/>
      <c r="L56" s="2065">
        <v>0</v>
      </c>
      <c r="M56" s="2064"/>
      <c r="N56" s="2065">
        <v>0</v>
      </c>
      <c r="O56" s="2064"/>
      <c r="P56" s="2065">
        <v>0</v>
      </c>
      <c r="Q56" s="2064"/>
      <c r="R56" s="2065">
        <v>0</v>
      </c>
      <c r="S56" s="2064"/>
    </row>
    <row r="57" spans="1:19" x14ac:dyDescent="0.35">
      <c r="A57" s="2239"/>
      <c r="B57" s="2240"/>
      <c r="C57" s="2241"/>
      <c r="D57" s="2241"/>
      <c r="E57" s="2242"/>
      <c r="F57" s="2243" t="s">
        <v>717</v>
      </c>
      <c r="G57" s="2244"/>
      <c r="H57" s="2066"/>
      <c r="I57" s="2067">
        <f>H56*I55</f>
        <v>0</v>
      </c>
      <c r="J57" s="2066"/>
      <c r="K57" s="2067">
        <f>J56*K55</f>
        <v>0</v>
      </c>
      <c r="L57" s="2066"/>
      <c r="M57" s="2067">
        <f>L56*M55</f>
        <v>0</v>
      </c>
      <c r="N57" s="2066"/>
      <c r="O57" s="2067">
        <f>N56*O55</f>
        <v>0</v>
      </c>
      <c r="P57" s="2066"/>
      <c r="Q57" s="2067">
        <f>P56*Q55</f>
        <v>0</v>
      </c>
      <c r="R57" s="2066"/>
      <c r="S57" s="2067">
        <f>R56*S55</f>
        <v>0</v>
      </c>
    </row>
    <row r="58" spans="1:19" x14ac:dyDescent="0.35">
      <c r="A58" s="2239"/>
      <c r="B58" s="2240"/>
      <c r="C58" s="2241"/>
      <c r="D58" s="2241"/>
      <c r="E58" s="2242"/>
      <c r="F58" s="2243"/>
      <c r="G58" s="2244"/>
      <c r="H58" s="2066"/>
      <c r="I58" s="2068"/>
      <c r="J58" s="2066"/>
      <c r="K58" s="2068"/>
      <c r="L58" s="2066"/>
      <c r="M58" s="2068"/>
      <c r="N58" s="2066"/>
      <c r="O58" s="2068"/>
      <c r="P58" s="2066"/>
      <c r="Q58" s="2068"/>
      <c r="R58" s="2066"/>
      <c r="S58" s="2068"/>
    </row>
    <row r="59" spans="1:19" x14ac:dyDescent="0.35">
      <c r="A59" s="2239"/>
      <c r="B59" s="2240"/>
      <c r="C59" s="2241"/>
      <c r="D59" s="2241"/>
      <c r="E59" s="2242"/>
      <c r="F59" s="2243" t="s">
        <v>718</v>
      </c>
      <c r="G59" s="2244"/>
      <c r="H59" s="2069"/>
      <c r="I59" s="2070">
        <f>SUM(I55:I57)</f>
        <v>0</v>
      </c>
      <c r="J59" s="2069"/>
      <c r="K59" s="2070">
        <f>SUM(K55:K57)</f>
        <v>0</v>
      </c>
      <c r="L59" s="2069"/>
      <c r="M59" s="2070">
        <f>SUM(M55:M57)</f>
        <v>0</v>
      </c>
      <c r="N59" s="2069"/>
      <c r="O59" s="2070">
        <f>SUM(O55:O57)</f>
        <v>0</v>
      </c>
      <c r="P59" s="2069"/>
      <c r="Q59" s="2070">
        <f>SUM(Q55:Q57)</f>
        <v>0</v>
      </c>
      <c r="R59" s="2069"/>
      <c r="S59" s="2070">
        <f>SUM(S55:S57)</f>
        <v>0</v>
      </c>
    </row>
    <row r="60" spans="1:19" x14ac:dyDescent="0.35">
      <c r="A60" s="2239"/>
      <c r="B60" s="2240"/>
      <c r="C60" s="2241"/>
      <c r="D60" s="2241"/>
      <c r="E60" s="2242"/>
      <c r="F60" s="2255" t="s">
        <v>719</v>
      </c>
      <c r="G60" s="2256"/>
      <c r="H60" s="2073"/>
      <c r="I60" s="2074" t="e">
        <f>I59/#REF!</f>
        <v>#REF!</v>
      </c>
      <c r="J60" s="2073"/>
      <c r="K60" s="2074" t="e">
        <f>K59/#REF!</f>
        <v>#REF!</v>
      </c>
      <c r="L60" s="2073"/>
      <c r="M60" s="2074" t="e">
        <f>M59/#REF!</f>
        <v>#REF!</v>
      </c>
      <c r="N60" s="2073"/>
      <c r="O60" s="2074" t="e">
        <f>O59/#REF!</f>
        <v>#REF!</v>
      </c>
      <c r="P60" s="2073"/>
      <c r="Q60" s="2074" t="e">
        <f>Q59/#REF!</f>
        <v>#REF!</v>
      </c>
      <c r="R60" s="2073"/>
      <c r="S60" s="2074" t="e">
        <f>S59/#REF!</f>
        <v>#REF!</v>
      </c>
    </row>
    <row r="61" spans="1:19" x14ac:dyDescent="0.35">
      <c r="A61" s="2239"/>
      <c r="B61" s="2240"/>
      <c r="C61" s="2241"/>
      <c r="D61" s="2241"/>
      <c r="E61" s="2242"/>
      <c r="F61" s="2255" t="s">
        <v>720</v>
      </c>
      <c r="G61" s="2260"/>
      <c r="H61" s="2073"/>
      <c r="I61" s="2074" t="e">
        <f>I59/#REF!</f>
        <v>#REF!</v>
      </c>
      <c r="J61" s="2073"/>
      <c r="K61" s="2074" t="e">
        <f>K59/#REF!</f>
        <v>#REF!</v>
      </c>
      <c r="L61" s="2073"/>
      <c r="M61" s="2074" t="e">
        <f>M59/#REF!</f>
        <v>#REF!</v>
      </c>
      <c r="N61" s="2073"/>
      <c r="O61" s="2074" t="e">
        <f>O59/#REF!</f>
        <v>#REF!</v>
      </c>
      <c r="P61" s="2073"/>
      <c r="Q61" s="2074" t="e">
        <f>Q59/#REF!</f>
        <v>#REF!</v>
      </c>
      <c r="R61" s="2073"/>
      <c r="S61" s="2074" t="e">
        <f>S59/#REF!</f>
        <v>#REF!</v>
      </c>
    </row>
    <row r="62" spans="1:19" ht="15" thickBot="1" x14ac:dyDescent="0.4">
      <c r="A62" s="2239"/>
      <c r="B62" s="2240"/>
      <c r="C62" s="2241"/>
      <c r="D62" s="2241"/>
      <c r="E62" s="2242"/>
      <c r="F62" s="2243"/>
      <c r="G62" s="2261"/>
      <c r="H62" s="2077"/>
      <c r="I62" s="2078"/>
      <c r="J62" s="2079"/>
      <c r="K62" s="2079"/>
      <c r="L62" s="2079"/>
      <c r="M62" s="2079"/>
      <c r="N62" s="2079"/>
      <c r="O62" s="2079"/>
      <c r="P62" s="2079"/>
      <c r="Q62" s="2079"/>
      <c r="R62" s="2079"/>
      <c r="S62" s="2079"/>
    </row>
    <row r="63" spans="1:19" ht="15.5" thickTop="1" thickBot="1" x14ac:dyDescent="0.4">
      <c r="A63" s="3764" t="s">
        <v>721</v>
      </c>
      <c r="B63" s="3765"/>
      <c r="C63" s="12"/>
      <c r="D63" s="12"/>
      <c r="E63" s="12"/>
      <c r="F63" s="12"/>
      <c r="G63" s="13"/>
      <c r="H63" s="21"/>
      <c r="I63" s="21"/>
      <c r="J63" s="21"/>
      <c r="K63" s="21"/>
      <c r="L63" s="21"/>
      <c r="M63" s="21"/>
      <c r="N63" s="21"/>
      <c r="O63" s="21"/>
      <c r="P63" s="21"/>
      <c r="Q63" s="21"/>
      <c r="R63" s="21"/>
      <c r="S63" s="21"/>
    </row>
    <row r="64" spans="1:19" ht="15" thickTop="1" x14ac:dyDescent="0.35">
      <c r="A64" s="2398"/>
      <c r="B64" s="2284"/>
      <c r="C64" s="2365"/>
      <c r="D64" s="2365"/>
      <c r="E64" s="2365"/>
      <c r="F64" s="2365"/>
      <c r="G64" s="2366"/>
      <c r="H64" s="2399"/>
      <c r="I64" s="2399"/>
      <c r="J64" s="2399"/>
      <c r="K64" s="2399"/>
      <c r="L64" s="2399"/>
      <c r="M64" s="2399"/>
      <c r="N64" s="2399"/>
      <c r="O64" s="2399"/>
      <c r="P64" s="2399"/>
      <c r="Q64" s="2399"/>
      <c r="R64" s="2399"/>
      <c r="S64" s="2399"/>
    </row>
    <row r="65" spans="1:19" s="2" customFormat="1" x14ac:dyDescent="0.35">
      <c r="A65" s="2398"/>
      <c r="B65" s="2284"/>
      <c r="C65" s="2365"/>
      <c r="D65" s="2365"/>
      <c r="E65" s="2365"/>
      <c r="F65" s="2365"/>
      <c r="G65" s="2366"/>
      <c r="H65" s="2399"/>
      <c r="I65" s="2399"/>
      <c r="J65" s="2399"/>
      <c r="K65" s="2399"/>
      <c r="L65" s="2399"/>
      <c r="M65" s="2399"/>
      <c r="N65" s="2399"/>
      <c r="O65" s="2399"/>
      <c r="P65" s="2399"/>
      <c r="Q65" s="2399"/>
      <c r="R65" s="2399"/>
      <c r="S65" s="2399"/>
    </row>
    <row r="66" spans="1:19" s="2" customFormat="1" ht="15" thickBot="1" x14ac:dyDescent="0.4">
      <c r="A66" s="2398"/>
      <c r="B66" s="2284"/>
      <c r="C66" s="2365"/>
      <c r="D66" s="2365"/>
      <c r="E66" s="2365"/>
      <c r="F66" s="2365"/>
      <c r="G66" s="2366"/>
      <c r="H66" s="2399"/>
      <c r="I66" s="2399"/>
      <c r="J66" s="2399"/>
      <c r="K66" s="2399"/>
      <c r="L66" s="2399"/>
      <c r="M66" s="2399"/>
      <c r="N66" s="2399"/>
      <c r="O66" s="2399"/>
      <c r="P66" s="2399"/>
      <c r="Q66" s="2399"/>
      <c r="R66" s="2399"/>
      <c r="S66" s="2399"/>
    </row>
    <row r="67" spans="1:19" ht="15.5" thickTop="1" thickBot="1" x14ac:dyDescent="0.4">
      <c r="A67" s="3764" t="s">
        <v>722</v>
      </c>
      <c r="B67" s="3765"/>
      <c r="C67" s="12"/>
      <c r="D67" s="12"/>
      <c r="E67" s="12"/>
      <c r="F67" s="12"/>
      <c r="G67" s="13"/>
      <c r="H67" s="21"/>
      <c r="I67" s="21"/>
      <c r="J67" s="21"/>
      <c r="K67" s="21"/>
      <c r="L67" s="21"/>
      <c r="M67" s="21"/>
      <c r="N67" s="21"/>
      <c r="O67" s="21"/>
      <c r="P67" s="21"/>
      <c r="Q67" s="21"/>
      <c r="R67" s="21"/>
      <c r="S67" s="21"/>
    </row>
    <row r="68" spans="1:19" s="2" customFormat="1" ht="15" thickTop="1" x14ac:dyDescent="0.35">
      <c r="A68" s="2398"/>
      <c r="B68" s="2284"/>
      <c r="C68" s="2365"/>
      <c r="D68" s="2365"/>
      <c r="E68" s="2365"/>
      <c r="F68" s="2365"/>
      <c r="G68" s="2366"/>
      <c r="H68" s="2399"/>
      <c r="I68" s="2399"/>
      <c r="J68" s="2399"/>
      <c r="K68" s="2399"/>
      <c r="L68" s="2399"/>
      <c r="M68" s="2399"/>
      <c r="N68" s="2399"/>
      <c r="O68" s="2399"/>
      <c r="P68" s="2399"/>
      <c r="Q68" s="2399"/>
      <c r="R68" s="2399"/>
      <c r="S68" s="2399"/>
    </row>
    <row r="69" spans="1:19" s="2" customFormat="1" x14ac:dyDescent="0.35">
      <c r="A69" s="2398"/>
      <c r="B69" s="2284"/>
      <c r="C69" s="2365"/>
      <c r="D69" s="2365"/>
      <c r="E69" s="2365"/>
      <c r="F69" s="2365"/>
      <c r="G69" s="2366"/>
      <c r="H69" s="2399"/>
      <c r="I69" s="2399"/>
      <c r="J69" s="2399"/>
      <c r="K69" s="2399"/>
      <c r="L69" s="2399"/>
      <c r="M69" s="2399"/>
      <c r="N69" s="2399"/>
      <c r="O69" s="2399"/>
      <c r="P69" s="2399"/>
      <c r="Q69" s="2399"/>
      <c r="R69" s="2399"/>
      <c r="S69" s="2399"/>
    </row>
    <row r="70" spans="1:19" ht="15" thickBot="1" x14ac:dyDescent="0.4">
      <c r="A70" s="2398"/>
      <c r="B70" s="2284"/>
      <c r="C70" s="2365"/>
      <c r="D70" s="2365"/>
      <c r="E70" s="2365"/>
      <c r="F70" s="2365"/>
      <c r="G70" s="2366"/>
      <c r="H70" s="2399"/>
      <c r="I70" s="2399"/>
      <c r="J70" s="2399"/>
      <c r="K70" s="2399"/>
      <c r="L70" s="2399"/>
      <c r="M70" s="2399"/>
      <c r="N70" s="2399"/>
      <c r="O70" s="2399"/>
      <c r="P70" s="2399"/>
      <c r="Q70" s="2399"/>
      <c r="R70" s="2399"/>
      <c r="S70" s="2399"/>
    </row>
    <row r="71" spans="1:19" ht="15.5" thickTop="1" thickBot="1" x14ac:dyDescent="0.4">
      <c r="A71" s="3764" t="s">
        <v>723</v>
      </c>
      <c r="B71" s="3765"/>
      <c r="C71" s="12"/>
      <c r="D71" s="12"/>
      <c r="E71" s="12"/>
      <c r="F71" s="12"/>
      <c r="G71" s="13"/>
      <c r="H71" s="21"/>
      <c r="I71" s="21"/>
      <c r="J71" s="21"/>
      <c r="K71" s="21"/>
      <c r="L71" s="21"/>
      <c r="M71" s="21"/>
      <c r="N71" s="21"/>
      <c r="O71" s="21"/>
      <c r="P71" s="21"/>
      <c r="Q71" s="21"/>
      <c r="R71" s="21"/>
      <c r="S71" s="21"/>
    </row>
    <row r="72" spans="1:19" ht="15" thickTop="1" x14ac:dyDescent="0.35">
      <c r="A72" s="2398"/>
      <c r="B72" s="2284"/>
      <c r="C72" s="2365"/>
      <c r="D72" s="2365"/>
      <c r="E72" s="2365"/>
      <c r="F72" s="2365"/>
      <c r="G72" s="2366"/>
      <c r="H72" s="2399"/>
      <c r="I72" s="2399"/>
      <c r="J72" s="2399"/>
      <c r="K72" s="2399"/>
      <c r="L72" s="2399"/>
      <c r="M72" s="2399"/>
      <c r="N72" s="2399"/>
      <c r="O72" s="2399"/>
      <c r="P72" s="2399"/>
      <c r="Q72" s="2399"/>
      <c r="R72" s="2399"/>
      <c r="S72" s="2399"/>
    </row>
    <row r="73" spans="1:19" x14ac:dyDescent="0.35">
      <c r="A73" s="2286"/>
      <c r="B73" s="2284"/>
      <c r="C73" s="2285"/>
      <c r="D73" s="2285"/>
      <c r="E73" s="2285"/>
      <c r="F73" s="2285"/>
      <c r="G73" s="2198"/>
      <c r="H73" s="2081"/>
      <c r="I73" s="2081"/>
      <c r="J73" s="2081"/>
      <c r="K73" s="2081"/>
      <c r="L73" s="2081"/>
      <c r="M73" s="2081"/>
      <c r="N73" s="2081"/>
      <c r="O73" s="2081"/>
      <c r="P73" s="2081"/>
      <c r="Q73" s="2081"/>
      <c r="R73" s="2081"/>
      <c r="S73" s="2081"/>
    </row>
    <row r="74" spans="1:19" ht="15" thickBot="1" x14ac:dyDescent="0.4">
      <c r="A74" s="2269"/>
      <c r="B74" s="2270"/>
      <c r="C74" s="2285"/>
      <c r="D74" s="2285"/>
      <c r="E74" s="2285"/>
      <c r="F74" s="2285"/>
      <c r="G74" s="2198"/>
      <c r="H74" s="2084"/>
      <c r="I74" s="2084"/>
      <c r="J74" s="2084"/>
      <c r="K74" s="2084"/>
      <c r="L74" s="2084"/>
      <c r="M74" s="2084"/>
      <c r="N74" s="2084"/>
      <c r="O74" s="2084"/>
      <c r="P74" s="2084"/>
      <c r="Q74" s="2084"/>
      <c r="R74" s="2084"/>
      <c r="S74" s="2084"/>
    </row>
    <row r="75" spans="1:19" ht="15.5" thickTop="1" thickBot="1" x14ac:dyDescent="0.4">
      <c r="A75" s="3764" t="s">
        <v>724</v>
      </c>
      <c r="B75" s="3765"/>
      <c r="C75" s="12"/>
      <c r="D75" s="12"/>
      <c r="E75" s="12"/>
      <c r="F75" s="12"/>
      <c r="G75" s="13"/>
      <c r="H75" s="21"/>
      <c r="I75" s="21"/>
      <c r="J75" s="21"/>
      <c r="K75" s="21"/>
      <c r="L75" s="21"/>
      <c r="M75" s="21"/>
      <c r="N75" s="21"/>
      <c r="O75" s="21"/>
      <c r="P75" s="21"/>
      <c r="Q75" s="21"/>
      <c r="R75" s="21"/>
      <c r="S75" s="21"/>
    </row>
    <row r="76" spans="1:19" ht="15" thickTop="1" x14ac:dyDescent="0.35">
      <c r="A76" s="2400"/>
      <c r="B76" s="2369"/>
      <c r="C76" s="2365"/>
      <c r="D76" s="2365"/>
      <c r="E76" s="2365"/>
      <c r="F76" s="2365"/>
      <c r="G76" s="2366"/>
      <c r="H76" s="2399"/>
      <c r="I76" s="2399"/>
      <c r="J76" s="2399"/>
      <c r="K76" s="2399"/>
      <c r="L76" s="2399"/>
      <c r="M76" s="2399"/>
      <c r="N76" s="2399"/>
      <c r="O76" s="2399"/>
      <c r="P76" s="2399"/>
      <c r="Q76" s="2399"/>
      <c r="R76" s="2399"/>
      <c r="S76" s="2399"/>
    </row>
    <row r="77" spans="1:19" x14ac:dyDescent="0.35">
      <c r="A77" s="2269"/>
      <c r="B77" s="2270"/>
      <c r="C77" s="2285"/>
      <c r="D77" s="2285"/>
      <c r="E77" s="2285"/>
      <c r="F77" s="2285"/>
      <c r="G77" s="2198"/>
      <c r="H77" s="2087"/>
      <c r="I77" s="2087"/>
      <c r="J77" s="2087"/>
      <c r="K77" s="2087"/>
      <c r="L77" s="2087"/>
      <c r="M77" s="2087"/>
      <c r="N77" s="2087"/>
      <c r="O77" s="2087"/>
      <c r="P77" s="2087"/>
      <c r="Q77" s="2087"/>
      <c r="R77" s="2087"/>
      <c r="S77" s="2087"/>
    </row>
    <row r="78" spans="1:19" ht="15" thickBot="1" x14ac:dyDescent="0.4">
      <c r="A78" s="2269"/>
      <c r="B78" s="2270"/>
      <c r="C78" s="2285"/>
      <c r="D78" s="2285"/>
      <c r="E78" s="2285"/>
      <c r="F78" s="2285"/>
      <c r="G78" s="2198"/>
      <c r="H78" s="2087"/>
      <c r="I78" s="2087"/>
      <c r="J78" s="2087"/>
      <c r="K78" s="2087"/>
      <c r="L78" s="2087"/>
      <c r="M78" s="2087"/>
      <c r="N78" s="2087"/>
      <c r="O78" s="2087"/>
      <c r="P78" s="2087"/>
      <c r="Q78" s="2087"/>
      <c r="R78" s="2087"/>
      <c r="S78" s="2087"/>
    </row>
    <row r="79" spans="1:19" ht="15.5" thickTop="1" thickBot="1" x14ac:dyDescent="0.4">
      <c r="A79" s="3764" t="s">
        <v>725</v>
      </c>
      <c r="B79" s="3765"/>
      <c r="C79" s="12"/>
      <c r="D79" s="12"/>
      <c r="E79" s="12"/>
      <c r="F79" s="12"/>
      <c r="G79" s="13"/>
      <c r="H79" s="21"/>
      <c r="I79" s="21"/>
      <c r="J79" s="21"/>
      <c r="K79" s="21"/>
      <c r="L79" s="21"/>
      <c r="M79" s="21"/>
      <c r="N79" s="21"/>
      <c r="O79" s="21"/>
      <c r="P79" s="21"/>
      <c r="Q79" s="21"/>
      <c r="R79" s="21"/>
      <c r="S79" s="21"/>
    </row>
    <row r="80" spans="1:19" ht="15" thickTop="1" x14ac:dyDescent="0.35">
      <c r="A80" s="2286"/>
      <c r="B80" s="2284" t="s">
        <v>726</v>
      </c>
      <c r="C80" s="2285"/>
      <c r="D80" s="2285"/>
      <c r="E80" s="2285"/>
      <c r="F80" s="2285"/>
      <c r="G80" s="2198"/>
      <c r="H80" s="2087"/>
      <c r="I80" s="2087"/>
      <c r="J80" s="2087"/>
      <c r="K80" s="2087"/>
      <c r="L80" s="2087"/>
      <c r="M80" s="2087"/>
      <c r="N80" s="2087"/>
      <c r="O80" s="2087"/>
      <c r="P80" s="2087"/>
      <c r="Q80" s="2087"/>
      <c r="R80" s="2087"/>
      <c r="S80" s="2087"/>
    </row>
    <row r="81" spans="1:19" x14ac:dyDescent="0.35">
      <c r="A81" s="2286"/>
      <c r="B81" s="2284" t="s">
        <v>727</v>
      </c>
      <c r="C81" s="2285"/>
      <c r="D81" s="2285"/>
      <c r="E81" s="2285"/>
      <c r="F81" s="2285"/>
      <c r="G81" s="2198"/>
      <c r="H81" s="2087"/>
      <c r="I81" s="2087"/>
      <c r="J81" s="2087"/>
      <c r="K81" s="2087"/>
      <c r="L81" s="2087"/>
      <c r="M81" s="2087"/>
      <c r="N81" s="2087"/>
      <c r="O81" s="2087"/>
      <c r="P81" s="2087"/>
      <c r="Q81" s="2087"/>
      <c r="R81" s="2087"/>
      <c r="S81" s="2087"/>
    </row>
    <row r="82" spans="1:19" x14ac:dyDescent="0.35">
      <c r="A82" s="2286"/>
      <c r="B82" s="2284" t="s">
        <v>728</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729</v>
      </c>
      <c r="C83" s="2285"/>
      <c r="D83" s="2285"/>
      <c r="E83" s="2285"/>
      <c r="F83" s="2285"/>
      <c r="G83" s="2198"/>
      <c r="H83" s="2087"/>
      <c r="I83" s="2087"/>
      <c r="J83" s="2087"/>
      <c r="K83" s="2087"/>
      <c r="L83" s="2087"/>
      <c r="M83" s="2087"/>
      <c r="N83" s="2087"/>
      <c r="O83" s="2087"/>
      <c r="P83" s="2087"/>
      <c r="Q83" s="2087"/>
      <c r="R83" s="2087"/>
      <c r="S83" s="2087"/>
    </row>
    <row r="84" spans="1:19" ht="15" thickBot="1" x14ac:dyDescent="0.4">
      <c r="A84" s="978"/>
      <c r="B84" s="939"/>
      <c r="C84" s="940"/>
      <c r="D84" s="940"/>
      <c r="E84" s="940"/>
      <c r="F84" s="940"/>
      <c r="G84" s="1039"/>
      <c r="H84" s="981"/>
      <c r="I84" s="981"/>
      <c r="J84" s="981"/>
      <c r="K84" s="981"/>
      <c r="L84" s="981"/>
      <c r="M84" s="981"/>
      <c r="N84" s="981"/>
      <c r="O84" s="981"/>
      <c r="P84" s="981"/>
      <c r="Q84" s="981"/>
      <c r="R84" s="981"/>
      <c r="S84" s="981"/>
    </row>
    <row r="85" spans="1:19" ht="15.5" thickTop="1" thickBot="1" x14ac:dyDescent="0.4">
      <c r="A85" s="7" t="s">
        <v>730</v>
      </c>
      <c r="B85" s="8"/>
      <c r="C85" s="12"/>
      <c r="D85" s="12"/>
      <c r="E85" s="12"/>
      <c r="F85" s="12"/>
      <c r="G85" s="13"/>
      <c r="H85" s="21"/>
      <c r="I85" s="21"/>
      <c r="J85" s="21"/>
      <c r="K85" s="21"/>
      <c r="L85" s="21"/>
      <c r="M85" s="21"/>
      <c r="N85" s="21"/>
      <c r="O85" s="21"/>
      <c r="P85" s="21"/>
      <c r="Q85" s="21"/>
      <c r="R85" s="21"/>
      <c r="S85" s="21"/>
    </row>
    <row r="86" spans="1:19" ht="15" thickTop="1" x14ac:dyDescent="0.35">
      <c r="A86" s="2398"/>
      <c r="B86" s="2370" t="s">
        <v>731</v>
      </c>
      <c r="C86" s="2365"/>
      <c r="D86" s="2365"/>
      <c r="E86" s="2365"/>
      <c r="F86" s="2365"/>
      <c r="G86" s="2366"/>
      <c r="H86" s="2401"/>
      <c r="I86" s="2401"/>
      <c r="J86" s="2401"/>
      <c r="K86" s="2401"/>
      <c r="L86" s="2401"/>
      <c r="M86" s="2401"/>
      <c r="N86" s="2401"/>
      <c r="O86" s="2401"/>
      <c r="P86" s="2401"/>
      <c r="Q86" s="2401"/>
      <c r="R86" s="2401"/>
      <c r="S86" s="2401"/>
    </row>
    <row r="87" spans="1:19" x14ac:dyDescent="0.35">
      <c r="A87" s="2286"/>
      <c r="B87" s="2284" t="s">
        <v>732</v>
      </c>
      <c r="C87" s="2285"/>
      <c r="D87" s="2285"/>
      <c r="E87" s="2285"/>
      <c r="F87" s="2285"/>
      <c r="G87" s="2198"/>
      <c r="H87" s="2158"/>
      <c r="I87" s="2158"/>
      <c r="J87" s="2158"/>
      <c r="K87" s="2158"/>
      <c r="L87" s="2158"/>
      <c r="M87" s="2158"/>
      <c r="N87" s="2158"/>
      <c r="O87" s="2158"/>
      <c r="P87" s="2158"/>
      <c r="Q87" s="2158"/>
      <c r="R87" s="2158"/>
      <c r="S87" s="2158"/>
    </row>
    <row r="88" spans="1:19" ht="15" thickBot="1" x14ac:dyDescent="0.4">
      <c r="A88" s="2089"/>
      <c r="B88" s="2090" t="s">
        <v>733</v>
      </c>
      <c r="C88" s="2091"/>
      <c r="D88" s="2091"/>
      <c r="E88" s="2091"/>
      <c r="F88" s="2091"/>
      <c r="G88" s="2092"/>
      <c r="H88" s="2093"/>
      <c r="I88" s="2093"/>
      <c r="J88" s="2093"/>
      <c r="K88" s="2093"/>
      <c r="L88" s="2093"/>
      <c r="M88" s="2093"/>
      <c r="N88" s="2093"/>
      <c r="O88" s="2093"/>
      <c r="P88" s="2093"/>
      <c r="Q88" s="2093"/>
      <c r="R88" s="2093"/>
      <c r="S88" s="2093"/>
    </row>
    <row r="89" spans="1:19" ht="15.5" thickTop="1" thickBot="1" x14ac:dyDescent="0.4"/>
    <row r="90" spans="1:19" ht="15.5" thickTop="1" thickBot="1" x14ac:dyDescent="0.4">
      <c r="A90" s="78" t="s">
        <v>734</v>
      </c>
      <c r="B90" s="80"/>
    </row>
    <row r="91" spans="1:19" ht="15.5" thickTop="1" thickBot="1" x14ac:dyDescent="0.4">
      <c r="A91" s="79" t="s">
        <v>632</v>
      </c>
      <c r="B91" s="80"/>
    </row>
    <row r="92" spans="1:19" ht="15" thickTop="1" x14ac:dyDescent="0.35">
      <c r="A92" s="2279" t="s">
        <v>636</v>
      </c>
      <c r="B92" s="2094"/>
    </row>
    <row r="93" spans="1:19" x14ac:dyDescent="0.35">
      <c r="A93" s="2096" t="s">
        <v>639</v>
      </c>
      <c r="B93" s="2097"/>
    </row>
    <row r="94" spans="1:19" x14ac:dyDescent="0.35">
      <c r="A94" s="2096" t="s">
        <v>642</v>
      </c>
      <c r="B94" s="2159"/>
    </row>
    <row r="95" spans="1:19" ht="15" thickBot="1" x14ac:dyDescent="0.4">
      <c r="A95" s="2099" t="s">
        <v>735</v>
      </c>
      <c r="B95" s="2100"/>
    </row>
    <row r="96" spans="1:19" ht="15" thickTop="1" x14ac:dyDescent="0.35"/>
    <row r="97" spans="1:2" x14ac:dyDescent="0.35">
      <c r="A97" s="81"/>
      <c r="B97" s="1" t="s">
        <v>736</v>
      </c>
    </row>
    <row r="98" spans="1:2" x14ac:dyDescent="0.35">
      <c r="A98" s="82"/>
      <c r="B98" s="1" t="s">
        <v>737</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369" priority="13" operator="equal">
      <formula>"X"</formula>
    </cfRule>
    <cfRule type="cellIs" dxfId="1368" priority="14" operator="equal">
      <formula>"I"</formula>
    </cfRule>
  </conditionalFormatting>
  <conditionalFormatting sqref="H32:H54">
    <cfRule type="cellIs" dxfId="1367" priority="1" operator="equal">
      <formula>"X"</formula>
    </cfRule>
    <cfRule type="cellIs" dxfId="1366" priority="2" operator="equal">
      <formula>"I"</formula>
    </cfRule>
  </conditionalFormatting>
  <conditionalFormatting sqref="J20:J30">
    <cfRule type="cellIs" dxfId="1365" priority="15" operator="equal">
      <formula>"X"</formula>
    </cfRule>
    <cfRule type="cellIs" dxfId="1364" priority="16" operator="equal">
      <formula>"I"</formula>
    </cfRule>
  </conditionalFormatting>
  <conditionalFormatting sqref="J32:J54">
    <cfRule type="cellIs" dxfId="1363" priority="3" operator="equal">
      <formula>"X"</formula>
    </cfRule>
    <cfRule type="cellIs" dxfId="1362" priority="4" operator="equal">
      <formula>"I"</formula>
    </cfRule>
  </conditionalFormatting>
  <conditionalFormatting sqref="L20:L30">
    <cfRule type="cellIs" dxfId="1361" priority="17" operator="equal">
      <formula>"X"</formula>
    </cfRule>
    <cfRule type="cellIs" dxfId="1360" priority="18" operator="equal">
      <formula>"I"</formula>
    </cfRule>
  </conditionalFormatting>
  <conditionalFormatting sqref="L32:L54">
    <cfRule type="cellIs" dxfId="1359" priority="5" operator="equal">
      <formula>"X"</formula>
    </cfRule>
    <cfRule type="cellIs" dxfId="1358" priority="6" operator="equal">
      <formula>"I"</formula>
    </cfRule>
  </conditionalFormatting>
  <conditionalFormatting sqref="N20:N30">
    <cfRule type="cellIs" dxfId="1357" priority="19" operator="equal">
      <formula>"X"</formula>
    </cfRule>
    <cfRule type="cellIs" dxfId="1356" priority="20" operator="equal">
      <formula>"I"</formula>
    </cfRule>
  </conditionalFormatting>
  <conditionalFormatting sqref="N32:N54">
    <cfRule type="cellIs" dxfId="1355" priority="7" operator="equal">
      <formula>"X"</formula>
    </cfRule>
    <cfRule type="cellIs" dxfId="1354" priority="8" operator="equal">
      <formula>"I"</formula>
    </cfRule>
  </conditionalFormatting>
  <conditionalFormatting sqref="P20:P30">
    <cfRule type="cellIs" dxfId="1353" priority="21" operator="equal">
      <formula>"X"</formula>
    </cfRule>
    <cfRule type="cellIs" dxfId="1352" priority="22" operator="equal">
      <formula>"I"</formula>
    </cfRule>
  </conditionalFormatting>
  <conditionalFormatting sqref="P32:P54">
    <cfRule type="cellIs" dxfId="1351" priority="9" operator="equal">
      <formula>"X"</formula>
    </cfRule>
    <cfRule type="cellIs" dxfId="1350" priority="10" operator="equal">
      <formula>"I"</formula>
    </cfRule>
  </conditionalFormatting>
  <conditionalFormatting sqref="R20:R30">
    <cfRule type="cellIs" dxfId="1349" priority="23" operator="equal">
      <formula>"X"</formula>
    </cfRule>
    <cfRule type="cellIs" dxfId="1348" priority="24" operator="equal">
      <formula>"I"</formula>
    </cfRule>
  </conditionalFormatting>
  <conditionalFormatting sqref="R32:R54">
    <cfRule type="cellIs" dxfId="1347" priority="11" operator="equal">
      <formula>"X"</formula>
    </cfRule>
    <cfRule type="cellIs" dxfId="1346" priority="12" operator="equal">
      <formula>"I"</formula>
    </cfRule>
  </conditionalFormatting>
  <hyperlinks>
    <hyperlink ref="B3" location="'Cost Summary'!A1" display="BACK TO SUMMARY SHEET" xr:uid="{DB878E5D-1D34-4E16-8EBA-2DB3034FC1E0}"/>
  </hyperlink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8DEF-1AF9-40C7-B5EE-A0D8658CBA19}">
  <sheetPr>
    <tabColor rgb="FF92D050"/>
  </sheetPr>
  <dimension ref="A1:S93"/>
  <sheetViews>
    <sheetView workbookViewId="0">
      <pane xSplit="2" ySplit="9" topLeftCell="C39" activePane="bottomRight" state="frozen"/>
      <selection pane="topRight" activeCell="C1" sqref="C1"/>
      <selection pane="bottomLeft" activeCell="A11" sqref="A11"/>
      <selection pane="bottomRight" activeCell="H38" sqref="H38:H41"/>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2666</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2667</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ht="15" thickBot="1" x14ac:dyDescent="0.4">
      <c r="A8" s="938" t="s">
        <v>644</v>
      </c>
      <c r="B8" s="939"/>
      <c r="C8" s="940"/>
      <c r="D8" s="940"/>
      <c r="E8" s="940"/>
      <c r="F8" s="940"/>
      <c r="G8" s="1024" t="s">
        <v>644</v>
      </c>
      <c r="H8" s="3945">
        <f>I54</f>
        <v>0</v>
      </c>
      <c r="I8" s="3944"/>
      <c r="J8" s="3945">
        <f>K54</f>
        <v>0</v>
      </c>
      <c r="K8" s="3944"/>
      <c r="L8" s="3945">
        <f>M54</f>
        <v>0</v>
      </c>
      <c r="M8" s="3944"/>
      <c r="N8" s="3945">
        <f>O54</f>
        <v>0</v>
      </c>
      <c r="O8" s="3944"/>
      <c r="P8" s="3945">
        <f>Q54</f>
        <v>0</v>
      </c>
      <c r="Q8" s="3944"/>
      <c r="R8" s="3945">
        <f>S54</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373"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ht="15" thickBot="1" x14ac:dyDescent="0.4">
      <c r="A21" s="2402"/>
      <c r="B21" s="2203" t="s">
        <v>2666</v>
      </c>
      <c r="C21" s="45"/>
      <c r="D21" s="46"/>
      <c r="E21" s="46"/>
      <c r="F21" s="46"/>
      <c r="G21" s="52"/>
      <c r="H21" s="2109"/>
      <c r="I21" s="47"/>
      <c r="J21" s="2109"/>
      <c r="K21" s="47"/>
      <c r="L21" s="2109"/>
      <c r="M21" s="47"/>
      <c r="N21" s="2109"/>
      <c r="O21" s="47"/>
      <c r="P21" s="2109"/>
      <c r="Q21" s="47"/>
      <c r="R21" s="2109"/>
      <c r="S21" s="47"/>
    </row>
    <row r="22" spans="1:19" x14ac:dyDescent="0.35">
      <c r="A22" s="2403"/>
      <c r="B22" s="606" t="s">
        <v>657</v>
      </c>
      <c r="C22" s="2201"/>
      <c r="D22" s="2285"/>
      <c r="E22" s="2285"/>
      <c r="F22" s="2285"/>
      <c r="G22" s="2198"/>
      <c r="H22" s="2109"/>
      <c r="I22" s="2375"/>
      <c r="J22" s="2109"/>
      <c r="K22" s="2375"/>
      <c r="L22" s="2109"/>
      <c r="M22" s="2375"/>
      <c r="N22" s="2109"/>
      <c r="O22" s="2375"/>
      <c r="P22" s="2109"/>
      <c r="Q22" s="2375"/>
      <c r="R22" s="2109"/>
      <c r="S22" s="2375"/>
    </row>
    <row r="23" spans="1:19" x14ac:dyDescent="0.35">
      <c r="A23" s="2403"/>
      <c r="B23" s="2404" t="s">
        <v>658</v>
      </c>
      <c r="C23" s="2201"/>
      <c r="D23" s="2285"/>
      <c r="E23" s="2285"/>
      <c r="F23" s="2285"/>
      <c r="G23" s="2198"/>
      <c r="H23" s="2109"/>
      <c r="I23" s="2405"/>
      <c r="J23" s="2109"/>
      <c r="K23" s="2375"/>
      <c r="L23" s="2109"/>
      <c r="M23" s="2375"/>
      <c r="N23" s="2109"/>
      <c r="O23" s="2375"/>
      <c r="P23" s="2109"/>
      <c r="Q23" s="2375"/>
      <c r="R23" s="2109"/>
      <c r="S23" s="2375"/>
    </row>
    <row r="24" spans="1:19" x14ac:dyDescent="0.35">
      <c r="A24" s="2402"/>
      <c r="B24" s="2404" t="s">
        <v>659</v>
      </c>
      <c r="C24" s="2208"/>
      <c r="D24" s="2285"/>
      <c r="E24" s="2285"/>
      <c r="F24" s="2285"/>
      <c r="G24" s="2198"/>
      <c r="H24" s="2109"/>
      <c r="I24" s="2405"/>
      <c r="J24" s="2109"/>
      <c r="K24" s="2375"/>
      <c r="L24" s="2109"/>
      <c r="M24" s="2375"/>
      <c r="N24" s="2109"/>
      <c r="O24" s="2375"/>
      <c r="P24" s="2109"/>
      <c r="Q24" s="2375"/>
      <c r="R24" s="2109"/>
      <c r="S24" s="2375"/>
    </row>
    <row r="25" spans="1:19" x14ac:dyDescent="0.35">
      <c r="A25" s="2402"/>
      <c r="B25" s="2406" t="s">
        <v>660</v>
      </c>
      <c r="C25" s="2208"/>
      <c r="D25" s="2285"/>
      <c r="E25" s="2285"/>
      <c r="F25" s="2285"/>
      <c r="G25" s="2198"/>
      <c r="H25" s="2109"/>
      <c r="I25" s="2405"/>
      <c r="J25" s="2109"/>
      <c r="K25" s="2375"/>
      <c r="L25" s="2109"/>
      <c r="M25" s="2375"/>
      <c r="N25" s="2109"/>
      <c r="O25" s="2375"/>
      <c r="P25" s="2109"/>
      <c r="Q25" s="2375"/>
      <c r="R25" s="2109"/>
      <c r="S25" s="2375"/>
    </row>
    <row r="26" spans="1:19" s="77" customFormat="1" x14ac:dyDescent="0.35">
      <c r="A26" s="2403"/>
      <c r="B26" s="2406" t="s">
        <v>661</v>
      </c>
      <c r="C26" s="2211"/>
      <c r="D26" s="2212"/>
      <c r="E26" s="2212"/>
      <c r="F26" s="2212"/>
      <c r="G26" s="2211"/>
      <c r="H26" s="2109"/>
      <c r="I26" s="2405"/>
      <c r="J26" s="2109"/>
      <c r="K26" s="2380"/>
      <c r="L26" s="2109"/>
      <c r="M26" s="2380"/>
      <c r="N26" s="2109"/>
      <c r="O26" s="2380"/>
      <c r="P26" s="2109"/>
      <c r="Q26" s="2380"/>
      <c r="R26" s="2109"/>
      <c r="S26" s="2380"/>
    </row>
    <row r="27" spans="1:19" s="77" customFormat="1" x14ac:dyDescent="0.35">
      <c r="A27" s="2403"/>
      <c r="B27" s="2406" t="s">
        <v>662</v>
      </c>
      <c r="C27" s="2211"/>
      <c r="D27" s="2212"/>
      <c r="E27" s="2212"/>
      <c r="F27" s="2212"/>
      <c r="G27" s="2211"/>
      <c r="H27" s="2109"/>
      <c r="I27" s="2405"/>
      <c r="J27" s="2109"/>
      <c r="K27" s="2380"/>
      <c r="L27" s="2109"/>
      <c r="M27" s="2380"/>
      <c r="N27" s="2109"/>
      <c r="O27" s="2380"/>
      <c r="P27" s="2109"/>
      <c r="Q27" s="2380"/>
      <c r="R27" s="2109"/>
      <c r="S27" s="2380"/>
    </row>
    <row r="28" spans="1:19" s="77" customFormat="1" x14ac:dyDescent="0.35">
      <c r="A28" s="2403"/>
      <c r="B28" s="2406" t="s">
        <v>663</v>
      </c>
      <c r="C28" s="2211"/>
      <c r="D28" s="2212"/>
      <c r="E28" s="2212"/>
      <c r="F28" s="2212"/>
      <c r="G28" s="2211"/>
      <c r="H28" s="2109"/>
      <c r="I28" s="2405"/>
      <c r="J28" s="2109"/>
      <c r="K28" s="2380"/>
      <c r="L28" s="2109"/>
      <c r="M28" s="2380"/>
      <c r="N28" s="2109"/>
      <c r="O28" s="2380"/>
      <c r="P28" s="2109"/>
      <c r="Q28" s="2380"/>
      <c r="R28" s="2109"/>
      <c r="S28" s="2380"/>
    </row>
    <row r="29" spans="1:19" s="77" customFormat="1" x14ac:dyDescent="0.35">
      <c r="A29" s="2403"/>
      <c r="B29" s="2406" t="s">
        <v>742</v>
      </c>
      <c r="C29" s="2211"/>
      <c r="D29" s="2212"/>
      <c r="E29" s="2212"/>
      <c r="F29" s="2212"/>
      <c r="G29" s="2211"/>
      <c r="H29" s="2109"/>
      <c r="I29" s="2405"/>
      <c r="J29" s="2109"/>
      <c r="K29" s="2380"/>
      <c r="L29" s="2109"/>
      <c r="M29" s="2380"/>
      <c r="N29" s="2109"/>
      <c r="O29" s="2380"/>
      <c r="P29" s="2109"/>
      <c r="Q29" s="2380"/>
      <c r="R29" s="2109"/>
      <c r="S29" s="2380"/>
    </row>
    <row r="30" spans="1:19" s="77" customFormat="1" x14ac:dyDescent="0.35">
      <c r="A30" s="2403"/>
      <c r="B30" s="2381" t="s">
        <v>664</v>
      </c>
      <c r="C30" s="2211"/>
      <c r="D30" s="2212"/>
      <c r="E30" s="2212"/>
      <c r="F30" s="2212"/>
      <c r="G30" s="2211"/>
      <c r="H30" s="2109"/>
      <c r="I30" s="2405"/>
      <c r="J30" s="2109"/>
      <c r="K30" s="2380"/>
      <c r="L30" s="2109"/>
      <c r="M30" s="2380"/>
      <c r="N30" s="2109"/>
      <c r="O30" s="2380"/>
      <c r="P30" s="2109"/>
      <c r="Q30" s="2380"/>
      <c r="R30" s="2109"/>
      <c r="S30" s="2380"/>
    </row>
    <row r="31" spans="1:19" s="77" customFormat="1" x14ac:dyDescent="0.35">
      <c r="A31" s="2403"/>
      <c r="B31" s="2382" t="s">
        <v>665</v>
      </c>
      <c r="C31" s="2216"/>
      <c r="D31" s="2217"/>
      <c r="E31" s="2217"/>
      <c r="F31" s="2217"/>
      <c r="G31" s="2216"/>
      <c r="H31" s="2288"/>
      <c r="I31" s="2383"/>
      <c r="J31" s="2289"/>
      <c r="K31" s="2384"/>
      <c r="L31" s="2289"/>
      <c r="M31" s="2384"/>
      <c r="N31" s="2384"/>
      <c r="O31" s="2384"/>
      <c r="P31" s="2384"/>
      <c r="Q31" s="2384"/>
      <c r="R31" s="2384"/>
      <c r="S31" s="2384"/>
    </row>
    <row r="32" spans="1:19" s="77" customFormat="1" x14ac:dyDescent="0.35">
      <c r="A32" s="2395"/>
      <c r="B32" s="2340"/>
      <c r="C32" s="2236"/>
      <c r="D32" s="2212"/>
      <c r="E32" s="2212"/>
      <c r="F32" s="2212"/>
      <c r="G32" s="2211"/>
      <c r="H32" s="2109"/>
      <c r="I32" s="2405"/>
      <c r="J32" s="2109"/>
      <c r="K32" s="2380"/>
      <c r="L32" s="2109"/>
      <c r="M32" s="2380"/>
      <c r="N32" s="2109"/>
      <c r="O32" s="2380"/>
      <c r="P32" s="2109"/>
      <c r="Q32" s="2380"/>
      <c r="R32" s="2109"/>
      <c r="S32" s="2380"/>
    </row>
    <row r="33" spans="1:19" s="77" customFormat="1" x14ac:dyDescent="0.35">
      <c r="A33" s="2395"/>
      <c r="B33" s="2359" t="s">
        <v>2668</v>
      </c>
      <c r="C33" s="2236"/>
      <c r="D33" s="2212"/>
      <c r="E33" s="2212"/>
      <c r="F33" s="2212"/>
      <c r="G33" s="2211"/>
      <c r="H33" s="2109"/>
      <c r="I33" s="2405"/>
      <c r="J33" s="2109"/>
      <c r="K33" s="2380"/>
      <c r="L33" s="2109"/>
      <c r="M33" s="2380"/>
      <c r="N33" s="2109"/>
      <c r="O33" s="2380"/>
      <c r="P33" s="2109"/>
      <c r="Q33" s="2380"/>
      <c r="R33" s="2109"/>
      <c r="S33" s="2380"/>
    </row>
    <row r="34" spans="1:19" s="77" customFormat="1" x14ac:dyDescent="0.35">
      <c r="A34" s="2395"/>
      <c r="B34" s="2340" t="s">
        <v>2669</v>
      </c>
      <c r="C34" s="2236"/>
      <c r="D34" s="2212"/>
      <c r="E34" s="2212"/>
      <c r="F34" s="2212"/>
      <c r="G34" s="2211"/>
      <c r="H34" s="2109"/>
      <c r="I34" s="2405"/>
      <c r="J34" s="2109"/>
      <c r="K34" s="2380"/>
      <c r="L34" s="2109"/>
      <c r="M34" s="2380"/>
      <c r="N34" s="2109"/>
      <c r="O34" s="2380"/>
      <c r="P34" s="2109"/>
      <c r="Q34" s="2380"/>
      <c r="R34" s="2109"/>
      <c r="S34" s="2380"/>
    </row>
    <row r="35" spans="1:19" s="77" customFormat="1" x14ac:dyDescent="0.35">
      <c r="A35" s="2395"/>
      <c r="B35" s="2340" t="s">
        <v>2670</v>
      </c>
      <c r="C35" s="2236"/>
      <c r="D35" s="2212"/>
      <c r="E35" s="2341"/>
      <c r="F35" s="2342"/>
      <c r="G35" s="2211"/>
      <c r="H35" s="2109"/>
      <c r="I35" s="2405"/>
      <c r="J35" s="2109"/>
      <c r="K35" s="2380"/>
      <c r="L35" s="2109"/>
      <c r="M35" s="2380"/>
      <c r="N35" s="2109"/>
      <c r="O35" s="2380"/>
      <c r="P35" s="2109"/>
      <c r="Q35" s="2380"/>
      <c r="R35" s="2109"/>
      <c r="S35" s="2380"/>
    </row>
    <row r="36" spans="1:19" s="77" customFormat="1" x14ac:dyDescent="0.35">
      <c r="A36" s="2395"/>
      <c r="B36" s="2340" t="s">
        <v>2671</v>
      </c>
      <c r="C36" s="2236"/>
      <c r="D36" s="2212"/>
      <c r="E36" s="2341"/>
      <c r="F36" s="2342"/>
      <c r="G36" s="2211"/>
      <c r="H36" s="2109"/>
      <c r="I36" s="2405"/>
      <c r="J36" s="2109"/>
      <c r="K36" s="2380"/>
      <c r="L36" s="2109"/>
      <c r="M36" s="2380"/>
      <c r="N36" s="2109"/>
      <c r="O36" s="2380"/>
      <c r="P36" s="2109"/>
      <c r="Q36" s="2380"/>
      <c r="R36" s="2109"/>
      <c r="S36" s="2380"/>
    </row>
    <row r="37" spans="1:19" s="77" customFormat="1" x14ac:dyDescent="0.35">
      <c r="A37" s="2395"/>
      <c r="B37" s="2340" t="s">
        <v>2672</v>
      </c>
      <c r="C37" s="2236"/>
      <c r="D37" s="2212"/>
      <c r="E37" s="2341"/>
      <c r="F37" s="2342"/>
      <c r="G37" s="2211"/>
      <c r="H37" s="2109"/>
      <c r="I37" s="2405"/>
      <c r="J37" s="2109"/>
      <c r="K37" s="2380"/>
      <c r="L37" s="2109"/>
      <c r="M37" s="2380"/>
      <c r="N37" s="2109"/>
      <c r="O37" s="2380"/>
      <c r="P37" s="2109"/>
      <c r="Q37" s="2380"/>
      <c r="R37" s="2109"/>
      <c r="S37" s="2380"/>
    </row>
    <row r="38" spans="1:19" s="77" customFormat="1" x14ac:dyDescent="0.35">
      <c r="A38" s="2395"/>
      <c r="B38" s="2396"/>
      <c r="C38" s="2236"/>
      <c r="D38" s="2212"/>
      <c r="E38" s="2341"/>
      <c r="F38" s="2342"/>
      <c r="G38" s="2211"/>
      <c r="H38" s="2109"/>
      <c r="I38" s="2405"/>
      <c r="J38" s="2109"/>
      <c r="K38" s="2380"/>
      <c r="L38" s="2109"/>
      <c r="M38" s="2380"/>
      <c r="N38" s="2109"/>
      <c r="O38" s="2380"/>
      <c r="P38" s="2109"/>
      <c r="Q38" s="2380"/>
      <c r="R38" s="2109"/>
      <c r="S38" s="2380"/>
    </row>
    <row r="39" spans="1:19" s="77" customFormat="1" x14ac:dyDescent="0.35">
      <c r="A39" s="2395"/>
      <c r="B39" s="2397"/>
      <c r="C39" s="2236"/>
      <c r="D39" s="2212"/>
      <c r="E39" s="2341"/>
      <c r="F39" s="2342"/>
      <c r="G39" s="2211"/>
      <c r="H39" s="2109"/>
      <c r="I39" s="2405"/>
      <c r="J39" s="2109"/>
      <c r="K39" s="2380"/>
      <c r="L39" s="2109"/>
      <c r="M39" s="2380"/>
      <c r="N39" s="2109"/>
      <c r="O39" s="2380"/>
      <c r="P39" s="2109"/>
      <c r="Q39" s="2380"/>
      <c r="R39" s="2109"/>
      <c r="S39" s="2380"/>
    </row>
    <row r="40" spans="1:19" s="77" customFormat="1" x14ac:dyDescent="0.35">
      <c r="A40" s="2395"/>
      <c r="B40" s="128"/>
      <c r="C40" s="2236"/>
      <c r="D40" s="2212"/>
      <c r="E40" s="2341"/>
      <c r="F40" s="2342"/>
      <c r="G40" s="2211"/>
      <c r="H40" s="2109"/>
      <c r="I40" s="2405"/>
      <c r="J40" s="2109"/>
      <c r="K40" s="2380"/>
      <c r="L40" s="2109"/>
      <c r="M40" s="2380"/>
      <c r="N40" s="2109"/>
      <c r="O40" s="2380"/>
      <c r="P40" s="2109"/>
      <c r="Q40" s="2380"/>
      <c r="R40" s="2109"/>
      <c r="S40" s="2380"/>
    </row>
    <row r="41" spans="1:19" s="77" customFormat="1" x14ac:dyDescent="0.35">
      <c r="A41" s="2395"/>
      <c r="B41" s="2340"/>
      <c r="C41" s="2236"/>
      <c r="D41" s="2212"/>
      <c r="E41" s="2341"/>
      <c r="F41" s="2342"/>
      <c r="G41" s="2211"/>
      <c r="H41" s="2109"/>
      <c r="I41" s="2405"/>
      <c r="J41" s="2109"/>
      <c r="K41" s="2380"/>
      <c r="L41" s="2109"/>
      <c r="M41" s="2380"/>
      <c r="N41" s="2109"/>
      <c r="O41" s="2380"/>
      <c r="P41" s="2109"/>
      <c r="Q41" s="2380"/>
      <c r="R41" s="2109"/>
      <c r="S41" s="2380"/>
    </row>
    <row r="42" spans="1:19" s="77" customFormat="1" x14ac:dyDescent="0.35">
      <c r="A42" s="2395"/>
      <c r="B42" s="2340"/>
      <c r="C42" s="2236"/>
      <c r="D42" s="2212"/>
      <c r="E42" s="2341"/>
      <c r="F42" s="2342"/>
      <c r="G42" s="2211"/>
      <c r="H42" s="2109"/>
      <c r="I42" s="2405"/>
      <c r="J42" s="2109"/>
      <c r="K42" s="2380"/>
      <c r="L42" s="2109"/>
      <c r="M42" s="2380"/>
      <c r="N42" s="2109"/>
      <c r="O42" s="2380"/>
      <c r="P42" s="2109"/>
      <c r="Q42" s="2380"/>
      <c r="R42" s="2109"/>
      <c r="S42" s="2380"/>
    </row>
    <row r="43" spans="1:19" s="77" customFormat="1" x14ac:dyDescent="0.35">
      <c r="A43" s="2395"/>
      <c r="B43" s="2340"/>
      <c r="C43" s="2236"/>
      <c r="D43" s="2212"/>
      <c r="E43" s="2341"/>
      <c r="F43" s="2342"/>
      <c r="G43" s="2211"/>
      <c r="H43" s="2109"/>
      <c r="I43" s="2405"/>
      <c r="J43" s="2109"/>
      <c r="K43" s="2380"/>
      <c r="L43" s="2109"/>
      <c r="M43" s="2380"/>
      <c r="N43" s="2109"/>
      <c r="O43" s="2380"/>
      <c r="P43" s="2109"/>
      <c r="Q43" s="2380"/>
      <c r="R43" s="2109"/>
      <c r="S43" s="2380"/>
    </row>
    <row r="44" spans="1:19" s="77" customFormat="1" x14ac:dyDescent="0.35">
      <c r="A44" s="2395"/>
      <c r="B44" s="2340"/>
      <c r="C44" s="2236"/>
      <c r="D44" s="2212"/>
      <c r="E44" s="2341"/>
      <c r="F44" s="2342"/>
      <c r="G44" s="2211"/>
      <c r="H44" s="2109"/>
      <c r="I44" s="2405"/>
      <c r="J44" s="2109"/>
      <c r="K44" s="2380"/>
      <c r="L44" s="2109"/>
      <c r="M44" s="2380"/>
      <c r="N44" s="2109"/>
      <c r="O44" s="2380"/>
      <c r="P44" s="2109"/>
      <c r="Q44" s="2380"/>
      <c r="R44" s="2109"/>
      <c r="S44" s="2380"/>
    </row>
    <row r="45" spans="1:19" s="77" customFormat="1" x14ac:dyDescent="0.35">
      <c r="A45" s="2395"/>
      <c r="B45" s="2340"/>
      <c r="C45" s="2236"/>
      <c r="D45" s="2212"/>
      <c r="E45" s="2341"/>
      <c r="F45" s="2342"/>
      <c r="G45" s="2211"/>
      <c r="H45" s="2109"/>
      <c r="I45" s="2405"/>
      <c r="J45" s="2109"/>
      <c r="K45" s="2380"/>
      <c r="L45" s="2109"/>
      <c r="M45" s="2380"/>
      <c r="N45" s="2109"/>
      <c r="O45" s="2380"/>
      <c r="P45" s="2109"/>
      <c r="Q45" s="2380"/>
      <c r="R45" s="2109"/>
      <c r="S45" s="2380"/>
    </row>
    <row r="46" spans="1:19" s="77" customFormat="1" x14ac:dyDescent="0.35">
      <c r="A46" s="2395"/>
      <c r="B46" s="2340"/>
      <c r="C46" s="2236"/>
      <c r="D46" s="2212"/>
      <c r="E46" s="2341"/>
      <c r="F46" s="2342"/>
      <c r="G46" s="2211"/>
      <c r="H46" s="2109"/>
      <c r="I46" s="2405"/>
      <c r="J46" s="2109"/>
      <c r="K46" s="2380"/>
      <c r="L46" s="2109"/>
      <c r="M46" s="2380"/>
      <c r="N46" s="2109"/>
      <c r="O46" s="2380"/>
      <c r="P46" s="2109"/>
      <c r="Q46" s="2380"/>
      <c r="R46" s="2109"/>
      <c r="S46" s="2380"/>
    </row>
    <row r="47" spans="1:19" s="77" customFormat="1" x14ac:dyDescent="0.35">
      <c r="A47" s="2395"/>
      <c r="B47" s="2340"/>
      <c r="C47" s="2236"/>
      <c r="D47" s="2212"/>
      <c r="E47" s="2341"/>
      <c r="F47" s="2342"/>
      <c r="G47" s="2211"/>
      <c r="H47" s="2109"/>
      <c r="I47" s="2405"/>
      <c r="J47" s="2109"/>
      <c r="K47" s="2380"/>
      <c r="L47" s="2109"/>
      <c r="M47" s="2380"/>
      <c r="N47" s="2109"/>
      <c r="O47" s="2380"/>
      <c r="P47" s="2109"/>
      <c r="Q47" s="2380"/>
      <c r="R47" s="2109"/>
      <c r="S47" s="2380"/>
    </row>
    <row r="48" spans="1:19" s="77" customFormat="1" x14ac:dyDescent="0.35">
      <c r="A48" s="2395"/>
      <c r="B48" s="2340"/>
      <c r="C48" s="2236"/>
      <c r="D48" s="2212"/>
      <c r="E48" s="2341"/>
      <c r="F48" s="2342"/>
      <c r="G48" s="2211"/>
      <c r="H48" s="2109"/>
      <c r="I48" s="2405"/>
      <c r="J48" s="2109"/>
      <c r="K48" s="2380"/>
      <c r="L48" s="2109"/>
      <c r="M48" s="2380"/>
      <c r="N48" s="2109"/>
      <c r="O48" s="2380"/>
      <c r="P48" s="2109"/>
      <c r="Q48" s="2380"/>
      <c r="R48" s="2109"/>
      <c r="S48" s="2380"/>
    </row>
    <row r="49" spans="1:19" s="77" customFormat="1" ht="15" thickBot="1" x14ac:dyDescent="0.4">
      <c r="A49" s="2395"/>
      <c r="B49" s="2340"/>
      <c r="C49" s="2236"/>
      <c r="D49" s="2212"/>
      <c r="E49" s="2341"/>
      <c r="F49" s="2342"/>
      <c r="G49" s="2211"/>
      <c r="H49" s="2109"/>
      <c r="I49" s="2405"/>
      <c r="J49" s="2109"/>
      <c r="K49" s="2380"/>
      <c r="L49" s="2109"/>
      <c r="M49" s="2380"/>
      <c r="N49" s="2109"/>
      <c r="O49" s="2380"/>
      <c r="P49" s="2109"/>
      <c r="Q49" s="2380"/>
      <c r="R49" s="2109"/>
      <c r="S49" s="2380"/>
    </row>
    <row r="50" spans="1:19" ht="15" thickTop="1" x14ac:dyDescent="0.35">
      <c r="A50" s="14"/>
      <c r="B50" s="15"/>
      <c r="C50" s="16"/>
      <c r="D50" s="16"/>
      <c r="E50" s="17"/>
      <c r="F50" s="18" t="s">
        <v>715</v>
      </c>
      <c r="G50" s="19"/>
      <c r="H50" s="20"/>
      <c r="I50" s="50">
        <f>SUM(I23:I49)</f>
        <v>0</v>
      </c>
      <c r="J50" s="20"/>
      <c r="K50" s="50">
        <f>SUM(K23:K49)</f>
        <v>0</v>
      </c>
      <c r="L50" s="20"/>
      <c r="M50" s="50">
        <f>SUM(M23:M49)</f>
        <v>0</v>
      </c>
      <c r="N50" s="20"/>
      <c r="O50" s="50">
        <f>SUM(O23:O49)</f>
        <v>0</v>
      </c>
      <c r="P50" s="20"/>
      <c r="Q50" s="50">
        <f>SUM(Q23:Q49)</f>
        <v>0</v>
      </c>
      <c r="R50" s="20"/>
      <c r="S50" s="50">
        <f>SUM(S23:S49)</f>
        <v>0</v>
      </c>
    </row>
    <row r="51" spans="1:19" x14ac:dyDescent="0.35">
      <c r="A51" s="2239"/>
      <c r="B51" s="2240"/>
      <c r="C51" s="2241"/>
      <c r="D51" s="2241"/>
      <c r="E51" s="2242"/>
      <c r="F51" s="2243" t="s">
        <v>716</v>
      </c>
      <c r="G51" s="2244"/>
      <c r="H51" s="2065">
        <v>0</v>
      </c>
      <c r="I51" s="2064"/>
      <c r="J51" s="2065">
        <v>0</v>
      </c>
      <c r="K51" s="2064"/>
      <c r="L51" s="2065">
        <v>0</v>
      </c>
      <c r="M51" s="2064"/>
      <c r="N51" s="2065">
        <v>0</v>
      </c>
      <c r="O51" s="2064"/>
      <c r="P51" s="2065">
        <v>0</v>
      </c>
      <c r="Q51" s="2064"/>
      <c r="R51" s="2065">
        <v>0</v>
      </c>
      <c r="S51" s="2064"/>
    </row>
    <row r="52" spans="1:19" x14ac:dyDescent="0.35">
      <c r="A52" s="2239"/>
      <c r="B52" s="2240"/>
      <c r="C52" s="2241"/>
      <c r="D52" s="2241"/>
      <c r="E52" s="2242"/>
      <c r="F52" s="2243" t="s">
        <v>717</v>
      </c>
      <c r="G52" s="2244"/>
      <c r="H52" s="2066"/>
      <c r="I52" s="2067">
        <f>H51*I50</f>
        <v>0</v>
      </c>
      <c r="J52" s="2066"/>
      <c r="K52" s="2067">
        <f>J51*K50</f>
        <v>0</v>
      </c>
      <c r="L52" s="2066"/>
      <c r="M52" s="2067">
        <f>L51*M50</f>
        <v>0</v>
      </c>
      <c r="N52" s="2066"/>
      <c r="O52" s="2067">
        <f>N51*O50</f>
        <v>0</v>
      </c>
      <c r="P52" s="2066"/>
      <c r="Q52" s="2067">
        <f>P51*Q50</f>
        <v>0</v>
      </c>
      <c r="R52" s="2066"/>
      <c r="S52" s="2067">
        <f>R51*S50</f>
        <v>0</v>
      </c>
    </row>
    <row r="53" spans="1:19" x14ac:dyDescent="0.35">
      <c r="A53" s="2239"/>
      <c r="B53" s="2240"/>
      <c r="C53" s="2241"/>
      <c r="D53" s="2241"/>
      <c r="E53" s="2242"/>
      <c r="F53" s="2243"/>
      <c r="G53" s="2244"/>
      <c r="H53" s="2066"/>
      <c r="I53" s="2068"/>
      <c r="J53" s="2066"/>
      <c r="K53" s="2068"/>
      <c r="L53" s="2066"/>
      <c r="M53" s="2068"/>
      <c r="N53" s="2066"/>
      <c r="O53" s="2068"/>
      <c r="P53" s="2066"/>
      <c r="Q53" s="2068"/>
      <c r="R53" s="2066"/>
      <c r="S53" s="2068"/>
    </row>
    <row r="54" spans="1:19" x14ac:dyDescent="0.35">
      <c r="A54" s="2239"/>
      <c r="B54" s="2240"/>
      <c r="C54" s="2241"/>
      <c r="D54" s="2241"/>
      <c r="E54" s="2242"/>
      <c r="F54" s="2243" t="s">
        <v>718</v>
      </c>
      <c r="G54" s="2244"/>
      <c r="H54" s="2069"/>
      <c r="I54" s="2070">
        <f>SUM(I50:I52)</f>
        <v>0</v>
      </c>
      <c r="J54" s="2069"/>
      <c r="K54" s="2070">
        <f>SUM(K50:K52)</f>
        <v>0</v>
      </c>
      <c r="L54" s="2069"/>
      <c r="M54" s="2070">
        <f>SUM(M50:M52)</f>
        <v>0</v>
      </c>
      <c r="N54" s="2069"/>
      <c r="O54" s="2070">
        <f>SUM(O50:O52)</f>
        <v>0</v>
      </c>
      <c r="P54" s="2069"/>
      <c r="Q54" s="2070">
        <f>SUM(Q50:Q52)</f>
        <v>0</v>
      </c>
      <c r="R54" s="2069"/>
      <c r="S54" s="2070">
        <f>SUM(S50:S52)</f>
        <v>0</v>
      </c>
    </row>
    <row r="55" spans="1:19" x14ac:dyDescent="0.35">
      <c r="A55" s="2239"/>
      <c r="B55" s="2240"/>
      <c r="C55" s="2241"/>
      <c r="D55" s="2241"/>
      <c r="E55" s="2242"/>
      <c r="F55" s="2255" t="s">
        <v>719</v>
      </c>
      <c r="G55" s="2256"/>
      <c r="H55" s="2073"/>
      <c r="I55" s="2074" t="e">
        <f>I54/#REF!</f>
        <v>#REF!</v>
      </c>
      <c r="J55" s="2073"/>
      <c r="K55" s="2074" t="e">
        <f>K54/#REF!</f>
        <v>#REF!</v>
      </c>
      <c r="L55" s="2073"/>
      <c r="M55" s="2074" t="e">
        <f>M54/#REF!</f>
        <v>#REF!</v>
      </c>
      <c r="N55" s="2073"/>
      <c r="O55" s="2074" t="e">
        <f>O54/#REF!</f>
        <v>#REF!</v>
      </c>
      <c r="P55" s="2073"/>
      <c r="Q55" s="2074" t="e">
        <f>Q54/#REF!</f>
        <v>#REF!</v>
      </c>
      <c r="R55" s="2073"/>
      <c r="S55" s="2074" t="e">
        <f>S54/#REF!</f>
        <v>#REF!</v>
      </c>
    </row>
    <row r="56" spans="1:19" x14ac:dyDescent="0.35">
      <c r="A56" s="2239"/>
      <c r="B56" s="2240"/>
      <c r="C56" s="2241"/>
      <c r="D56" s="2241"/>
      <c r="E56" s="2242"/>
      <c r="F56" s="2255" t="s">
        <v>720</v>
      </c>
      <c r="G56" s="2260"/>
      <c r="H56" s="2073"/>
      <c r="I56" s="2074" t="e">
        <f>I54/#REF!</f>
        <v>#REF!</v>
      </c>
      <c r="J56" s="2073"/>
      <c r="K56" s="2074" t="e">
        <f>K54/#REF!</f>
        <v>#REF!</v>
      </c>
      <c r="L56" s="2073"/>
      <c r="M56" s="2074" t="e">
        <f>M54/#REF!</f>
        <v>#REF!</v>
      </c>
      <c r="N56" s="2073"/>
      <c r="O56" s="2074" t="e">
        <f>O54/#REF!</f>
        <v>#REF!</v>
      </c>
      <c r="P56" s="2073"/>
      <c r="Q56" s="2074" t="e">
        <f>Q54/#REF!</f>
        <v>#REF!</v>
      </c>
      <c r="R56" s="2073"/>
      <c r="S56" s="2074" t="e">
        <f>S54/#REF!</f>
        <v>#REF!</v>
      </c>
    </row>
    <row r="57" spans="1:19" ht="15" thickBot="1" x14ac:dyDescent="0.4">
      <c r="A57" s="2239"/>
      <c r="B57" s="2240"/>
      <c r="C57" s="2241"/>
      <c r="D57" s="2241"/>
      <c r="E57" s="2242"/>
      <c r="F57" s="2243"/>
      <c r="G57" s="2261"/>
      <c r="H57" s="2077"/>
      <c r="I57" s="2078"/>
      <c r="J57" s="2077"/>
      <c r="K57" s="2078"/>
      <c r="L57" s="2077"/>
      <c r="M57" s="2078"/>
      <c r="N57" s="2077"/>
      <c r="O57" s="2078"/>
      <c r="P57" s="2077"/>
      <c r="Q57" s="2078"/>
      <c r="R57" s="2077"/>
      <c r="S57" s="2078"/>
    </row>
    <row r="58" spans="1:19" ht="15.5" thickTop="1" thickBot="1" x14ac:dyDescent="0.4">
      <c r="A58" s="3764" t="s">
        <v>721</v>
      </c>
      <c r="B58" s="3765"/>
      <c r="C58" s="12"/>
      <c r="D58" s="12"/>
      <c r="E58" s="12"/>
      <c r="F58" s="12"/>
      <c r="G58" s="13"/>
      <c r="H58" s="21"/>
      <c r="I58" s="21"/>
      <c r="J58" s="21"/>
      <c r="K58" s="21"/>
      <c r="L58" s="21"/>
      <c r="M58" s="21"/>
      <c r="N58" s="21"/>
      <c r="O58" s="21"/>
      <c r="P58" s="21"/>
      <c r="Q58" s="21"/>
      <c r="R58" s="21"/>
      <c r="S58" s="21"/>
    </row>
    <row r="59" spans="1:19" ht="15" thickTop="1" x14ac:dyDescent="0.35">
      <c r="A59" s="2398"/>
      <c r="B59" s="2284"/>
      <c r="C59" s="2407"/>
      <c r="D59" s="2407"/>
      <c r="E59" s="2407"/>
      <c r="F59" s="2407"/>
      <c r="G59" s="2408"/>
      <c r="H59" s="2399"/>
      <c r="I59" s="2399"/>
      <c r="J59" s="2399"/>
      <c r="K59" s="2399"/>
      <c r="L59" s="2399"/>
      <c r="M59" s="2399"/>
      <c r="N59" s="2399"/>
      <c r="O59" s="2399"/>
      <c r="P59" s="2399"/>
      <c r="Q59" s="2399"/>
      <c r="R59" s="2399"/>
      <c r="S59" s="2399"/>
    </row>
    <row r="60" spans="1:19" s="2" customFormat="1" x14ac:dyDescent="0.35">
      <c r="A60" s="2398"/>
      <c r="B60" s="2284"/>
      <c r="C60" s="2407"/>
      <c r="D60" s="2407"/>
      <c r="E60" s="2407"/>
      <c r="F60" s="2407"/>
      <c r="G60" s="2408"/>
      <c r="H60" s="2399"/>
      <c r="I60" s="2399"/>
      <c r="J60" s="2399"/>
      <c r="K60" s="2399"/>
      <c r="L60" s="2399"/>
      <c r="M60" s="2399"/>
      <c r="N60" s="2399"/>
      <c r="O60" s="2399"/>
      <c r="P60" s="2399"/>
      <c r="Q60" s="2399"/>
      <c r="R60" s="2399"/>
      <c r="S60" s="2399"/>
    </row>
    <row r="61" spans="1:19" s="2" customFormat="1" ht="15" thickBot="1" x14ac:dyDescent="0.4">
      <c r="A61" s="2398"/>
      <c r="B61" s="2284"/>
      <c r="C61" s="2407"/>
      <c r="D61" s="2407"/>
      <c r="E61" s="2407"/>
      <c r="F61" s="2407"/>
      <c r="G61" s="2408"/>
      <c r="H61" s="2399"/>
      <c r="I61" s="2399"/>
      <c r="J61" s="2399"/>
      <c r="K61" s="2399"/>
      <c r="L61" s="2399"/>
      <c r="M61" s="2399"/>
      <c r="N61" s="2399"/>
      <c r="O61" s="2399"/>
      <c r="P61" s="2399"/>
      <c r="Q61" s="2399"/>
      <c r="R61" s="2399"/>
      <c r="S61" s="2399"/>
    </row>
    <row r="62" spans="1:19" ht="15.5" thickTop="1" thickBot="1" x14ac:dyDescent="0.4">
      <c r="A62" s="3764" t="s">
        <v>722</v>
      </c>
      <c r="B62" s="3765"/>
      <c r="C62" s="12"/>
      <c r="D62" s="12"/>
      <c r="E62" s="12"/>
      <c r="F62" s="12"/>
      <c r="G62" s="13"/>
      <c r="H62" s="21"/>
      <c r="I62" s="21"/>
      <c r="J62" s="21"/>
      <c r="K62" s="21"/>
      <c r="L62" s="21"/>
      <c r="M62" s="21"/>
      <c r="N62" s="21"/>
      <c r="O62" s="21"/>
      <c r="P62" s="21"/>
      <c r="Q62" s="21"/>
      <c r="R62" s="21"/>
      <c r="S62" s="21"/>
    </row>
    <row r="63" spans="1:19" s="2" customFormat="1" ht="15" thickTop="1" x14ac:dyDescent="0.35">
      <c r="A63" s="2398"/>
      <c r="B63" s="2284"/>
      <c r="C63" s="2407"/>
      <c r="D63" s="2407"/>
      <c r="E63" s="2407"/>
      <c r="F63" s="2407"/>
      <c r="G63" s="2408"/>
      <c r="H63" s="2399"/>
      <c r="I63" s="2399"/>
      <c r="J63" s="2399"/>
      <c r="K63" s="2399"/>
      <c r="L63" s="2399"/>
      <c r="M63" s="2399"/>
      <c r="N63" s="2399"/>
      <c r="O63" s="2399"/>
      <c r="P63" s="2399"/>
      <c r="Q63" s="2399"/>
      <c r="R63" s="2399"/>
      <c r="S63" s="2399"/>
    </row>
    <row r="64" spans="1:19" s="2" customFormat="1" x14ac:dyDescent="0.35">
      <c r="A64" s="2398"/>
      <c r="B64" s="2284"/>
      <c r="C64" s="2407"/>
      <c r="D64" s="2407"/>
      <c r="E64" s="2407"/>
      <c r="F64" s="2407"/>
      <c r="G64" s="2408"/>
      <c r="H64" s="2399"/>
      <c r="I64" s="2399"/>
      <c r="J64" s="2399"/>
      <c r="K64" s="2399"/>
      <c r="L64" s="2399"/>
      <c r="M64" s="2399"/>
      <c r="N64" s="2399"/>
      <c r="O64" s="2399"/>
      <c r="P64" s="2399"/>
      <c r="Q64" s="2399"/>
      <c r="R64" s="2399"/>
      <c r="S64" s="2399"/>
    </row>
    <row r="65" spans="1:19" ht="15" thickBot="1" x14ac:dyDescent="0.4">
      <c r="A65" s="2398"/>
      <c r="B65" s="2284"/>
      <c r="C65" s="2407"/>
      <c r="D65" s="2407"/>
      <c r="E65" s="2407"/>
      <c r="F65" s="2407"/>
      <c r="G65" s="2408"/>
      <c r="H65" s="2399"/>
      <c r="I65" s="2399"/>
      <c r="J65" s="2399"/>
      <c r="K65" s="2399"/>
      <c r="L65" s="2399"/>
      <c r="M65" s="2399"/>
      <c r="N65" s="2399"/>
      <c r="O65" s="2399"/>
      <c r="P65" s="2399"/>
      <c r="Q65" s="2399"/>
      <c r="R65" s="2399"/>
      <c r="S65" s="2399"/>
    </row>
    <row r="66" spans="1:19" ht="15.5" thickTop="1" thickBot="1" x14ac:dyDescent="0.4">
      <c r="A66" s="3764" t="s">
        <v>723</v>
      </c>
      <c r="B66" s="3765"/>
      <c r="C66" s="12"/>
      <c r="D66" s="12"/>
      <c r="E66" s="12"/>
      <c r="F66" s="12"/>
      <c r="G66" s="13"/>
      <c r="H66" s="21"/>
      <c r="I66" s="21"/>
      <c r="J66" s="21"/>
      <c r="K66" s="21"/>
      <c r="L66" s="21"/>
      <c r="M66" s="21"/>
      <c r="N66" s="21"/>
      <c r="O66" s="21"/>
      <c r="P66" s="21"/>
      <c r="Q66" s="21"/>
      <c r="R66" s="21"/>
      <c r="S66" s="21"/>
    </row>
    <row r="67" spans="1:19" ht="15" thickTop="1" x14ac:dyDescent="0.35">
      <c r="A67" s="2398"/>
      <c r="B67" s="2284"/>
      <c r="C67" s="2407"/>
      <c r="D67" s="2407"/>
      <c r="E67" s="2407"/>
      <c r="F67" s="2407"/>
      <c r="G67" s="2408"/>
      <c r="H67" s="2399"/>
      <c r="I67" s="2399"/>
      <c r="J67" s="2399"/>
      <c r="K67" s="2399"/>
      <c r="L67" s="2399"/>
      <c r="M67" s="2399"/>
      <c r="N67" s="2399"/>
      <c r="O67" s="2399"/>
      <c r="P67" s="2399"/>
      <c r="Q67" s="2399"/>
      <c r="R67" s="2399"/>
      <c r="S67" s="2399"/>
    </row>
    <row r="68" spans="1:19" x14ac:dyDescent="0.35">
      <c r="A68" s="2286"/>
      <c r="B68" s="2284"/>
      <c r="C68" s="2285"/>
      <c r="D68" s="2285"/>
      <c r="E68" s="2285"/>
      <c r="F68" s="2285"/>
      <c r="G68" s="2198"/>
      <c r="H68" s="2081"/>
      <c r="I68" s="2081"/>
      <c r="J68" s="2081"/>
      <c r="K68" s="2081"/>
      <c r="L68" s="2081"/>
      <c r="M68" s="2081"/>
      <c r="N68" s="2081"/>
      <c r="O68" s="2081"/>
      <c r="P68" s="2081"/>
      <c r="Q68" s="2081"/>
      <c r="R68" s="2081"/>
      <c r="S68" s="2081"/>
    </row>
    <row r="69" spans="1:19" ht="15" thickBot="1" x14ac:dyDescent="0.4">
      <c r="A69" s="2269"/>
      <c r="B69" s="2270"/>
      <c r="C69" s="2285"/>
      <c r="D69" s="2285"/>
      <c r="E69" s="2285"/>
      <c r="F69" s="2285"/>
      <c r="G69" s="2198"/>
      <c r="H69" s="2084"/>
      <c r="I69" s="2084"/>
      <c r="J69" s="2084"/>
      <c r="K69" s="2084"/>
      <c r="L69" s="2084"/>
      <c r="M69" s="2084"/>
      <c r="N69" s="2084"/>
      <c r="O69" s="2084"/>
      <c r="P69" s="2084"/>
      <c r="Q69" s="2084"/>
      <c r="R69" s="2084"/>
      <c r="S69" s="2084"/>
    </row>
    <row r="70" spans="1:19" ht="15.5" thickTop="1" thickBot="1" x14ac:dyDescent="0.4">
      <c r="A70" s="3764" t="s">
        <v>724</v>
      </c>
      <c r="B70" s="3765"/>
      <c r="C70" s="12"/>
      <c r="D70" s="12"/>
      <c r="E70" s="12"/>
      <c r="F70" s="12"/>
      <c r="G70" s="13"/>
      <c r="H70" s="21"/>
      <c r="I70" s="21"/>
      <c r="J70" s="21"/>
      <c r="K70" s="21"/>
      <c r="L70" s="21"/>
      <c r="M70" s="21"/>
      <c r="N70" s="21"/>
      <c r="O70" s="21"/>
      <c r="P70" s="21"/>
      <c r="Q70" s="21"/>
      <c r="R70" s="21"/>
      <c r="S70" s="21"/>
    </row>
    <row r="71" spans="1:19" ht="15" thickTop="1" x14ac:dyDescent="0.35">
      <c r="A71" s="2400"/>
      <c r="B71" s="2409"/>
      <c r="C71" s="2407"/>
      <c r="D71" s="2407"/>
      <c r="E71" s="2407"/>
      <c r="F71" s="2407"/>
      <c r="G71" s="2408"/>
      <c r="H71" s="2399"/>
      <c r="I71" s="2399"/>
      <c r="J71" s="2399"/>
      <c r="K71" s="2399"/>
      <c r="L71" s="2399"/>
      <c r="M71" s="2399"/>
      <c r="N71" s="2399"/>
      <c r="O71" s="2399"/>
      <c r="P71" s="2399"/>
      <c r="Q71" s="2399"/>
      <c r="R71" s="2399"/>
      <c r="S71" s="2399"/>
    </row>
    <row r="72" spans="1:19" x14ac:dyDescent="0.35">
      <c r="A72" s="2269"/>
      <c r="B72" s="2270"/>
      <c r="C72" s="2285"/>
      <c r="D72" s="2285"/>
      <c r="E72" s="2285"/>
      <c r="F72" s="2285"/>
      <c r="G72" s="2198"/>
      <c r="H72" s="2087"/>
      <c r="I72" s="2087"/>
      <c r="J72" s="2087"/>
      <c r="K72" s="2087"/>
      <c r="L72" s="2087"/>
      <c r="M72" s="2087"/>
      <c r="N72" s="2087"/>
      <c r="O72" s="2087"/>
      <c r="P72" s="2087"/>
      <c r="Q72" s="2087"/>
      <c r="R72" s="2087"/>
      <c r="S72" s="2087"/>
    </row>
    <row r="73" spans="1:19" ht="15" thickBot="1" x14ac:dyDescent="0.4">
      <c r="A73" s="2269"/>
      <c r="B73" s="2270"/>
      <c r="C73" s="2285"/>
      <c r="D73" s="2285"/>
      <c r="E73" s="2285"/>
      <c r="F73" s="2285"/>
      <c r="G73" s="2198"/>
      <c r="H73" s="2087"/>
      <c r="I73" s="2087"/>
      <c r="J73" s="2087"/>
      <c r="K73" s="2087"/>
      <c r="L73" s="2087"/>
      <c r="M73" s="2087"/>
      <c r="N73" s="2087"/>
      <c r="O73" s="2087"/>
      <c r="P73" s="2087"/>
      <c r="Q73" s="2087"/>
      <c r="R73" s="2087"/>
      <c r="S73" s="2087"/>
    </row>
    <row r="74" spans="1:19" ht="15.5" thickTop="1" thickBot="1" x14ac:dyDescent="0.4">
      <c r="A74" s="3764" t="s">
        <v>725</v>
      </c>
      <c r="B74" s="3765"/>
      <c r="C74" s="12"/>
      <c r="D74" s="12"/>
      <c r="E74" s="12"/>
      <c r="F74" s="12"/>
      <c r="G74" s="13"/>
      <c r="H74" s="21"/>
      <c r="I74" s="21"/>
      <c r="J74" s="21"/>
      <c r="K74" s="21"/>
      <c r="L74" s="21"/>
      <c r="M74" s="21"/>
      <c r="N74" s="21"/>
      <c r="O74" s="21"/>
      <c r="P74" s="21"/>
      <c r="Q74" s="21"/>
      <c r="R74" s="21"/>
      <c r="S74" s="21"/>
    </row>
    <row r="75" spans="1:19" ht="15" thickTop="1" x14ac:dyDescent="0.35">
      <c r="A75" s="2286"/>
      <c r="B75" s="2284" t="s">
        <v>726</v>
      </c>
      <c r="C75" s="2285"/>
      <c r="D75" s="2285"/>
      <c r="E75" s="2285"/>
      <c r="F75" s="2285"/>
      <c r="G75" s="2198"/>
      <c r="H75" s="2087"/>
      <c r="I75" s="2087"/>
      <c r="J75" s="2087"/>
      <c r="K75" s="2087"/>
      <c r="L75" s="2087"/>
      <c r="M75" s="2087"/>
      <c r="N75" s="2087"/>
      <c r="O75" s="2087"/>
      <c r="P75" s="2087"/>
      <c r="Q75" s="2087"/>
      <c r="R75" s="2087"/>
      <c r="S75" s="2087"/>
    </row>
    <row r="76" spans="1:19" x14ac:dyDescent="0.35">
      <c r="A76" s="2286"/>
      <c r="B76" s="2284" t="s">
        <v>727</v>
      </c>
      <c r="C76" s="2285"/>
      <c r="D76" s="2285"/>
      <c r="E76" s="2285"/>
      <c r="F76" s="2285"/>
      <c r="G76" s="2198"/>
      <c r="H76" s="2087"/>
      <c r="I76" s="2087"/>
      <c r="J76" s="2087"/>
      <c r="K76" s="2087"/>
      <c r="L76" s="2087"/>
      <c r="M76" s="2087"/>
      <c r="N76" s="2087"/>
      <c r="O76" s="2087"/>
      <c r="P76" s="2087"/>
      <c r="Q76" s="2087"/>
      <c r="R76" s="2087"/>
      <c r="S76" s="2087"/>
    </row>
    <row r="77" spans="1:19" x14ac:dyDescent="0.35">
      <c r="A77" s="2286"/>
      <c r="B77" s="2284" t="s">
        <v>728</v>
      </c>
      <c r="C77" s="2285"/>
      <c r="D77" s="2285"/>
      <c r="E77" s="2285"/>
      <c r="F77" s="2285"/>
      <c r="G77" s="2198"/>
      <c r="H77" s="2087"/>
      <c r="I77" s="2087"/>
      <c r="J77" s="2087"/>
      <c r="K77" s="2087"/>
      <c r="L77" s="2087"/>
      <c r="M77" s="2087"/>
      <c r="N77" s="2087"/>
      <c r="O77" s="2087"/>
      <c r="P77" s="2087"/>
      <c r="Q77" s="2087"/>
      <c r="R77" s="2087"/>
      <c r="S77" s="2087"/>
    </row>
    <row r="78" spans="1:19" x14ac:dyDescent="0.35">
      <c r="A78" s="2286"/>
      <c r="B78" s="2284" t="s">
        <v>729</v>
      </c>
      <c r="C78" s="2285"/>
      <c r="D78" s="2285"/>
      <c r="E78" s="2285"/>
      <c r="F78" s="2285"/>
      <c r="G78" s="2198"/>
      <c r="H78" s="2087"/>
      <c r="I78" s="2087"/>
      <c r="J78" s="2087"/>
      <c r="K78" s="2087"/>
      <c r="L78" s="2087"/>
      <c r="M78" s="2087"/>
      <c r="N78" s="2087"/>
      <c r="O78" s="2087"/>
      <c r="P78" s="2087"/>
      <c r="Q78" s="2087"/>
      <c r="R78" s="2087"/>
      <c r="S78" s="2087"/>
    </row>
    <row r="79" spans="1:19" ht="15" thickBot="1" x14ac:dyDescent="0.4">
      <c r="A79" s="978"/>
      <c r="B79" s="939"/>
      <c r="C79" s="940"/>
      <c r="D79" s="940"/>
      <c r="E79" s="940"/>
      <c r="F79" s="940"/>
      <c r="G79" s="1039"/>
      <c r="H79" s="981"/>
      <c r="I79" s="981"/>
      <c r="J79" s="981"/>
      <c r="K79" s="981"/>
      <c r="L79" s="981"/>
      <c r="M79" s="981"/>
      <c r="N79" s="981"/>
      <c r="O79" s="981"/>
      <c r="P79" s="981"/>
      <c r="Q79" s="981"/>
      <c r="R79" s="981"/>
      <c r="S79" s="981"/>
    </row>
    <row r="80" spans="1:19" ht="15.5" thickTop="1" thickBot="1" x14ac:dyDescent="0.4">
      <c r="A80" s="7" t="s">
        <v>730</v>
      </c>
      <c r="B80" s="8"/>
      <c r="C80" s="12"/>
      <c r="D80" s="12"/>
      <c r="E80" s="12"/>
      <c r="F80" s="12"/>
      <c r="G80" s="13"/>
      <c r="H80" s="21"/>
      <c r="I80" s="21"/>
      <c r="J80" s="21"/>
      <c r="K80" s="21"/>
      <c r="L80" s="21"/>
      <c r="M80" s="21"/>
      <c r="N80" s="21"/>
      <c r="O80" s="21"/>
      <c r="P80" s="21"/>
      <c r="Q80" s="21"/>
      <c r="R80" s="21"/>
      <c r="S80" s="21"/>
    </row>
    <row r="81" spans="1:19" ht="15" thickTop="1" x14ac:dyDescent="0.35">
      <c r="A81" s="2398"/>
      <c r="B81" s="2410" t="s">
        <v>731</v>
      </c>
      <c r="C81" s="2407"/>
      <c r="D81" s="2407"/>
      <c r="E81" s="2407"/>
      <c r="F81" s="2407"/>
      <c r="G81" s="2408"/>
      <c r="H81" s="2401"/>
      <c r="I81" s="2401"/>
      <c r="J81" s="2401"/>
      <c r="K81" s="2401"/>
      <c r="L81" s="2401"/>
      <c r="M81" s="2401"/>
      <c r="N81" s="2401"/>
      <c r="O81" s="2401"/>
      <c r="P81" s="2401"/>
      <c r="Q81" s="2401"/>
      <c r="R81" s="2401"/>
      <c r="S81" s="2401"/>
    </row>
    <row r="82" spans="1:19" x14ac:dyDescent="0.35">
      <c r="A82" s="2286"/>
      <c r="B82" s="2284" t="s">
        <v>732</v>
      </c>
      <c r="C82" s="2285"/>
      <c r="D82" s="2285"/>
      <c r="E82" s="2285"/>
      <c r="F82" s="2285"/>
      <c r="G82" s="2198"/>
      <c r="H82" s="2158"/>
      <c r="I82" s="2158"/>
      <c r="J82" s="2158"/>
      <c r="K82" s="2158"/>
      <c r="L82" s="2158"/>
      <c r="M82" s="2158"/>
      <c r="N82" s="2158"/>
      <c r="O82" s="2158"/>
      <c r="P82" s="2158"/>
      <c r="Q82" s="2158"/>
      <c r="R82" s="2158"/>
      <c r="S82" s="2158"/>
    </row>
    <row r="83" spans="1:19" ht="15" thickBot="1" x14ac:dyDescent="0.4">
      <c r="A83" s="2089"/>
      <c r="B83" s="2090" t="s">
        <v>733</v>
      </c>
      <c r="C83" s="2091"/>
      <c r="D83" s="2091"/>
      <c r="E83" s="2091"/>
      <c r="F83" s="2091"/>
      <c r="G83" s="2092"/>
      <c r="H83" s="2093"/>
      <c r="I83" s="2093"/>
      <c r="J83" s="2093"/>
      <c r="K83" s="2093"/>
      <c r="L83" s="2093"/>
      <c r="M83" s="2093"/>
      <c r="N83" s="2093"/>
      <c r="O83" s="2093"/>
      <c r="P83" s="2093"/>
      <c r="Q83" s="2093"/>
      <c r="R83" s="2093"/>
      <c r="S83" s="2093"/>
    </row>
    <row r="84" spans="1:19" ht="15.5" thickTop="1" thickBot="1" x14ac:dyDescent="0.4"/>
    <row r="85" spans="1:19" ht="15.5" thickTop="1" thickBot="1" x14ac:dyDescent="0.4">
      <c r="A85" s="78" t="s">
        <v>734</v>
      </c>
      <c r="B85" s="80"/>
    </row>
    <row r="86" spans="1:19" ht="15" thickTop="1" x14ac:dyDescent="0.35">
      <c r="A86" s="79" t="s">
        <v>632</v>
      </c>
      <c r="B86" s="2094"/>
    </row>
    <row r="87" spans="1:19" x14ac:dyDescent="0.35">
      <c r="A87" s="2279" t="s">
        <v>636</v>
      </c>
      <c r="B87" s="2094"/>
    </row>
    <row r="88" spans="1:19" x14ac:dyDescent="0.35">
      <c r="A88" s="2096" t="s">
        <v>639</v>
      </c>
      <c r="B88" s="2097"/>
    </row>
    <row r="89" spans="1:19" x14ac:dyDescent="0.35">
      <c r="A89" s="2096" t="s">
        <v>642</v>
      </c>
      <c r="B89" s="2159"/>
    </row>
    <row r="90" spans="1:19" ht="15" thickBot="1" x14ac:dyDescent="0.4">
      <c r="A90" s="2099" t="s">
        <v>735</v>
      </c>
      <c r="B90" s="2100"/>
    </row>
    <row r="91" spans="1:19" ht="15" thickTop="1" x14ac:dyDescent="0.35"/>
    <row r="92" spans="1:19" x14ac:dyDescent="0.35">
      <c r="A92" s="81"/>
      <c r="B92" s="1" t="s">
        <v>736</v>
      </c>
    </row>
    <row r="93" spans="1:19" x14ac:dyDescent="0.35">
      <c r="A93" s="82"/>
      <c r="B93" s="1" t="s">
        <v>737</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345" priority="13" operator="equal">
      <formula>"X"</formula>
    </cfRule>
    <cfRule type="cellIs" dxfId="1344" priority="14" operator="equal">
      <formula>"I"</formula>
    </cfRule>
  </conditionalFormatting>
  <conditionalFormatting sqref="H32:H49">
    <cfRule type="cellIs" dxfId="1343" priority="1" operator="equal">
      <formula>"X"</formula>
    </cfRule>
    <cfRule type="cellIs" dxfId="1342" priority="2" operator="equal">
      <formula>"I"</formula>
    </cfRule>
  </conditionalFormatting>
  <conditionalFormatting sqref="J20:J30">
    <cfRule type="cellIs" dxfId="1341" priority="15" operator="equal">
      <formula>"X"</formula>
    </cfRule>
    <cfRule type="cellIs" dxfId="1340" priority="16" operator="equal">
      <formula>"I"</formula>
    </cfRule>
  </conditionalFormatting>
  <conditionalFormatting sqref="J32:J49">
    <cfRule type="cellIs" dxfId="1339" priority="3" operator="equal">
      <formula>"X"</formula>
    </cfRule>
    <cfRule type="cellIs" dxfId="1338" priority="4" operator="equal">
      <formula>"I"</formula>
    </cfRule>
  </conditionalFormatting>
  <conditionalFormatting sqref="L20:L30">
    <cfRule type="cellIs" dxfId="1337" priority="17" operator="equal">
      <formula>"X"</formula>
    </cfRule>
    <cfRule type="cellIs" dxfId="1336" priority="18" operator="equal">
      <formula>"I"</formula>
    </cfRule>
  </conditionalFormatting>
  <conditionalFormatting sqref="L32:L49">
    <cfRule type="cellIs" dxfId="1335" priority="5" operator="equal">
      <formula>"X"</formula>
    </cfRule>
    <cfRule type="cellIs" dxfId="1334" priority="6" operator="equal">
      <formula>"I"</formula>
    </cfRule>
  </conditionalFormatting>
  <conditionalFormatting sqref="N20:N30">
    <cfRule type="cellIs" dxfId="1333" priority="19" operator="equal">
      <formula>"X"</formula>
    </cfRule>
    <cfRule type="cellIs" dxfId="1332" priority="20" operator="equal">
      <formula>"I"</formula>
    </cfRule>
  </conditionalFormatting>
  <conditionalFormatting sqref="N32:N49">
    <cfRule type="cellIs" dxfId="1331" priority="7" operator="equal">
      <formula>"X"</formula>
    </cfRule>
    <cfRule type="cellIs" dxfId="1330" priority="8" operator="equal">
      <formula>"I"</formula>
    </cfRule>
  </conditionalFormatting>
  <conditionalFormatting sqref="P20:P30">
    <cfRule type="cellIs" dxfId="1329" priority="21" operator="equal">
      <formula>"X"</formula>
    </cfRule>
    <cfRule type="cellIs" dxfId="1328" priority="22" operator="equal">
      <formula>"I"</formula>
    </cfRule>
  </conditionalFormatting>
  <conditionalFormatting sqref="P32:P49">
    <cfRule type="cellIs" dxfId="1327" priority="9" operator="equal">
      <formula>"X"</formula>
    </cfRule>
    <cfRule type="cellIs" dxfId="1326" priority="10" operator="equal">
      <formula>"I"</formula>
    </cfRule>
  </conditionalFormatting>
  <conditionalFormatting sqref="R20:R30">
    <cfRule type="cellIs" dxfId="1325" priority="23" operator="equal">
      <formula>"X"</formula>
    </cfRule>
    <cfRule type="cellIs" dxfId="1324" priority="24" operator="equal">
      <formula>"I"</formula>
    </cfRule>
  </conditionalFormatting>
  <conditionalFormatting sqref="R32:R49">
    <cfRule type="cellIs" dxfId="1323" priority="11" operator="equal">
      <formula>"X"</formula>
    </cfRule>
    <cfRule type="cellIs" dxfId="1322" priority="12" operator="equal">
      <formula>"I"</formula>
    </cfRule>
  </conditionalFormatting>
  <hyperlinks>
    <hyperlink ref="B3" location="'Cost Summary'!A1" display="BACK TO SUMMARY SHEET" xr:uid="{506E711B-2410-4A23-897C-C5F076476EBB}"/>
  </hyperlink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C0EB-3CBA-471C-AAC8-9412644CC620}">
  <sheetPr>
    <tabColor rgb="FF92D050"/>
  </sheetPr>
  <dimension ref="A1:S93"/>
  <sheetViews>
    <sheetView workbookViewId="0">
      <pane xSplit="2" ySplit="9" topLeftCell="C34" activePane="bottomRight" state="frozen"/>
      <selection pane="topRight" activeCell="C1" sqref="C1"/>
      <selection pane="bottomLeft" activeCell="A11" sqref="A11"/>
      <selection pane="bottomRight" activeCell="B34" sqref="B34"/>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2673</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2674</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45">
        <f>I54</f>
        <v>0</v>
      </c>
      <c r="I8" s="3944"/>
      <c r="J8" s="3945">
        <f>K54</f>
        <v>0</v>
      </c>
      <c r="K8" s="3944"/>
      <c r="L8" s="3945">
        <f>M54</f>
        <v>0</v>
      </c>
      <c r="M8" s="3944"/>
      <c r="N8" s="3945">
        <f>O54</f>
        <v>0</v>
      </c>
      <c r="O8" s="3944"/>
      <c r="P8" s="3945">
        <f>Q54</f>
        <v>0</v>
      </c>
      <c r="Q8" s="3944"/>
      <c r="R8" s="3945">
        <f>S54</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411"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402"/>
      <c r="B21" s="2203" t="s">
        <v>2673</v>
      </c>
      <c r="C21" s="45"/>
      <c r="D21" s="46"/>
      <c r="E21" s="46"/>
      <c r="F21" s="46"/>
      <c r="G21" s="52"/>
      <c r="H21" s="2109"/>
      <c r="I21" s="47"/>
      <c r="J21" s="2109"/>
      <c r="K21" s="47"/>
      <c r="L21" s="2109"/>
      <c r="M21" s="47"/>
      <c r="N21" s="2109"/>
      <c r="O21" s="47"/>
      <c r="P21" s="2109"/>
      <c r="Q21" s="47"/>
      <c r="R21" s="2109"/>
      <c r="S21" s="47"/>
    </row>
    <row r="22" spans="1:19" x14ac:dyDescent="0.35">
      <c r="A22" s="2403"/>
      <c r="B22" s="606" t="s">
        <v>657</v>
      </c>
      <c r="C22" s="2201"/>
      <c r="D22" s="2285"/>
      <c r="E22" s="2285"/>
      <c r="F22" s="2285"/>
      <c r="G22" s="2198"/>
      <c r="H22" s="2109"/>
      <c r="I22" s="2353"/>
      <c r="J22" s="2109"/>
      <c r="K22" s="2353"/>
      <c r="L22" s="2109"/>
      <c r="M22" s="2353"/>
      <c r="N22" s="2109"/>
      <c r="O22" s="2353"/>
      <c r="P22" s="2109"/>
      <c r="Q22" s="2353"/>
      <c r="R22" s="2109"/>
      <c r="S22" s="2353"/>
    </row>
    <row r="23" spans="1:19" x14ac:dyDescent="0.35">
      <c r="A23" s="2403"/>
      <c r="B23" s="2412" t="s">
        <v>658</v>
      </c>
      <c r="C23" s="2201"/>
      <c r="D23" s="2285"/>
      <c r="E23" s="2285"/>
      <c r="F23" s="2285"/>
      <c r="G23" s="2198"/>
      <c r="H23" s="2109"/>
      <c r="I23" s="2352"/>
      <c r="J23" s="2109"/>
      <c r="K23" s="2353"/>
      <c r="L23" s="2109"/>
      <c r="M23" s="2353"/>
      <c r="N23" s="2109"/>
      <c r="O23" s="2353"/>
      <c r="P23" s="2109"/>
      <c r="Q23" s="2353"/>
      <c r="R23" s="2109"/>
      <c r="S23" s="2353"/>
    </row>
    <row r="24" spans="1:19" x14ac:dyDescent="0.35">
      <c r="A24" s="2402"/>
      <c r="B24" s="2412" t="s">
        <v>659</v>
      </c>
      <c r="C24" s="2208"/>
      <c r="D24" s="2285"/>
      <c r="E24" s="2285"/>
      <c r="F24" s="2285"/>
      <c r="G24" s="2198"/>
      <c r="H24" s="2109"/>
      <c r="I24" s="2352"/>
      <c r="J24" s="2109"/>
      <c r="K24" s="2353"/>
      <c r="L24" s="2109"/>
      <c r="M24" s="2353"/>
      <c r="N24" s="2109"/>
      <c r="O24" s="2353"/>
      <c r="P24" s="2109"/>
      <c r="Q24" s="2353"/>
      <c r="R24" s="2109"/>
      <c r="S24" s="2353"/>
    </row>
    <row r="25" spans="1:19" x14ac:dyDescent="0.35">
      <c r="A25" s="2402"/>
      <c r="B25" s="2413" t="s">
        <v>660</v>
      </c>
      <c r="C25" s="2208"/>
      <c r="D25" s="2285"/>
      <c r="E25" s="2285"/>
      <c r="F25" s="2285"/>
      <c r="G25" s="2198"/>
      <c r="H25" s="2109"/>
      <c r="I25" s="2352"/>
      <c r="J25" s="2109"/>
      <c r="K25" s="2353"/>
      <c r="L25" s="2109"/>
      <c r="M25" s="2353"/>
      <c r="N25" s="2109"/>
      <c r="O25" s="2353"/>
      <c r="P25" s="2109"/>
      <c r="Q25" s="2353"/>
      <c r="R25" s="2109"/>
      <c r="S25" s="2353"/>
    </row>
    <row r="26" spans="1:19" s="77" customFormat="1" x14ac:dyDescent="0.35">
      <c r="A26" s="2403"/>
      <c r="B26" s="2413" t="s">
        <v>661</v>
      </c>
      <c r="C26" s="2211"/>
      <c r="D26" s="2212"/>
      <c r="E26" s="2212"/>
      <c r="F26" s="2212"/>
      <c r="G26" s="2211"/>
      <c r="H26" s="2109"/>
      <c r="I26" s="2352"/>
      <c r="J26" s="2109"/>
      <c r="K26" s="2335"/>
      <c r="L26" s="2109"/>
      <c r="M26" s="2335"/>
      <c r="N26" s="2109"/>
      <c r="O26" s="2335"/>
      <c r="P26" s="2109"/>
      <c r="Q26" s="2335"/>
      <c r="R26" s="2109"/>
      <c r="S26" s="2335"/>
    </row>
    <row r="27" spans="1:19" s="77" customFormat="1" x14ac:dyDescent="0.35">
      <c r="A27" s="2403"/>
      <c r="B27" s="2413" t="s">
        <v>662</v>
      </c>
      <c r="C27" s="2211"/>
      <c r="D27" s="2212"/>
      <c r="E27" s="2212"/>
      <c r="F27" s="2212"/>
      <c r="G27" s="2211"/>
      <c r="H27" s="2109"/>
      <c r="I27" s="2352"/>
      <c r="J27" s="2109"/>
      <c r="K27" s="2335"/>
      <c r="L27" s="2109"/>
      <c r="M27" s="2335"/>
      <c r="N27" s="2109"/>
      <c r="O27" s="2335"/>
      <c r="P27" s="2109"/>
      <c r="Q27" s="2335"/>
      <c r="R27" s="2109"/>
      <c r="S27" s="2335"/>
    </row>
    <row r="28" spans="1:19" s="77" customFormat="1" x14ac:dyDescent="0.35">
      <c r="A28" s="2403"/>
      <c r="B28" s="2413" t="s">
        <v>663</v>
      </c>
      <c r="C28" s="2211"/>
      <c r="D28" s="2212"/>
      <c r="E28" s="2212"/>
      <c r="F28" s="2212"/>
      <c r="G28" s="2211"/>
      <c r="H28" s="2109"/>
      <c r="I28" s="2352"/>
      <c r="J28" s="2109"/>
      <c r="K28" s="2335"/>
      <c r="L28" s="2109"/>
      <c r="M28" s="2335"/>
      <c r="N28" s="2109"/>
      <c r="O28" s="2335"/>
      <c r="P28" s="2109"/>
      <c r="Q28" s="2335"/>
      <c r="R28" s="2109"/>
      <c r="S28" s="2335"/>
    </row>
    <row r="29" spans="1:19" s="77" customFormat="1" x14ac:dyDescent="0.35">
      <c r="A29" s="2403"/>
      <c r="B29" s="2413" t="s">
        <v>742</v>
      </c>
      <c r="C29" s="2211"/>
      <c r="D29" s="2212"/>
      <c r="E29" s="2212"/>
      <c r="F29" s="2212"/>
      <c r="G29" s="2211"/>
      <c r="H29" s="2109"/>
      <c r="I29" s="2352"/>
      <c r="J29" s="2109"/>
      <c r="K29" s="2335"/>
      <c r="L29" s="2109"/>
      <c r="M29" s="2335"/>
      <c r="N29" s="2109"/>
      <c r="O29" s="2335"/>
      <c r="P29" s="2109"/>
      <c r="Q29" s="2335"/>
      <c r="R29" s="2109"/>
      <c r="S29" s="2335"/>
    </row>
    <row r="30" spans="1:19" s="77" customFormat="1" x14ac:dyDescent="0.35">
      <c r="A30" s="2403"/>
      <c r="B30" s="2311" t="s">
        <v>664</v>
      </c>
      <c r="C30" s="2211"/>
      <c r="D30" s="2212"/>
      <c r="E30" s="2212"/>
      <c r="F30" s="2212"/>
      <c r="G30" s="2211"/>
      <c r="H30" s="2109"/>
      <c r="I30" s="2352"/>
      <c r="J30" s="2109"/>
      <c r="K30" s="2335"/>
      <c r="L30" s="2109"/>
      <c r="M30" s="2335"/>
      <c r="N30" s="2109"/>
      <c r="O30" s="2335"/>
      <c r="P30" s="2109"/>
      <c r="Q30" s="2335"/>
      <c r="R30" s="2109"/>
      <c r="S30" s="2335"/>
    </row>
    <row r="31" spans="1:19" s="77" customFormat="1" x14ac:dyDescent="0.35">
      <c r="A31" s="2403"/>
      <c r="B31" s="2414" t="s">
        <v>665</v>
      </c>
      <c r="C31" s="2216"/>
      <c r="D31" s="2217"/>
      <c r="E31" s="2217"/>
      <c r="F31" s="2217"/>
      <c r="G31" s="2216"/>
      <c r="H31" s="2288"/>
      <c r="I31" s="2338"/>
      <c r="J31" s="2289"/>
      <c r="K31" s="2339"/>
      <c r="L31" s="2289"/>
      <c r="M31" s="2339"/>
      <c r="N31" s="2339"/>
      <c r="O31" s="2339"/>
      <c r="P31" s="2339"/>
      <c r="Q31" s="2339"/>
      <c r="R31" s="2339"/>
      <c r="S31" s="2339"/>
    </row>
    <row r="32" spans="1:19" s="77" customFormat="1" x14ac:dyDescent="0.35">
      <c r="A32" s="2395"/>
      <c r="B32" s="2340"/>
      <c r="C32" s="2236"/>
      <c r="D32" s="2212"/>
      <c r="E32" s="2212"/>
      <c r="F32" s="2212"/>
      <c r="G32" s="2211"/>
      <c r="H32" s="2109"/>
      <c r="I32" s="2352"/>
      <c r="J32" s="2109"/>
      <c r="K32" s="2335"/>
      <c r="L32" s="2109"/>
      <c r="M32" s="2335"/>
      <c r="N32" s="2109"/>
      <c r="O32" s="2335"/>
      <c r="P32" s="2109"/>
      <c r="Q32" s="2335"/>
      <c r="R32" s="2109"/>
      <c r="S32" s="2335"/>
    </row>
    <row r="33" spans="1:19" s="77" customFormat="1" x14ac:dyDescent="0.35">
      <c r="A33" s="2395"/>
      <c r="B33" s="2340"/>
      <c r="C33" s="2236"/>
      <c r="D33" s="2212"/>
      <c r="E33" s="2212"/>
      <c r="F33" s="2212"/>
      <c r="G33" s="2211"/>
      <c r="H33" s="2109"/>
      <c r="I33" s="2352"/>
      <c r="J33" s="2109"/>
      <c r="K33" s="2335"/>
      <c r="L33" s="2109"/>
      <c r="M33" s="2335"/>
      <c r="N33" s="2109"/>
      <c r="O33" s="2335"/>
      <c r="P33" s="2109"/>
      <c r="Q33" s="2335"/>
      <c r="R33" s="2109"/>
      <c r="S33" s="2335"/>
    </row>
    <row r="34" spans="1:19" s="77" customFormat="1" x14ac:dyDescent="0.35">
      <c r="A34" s="2395"/>
      <c r="B34" s="2340"/>
      <c r="C34" s="2236"/>
      <c r="D34" s="2212"/>
      <c r="E34" s="2212"/>
      <c r="F34" s="2212"/>
      <c r="G34" s="2211"/>
      <c r="H34" s="2109"/>
      <c r="I34" s="2352"/>
      <c r="J34" s="2109"/>
      <c r="K34" s="2335"/>
      <c r="L34" s="2109"/>
      <c r="M34" s="2335"/>
      <c r="N34" s="2109"/>
      <c r="O34" s="2335"/>
      <c r="P34" s="2109"/>
      <c r="Q34" s="2335"/>
      <c r="R34" s="2109"/>
      <c r="S34" s="2335"/>
    </row>
    <row r="35" spans="1:19" s="77" customFormat="1" x14ac:dyDescent="0.35">
      <c r="A35" s="2395"/>
      <c r="B35" s="2340"/>
      <c r="C35" s="2236"/>
      <c r="D35" s="2212"/>
      <c r="E35" s="2341"/>
      <c r="F35" s="2342"/>
      <c r="G35" s="2211"/>
      <c r="H35" s="2109"/>
      <c r="I35" s="2352"/>
      <c r="J35" s="2109"/>
      <c r="K35" s="2335"/>
      <c r="L35" s="2109"/>
      <c r="M35" s="2335"/>
      <c r="N35" s="2109"/>
      <c r="O35" s="2335"/>
      <c r="P35" s="2109"/>
      <c r="Q35" s="2335"/>
      <c r="R35" s="2109"/>
      <c r="S35" s="2335"/>
    </row>
    <row r="36" spans="1:19" s="77" customFormat="1" x14ac:dyDescent="0.35">
      <c r="A36" s="2395"/>
      <c r="B36" s="2340"/>
      <c r="C36" s="2236"/>
      <c r="D36" s="2212"/>
      <c r="E36" s="2341"/>
      <c r="F36" s="2342"/>
      <c r="G36" s="2211"/>
      <c r="H36" s="2109"/>
      <c r="I36" s="2352"/>
      <c r="J36" s="2109"/>
      <c r="K36" s="2335"/>
      <c r="L36" s="2109"/>
      <c r="M36" s="2335"/>
      <c r="N36" s="2109"/>
      <c r="O36" s="2335"/>
      <c r="P36" s="2109"/>
      <c r="Q36" s="2335"/>
      <c r="R36" s="2109"/>
      <c r="S36" s="2335"/>
    </row>
    <row r="37" spans="1:19" s="77" customFormat="1" x14ac:dyDescent="0.35">
      <c r="A37" s="2395"/>
      <c r="B37" s="2340"/>
      <c r="C37" s="2236"/>
      <c r="D37" s="2212"/>
      <c r="E37" s="2341"/>
      <c r="F37" s="2342"/>
      <c r="G37" s="2211"/>
      <c r="H37" s="2109"/>
      <c r="I37" s="2352"/>
      <c r="J37" s="2109"/>
      <c r="K37" s="2335"/>
      <c r="L37" s="2109"/>
      <c r="M37" s="2335"/>
      <c r="N37" s="2109"/>
      <c r="O37" s="2335"/>
      <c r="P37" s="2109"/>
      <c r="Q37" s="2335"/>
      <c r="R37" s="2109"/>
      <c r="S37" s="2335"/>
    </row>
    <row r="38" spans="1:19" s="77" customFormat="1" x14ac:dyDescent="0.35">
      <c r="A38" s="2395"/>
      <c r="B38" s="2396"/>
      <c r="C38" s="2236"/>
      <c r="D38" s="2212"/>
      <c r="E38" s="2341"/>
      <c r="F38" s="2342"/>
      <c r="G38" s="2211"/>
      <c r="H38" s="2109"/>
      <c r="I38" s="2352"/>
      <c r="J38" s="2109"/>
      <c r="K38" s="2335"/>
      <c r="L38" s="2109"/>
      <c r="M38" s="2335"/>
      <c r="N38" s="2109"/>
      <c r="O38" s="2335"/>
      <c r="P38" s="2109"/>
      <c r="Q38" s="2335"/>
      <c r="R38" s="2109"/>
      <c r="S38" s="2335"/>
    </row>
    <row r="39" spans="1:19" s="77" customFormat="1" x14ac:dyDescent="0.35">
      <c r="A39" s="2395"/>
      <c r="B39" s="2397"/>
      <c r="C39" s="2236"/>
      <c r="D39" s="2212"/>
      <c r="E39" s="2341"/>
      <c r="F39" s="2342"/>
      <c r="G39" s="2211"/>
      <c r="H39" s="2109" t="s">
        <v>669</v>
      </c>
      <c r="I39" s="2352"/>
      <c r="J39" s="2109"/>
      <c r="K39" s="2335"/>
      <c r="L39" s="2109"/>
      <c r="M39" s="2335"/>
      <c r="N39" s="2109"/>
      <c r="O39" s="2335"/>
      <c r="P39" s="2109"/>
      <c r="Q39" s="2335"/>
      <c r="R39" s="2109"/>
      <c r="S39" s="2335"/>
    </row>
    <row r="40" spans="1:19" s="77" customFormat="1" x14ac:dyDescent="0.35">
      <c r="A40" s="2395"/>
      <c r="B40" s="128"/>
      <c r="C40" s="2236"/>
      <c r="D40" s="2212"/>
      <c r="E40" s="2341"/>
      <c r="F40" s="2342"/>
      <c r="G40" s="2211"/>
      <c r="H40" s="2109"/>
      <c r="I40" s="2352"/>
      <c r="J40" s="2109"/>
      <c r="K40" s="2335"/>
      <c r="L40" s="2109"/>
      <c r="M40" s="2335"/>
      <c r="N40" s="2109"/>
      <c r="O40" s="2335"/>
      <c r="P40" s="2109"/>
      <c r="Q40" s="2335"/>
      <c r="R40" s="2109"/>
      <c r="S40" s="2335"/>
    </row>
    <row r="41" spans="1:19" s="77" customFormat="1" x14ac:dyDescent="0.35">
      <c r="A41" s="2395"/>
      <c r="B41" s="2340"/>
      <c r="C41" s="2236"/>
      <c r="D41" s="2212"/>
      <c r="E41" s="2341"/>
      <c r="F41" s="2342"/>
      <c r="G41" s="2211"/>
      <c r="H41" s="2109"/>
      <c r="I41" s="2352"/>
      <c r="J41" s="2109"/>
      <c r="K41" s="2335"/>
      <c r="L41" s="2109"/>
      <c r="M41" s="2335"/>
      <c r="N41" s="2109"/>
      <c r="O41" s="2335"/>
      <c r="P41" s="2109"/>
      <c r="Q41" s="2335"/>
      <c r="R41" s="2109"/>
      <c r="S41" s="2335"/>
    </row>
    <row r="42" spans="1:19" s="77" customFormat="1" x14ac:dyDescent="0.35">
      <c r="A42" s="2395"/>
      <c r="B42" s="2340"/>
      <c r="C42" s="2236"/>
      <c r="D42" s="2212"/>
      <c r="E42" s="2341"/>
      <c r="F42" s="2342"/>
      <c r="G42" s="2211"/>
      <c r="H42" s="2109"/>
      <c r="I42" s="2352"/>
      <c r="J42" s="2109"/>
      <c r="K42" s="2335"/>
      <c r="L42" s="2109"/>
      <c r="M42" s="2335"/>
      <c r="N42" s="2109"/>
      <c r="O42" s="2335"/>
      <c r="P42" s="2109"/>
      <c r="Q42" s="2335"/>
      <c r="R42" s="2109"/>
      <c r="S42" s="2335"/>
    </row>
    <row r="43" spans="1:19" s="77" customFormat="1" x14ac:dyDescent="0.35">
      <c r="A43" s="2395"/>
      <c r="B43" s="2340"/>
      <c r="C43" s="2236"/>
      <c r="D43" s="2212"/>
      <c r="E43" s="2341"/>
      <c r="F43" s="2342"/>
      <c r="G43" s="2211"/>
      <c r="H43" s="2109"/>
      <c r="I43" s="2352"/>
      <c r="J43" s="2109"/>
      <c r="K43" s="2335"/>
      <c r="L43" s="2109"/>
      <c r="M43" s="2335"/>
      <c r="N43" s="2109"/>
      <c r="O43" s="2335"/>
      <c r="P43" s="2109"/>
      <c r="Q43" s="2335"/>
      <c r="R43" s="2109"/>
      <c r="S43" s="2335"/>
    </row>
    <row r="44" spans="1:19" s="77" customFormat="1" x14ac:dyDescent="0.35">
      <c r="A44" s="2395"/>
      <c r="B44" s="2340"/>
      <c r="C44" s="2236"/>
      <c r="D44" s="2212"/>
      <c r="E44" s="2341"/>
      <c r="F44" s="2342"/>
      <c r="G44" s="2211"/>
      <c r="H44" s="2109"/>
      <c r="I44" s="2352"/>
      <c r="J44" s="2109"/>
      <c r="K44" s="2335"/>
      <c r="L44" s="2109"/>
      <c r="M44" s="2335"/>
      <c r="N44" s="2109"/>
      <c r="O44" s="2335"/>
      <c r="P44" s="2109"/>
      <c r="Q44" s="2335"/>
      <c r="R44" s="2109"/>
      <c r="S44" s="2335"/>
    </row>
    <row r="45" spans="1:19" s="77" customFormat="1" x14ac:dyDescent="0.35">
      <c r="A45" s="2395"/>
      <c r="B45" s="2340"/>
      <c r="C45" s="2236"/>
      <c r="D45" s="2212"/>
      <c r="E45" s="2341"/>
      <c r="F45" s="2342"/>
      <c r="G45" s="2211"/>
      <c r="H45" s="2109"/>
      <c r="I45" s="2352"/>
      <c r="J45" s="2109"/>
      <c r="K45" s="2335"/>
      <c r="L45" s="2109"/>
      <c r="M45" s="2335"/>
      <c r="N45" s="2109"/>
      <c r="O45" s="2335"/>
      <c r="P45" s="2109"/>
      <c r="Q45" s="2335"/>
      <c r="R45" s="2109"/>
      <c r="S45" s="2335"/>
    </row>
    <row r="46" spans="1:19" s="77" customFormat="1" x14ac:dyDescent="0.35">
      <c r="A46" s="2395"/>
      <c r="B46" s="2340"/>
      <c r="C46" s="2236"/>
      <c r="D46" s="2212"/>
      <c r="E46" s="2341"/>
      <c r="F46" s="2342"/>
      <c r="G46" s="2211"/>
      <c r="H46" s="2109"/>
      <c r="I46" s="2352"/>
      <c r="J46" s="2109"/>
      <c r="K46" s="2335"/>
      <c r="L46" s="2109"/>
      <c r="M46" s="2335"/>
      <c r="N46" s="2109"/>
      <c r="O46" s="2335"/>
      <c r="P46" s="2109"/>
      <c r="Q46" s="2335"/>
      <c r="R46" s="2109"/>
      <c r="S46" s="2335"/>
    </row>
    <row r="47" spans="1:19" s="77" customFormat="1" x14ac:dyDescent="0.35">
      <c r="A47" s="2395"/>
      <c r="B47" s="2340"/>
      <c r="C47" s="2236"/>
      <c r="D47" s="2212"/>
      <c r="E47" s="2341"/>
      <c r="F47" s="2342"/>
      <c r="G47" s="2211"/>
      <c r="H47" s="2109"/>
      <c r="I47" s="2352"/>
      <c r="J47" s="2109"/>
      <c r="K47" s="2335"/>
      <c r="L47" s="2109"/>
      <c r="M47" s="2335"/>
      <c r="N47" s="2109"/>
      <c r="O47" s="2335"/>
      <c r="P47" s="2109"/>
      <c r="Q47" s="2335"/>
      <c r="R47" s="2109"/>
      <c r="S47" s="2335"/>
    </row>
    <row r="48" spans="1:19" s="77" customFormat="1" x14ac:dyDescent="0.35">
      <c r="A48" s="2395"/>
      <c r="B48" s="2340"/>
      <c r="C48" s="2236"/>
      <c r="D48" s="2212"/>
      <c r="E48" s="2341"/>
      <c r="F48" s="2342"/>
      <c r="G48" s="2211"/>
      <c r="H48" s="2109"/>
      <c r="I48" s="2352"/>
      <c r="J48" s="2109"/>
      <c r="K48" s="2335"/>
      <c r="L48" s="2109"/>
      <c r="M48" s="2335"/>
      <c r="N48" s="2109"/>
      <c r="O48" s="2335"/>
      <c r="P48" s="2109"/>
      <c r="Q48" s="2335"/>
      <c r="R48" s="2109"/>
      <c r="S48" s="2335"/>
    </row>
    <row r="49" spans="1:19" s="77" customFormat="1" x14ac:dyDescent="0.35">
      <c r="A49" s="2395"/>
      <c r="B49" s="2340"/>
      <c r="C49" s="2236"/>
      <c r="D49" s="2212"/>
      <c r="E49" s="2341"/>
      <c r="F49" s="2342"/>
      <c r="G49" s="2211"/>
      <c r="H49" s="2109"/>
      <c r="I49" s="2352"/>
      <c r="J49" s="2109"/>
      <c r="K49" s="2335"/>
      <c r="L49" s="2109"/>
      <c r="M49" s="2335"/>
      <c r="N49" s="2109"/>
      <c r="O49" s="2335"/>
      <c r="P49" s="2109"/>
      <c r="Q49" s="2335"/>
      <c r="R49" s="2109"/>
      <c r="S49" s="2335"/>
    </row>
    <row r="50" spans="1:19" x14ac:dyDescent="0.35">
      <c r="A50" s="14"/>
      <c r="B50" s="15"/>
      <c r="C50" s="16"/>
      <c r="D50" s="16"/>
      <c r="E50" s="17"/>
      <c r="F50" s="18" t="s">
        <v>715</v>
      </c>
      <c r="G50" s="19"/>
      <c r="H50" s="20"/>
      <c r="I50" s="50">
        <f>SUM(I23:I49)</f>
        <v>0</v>
      </c>
      <c r="J50" s="20"/>
      <c r="K50" s="50">
        <f>SUM(K23:K49)</f>
        <v>0</v>
      </c>
      <c r="L50" s="20"/>
      <c r="M50" s="50">
        <f>SUM(M23:M49)</f>
        <v>0</v>
      </c>
      <c r="N50" s="20"/>
      <c r="O50" s="50">
        <f>SUM(O23:O49)</f>
        <v>0</v>
      </c>
      <c r="P50" s="20"/>
      <c r="Q50" s="50">
        <f>SUM(Q23:Q49)</f>
        <v>0</v>
      </c>
      <c r="R50" s="20"/>
      <c r="S50" s="50">
        <f>SUM(S23:S49)</f>
        <v>0</v>
      </c>
    </row>
    <row r="51" spans="1:19" x14ac:dyDescent="0.35">
      <c r="A51" s="2239"/>
      <c r="B51" s="2240"/>
      <c r="C51" s="2241"/>
      <c r="D51" s="2241"/>
      <c r="E51" s="2242"/>
      <c r="F51" s="2243" t="s">
        <v>716</v>
      </c>
      <c r="G51" s="2244"/>
      <c r="H51" s="2065">
        <v>0</v>
      </c>
      <c r="I51" s="2064"/>
      <c r="J51" s="2065">
        <v>0</v>
      </c>
      <c r="K51" s="2064"/>
      <c r="L51" s="2065">
        <v>0</v>
      </c>
      <c r="M51" s="2064"/>
      <c r="N51" s="2065">
        <v>0</v>
      </c>
      <c r="O51" s="2064"/>
      <c r="P51" s="2065">
        <v>0</v>
      </c>
      <c r="Q51" s="2064"/>
      <c r="R51" s="2065">
        <v>0</v>
      </c>
      <c r="S51" s="2064"/>
    </row>
    <row r="52" spans="1:19" x14ac:dyDescent="0.35">
      <c r="A52" s="2239"/>
      <c r="B52" s="2240"/>
      <c r="C52" s="2241"/>
      <c r="D52" s="2241"/>
      <c r="E52" s="2242"/>
      <c r="F52" s="2243" t="s">
        <v>717</v>
      </c>
      <c r="G52" s="2244"/>
      <c r="H52" s="2066"/>
      <c r="I52" s="2067">
        <f>H51*I50</f>
        <v>0</v>
      </c>
      <c r="J52" s="2066"/>
      <c r="K52" s="2067">
        <f>J51*K50</f>
        <v>0</v>
      </c>
      <c r="L52" s="2066"/>
      <c r="M52" s="2067">
        <f>L51*M50</f>
        <v>0</v>
      </c>
      <c r="N52" s="2066"/>
      <c r="O52" s="2067">
        <f>N51*O50</f>
        <v>0</v>
      </c>
      <c r="P52" s="2066"/>
      <c r="Q52" s="2067">
        <f>P51*Q50</f>
        <v>0</v>
      </c>
      <c r="R52" s="2066"/>
      <c r="S52" s="2067">
        <f>R51*S50</f>
        <v>0</v>
      </c>
    </row>
    <row r="53" spans="1:19" x14ac:dyDescent="0.35">
      <c r="A53" s="2239"/>
      <c r="B53" s="2240"/>
      <c r="C53" s="2241"/>
      <c r="D53" s="2241"/>
      <c r="E53" s="2242"/>
      <c r="F53" s="2243"/>
      <c r="G53" s="2244"/>
      <c r="H53" s="2066"/>
      <c r="I53" s="2068"/>
      <c r="J53" s="2066"/>
      <c r="K53" s="2068"/>
      <c r="L53" s="2066"/>
      <c r="M53" s="2068"/>
      <c r="N53" s="2066"/>
      <c r="O53" s="2068"/>
      <c r="P53" s="2066"/>
      <c r="Q53" s="2068"/>
      <c r="R53" s="2066"/>
      <c r="S53" s="2068"/>
    </row>
    <row r="54" spans="1:19" x14ac:dyDescent="0.35">
      <c r="A54" s="2239"/>
      <c r="B54" s="2240"/>
      <c r="C54" s="2241"/>
      <c r="D54" s="2241"/>
      <c r="E54" s="2242"/>
      <c r="F54" s="2243" t="s">
        <v>718</v>
      </c>
      <c r="G54" s="2244"/>
      <c r="H54" s="2069"/>
      <c r="I54" s="2070">
        <f>SUM(I50:I52)</f>
        <v>0</v>
      </c>
      <c r="J54" s="2069"/>
      <c r="K54" s="2070">
        <f>SUM(K50:K52)</f>
        <v>0</v>
      </c>
      <c r="L54" s="2069"/>
      <c r="M54" s="2070">
        <f>SUM(M50:M52)</f>
        <v>0</v>
      </c>
      <c r="N54" s="2069"/>
      <c r="O54" s="2070">
        <f>SUM(O50:O52)</f>
        <v>0</v>
      </c>
      <c r="P54" s="2069"/>
      <c r="Q54" s="2070">
        <f>SUM(Q50:Q52)</f>
        <v>0</v>
      </c>
      <c r="R54" s="2069"/>
      <c r="S54" s="2070">
        <f>SUM(S50:S52)</f>
        <v>0</v>
      </c>
    </row>
    <row r="55" spans="1:19" x14ac:dyDescent="0.35">
      <c r="A55" s="2239"/>
      <c r="B55" s="2240"/>
      <c r="C55" s="2241"/>
      <c r="D55" s="2241"/>
      <c r="E55" s="2242"/>
      <c r="F55" s="2255" t="s">
        <v>719</v>
      </c>
      <c r="G55" s="2256"/>
      <c r="H55" s="2073"/>
      <c r="I55" s="2074" t="e">
        <f>I54/#REF!</f>
        <v>#REF!</v>
      </c>
      <c r="J55" s="2073"/>
      <c r="K55" s="2074" t="e">
        <f>K54/#REF!</f>
        <v>#REF!</v>
      </c>
      <c r="L55" s="2073"/>
      <c r="M55" s="2074" t="e">
        <f>M54/#REF!</f>
        <v>#REF!</v>
      </c>
      <c r="N55" s="2073"/>
      <c r="O55" s="2074" t="e">
        <f>O54/#REF!</f>
        <v>#REF!</v>
      </c>
      <c r="P55" s="2073"/>
      <c r="Q55" s="2074" t="e">
        <f>Q54/#REF!</f>
        <v>#REF!</v>
      </c>
      <c r="R55" s="2073"/>
      <c r="S55" s="2074" t="e">
        <f>S54/#REF!</f>
        <v>#REF!</v>
      </c>
    </row>
    <row r="56" spans="1:19" x14ac:dyDescent="0.35">
      <c r="A56" s="2239"/>
      <c r="B56" s="2240"/>
      <c r="C56" s="2241"/>
      <c r="D56" s="2241"/>
      <c r="E56" s="2242"/>
      <c r="F56" s="2255" t="s">
        <v>720</v>
      </c>
      <c r="G56" s="2260"/>
      <c r="H56" s="2073"/>
      <c r="I56" s="2074" t="e">
        <f>I54/#REF!</f>
        <v>#REF!</v>
      </c>
      <c r="J56" s="2073"/>
      <c r="K56" s="2074" t="e">
        <f>K54/#REF!</f>
        <v>#REF!</v>
      </c>
      <c r="L56" s="2073"/>
      <c r="M56" s="2074" t="e">
        <f>M54/#REF!</f>
        <v>#REF!</v>
      </c>
      <c r="N56" s="2073"/>
      <c r="O56" s="2074" t="e">
        <f>O54/#REF!</f>
        <v>#REF!</v>
      </c>
      <c r="P56" s="2073"/>
      <c r="Q56" s="2074" t="e">
        <f>Q54/#REF!</f>
        <v>#REF!</v>
      </c>
      <c r="R56" s="2073"/>
      <c r="S56" s="2074" t="e">
        <f>S54/#REF!</f>
        <v>#REF!</v>
      </c>
    </row>
    <row r="57" spans="1:19" x14ac:dyDescent="0.35">
      <c r="A57" s="2239"/>
      <c r="B57" s="2240"/>
      <c r="C57" s="2241"/>
      <c r="D57" s="2241"/>
      <c r="E57" s="2242"/>
      <c r="F57" s="2243"/>
      <c r="G57" s="2261"/>
      <c r="H57" s="2077"/>
      <c r="I57" s="2078"/>
      <c r="J57" s="2077"/>
      <c r="K57" s="2078"/>
      <c r="L57" s="2077"/>
      <c r="M57" s="2078"/>
      <c r="N57" s="2077"/>
      <c r="O57" s="2078"/>
      <c r="P57" s="2077"/>
      <c r="Q57" s="2078"/>
      <c r="R57" s="2077"/>
      <c r="S57" s="2078"/>
    </row>
    <row r="58" spans="1:19" x14ac:dyDescent="0.35">
      <c r="A58" s="3764" t="s">
        <v>721</v>
      </c>
      <c r="B58" s="3765"/>
      <c r="C58" s="12"/>
      <c r="D58" s="12"/>
      <c r="E58" s="12"/>
      <c r="F58" s="12"/>
      <c r="G58" s="13"/>
      <c r="H58" s="21"/>
      <c r="I58" s="21"/>
      <c r="J58" s="21"/>
      <c r="K58" s="21"/>
      <c r="L58" s="21"/>
      <c r="M58" s="21"/>
      <c r="N58" s="21"/>
      <c r="O58" s="21"/>
      <c r="P58" s="21"/>
      <c r="Q58" s="21"/>
      <c r="R58" s="21"/>
      <c r="S58" s="21"/>
    </row>
    <row r="59" spans="1:19" x14ac:dyDescent="0.35">
      <c r="A59" s="2398"/>
      <c r="B59" s="2284"/>
      <c r="C59" s="2415"/>
      <c r="D59" s="2415"/>
      <c r="E59" s="2415"/>
      <c r="F59" s="2415"/>
      <c r="G59" s="2416"/>
      <c r="H59" s="2399"/>
      <c r="I59" s="2399"/>
      <c r="J59" s="2399"/>
      <c r="K59" s="2399"/>
      <c r="L59" s="2399"/>
      <c r="M59" s="2399"/>
      <c r="N59" s="2399"/>
      <c r="O59" s="2399"/>
      <c r="P59" s="2399"/>
      <c r="Q59" s="2399"/>
      <c r="R59" s="2399"/>
      <c r="S59" s="2399"/>
    </row>
    <row r="60" spans="1:19" s="2" customFormat="1" x14ac:dyDescent="0.35">
      <c r="A60" s="2398"/>
      <c r="B60" s="2284"/>
      <c r="C60" s="2415"/>
      <c r="D60" s="2415"/>
      <c r="E60" s="2415"/>
      <c r="F60" s="2415"/>
      <c r="G60" s="2416"/>
      <c r="H60" s="2399"/>
      <c r="I60" s="2399"/>
      <c r="J60" s="2399"/>
      <c r="K60" s="2399"/>
      <c r="L60" s="2399"/>
      <c r="M60" s="2399"/>
      <c r="N60" s="2399"/>
      <c r="O60" s="2399"/>
      <c r="P60" s="2399"/>
      <c r="Q60" s="2399"/>
      <c r="R60" s="2399"/>
      <c r="S60" s="2399"/>
    </row>
    <row r="61" spans="1:19" s="2" customFormat="1" x14ac:dyDescent="0.35">
      <c r="A61" s="2398"/>
      <c r="B61" s="2284"/>
      <c r="C61" s="2415"/>
      <c r="D61" s="2415"/>
      <c r="E61" s="2415"/>
      <c r="F61" s="2415"/>
      <c r="G61" s="2416"/>
      <c r="H61" s="2399"/>
      <c r="I61" s="2399"/>
      <c r="J61" s="2399"/>
      <c r="K61" s="2399"/>
      <c r="L61" s="2399"/>
      <c r="M61" s="2399"/>
      <c r="N61" s="2399"/>
      <c r="O61" s="2399"/>
      <c r="P61" s="2399"/>
      <c r="Q61" s="2399"/>
      <c r="R61" s="2399"/>
      <c r="S61" s="2399"/>
    </row>
    <row r="62" spans="1:19" x14ac:dyDescent="0.35">
      <c r="A62" s="3764" t="s">
        <v>722</v>
      </c>
      <c r="B62" s="3765"/>
      <c r="C62" s="12"/>
      <c r="D62" s="12"/>
      <c r="E62" s="12"/>
      <c r="F62" s="12"/>
      <c r="G62" s="13"/>
      <c r="H62" s="21"/>
      <c r="I62" s="21"/>
      <c r="J62" s="21"/>
      <c r="K62" s="21"/>
      <c r="L62" s="21"/>
      <c r="M62" s="21"/>
      <c r="N62" s="21"/>
      <c r="O62" s="21"/>
      <c r="P62" s="21"/>
      <c r="Q62" s="21"/>
      <c r="R62" s="21"/>
      <c r="S62" s="21"/>
    </row>
    <row r="63" spans="1:19" s="2" customFormat="1" x14ac:dyDescent="0.35">
      <c r="A63" s="2398"/>
      <c r="B63" s="2284"/>
      <c r="C63" s="2415"/>
      <c r="D63" s="2415"/>
      <c r="E63" s="2415"/>
      <c r="F63" s="2415"/>
      <c r="G63" s="2416"/>
      <c r="H63" s="2399"/>
      <c r="I63" s="2399"/>
      <c r="J63" s="2399"/>
      <c r="K63" s="2399"/>
      <c r="L63" s="2399"/>
      <c r="M63" s="2399"/>
      <c r="N63" s="2399"/>
      <c r="O63" s="2399"/>
      <c r="P63" s="2399"/>
      <c r="Q63" s="2399"/>
      <c r="R63" s="2399"/>
      <c r="S63" s="2399"/>
    </row>
    <row r="64" spans="1:19" s="2" customFormat="1" x14ac:dyDescent="0.35">
      <c r="A64" s="2398"/>
      <c r="B64" s="2284"/>
      <c r="C64" s="2415"/>
      <c r="D64" s="2415"/>
      <c r="E64" s="2415"/>
      <c r="F64" s="2415"/>
      <c r="G64" s="2416"/>
      <c r="H64" s="2399"/>
      <c r="I64" s="2399"/>
      <c r="J64" s="2399"/>
      <c r="K64" s="2399"/>
      <c r="L64" s="2399"/>
      <c r="M64" s="2399"/>
      <c r="N64" s="2399"/>
      <c r="O64" s="2399"/>
      <c r="P64" s="2399"/>
      <c r="Q64" s="2399"/>
      <c r="R64" s="2399"/>
      <c r="S64" s="2399"/>
    </row>
    <row r="65" spans="1:19" x14ac:dyDescent="0.35">
      <c r="A65" s="2398"/>
      <c r="B65" s="2284"/>
      <c r="C65" s="2415"/>
      <c r="D65" s="2415"/>
      <c r="E65" s="2415"/>
      <c r="F65" s="2415"/>
      <c r="G65" s="2416"/>
      <c r="H65" s="2399"/>
      <c r="I65" s="2399"/>
      <c r="J65" s="2399"/>
      <c r="K65" s="2399"/>
      <c r="L65" s="2399"/>
      <c r="M65" s="2399"/>
      <c r="N65" s="2399"/>
      <c r="O65" s="2399"/>
      <c r="P65" s="2399"/>
      <c r="Q65" s="2399"/>
      <c r="R65" s="2399"/>
      <c r="S65" s="2399"/>
    </row>
    <row r="66" spans="1:19" x14ac:dyDescent="0.35">
      <c r="A66" s="3764" t="s">
        <v>723</v>
      </c>
      <c r="B66" s="3765"/>
      <c r="C66" s="12"/>
      <c r="D66" s="12"/>
      <c r="E66" s="12"/>
      <c r="F66" s="12"/>
      <c r="G66" s="13"/>
      <c r="H66" s="21"/>
      <c r="I66" s="21"/>
      <c r="J66" s="21"/>
      <c r="K66" s="21"/>
      <c r="L66" s="21"/>
      <c r="M66" s="21"/>
      <c r="N66" s="21"/>
      <c r="O66" s="21"/>
      <c r="P66" s="21"/>
      <c r="Q66" s="21"/>
      <c r="R66" s="21"/>
      <c r="S66" s="21"/>
    </row>
    <row r="67" spans="1:19" x14ac:dyDescent="0.35">
      <c r="A67" s="2398"/>
      <c r="B67" s="2284"/>
      <c r="C67" s="2415"/>
      <c r="D67" s="2415"/>
      <c r="E67" s="2415"/>
      <c r="F67" s="2415"/>
      <c r="G67" s="2416"/>
      <c r="H67" s="2399"/>
      <c r="I67" s="2399"/>
      <c r="J67" s="2399"/>
      <c r="K67" s="2399"/>
      <c r="L67" s="2399"/>
      <c r="M67" s="2399"/>
      <c r="N67" s="2399"/>
      <c r="O67" s="2399"/>
      <c r="P67" s="2399"/>
      <c r="Q67" s="2399"/>
      <c r="R67" s="2399"/>
      <c r="S67" s="2399"/>
    </row>
    <row r="68" spans="1:19" x14ac:dyDescent="0.35">
      <c r="A68" s="2286"/>
      <c r="B68" s="2284"/>
      <c r="C68" s="2285"/>
      <c r="D68" s="2285"/>
      <c r="E68" s="2285"/>
      <c r="F68" s="2285"/>
      <c r="G68" s="2198"/>
      <c r="H68" s="2081"/>
      <c r="I68" s="2081"/>
      <c r="J68" s="2081"/>
      <c r="K68" s="2081"/>
      <c r="L68" s="2081"/>
      <c r="M68" s="2081"/>
      <c r="N68" s="2081"/>
      <c r="O68" s="2081"/>
      <c r="P68" s="2081"/>
      <c r="Q68" s="2081"/>
      <c r="R68" s="2081"/>
      <c r="S68" s="2081"/>
    </row>
    <row r="69" spans="1:19" x14ac:dyDescent="0.35">
      <c r="A69" s="2269"/>
      <c r="B69" s="2270"/>
      <c r="C69" s="2285"/>
      <c r="D69" s="2285"/>
      <c r="E69" s="2285"/>
      <c r="F69" s="2285"/>
      <c r="G69" s="2198"/>
      <c r="H69" s="2084"/>
      <c r="I69" s="2084"/>
      <c r="J69" s="2084"/>
      <c r="K69" s="2084"/>
      <c r="L69" s="2084"/>
      <c r="M69" s="2084"/>
      <c r="N69" s="2084"/>
      <c r="O69" s="2084"/>
      <c r="P69" s="2084"/>
      <c r="Q69" s="2084"/>
      <c r="R69" s="2084"/>
      <c r="S69" s="2084"/>
    </row>
    <row r="70" spans="1:19" x14ac:dyDescent="0.35">
      <c r="A70" s="3764" t="s">
        <v>724</v>
      </c>
      <c r="B70" s="3765"/>
      <c r="C70" s="12"/>
      <c r="D70" s="12"/>
      <c r="E70" s="12"/>
      <c r="F70" s="12"/>
      <c r="G70" s="13"/>
      <c r="H70" s="21"/>
      <c r="I70" s="21"/>
      <c r="J70" s="21"/>
      <c r="K70" s="21"/>
      <c r="L70" s="21"/>
      <c r="M70" s="21"/>
      <c r="N70" s="21"/>
      <c r="O70" s="21"/>
      <c r="P70" s="21"/>
      <c r="Q70" s="21"/>
      <c r="R70" s="21"/>
      <c r="S70" s="21"/>
    </row>
    <row r="71" spans="1:19" x14ac:dyDescent="0.35">
      <c r="A71" s="2400"/>
      <c r="B71" s="2417"/>
      <c r="C71" s="2415"/>
      <c r="D71" s="2415"/>
      <c r="E71" s="2415"/>
      <c r="F71" s="2415"/>
      <c r="G71" s="2416"/>
      <c r="H71" s="2399"/>
      <c r="I71" s="2399"/>
      <c r="J71" s="2399"/>
      <c r="K71" s="2399"/>
      <c r="L71" s="2399"/>
      <c r="M71" s="2399"/>
      <c r="N71" s="2399"/>
      <c r="O71" s="2399"/>
      <c r="P71" s="2399"/>
      <c r="Q71" s="2399"/>
      <c r="R71" s="2399"/>
      <c r="S71" s="2399"/>
    </row>
    <row r="72" spans="1:19" x14ac:dyDescent="0.35">
      <c r="A72" s="2269"/>
      <c r="B72" s="2270"/>
      <c r="C72" s="2285"/>
      <c r="D72" s="2285"/>
      <c r="E72" s="2285"/>
      <c r="F72" s="2285"/>
      <c r="G72" s="2198"/>
      <c r="H72" s="2087"/>
      <c r="I72" s="2087"/>
      <c r="J72" s="2087"/>
      <c r="K72" s="2087"/>
      <c r="L72" s="2087"/>
      <c r="M72" s="2087"/>
      <c r="N72" s="2087"/>
      <c r="O72" s="2087"/>
      <c r="P72" s="2087"/>
      <c r="Q72" s="2087"/>
      <c r="R72" s="2087"/>
      <c r="S72" s="2087"/>
    </row>
    <row r="73" spans="1:19" x14ac:dyDescent="0.35">
      <c r="A73" s="2269"/>
      <c r="B73" s="2270"/>
      <c r="C73" s="2285"/>
      <c r="D73" s="2285"/>
      <c r="E73" s="2285"/>
      <c r="F73" s="2285"/>
      <c r="G73" s="2198"/>
      <c r="H73" s="2087"/>
      <c r="I73" s="2087"/>
      <c r="J73" s="2087"/>
      <c r="K73" s="2087"/>
      <c r="L73" s="2087"/>
      <c r="M73" s="2087"/>
      <c r="N73" s="2087"/>
      <c r="O73" s="2087"/>
      <c r="P73" s="2087"/>
      <c r="Q73" s="2087"/>
      <c r="R73" s="2087"/>
      <c r="S73" s="2087"/>
    </row>
    <row r="74" spans="1:19" x14ac:dyDescent="0.35">
      <c r="A74" s="3764" t="s">
        <v>725</v>
      </c>
      <c r="B74" s="3765"/>
      <c r="C74" s="12"/>
      <c r="D74" s="12"/>
      <c r="E74" s="12"/>
      <c r="F74" s="12"/>
      <c r="G74" s="13"/>
      <c r="H74" s="21"/>
      <c r="I74" s="21"/>
      <c r="J74" s="21"/>
      <c r="K74" s="21"/>
      <c r="L74" s="21"/>
      <c r="M74" s="21"/>
      <c r="N74" s="21"/>
      <c r="O74" s="21"/>
      <c r="P74" s="21"/>
      <c r="Q74" s="21"/>
      <c r="R74" s="21"/>
      <c r="S74" s="21"/>
    </row>
    <row r="75" spans="1:19" x14ac:dyDescent="0.35">
      <c r="A75" s="2286"/>
      <c r="B75" s="2284" t="s">
        <v>726</v>
      </c>
      <c r="C75" s="2285"/>
      <c r="D75" s="2285"/>
      <c r="E75" s="2285"/>
      <c r="F75" s="2285"/>
      <c r="G75" s="2198"/>
      <c r="H75" s="2087"/>
      <c r="I75" s="2087"/>
      <c r="J75" s="2087"/>
      <c r="K75" s="2087"/>
      <c r="L75" s="2087"/>
      <c r="M75" s="2087"/>
      <c r="N75" s="2087"/>
      <c r="O75" s="2087"/>
      <c r="P75" s="2087"/>
      <c r="Q75" s="2087"/>
      <c r="R75" s="2087"/>
      <c r="S75" s="2087"/>
    </row>
    <row r="76" spans="1:19" x14ac:dyDescent="0.35">
      <c r="A76" s="2286"/>
      <c r="B76" s="2284" t="s">
        <v>727</v>
      </c>
      <c r="C76" s="2285"/>
      <c r="D76" s="2285"/>
      <c r="E76" s="2285"/>
      <c r="F76" s="2285"/>
      <c r="G76" s="2198"/>
      <c r="H76" s="2087"/>
      <c r="I76" s="2087"/>
      <c r="J76" s="2087"/>
      <c r="K76" s="2087"/>
      <c r="L76" s="2087"/>
      <c r="M76" s="2087"/>
      <c r="N76" s="2087"/>
      <c r="O76" s="2087"/>
      <c r="P76" s="2087"/>
      <c r="Q76" s="2087"/>
      <c r="R76" s="2087"/>
      <c r="S76" s="2087"/>
    </row>
    <row r="77" spans="1:19" x14ac:dyDescent="0.35">
      <c r="A77" s="2286"/>
      <c r="B77" s="2284" t="s">
        <v>728</v>
      </c>
      <c r="C77" s="2285"/>
      <c r="D77" s="2285"/>
      <c r="E77" s="2285"/>
      <c r="F77" s="2285"/>
      <c r="G77" s="2198"/>
      <c r="H77" s="2087"/>
      <c r="I77" s="2087"/>
      <c r="J77" s="2087"/>
      <c r="K77" s="2087"/>
      <c r="L77" s="2087"/>
      <c r="M77" s="2087"/>
      <c r="N77" s="2087"/>
      <c r="O77" s="2087"/>
      <c r="P77" s="2087"/>
      <c r="Q77" s="2087"/>
      <c r="R77" s="2087"/>
      <c r="S77" s="2087"/>
    </row>
    <row r="78" spans="1:19" x14ac:dyDescent="0.35">
      <c r="A78" s="2286"/>
      <c r="B78" s="2284" t="s">
        <v>729</v>
      </c>
      <c r="C78" s="2285"/>
      <c r="D78" s="2285"/>
      <c r="E78" s="2285"/>
      <c r="F78" s="2285"/>
      <c r="G78" s="2198"/>
      <c r="H78" s="2087"/>
      <c r="I78" s="2087"/>
      <c r="J78" s="2087"/>
      <c r="K78" s="2087"/>
      <c r="L78" s="2087"/>
      <c r="M78" s="2087"/>
      <c r="N78" s="2087"/>
      <c r="O78" s="2087"/>
      <c r="P78" s="2087"/>
      <c r="Q78" s="2087"/>
      <c r="R78" s="2087"/>
      <c r="S78" s="2087"/>
    </row>
    <row r="79" spans="1:19" x14ac:dyDescent="0.35">
      <c r="A79" s="978"/>
      <c r="B79" s="939"/>
      <c r="C79" s="940"/>
      <c r="D79" s="940"/>
      <c r="E79" s="940"/>
      <c r="F79" s="940"/>
      <c r="G79" s="1039"/>
      <c r="H79" s="981"/>
      <c r="I79" s="981"/>
      <c r="J79" s="981"/>
      <c r="K79" s="981"/>
      <c r="L79" s="981"/>
      <c r="M79" s="981"/>
      <c r="N79" s="981"/>
      <c r="O79" s="981"/>
      <c r="P79" s="981"/>
      <c r="Q79" s="981"/>
      <c r="R79" s="981"/>
      <c r="S79" s="981"/>
    </row>
    <row r="80" spans="1:19" x14ac:dyDescent="0.35">
      <c r="A80" s="7" t="s">
        <v>730</v>
      </c>
      <c r="B80" s="8"/>
      <c r="C80" s="12"/>
      <c r="D80" s="12"/>
      <c r="E80" s="12"/>
      <c r="F80" s="12"/>
      <c r="G80" s="13"/>
      <c r="H80" s="21"/>
      <c r="I80" s="21"/>
      <c r="J80" s="21"/>
      <c r="K80" s="21"/>
      <c r="L80" s="21"/>
      <c r="M80" s="21"/>
      <c r="N80" s="21"/>
      <c r="O80" s="21"/>
      <c r="P80" s="21"/>
      <c r="Q80" s="21"/>
      <c r="R80" s="21"/>
      <c r="S80" s="21"/>
    </row>
    <row r="81" spans="1:19" x14ac:dyDescent="0.35">
      <c r="A81" s="2398"/>
      <c r="B81" s="2418" t="s">
        <v>731</v>
      </c>
      <c r="C81" s="2415"/>
      <c r="D81" s="2415"/>
      <c r="E81" s="2415"/>
      <c r="F81" s="2415"/>
      <c r="G81" s="2416"/>
      <c r="H81" s="2401"/>
      <c r="I81" s="2401"/>
      <c r="J81" s="2401"/>
      <c r="K81" s="2401"/>
      <c r="L81" s="2401"/>
      <c r="M81" s="2401"/>
      <c r="N81" s="2401"/>
      <c r="O81" s="2401"/>
      <c r="P81" s="2401"/>
      <c r="Q81" s="2401"/>
      <c r="R81" s="2401"/>
      <c r="S81" s="2401"/>
    </row>
    <row r="82" spans="1:19" x14ac:dyDescent="0.35">
      <c r="A82" s="2286"/>
      <c r="B82" s="2284" t="s">
        <v>732</v>
      </c>
      <c r="C82" s="2285"/>
      <c r="D82" s="2285"/>
      <c r="E82" s="2285"/>
      <c r="F82" s="2285"/>
      <c r="G82" s="2198"/>
      <c r="H82" s="2158"/>
      <c r="I82" s="2158"/>
      <c r="J82" s="2158"/>
      <c r="K82" s="2158"/>
      <c r="L82" s="2158"/>
      <c r="M82" s="2158"/>
      <c r="N82" s="2158"/>
      <c r="O82" s="2158"/>
      <c r="P82" s="2158"/>
      <c r="Q82" s="2158"/>
      <c r="R82" s="2158"/>
      <c r="S82" s="2158"/>
    </row>
    <row r="83" spans="1:19" x14ac:dyDescent="0.35">
      <c r="A83" s="2089"/>
      <c r="B83" s="2090" t="s">
        <v>733</v>
      </c>
      <c r="C83" s="2091"/>
      <c r="D83" s="2091"/>
      <c r="E83" s="2091"/>
      <c r="F83" s="2091"/>
      <c r="G83" s="2092"/>
      <c r="H83" s="2093"/>
      <c r="I83" s="2093"/>
      <c r="J83" s="2093"/>
      <c r="K83" s="2093"/>
      <c r="L83" s="2093"/>
      <c r="M83" s="2093"/>
      <c r="N83" s="2093"/>
      <c r="O83" s="2093"/>
      <c r="P83" s="2093"/>
      <c r="Q83" s="2093"/>
      <c r="R83" s="2093"/>
      <c r="S83" s="2093"/>
    </row>
    <row r="85" spans="1:19" x14ac:dyDescent="0.35">
      <c r="A85" s="78" t="s">
        <v>734</v>
      </c>
      <c r="B85" s="80"/>
    </row>
    <row r="86" spans="1:19" x14ac:dyDescent="0.35">
      <c r="A86" s="79" t="s">
        <v>632</v>
      </c>
      <c r="B86" s="2094"/>
    </row>
    <row r="87" spans="1:19" x14ac:dyDescent="0.35">
      <c r="A87" s="2279" t="s">
        <v>636</v>
      </c>
      <c r="B87" s="2094"/>
    </row>
    <row r="88" spans="1:19" x14ac:dyDescent="0.35">
      <c r="A88" s="2096" t="s">
        <v>639</v>
      </c>
      <c r="B88" s="2097"/>
    </row>
    <row r="89" spans="1:19" x14ac:dyDescent="0.35">
      <c r="A89" s="2096" t="s">
        <v>642</v>
      </c>
      <c r="B89" s="2159"/>
    </row>
    <row r="90" spans="1:19" x14ac:dyDescent="0.35">
      <c r="A90" s="2099" t="s">
        <v>735</v>
      </c>
      <c r="B90" s="2100"/>
    </row>
    <row r="92" spans="1:19" x14ac:dyDescent="0.35">
      <c r="A92" s="81"/>
      <c r="B92" s="1" t="s">
        <v>736</v>
      </c>
    </row>
    <row r="93" spans="1:19" x14ac:dyDescent="0.35">
      <c r="A93" s="82"/>
      <c r="B93" s="1" t="s">
        <v>737</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321" priority="13" operator="equal">
      <formula>"X"</formula>
    </cfRule>
    <cfRule type="cellIs" dxfId="1320" priority="14" operator="equal">
      <formula>"I"</formula>
    </cfRule>
  </conditionalFormatting>
  <conditionalFormatting sqref="H32:H49">
    <cfRule type="cellIs" dxfId="1319" priority="1" operator="equal">
      <formula>"X"</formula>
    </cfRule>
    <cfRule type="cellIs" dxfId="1318" priority="2" operator="equal">
      <formula>"I"</formula>
    </cfRule>
  </conditionalFormatting>
  <conditionalFormatting sqref="J20:J30">
    <cfRule type="cellIs" dxfId="1317" priority="15" operator="equal">
      <formula>"X"</formula>
    </cfRule>
    <cfRule type="cellIs" dxfId="1316" priority="16" operator="equal">
      <formula>"I"</formula>
    </cfRule>
  </conditionalFormatting>
  <conditionalFormatting sqref="J32:J49">
    <cfRule type="cellIs" dxfId="1315" priority="3" operator="equal">
      <formula>"X"</formula>
    </cfRule>
    <cfRule type="cellIs" dxfId="1314" priority="4" operator="equal">
      <formula>"I"</formula>
    </cfRule>
  </conditionalFormatting>
  <conditionalFormatting sqref="L20:L30">
    <cfRule type="cellIs" dxfId="1313" priority="17" operator="equal">
      <formula>"X"</formula>
    </cfRule>
    <cfRule type="cellIs" dxfId="1312" priority="18" operator="equal">
      <formula>"I"</formula>
    </cfRule>
  </conditionalFormatting>
  <conditionalFormatting sqref="L32:L49">
    <cfRule type="cellIs" dxfId="1311" priority="5" operator="equal">
      <formula>"X"</formula>
    </cfRule>
    <cfRule type="cellIs" dxfId="1310" priority="6" operator="equal">
      <formula>"I"</formula>
    </cfRule>
  </conditionalFormatting>
  <conditionalFormatting sqref="N20:N30">
    <cfRule type="cellIs" dxfId="1309" priority="19" operator="equal">
      <formula>"X"</formula>
    </cfRule>
    <cfRule type="cellIs" dxfId="1308" priority="20" operator="equal">
      <formula>"I"</formula>
    </cfRule>
  </conditionalFormatting>
  <conditionalFormatting sqref="N32:N49">
    <cfRule type="cellIs" dxfId="1307" priority="7" operator="equal">
      <formula>"X"</formula>
    </cfRule>
    <cfRule type="cellIs" dxfId="1306" priority="8" operator="equal">
      <formula>"I"</formula>
    </cfRule>
  </conditionalFormatting>
  <conditionalFormatting sqref="P20:P30">
    <cfRule type="cellIs" dxfId="1305" priority="21" operator="equal">
      <formula>"X"</formula>
    </cfRule>
    <cfRule type="cellIs" dxfId="1304" priority="22" operator="equal">
      <formula>"I"</formula>
    </cfRule>
  </conditionalFormatting>
  <conditionalFormatting sqref="P32:P49">
    <cfRule type="cellIs" dxfId="1303" priority="9" operator="equal">
      <formula>"X"</formula>
    </cfRule>
    <cfRule type="cellIs" dxfId="1302" priority="10" operator="equal">
      <formula>"I"</formula>
    </cfRule>
  </conditionalFormatting>
  <conditionalFormatting sqref="R20:R30">
    <cfRule type="cellIs" dxfId="1301" priority="23" operator="equal">
      <formula>"X"</formula>
    </cfRule>
    <cfRule type="cellIs" dxfId="1300" priority="24" operator="equal">
      <formula>"I"</formula>
    </cfRule>
  </conditionalFormatting>
  <conditionalFormatting sqref="R32:R49">
    <cfRule type="cellIs" dxfId="1299" priority="11" operator="equal">
      <formula>"X"</formula>
    </cfRule>
    <cfRule type="cellIs" dxfId="1298" priority="12" operator="equal">
      <formula>"I"</formula>
    </cfRule>
  </conditionalFormatting>
  <hyperlinks>
    <hyperlink ref="B3" location="'Cost Summary'!A1" display="BACK TO SUMMARY SHEET" xr:uid="{3BAE4457-726C-4E70-8609-377A567B6045}"/>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6D22-8EBE-457E-A429-7DDBB2089E04}">
  <sheetPr>
    <tabColor rgb="FF92D050"/>
  </sheetPr>
  <dimension ref="A1:S93"/>
  <sheetViews>
    <sheetView workbookViewId="0">
      <pane xSplit="2" ySplit="9" topLeftCell="C28" activePane="bottomRight" state="frozen"/>
      <selection pane="topRight" activeCell="C1" sqref="C1"/>
      <selection pane="bottomLeft" activeCell="A11" sqref="A11"/>
      <selection pane="bottomRight" activeCell="B33" sqref="B3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2675</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2676</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45">
        <f>I54</f>
        <v>0</v>
      </c>
      <c r="I8" s="3944"/>
      <c r="J8" s="3945">
        <f>K54</f>
        <v>0</v>
      </c>
      <c r="K8" s="3944"/>
      <c r="L8" s="3945">
        <f>M54</f>
        <v>0</v>
      </c>
      <c r="M8" s="3944"/>
      <c r="N8" s="3945">
        <f>O54</f>
        <v>0</v>
      </c>
      <c r="O8" s="3944"/>
      <c r="P8" s="3945">
        <f>Q54</f>
        <v>0</v>
      </c>
      <c r="Q8" s="3944"/>
      <c r="R8" s="3945">
        <f>S54</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419"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402"/>
      <c r="B21" s="2203" t="s">
        <v>2675</v>
      </c>
      <c r="C21" s="45"/>
      <c r="D21" s="46"/>
      <c r="E21" s="46"/>
      <c r="F21" s="46"/>
      <c r="G21" s="52"/>
      <c r="H21" s="2109"/>
      <c r="I21" s="47"/>
      <c r="J21" s="2109"/>
      <c r="K21" s="47"/>
      <c r="L21" s="2109"/>
      <c r="M21" s="47"/>
      <c r="N21" s="2109"/>
      <c r="O21" s="47"/>
      <c r="P21" s="2109"/>
      <c r="Q21" s="47"/>
      <c r="R21" s="2109"/>
      <c r="S21" s="47"/>
    </row>
    <row r="22" spans="1:19" x14ac:dyDescent="0.35">
      <c r="A22" s="2403"/>
      <c r="B22" s="606" t="s">
        <v>657</v>
      </c>
      <c r="C22" s="2201"/>
      <c r="D22" s="2285"/>
      <c r="E22" s="2285"/>
      <c r="F22" s="2285"/>
      <c r="G22" s="2198"/>
      <c r="H22" s="2109"/>
      <c r="I22" s="2420"/>
      <c r="J22" s="2109"/>
      <c r="K22" s="2420"/>
      <c r="L22" s="2109"/>
      <c r="M22" s="2420"/>
      <c r="N22" s="2109"/>
      <c r="O22" s="2420"/>
      <c r="P22" s="2109"/>
      <c r="Q22" s="2420"/>
      <c r="R22" s="2109"/>
      <c r="S22" s="2420"/>
    </row>
    <row r="23" spans="1:19" x14ac:dyDescent="0.35">
      <c r="A23" s="2403"/>
      <c r="B23" s="2421" t="s">
        <v>658</v>
      </c>
      <c r="C23" s="2201"/>
      <c r="D23" s="2285"/>
      <c r="E23" s="2285"/>
      <c r="F23" s="2285"/>
      <c r="G23" s="2198"/>
      <c r="H23" s="2109"/>
      <c r="I23" s="2422"/>
      <c r="J23" s="2109"/>
      <c r="K23" s="2420"/>
      <c r="L23" s="2109"/>
      <c r="M23" s="2420"/>
      <c r="N23" s="2109"/>
      <c r="O23" s="2420"/>
      <c r="P23" s="2109"/>
      <c r="Q23" s="2420"/>
      <c r="R23" s="2109"/>
      <c r="S23" s="2420"/>
    </row>
    <row r="24" spans="1:19" x14ac:dyDescent="0.35">
      <c r="A24" s="2402"/>
      <c r="B24" s="2421" t="s">
        <v>659</v>
      </c>
      <c r="C24" s="2208"/>
      <c r="D24" s="2285"/>
      <c r="E24" s="2285"/>
      <c r="F24" s="2285"/>
      <c r="G24" s="2198"/>
      <c r="H24" s="2109"/>
      <c r="I24" s="2422"/>
      <c r="J24" s="2109"/>
      <c r="K24" s="2420"/>
      <c r="L24" s="2109"/>
      <c r="M24" s="2420"/>
      <c r="N24" s="2109"/>
      <c r="O24" s="2420"/>
      <c r="P24" s="2109"/>
      <c r="Q24" s="2420"/>
      <c r="R24" s="2109"/>
      <c r="S24" s="2420"/>
    </row>
    <row r="25" spans="1:19" x14ac:dyDescent="0.35">
      <c r="A25" s="2402"/>
      <c r="B25" s="2423" t="s">
        <v>660</v>
      </c>
      <c r="C25" s="2208"/>
      <c r="D25" s="2285"/>
      <c r="E25" s="2285"/>
      <c r="F25" s="2285"/>
      <c r="G25" s="2198"/>
      <c r="H25" s="2109"/>
      <c r="I25" s="2422"/>
      <c r="J25" s="2109"/>
      <c r="K25" s="2420"/>
      <c r="L25" s="2109"/>
      <c r="M25" s="2420"/>
      <c r="N25" s="2109"/>
      <c r="O25" s="2420"/>
      <c r="P25" s="2109"/>
      <c r="Q25" s="2420"/>
      <c r="R25" s="2109"/>
      <c r="S25" s="2420"/>
    </row>
    <row r="26" spans="1:19" s="77" customFormat="1" x14ac:dyDescent="0.35">
      <c r="A26" s="2403"/>
      <c r="B26" s="2423" t="s">
        <v>661</v>
      </c>
      <c r="C26" s="2211"/>
      <c r="D26" s="2212"/>
      <c r="E26" s="2212"/>
      <c r="F26" s="2212"/>
      <c r="G26" s="2211"/>
      <c r="H26" s="2109"/>
      <c r="I26" s="2422"/>
      <c r="J26" s="2109"/>
      <c r="K26" s="2424"/>
      <c r="L26" s="2109"/>
      <c r="M26" s="2424"/>
      <c r="N26" s="2109"/>
      <c r="O26" s="2424"/>
      <c r="P26" s="2109"/>
      <c r="Q26" s="2424"/>
      <c r="R26" s="2109"/>
      <c r="S26" s="2424"/>
    </row>
    <row r="27" spans="1:19" s="77" customFormat="1" x14ac:dyDescent="0.35">
      <c r="A27" s="2403"/>
      <c r="B27" s="2423" t="s">
        <v>662</v>
      </c>
      <c r="C27" s="2211"/>
      <c r="D27" s="2212"/>
      <c r="E27" s="2212"/>
      <c r="F27" s="2212"/>
      <c r="G27" s="2211"/>
      <c r="H27" s="2109"/>
      <c r="I27" s="2422"/>
      <c r="J27" s="2109"/>
      <c r="K27" s="2424"/>
      <c r="L27" s="2109"/>
      <c r="M27" s="2424"/>
      <c r="N27" s="2109"/>
      <c r="O27" s="2424"/>
      <c r="P27" s="2109"/>
      <c r="Q27" s="2424"/>
      <c r="R27" s="2109"/>
      <c r="S27" s="2424"/>
    </row>
    <row r="28" spans="1:19" s="77" customFormat="1" x14ac:dyDescent="0.35">
      <c r="A28" s="2403"/>
      <c r="B28" s="2423" t="s">
        <v>663</v>
      </c>
      <c r="C28" s="2211"/>
      <c r="D28" s="2212"/>
      <c r="E28" s="2212"/>
      <c r="F28" s="2212"/>
      <c r="G28" s="2211"/>
      <c r="H28" s="2109"/>
      <c r="I28" s="2422"/>
      <c r="J28" s="2109"/>
      <c r="K28" s="2424"/>
      <c r="L28" s="2109"/>
      <c r="M28" s="2424"/>
      <c r="N28" s="2109"/>
      <c r="O28" s="2424"/>
      <c r="P28" s="2109"/>
      <c r="Q28" s="2424"/>
      <c r="R28" s="2109"/>
      <c r="S28" s="2424"/>
    </row>
    <row r="29" spans="1:19" s="77" customFormat="1" x14ac:dyDescent="0.35">
      <c r="A29" s="2403"/>
      <c r="B29" s="2423" t="s">
        <v>742</v>
      </c>
      <c r="C29" s="2211"/>
      <c r="D29" s="2212"/>
      <c r="E29" s="2212"/>
      <c r="F29" s="2212"/>
      <c r="G29" s="2211"/>
      <c r="H29" s="2109"/>
      <c r="I29" s="2422"/>
      <c r="J29" s="2109"/>
      <c r="K29" s="2424"/>
      <c r="L29" s="2109"/>
      <c r="M29" s="2424"/>
      <c r="N29" s="2109"/>
      <c r="O29" s="2424"/>
      <c r="P29" s="2109"/>
      <c r="Q29" s="2424"/>
      <c r="R29" s="2109"/>
      <c r="S29" s="2424"/>
    </row>
    <row r="30" spans="1:19" s="77" customFormat="1" x14ac:dyDescent="0.35">
      <c r="A30" s="2403"/>
      <c r="B30" s="2425" t="s">
        <v>664</v>
      </c>
      <c r="C30" s="2211"/>
      <c r="D30" s="2212"/>
      <c r="E30" s="2212"/>
      <c r="F30" s="2212"/>
      <c r="G30" s="2211"/>
      <c r="H30" s="2109"/>
      <c r="I30" s="2422"/>
      <c r="J30" s="2109"/>
      <c r="K30" s="2424"/>
      <c r="L30" s="2109"/>
      <c r="M30" s="2424"/>
      <c r="N30" s="2109"/>
      <c r="O30" s="2424"/>
      <c r="P30" s="2109"/>
      <c r="Q30" s="2424"/>
      <c r="R30" s="2109"/>
      <c r="S30" s="2424"/>
    </row>
    <row r="31" spans="1:19" s="77" customFormat="1" x14ac:dyDescent="0.35">
      <c r="A31" s="2403"/>
      <c r="B31" s="2426" t="s">
        <v>665</v>
      </c>
      <c r="C31" s="2216"/>
      <c r="D31" s="2217"/>
      <c r="E31" s="2217"/>
      <c r="F31" s="2217"/>
      <c r="G31" s="2216"/>
      <c r="H31" s="2288"/>
      <c r="I31" s="2427"/>
      <c r="J31" s="2289"/>
      <c r="K31" s="2428"/>
      <c r="L31" s="2289"/>
      <c r="M31" s="2428"/>
      <c r="N31" s="2428"/>
      <c r="O31" s="2428"/>
      <c r="P31" s="2428"/>
      <c r="Q31" s="2428"/>
      <c r="R31" s="2428"/>
      <c r="S31" s="2428"/>
    </row>
    <row r="32" spans="1:19" s="77" customFormat="1" x14ac:dyDescent="0.35">
      <c r="A32" s="2429"/>
      <c r="B32" s="2340"/>
      <c r="C32" s="2236"/>
      <c r="D32" s="2212"/>
      <c r="E32" s="2212"/>
      <c r="F32" s="2212"/>
      <c r="G32" s="2211"/>
      <c r="H32" s="2109"/>
      <c r="I32" s="2422"/>
      <c r="J32" s="2109"/>
      <c r="K32" s="2424"/>
      <c r="L32" s="2109"/>
      <c r="M32" s="2424"/>
      <c r="N32" s="2109"/>
      <c r="O32" s="2424"/>
      <c r="P32" s="2109"/>
      <c r="Q32" s="2424"/>
      <c r="R32" s="2109"/>
      <c r="S32" s="2424"/>
    </row>
    <row r="33" spans="1:19" s="77" customFormat="1" x14ac:dyDescent="0.35">
      <c r="A33" s="2429"/>
      <c r="B33" s="2340"/>
      <c r="C33" s="2236"/>
      <c r="D33" s="2212"/>
      <c r="E33" s="2212"/>
      <c r="F33" s="2212"/>
      <c r="G33" s="2211"/>
      <c r="H33" s="2109"/>
      <c r="I33" s="2422"/>
      <c r="J33" s="2109"/>
      <c r="K33" s="2424"/>
      <c r="L33" s="2109"/>
      <c r="M33" s="2424"/>
      <c r="N33" s="2109"/>
      <c r="O33" s="2424"/>
      <c r="P33" s="2109"/>
      <c r="Q33" s="2424"/>
      <c r="R33" s="2109"/>
      <c r="S33" s="2424"/>
    </row>
    <row r="34" spans="1:19" s="77" customFormat="1" x14ac:dyDescent="0.35">
      <c r="A34" s="2429"/>
      <c r="B34" s="2340"/>
      <c r="C34" s="2236"/>
      <c r="D34" s="2212"/>
      <c r="E34" s="2212"/>
      <c r="F34" s="2212"/>
      <c r="G34" s="2211"/>
      <c r="H34" s="2109"/>
      <c r="I34" s="2422"/>
      <c r="J34" s="2109"/>
      <c r="K34" s="2424"/>
      <c r="L34" s="2109"/>
      <c r="M34" s="2424"/>
      <c r="N34" s="2109"/>
      <c r="O34" s="2424"/>
      <c r="P34" s="2109"/>
      <c r="Q34" s="2424"/>
      <c r="R34" s="2109"/>
      <c r="S34" s="2424"/>
    </row>
    <row r="35" spans="1:19" s="77" customFormat="1" x14ac:dyDescent="0.35">
      <c r="A35" s="2429"/>
      <c r="B35" s="2340"/>
      <c r="C35" s="2236"/>
      <c r="D35" s="2212"/>
      <c r="E35" s="2341"/>
      <c r="F35" s="2342"/>
      <c r="G35" s="2211"/>
      <c r="H35" s="2109"/>
      <c r="I35" s="2422"/>
      <c r="J35" s="2109"/>
      <c r="K35" s="2424"/>
      <c r="L35" s="2109"/>
      <c r="M35" s="2424"/>
      <c r="N35" s="2109"/>
      <c r="O35" s="2424"/>
      <c r="P35" s="2109"/>
      <c r="Q35" s="2424"/>
      <c r="R35" s="2109"/>
      <c r="S35" s="2424"/>
    </row>
    <row r="36" spans="1:19" s="77" customFormat="1" x14ac:dyDescent="0.35">
      <c r="A36" s="2429"/>
      <c r="B36" s="2340"/>
      <c r="C36" s="2236"/>
      <c r="D36" s="2212"/>
      <c r="E36" s="2341"/>
      <c r="F36" s="2342"/>
      <c r="G36" s="2211"/>
      <c r="H36" s="2109"/>
      <c r="I36" s="2422"/>
      <c r="J36" s="2109"/>
      <c r="K36" s="2424"/>
      <c r="L36" s="2109"/>
      <c r="M36" s="2424"/>
      <c r="N36" s="2109"/>
      <c r="O36" s="2424"/>
      <c r="P36" s="2109"/>
      <c r="Q36" s="2424"/>
      <c r="R36" s="2109"/>
      <c r="S36" s="2424"/>
    </row>
    <row r="37" spans="1:19" s="77" customFormat="1" x14ac:dyDescent="0.35">
      <c r="A37" s="2429"/>
      <c r="B37" s="2340"/>
      <c r="C37" s="2236"/>
      <c r="D37" s="2212"/>
      <c r="E37" s="2341"/>
      <c r="F37" s="2342"/>
      <c r="G37" s="2211"/>
      <c r="H37" s="2109"/>
      <c r="I37" s="2422"/>
      <c r="J37" s="2109"/>
      <c r="K37" s="2424"/>
      <c r="L37" s="2109"/>
      <c r="M37" s="2424"/>
      <c r="N37" s="2109"/>
      <c r="O37" s="2424"/>
      <c r="P37" s="2109"/>
      <c r="Q37" s="2424"/>
      <c r="R37" s="2109"/>
      <c r="S37" s="2424"/>
    </row>
    <row r="38" spans="1:19" s="77" customFormat="1" x14ac:dyDescent="0.35">
      <c r="A38" s="2429"/>
      <c r="B38" s="2430"/>
      <c r="C38" s="2236"/>
      <c r="D38" s="2212"/>
      <c r="E38" s="2341"/>
      <c r="F38" s="2342"/>
      <c r="G38" s="2211"/>
      <c r="H38" s="2109"/>
      <c r="I38" s="2422"/>
      <c r="J38" s="2109"/>
      <c r="K38" s="2424"/>
      <c r="L38" s="2109"/>
      <c r="M38" s="2424"/>
      <c r="N38" s="2109"/>
      <c r="O38" s="2424"/>
      <c r="P38" s="2109"/>
      <c r="Q38" s="2424"/>
      <c r="R38" s="2109"/>
      <c r="S38" s="2424"/>
    </row>
    <row r="39" spans="1:19" s="77" customFormat="1" x14ac:dyDescent="0.35">
      <c r="A39" s="2429"/>
      <c r="B39" s="2431"/>
      <c r="C39" s="2236"/>
      <c r="D39" s="2212"/>
      <c r="E39" s="2341"/>
      <c r="F39" s="2342"/>
      <c r="G39" s="2211"/>
      <c r="H39" s="2109" t="s">
        <v>669</v>
      </c>
      <c r="I39" s="2422"/>
      <c r="J39" s="2109"/>
      <c r="K39" s="2424"/>
      <c r="L39" s="2109"/>
      <c r="M39" s="2424"/>
      <c r="N39" s="2109"/>
      <c r="O39" s="2424"/>
      <c r="P39" s="2109"/>
      <c r="Q39" s="2424"/>
      <c r="R39" s="2109"/>
      <c r="S39" s="2424"/>
    </row>
    <row r="40" spans="1:19" s="77" customFormat="1" x14ac:dyDescent="0.35">
      <c r="A40" s="2429"/>
      <c r="B40" s="128"/>
      <c r="C40" s="2236"/>
      <c r="D40" s="2212"/>
      <c r="E40" s="2341"/>
      <c r="F40" s="2342"/>
      <c r="G40" s="2211"/>
      <c r="H40" s="2109"/>
      <c r="I40" s="2422"/>
      <c r="J40" s="2109"/>
      <c r="K40" s="2424"/>
      <c r="L40" s="2109"/>
      <c r="M40" s="2424"/>
      <c r="N40" s="2109"/>
      <c r="O40" s="2424"/>
      <c r="P40" s="2109"/>
      <c r="Q40" s="2424"/>
      <c r="R40" s="2109"/>
      <c r="S40" s="2424"/>
    </row>
    <row r="41" spans="1:19" s="77" customFormat="1" x14ac:dyDescent="0.35">
      <c r="A41" s="2429"/>
      <c r="B41" s="2340"/>
      <c r="C41" s="2236"/>
      <c r="D41" s="2212"/>
      <c r="E41" s="2341"/>
      <c r="F41" s="2342"/>
      <c r="G41" s="2211"/>
      <c r="H41" s="2109"/>
      <c r="I41" s="2422"/>
      <c r="J41" s="2109"/>
      <c r="K41" s="2424"/>
      <c r="L41" s="2109"/>
      <c r="M41" s="2424"/>
      <c r="N41" s="2109"/>
      <c r="O41" s="2424"/>
      <c r="P41" s="2109"/>
      <c r="Q41" s="2424"/>
      <c r="R41" s="2109"/>
      <c r="S41" s="2424"/>
    </row>
    <row r="42" spans="1:19" s="77" customFormat="1" x14ac:dyDescent="0.35">
      <c r="A42" s="2429"/>
      <c r="B42" s="2340"/>
      <c r="C42" s="2236"/>
      <c r="D42" s="2212"/>
      <c r="E42" s="2341"/>
      <c r="F42" s="2342"/>
      <c r="G42" s="2211"/>
      <c r="H42" s="2109"/>
      <c r="I42" s="2422"/>
      <c r="J42" s="2109"/>
      <c r="K42" s="2424"/>
      <c r="L42" s="2109"/>
      <c r="M42" s="2424"/>
      <c r="N42" s="2109"/>
      <c r="O42" s="2424"/>
      <c r="P42" s="2109"/>
      <c r="Q42" s="2424"/>
      <c r="R42" s="2109"/>
      <c r="S42" s="2424"/>
    </row>
    <row r="43" spans="1:19" s="77" customFormat="1" x14ac:dyDescent="0.35">
      <c r="A43" s="2429"/>
      <c r="B43" s="2340"/>
      <c r="C43" s="2236"/>
      <c r="D43" s="2212"/>
      <c r="E43" s="2341"/>
      <c r="F43" s="2342"/>
      <c r="G43" s="2211"/>
      <c r="H43" s="2109"/>
      <c r="I43" s="2422"/>
      <c r="J43" s="2109"/>
      <c r="K43" s="2424"/>
      <c r="L43" s="2109"/>
      <c r="M43" s="2424"/>
      <c r="N43" s="2109"/>
      <c r="O43" s="2424"/>
      <c r="P43" s="2109"/>
      <c r="Q43" s="2424"/>
      <c r="R43" s="2109"/>
      <c r="S43" s="2424"/>
    </row>
    <row r="44" spans="1:19" s="77" customFormat="1" x14ac:dyDescent="0.35">
      <c r="A44" s="2429"/>
      <c r="B44" s="2340"/>
      <c r="C44" s="2236"/>
      <c r="D44" s="2212"/>
      <c r="E44" s="2341"/>
      <c r="F44" s="2342"/>
      <c r="G44" s="2211"/>
      <c r="H44" s="2109"/>
      <c r="I44" s="2422"/>
      <c r="J44" s="2109"/>
      <c r="K44" s="2424"/>
      <c r="L44" s="2109"/>
      <c r="M44" s="2424"/>
      <c r="N44" s="2109"/>
      <c r="O44" s="2424"/>
      <c r="P44" s="2109"/>
      <c r="Q44" s="2424"/>
      <c r="R44" s="2109"/>
      <c r="S44" s="2424"/>
    </row>
    <row r="45" spans="1:19" s="77" customFormat="1" x14ac:dyDescent="0.35">
      <c r="A45" s="2429"/>
      <c r="B45" s="2340"/>
      <c r="C45" s="2236"/>
      <c r="D45" s="2212"/>
      <c r="E45" s="2341"/>
      <c r="F45" s="2342"/>
      <c r="G45" s="2211"/>
      <c r="H45" s="2109"/>
      <c r="I45" s="2422"/>
      <c r="J45" s="2109"/>
      <c r="K45" s="2424"/>
      <c r="L45" s="2109"/>
      <c r="M45" s="2424"/>
      <c r="N45" s="2109"/>
      <c r="O45" s="2424"/>
      <c r="P45" s="2109"/>
      <c r="Q45" s="2424"/>
      <c r="R45" s="2109"/>
      <c r="S45" s="2424"/>
    </row>
    <row r="46" spans="1:19" s="77" customFormat="1" x14ac:dyDescent="0.35">
      <c r="A46" s="2429"/>
      <c r="B46" s="2340"/>
      <c r="C46" s="2236"/>
      <c r="D46" s="2212"/>
      <c r="E46" s="2341"/>
      <c r="F46" s="2342"/>
      <c r="G46" s="2211"/>
      <c r="H46" s="2109"/>
      <c r="I46" s="2422"/>
      <c r="J46" s="2109"/>
      <c r="K46" s="2424"/>
      <c r="L46" s="2109"/>
      <c r="M46" s="2424"/>
      <c r="N46" s="2109"/>
      <c r="O46" s="2424"/>
      <c r="P46" s="2109"/>
      <c r="Q46" s="2424"/>
      <c r="R46" s="2109"/>
      <c r="S46" s="2424"/>
    </row>
    <row r="47" spans="1:19" s="77" customFormat="1" x14ac:dyDescent="0.35">
      <c r="A47" s="2429"/>
      <c r="B47" s="2340"/>
      <c r="C47" s="2236"/>
      <c r="D47" s="2212"/>
      <c r="E47" s="2341"/>
      <c r="F47" s="2342"/>
      <c r="G47" s="2211"/>
      <c r="H47" s="2109"/>
      <c r="I47" s="2422"/>
      <c r="J47" s="2109"/>
      <c r="K47" s="2424"/>
      <c r="L47" s="2109"/>
      <c r="M47" s="2424"/>
      <c r="N47" s="2109"/>
      <c r="O47" s="2424"/>
      <c r="P47" s="2109"/>
      <c r="Q47" s="2424"/>
      <c r="R47" s="2109"/>
      <c r="S47" s="2424"/>
    </row>
    <row r="48" spans="1:19" s="77" customFormat="1" x14ac:dyDescent="0.35">
      <c r="A48" s="2429"/>
      <c r="B48" s="2340"/>
      <c r="C48" s="2236"/>
      <c r="D48" s="2212"/>
      <c r="E48" s="2341"/>
      <c r="F48" s="2342"/>
      <c r="G48" s="2211"/>
      <c r="H48" s="2109"/>
      <c r="I48" s="2422"/>
      <c r="J48" s="2109"/>
      <c r="K48" s="2424"/>
      <c r="L48" s="2109"/>
      <c r="M48" s="2424"/>
      <c r="N48" s="2109"/>
      <c r="O48" s="2424"/>
      <c r="P48" s="2109"/>
      <c r="Q48" s="2424"/>
      <c r="R48" s="2109"/>
      <c r="S48" s="2424"/>
    </row>
    <row r="49" spans="1:19" s="77" customFormat="1" x14ac:dyDescent="0.35">
      <c r="A49" s="2429"/>
      <c r="B49" s="2340"/>
      <c r="C49" s="2236"/>
      <c r="D49" s="2212"/>
      <c r="E49" s="2341"/>
      <c r="F49" s="2342"/>
      <c r="G49" s="2211"/>
      <c r="H49" s="2109"/>
      <c r="I49" s="2422"/>
      <c r="J49" s="2109"/>
      <c r="K49" s="2424"/>
      <c r="L49" s="2109"/>
      <c r="M49" s="2424"/>
      <c r="N49" s="2109"/>
      <c r="O49" s="2424"/>
      <c r="P49" s="2109"/>
      <c r="Q49" s="2424"/>
      <c r="R49" s="2109"/>
      <c r="S49" s="2424"/>
    </row>
    <row r="50" spans="1:19" x14ac:dyDescent="0.35">
      <c r="A50" s="14"/>
      <c r="B50" s="15"/>
      <c r="C50" s="16"/>
      <c r="D50" s="16"/>
      <c r="E50" s="17"/>
      <c r="F50" s="18" t="s">
        <v>715</v>
      </c>
      <c r="G50" s="19"/>
      <c r="H50" s="20"/>
      <c r="I50" s="50">
        <f>SUM(I23:I49)</f>
        <v>0</v>
      </c>
      <c r="J50" s="20"/>
      <c r="K50" s="50">
        <f>SUM(K23:K49)</f>
        <v>0</v>
      </c>
      <c r="L50" s="20"/>
      <c r="M50" s="50">
        <f>SUM(M23:M49)</f>
        <v>0</v>
      </c>
      <c r="N50" s="20"/>
      <c r="O50" s="50">
        <f>SUM(O23:O49)</f>
        <v>0</v>
      </c>
      <c r="P50" s="20"/>
      <c r="Q50" s="50">
        <f>SUM(Q23:Q49)</f>
        <v>0</v>
      </c>
      <c r="R50" s="20"/>
      <c r="S50" s="50">
        <f>SUM(S23:S49)</f>
        <v>0</v>
      </c>
    </row>
    <row r="51" spans="1:19" x14ac:dyDescent="0.35">
      <c r="A51" s="2239"/>
      <c r="B51" s="2240"/>
      <c r="C51" s="2241"/>
      <c r="D51" s="2241"/>
      <c r="E51" s="2242"/>
      <c r="F51" s="2243" t="s">
        <v>716</v>
      </c>
      <c r="G51" s="2244"/>
      <c r="H51" s="2065">
        <v>0</v>
      </c>
      <c r="I51" s="2064"/>
      <c r="J51" s="2065">
        <v>0</v>
      </c>
      <c r="K51" s="2064"/>
      <c r="L51" s="2065">
        <v>0</v>
      </c>
      <c r="M51" s="2064"/>
      <c r="N51" s="2065">
        <v>0</v>
      </c>
      <c r="O51" s="2064"/>
      <c r="P51" s="2065">
        <v>0</v>
      </c>
      <c r="Q51" s="2064"/>
      <c r="R51" s="2065">
        <v>0</v>
      </c>
      <c r="S51" s="2064"/>
    </row>
    <row r="52" spans="1:19" x14ac:dyDescent="0.35">
      <c r="A52" s="2239"/>
      <c r="B52" s="2240"/>
      <c r="C52" s="2241"/>
      <c r="D52" s="2241"/>
      <c r="E52" s="2242"/>
      <c r="F52" s="2243" t="s">
        <v>717</v>
      </c>
      <c r="G52" s="2244"/>
      <c r="H52" s="2066"/>
      <c r="I52" s="2067">
        <f>H51*I50</f>
        <v>0</v>
      </c>
      <c r="J52" s="2066"/>
      <c r="K52" s="2067">
        <f>J51*K50</f>
        <v>0</v>
      </c>
      <c r="L52" s="2066"/>
      <c r="M52" s="2067">
        <f>L51*M50</f>
        <v>0</v>
      </c>
      <c r="N52" s="2066"/>
      <c r="O52" s="2067">
        <f>N51*O50</f>
        <v>0</v>
      </c>
      <c r="P52" s="2066"/>
      <c r="Q52" s="2067">
        <f>P51*Q50</f>
        <v>0</v>
      </c>
      <c r="R52" s="2066"/>
      <c r="S52" s="2067">
        <f>R51*S50</f>
        <v>0</v>
      </c>
    </row>
    <row r="53" spans="1:19" x14ac:dyDescent="0.35">
      <c r="A53" s="2239"/>
      <c r="B53" s="2240"/>
      <c r="C53" s="2241"/>
      <c r="D53" s="2241"/>
      <c r="E53" s="2242"/>
      <c r="F53" s="2243"/>
      <c r="G53" s="2244"/>
      <c r="H53" s="2066"/>
      <c r="I53" s="2068"/>
      <c r="J53" s="2066"/>
      <c r="K53" s="2068"/>
      <c r="L53" s="2066"/>
      <c r="M53" s="2068"/>
      <c r="N53" s="2066"/>
      <c r="O53" s="2068"/>
      <c r="P53" s="2066"/>
      <c r="Q53" s="2068"/>
      <c r="R53" s="2066"/>
      <c r="S53" s="2068"/>
    </row>
    <row r="54" spans="1:19" x14ac:dyDescent="0.35">
      <c r="A54" s="2239"/>
      <c r="B54" s="2240"/>
      <c r="C54" s="2241"/>
      <c r="D54" s="2241"/>
      <c r="E54" s="2242"/>
      <c r="F54" s="2243" t="s">
        <v>718</v>
      </c>
      <c r="G54" s="2244"/>
      <c r="H54" s="2069"/>
      <c r="I54" s="2070">
        <f>SUM(I50:I52)</f>
        <v>0</v>
      </c>
      <c r="J54" s="2069"/>
      <c r="K54" s="2070">
        <f>SUM(K50:K52)</f>
        <v>0</v>
      </c>
      <c r="L54" s="2069"/>
      <c r="M54" s="2070">
        <f>SUM(M50:M52)</f>
        <v>0</v>
      </c>
      <c r="N54" s="2069"/>
      <c r="O54" s="2070">
        <f>SUM(O50:O52)</f>
        <v>0</v>
      </c>
      <c r="P54" s="2069"/>
      <c r="Q54" s="2070">
        <f>SUM(Q50:Q52)</f>
        <v>0</v>
      </c>
      <c r="R54" s="2069"/>
      <c r="S54" s="2070">
        <f>SUM(S50:S52)</f>
        <v>0</v>
      </c>
    </row>
    <row r="55" spans="1:19" x14ac:dyDescent="0.35">
      <c r="A55" s="2239"/>
      <c r="B55" s="2240"/>
      <c r="C55" s="2241"/>
      <c r="D55" s="2241"/>
      <c r="E55" s="2242"/>
      <c r="F55" s="2255" t="s">
        <v>719</v>
      </c>
      <c r="G55" s="2256"/>
      <c r="H55" s="2073"/>
      <c r="I55" s="2074" t="e">
        <f>I54/#REF!</f>
        <v>#REF!</v>
      </c>
      <c r="J55" s="2073"/>
      <c r="K55" s="2074" t="e">
        <f>K54/#REF!</f>
        <v>#REF!</v>
      </c>
      <c r="L55" s="2073"/>
      <c r="M55" s="2074" t="e">
        <f>M54/#REF!</f>
        <v>#REF!</v>
      </c>
      <c r="N55" s="2073"/>
      <c r="O55" s="2074" t="e">
        <f>O54/#REF!</f>
        <v>#REF!</v>
      </c>
      <c r="P55" s="2073"/>
      <c r="Q55" s="2074" t="e">
        <f>Q54/#REF!</f>
        <v>#REF!</v>
      </c>
      <c r="R55" s="2073"/>
      <c r="S55" s="2074" t="e">
        <f>S54/#REF!</f>
        <v>#REF!</v>
      </c>
    </row>
    <row r="56" spans="1:19" x14ac:dyDescent="0.35">
      <c r="A56" s="2239"/>
      <c r="B56" s="2240"/>
      <c r="C56" s="2241"/>
      <c r="D56" s="2241"/>
      <c r="E56" s="2242"/>
      <c r="F56" s="2255" t="s">
        <v>720</v>
      </c>
      <c r="G56" s="2260"/>
      <c r="H56" s="2073"/>
      <c r="I56" s="2074" t="e">
        <f>I54/#REF!</f>
        <v>#REF!</v>
      </c>
      <c r="J56" s="2073"/>
      <c r="K56" s="2074" t="e">
        <f>K54/#REF!</f>
        <v>#REF!</v>
      </c>
      <c r="L56" s="2073"/>
      <c r="M56" s="2074" t="e">
        <f>M54/#REF!</f>
        <v>#REF!</v>
      </c>
      <c r="N56" s="2073"/>
      <c r="O56" s="2074" t="e">
        <f>O54/#REF!</f>
        <v>#REF!</v>
      </c>
      <c r="P56" s="2073"/>
      <c r="Q56" s="2074" t="e">
        <f>Q54/#REF!</f>
        <v>#REF!</v>
      </c>
      <c r="R56" s="2073"/>
      <c r="S56" s="2074" t="e">
        <f>S54/#REF!</f>
        <v>#REF!</v>
      </c>
    </row>
    <row r="57" spans="1:19" x14ac:dyDescent="0.35">
      <c r="A57" s="2239"/>
      <c r="B57" s="2240"/>
      <c r="C57" s="2241"/>
      <c r="D57" s="2241"/>
      <c r="E57" s="2242"/>
      <c r="F57" s="2243"/>
      <c r="G57" s="2261"/>
      <c r="H57" s="2077"/>
      <c r="I57" s="2078"/>
      <c r="J57" s="2077"/>
      <c r="K57" s="2078"/>
      <c r="L57" s="2077"/>
      <c r="M57" s="2078"/>
      <c r="N57" s="2077"/>
      <c r="O57" s="2078"/>
      <c r="P57" s="2077"/>
      <c r="Q57" s="2078"/>
      <c r="R57" s="2077"/>
      <c r="S57" s="2078"/>
    </row>
    <row r="58" spans="1:19" x14ac:dyDescent="0.35">
      <c r="A58" s="3764" t="s">
        <v>721</v>
      </c>
      <c r="B58" s="3765"/>
      <c r="C58" s="12"/>
      <c r="D58" s="12"/>
      <c r="E58" s="12"/>
      <c r="F58" s="12"/>
      <c r="G58" s="13"/>
      <c r="H58" s="21"/>
      <c r="I58" s="21"/>
      <c r="J58" s="21"/>
      <c r="K58" s="21"/>
      <c r="L58" s="21"/>
      <c r="M58" s="21"/>
      <c r="N58" s="21"/>
      <c r="O58" s="21"/>
      <c r="P58" s="21"/>
      <c r="Q58" s="21"/>
      <c r="R58" s="21"/>
      <c r="S58" s="21"/>
    </row>
    <row r="59" spans="1:19" x14ac:dyDescent="0.35">
      <c r="A59" s="2432"/>
      <c r="B59" s="2284"/>
      <c r="C59" s="2415"/>
      <c r="D59" s="2415"/>
      <c r="E59" s="2415"/>
      <c r="F59" s="2415"/>
      <c r="G59" s="2416"/>
      <c r="H59" s="2433"/>
      <c r="I59" s="2433"/>
      <c r="J59" s="2433"/>
      <c r="K59" s="2433"/>
      <c r="L59" s="2433"/>
      <c r="M59" s="2433"/>
      <c r="N59" s="2433"/>
      <c r="O59" s="2433"/>
      <c r="P59" s="2433"/>
      <c r="Q59" s="2433"/>
      <c r="R59" s="2433"/>
      <c r="S59" s="2433"/>
    </row>
    <row r="60" spans="1:19" s="2" customFormat="1" x14ac:dyDescent="0.35">
      <c r="A60" s="2432"/>
      <c r="B60" s="2284"/>
      <c r="C60" s="2415"/>
      <c r="D60" s="2415"/>
      <c r="E60" s="2415"/>
      <c r="F60" s="2415"/>
      <c r="G60" s="2416"/>
      <c r="H60" s="2433"/>
      <c r="I60" s="2433"/>
      <c r="J60" s="2433"/>
      <c r="K60" s="2433"/>
      <c r="L60" s="2433"/>
      <c r="M60" s="2433"/>
      <c r="N60" s="2433"/>
      <c r="O60" s="2433"/>
      <c r="P60" s="2433"/>
      <c r="Q60" s="2433"/>
      <c r="R60" s="2433"/>
      <c r="S60" s="2433"/>
    </row>
    <row r="61" spans="1:19" s="2" customFormat="1" x14ac:dyDescent="0.35">
      <c r="A61" s="2432"/>
      <c r="B61" s="2284"/>
      <c r="C61" s="2415"/>
      <c r="D61" s="2415"/>
      <c r="E61" s="2415"/>
      <c r="F61" s="2415"/>
      <c r="G61" s="2416"/>
      <c r="H61" s="2433"/>
      <c r="I61" s="2433"/>
      <c r="J61" s="2433"/>
      <c r="K61" s="2433"/>
      <c r="L61" s="2433"/>
      <c r="M61" s="2433"/>
      <c r="N61" s="2433"/>
      <c r="O61" s="2433"/>
      <c r="P61" s="2433"/>
      <c r="Q61" s="2433"/>
      <c r="R61" s="2433"/>
      <c r="S61" s="2433"/>
    </row>
    <row r="62" spans="1:19" x14ac:dyDescent="0.35">
      <c r="A62" s="3764" t="s">
        <v>722</v>
      </c>
      <c r="B62" s="3765"/>
      <c r="C62" s="12"/>
      <c r="D62" s="12"/>
      <c r="E62" s="12"/>
      <c r="F62" s="12"/>
      <c r="G62" s="13"/>
      <c r="H62" s="21"/>
      <c r="I62" s="21"/>
      <c r="J62" s="21"/>
      <c r="K62" s="21"/>
      <c r="L62" s="21"/>
      <c r="M62" s="21"/>
      <c r="N62" s="21"/>
      <c r="O62" s="21"/>
      <c r="P62" s="21"/>
      <c r="Q62" s="21"/>
      <c r="R62" s="21"/>
      <c r="S62" s="21"/>
    </row>
    <row r="63" spans="1:19" s="2" customFormat="1" x14ac:dyDescent="0.35">
      <c r="A63" s="2432"/>
      <c r="B63" s="2284"/>
      <c r="C63" s="2415"/>
      <c r="D63" s="2415"/>
      <c r="E63" s="2415"/>
      <c r="F63" s="2415"/>
      <c r="G63" s="2416"/>
      <c r="H63" s="2433"/>
      <c r="I63" s="2433"/>
      <c r="J63" s="2433"/>
      <c r="K63" s="2433"/>
      <c r="L63" s="2433"/>
      <c r="M63" s="2433"/>
      <c r="N63" s="2433"/>
      <c r="O63" s="2433"/>
      <c r="P63" s="2433"/>
      <c r="Q63" s="2433"/>
      <c r="R63" s="2433"/>
      <c r="S63" s="2433"/>
    </row>
    <row r="64" spans="1:19" s="2" customFormat="1" x14ac:dyDescent="0.35">
      <c r="A64" s="2432"/>
      <c r="B64" s="2284"/>
      <c r="C64" s="2415"/>
      <c r="D64" s="2415"/>
      <c r="E64" s="2415"/>
      <c r="F64" s="2415"/>
      <c r="G64" s="2416"/>
      <c r="H64" s="2433"/>
      <c r="I64" s="2433"/>
      <c r="J64" s="2433"/>
      <c r="K64" s="2433"/>
      <c r="L64" s="2433"/>
      <c r="M64" s="2433"/>
      <c r="N64" s="2433"/>
      <c r="O64" s="2433"/>
      <c r="P64" s="2433"/>
      <c r="Q64" s="2433"/>
      <c r="R64" s="2433"/>
      <c r="S64" s="2433"/>
    </row>
    <row r="65" spans="1:19" x14ac:dyDescent="0.35">
      <c r="A65" s="2432"/>
      <c r="B65" s="2284"/>
      <c r="C65" s="2415"/>
      <c r="D65" s="2415"/>
      <c r="E65" s="2415"/>
      <c r="F65" s="2415"/>
      <c r="G65" s="2416"/>
      <c r="H65" s="2433"/>
      <c r="I65" s="2433"/>
      <c r="J65" s="2433"/>
      <c r="K65" s="2433"/>
      <c r="L65" s="2433"/>
      <c r="M65" s="2433"/>
      <c r="N65" s="2433"/>
      <c r="O65" s="2433"/>
      <c r="P65" s="2433"/>
      <c r="Q65" s="2433"/>
      <c r="R65" s="2433"/>
      <c r="S65" s="2433"/>
    </row>
    <row r="66" spans="1:19" x14ac:dyDescent="0.35">
      <c r="A66" s="3764" t="s">
        <v>723</v>
      </c>
      <c r="B66" s="3765"/>
      <c r="C66" s="12"/>
      <c r="D66" s="12"/>
      <c r="E66" s="12"/>
      <c r="F66" s="12"/>
      <c r="G66" s="13"/>
      <c r="H66" s="21"/>
      <c r="I66" s="21"/>
      <c r="J66" s="21"/>
      <c r="K66" s="21"/>
      <c r="L66" s="21"/>
      <c r="M66" s="21"/>
      <c r="N66" s="21"/>
      <c r="O66" s="21"/>
      <c r="P66" s="21"/>
      <c r="Q66" s="21"/>
      <c r="R66" s="21"/>
      <c r="S66" s="21"/>
    </row>
    <row r="67" spans="1:19" x14ac:dyDescent="0.35">
      <c r="A67" s="2432"/>
      <c r="B67" s="2284"/>
      <c r="C67" s="2415"/>
      <c r="D67" s="2415"/>
      <c r="E67" s="2415"/>
      <c r="F67" s="2415"/>
      <c r="G67" s="2416"/>
      <c r="H67" s="2433"/>
      <c r="I67" s="2433"/>
      <c r="J67" s="2433"/>
      <c r="K67" s="2433"/>
      <c r="L67" s="2433"/>
      <c r="M67" s="2433"/>
      <c r="N67" s="2433"/>
      <c r="O67" s="2433"/>
      <c r="P67" s="2433"/>
      <c r="Q67" s="2433"/>
      <c r="R67" s="2433"/>
      <c r="S67" s="2433"/>
    </row>
    <row r="68" spans="1:19" x14ac:dyDescent="0.35">
      <c r="A68" s="2286"/>
      <c r="B68" s="2284"/>
      <c r="C68" s="2285"/>
      <c r="D68" s="2285"/>
      <c r="E68" s="2285"/>
      <c r="F68" s="2285"/>
      <c r="G68" s="2198"/>
      <c r="H68" s="2081"/>
      <c r="I68" s="2081"/>
      <c r="J68" s="2081"/>
      <c r="K68" s="2081"/>
      <c r="L68" s="2081"/>
      <c r="M68" s="2081"/>
      <c r="N68" s="2081"/>
      <c r="O68" s="2081"/>
      <c r="P68" s="2081"/>
      <c r="Q68" s="2081"/>
      <c r="R68" s="2081"/>
      <c r="S68" s="2081"/>
    </row>
    <row r="69" spans="1:19" x14ac:dyDescent="0.35">
      <c r="A69" s="2269"/>
      <c r="B69" s="2270"/>
      <c r="C69" s="2285"/>
      <c r="D69" s="2285"/>
      <c r="E69" s="2285"/>
      <c r="F69" s="2285"/>
      <c r="G69" s="2198"/>
      <c r="H69" s="2084"/>
      <c r="I69" s="2084"/>
      <c r="J69" s="2084"/>
      <c r="K69" s="2084"/>
      <c r="L69" s="2084"/>
      <c r="M69" s="2084"/>
      <c r="N69" s="2084"/>
      <c r="O69" s="2084"/>
      <c r="P69" s="2084"/>
      <c r="Q69" s="2084"/>
      <c r="R69" s="2084"/>
      <c r="S69" s="2084"/>
    </row>
    <row r="70" spans="1:19" x14ac:dyDescent="0.35">
      <c r="A70" s="3764" t="s">
        <v>724</v>
      </c>
      <c r="B70" s="3765"/>
      <c r="C70" s="12"/>
      <c r="D70" s="12"/>
      <c r="E70" s="12"/>
      <c r="F70" s="12"/>
      <c r="G70" s="13"/>
      <c r="H70" s="21"/>
      <c r="I70" s="21"/>
      <c r="J70" s="21"/>
      <c r="K70" s="21"/>
      <c r="L70" s="21"/>
      <c r="M70" s="21"/>
      <c r="N70" s="21"/>
      <c r="O70" s="21"/>
      <c r="P70" s="21"/>
      <c r="Q70" s="21"/>
      <c r="R70" s="21"/>
      <c r="S70" s="21"/>
    </row>
    <row r="71" spans="1:19" x14ac:dyDescent="0.35">
      <c r="A71" s="2434"/>
      <c r="B71" s="2417"/>
      <c r="C71" s="2415"/>
      <c r="D71" s="2415"/>
      <c r="E71" s="2415"/>
      <c r="F71" s="2415"/>
      <c r="G71" s="2416"/>
      <c r="H71" s="2433"/>
      <c r="I71" s="2433"/>
      <c r="J71" s="2433"/>
      <c r="K71" s="2433"/>
      <c r="L71" s="2433"/>
      <c r="M71" s="2433"/>
      <c r="N71" s="2433"/>
      <c r="O71" s="2433"/>
      <c r="P71" s="2433"/>
      <c r="Q71" s="2433"/>
      <c r="R71" s="2433"/>
      <c r="S71" s="2433"/>
    </row>
    <row r="72" spans="1:19" x14ac:dyDescent="0.35">
      <c r="A72" s="2269"/>
      <c r="B72" s="2270"/>
      <c r="C72" s="2285"/>
      <c r="D72" s="2285"/>
      <c r="E72" s="2285"/>
      <c r="F72" s="2285"/>
      <c r="G72" s="2198"/>
      <c r="H72" s="2087"/>
      <c r="I72" s="2087"/>
      <c r="J72" s="2087"/>
      <c r="K72" s="2087"/>
      <c r="L72" s="2087"/>
      <c r="M72" s="2087"/>
      <c r="N72" s="2087"/>
      <c r="O72" s="2087"/>
      <c r="P72" s="2087"/>
      <c r="Q72" s="2087"/>
      <c r="R72" s="2087"/>
      <c r="S72" s="2087"/>
    </row>
    <row r="73" spans="1:19" x14ac:dyDescent="0.35">
      <c r="A73" s="2269"/>
      <c r="B73" s="2270"/>
      <c r="C73" s="2285"/>
      <c r="D73" s="2285"/>
      <c r="E73" s="2285"/>
      <c r="F73" s="2285"/>
      <c r="G73" s="2198"/>
      <c r="H73" s="2087"/>
      <c r="I73" s="2087"/>
      <c r="J73" s="2087"/>
      <c r="K73" s="2087"/>
      <c r="L73" s="2087"/>
      <c r="M73" s="2087"/>
      <c r="N73" s="2087"/>
      <c r="O73" s="2087"/>
      <c r="P73" s="2087"/>
      <c r="Q73" s="2087"/>
      <c r="R73" s="2087"/>
      <c r="S73" s="2087"/>
    </row>
    <row r="74" spans="1:19" x14ac:dyDescent="0.35">
      <c r="A74" s="3764" t="s">
        <v>725</v>
      </c>
      <c r="B74" s="3765"/>
      <c r="C74" s="12"/>
      <c r="D74" s="12"/>
      <c r="E74" s="12"/>
      <c r="F74" s="12"/>
      <c r="G74" s="13"/>
      <c r="H74" s="21"/>
      <c r="I74" s="21"/>
      <c r="J74" s="21"/>
      <c r="K74" s="21"/>
      <c r="L74" s="21"/>
      <c r="M74" s="21"/>
      <c r="N74" s="21"/>
      <c r="O74" s="21"/>
      <c r="P74" s="21"/>
      <c r="Q74" s="21"/>
      <c r="R74" s="21"/>
      <c r="S74" s="21"/>
    </row>
    <row r="75" spans="1:19" x14ac:dyDescent="0.35">
      <c r="A75" s="2286"/>
      <c r="B75" s="2284" t="s">
        <v>726</v>
      </c>
      <c r="C75" s="2285"/>
      <c r="D75" s="2285"/>
      <c r="E75" s="2285"/>
      <c r="F75" s="2285"/>
      <c r="G75" s="2198"/>
      <c r="H75" s="2087"/>
      <c r="I75" s="2087"/>
      <c r="J75" s="2087"/>
      <c r="K75" s="2087"/>
      <c r="L75" s="2087"/>
      <c r="M75" s="2087"/>
      <c r="N75" s="2087"/>
      <c r="O75" s="2087"/>
      <c r="P75" s="2087"/>
      <c r="Q75" s="2087"/>
      <c r="R75" s="2087"/>
      <c r="S75" s="2087"/>
    </row>
    <row r="76" spans="1:19" x14ac:dyDescent="0.35">
      <c r="A76" s="2286"/>
      <c r="B76" s="2284" t="s">
        <v>727</v>
      </c>
      <c r="C76" s="2285"/>
      <c r="D76" s="2285"/>
      <c r="E76" s="2285"/>
      <c r="F76" s="2285"/>
      <c r="G76" s="2198"/>
      <c r="H76" s="2087"/>
      <c r="I76" s="2087"/>
      <c r="J76" s="2087"/>
      <c r="K76" s="2087"/>
      <c r="L76" s="2087"/>
      <c r="M76" s="2087"/>
      <c r="N76" s="2087"/>
      <c r="O76" s="2087"/>
      <c r="P76" s="2087"/>
      <c r="Q76" s="2087"/>
      <c r="R76" s="2087"/>
      <c r="S76" s="2087"/>
    </row>
    <row r="77" spans="1:19" x14ac:dyDescent="0.35">
      <c r="A77" s="2286"/>
      <c r="B77" s="2284" t="s">
        <v>728</v>
      </c>
      <c r="C77" s="2285"/>
      <c r="D77" s="2285"/>
      <c r="E77" s="2285"/>
      <c r="F77" s="2285"/>
      <c r="G77" s="2198"/>
      <c r="H77" s="2087"/>
      <c r="I77" s="2087"/>
      <c r="J77" s="2087"/>
      <c r="K77" s="2087"/>
      <c r="L77" s="2087"/>
      <c r="M77" s="2087"/>
      <c r="N77" s="2087"/>
      <c r="O77" s="2087"/>
      <c r="P77" s="2087"/>
      <c r="Q77" s="2087"/>
      <c r="R77" s="2087"/>
      <c r="S77" s="2087"/>
    </row>
    <row r="78" spans="1:19" x14ac:dyDescent="0.35">
      <c r="A78" s="2286"/>
      <c r="B78" s="2284" t="s">
        <v>729</v>
      </c>
      <c r="C78" s="2285"/>
      <c r="D78" s="2285"/>
      <c r="E78" s="2285"/>
      <c r="F78" s="2285"/>
      <c r="G78" s="2198"/>
      <c r="H78" s="2087"/>
      <c r="I78" s="2087"/>
      <c r="J78" s="2087"/>
      <c r="K78" s="2087"/>
      <c r="L78" s="2087"/>
      <c r="M78" s="2087"/>
      <c r="N78" s="2087"/>
      <c r="O78" s="2087"/>
      <c r="P78" s="2087"/>
      <c r="Q78" s="2087"/>
      <c r="R78" s="2087"/>
      <c r="S78" s="2087"/>
    </row>
    <row r="79" spans="1:19" x14ac:dyDescent="0.35">
      <c r="A79" s="978"/>
      <c r="B79" s="939"/>
      <c r="C79" s="940"/>
      <c r="D79" s="940"/>
      <c r="E79" s="940"/>
      <c r="F79" s="940"/>
      <c r="G79" s="1039"/>
      <c r="H79" s="981"/>
      <c r="I79" s="981"/>
      <c r="J79" s="981"/>
      <c r="K79" s="981"/>
      <c r="L79" s="981"/>
      <c r="M79" s="981"/>
      <c r="N79" s="981"/>
      <c r="O79" s="981"/>
      <c r="P79" s="981"/>
      <c r="Q79" s="981"/>
      <c r="R79" s="981"/>
      <c r="S79" s="981"/>
    </row>
    <row r="80" spans="1:19" x14ac:dyDescent="0.35">
      <c r="A80" s="7" t="s">
        <v>730</v>
      </c>
      <c r="B80" s="8"/>
      <c r="C80" s="12"/>
      <c r="D80" s="12"/>
      <c r="E80" s="12"/>
      <c r="F80" s="12"/>
      <c r="G80" s="13"/>
      <c r="H80" s="21"/>
      <c r="I80" s="21"/>
      <c r="J80" s="21"/>
      <c r="K80" s="21"/>
      <c r="L80" s="21"/>
      <c r="M80" s="21"/>
      <c r="N80" s="21"/>
      <c r="O80" s="21"/>
      <c r="P80" s="21"/>
      <c r="Q80" s="21"/>
      <c r="R80" s="21"/>
      <c r="S80" s="21"/>
    </row>
    <row r="81" spans="1:19" x14ac:dyDescent="0.35">
      <c r="A81" s="2432"/>
      <c r="B81" s="2418" t="s">
        <v>731</v>
      </c>
      <c r="C81" s="2415"/>
      <c r="D81" s="2415"/>
      <c r="E81" s="2415"/>
      <c r="F81" s="2415"/>
      <c r="G81" s="2416"/>
      <c r="H81" s="2435"/>
      <c r="I81" s="2435"/>
      <c r="J81" s="2435"/>
      <c r="K81" s="2435"/>
      <c r="L81" s="2435"/>
      <c r="M81" s="2435"/>
      <c r="N81" s="2435"/>
      <c r="O81" s="2435"/>
      <c r="P81" s="2435"/>
      <c r="Q81" s="2435"/>
      <c r="R81" s="2435"/>
      <c r="S81" s="2435"/>
    </row>
    <row r="82" spans="1:19" x14ac:dyDescent="0.35">
      <c r="A82" s="2286"/>
      <c r="B82" s="2284" t="s">
        <v>732</v>
      </c>
      <c r="C82" s="2285"/>
      <c r="D82" s="2285"/>
      <c r="E82" s="2285"/>
      <c r="F82" s="2285"/>
      <c r="G82" s="2198"/>
      <c r="H82" s="2158"/>
      <c r="I82" s="2158"/>
      <c r="J82" s="2158"/>
      <c r="K82" s="2158"/>
      <c r="L82" s="2158"/>
      <c r="M82" s="2158"/>
      <c r="N82" s="2158"/>
      <c r="O82" s="2158"/>
      <c r="P82" s="2158"/>
      <c r="Q82" s="2158"/>
      <c r="R82" s="2158"/>
      <c r="S82" s="2158"/>
    </row>
    <row r="83" spans="1:19" x14ac:dyDescent="0.35">
      <c r="A83" s="2089"/>
      <c r="B83" s="2090" t="s">
        <v>733</v>
      </c>
      <c r="C83" s="2091"/>
      <c r="D83" s="2091"/>
      <c r="E83" s="2091"/>
      <c r="F83" s="2091"/>
      <c r="G83" s="2092"/>
      <c r="H83" s="2093"/>
      <c r="I83" s="2093"/>
      <c r="J83" s="2093"/>
      <c r="K83" s="2093"/>
      <c r="L83" s="2093"/>
      <c r="M83" s="2093"/>
      <c r="N83" s="2093"/>
      <c r="O83" s="2093"/>
      <c r="P83" s="2093"/>
      <c r="Q83" s="2093"/>
      <c r="R83" s="2093"/>
      <c r="S83" s="2093"/>
    </row>
    <row r="85" spans="1:19" x14ac:dyDescent="0.35">
      <c r="A85" s="78" t="s">
        <v>734</v>
      </c>
      <c r="B85" s="80"/>
    </row>
    <row r="86" spans="1:19" x14ac:dyDescent="0.35">
      <c r="A86" s="79" t="s">
        <v>632</v>
      </c>
      <c r="B86" s="2094"/>
    </row>
    <row r="87" spans="1:19" x14ac:dyDescent="0.35">
      <c r="A87" s="2279" t="s">
        <v>636</v>
      </c>
      <c r="B87" s="2094"/>
    </row>
    <row r="88" spans="1:19" x14ac:dyDescent="0.35">
      <c r="A88" s="2096" t="s">
        <v>639</v>
      </c>
      <c r="B88" s="2097"/>
    </row>
    <row r="89" spans="1:19" x14ac:dyDescent="0.35">
      <c r="A89" s="2096" t="s">
        <v>642</v>
      </c>
      <c r="B89" s="2159"/>
    </row>
    <row r="90" spans="1:19" x14ac:dyDescent="0.35">
      <c r="A90" s="2099" t="s">
        <v>735</v>
      </c>
      <c r="B90" s="2100"/>
    </row>
    <row r="92" spans="1:19" x14ac:dyDescent="0.35">
      <c r="A92" s="81"/>
      <c r="B92" s="1" t="s">
        <v>736</v>
      </c>
    </row>
    <row r="93" spans="1:19" x14ac:dyDescent="0.35">
      <c r="A93" s="82"/>
      <c r="B93" s="1" t="s">
        <v>737</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297" priority="13" operator="equal">
      <formula>"X"</formula>
    </cfRule>
    <cfRule type="cellIs" dxfId="1296" priority="14" operator="equal">
      <formula>"I"</formula>
    </cfRule>
  </conditionalFormatting>
  <conditionalFormatting sqref="H32:H49">
    <cfRule type="cellIs" dxfId="1295" priority="1" operator="equal">
      <formula>"X"</formula>
    </cfRule>
    <cfRule type="cellIs" dxfId="1294" priority="2" operator="equal">
      <formula>"I"</formula>
    </cfRule>
  </conditionalFormatting>
  <conditionalFormatting sqref="J20:J30">
    <cfRule type="cellIs" dxfId="1293" priority="15" operator="equal">
      <formula>"X"</formula>
    </cfRule>
    <cfRule type="cellIs" dxfId="1292" priority="16" operator="equal">
      <formula>"I"</formula>
    </cfRule>
  </conditionalFormatting>
  <conditionalFormatting sqref="J32:J49">
    <cfRule type="cellIs" dxfId="1291" priority="3" operator="equal">
      <formula>"X"</formula>
    </cfRule>
    <cfRule type="cellIs" dxfId="1290" priority="4" operator="equal">
      <formula>"I"</formula>
    </cfRule>
  </conditionalFormatting>
  <conditionalFormatting sqref="L20:L30">
    <cfRule type="cellIs" dxfId="1289" priority="17" operator="equal">
      <formula>"X"</formula>
    </cfRule>
    <cfRule type="cellIs" dxfId="1288" priority="18" operator="equal">
      <formula>"I"</formula>
    </cfRule>
  </conditionalFormatting>
  <conditionalFormatting sqref="L32:L49">
    <cfRule type="cellIs" dxfId="1287" priority="5" operator="equal">
      <formula>"X"</formula>
    </cfRule>
    <cfRule type="cellIs" dxfId="1286" priority="6" operator="equal">
      <formula>"I"</formula>
    </cfRule>
  </conditionalFormatting>
  <conditionalFormatting sqref="N20:N30">
    <cfRule type="cellIs" dxfId="1285" priority="19" operator="equal">
      <formula>"X"</formula>
    </cfRule>
    <cfRule type="cellIs" dxfId="1284" priority="20" operator="equal">
      <formula>"I"</formula>
    </cfRule>
  </conditionalFormatting>
  <conditionalFormatting sqref="N32:N49">
    <cfRule type="cellIs" dxfId="1283" priority="7" operator="equal">
      <formula>"X"</formula>
    </cfRule>
    <cfRule type="cellIs" dxfId="1282" priority="8" operator="equal">
      <formula>"I"</formula>
    </cfRule>
  </conditionalFormatting>
  <conditionalFormatting sqref="P20:P30">
    <cfRule type="cellIs" dxfId="1281" priority="21" operator="equal">
      <formula>"X"</formula>
    </cfRule>
    <cfRule type="cellIs" dxfId="1280" priority="22" operator="equal">
      <formula>"I"</formula>
    </cfRule>
  </conditionalFormatting>
  <conditionalFormatting sqref="P32:P49">
    <cfRule type="cellIs" dxfId="1279" priority="9" operator="equal">
      <formula>"X"</formula>
    </cfRule>
    <cfRule type="cellIs" dxfId="1278" priority="10" operator="equal">
      <formula>"I"</formula>
    </cfRule>
  </conditionalFormatting>
  <conditionalFormatting sqref="R20:R30">
    <cfRule type="cellIs" dxfId="1277" priority="23" operator="equal">
      <formula>"X"</formula>
    </cfRule>
    <cfRule type="cellIs" dxfId="1276" priority="24" operator="equal">
      <formula>"I"</formula>
    </cfRule>
  </conditionalFormatting>
  <conditionalFormatting sqref="R32:R49">
    <cfRule type="cellIs" dxfId="1275" priority="11" operator="equal">
      <formula>"X"</formula>
    </cfRule>
    <cfRule type="cellIs" dxfId="1274" priority="12" operator="equal">
      <formula>"I"</formula>
    </cfRule>
  </conditionalFormatting>
  <hyperlinks>
    <hyperlink ref="B3" location="'Cost Summary'!A1" display="BACK TO SUMMARY SHEET" xr:uid="{FA114969-BE1C-4C23-93BC-4977FE245C57}"/>
  </hyperlink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F8A8-0DF4-457A-89FD-957801F70E27}">
  <sheetPr>
    <tabColor rgb="FFFFC000"/>
  </sheetPr>
  <dimension ref="A1:U98"/>
  <sheetViews>
    <sheetView zoomScale="95" zoomScaleNormal="95" workbookViewId="0">
      <pane xSplit="2" ySplit="9" topLeftCell="G35" activePane="bottomRight" state="frozen"/>
      <selection pane="topRight" activeCell="C1" sqref="C1"/>
      <selection pane="bottomLeft" activeCell="A11" sqref="A11"/>
      <selection pane="bottomRight" activeCell="J29" sqref="J29:K31"/>
    </sheetView>
  </sheetViews>
  <sheetFormatPr defaultRowHeight="14.5" x14ac:dyDescent="0.35"/>
  <cols>
    <col min="1" max="1" width="11" customWidth="1"/>
    <col min="2" max="2" width="70.7265625" style="1" customWidth="1"/>
    <col min="3" max="3" width="10.81640625" style="2" bestFit="1" customWidth="1"/>
    <col min="4" max="4" width="11.45312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6.81640625" style="2"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s>
  <sheetData>
    <row r="1" spans="1:21" x14ac:dyDescent="0.35">
      <c r="E1" s="152"/>
      <c r="F1" s="125"/>
      <c r="G1" s="123" t="s">
        <v>621</v>
      </c>
      <c r="L1" s="3785"/>
      <c r="M1" s="3785"/>
    </row>
    <row r="2" spans="1:21" x14ac:dyDescent="0.35">
      <c r="E2" s="152"/>
      <c r="F2" s="122" t="s">
        <v>622</v>
      </c>
      <c r="G2" s="123" t="s">
        <v>451</v>
      </c>
      <c r="H2" s="3751"/>
      <c r="I2" s="3751"/>
      <c r="J2" s="391"/>
      <c r="K2" s="391"/>
      <c r="L2" s="3751"/>
      <c r="M2" s="3751"/>
      <c r="N2" s="3751"/>
      <c r="O2" s="3751"/>
      <c r="P2" s="3751"/>
      <c r="Q2" s="3751"/>
      <c r="R2" s="3751"/>
      <c r="S2" s="3751"/>
      <c r="T2" s="3751"/>
      <c r="U2" s="3751"/>
    </row>
    <row r="3" spans="1:21" ht="19.5" x14ac:dyDescent="0.35">
      <c r="B3" s="137" t="s">
        <v>623</v>
      </c>
      <c r="E3" s="152"/>
      <c r="F3" s="124" t="s">
        <v>624</v>
      </c>
      <c r="G3" s="123" t="s">
        <v>557</v>
      </c>
      <c r="H3" s="3797" t="s">
        <v>625</v>
      </c>
      <c r="I3" s="3798"/>
      <c r="J3" s="3754" t="s">
        <v>626</v>
      </c>
      <c r="K3" s="3755"/>
      <c r="L3" s="3754" t="s">
        <v>626</v>
      </c>
      <c r="M3" s="3755"/>
      <c r="N3" s="3754" t="s">
        <v>627</v>
      </c>
      <c r="O3" s="3755"/>
      <c r="P3" s="3754" t="s">
        <v>628</v>
      </c>
      <c r="Q3" s="3755"/>
      <c r="R3" s="3754" t="s">
        <v>629</v>
      </c>
      <c r="S3" s="3755"/>
      <c r="T3" s="3754" t="s">
        <v>630</v>
      </c>
      <c r="U3" s="3755"/>
    </row>
    <row r="4" spans="1:21" ht="15.75" customHeight="1" x14ac:dyDescent="0.35">
      <c r="A4" s="3" t="s">
        <v>631</v>
      </c>
      <c r="B4" s="4" t="str">
        <f>'AREA CALC''s'!B4</f>
        <v>Alton Hilltop Gardens</v>
      </c>
      <c r="C4" s="5"/>
      <c r="D4" s="5"/>
      <c r="E4" s="5"/>
      <c r="F4" s="5"/>
      <c r="G4" s="6" t="s">
        <v>632</v>
      </c>
      <c r="H4" s="3956" t="s">
        <v>2613</v>
      </c>
      <c r="I4" s="3898"/>
      <c r="J4" s="3898" t="s">
        <v>2197</v>
      </c>
      <c r="K4" s="3898"/>
      <c r="L4" s="3898" t="s">
        <v>2198</v>
      </c>
      <c r="M4" s="3898"/>
      <c r="N4" s="3898" t="s">
        <v>2677</v>
      </c>
      <c r="O4" s="3898"/>
      <c r="P4" s="3898" t="s">
        <v>2199</v>
      </c>
      <c r="Q4" s="3898"/>
      <c r="R4" s="3898" t="s">
        <v>2201</v>
      </c>
      <c r="S4" s="3898"/>
      <c r="T4" s="3898" t="s">
        <v>1340</v>
      </c>
      <c r="U4" s="3898"/>
    </row>
    <row r="5" spans="1:21" x14ac:dyDescent="0.35">
      <c r="A5" s="2283" t="s">
        <v>634</v>
      </c>
      <c r="B5" s="2284" t="s">
        <v>2678</v>
      </c>
      <c r="C5" s="2285"/>
      <c r="D5" s="2285"/>
      <c r="E5" s="2285"/>
      <c r="F5" s="2285"/>
      <c r="G5" s="2194" t="s">
        <v>636</v>
      </c>
      <c r="H5" s="3950" t="s">
        <v>2616</v>
      </c>
      <c r="I5" s="3950"/>
      <c r="J5" s="3950" t="s">
        <v>2202</v>
      </c>
      <c r="K5" s="3950"/>
      <c r="L5" s="3950" t="s">
        <v>2203</v>
      </c>
      <c r="M5" s="3950"/>
      <c r="N5" s="3950" t="s">
        <v>2679</v>
      </c>
      <c r="O5" s="3950"/>
      <c r="P5" s="3950" t="s">
        <v>1343</v>
      </c>
      <c r="Q5" s="3950"/>
      <c r="R5" s="3950" t="s">
        <v>2205</v>
      </c>
      <c r="S5" s="3950"/>
      <c r="T5" s="3950" t="s">
        <v>2617</v>
      </c>
      <c r="U5" s="3950"/>
    </row>
    <row r="6" spans="1:21" x14ac:dyDescent="0.35">
      <c r="A6" s="2283" t="s">
        <v>638</v>
      </c>
      <c r="B6" s="2195" t="s">
        <v>2680</v>
      </c>
      <c r="C6" s="2285"/>
      <c r="D6" s="2285"/>
      <c r="E6" s="2285"/>
      <c r="F6" s="2285"/>
      <c r="G6" s="2194" t="s">
        <v>639</v>
      </c>
      <c r="H6" s="3949">
        <v>5618485556</v>
      </c>
      <c r="I6" s="3949"/>
      <c r="J6" s="3949" t="s">
        <v>2206</v>
      </c>
      <c r="K6" s="3949"/>
      <c r="L6" s="3949" t="s">
        <v>2207</v>
      </c>
      <c r="M6" s="3949"/>
      <c r="N6" s="3949" t="s">
        <v>2681</v>
      </c>
      <c r="O6" s="3949"/>
      <c r="P6" s="3949" t="s">
        <v>2208</v>
      </c>
      <c r="Q6" s="3949"/>
      <c r="R6" s="3949" t="s">
        <v>2210</v>
      </c>
      <c r="S6" s="3949"/>
      <c r="T6" s="3949" t="s">
        <v>1885</v>
      </c>
      <c r="U6" s="3949"/>
    </row>
    <row r="7" spans="1:21" x14ac:dyDescent="0.35">
      <c r="A7" s="2283" t="s">
        <v>641</v>
      </c>
      <c r="B7" s="2196"/>
      <c r="C7" s="2285"/>
      <c r="D7" s="2285"/>
      <c r="E7" s="2285"/>
      <c r="F7" s="2285"/>
      <c r="G7" s="2194" t="s">
        <v>642</v>
      </c>
      <c r="H7" s="3951" t="s">
        <v>2618</v>
      </c>
      <c r="I7" s="3951"/>
      <c r="J7" s="3951" t="s">
        <v>2211</v>
      </c>
      <c r="K7" s="3951"/>
      <c r="L7" s="3951" t="s">
        <v>2212</v>
      </c>
      <c r="M7" s="3951"/>
      <c r="N7" s="3951" t="s">
        <v>2682</v>
      </c>
      <c r="O7" s="3951"/>
      <c r="P7" s="3951" t="s">
        <v>2213</v>
      </c>
      <c r="Q7" s="3951"/>
      <c r="R7" s="3951" t="s">
        <v>2215</v>
      </c>
      <c r="S7" s="3951"/>
      <c r="T7" s="3951" t="s">
        <v>2619</v>
      </c>
      <c r="U7" s="3951"/>
    </row>
    <row r="8" spans="1:21" x14ac:dyDescent="0.35">
      <c r="A8" s="938" t="s">
        <v>644</v>
      </c>
      <c r="B8" s="939"/>
      <c r="C8" s="940"/>
      <c r="D8" s="940"/>
      <c r="E8" s="940"/>
      <c r="F8" s="940"/>
      <c r="G8" s="1024" t="s">
        <v>644</v>
      </c>
      <c r="H8" s="3945">
        <f>I59</f>
        <v>44555</v>
      </c>
      <c r="I8" s="3944"/>
      <c r="J8" s="3945">
        <f>K59</f>
        <v>56200</v>
      </c>
      <c r="K8" s="3944"/>
      <c r="L8" s="3945">
        <f>M59</f>
        <v>58832.098800000014</v>
      </c>
      <c r="M8" s="3944"/>
      <c r="N8" s="3945">
        <f>O59</f>
        <v>66713.08</v>
      </c>
      <c r="O8" s="3944"/>
      <c r="P8" s="3945">
        <f>Q59</f>
        <v>94780</v>
      </c>
      <c r="Q8" s="3944"/>
      <c r="R8" s="3945">
        <f>S59</f>
        <v>63080</v>
      </c>
      <c r="S8" s="3944"/>
      <c r="T8" s="3945">
        <f>U59</f>
        <v>44058</v>
      </c>
      <c r="U8" s="3944"/>
    </row>
    <row r="9" spans="1:21" ht="29" x14ac:dyDescent="0.35">
      <c r="A9" s="7" t="s">
        <v>645</v>
      </c>
      <c r="B9" s="8"/>
      <c r="C9" s="9" t="s">
        <v>646</v>
      </c>
      <c r="D9" s="9" t="s">
        <v>647</v>
      </c>
      <c r="E9" s="9" t="s">
        <v>648</v>
      </c>
      <c r="F9" s="9" t="s">
        <v>649</v>
      </c>
      <c r="G9" s="10" t="s">
        <v>650</v>
      </c>
      <c r="H9" s="11" t="s">
        <v>651</v>
      </c>
      <c r="I9" s="11" t="s">
        <v>652</v>
      </c>
      <c r="J9" s="11"/>
      <c r="K9" s="11"/>
      <c r="L9" s="11" t="s">
        <v>651</v>
      </c>
      <c r="M9" s="11" t="s">
        <v>652</v>
      </c>
      <c r="N9" s="11" t="s">
        <v>651</v>
      </c>
      <c r="O9" s="11" t="s">
        <v>652</v>
      </c>
      <c r="P9" s="11" t="s">
        <v>651</v>
      </c>
      <c r="Q9" s="11" t="s">
        <v>652</v>
      </c>
      <c r="R9" s="11" t="s">
        <v>651</v>
      </c>
      <c r="S9" s="11" t="s">
        <v>652</v>
      </c>
      <c r="T9" s="11" t="s">
        <v>651</v>
      </c>
      <c r="U9" s="11" t="s">
        <v>652</v>
      </c>
    </row>
    <row r="10" spans="1:21" hidden="1" x14ac:dyDescent="0.35">
      <c r="A10" s="2286"/>
      <c r="B10" s="2419" t="s">
        <v>653</v>
      </c>
      <c r="C10" s="2285"/>
      <c r="D10" s="2285"/>
      <c r="E10" s="2285"/>
      <c r="F10" s="2285"/>
      <c r="G10" s="2198"/>
      <c r="H10" s="2107"/>
      <c r="I10" s="2107"/>
      <c r="J10" s="2107"/>
      <c r="K10" s="2107"/>
      <c r="L10" s="2107"/>
      <c r="M10" s="2107"/>
      <c r="N10" s="2107"/>
      <c r="O10" s="2107"/>
      <c r="P10" s="2107"/>
      <c r="Q10" s="2107"/>
      <c r="R10" s="2107"/>
      <c r="S10" s="2107"/>
      <c r="T10" s="2107"/>
      <c r="U10" s="2107"/>
    </row>
    <row r="11" spans="1:21"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row>
    <row r="12" spans="1:21"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row>
    <row r="13" spans="1:21"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row>
    <row r="14" spans="1:21"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row>
    <row r="15" spans="1:21"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row>
    <row r="16" spans="1:21"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row>
    <row r="17" spans="1:21"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row>
    <row r="18" spans="1:21"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row>
    <row r="19" spans="1:21"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row>
    <row r="20" spans="1:21" x14ac:dyDescent="0.35">
      <c r="A20" s="2286"/>
      <c r="B20" s="2284"/>
      <c r="C20" s="2201"/>
      <c r="D20" s="2285"/>
      <c r="E20" s="2285"/>
      <c r="F20" s="2285"/>
      <c r="G20" s="2198"/>
      <c r="H20" s="2109"/>
      <c r="I20" s="2107"/>
      <c r="J20" s="2107"/>
      <c r="K20" s="2107"/>
      <c r="L20" s="2109"/>
      <c r="M20" s="2107"/>
      <c r="N20" s="2109"/>
      <c r="O20" s="2107"/>
      <c r="P20" s="2109"/>
      <c r="Q20" s="2107"/>
      <c r="R20" s="2109"/>
      <c r="S20" s="2107"/>
      <c r="T20" s="2109"/>
      <c r="U20" s="2107"/>
    </row>
    <row r="21" spans="1:21" x14ac:dyDescent="0.35">
      <c r="A21" s="48"/>
      <c r="B21" s="2203" t="s">
        <v>2678</v>
      </c>
      <c r="C21" s="45"/>
      <c r="D21" s="46"/>
      <c r="E21" s="46"/>
      <c r="F21" s="46"/>
      <c r="G21" s="52"/>
      <c r="H21" s="2109"/>
      <c r="I21" s="2436"/>
      <c r="J21" s="2436"/>
      <c r="K21" s="2436"/>
      <c r="L21" s="2109"/>
      <c r="M21" s="2422"/>
      <c r="N21" s="2109"/>
      <c r="O21" s="2436"/>
      <c r="P21" s="2109"/>
      <c r="Q21" s="2436"/>
      <c r="R21" s="2109"/>
      <c r="S21" s="2436"/>
      <c r="T21" s="2109"/>
      <c r="U21" s="2436"/>
    </row>
    <row r="22" spans="1:21" x14ac:dyDescent="0.35">
      <c r="A22" s="2437"/>
      <c r="B22" s="606" t="s">
        <v>657</v>
      </c>
      <c r="C22" s="2201"/>
      <c r="D22" s="2285"/>
      <c r="E22" s="2285"/>
      <c r="F22" s="2285"/>
      <c r="G22" s="2198"/>
      <c r="H22" s="2109"/>
      <c r="I22" s="2436"/>
      <c r="J22" s="2436"/>
      <c r="K22" s="2436"/>
      <c r="L22" s="2109"/>
      <c r="M22" s="2422"/>
      <c r="N22" s="2109"/>
      <c r="O22" s="2436"/>
      <c r="P22" s="2109"/>
      <c r="Q22" s="2436"/>
      <c r="R22" s="2109"/>
      <c r="S22" s="2436"/>
      <c r="T22" s="2109"/>
      <c r="U22" s="2436"/>
    </row>
    <row r="23" spans="1:21" x14ac:dyDescent="0.35">
      <c r="A23" s="2437"/>
      <c r="B23" s="2438" t="s">
        <v>658</v>
      </c>
      <c r="C23" s="2201"/>
      <c r="D23" s="2285"/>
      <c r="E23" s="2285"/>
      <c r="F23" s="2285"/>
      <c r="G23" s="2198"/>
      <c r="H23" s="2109" t="s">
        <v>669</v>
      </c>
      <c r="I23" s="2439"/>
      <c r="J23" s="2109" t="s">
        <v>669</v>
      </c>
      <c r="K23" s="2439"/>
      <c r="L23" s="2109" t="s">
        <v>671</v>
      </c>
      <c r="M23" s="2422"/>
      <c r="N23" s="2109" t="s">
        <v>671</v>
      </c>
      <c r="O23" s="2439"/>
      <c r="P23" s="2109" t="s">
        <v>671</v>
      </c>
      <c r="Q23" s="2439"/>
      <c r="R23" s="2109" t="s">
        <v>671</v>
      </c>
      <c r="S23" s="2439"/>
      <c r="T23" s="2109"/>
      <c r="U23" s="2439"/>
    </row>
    <row r="24" spans="1:21" x14ac:dyDescent="0.35">
      <c r="A24" s="2437"/>
      <c r="B24" s="2438" t="s">
        <v>659</v>
      </c>
      <c r="C24" s="2208"/>
      <c r="D24" s="2285"/>
      <c r="E24" s="2285"/>
      <c r="F24" s="2285"/>
      <c r="G24" s="2198"/>
      <c r="H24" s="2109" t="s">
        <v>669</v>
      </c>
      <c r="I24" s="2439"/>
      <c r="J24" s="2109" t="s">
        <v>669</v>
      </c>
      <c r="K24" s="2439"/>
      <c r="L24" s="2109" t="s">
        <v>669</v>
      </c>
      <c r="M24" s="2422"/>
      <c r="N24" s="2109" t="s">
        <v>669</v>
      </c>
      <c r="O24" s="2439"/>
      <c r="P24" s="2109" t="s">
        <v>669</v>
      </c>
      <c r="Q24" s="2439"/>
      <c r="R24" s="2109" t="s">
        <v>669</v>
      </c>
      <c r="S24" s="2439"/>
      <c r="T24" s="2109"/>
      <c r="U24" s="2439"/>
    </row>
    <row r="25" spans="1:21" x14ac:dyDescent="0.35">
      <c r="A25" s="2437"/>
      <c r="B25" s="2440" t="s">
        <v>660</v>
      </c>
      <c r="C25" s="2208"/>
      <c r="D25" s="2285"/>
      <c r="E25" s="2285"/>
      <c r="F25" s="2285"/>
      <c r="G25" s="2198"/>
      <c r="H25" s="2109" t="s">
        <v>671</v>
      </c>
      <c r="I25" s="2439"/>
      <c r="J25" s="2109" t="s">
        <v>671</v>
      </c>
      <c r="K25" s="2439"/>
      <c r="L25" s="2109" t="s">
        <v>671</v>
      </c>
      <c r="M25" s="2422"/>
      <c r="N25" s="2109" t="s">
        <v>671</v>
      </c>
      <c r="O25" s="2439"/>
      <c r="P25" s="2109" t="s">
        <v>671</v>
      </c>
      <c r="Q25" s="2439"/>
      <c r="R25" s="2109" t="s">
        <v>671</v>
      </c>
      <c r="S25" s="2439"/>
      <c r="T25" s="2109"/>
      <c r="U25" s="2439"/>
    </row>
    <row r="26" spans="1:21" s="77" customFormat="1" x14ac:dyDescent="0.35">
      <c r="A26" s="2441"/>
      <c r="B26" s="2440" t="s">
        <v>661</v>
      </c>
      <c r="C26" s="2211"/>
      <c r="D26" s="2212"/>
      <c r="E26" s="2212"/>
      <c r="F26" s="2212"/>
      <c r="G26" s="2211"/>
      <c r="H26" s="2109" t="s">
        <v>669</v>
      </c>
      <c r="I26" s="2436"/>
      <c r="J26" s="2109" t="s">
        <v>669</v>
      </c>
      <c r="K26" s="2436"/>
      <c r="L26" s="2109" t="s">
        <v>669</v>
      </c>
      <c r="M26" s="2422"/>
      <c r="N26" s="2109" t="s">
        <v>669</v>
      </c>
      <c r="O26" s="2436"/>
      <c r="P26" s="2109" t="s">
        <v>669</v>
      </c>
      <c r="Q26" s="2436"/>
      <c r="R26" s="2109" t="s">
        <v>669</v>
      </c>
      <c r="S26" s="2436"/>
      <c r="T26" s="2109"/>
      <c r="U26" s="2436"/>
    </row>
    <row r="27" spans="1:21" s="77" customFormat="1" x14ac:dyDescent="0.35">
      <c r="A27" s="2441"/>
      <c r="B27" s="2440" t="s">
        <v>662</v>
      </c>
      <c r="C27" s="2211"/>
      <c r="D27" s="2212"/>
      <c r="E27" s="2212"/>
      <c r="F27" s="2212"/>
      <c r="G27" s="2211"/>
      <c r="H27" s="2109" t="s">
        <v>669</v>
      </c>
      <c r="I27" s="2436"/>
      <c r="J27" s="2109" t="s">
        <v>669</v>
      </c>
      <c r="K27" s="2436"/>
      <c r="L27" s="2109" t="s">
        <v>669</v>
      </c>
      <c r="M27" s="2422"/>
      <c r="N27" s="2109" t="s">
        <v>669</v>
      </c>
      <c r="O27" s="2436"/>
      <c r="P27" s="2109" t="s">
        <v>669</v>
      </c>
      <c r="Q27" s="2436"/>
      <c r="R27" s="2109" t="s">
        <v>669</v>
      </c>
      <c r="S27" s="2436"/>
      <c r="T27" s="2109"/>
      <c r="U27" s="2436"/>
    </row>
    <row r="28" spans="1:21" s="77" customFormat="1" x14ac:dyDescent="0.35">
      <c r="A28" s="2441"/>
      <c r="B28" s="2440" t="s">
        <v>663</v>
      </c>
      <c r="C28" s="2211"/>
      <c r="D28" s="2212"/>
      <c r="E28" s="2212"/>
      <c r="F28" s="2212"/>
      <c r="G28" s="2211"/>
      <c r="H28" s="2109" t="s">
        <v>669</v>
      </c>
      <c r="I28" s="2436"/>
      <c r="J28" s="2109" t="s">
        <v>669</v>
      </c>
      <c r="K28" s="2436"/>
      <c r="L28" s="2109" t="s">
        <v>669</v>
      </c>
      <c r="M28" s="2422"/>
      <c r="N28" s="2109" t="s">
        <v>669</v>
      </c>
      <c r="O28" s="2436"/>
      <c r="P28" s="2109" t="s">
        <v>669</v>
      </c>
      <c r="Q28" s="2436"/>
      <c r="R28" s="2109" t="s">
        <v>669</v>
      </c>
      <c r="S28" s="2436"/>
      <c r="T28" s="2109"/>
      <c r="U28" s="2436"/>
    </row>
    <row r="29" spans="1:21" s="77" customFormat="1" x14ac:dyDescent="0.35">
      <c r="A29" s="2441"/>
      <c r="B29" s="2440" t="s">
        <v>789</v>
      </c>
      <c r="C29" s="2211"/>
      <c r="D29" s="2212"/>
      <c r="E29" s="2212"/>
      <c r="F29" s="2212"/>
      <c r="G29" s="2211"/>
      <c r="H29" s="2109" t="s">
        <v>671</v>
      </c>
      <c r="I29" s="2436" t="s">
        <v>1008</v>
      </c>
      <c r="J29" s="2109" t="s">
        <v>671</v>
      </c>
      <c r="K29" s="2422" t="s">
        <v>1733</v>
      </c>
      <c r="L29" s="2109" t="s">
        <v>671</v>
      </c>
      <c r="M29" s="2422"/>
      <c r="N29" s="2109" t="s">
        <v>671</v>
      </c>
      <c r="O29" s="2436"/>
      <c r="P29" s="2109" t="s">
        <v>671</v>
      </c>
      <c r="Q29" s="2436"/>
      <c r="R29" s="2109" t="s">
        <v>671</v>
      </c>
      <c r="S29" s="2436"/>
      <c r="T29" s="2109"/>
      <c r="U29" s="2436"/>
    </row>
    <row r="30" spans="1:21" s="77" customFormat="1" x14ac:dyDescent="0.35">
      <c r="A30" s="2441"/>
      <c r="B30" s="2440" t="s">
        <v>790</v>
      </c>
      <c r="C30" s="2211"/>
      <c r="D30" s="2212"/>
      <c r="E30" s="2212"/>
      <c r="F30" s="2212"/>
      <c r="G30" s="2211"/>
      <c r="H30" s="2109" t="s">
        <v>671</v>
      </c>
      <c r="I30" s="2436"/>
      <c r="J30" s="2109" t="s">
        <v>671</v>
      </c>
      <c r="K30" s="2422" t="s">
        <v>2620</v>
      </c>
      <c r="L30" s="2109" t="s">
        <v>671</v>
      </c>
      <c r="M30" s="2422"/>
      <c r="N30" s="2109" t="s">
        <v>671</v>
      </c>
      <c r="O30" s="2436"/>
      <c r="P30" s="2109" t="s">
        <v>671</v>
      </c>
      <c r="Q30" s="2436"/>
      <c r="R30" s="2109" t="s">
        <v>671</v>
      </c>
      <c r="S30" s="2436"/>
      <c r="T30" s="2109"/>
      <c r="U30" s="2436"/>
    </row>
    <row r="31" spans="1:21" s="77" customFormat="1" x14ac:dyDescent="0.35">
      <c r="A31" s="2441"/>
      <c r="B31" s="2440" t="s">
        <v>791</v>
      </c>
      <c r="C31" s="2211"/>
      <c r="D31" s="2212"/>
      <c r="E31" s="2212"/>
      <c r="F31" s="2212"/>
      <c r="G31" s="2211"/>
      <c r="H31" s="2109" t="s">
        <v>671</v>
      </c>
      <c r="I31" s="2436"/>
      <c r="J31" s="2109" t="s">
        <v>671</v>
      </c>
      <c r="K31" s="2422" t="s">
        <v>2621</v>
      </c>
      <c r="L31" s="2109" t="s">
        <v>671</v>
      </c>
      <c r="M31" s="2422"/>
      <c r="N31" s="2109" t="s">
        <v>671</v>
      </c>
      <c r="O31" s="2436"/>
      <c r="P31" s="2109" t="s">
        <v>671</v>
      </c>
      <c r="Q31" s="2436"/>
      <c r="R31" s="2109" t="s">
        <v>671</v>
      </c>
      <c r="S31" s="2436"/>
      <c r="T31" s="2109"/>
      <c r="U31" s="2436"/>
    </row>
    <row r="32" spans="1:21" s="77" customFormat="1" x14ac:dyDescent="0.35">
      <c r="A32" s="2441"/>
      <c r="B32" s="2442" t="s">
        <v>664</v>
      </c>
      <c r="C32" s="2211"/>
      <c r="D32" s="2212"/>
      <c r="E32" s="2212"/>
      <c r="F32" s="2212"/>
      <c r="G32" s="2211"/>
      <c r="H32" s="2109"/>
      <c r="I32" s="2436"/>
      <c r="J32" s="2436"/>
      <c r="K32" s="2436"/>
      <c r="L32" s="2109"/>
      <c r="M32" s="2422"/>
      <c r="N32" s="2109"/>
      <c r="O32" s="2436"/>
      <c r="P32" s="2109"/>
      <c r="Q32" s="2436"/>
      <c r="R32" s="2109"/>
      <c r="S32" s="2436"/>
      <c r="T32" s="2109"/>
      <c r="U32" s="2436"/>
    </row>
    <row r="33" spans="1:21" s="77" customFormat="1" x14ac:dyDescent="0.35">
      <c r="A33" s="2441"/>
      <c r="B33" s="2443" t="s">
        <v>665</v>
      </c>
      <c r="C33" s="2216"/>
      <c r="D33" s="2217"/>
      <c r="E33" s="2217"/>
      <c r="F33" s="2217"/>
      <c r="G33" s="2216"/>
      <c r="H33" s="2289"/>
      <c r="I33" s="2444">
        <f>41340+3215</f>
        <v>44555</v>
      </c>
      <c r="J33" s="2444"/>
      <c r="K33" s="2444">
        <v>23800</v>
      </c>
      <c r="L33" s="2288"/>
      <c r="M33" s="2444">
        <f>1147.5*3+16173.94*2+15050.94</f>
        <v>50841.320000000007</v>
      </c>
      <c r="N33" s="2289"/>
      <c r="O33" s="2444">
        <v>24313.08</v>
      </c>
      <c r="P33" s="2444"/>
      <c r="Q33" s="2444">
        <f>60480+34300</f>
        <v>94780</v>
      </c>
      <c r="R33" s="2444"/>
      <c r="S33" s="2444">
        <v>30680</v>
      </c>
      <c r="T33" s="2444"/>
      <c r="U33" s="2444"/>
    </row>
    <row r="34" spans="1:21" s="77" customFormat="1" x14ac:dyDescent="0.35">
      <c r="A34" s="2441"/>
      <c r="B34" s="2340"/>
      <c r="C34" s="2211"/>
      <c r="D34" s="2212"/>
      <c r="E34" s="2212"/>
      <c r="F34" s="2212"/>
      <c r="G34" s="2211"/>
      <c r="H34" s="2109"/>
      <c r="I34" s="2436"/>
      <c r="J34" s="2436"/>
      <c r="K34" s="2436"/>
      <c r="L34" s="2109"/>
      <c r="M34" s="2422"/>
      <c r="N34" s="2109"/>
      <c r="O34" s="2436"/>
      <c r="P34" s="2109"/>
      <c r="Q34" s="2436"/>
      <c r="R34" s="2109"/>
      <c r="S34" s="2436"/>
      <c r="T34" s="2109"/>
      <c r="U34" s="2436"/>
    </row>
    <row r="35" spans="1:21" s="77" customFormat="1" x14ac:dyDescent="0.35">
      <c r="A35" s="2445"/>
      <c r="B35" s="2359" t="s">
        <v>793</v>
      </c>
      <c r="C35" s="2236"/>
      <c r="D35" s="2212"/>
      <c r="E35" s="2212"/>
      <c r="F35" s="2212"/>
      <c r="G35" s="2211"/>
      <c r="H35" s="2109"/>
      <c r="I35" s="2436"/>
      <c r="J35" s="2436"/>
      <c r="K35" s="2436"/>
      <c r="L35" s="2109"/>
      <c r="M35" s="2422"/>
      <c r="N35" s="2109"/>
      <c r="O35" s="2436"/>
      <c r="P35" s="2109"/>
      <c r="Q35" s="2436"/>
      <c r="R35" s="2109"/>
      <c r="S35" s="2436"/>
      <c r="T35" s="2109"/>
      <c r="U35" s="2436"/>
    </row>
    <row r="36" spans="1:21" s="77" customFormat="1" x14ac:dyDescent="0.35">
      <c r="A36" s="2445"/>
      <c r="B36" s="2340" t="s">
        <v>2683</v>
      </c>
      <c r="C36" s="2236"/>
      <c r="D36" s="2446">
        <v>432</v>
      </c>
      <c r="E36" s="2212" t="s">
        <v>199</v>
      </c>
      <c r="F36" s="2447">
        <v>75</v>
      </c>
      <c r="G36" s="2211">
        <f>F36*D36</f>
        <v>32400</v>
      </c>
      <c r="H36" s="2109" t="s">
        <v>1613</v>
      </c>
      <c r="I36" s="2436"/>
      <c r="J36" s="2038" t="s">
        <v>654</v>
      </c>
      <c r="K36" s="2448">
        <f>G36</f>
        <v>32400</v>
      </c>
      <c r="L36" s="2109" t="s">
        <v>669</v>
      </c>
      <c r="M36" s="2422"/>
      <c r="N36" s="2038" t="s">
        <v>654</v>
      </c>
      <c r="O36" s="2448">
        <f>G36</f>
        <v>32400</v>
      </c>
      <c r="P36" s="2109" t="s">
        <v>669</v>
      </c>
      <c r="Q36" s="2436"/>
      <c r="R36" s="2038" t="s">
        <v>654</v>
      </c>
      <c r="S36" s="2448">
        <f>O36</f>
        <v>32400</v>
      </c>
      <c r="T36" s="2038" t="s">
        <v>654</v>
      </c>
      <c r="U36" s="2448">
        <f>O36</f>
        <v>32400</v>
      </c>
    </row>
    <row r="37" spans="1:21" s="77" customFormat="1" x14ac:dyDescent="0.35">
      <c r="A37" s="2445"/>
      <c r="B37" s="2340" t="s">
        <v>2684</v>
      </c>
      <c r="C37" s="2236"/>
      <c r="D37" s="2446">
        <v>249</v>
      </c>
      <c r="E37" s="2212" t="s">
        <v>199</v>
      </c>
      <c r="F37" s="2447">
        <v>125</v>
      </c>
      <c r="G37" s="2211">
        <f>F37*D37</f>
        <v>31125</v>
      </c>
      <c r="H37" s="2109" t="s">
        <v>669</v>
      </c>
      <c r="I37" s="2436"/>
      <c r="J37" s="2109" t="s">
        <v>669</v>
      </c>
      <c r="K37" s="2436"/>
      <c r="L37" s="2109" t="s">
        <v>669</v>
      </c>
      <c r="M37" s="2449"/>
      <c r="N37" s="2109" t="s">
        <v>669</v>
      </c>
      <c r="O37" s="2436"/>
      <c r="P37" s="2109" t="s">
        <v>669</v>
      </c>
      <c r="Q37" s="2436"/>
      <c r="R37" s="2109" t="s">
        <v>669</v>
      </c>
      <c r="S37" s="2436"/>
      <c r="T37" s="2109" t="s">
        <v>669</v>
      </c>
      <c r="U37" s="2436">
        <f>5342+14246+-10684+2398</f>
        <v>11302</v>
      </c>
    </row>
    <row r="38" spans="1:21" s="77" customFormat="1" x14ac:dyDescent="0.35">
      <c r="A38" s="2445"/>
      <c r="B38" s="2340"/>
      <c r="C38" s="2236"/>
      <c r="D38" s="2446"/>
      <c r="E38" s="2212"/>
      <c r="F38" s="2447"/>
      <c r="G38" s="2211"/>
      <c r="H38" s="2109"/>
      <c r="I38" s="2436"/>
      <c r="J38" s="2436"/>
      <c r="K38" s="2436"/>
      <c r="L38" s="2109"/>
      <c r="M38" s="2422"/>
      <c r="N38" s="2109"/>
      <c r="O38" s="2436"/>
      <c r="P38" s="2109"/>
      <c r="Q38" s="2436"/>
      <c r="R38" s="2109"/>
      <c r="S38" s="2436"/>
      <c r="T38" s="2109"/>
      <c r="U38" s="2436"/>
    </row>
    <row r="39" spans="1:21" s="77" customFormat="1" x14ac:dyDescent="0.35">
      <c r="A39" s="2445"/>
      <c r="B39" s="2359" t="s">
        <v>80</v>
      </c>
      <c r="C39" s="2236"/>
      <c r="D39" s="2446"/>
      <c r="E39" s="2212"/>
      <c r="F39" s="2212"/>
      <c r="G39" s="2211"/>
      <c r="H39" s="2109" t="s">
        <v>669</v>
      </c>
      <c r="I39" s="2436"/>
      <c r="J39" s="2109" t="s">
        <v>669</v>
      </c>
      <c r="K39" s="2436"/>
      <c r="L39" s="2109" t="s">
        <v>669</v>
      </c>
      <c r="M39" s="2422"/>
      <c r="N39" s="2109" t="s">
        <v>669</v>
      </c>
      <c r="O39" s="2436"/>
      <c r="P39" s="2109" t="s">
        <v>669</v>
      </c>
      <c r="Q39" s="2436"/>
      <c r="R39" s="2109" t="s">
        <v>669</v>
      </c>
      <c r="S39" s="2436"/>
      <c r="T39" s="2109" t="s">
        <v>669</v>
      </c>
      <c r="U39" s="2436"/>
    </row>
    <row r="40" spans="1:21" s="77" customFormat="1" x14ac:dyDescent="0.35">
      <c r="A40" s="2445"/>
      <c r="B40" s="2340" t="s">
        <v>2685</v>
      </c>
      <c r="C40" s="2236"/>
      <c r="D40" s="2446">
        <v>6</v>
      </c>
      <c r="E40" s="2212" t="s">
        <v>199</v>
      </c>
      <c r="F40" s="2342">
        <v>375</v>
      </c>
      <c r="G40" s="2211">
        <f>F40*D40</f>
        <v>2250</v>
      </c>
      <c r="H40" s="2109" t="s">
        <v>669</v>
      </c>
      <c r="I40" s="2436"/>
      <c r="J40" s="2109" t="s">
        <v>669</v>
      </c>
      <c r="K40" s="2436"/>
      <c r="L40" s="2109" t="s">
        <v>669</v>
      </c>
      <c r="M40" s="2449">
        <v>2471.1799999999998</v>
      </c>
      <c r="N40" s="2109" t="s">
        <v>669</v>
      </c>
      <c r="O40" s="2436"/>
      <c r="P40" s="2109" t="s">
        <v>669</v>
      </c>
      <c r="Q40" s="2436"/>
      <c r="R40" s="2109" t="s">
        <v>669</v>
      </c>
      <c r="S40" s="2436"/>
      <c r="T40" s="2109" t="s">
        <v>669</v>
      </c>
      <c r="U40" s="2436"/>
    </row>
    <row r="41" spans="1:21" s="77" customFormat="1" x14ac:dyDescent="0.35">
      <c r="A41" s="2445"/>
      <c r="B41" s="2359" t="s">
        <v>796</v>
      </c>
      <c r="C41" s="2236"/>
      <c r="D41" s="2446"/>
      <c r="E41" s="2450"/>
      <c r="F41" s="2342"/>
      <c r="G41" s="2211"/>
      <c r="H41" s="2109" t="s">
        <v>669</v>
      </c>
      <c r="I41" s="2436"/>
      <c r="J41" s="2109" t="s">
        <v>669</v>
      </c>
      <c r="K41" s="2436"/>
      <c r="L41" s="2109" t="s">
        <v>669</v>
      </c>
      <c r="M41" s="2422"/>
      <c r="N41" s="2109" t="s">
        <v>669</v>
      </c>
      <c r="O41" s="2436"/>
      <c r="P41" s="2109" t="s">
        <v>669</v>
      </c>
      <c r="Q41" s="2436"/>
      <c r="R41" s="2109" t="s">
        <v>669</v>
      </c>
      <c r="S41" s="2436"/>
      <c r="T41" s="2109" t="s">
        <v>669</v>
      </c>
      <c r="U41" s="2436"/>
    </row>
    <row r="42" spans="1:21" s="77" customFormat="1" x14ac:dyDescent="0.35">
      <c r="A42" s="2445"/>
      <c r="B42" s="2340" t="s">
        <v>2686</v>
      </c>
      <c r="C42" s="2236"/>
      <c r="D42" s="2446">
        <v>1</v>
      </c>
      <c r="E42" s="2450" t="s">
        <v>199</v>
      </c>
      <c r="F42" s="2342">
        <v>375</v>
      </c>
      <c r="G42" s="2211">
        <f>F42*D42</f>
        <v>375</v>
      </c>
      <c r="H42" s="2109" t="s">
        <v>669</v>
      </c>
      <c r="I42" s="2436"/>
      <c r="J42" s="2109" t="s">
        <v>669</v>
      </c>
      <c r="K42" s="2436"/>
      <c r="L42" s="2109" t="s">
        <v>669</v>
      </c>
      <c r="M42" s="2422"/>
      <c r="N42" s="2109" t="s">
        <v>669</v>
      </c>
      <c r="O42" s="2436"/>
      <c r="P42" s="2109" t="s">
        <v>669</v>
      </c>
      <c r="Q42" s="2436"/>
      <c r="R42" s="2109" t="s">
        <v>669</v>
      </c>
      <c r="S42" s="2436"/>
      <c r="T42" s="2109" t="s">
        <v>669</v>
      </c>
      <c r="U42" s="2436"/>
    </row>
    <row r="43" spans="1:21" s="77" customFormat="1" x14ac:dyDescent="0.35">
      <c r="A43" s="2445"/>
      <c r="B43" s="2340"/>
      <c r="C43" s="2236"/>
      <c r="D43" s="2446"/>
      <c r="E43" s="2341"/>
      <c r="F43" s="2342"/>
      <c r="G43" s="2211"/>
      <c r="H43" s="2109"/>
      <c r="I43" s="2436"/>
      <c r="J43" s="2436"/>
      <c r="K43" s="2436"/>
      <c r="L43" s="2109"/>
      <c r="M43" s="2422"/>
      <c r="N43" s="2109"/>
      <c r="O43" s="2436"/>
      <c r="P43" s="2109"/>
      <c r="Q43" s="2436"/>
      <c r="R43" s="2109"/>
      <c r="S43" s="2436"/>
      <c r="T43" s="2109"/>
      <c r="U43" s="2436"/>
    </row>
    <row r="44" spans="1:21" s="77" customFormat="1" x14ac:dyDescent="0.35">
      <c r="A44" s="2445"/>
      <c r="B44" s="2359" t="s">
        <v>795</v>
      </c>
      <c r="C44" s="2236"/>
      <c r="D44" s="2446"/>
      <c r="E44" s="2341"/>
      <c r="F44" s="2342"/>
      <c r="G44" s="2211"/>
      <c r="H44" s="2109" t="s">
        <v>669</v>
      </c>
      <c r="I44" s="2436"/>
      <c r="J44" s="2109" t="s">
        <v>669</v>
      </c>
      <c r="K44" s="2436"/>
      <c r="L44" s="2109" t="s">
        <v>669</v>
      </c>
      <c r="M44" s="2449">
        <v>391.61</v>
      </c>
      <c r="N44" s="2109" t="s">
        <v>669</v>
      </c>
      <c r="O44" s="2436"/>
      <c r="P44" s="2109"/>
      <c r="Q44" s="2436"/>
      <c r="R44" s="2109" t="s">
        <v>671</v>
      </c>
      <c r="S44" s="2436"/>
      <c r="T44" s="2109" t="s">
        <v>669</v>
      </c>
      <c r="U44" s="2436">
        <v>356</v>
      </c>
    </row>
    <row r="45" spans="1:21" s="77" customFormat="1" x14ac:dyDescent="0.35">
      <c r="A45" s="2445"/>
      <c r="B45" s="2340" t="s">
        <v>2687</v>
      </c>
      <c r="C45" s="2236"/>
      <c r="D45" s="2446">
        <v>1</v>
      </c>
      <c r="E45" s="2212" t="s">
        <v>199</v>
      </c>
      <c r="F45" s="2342">
        <v>375</v>
      </c>
      <c r="G45" s="2211">
        <f>F45*D45</f>
        <v>375</v>
      </c>
      <c r="H45" s="2109" t="s">
        <v>669</v>
      </c>
      <c r="I45" s="2436"/>
      <c r="J45" s="2109" t="s">
        <v>669</v>
      </c>
      <c r="K45" s="2436"/>
      <c r="L45" s="2109" t="s">
        <v>669</v>
      </c>
      <c r="M45" s="2449"/>
      <c r="N45" s="2109" t="s">
        <v>669</v>
      </c>
      <c r="O45" s="2436"/>
      <c r="P45" s="2109"/>
      <c r="Q45" s="2436"/>
      <c r="R45" s="2109" t="s">
        <v>671</v>
      </c>
      <c r="S45" s="2436"/>
      <c r="T45" s="2109" t="s">
        <v>669</v>
      </c>
      <c r="U45" s="2436"/>
    </row>
    <row r="46" spans="1:21" s="77" customFormat="1" x14ac:dyDescent="0.35">
      <c r="A46" s="2445"/>
      <c r="B46" s="2451"/>
      <c r="C46" s="2236"/>
      <c r="D46" s="2446"/>
      <c r="E46" s="2341"/>
      <c r="F46" s="2342"/>
      <c r="G46" s="2211"/>
      <c r="H46" s="2109"/>
      <c r="I46" s="2436"/>
      <c r="J46" s="2436"/>
      <c r="K46" s="2436"/>
      <c r="L46" s="2109"/>
      <c r="M46" s="2449"/>
      <c r="N46" s="2109"/>
      <c r="O46" s="2436"/>
      <c r="P46" s="2109"/>
      <c r="Q46" s="2436"/>
      <c r="R46" s="2109"/>
      <c r="S46" s="2436"/>
      <c r="T46" s="2109"/>
      <c r="U46" s="2436"/>
    </row>
    <row r="47" spans="1:21" s="77" customFormat="1" x14ac:dyDescent="0.35">
      <c r="A47" s="2445"/>
      <c r="B47" s="2359" t="s">
        <v>2688</v>
      </c>
      <c r="C47" s="2236"/>
      <c r="D47" s="2446"/>
      <c r="E47" s="2341"/>
      <c r="F47" s="2342"/>
      <c r="G47" s="2211"/>
      <c r="H47" s="2109" t="s">
        <v>669</v>
      </c>
      <c r="I47" s="2436"/>
      <c r="J47" s="2109" t="s">
        <v>669</v>
      </c>
      <c r="K47" s="2436"/>
      <c r="L47" s="2109" t="s">
        <v>669</v>
      </c>
      <c r="M47" s="2449"/>
      <c r="N47" s="2109" t="s">
        <v>669</v>
      </c>
      <c r="O47" s="2436"/>
      <c r="P47" s="2109"/>
      <c r="Q47" s="2436"/>
      <c r="R47" s="2109" t="s">
        <v>671</v>
      </c>
      <c r="S47" s="2436"/>
      <c r="T47" s="2109" t="s">
        <v>669</v>
      </c>
      <c r="U47" s="2436"/>
    </row>
    <row r="48" spans="1:21" s="77" customFormat="1" x14ac:dyDescent="0.35">
      <c r="A48" s="2445"/>
      <c r="B48" s="2340" t="s">
        <v>2687</v>
      </c>
      <c r="C48" s="2236"/>
      <c r="D48" s="2446">
        <v>6</v>
      </c>
      <c r="E48" s="2212" t="s">
        <v>199</v>
      </c>
      <c r="F48" s="2342">
        <v>375</v>
      </c>
      <c r="G48" s="2211">
        <f>F48*D48</f>
        <v>2250</v>
      </c>
      <c r="H48" s="2109" t="s">
        <v>669</v>
      </c>
      <c r="I48" s="2436"/>
      <c r="J48" s="2109" t="s">
        <v>669</v>
      </c>
      <c r="K48" s="2436"/>
      <c r="L48" s="2109" t="s">
        <v>669</v>
      </c>
      <c r="M48" s="2449">
        <v>1797.87</v>
      </c>
      <c r="N48" s="2109" t="s">
        <v>669</v>
      </c>
      <c r="O48" s="2436"/>
      <c r="P48" s="2109"/>
      <c r="Q48" s="2436"/>
      <c r="R48" s="2109" t="s">
        <v>671</v>
      </c>
      <c r="S48" s="2436"/>
      <c r="T48" s="2109" t="s">
        <v>669</v>
      </c>
      <c r="U48" s="2436"/>
    </row>
    <row r="49" spans="1:21" s="77" customFormat="1" x14ac:dyDescent="0.35">
      <c r="A49" s="2445"/>
      <c r="B49" s="2340"/>
      <c r="C49" s="2236"/>
      <c r="D49" s="2446"/>
      <c r="E49" s="2450"/>
      <c r="F49" s="2342"/>
      <c r="G49" s="2211"/>
      <c r="H49" s="2109"/>
      <c r="I49" s="2436"/>
      <c r="J49" s="2436"/>
      <c r="K49" s="2436"/>
      <c r="L49" s="2109"/>
      <c r="M49" s="2449"/>
      <c r="N49" s="2109"/>
      <c r="O49" s="2436"/>
      <c r="P49" s="2109"/>
      <c r="Q49" s="2436"/>
      <c r="R49" s="2109"/>
      <c r="S49" s="2436"/>
      <c r="T49" s="2109"/>
      <c r="U49" s="2436"/>
    </row>
    <row r="50" spans="1:21" s="77" customFormat="1" x14ac:dyDescent="0.35">
      <c r="A50" s="2445"/>
      <c r="B50" s="2340" t="s">
        <v>1125</v>
      </c>
      <c r="C50" s="2236"/>
      <c r="D50" s="2212"/>
      <c r="E50" s="2341"/>
      <c r="F50" s="2342"/>
      <c r="G50" s="2211"/>
      <c r="H50" s="2109" t="s">
        <v>669</v>
      </c>
      <c r="I50" s="2436"/>
      <c r="J50" s="2109" t="s">
        <v>669</v>
      </c>
      <c r="K50" s="2436"/>
      <c r="L50" s="2109" t="s">
        <v>669</v>
      </c>
      <c r="M50" s="2449">
        <f>0.06*SUM(M33:M48)</f>
        <v>3330.1188000000006</v>
      </c>
      <c r="N50" s="2109" t="s">
        <v>669</v>
      </c>
      <c r="O50" s="2436"/>
      <c r="P50" s="2109"/>
      <c r="Q50" s="2436"/>
      <c r="R50" s="2109" t="s">
        <v>669</v>
      </c>
      <c r="S50" s="2436"/>
      <c r="T50" s="2109" t="s">
        <v>669</v>
      </c>
      <c r="U50" s="2436"/>
    </row>
    <row r="51" spans="1:21" s="77" customFormat="1" x14ac:dyDescent="0.35">
      <c r="A51" s="2445"/>
      <c r="B51" s="2340" t="s">
        <v>1152</v>
      </c>
      <c r="C51" s="2236"/>
      <c r="D51" s="2212"/>
      <c r="E51" s="2341"/>
      <c r="F51" s="2342"/>
      <c r="G51" s="2211"/>
      <c r="H51" s="2109" t="s">
        <v>669</v>
      </c>
      <c r="I51" s="2436"/>
      <c r="J51" s="2109" t="s">
        <v>669</v>
      </c>
      <c r="K51" s="2436"/>
      <c r="L51" s="2109" t="s">
        <v>669</v>
      </c>
      <c r="M51" s="2422"/>
      <c r="N51" s="2038" t="s">
        <v>654</v>
      </c>
      <c r="O51" s="2448">
        <v>10000</v>
      </c>
      <c r="P51" s="2109"/>
      <c r="Q51" s="2436"/>
      <c r="R51" s="2109" t="s">
        <v>669</v>
      </c>
      <c r="S51" s="2436"/>
      <c r="T51" s="2109" t="s">
        <v>669</v>
      </c>
      <c r="U51" s="2436"/>
    </row>
    <row r="52" spans="1:21" s="77" customFormat="1" x14ac:dyDescent="0.35">
      <c r="A52" s="2445"/>
      <c r="B52" s="2340"/>
      <c r="C52" s="2236"/>
      <c r="D52" s="2212"/>
      <c r="E52" s="2341"/>
      <c r="F52" s="2342"/>
      <c r="G52" s="2211"/>
      <c r="H52" s="2109"/>
      <c r="I52" s="2436"/>
      <c r="J52" s="2436"/>
      <c r="K52" s="2436"/>
      <c r="L52" s="2109"/>
      <c r="M52" s="2422"/>
      <c r="N52" s="2109"/>
      <c r="O52" s="2436"/>
      <c r="P52" s="2109"/>
      <c r="Q52" s="2436"/>
      <c r="R52" s="2109"/>
      <c r="S52" s="2436"/>
      <c r="T52" s="2109"/>
      <c r="U52" s="2436"/>
    </row>
    <row r="53" spans="1:21" s="77" customFormat="1" x14ac:dyDescent="0.35">
      <c r="A53" s="2445"/>
      <c r="B53" s="2340"/>
      <c r="C53" s="2236"/>
      <c r="D53" s="2212"/>
      <c r="E53" s="2341"/>
      <c r="F53" s="2342"/>
      <c r="G53" s="2211"/>
      <c r="H53" s="2109"/>
      <c r="I53" s="2436"/>
      <c r="J53" s="2436"/>
      <c r="K53" s="2436"/>
      <c r="L53" s="2109"/>
      <c r="M53" s="2422"/>
      <c r="N53" s="2109"/>
      <c r="O53" s="2436"/>
      <c r="P53" s="2109"/>
      <c r="Q53" s="2436"/>
      <c r="R53" s="2109"/>
      <c r="S53" s="2436"/>
      <c r="T53" s="2109"/>
      <c r="U53" s="2436"/>
    </row>
    <row r="54" spans="1:21" s="77" customFormat="1" x14ac:dyDescent="0.35">
      <c r="A54" s="2445"/>
      <c r="B54" s="2340"/>
      <c r="C54" s="2236"/>
      <c r="D54" s="2212"/>
      <c r="E54" s="2341"/>
      <c r="F54" s="2342"/>
      <c r="G54" s="2211"/>
      <c r="H54" s="2109"/>
      <c r="I54" s="2436"/>
      <c r="J54" s="2436"/>
      <c r="K54" s="2436"/>
      <c r="L54" s="2109"/>
      <c r="M54" s="2422"/>
      <c r="N54" s="2109"/>
      <c r="O54" s="2436"/>
      <c r="P54" s="2109"/>
      <c r="Q54" s="2436"/>
      <c r="R54" s="2109"/>
      <c r="S54" s="2436"/>
      <c r="T54" s="2109"/>
      <c r="U54" s="2436"/>
    </row>
    <row r="55" spans="1:21" x14ac:dyDescent="0.35">
      <c r="A55" s="14"/>
      <c r="B55" s="15"/>
      <c r="C55" s="16"/>
      <c r="D55" s="16"/>
      <c r="E55" s="17"/>
      <c r="F55" s="18" t="s">
        <v>715</v>
      </c>
      <c r="G55" s="50">
        <f>SUM(G23:G54)</f>
        <v>68775</v>
      </c>
      <c r="H55" s="20"/>
      <c r="I55" s="50">
        <f>SUM(I23:I54)</f>
        <v>44555</v>
      </c>
      <c r="J55" s="20"/>
      <c r="K55" s="50">
        <f>SUM(K23:K54)</f>
        <v>56200</v>
      </c>
      <c r="L55" s="20"/>
      <c r="M55" s="50">
        <f>SUM(M23:M54)</f>
        <v>58832.098800000014</v>
      </c>
      <c r="N55" s="20"/>
      <c r="O55" s="50">
        <f>SUM(O23:O54)</f>
        <v>66713.08</v>
      </c>
      <c r="P55" s="20"/>
      <c r="Q55" s="50">
        <f>SUM(Q23:Q54)</f>
        <v>94780</v>
      </c>
      <c r="R55" s="20"/>
      <c r="S55" s="50">
        <f>SUM(S23:S54)</f>
        <v>63080</v>
      </c>
      <c r="T55" s="20"/>
      <c r="U55" s="50">
        <f>SUM(U23:U54)</f>
        <v>44058</v>
      </c>
    </row>
    <row r="56" spans="1:21" x14ac:dyDescent="0.35">
      <c r="A56" s="2239"/>
      <c r="B56" s="2240"/>
      <c r="C56" s="2241"/>
      <c r="D56" s="2241"/>
      <c r="E56" s="2242"/>
      <c r="F56" s="2243" t="s">
        <v>716</v>
      </c>
      <c r="G56" s="2244"/>
      <c r="H56" s="2065">
        <v>0</v>
      </c>
      <c r="I56" s="2064"/>
      <c r="J56" s="2065">
        <v>0</v>
      </c>
      <c r="K56" s="2064"/>
      <c r="L56" s="2065">
        <v>0</v>
      </c>
      <c r="M56" s="2064"/>
      <c r="N56" s="2065">
        <v>0</v>
      </c>
      <c r="O56" s="2064"/>
      <c r="P56" s="2065">
        <v>0</v>
      </c>
      <c r="Q56" s="2064"/>
      <c r="R56" s="2065">
        <v>0</v>
      </c>
      <c r="S56" s="2064"/>
      <c r="T56" s="2065">
        <v>0</v>
      </c>
      <c r="U56" s="2064"/>
    </row>
    <row r="57" spans="1:21" x14ac:dyDescent="0.35">
      <c r="A57" s="2239"/>
      <c r="B57" s="2240"/>
      <c r="C57" s="2241"/>
      <c r="D57" s="2241"/>
      <c r="E57" s="2242"/>
      <c r="F57" s="2243" t="s">
        <v>717</v>
      </c>
      <c r="G57" s="2244"/>
      <c r="H57" s="2066"/>
      <c r="I57" s="2067">
        <f>H56*I55</f>
        <v>0</v>
      </c>
      <c r="J57" s="2066"/>
      <c r="K57" s="2067">
        <f>J56*K55</f>
        <v>0</v>
      </c>
      <c r="L57" s="2066"/>
      <c r="M57" s="2067">
        <f>L56*M55</f>
        <v>0</v>
      </c>
      <c r="N57" s="2066"/>
      <c r="O57" s="2067">
        <f>N56*O55</f>
        <v>0</v>
      </c>
      <c r="P57" s="2066"/>
      <c r="Q57" s="2067">
        <f>P56*Q55</f>
        <v>0</v>
      </c>
      <c r="R57" s="2066"/>
      <c r="S57" s="2067">
        <f>R56*S55</f>
        <v>0</v>
      </c>
      <c r="T57" s="2066"/>
      <c r="U57" s="2067">
        <f>T56*U55</f>
        <v>0</v>
      </c>
    </row>
    <row r="58" spans="1:21" x14ac:dyDescent="0.35">
      <c r="A58" s="2239"/>
      <c r="B58" s="2240"/>
      <c r="C58" s="2241"/>
      <c r="D58" s="2241"/>
      <c r="E58" s="2242"/>
      <c r="F58" s="2243"/>
      <c r="G58" s="2244"/>
      <c r="H58" s="2066"/>
      <c r="I58" s="2068"/>
      <c r="J58" s="2066"/>
      <c r="K58" s="2068"/>
      <c r="L58" s="2066"/>
      <c r="M58" s="2068"/>
      <c r="N58" s="2066"/>
      <c r="O58" s="2068"/>
      <c r="P58" s="2066"/>
      <c r="Q58" s="2068"/>
      <c r="R58" s="2066"/>
      <c r="S58" s="2068"/>
      <c r="T58" s="2066"/>
      <c r="U58" s="2068"/>
    </row>
    <row r="59" spans="1:21" x14ac:dyDescent="0.35">
      <c r="A59" s="2239"/>
      <c r="B59" s="2240"/>
      <c r="C59" s="2241"/>
      <c r="D59" s="2241"/>
      <c r="E59" s="2242"/>
      <c r="F59" s="2243" t="s">
        <v>718</v>
      </c>
      <c r="G59" s="2244"/>
      <c r="H59" s="2069"/>
      <c r="I59" s="2070">
        <f>SUM(I55:I57)</f>
        <v>44555</v>
      </c>
      <c r="J59" s="2069"/>
      <c r="K59" s="2070">
        <f>SUM(K55:K57)</f>
        <v>56200</v>
      </c>
      <c r="L59" s="2069"/>
      <c r="M59" s="2070">
        <f>SUM(M55:M57)</f>
        <v>58832.098800000014</v>
      </c>
      <c r="N59" s="2069"/>
      <c r="O59" s="2070">
        <f>SUM(O55:O57)</f>
        <v>66713.08</v>
      </c>
      <c r="P59" s="2069"/>
      <c r="Q59" s="2070">
        <f>SUM(Q55:Q57)</f>
        <v>94780</v>
      </c>
      <c r="R59" s="2069"/>
      <c r="S59" s="2070">
        <f>SUM(S55:S57)</f>
        <v>63080</v>
      </c>
      <c r="T59" s="2069"/>
      <c r="U59" s="2070">
        <f>SUM(U55:U57)</f>
        <v>44058</v>
      </c>
    </row>
    <row r="60" spans="1:21" x14ac:dyDescent="0.35">
      <c r="A60" s="2239"/>
      <c r="B60" s="2240"/>
      <c r="C60" s="2241"/>
      <c r="D60" s="2241"/>
      <c r="E60" s="2242"/>
      <c r="F60" s="2255" t="s">
        <v>719</v>
      </c>
      <c r="G60" s="2256"/>
      <c r="H60" s="2073"/>
      <c r="I60" s="2074" t="e">
        <f>I59/#REF!</f>
        <v>#REF!</v>
      </c>
      <c r="J60" s="2073"/>
      <c r="K60" s="2074" t="e">
        <f>K59/#REF!</f>
        <v>#REF!</v>
      </c>
      <c r="L60" s="2073"/>
      <c r="M60" s="2074" t="e">
        <f>M59/#REF!</f>
        <v>#REF!</v>
      </c>
      <c r="N60" s="2073"/>
      <c r="O60" s="2074" t="e">
        <f>O59/#REF!</f>
        <v>#REF!</v>
      </c>
      <c r="P60" s="2073"/>
      <c r="Q60" s="2074" t="e">
        <f>Q59/#REF!</f>
        <v>#REF!</v>
      </c>
      <c r="R60" s="2073"/>
      <c r="S60" s="2074" t="e">
        <f>S59/#REF!</f>
        <v>#REF!</v>
      </c>
      <c r="T60" s="2073"/>
      <c r="U60" s="2074" t="e">
        <f>U59/#REF!</f>
        <v>#REF!</v>
      </c>
    </row>
    <row r="61" spans="1:21" x14ac:dyDescent="0.35">
      <c r="A61" s="2239"/>
      <c r="B61" s="2240"/>
      <c r="C61" s="2241"/>
      <c r="D61" s="2241"/>
      <c r="E61" s="2242"/>
      <c r="F61" s="2255" t="s">
        <v>720</v>
      </c>
      <c r="G61" s="2260"/>
      <c r="H61" s="2073"/>
      <c r="I61" s="2074" t="e">
        <f>I59/#REF!</f>
        <v>#REF!</v>
      </c>
      <c r="J61" s="2073"/>
      <c r="K61" s="2074" t="e">
        <f>K59/#REF!</f>
        <v>#REF!</v>
      </c>
      <c r="L61" s="2073"/>
      <c r="M61" s="2074" t="e">
        <f>M59/#REF!</f>
        <v>#REF!</v>
      </c>
      <c r="N61" s="2073"/>
      <c r="O61" s="2074" t="e">
        <f>O59/#REF!</f>
        <v>#REF!</v>
      </c>
      <c r="P61" s="2073"/>
      <c r="Q61" s="2074" t="e">
        <f>Q59/#REF!</f>
        <v>#REF!</v>
      </c>
      <c r="R61" s="2073"/>
      <c r="S61" s="2074" t="e">
        <f>S59/#REF!</f>
        <v>#REF!</v>
      </c>
      <c r="T61" s="2073"/>
      <c r="U61" s="2074" t="e">
        <f>U59/#REF!</f>
        <v>#REF!</v>
      </c>
    </row>
    <row r="62" spans="1:21" x14ac:dyDescent="0.35">
      <c r="A62" s="2239"/>
      <c r="B62" s="2240"/>
      <c r="C62" s="2241"/>
      <c r="D62" s="2241"/>
      <c r="E62" s="2242"/>
      <c r="F62" s="2243"/>
      <c r="G62" s="2261"/>
      <c r="H62" s="2077"/>
      <c r="I62" s="2078"/>
      <c r="J62" s="1285"/>
      <c r="K62" s="1285"/>
      <c r="L62" s="2077"/>
      <c r="M62" s="2078"/>
      <c r="N62" s="2077"/>
      <c r="O62" s="2078"/>
      <c r="P62" s="2077"/>
      <c r="Q62" s="2078"/>
      <c r="R62" s="2077"/>
      <c r="S62" s="2078"/>
      <c r="T62" s="2077"/>
      <c r="U62" s="2078"/>
    </row>
    <row r="63" spans="1:21" x14ac:dyDescent="0.35">
      <c r="A63" s="3764" t="s">
        <v>721</v>
      </c>
      <c r="B63" s="3765"/>
      <c r="C63" s="12"/>
      <c r="D63" s="12"/>
      <c r="E63" s="12"/>
      <c r="F63" s="12"/>
      <c r="G63" s="13"/>
      <c r="H63" s="21"/>
      <c r="I63" s="21"/>
      <c r="J63" s="21"/>
      <c r="K63" s="21"/>
      <c r="L63" s="21"/>
      <c r="M63" s="21"/>
      <c r="N63" s="21"/>
      <c r="O63" s="21"/>
      <c r="P63" s="21"/>
      <c r="Q63" s="21"/>
      <c r="R63" s="21"/>
      <c r="S63" s="21"/>
      <c r="T63" s="21"/>
      <c r="U63" s="21"/>
    </row>
    <row r="64" spans="1:21" x14ac:dyDescent="0.35">
      <c r="A64" s="2452"/>
      <c r="B64" s="2284"/>
      <c r="C64" s="2453"/>
      <c r="D64" s="2453"/>
      <c r="E64" s="2453"/>
      <c r="F64" s="2453"/>
      <c r="G64" s="2454"/>
      <c r="H64" s="2455"/>
      <c r="I64" s="2455"/>
      <c r="J64" s="2455"/>
      <c r="K64" s="2455"/>
      <c r="L64" s="2455"/>
      <c r="M64" s="2455"/>
      <c r="N64" s="2455"/>
      <c r="O64" s="2455"/>
      <c r="P64" s="2455"/>
      <c r="Q64" s="2455"/>
      <c r="R64" s="2455"/>
      <c r="S64" s="2455"/>
      <c r="T64" s="2455"/>
      <c r="U64" s="2455"/>
    </row>
    <row r="65" spans="1:21" s="2" customFormat="1" x14ac:dyDescent="0.35">
      <c r="A65" s="2452"/>
      <c r="B65" s="2284"/>
      <c r="C65" s="2453"/>
      <c r="D65" s="2453"/>
      <c r="E65" s="2453"/>
      <c r="F65" s="2453"/>
      <c r="G65" s="2454"/>
      <c r="H65" s="2455"/>
      <c r="I65" s="2455"/>
      <c r="J65" s="2455"/>
      <c r="K65" s="2455"/>
      <c r="L65" s="2455"/>
      <c r="M65" s="2455"/>
      <c r="N65" s="2455"/>
      <c r="O65" s="2455"/>
      <c r="P65" s="2455"/>
      <c r="Q65" s="2455"/>
      <c r="R65" s="2455"/>
      <c r="S65" s="2455"/>
      <c r="T65" s="2455"/>
      <c r="U65" s="2455"/>
    </row>
    <row r="66" spans="1:21" s="2" customFormat="1" x14ac:dyDescent="0.35">
      <c r="A66" s="2452"/>
      <c r="B66" s="2284"/>
      <c r="C66" s="2453"/>
      <c r="D66" s="2453"/>
      <c r="E66" s="2453"/>
      <c r="F66" s="2453"/>
      <c r="G66" s="2454"/>
      <c r="H66" s="2455"/>
      <c r="I66" s="2455"/>
      <c r="J66" s="2455"/>
      <c r="K66" s="2455"/>
      <c r="L66" s="2455"/>
      <c r="M66" s="2455"/>
      <c r="N66" s="2455"/>
      <c r="O66" s="2455"/>
      <c r="P66" s="2455"/>
      <c r="Q66" s="2455"/>
      <c r="R66" s="2455"/>
      <c r="S66" s="2455"/>
      <c r="T66" s="2455"/>
      <c r="U66" s="2455"/>
    </row>
    <row r="67" spans="1:21" x14ac:dyDescent="0.35">
      <c r="A67" s="3764" t="s">
        <v>722</v>
      </c>
      <c r="B67" s="3765"/>
      <c r="C67" s="12"/>
      <c r="D67" s="12"/>
      <c r="E67" s="12"/>
      <c r="F67" s="12"/>
      <c r="G67" s="13"/>
      <c r="H67" s="21"/>
      <c r="I67" s="21"/>
      <c r="J67" s="21"/>
      <c r="K67" s="21"/>
      <c r="L67" s="21"/>
      <c r="M67" s="21"/>
      <c r="N67" s="21"/>
      <c r="O67" s="21"/>
      <c r="P67" s="21"/>
      <c r="Q67" s="21"/>
      <c r="R67" s="21"/>
      <c r="S67" s="21"/>
      <c r="T67" s="21"/>
      <c r="U67" s="21"/>
    </row>
    <row r="68" spans="1:21" s="2" customFormat="1" x14ac:dyDescent="0.35">
      <c r="A68" s="2452"/>
      <c r="B68" s="2284"/>
      <c r="C68" s="2453"/>
      <c r="D68" s="2453"/>
      <c r="E68" s="2453"/>
      <c r="F68" s="2453"/>
      <c r="G68" s="2454"/>
      <c r="H68" s="2455"/>
      <c r="I68" s="2455"/>
      <c r="J68" s="2455"/>
      <c r="K68" s="2455"/>
      <c r="L68" s="2455"/>
      <c r="M68" s="2455"/>
      <c r="N68" s="2455"/>
      <c r="O68" s="2455"/>
      <c r="P68" s="2455"/>
      <c r="Q68" s="2455"/>
      <c r="R68" s="2455"/>
      <c r="S68" s="2455"/>
      <c r="T68" s="2455"/>
      <c r="U68" s="2455"/>
    </row>
    <row r="69" spans="1:21" s="2" customFormat="1" x14ac:dyDescent="0.35">
      <c r="A69" s="2452"/>
      <c r="B69" s="2284"/>
      <c r="C69" s="2453"/>
      <c r="D69" s="2453"/>
      <c r="E69" s="2453"/>
      <c r="F69" s="2453"/>
      <c r="G69" s="2454"/>
      <c r="H69" s="2455"/>
      <c r="I69" s="2455"/>
      <c r="J69" s="2455"/>
      <c r="K69" s="2455"/>
      <c r="L69" s="2455"/>
      <c r="M69" s="2455"/>
      <c r="N69" s="2455"/>
      <c r="O69" s="2455"/>
      <c r="P69" s="2455"/>
      <c r="Q69" s="2455"/>
      <c r="R69" s="2455"/>
      <c r="S69" s="2455"/>
      <c r="T69" s="2455"/>
      <c r="U69" s="2455"/>
    </row>
    <row r="70" spans="1:21" x14ac:dyDescent="0.35">
      <c r="A70" s="2452"/>
      <c r="B70" s="2284"/>
      <c r="C70" s="2453"/>
      <c r="D70" s="2453"/>
      <c r="E70" s="2453"/>
      <c r="F70" s="2453"/>
      <c r="G70" s="2454"/>
      <c r="H70" s="2455"/>
      <c r="I70" s="2455"/>
      <c r="J70" s="2455"/>
      <c r="K70" s="2455"/>
      <c r="L70" s="2455"/>
      <c r="M70" s="2455"/>
      <c r="N70" s="2455"/>
      <c r="O70" s="2455"/>
      <c r="P70" s="2455"/>
      <c r="Q70" s="2455"/>
      <c r="R70" s="2455"/>
      <c r="S70" s="2455"/>
      <c r="T70" s="2455"/>
      <c r="U70" s="2455"/>
    </row>
    <row r="71" spans="1:21" x14ac:dyDescent="0.35">
      <c r="A71" s="3764" t="s">
        <v>723</v>
      </c>
      <c r="B71" s="3765"/>
      <c r="C71" s="12"/>
      <c r="D71" s="12"/>
      <c r="E71" s="12"/>
      <c r="F71" s="12"/>
      <c r="G71" s="13"/>
      <c r="H71" s="21"/>
      <c r="I71" s="21"/>
      <c r="J71" s="21"/>
      <c r="K71" s="21"/>
      <c r="L71" s="21"/>
      <c r="M71" s="21"/>
      <c r="N71" s="21"/>
      <c r="O71" s="21"/>
      <c r="P71" s="21"/>
      <c r="Q71" s="21"/>
      <c r="R71" s="21"/>
      <c r="S71" s="21"/>
      <c r="T71" s="21"/>
      <c r="U71" s="21"/>
    </row>
    <row r="72" spans="1:21" x14ac:dyDescent="0.35">
      <c r="A72" s="2452"/>
      <c r="B72" s="2284"/>
      <c r="C72" s="2453"/>
      <c r="D72" s="2453"/>
      <c r="E72" s="2453"/>
      <c r="F72" s="2453"/>
      <c r="G72" s="2454"/>
      <c r="H72" s="2455"/>
      <c r="I72" s="2455"/>
      <c r="J72" s="2455"/>
      <c r="K72" s="2455"/>
      <c r="L72" s="2455"/>
      <c r="M72" s="2455"/>
      <c r="N72" s="2455"/>
      <c r="O72" s="2455"/>
      <c r="P72" s="2455"/>
      <c r="Q72" s="2455"/>
      <c r="R72" s="2455"/>
      <c r="S72" s="2455"/>
      <c r="T72" s="2455"/>
      <c r="U72" s="2455"/>
    </row>
    <row r="73" spans="1:21" x14ac:dyDescent="0.35">
      <c r="A73" s="2286"/>
      <c r="B73" s="2284"/>
      <c r="C73" s="2285"/>
      <c r="D73" s="2285"/>
      <c r="E73" s="2285"/>
      <c r="F73" s="2285"/>
      <c r="G73" s="2198"/>
      <c r="H73" s="2081"/>
      <c r="I73" s="2081"/>
      <c r="J73" s="2081"/>
      <c r="K73" s="2081"/>
      <c r="L73" s="2081"/>
      <c r="M73" s="2081"/>
      <c r="N73" s="2081"/>
      <c r="O73" s="2081"/>
      <c r="P73" s="2081"/>
      <c r="Q73" s="2081"/>
      <c r="R73" s="2081"/>
      <c r="S73" s="2081"/>
      <c r="T73" s="2081"/>
      <c r="U73" s="2081"/>
    </row>
    <row r="74" spans="1:21" x14ac:dyDescent="0.35">
      <c r="A74" s="2269"/>
      <c r="B74" s="2270"/>
      <c r="C74" s="2285"/>
      <c r="D74" s="2285"/>
      <c r="E74" s="2285"/>
      <c r="F74" s="2285"/>
      <c r="G74" s="2198"/>
      <c r="H74" s="2084"/>
      <c r="I74" s="2084"/>
      <c r="J74" s="2084"/>
      <c r="K74" s="2084"/>
      <c r="L74" s="2084"/>
      <c r="M74" s="2084"/>
      <c r="N74" s="2084"/>
      <c r="O74" s="2084"/>
      <c r="P74" s="2084"/>
      <c r="Q74" s="2084"/>
      <c r="R74" s="2084"/>
      <c r="S74" s="2084"/>
      <c r="T74" s="2084"/>
      <c r="U74" s="2084"/>
    </row>
    <row r="75" spans="1:21" x14ac:dyDescent="0.35">
      <c r="A75" s="3764" t="s">
        <v>724</v>
      </c>
      <c r="B75" s="3765"/>
      <c r="C75" s="12"/>
      <c r="D75" s="12"/>
      <c r="E75" s="12"/>
      <c r="F75" s="12"/>
      <c r="G75" s="13"/>
      <c r="H75" s="21"/>
      <c r="I75" s="21"/>
      <c r="J75" s="21"/>
      <c r="K75" s="21"/>
      <c r="L75" s="21"/>
      <c r="M75" s="21"/>
      <c r="N75" s="21"/>
      <c r="O75" s="21"/>
      <c r="P75" s="21"/>
      <c r="Q75" s="21"/>
      <c r="R75" s="21"/>
      <c r="S75" s="21"/>
      <c r="T75" s="21"/>
      <c r="U75" s="21"/>
    </row>
    <row r="76" spans="1:21" x14ac:dyDescent="0.35">
      <c r="A76" s="2456"/>
      <c r="B76" s="2457"/>
      <c r="C76" s="2453"/>
      <c r="D76" s="2453"/>
      <c r="E76" s="2453"/>
      <c r="F76" s="2453"/>
      <c r="G76" s="2454"/>
      <c r="H76" s="2455"/>
      <c r="I76" s="2455"/>
      <c r="J76" s="2455"/>
      <c r="K76" s="2455"/>
      <c r="L76" s="2455"/>
      <c r="M76" s="2455"/>
      <c r="N76" s="2455"/>
      <c r="O76" s="2455"/>
      <c r="P76" s="2455"/>
      <c r="Q76" s="2455"/>
      <c r="R76" s="2455"/>
      <c r="S76" s="2455"/>
      <c r="T76" s="2455"/>
      <c r="U76" s="2455"/>
    </row>
    <row r="77" spans="1:21" x14ac:dyDescent="0.35">
      <c r="A77" s="2269"/>
      <c r="B77" s="2270"/>
      <c r="C77" s="2285"/>
      <c r="D77" s="2285"/>
      <c r="E77" s="2285"/>
      <c r="F77" s="2285"/>
      <c r="G77" s="2198"/>
      <c r="H77" s="2087"/>
      <c r="I77" s="2087"/>
      <c r="J77" s="2087"/>
      <c r="K77" s="2087"/>
      <c r="L77" s="2087"/>
      <c r="M77" s="2087"/>
      <c r="N77" s="2087"/>
      <c r="O77" s="2087"/>
      <c r="P77" s="2087"/>
      <c r="Q77" s="2087"/>
      <c r="R77" s="2087"/>
      <c r="S77" s="2087"/>
      <c r="T77" s="2087"/>
      <c r="U77" s="2087"/>
    </row>
    <row r="78" spans="1:21" x14ac:dyDescent="0.35">
      <c r="A78" s="2269"/>
      <c r="B78" s="2270"/>
      <c r="C78" s="2285"/>
      <c r="D78" s="2285"/>
      <c r="E78" s="2285"/>
      <c r="F78" s="2285"/>
      <c r="G78" s="2198"/>
      <c r="H78" s="2087"/>
      <c r="I78" s="2087"/>
      <c r="J78" s="2087"/>
      <c r="K78" s="2087"/>
      <c r="L78" s="2087"/>
      <c r="M78" s="2087"/>
      <c r="N78" s="2087"/>
      <c r="O78" s="2087"/>
      <c r="P78" s="2087"/>
      <c r="Q78" s="2087"/>
      <c r="R78" s="2087"/>
      <c r="S78" s="2087"/>
      <c r="T78" s="2087"/>
      <c r="U78" s="2087"/>
    </row>
    <row r="79" spans="1:21" x14ac:dyDescent="0.35">
      <c r="A79" s="3764" t="s">
        <v>725</v>
      </c>
      <c r="B79" s="3765"/>
      <c r="C79" s="12"/>
      <c r="D79" s="12"/>
      <c r="E79" s="12"/>
      <c r="F79" s="12"/>
      <c r="G79" s="13"/>
      <c r="H79" s="21"/>
      <c r="I79" s="21"/>
      <c r="J79" s="21"/>
      <c r="K79" s="21"/>
      <c r="L79" s="21"/>
      <c r="M79" s="21"/>
      <c r="N79" s="21"/>
      <c r="O79" s="21"/>
      <c r="P79" s="21"/>
      <c r="Q79" s="21"/>
      <c r="R79" s="21"/>
      <c r="S79" s="21"/>
      <c r="T79" s="21"/>
      <c r="U79" s="21"/>
    </row>
    <row r="80" spans="1:21" x14ac:dyDescent="0.35">
      <c r="A80" s="2286"/>
      <c r="B80" s="2284" t="s">
        <v>726</v>
      </c>
      <c r="C80" s="2285"/>
      <c r="D80" s="2285"/>
      <c r="E80" s="2285"/>
      <c r="F80" s="2285"/>
      <c r="G80" s="2198"/>
      <c r="H80" s="2087"/>
      <c r="I80" s="2087"/>
      <c r="J80" s="2087"/>
      <c r="K80" s="2087"/>
      <c r="L80" s="2087"/>
      <c r="M80" s="2087"/>
      <c r="N80" s="2087"/>
      <c r="O80" s="2087"/>
      <c r="P80" s="2087"/>
      <c r="Q80" s="2087"/>
      <c r="R80" s="2087"/>
      <c r="S80" s="2087"/>
      <c r="T80" s="2087"/>
      <c r="U80" s="2087"/>
    </row>
    <row r="81" spans="1:21" x14ac:dyDescent="0.35">
      <c r="A81" s="2286"/>
      <c r="B81" s="2284" t="s">
        <v>727</v>
      </c>
      <c r="C81" s="2285"/>
      <c r="D81" s="2285"/>
      <c r="E81" s="2285"/>
      <c r="F81" s="2285"/>
      <c r="G81" s="2198"/>
      <c r="H81" s="2087"/>
      <c r="I81" s="2087"/>
      <c r="J81" s="2087"/>
      <c r="K81" s="2087"/>
      <c r="L81" s="2087"/>
      <c r="M81" s="2087"/>
      <c r="N81" s="2087"/>
      <c r="O81" s="2087"/>
      <c r="P81" s="2087"/>
      <c r="Q81" s="2087"/>
      <c r="R81" s="2087"/>
      <c r="S81" s="2087"/>
      <c r="T81" s="2087"/>
      <c r="U81" s="2087"/>
    </row>
    <row r="82" spans="1:21" x14ac:dyDescent="0.35">
      <c r="A82" s="2286"/>
      <c r="B82" s="2284" t="s">
        <v>728</v>
      </c>
      <c r="C82" s="2285"/>
      <c r="D82" s="2285"/>
      <c r="E82" s="2285"/>
      <c r="F82" s="2285"/>
      <c r="G82" s="2198"/>
      <c r="H82" s="2087"/>
      <c r="I82" s="2087"/>
      <c r="J82" s="2087"/>
      <c r="K82" s="2087"/>
      <c r="L82" s="2087"/>
      <c r="M82" s="2087"/>
      <c r="N82" s="2087"/>
      <c r="O82" s="2087"/>
      <c r="P82" s="2087"/>
      <c r="Q82" s="2087"/>
      <c r="R82" s="2087"/>
      <c r="S82" s="2087"/>
      <c r="T82" s="2087"/>
      <c r="U82" s="2087"/>
    </row>
    <row r="83" spans="1:21" x14ac:dyDescent="0.35">
      <c r="A83" s="2286"/>
      <c r="B83" s="2284" t="s">
        <v>729</v>
      </c>
      <c r="C83" s="2285"/>
      <c r="D83" s="2285"/>
      <c r="E83" s="2285"/>
      <c r="F83" s="2285"/>
      <c r="G83" s="2198"/>
      <c r="H83" s="2087"/>
      <c r="I83" s="2087"/>
      <c r="J83" s="2087"/>
      <c r="K83" s="2087"/>
      <c r="L83" s="2087"/>
      <c r="M83" s="2087"/>
      <c r="N83" s="2087"/>
      <c r="O83" s="2087"/>
      <c r="P83" s="2087"/>
      <c r="Q83" s="2087"/>
      <c r="R83" s="2087"/>
      <c r="S83" s="2087"/>
      <c r="T83" s="2087"/>
      <c r="U83" s="2087"/>
    </row>
    <row r="84" spans="1:21" x14ac:dyDescent="0.35">
      <c r="A84" s="978"/>
      <c r="B84" s="939"/>
      <c r="C84" s="940"/>
      <c r="D84" s="940"/>
      <c r="E84" s="940"/>
      <c r="F84" s="940"/>
      <c r="G84" s="1039"/>
      <c r="H84" s="981"/>
      <c r="I84" s="981"/>
      <c r="J84" s="981"/>
      <c r="K84" s="981"/>
      <c r="L84" s="981"/>
      <c r="M84" s="981"/>
      <c r="N84" s="981"/>
      <c r="O84" s="981"/>
      <c r="P84" s="981"/>
      <c r="Q84" s="981"/>
      <c r="R84" s="981"/>
      <c r="S84" s="981"/>
      <c r="T84" s="981"/>
      <c r="U84" s="981"/>
    </row>
    <row r="85" spans="1:21" x14ac:dyDescent="0.35">
      <c r="A85" s="7" t="s">
        <v>730</v>
      </c>
      <c r="B85" s="8"/>
      <c r="C85" s="12"/>
      <c r="D85" s="12"/>
      <c r="E85" s="12"/>
      <c r="F85" s="12"/>
      <c r="G85" s="13"/>
      <c r="H85" s="21"/>
      <c r="I85" s="21"/>
      <c r="J85" s="21"/>
      <c r="K85" s="21"/>
      <c r="L85" s="21"/>
      <c r="M85" s="21"/>
      <c r="N85" s="21"/>
      <c r="O85" s="21"/>
      <c r="P85" s="21"/>
      <c r="Q85" s="21"/>
      <c r="R85" s="21"/>
      <c r="S85" s="21"/>
      <c r="T85" s="21"/>
      <c r="U85" s="21"/>
    </row>
    <row r="86" spans="1:21" x14ac:dyDescent="0.35">
      <c r="A86" s="2452"/>
      <c r="B86" s="2458" t="s">
        <v>731</v>
      </c>
      <c r="C86" s="2453"/>
      <c r="D86" s="2453"/>
      <c r="E86" s="2453"/>
      <c r="F86" s="2453"/>
      <c r="G86" s="2454"/>
      <c r="H86" s="2459"/>
      <c r="I86" s="2459"/>
      <c r="J86" s="2459"/>
      <c r="K86" s="2459"/>
      <c r="L86" s="2459"/>
      <c r="M86" s="2459"/>
      <c r="N86" s="2459"/>
      <c r="O86" s="2459"/>
      <c r="P86" s="2459"/>
      <c r="Q86" s="2459"/>
      <c r="R86" s="2459"/>
      <c r="S86" s="2459"/>
      <c r="T86" s="2459"/>
      <c r="U86" s="2459"/>
    </row>
    <row r="87" spans="1:21" x14ac:dyDescent="0.35">
      <c r="A87" s="2286"/>
      <c r="B87" s="2284" t="s">
        <v>732</v>
      </c>
      <c r="C87" s="2285"/>
      <c r="D87" s="2285"/>
      <c r="E87" s="2285"/>
      <c r="F87" s="2285"/>
      <c r="G87" s="2198"/>
      <c r="H87" s="2158"/>
      <c r="I87" s="2158"/>
      <c r="J87" s="2158"/>
      <c r="K87" s="2158"/>
      <c r="L87" s="2158"/>
      <c r="M87" s="2158"/>
      <c r="N87" s="2158"/>
      <c r="O87" s="2158"/>
      <c r="P87" s="2158"/>
      <c r="Q87" s="2158"/>
      <c r="R87" s="2158"/>
      <c r="S87" s="2158"/>
      <c r="T87" s="2158"/>
      <c r="U87" s="2158"/>
    </row>
    <row r="88" spans="1:21" x14ac:dyDescent="0.35">
      <c r="A88" s="2089"/>
      <c r="B88" s="2090" t="s">
        <v>733</v>
      </c>
      <c r="C88" s="2091"/>
      <c r="D88" s="2091"/>
      <c r="E88" s="2091"/>
      <c r="F88" s="2091"/>
      <c r="G88" s="2092"/>
      <c r="H88" s="2093"/>
      <c r="I88" s="2093"/>
      <c r="J88" s="2093"/>
      <c r="K88" s="2093"/>
      <c r="L88" s="2093"/>
      <c r="M88" s="2093"/>
      <c r="N88" s="2093"/>
      <c r="O88" s="2093"/>
      <c r="P88" s="2093"/>
      <c r="Q88" s="2093"/>
      <c r="R88" s="2093"/>
      <c r="S88" s="2093"/>
      <c r="T88" s="2093"/>
      <c r="U88" s="2093"/>
    </row>
    <row r="90" spans="1:21" x14ac:dyDescent="0.35">
      <c r="A90" s="78" t="s">
        <v>734</v>
      </c>
      <c r="B90" s="80"/>
    </row>
    <row r="91" spans="1:21" x14ac:dyDescent="0.35">
      <c r="A91" s="79" t="s">
        <v>632</v>
      </c>
      <c r="B91" s="2094" t="str">
        <f>H4</f>
        <v>National Millwork</v>
      </c>
    </row>
    <row r="92" spans="1:21" x14ac:dyDescent="0.35">
      <c r="A92" s="2279" t="s">
        <v>636</v>
      </c>
      <c r="B92" s="2094" t="str">
        <f>H5</f>
        <v>Chris Chlupp</v>
      </c>
    </row>
    <row r="93" spans="1:21" x14ac:dyDescent="0.35">
      <c r="A93" s="2096" t="s">
        <v>639</v>
      </c>
      <c r="B93" s="2097">
        <f>H6</f>
        <v>5618485556</v>
      </c>
    </row>
    <row r="94" spans="1:21" x14ac:dyDescent="0.35">
      <c r="A94" s="2096" t="s">
        <v>642</v>
      </c>
      <c r="B94" s="2159" t="str">
        <f>H7</f>
        <v>cchlupp@nationalmillworkinc.com </v>
      </c>
    </row>
    <row r="95" spans="1:21" x14ac:dyDescent="0.35">
      <c r="A95" s="2099" t="s">
        <v>735</v>
      </c>
      <c r="B95" s="2100">
        <f>H8</f>
        <v>44555</v>
      </c>
    </row>
    <row r="97" spans="1:2" x14ac:dyDescent="0.35">
      <c r="A97" s="81"/>
      <c r="B97" s="1" t="s">
        <v>736</v>
      </c>
    </row>
    <row r="98" spans="1:2" x14ac:dyDescent="0.35">
      <c r="A98" s="82"/>
      <c r="B98" s="1" t="s">
        <v>737</v>
      </c>
    </row>
  </sheetData>
  <mergeCells count="54">
    <mergeCell ref="A63:B63"/>
    <mergeCell ref="A67:B67"/>
    <mergeCell ref="A71:B71"/>
    <mergeCell ref="A75:B75"/>
    <mergeCell ref="A79:B79"/>
    <mergeCell ref="T8:U8"/>
    <mergeCell ref="L7:M7"/>
    <mergeCell ref="N7:O7"/>
    <mergeCell ref="H7:I7"/>
    <mergeCell ref="P7:Q7"/>
    <mergeCell ref="R7:S7"/>
    <mergeCell ref="T7:U7"/>
    <mergeCell ref="L8:M8"/>
    <mergeCell ref="N8:O8"/>
    <mergeCell ref="H8:I8"/>
    <mergeCell ref="P8:Q8"/>
    <mergeCell ref="R8:S8"/>
    <mergeCell ref="J7:K7"/>
    <mergeCell ref="J8:K8"/>
    <mergeCell ref="T6:U6"/>
    <mergeCell ref="L5:M5"/>
    <mergeCell ref="N5:O5"/>
    <mergeCell ref="H5:I5"/>
    <mergeCell ref="P5:Q5"/>
    <mergeCell ref="R5:S5"/>
    <mergeCell ref="T5:U5"/>
    <mergeCell ref="L6:M6"/>
    <mergeCell ref="N6:O6"/>
    <mergeCell ref="H6:I6"/>
    <mergeCell ref="P6:Q6"/>
    <mergeCell ref="R6:S6"/>
    <mergeCell ref="J5:K5"/>
    <mergeCell ref="J6:K6"/>
    <mergeCell ref="T4:U4"/>
    <mergeCell ref="L3:M3"/>
    <mergeCell ref="N3:O3"/>
    <mergeCell ref="H3:I3"/>
    <mergeCell ref="P3:Q3"/>
    <mergeCell ref="R3:S3"/>
    <mergeCell ref="T3:U3"/>
    <mergeCell ref="L4:M4"/>
    <mergeCell ref="N4:O4"/>
    <mergeCell ref="H4:I4"/>
    <mergeCell ref="P4:Q4"/>
    <mergeCell ref="R4:S4"/>
    <mergeCell ref="J4:K4"/>
    <mergeCell ref="J3:K3"/>
    <mergeCell ref="L1:M1"/>
    <mergeCell ref="T2:U2"/>
    <mergeCell ref="L2:M2"/>
    <mergeCell ref="N2:O2"/>
    <mergeCell ref="H2:I2"/>
    <mergeCell ref="P2:Q2"/>
    <mergeCell ref="R2:S2"/>
  </mergeCells>
  <conditionalFormatting sqref="H20:H32">
    <cfRule type="cellIs" dxfId="1273" priority="21" operator="equal">
      <formula>"X"</formula>
    </cfRule>
    <cfRule type="cellIs" dxfId="1272" priority="22" operator="equal">
      <formula>"I"</formula>
    </cfRule>
  </conditionalFormatting>
  <conditionalFormatting sqref="J23:J28">
    <cfRule type="cellIs" dxfId="1271" priority="15" operator="equal">
      <formula>"X"</formula>
    </cfRule>
    <cfRule type="cellIs" dxfId="1270" priority="16" operator="equal">
      <formula>"I"</formula>
    </cfRule>
  </conditionalFormatting>
  <conditionalFormatting sqref="J36:J37">
    <cfRule type="cellIs" dxfId="1269" priority="3" operator="equal">
      <formula>"X"</formula>
    </cfRule>
    <cfRule type="cellIs" dxfId="1268" priority="4" operator="equal">
      <formula>"I"</formula>
    </cfRule>
  </conditionalFormatting>
  <conditionalFormatting sqref="J39:J42">
    <cfRule type="cellIs" dxfId="1267" priority="11" operator="equal">
      <formula>"X"</formula>
    </cfRule>
    <cfRule type="cellIs" dxfId="1266" priority="12" operator="equal">
      <formula>"I"</formula>
    </cfRule>
  </conditionalFormatting>
  <conditionalFormatting sqref="J44:J45">
    <cfRule type="cellIs" dxfId="1265" priority="9" operator="equal">
      <formula>"X"</formula>
    </cfRule>
    <cfRule type="cellIs" dxfId="1264" priority="10" operator="equal">
      <formula>"I"</formula>
    </cfRule>
  </conditionalFormatting>
  <conditionalFormatting sqref="J47:J48">
    <cfRule type="cellIs" dxfId="1263" priority="7" operator="equal">
      <formula>"X"</formula>
    </cfRule>
    <cfRule type="cellIs" dxfId="1262" priority="8" operator="equal">
      <formula>"I"</formula>
    </cfRule>
  </conditionalFormatting>
  <conditionalFormatting sqref="J50:J51">
    <cfRule type="cellIs" dxfId="1261" priority="5" operator="equal">
      <formula>"X"</formula>
    </cfRule>
    <cfRule type="cellIs" dxfId="1260" priority="6" operator="equal">
      <formula>"I"</formula>
    </cfRule>
  </conditionalFormatting>
  <conditionalFormatting sqref="L20:L32">
    <cfRule type="cellIs" dxfId="1259" priority="25" operator="equal">
      <formula>"X"</formula>
    </cfRule>
    <cfRule type="cellIs" dxfId="1258" priority="26" operator="equal">
      <formula>"I"</formula>
    </cfRule>
  </conditionalFormatting>
  <conditionalFormatting sqref="N20:N32">
    <cfRule type="cellIs" dxfId="1257" priority="23" operator="equal">
      <formula>"X"</formula>
    </cfRule>
    <cfRule type="cellIs" dxfId="1256" priority="24" operator="equal">
      <formula>"I"</formula>
    </cfRule>
  </conditionalFormatting>
  <conditionalFormatting sqref="P20:P32">
    <cfRule type="cellIs" dxfId="1255" priority="19" operator="equal">
      <formula>"X"</formula>
    </cfRule>
    <cfRule type="cellIs" dxfId="1254" priority="20" operator="equal">
      <formula>"I"</formula>
    </cfRule>
  </conditionalFormatting>
  <conditionalFormatting sqref="R20:R32">
    <cfRule type="cellIs" dxfId="1253" priority="17" operator="equal">
      <formula>"X"</formula>
    </cfRule>
    <cfRule type="cellIs" dxfId="1252" priority="18" operator="equal">
      <formula>"I"</formula>
    </cfRule>
  </conditionalFormatting>
  <conditionalFormatting sqref="T20:T32 H34:H54 L34:L54 N34:N54 P34:P54 T34:T54 R34:R54">
    <cfRule type="cellIs" dxfId="1251" priority="39" operator="equal">
      <formula>"X"</formula>
    </cfRule>
    <cfRule type="cellIs" dxfId="1250" priority="40" operator="equal">
      <formula>"I"</formula>
    </cfRule>
  </conditionalFormatting>
  <conditionalFormatting sqref="J29:J31">
    <cfRule type="cellIs" dxfId="1249" priority="1" operator="equal">
      <formula>"X"</formula>
    </cfRule>
    <cfRule type="cellIs" dxfId="1248" priority="2" operator="equal">
      <formula>"I"</formula>
    </cfRule>
  </conditionalFormatting>
  <hyperlinks>
    <hyperlink ref="B3" location="'Cost Summary'!A1" display="BACK TO SUMMARY SHEET" xr:uid="{7BBCA38B-B50F-4BDF-A674-D42B687B2A3E}"/>
    <hyperlink ref="H7" r:id="rId1" xr:uid="{6E391F35-A876-446B-9A9F-88BAF8EFE8C3}"/>
    <hyperlink ref="P7:Q7" r:id="rId2" display="hanna@asterakb.com" xr:uid="{5BC0A931-0A48-4979-94D0-560585882586}"/>
    <hyperlink ref="R7:S7" r:id="rId3" display="eddy@granitestatespecialties.com" xr:uid="{422402F6-0CAF-4F64-AD67-E835B9893C75}"/>
    <hyperlink ref="J7:K7" r:id="rId4" display="Michael@nationalkb.com" xr:uid="{5D147BB5-77E7-495B-B102-6EF14919E61B}"/>
    <hyperlink ref="T7:U7" r:id="rId5" display="&lt;lgraef@etiflorida.com&gt; " xr:uid="{B0C540ED-2D76-463F-9437-64F0944D1418}"/>
  </hyperlinks>
  <pageMargins left="0.7" right="0.7" top="0.75" bottom="0.75" header="0.3" footer="0.3"/>
  <pageSetup orientation="portrait" r:id="rId6"/>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FD25-B7AD-4CF5-A74E-3DBD55B6B7A9}">
  <sheetPr>
    <tabColor rgb="FFFFC000"/>
  </sheetPr>
  <dimension ref="A1:Y103"/>
  <sheetViews>
    <sheetView zoomScale="91" zoomScaleNormal="91" workbookViewId="0">
      <pane xSplit="2" ySplit="9" topLeftCell="F21" activePane="bottomRight" state="frozen"/>
      <selection pane="topRight" activeCell="C1" sqref="C1"/>
      <selection pane="bottomLeft" activeCell="A11" sqref="A11"/>
      <selection pane="bottomRight" activeCell="L23" sqref="L23:L28"/>
    </sheetView>
  </sheetViews>
  <sheetFormatPr defaultRowHeight="14.5" x14ac:dyDescent="0.35"/>
  <cols>
    <col min="1" max="1" width="11" customWidth="1"/>
    <col min="2" max="2" width="70.7265625" style="1" customWidth="1"/>
    <col min="3" max="3" width="10.81640625" style="2" bestFit="1" customWidth="1"/>
    <col min="4" max="4" width="9.8164062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81640625" style="2" customWidth="1"/>
    <col min="13" max="13" width="14.81640625" style="2" customWidth="1"/>
    <col min="14" max="14" width="8" style="2"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3" max="23" width="18.54296875" customWidth="1"/>
    <col min="25" max="25" width="18.26953125" customWidth="1"/>
  </cols>
  <sheetData>
    <row r="1" spans="1:25" x14ac:dyDescent="0.35">
      <c r="E1" s="152"/>
      <c r="F1" s="125"/>
      <c r="G1" s="123" t="s">
        <v>621</v>
      </c>
      <c r="H1" s="3785" t="s">
        <v>1796</v>
      </c>
      <c r="I1" s="3785"/>
      <c r="L1" s="130"/>
      <c r="M1" s="130"/>
      <c r="V1" s="2"/>
      <c r="W1" s="2"/>
      <c r="X1" s="2"/>
      <c r="Y1" s="2"/>
    </row>
    <row r="2" spans="1:25" ht="15" thickBot="1" x14ac:dyDescent="0.4">
      <c r="E2" s="152"/>
      <c r="F2" s="122" t="s">
        <v>622</v>
      </c>
      <c r="G2" s="123" t="s">
        <v>451</v>
      </c>
      <c r="H2" s="3957" t="s">
        <v>2689</v>
      </c>
      <c r="I2" s="3957"/>
      <c r="J2" s="3751"/>
      <c r="K2" s="3751"/>
      <c r="L2" s="130"/>
      <c r="M2" s="130"/>
      <c r="N2" s="3751"/>
      <c r="O2" s="3751"/>
      <c r="P2" s="3751"/>
      <c r="Q2" s="3751"/>
      <c r="R2" s="3751"/>
      <c r="S2" s="3751"/>
      <c r="T2" s="3751"/>
      <c r="U2" s="3751"/>
      <c r="V2" s="3751"/>
      <c r="W2" s="3751"/>
      <c r="X2" s="3751"/>
      <c r="Y2" s="3751"/>
    </row>
    <row r="3" spans="1:25" ht="20" thickBot="1" x14ac:dyDescent="0.4">
      <c r="B3" s="137" t="s">
        <v>623</v>
      </c>
      <c r="E3" s="152"/>
      <c r="F3" s="124" t="s">
        <v>624</v>
      </c>
      <c r="G3" s="123" t="s">
        <v>557</v>
      </c>
      <c r="H3" s="3754" t="s">
        <v>625</v>
      </c>
      <c r="I3" s="3755"/>
      <c r="J3" s="3772" t="s">
        <v>626</v>
      </c>
      <c r="K3" s="3773"/>
      <c r="L3" s="3754" t="s">
        <v>627</v>
      </c>
      <c r="M3" s="3755"/>
      <c r="N3" s="3754" t="s">
        <v>627</v>
      </c>
      <c r="O3" s="3755"/>
      <c r="P3" s="3754" t="s">
        <v>628</v>
      </c>
      <c r="Q3" s="3755"/>
      <c r="R3" s="3754" t="s">
        <v>629</v>
      </c>
      <c r="S3" s="3755"/>
      <c r="T3" s="3754" t="s">
        <v>630</v>
      </c>
      <c r="U3" s="3755"/>
      <c r="V3" s="3754" t="s">
        <v>630</v>
      </c>
      <c r="W3" s="3755"/>
      <c r="X3" s="3754" t="s">
        <v>630</v>
      </c>
      <c r="Y3" s="3755"/>
    </row>
    <row r="4" spans="1:25" ht="15.75" customHeight="1" thickTop="1" x14ac:dyDescent="0.35">
      <c r="A4" s="3" t="s">
        <v>631</v>
      </c>
      <c r="B4" s="4" t="str">
        <f>'AREA CALC''s'!B4</f>
        <v>Alton Hilltop Gardens</v>
      </c>
      <c r="C4" s="5"/>
      <c r="D4" s="5"/>
      <c r="E4" s="5"/>
      <c r="F4" s="5"/>
      <c r="G4" s="6" t="s">
        <v>632</v>
      </c>
      <c r="H4" s="3898" t="s">
        <v>2198</v>
      </c>
      <c r="I4" s="3898"/>
      <c r="J4" s="3956" t="s">
        <v>2690</v>
      </c>
      <c r="K4" s="3898"/>
      <c r="L4" s="3898" t="s">
        <v>2197</v>
      </c>
      <c r="M4" s="3898"/>
      <c r="N4" s="3956" t="s">
        <v>2613</v>
      </c>
      <c r="O4" s="3898"/>
      <c r="P4" s="3898" t="s">
        <v>2199</v>
      </c>
      <c r="Q4" s="3898"/>
      <c r="R4" s="3898" t="s">
        <v>1340</v>
      </c>
      <c r="S4" s="3898"/>
      <c r="T4" s="3898" t="s">
        <v>2201</v>
      </c>
      <c r="U4" s="3898"/>
      <c r="V4" s="3898" t="s">
        <v>4314</v>
      </c>
      <c r="W4" s="3898"/>
      <c r="X4" s="3898" t="s">
        <v>4315</v>
      </c>
      <c r="Y4" s="3898"/>
    </row>
    <row r="5" spans="1:25" x14ac:dyDescent="0.35">
      <c r="A5" s="2283" t="s">
        <v>634</v>
      </c>
      <c r="B5" s="2284" t="s">
        <v>522</v>
      </c>
      <c r="C5" s="2285"/>
      <c r="D5" s="2285"/>
      <c r="E5" s="2285"/>
      <c r="F5" s="2285"/>
      <c r="G5" s="2194" t="s">
        <v>636</v>
      </c>
      <c r="H5" s="3950" t="s">
        <v>2203</v>
      </c>
      <c r="I5" s="3950"/>
      <c r="J5" s="3950" t="s">
        <v>2691</v>
      </c>
      <c r="K5" s="3950"/>
      <c r="L5" s="3950" t="s">
        <v>2202</v>
      </c>
      <c r="M5" s="3950"/>
      <c r="N5" s="3950" t="s">
        <v>2616</v>
      </c>
      <c r="O5" s="3950"/>
      <c r="P5" s="3950" t="s">
        <v>1343</v>
      </c>
      <c r="Q5" s="3950"/>
      <c r="R5" s="3950"/>
      <c r="S5" s="3950"/>
      <c r="T5" s="3950" t="s">
        <v>2205</v>
      </c>
      <c r="U5" s="3950"/>
      <c r="V5" s="4010"/>
      <c r="W5" s="4010"/>
      <c r="X5" s="4010"/>
      <c r="Y5" s="4010"/>
    </row>
    <row r="6" spans="1:25" x14ac:dyDescent="0.35">
      <c r="A6" s="2283" t="s">
        <v>638</v>
      </c>
      <c r="B6" s="2195" t="s">
        <v>521</v>
      </c>
      <c r="C6" s="2285"/>
      <c r="D6" s="2285"/>
      <c r="E6" s="2285"/>
      <c r="F6" s="2285"/>
      <c r="G6" s="2194" t="s">
        <v>639</v>
      </c>
      <c r="H6" s="3949" t="s">
        <v>2207</v>
      </c>
      <c r="I6" s="3949"/>
      <c r="J6" s="3949">
        <v>7865542099</v>
      </c>
      <c r="K6" s="3949"/>
      <c r="L6" s="3949" t="s">
        <v>2206</v>
      </c>
      <c r="M6" s="3949"/>
      <c r="N6" s="3949">
        <v>5618485556</v>
      </c>
      <c r="O6" s="3949"/>
      <c r="P6" s="3949" t="s">
        <v>2208</v>
      </c>
      <c r="Q6" s="3949"/>
      <c r="R6" s="3949"/>
      <c r="S6" s="3949"/>
      <c r="T6" s="3949" t="s">
        <v>2210</v>
      </c>
      <c r="U6" s="3949"/>
      <c r="V6" s="4011"/>
      <c r="W6" s="4011"/>
      <c r="X6" s="4011"/>
      <c r="Y6" s="4011"/>
    </row>
    <row r="7" spans="1:25" x14ac:dyDescent="0.35">
      <c r="A7" s="2283" t="s">
        <v>641</v>
      </c>
      <c r="B7" s="2196"/>
      <c r="C7" s="2285"/>
      <c r="D7" s="2285"/>
      <c r="E7" s="2285"/>
      <c r="F7" s="2285"/>
      <c r="G7" s="2194" t="s">
        <v>642</v>
      </c>
      <c r="H7" s="3951" t="s">
        <v>2212</v>
      </c>
      <c r="I7" s="3951"/>
      <c r="J7" s="3951" t="s">
        <v>2692</v>
      </c>
      <c r="K7" s="3951"/>
      <c r="L7" s="3951" t="s">
        <v>2211</v>
      </c>
      <c r="M7" s="3951"/>
      <c r="N7" s="3951" t="s">
        <v>2618</v>
      </c>
      <c r="O7" s="3951"/>
      <c r="P7" s="3951" t="s">
        <v>2213</v>
      </c>
      <c r="Q7" s="3951"/>
      <c r="R7" s="3951"/>
      <c r="S7" s="3951"/>
      <c r="T7" s="3951" t="s">
        <v>2215</v>
      </c>
      <c r="U7" s="3951"/>
      <c r="V7" s="4015"/>
      <c r="W7" s="4015"/>
      <c r="X7" s="4015"/>
      <c r="Y7" s="4015"/>
    </row>
    <row r="8" spans="1:25" ht="15" thickBot="1" x14ac:dyDescent="0.4">
      <c r="A8" s="938" t="s">
        <v>644</v>
      </c>
      <c r="B8" s="939"/>
      <c r="C8" s="940"/>
      <c r="D8" s="940"/>
      <c r="E8" s="940"/>
      <c r="F8" s="940"/>
      <c r="G8" s="1024" t="s">
        <v>644</v>
      </c>
      <c r="H8" s="3958">
        <f>I64</f>
        <v>84260.78</v>
      </c>
      <c r="I8" s="3958"/>
      <c r="J8" s="3958">
        <f>K64</f>
        <v>139907.36000000002</v>
      </c>
      <c r="K8" s="3958"/>
      <c r="L8" s="3958">
        <f>M64</f>
        <v>143500</v>
      </c>
      <c r="M8" s="3958"/>
      <c r="N8" s="3958">
        <f>O64</f>
        <v>179570</v>
      </c>
      <c r="O8" s="3958"/>
      <c r="P8" s="3958">
        <f>Q64</f>
        <v>170360</v>
      </c>
      <c r="Q8" s="3958"/>
      <c r="R8" s="3958">
        <f>S64</f>
        <v>140740</v>
      </c>
      <c r="S8" s="3958"/>
      <c r="T8" s="3943">
        <f>U64</f>
        <v>138558</v>
      </c>
      <c r="U8" s="3944"/>
      <c r="V8" s="4034">
        <f>W64</f>
        <v>138615</v>
      </c>
      <c r="W8" s="3944"/>
      <c r="X8" s="4034">
        <f>Y64</f>
        <v>143957</v>
      </c>
      <c r="Y8" s="3944"/>
    </row>
    <row r="9" spans="1:25" ht="30" thickTop="1" thickBot="1" x14ac:dyDescent="0.4">
      <c r="A9" s="7" t="s">
        <v>645</v>
      </c>
      <c r="B9" s="8"/>
      <c r="C9" s="9" t="s">
        <v>646</v>
      </c>
      <c r="D9" s="9" t="s">
        <v>647</v>
      </c>
      <c r="E9" s="9" t="s">
        <v>648</v>
      </c>
      <c r="F9" s="9" t="s">
        <v>649</v>
      </c>
      <c r="G9" s="10" t="s">
        <v>650</v>
      </c>
      <c r="H9" s="11" t="s">
        <v>651</v>
      </c>
      <c r="I9" s="11" t="s">
        <v>652</v>
      </c>
      <c r="J9" s="11" t="s">
        <v>651</v>
      </c>
      <c r="K9" s="11" t="s">
        <v>652</v>
      </c>
      <c r="L9" s="11"/>
      <c r="M9" s="11"/>
      <c r="N9" s="11" t="s">
        <v>651</v>
      </c>
      <c r="O9" s="11" t="s">
        <v>652</v>
      </c>
      <c r="P9" s="11" t="s">
        <v>651</v>
      </c>
      <c r="Q9" s="11" t="s">
        <v>652</v>
      </c>
      <c r="R9" s="11" t="s">
        <v>651</v>
      </c>
      <c r="S9" s="11" t="s">
        <v>652</v>
      </c>
      <c r="T9" s="11" t="s">
        <v>651</v>
      </c>
      <c r="U9" s="11" t="s">
        <v>652</v>
      </c>
      <c r="V9" s="11" t="s">
        <v>651</v>
      </c>
      <c r="W9" s="11" t="s">
        <v>652</v>
      </c>
      <c r="X9" s="11" t="s">
        <v>651</v>
      </c>
      <c r="Y9" s="11" t="s">
        <v>652</v>
      </c>
    </row>
    <row r="10" spans="1:25" hidden="1" x14ac:dyDescent="0.35">
      <c r="A10" s="2286"/>
      <c r="B10" s="2461" t="s">
        <v>653</v>
      </c>
      <c r="C10" s="2285"/>
      <c r="D10" s="2285"/>
      <c r="E10" s="2285"/>
      <c r="F10" s="2285"/>
      <c r="G10" s="2198"/>
      <c r="H10" s="2107"/>
      <c r="I10" s="2107"/>
      <c r="J10" s="2107"/>
      <c r="K10" s="2107"/>
      <c r="L10" s="2107"/>
      <c r="M10" s="2107"/>
      <c r="N10" s="2107"/>
      <c r="O10" s="2107"/>
      <c r="P10" s="2107"/>
      <c r="Q10" s="2107"/>
      <c r="R10" s="2107"/>
      <c r="S10" s="2107"/>
      <c r="T10" s="2107"/>
      <c r="U10" s="2107"/>
      <c r="V10" s="3311"/>
      <c r="W10" s="3311"/>
      <c r="X10" s="3311"/>
      <c r="Y10" s="3311"/>
    </row>
    <row r="11" spans="1:25"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3311"/>
      <c r="W11" s="3311"/>
      <c r="X11" s="3311"/>
      <c r="Y11" s="3311"/>
    </row>
    <row r="12" spans="1:25"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3311"/>
      <c r="W12" s="3311"/>
      <c r="X12" s="3311"/>
      <c r="Y12" s="3311"/>
    </row>
    <row r="13" spans="1:25"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3311"/>
      <c r="W13" s="3311"/>
      <c r="X13" s="3311"/>
      <c r="Y13" s="3311"/>
    </row>
    <row r="14" spans="1:25"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3311"/>
      <c r="W14" s="3311"/>
      <c r="X14" s="3311"/>
      <c r="Y14" s="3311"/>
    </row>
    <row r="15" spans="1:25"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3311"/>
      <c r="W15" s="3311"/>
      <c r="X15" s="3311"/>
      <c r="Y15" s="3311"/>
    </row>
    <row r="16" spans="1:25"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3311"/>
      <c r="W16" s="3311"/>
      <c r="X16" s="3311"/>
      <c r="Y16" s="3311"/>
    </row>
    <row r="17" spans="1:25"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3311"/>
      <c r="W17" s="3311"/>
      <c r="X17" s="3311"/>
      <c r="Y17" s="3311"/>
    </row>
    <row r="18" spans="1:25"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3311"/>
      <c r="W18" s="3311"/>
      <c r="X18" s="3311"/>
      <c r="Y18" s="3311"/>
    </row>
    <row r="19" spans="1:25"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3311"/>
      <c r="W19" s="3311"/>
      <c r="X19" s="3311"/>
      <c r="Y19" s="3311"/>
    </row>
    <row r="20" spans="1:25" hidden="1" x14ac:dyDescent="0.35">
      <c r="A20" s="2286"/>
      <c r="B20" s="2284"/>
      <c r="C20" s="2201"/>
      <c r="D20" s="2285"/>
      <c r="E20" s="2285"/>
      <c r="F20" s="2285"/>
      <c r="G20" s="2198"/>
      <c r="H20" s="2109"/>
      <c r="I20" s="2107"/>
      <c r="J20" s="2109"/>
      <c r="K20" s="2107"/>
      <c r="L20" s="2107"/>
      <c r="M20" s="2107"/>
      <c r="N20" s="2109"/>
      <c r="O20" s="2107"/>
      <c r="P20" s="2109"/>
      <c r="Q20" s="2107"/>
      <c r="R20" s="2109"/>
      <c r="S20" s="2107"/>
      <c r="T20" s="2109"/>
      <c r="U20" s="2107"/>
      <c r="V20" s="4029"/>
      <c r="W20" s="3311"/>
      <c r="X20" s="4029"/>
      <c r="Y20" s="3311"/>
    </row>
    <row r="21" spans="1:25" ht="15.5" thickTop="1" thickBot="1" x14ac:dyDescent="0.4">
      <c r="A21" s="2462"/>
      <c r="B21" s="2203" t="s">
        <v>522</v>
      </c>
      <c r="C21" s="45"/>
      <c r="D21" s="46"/>
      <c r="E21" s="46"/>
      <c r="F21" s="46"/>
      <c r="G21" s="52"/>
      <c r="H21" s="2109"/>
      <c r="I21" s="2439"/>
      <c r="J21" s="2109"/>
      <c r="K21" s="2463"/>
      <c r="L21" s="2439"/>
      <c r="M21" s="2439"/>
      <c r="N21" s="2109"/>
      <c r="O21" s="2439"/>
      <c r="P21" s="2109"/>
      <c r="Q21" s="2439"/>
      <c r="R21" s="2109"/>
      <c r="S21" s="2439"/>
      <c r="T21" s="2109"/>
      <c r="U21" s="2439"/>
      <c r="V21" s="4029"/>
      <c r="W21" s="4030"/>
      <c r="X21" s="4029"/>
      <c r="Y21" s="4030"/>
    </row>
    <row r="22" spans="1:25" x14ac:dyDescent="0.35">
      <c r="A22" s="2464"/>
      <c r="B22" s="606" t="s">
        <v>657</v>
      </c>
      <c r="C22" s="2201"/>
      <c r="D22" s="2285"/>
      <c r="E22" s="2285"/>
      <c r="F22" s="2285"/>
      <c r="G22" s="2198"/>
      <c r="H22" s="2109"/>
      <c r="I22" s="2439"/>
      <c r="J22" s="2109"/>
      <c r="K22" s="2463"/>
      <c r="L22" s="2439"/>
      <c r="M22" s="2439"/>
      <c r="N22" s="2109"/>
      <c r="O22" s="2439"/>
      <c r="P22" s="2109"/>
      <c r="Q22" s="2439"/>
      <c r="R22" s="2109"/>
      <c r="S22" s="2439"/>
      <c r="T22" s="2109"/>
      <c r="U22" s="2439"/>
      <c r="V22" s="4029"/>
      <c r="W22" s="4030"/>
      <c r="X22" s="4029"/>
      <c r="Y22" s="4030"/>
    </row>
    <row r="23" spans="1:25" x14ac:dyDescent="0.35">
      <c r="A23" s="2464"/>
      <c r="B23" s="2465" t="s">
        <v>658</v>
      </c>
      <c r="C23" s="2201"/>
      <c r="D23" s="2285"/>
      <c r="E23" s="2285"/>
      <c r="F23" s="2285"/>
      <c r="G23" s="2198"/>
      <c r="H23" s="2109" t="s">
        <v>671</v>
      </c>
      <c r="I23" s="2439"/>
      <c r="J23" s="2109" t="s">
        <v>671</v>
      </c>
      <c r="K23" s="2463"/>
      <c r="L23" s="2109" t="s">
        <v>671</v>
      </c>
      <c r="M23" s="2439"/>
      <c r="N23" s="2109" t="s">
        <v>669</v>
      </c>
      <c r="O23" s="2466"/>
      <c r="P23" s="2109"/>
      <c r="Q23" s="2439"/>
      <c r="R23" s="2109"/>
      <c r="S23" s="2439"/>
      <c r="T23" s="2109" t="s">
        <v>669</v>
      </c>
      <c r="U23" s="2466"/>
      <c r="V23" s="4029" t="s">
        <v>669</v>
      </c>
      <c r="W23" s="4030"/>
      <c r="X23" s="4029" t="s">
        <v>669</v>
      </c>
      <c r="Y23" s="4030"/>
    </row>
    <row r="24" spans="1:25" x14ac:dyDescent="0.35">
      <c r="A24" s="2462"/>
      <c r="B24" s="2465" t="s">
        <v>659</v>
      </c>
      <c r="C24" s="2208"/>
      <c r="D24" s="2285"/>
      <c r="E24" s="2285"/>
      <c r="F24" s="2285"/>
      <c r="G24" s="2198"/>
      <c r="H24" s="2109" t="s">
        <v>669</v>
      </c>
      <c r="I24" s="2439"/>
      <c r="J24" s="2109" t="s">
        <v>669</v>
      </c>
      <c r="K24" s="2463"/>
      <c r="L24" s="2109" t="s">
        <v>669</v>
      </c>
      <c r="M24" s="2439"/>
      <c r="N24" s="2109" t="s">
        <v>669</v>
      </c>
      <c r="O24" s="2466"/>
      <c r="P24" s="2109"/>
      <c r="Q24" s="2439"/>
      <c r="R24" s="2109"/>
      <c r="S24" s="2439"/>
      <c r="T24" s="2109" t="s">
        <v>669</v>
      </c>
      <c r="U24" s="2466"/>
      <c r="V24" s="4029" t="s">
        <v>669</v>
      </c>
      <c r="W24" s="4030"/>
      <c r="X24" s="4029" t="s">
        <v>669</v>
      </c>
      <c r="Y24" s="4030"/>
    </row>
    <row r="25" spans="1:25" x14ac:dyDescent="0.35">
      <c r="A25" s="2462"/>
      <c r="B25" s="2467" t="s">
        <v>660</v>
      </c>
      <c r="C25" s="2208"/>
      <c r="D25" s="2285"/>
      <c r="E25" s="2285"/>
      <c r="F25" s="2285"/>
      <c r="G25" s="2198"/>
      <c r="H25" s="2109" t="s">
        <v>671</v>
      </c>
      <c r="I25" s="2439"/>
      <c r="J25" s="2109" t="s">
        <v>671</v>
      </c>
      <c r="K25" s="2463"/>
      <c r="L25" s="2109" t="s">
        <v>671</v>
      </c>
      <c r="M25" s="2439"/>
      <c r="N25" s="2109" t="s">
        <v>671</v>
      </c>
      <c r="O25" s="2466"/>
      <c r="P25" s="2109"/>
      <c r="Q25" s="2439"/>
      <c r="R25" s="2109"/>
      <c r="S25" s="2439"/>
      <c r="T25" s="2109" t="s">
        <v>671</v>
      </c>
      <c r="U25" s="2466"/>
      <c r="V25" s="4029" t="s">
        <v>671</v>
      </c>
      <c r="W25" s="4030"/>
      <c r="X25" s="4029" t="s">
        <v>671</v>
      </c>
      <c r="Y25" s="4030"/>
    </row>
    <row r="26" spans="1:25" s="77" customFormat="1" x14ac:dyDescent="0.35">
      <c r="A26" s="2464"/>
      <c r="B26" s="2467" t="s">
        <v>661</v>
      </c>
      <c r="C26" s="2211"/>
      <c r="D26" s="2212"/>
      <c r="E26" s="2212"/>
      <c r="F26" s="2212"/>
      <c r="G26" s="2211"/>
      <c r="H26" s="2109" t="s">
        <v>669</v>
      </c>
      <c r="I26" s="2468"/>
      <c r="J26" s="2109" t="s">
        <v>669</v>
      </c>
      <c r="K26" s="2463"/>
      <c r="L26" s="2109" t="s">
        <v>669</v>
      </c>
      <c r="M26" s="2468"/>
      <c r="N26" s="2109" t="s">
        <v>669</v>
      </c>
      <c r="O26" s="2468"/>
      <c r="P26" s="2109"/>
      <c r="Q26" s="2468"/>
      <c r="R26" s="2109"/>
      <c r="S26" s="2468"/>
      <c r="T26" s="2109" t="s">
        <v>669</v>
      </c>
      <c r="U26" s="2468"/>
      <c r="V26" s="4029" t="s">
        <v>669</v>
      </c>
      <c r="W26" s="4031"/>
      <c r="X26" s="4029" t="s">
        <v>669</v>
      </c>
      <c r="Y26" s="4031"/>
    </row>
    <row r="27" spans="1:25" s="77" customFormat="1" x14ac:dyDescent="0.35">
      <c r="A27" s="2464"/>
      <c r="B27" s="2467" t="s">
        <v>662</v>
      </c>
      <c r="C27" s="2211"/>
      <c r="D27" s="2212"/>
      <c r="E27" s="2212"/>
      <c r="F27" s="2212"/>
      <c r="G27" s="2211"/>
      <c r="H27" s="2109" t="s">
        <v>669</v>
      </c>
      <c r="I27" s="2468"/>
      <c r="J27" s="2109" t="s">
        <v>669</v>
      </c>
      <c r="K27" s="2463"/>
      <c r="L27" s="2109" t="s">
        <v>669</v>
      </c>
      <c r="M27" s="2468"/>
      <c r="N27" s="2109" t="s">
        <v>669</v>
      </c>
      <c r="O27" s="2468"/>
      <c r="P27" s="2109"/>
      <c r="Q27" s="2468"/>
      <c r="R27" s="2109"/>
      <c r="S27" s="2468"/>
      <c r="T27" s="2109" t="s">
        <v>669</v>
      </c>
      <c r="U27" s="2468"/>
      <c r="V27" s="4029" t="s">
        <v>669</v>
      </c>
      <c r="W27" s="4031"/>
      <c r="X27" s="4029" t="s">
        <v>669</v>
      </c>
      <c r="Y27" s="4031"/>
    </row>
    <row r="28" spans="1:25" s="77" customFormat="1" x14ac:dyDescent="0.35">
      <c r="A28" s="2464"/>
      <c r="B28" s="2467" t="s">
        <v>663</v>
      </c>
      <c r="C28" s="2211"/>
      <c r="D28" s="2212"/>
      <c r="E28" s="2212"/>
      <c r="F28" s="2212"/>
      <c r="G28" s="2211"/>
      <c r="H28" s="2109" t="s">
        <v>669</v>
      </c>
      <c r="I28" s="2468"/>
      <c r="J28" s="2109" t="s">
        <v>669</v>
      </c>
      <c r="K28" s="2463"/>
      <c r="L28" s="2109" t="s">
        <v>669</v>
      </c>
      <c r="M28" s="2468"/>
      <c r="N28" s="2109" t="s">
        <v>669</v>
      </c>
      <c r="O28" s="2468"/>
      <c r="P28" s="2109"/>
      <c r="Q28" s="2468"/>
      <c r="R28" s="2109"/>
      <c r="S28" s="2468"/>
      <c r="T28" s="2109" t="s">
        <v>669</v>
      </c>
      <c r="U28" s="2468"/>
      <c r="V28" s="4029" t="s">
        <v>669</v>
      </c>
      <c r="W28" s="4031"/>
      <c r="X28" s="4029" t="s">
        <v>669</v>
      </c>
      <c r="Y28" s="4031"/>
    </row>
    <row r="29" spans="1:25" s="77" customFormat="1" x14ac:dyDescent="0.35">
      <c r="A29" s="2464"/>
      <c r="B29" s="2467" t="s">
        <v>789</v>
      </c>
      <c r="C29" s="2211"/>
      <c r="D29" s="2212"/>
      <c r="E29" s="2212"/>
      <c r="F29" s="2212"/>
      <c r="G29" s="2211"/>
      <c r="H29" s="2109" t="s">
        <v>671</v>
      </c>
      <c r="I29" s="2468"/>
      <c r="J29" s="2109" t="s">
        <v>671</v>
      </c>
      <c r="K29" s="2463"/>
      <c r="L29" s="2109" t="s">
        <v>671</v>
      </c>
      <c r="M29" s="2469" t="s">
        <v>1733</v>
      </c>
      <c r="N29" s="2109" t="s">
        <v>671</v>
      </c>
      <c r="O29" s="2468" t="s">
        <v>1008</v>
      </c>
      <c r="P29" s="2109"/>
      <c r="Q29" s="2468"/>
      <c r="R29" s="2109"/>
      <c r="S29" s="2468"/>
      <c r="T29" s="2109" t="s">
        <v>671</v>
      </c>
      <c r="U29" s="2468" t="s">
        <v>1008</v>
      </c>
      <c r="V29" s="4029" t="s">
        <v>671</v>
      </c>
      <c r="W29" s="4031" t="s">
        <v>1008</v>
      </c>
      <c r="X29" s="4029" t="s">
        <v>671</v>
      </c>
      <c r="Y29" s="4031" t="s">
        <v>1008</v>
      </c>
    </row>
    <row r="30" spans="1:25" s="77" customFormat="1" x14ac:dyDescent="0.35">
      <c r="A30" s="2470"/>
      <c r="B30" s="2467" t="s">
        <v>790</v>
      </c>
      <c r="C30" s="2211"/>
      <c r="D30" s="2212"/>
      <c r="E30" s="2212"/>
      <c r="F30" s="2212"/>
      <c r="G30" s="2211"/>
      <c r="H30" s="2109" t="s">
        <v>671</v>
      </c>
      <c r="I30" s="2468"/>
      <c r="J30" s="2109" t="s">
        <v>671</v>
      </c>
      <c r="K30" s="2469"/>
      <c r="L30" s="2109" t="s">
        <v>671</v>
      </c>
      <c r="M30" s="2469" t="s">
        <v>2620</v>
      </c>
      <c r="N30" s="2109" t="s">
        <v>671</v>
      </c>
      <c r="O30" s="2468"/>
      <c r="P30" s="2109"/>
      <c r="Q30" s="2468"/>
      <c r="R30" s="2109"/>
      <c r="S30" s="2468"/>
      <c r="T30" s="2109" t="s">
        <v>671</v>
      </c>
      <c r="U30" s="2468"/>
      <c r="V30" s="4029" t="s">
        <v>671</v>
      </c>
      <c r="W30" s="4031"/>
      <c r="X30" s="4029" t="s">
        <v>671</v>
      </c>
      <c r="Y30" s="4031"/>
    </row>
    <row r="31" spans="1:25" s="77" customFormat="1" x14ac:dyDescent="0.35">
      <c r="A31" s="2470"/>
      <c r="B31" s="2467" t="s">
        <v>791</v>
      </c>
      <c r="C31" s="2211"/>
      <c r="D31" s="2212"/>
      <c r="E31" s="2212"/>
      <c r="F31" s="2212"/>
      <c r="G31" s="2211"/>
      <c r="H31" s="2109" t="s">
        <v>671</v>
      </c>
      <c r="I31" s="2468"/>
      <c r="J31" s="2109" t="s">
        <v>671</v>
      </c>
      <c r="K31" s="2469"/>
      <c r="L31" s="2109" t="s">
        <v>671</v>
      </c>
      <c r="M31" s="2469" t="s">
        <v>2621</v>
      </c>
      <c r="N31" s="2109" t="s">
        <v>671</v>
      </c>
      <c r="O31" s="2468"/>
      <c r="P31" s="2109"/>
      <c r="Q31" s="2468"/>
      <c r="R31" s="2109"/>
      <c r="S31" s="2468"/>
      <c r="T31" s="2109" t="s">
        <v>671</v>
      </c>
      <c r="U31" s="2468"/>
      <c r="V31" s="4029" t="s">
        <v>671</v>
      </c>
      <c r="W31" s="4031"/>
      <c r="X31" s="4029" t="s">
        <v>671</v>
      </c>
      <c r="Y31" s="4031"/>
    </row>
    <row r="32" spans="1:25" s="77" customFormat="1" x14ac:dyDescent="0.35">
      <c r="A32" s="2464"/>
      <c r="B32" s="2471" t="s">
        <v>664</v>
      </c>
      <c r="C32" s="2211"/>
      <c r="D32" s="2212"/>
      <c r="E32" s="2212"/>
      <c r="F32" s="2212"/>
      <c r="G32" s="2211"/>
      <c r="H32" s="2109"/>
      <c r="I32" s="2468"/>
      <c r="J32" s="2109"/>
      <c r="K32" s="2463"/>
      <c r="L32" s="2468"/>
      <c r="M32" s="2468"/>
      <c r="N32" s="2109"/>
      <c r="O32" s="2468"/>
      <c r="P32" s="2109"/>
      <c r="Q32" s="2468"/>
      <c r="R32" s="2109"/>
      <c r="S32" s="2468"/>
      <c r="T32" s="2109"/>
      <c r="U32" s="2468"/>
      <c r="V32" s="4029"/>
      <c r="W32" s="4031"/>
      <c r="X32" s="4029"/>
      <c r="Y32" s="4031"/>
    </row>
    <row r="33" spans="1:25" s="77" customFormat="1" x14ac:dyDescent="0.35">
      <c r="A33" s="2464"/>
      <c r="B33" s="2472" t="s">
        <v>665</v>
      </c>
      <c r="C33" s="2216"/>
      <c r="D33" s="2217"/>
      <c r="E33" s="2217"/>
      <c r="F33" s="2217"/>
      <c r="G33" s="2216"/>
      <c r="H33" s="2289"/>
      <c r="I33" s="2473"/>
      <c r="J33" s="2288"/>
      <c r="K33" s="2474"/>
      <c r="L33" s="2473"/>
      <c r="M33" s="2473"/>
      <c r="N33" s="2289"/>
      <c r="O33" s="2473"/>
      <c r="P33" s="2473"/>
      <c r="Q33" s="2473"/>
      <c r="R33" s="2473"/>
      <c r="S33" s="2473"/>
      <c r="T33" s="2473"/>
      <c r="U33" s="2473"/>
      <c r="V33" s="4032"/>
      <c r="W33" s="4032"/>
      <c r="X33" s="4032"/>
      <c r="Y33" s="4032"/>
    </row>
    <row r="34" spans="1:25" s="77" customFormat="1" ht="16.5" customHeight="1" x14ac:dyDescent="0.35">
      <c r="A34" s="2464"/>
      <c r="B34" s="2340" t="s">
        <v>874</v>
      </c>
      <c r="C34" s="2211"/>
      <c r="D34" s="2475"/>
      <c r="E34" s="2212"/>
      <c r="F34" s="2212"/>
      <c r="G34" s="2211"/>
      <c r="H34" s="2109"/>
      <c r="I34" s="2468"/>
      <c r="J34" s="2109"/>
      <c r="K34" s="2468"/>
      <c r="L34" s="2468"/>
      <c r="M34" s="2468"/>
      <c r="N34" s="2109"/>
      <c r="O34" s="2468"/>
      <c r="P34" s="2109"/>
      <c r="Q34" s="2468"/>
      <c r="R34" s="2109"/>
      <c r="S34" s="2468"/>
      <c r="T34" s="2109"/>
      <c r="U34" s="2468"/>
      <c r="V34" s="4029"/>
      <c r="W34" s="4031"/>
      <c r="X34" s="4029"/>
      <c r="Y34" s="4031"/>
    </row>
    <row r="35" spans="1:25" s="77" customFormat="1" x14ac:dyDescent="0.35">
      <c r="A35" s="2464"/>
      <c r="B35" s="2340"/>
      <c r="C35" s="2211"/>
      <c r="D35" s="2475"/>
      <c r="E35" s="2212"/>
      <c r="F35" s="2212"/>
      <c r="G35" s="2211"/>
      <c r="H35" s="2109"/>
      <c r="I35" s="2468"/>
      <c r="J35" s="2109"/>
      <c r="K35" s="2468"/>
      <c r="L35" s="2468"/>
      <c r="M35" s="2468"/>
      <c r="N35" s="2109"/>
      <c r="O35" s="2468"/>
      <c r="P35" s="2109"/>
      <c r="Q35" s="2468"/>
      <c r="R35" s="2109"/>
      <c r="S35" s="2468"/>
      <c r="T35" s="2109"/>
      <c r="U35" s="2468"/>
      <c r="V35" s="4029"/>
      <c r="W35" s="4031"/>
      <c r="X35" s="4029"/>
      <c r="Y35" s="4031"/>
    </row>
    <row r="36" spans="1:25" s="77" customFormat="1" x14ac:dyDescent="0.35">
      <c r="A36" s="2470"/>
      <c r="B36" s="394" t="s">
        <v>80</v>
      </c>
      <c r="C36" s="2211"/>
      <c r="D36" s="2212"/>
      <c r="E36" s="2212"/>
      <c r="F36" s="2212"/>
      <c r="G36" s="2211"/>
      <c r="H36" s="2109"/>
      <c r="I36" s="2468"/>
      <c r="J36" s="2109"/>
      <c r="K36" s="2469"/>
      <c r="L36" s="2468"/>
      <c r="M36" s="2468"/>
      <c r="N36" s="2109"/>
      <c r="O36" s="2468"/>
      <c r="P36" s="2109"/>
      <c r="Q36" s="2468"/>
      <c r="R36" s="2109"/>
      <c r="S36" s="2468"/>
      <c r="T36" s="2109"/>
      <c r="U36" s="2468"/>
      <c r="V36" s="4029"/>
      <c r="W36" s="4031"/>
      <c r="X36" s="4029"/>
      <c r="Y36" s="4031"/>
    </row>
    <row r="37" spans="1:25" s="77" customFormat="1" x14ac:dyDescent="0.35">
      <c r="A37" s="2464"/>
      <c r="B37" s="2340" t="s">
        <v>2693</v>
      </c>
      <c r="C37" s="2211"/>
      <c r="D37" s="2475">
        <v>47</v>
      </c>
      <c r="E37" s="2212" t="s">
        <v>199</v>
      </c>
      <c r="F37" s="2212">
        <v>1649</v>
      </c>
      <c r="G37" s="2211">
        <f>F37*D37</f>
        <v>77503</v>
      </c>
      <c r="H37" s="2109" t="s">
        <v>669</v>
      </c>
      <c r="I37" s="2468">
        <f>29629.01</f>
        <v>29629.01</v>
      </c>
      <c r="J37" s="2109" t="s">
        <v>669</v>
      </c>
      <c r="K37" s="2468">
        <v>80600.28</v>
      </c>
      <c r="L37" s="2109" t="s">
        <v>669</v>
      </c>
      <c r="M37" s="2468">
        <v>93500</v>
      </c>
      <c r="N37" s="2109" t="s">
        <v>669</v>
      </c>
      <c r="O37" s="2468">
        <f>125725+3845</f>
        <v>129570</v>
      </c>
      <c r="P37" s="2109" t="s">
        <v>669</v>
      </c>
      <c r="Q37" s="2476">
        <v>120360</v>
      </c>
      <c r="R37" s="2109" t="s">
        <v>669</v>
      </c>
      <c r="S37" s="2468">
        <v>90740</v>
      </c>
      <c r="T37" s="2109" t="s">
        <v>669</v>
      </c>
      <c r="U37" s="2468">
        <v>88558</v>
      </c>
      <c r="V37" s="4029" t="s">
        <v>669</v>
      </c>
      <c r="W37" s="4031">
        <v>88615</v>
      </c>
      <c r="X37" s="4029" t="s">
        <v>669</v>
      </c>
      <c r="Y37" s="4031">
        <v>93957</v>
      </c>
    </row>
    <row r="38" spans="1:25" s="77" customFormat="1" x14ac:dyDescent="0.35">
      <c r="A38" s="2477"/>
      <c r="B38" s="2340" t="s">
        <v>2694</v>
      </c>
      <c r="C38" s="2236"/>
      <c r="D38" s="2475">
        <v>3</v>
      </c>
      <c r="E38" s="2212" t="s">
        <v>199</v>
      </c>
      <c r="F38" s="2212">
        <v>999</v>
      </c>
      <c r="G38" s="2211">
        <f t="shared" ref="G38:G39" si="0">F38*D38</f>
        <v>2997</v>
      </c>
      <c r="H38" s="2109" t="s">
        <v>669</v>
      </c>
      <c r="I38" s="2468"/>
      <c r="J38" s="2109" t="s">
        <v>669</v>
      </c>
      <c r="K38" s="2468">
        <v>3175.29</v>
      </c>
      <c r="L38" s="2109" t="s">
        <v>669</v>
      </c>
      <c r="M38" s="2468"/>
      <c r="N38" s="2109" t="s">
        <v>669</v>
      </c>
      <c r="O38" s="2468"/>
      <c r="P38" s="2109" t="s">
        <v>669</v>
      </c>
      <c r="Q38" s="2468"/>
      <c r="R38" s="2109" t="s">
        <v>669</v>
      </c>
      <c r="S38" s="2468"/>
      <c r="T38" s="2109" t="s">
        <v>669</v>
      </c>
      <c r="U38" s="2468"/>
      <c r="V38" s="4029" t="s">
        <v>669</v>
      </c>
      <c r="W38" s="4031"/>
      <c r="X38" s="4029" t="s">
        <v>669</v>
      </c>
      <c r="Y38" s="4031"/>
    </row>
    <row r="39" spans="1:25" s="77" customFormat="1" x14ac:dyDescent="0.35">
      <c r="A39" s="2477"/>
      <c r="B39" s="2340" t="s">
        <v>2695</v>
      </c>
      <c r="C39" s="2236"/>
      <c r="D39" s="2475">
        <v>1</v>
      </c>
      <c r="E39" s="2212" t="s">
        <v>199</v>
      </c>
      <c r="F39" s="2212">
        <v>250</v>
      </c>
      <c r="G39" s="2211">
        <f t="shared" si="0"/>
        <v>250</v>
      </c>
      <c r="H39" s="2109" t="s">
        <v>669</v>
      </c>
      <c r="I39" s="2468"/>
      <c r="J39" s="2109" t="s">
        <v>669</v>
      </c>
      <c r="K39" s="2468">
        <v>250</v>
      </c>
      <c r="L39" s="2109" t="s">
        <v>669</v>
      </c>
      <c r="M39" s="2468"/>
      <c r="N39" s="2109" t="s">
        <v>669</v>
      </c>
      <c r="O39" s="2468"/>
      <c r="P39" s="2109" t="s">
        <v>669</v>
      </c>
      <c r="Q39" s="2468"/>
      <c r="R39" s="2109" t="s">
        <v>669</v>
      </c>
      <c r="S39" s="2468"/>
      <c r="T39" s="2109" t="s">
        <v>669</v>
      </c>
      <c r="U39" s="2468"/>
      <c r="V39" s="4029" t="s">
        <v>669</v>
      </c>
      <c r="W39" s="4031"/>
      <c r="X39" s="4029" t="s">
        <v>669</v>
      </c>
      <c r="Y39" s="4031"/>
    </row>
    <row r="40" spans="1:25" s="77" customFormat="1" x14ac:dyDescent="0.35">
      <c r="A40" s="2477"/>
      <c r="B40" s="2340" t="s">
        <v>2696</v>
      </c>
      <c r="C40" s="2236"/>
      <c r="D40" s="2475">
        <v>1</v>
      </c>
      <c r="E40" s="2212" t="s">
        <v>215</v>
      </c>
      <c r="F40" s="2212"/>
      <c r="G40" s="2211"/>
      <c r="H40" s="2038" t="s">
        <v>2697</v>
      </c>
      <c r="I40" s="2468">
        <v>50000</v>
      </c>
      <c r="J40" s="2038" t="s">
        <v>2697</v>
      </c>
      <c r="K40" s="2468">
        <v>50000</v>
      </c>
      <c r="L40" s="2038" t="s">
        <v>2697</v>
      </c>
      <c r="M40" s="2468">
        <v>50000</v>
      </c>
      <c r="N40" s="2038" t="s">
        <v>2697</v>
      </c>
      <c r="O40" s="2468">
        <v>50000</v>
      </c>
      <c r="P40" s="2038" t="s">
        <v>2697</v>
      </c>
      <c r="Q40" s="2468">
        <v>50000</v>
      </c>
      <c r="R40" s="2038" t="s">
        <v>2697</v>
      </c>
      <c r="S40" s="2468">
        <v>50000</v>
      </c>
      <c r="T40" s="2038" t="s">
        <v>2697</v>
      </c>
      <c r="U40" s="2468">
        <v>50000</v>
      </c>
      <c r="V40" s="4033" t="s">
        <v>2697</v>
      </c>
      <c r="W40" s="4031">
        <v>50000</v>
      </c>
      <c r="X40" s="4033" t="s">
        <v>2697</v>
      </c>
      <c r="Y40" s="4031">
        <v>50000</v>
      </c>
    </row>
    <row r="41" spans="1:25" s="77" customFormat="1" x14ac:dyDescent="0.35">
      <c r="A41" s="2477"/>
      <c r="B41" s="2340" t="s">
        <v>1125</v>
      </c>
      <c r="C41" s="2236"/>
      <c r="D41" s="2475">
        <v>1</v>
      </c>
      <c r="E41" s="2212" t="s">
        <v>215</v>
      </c>
      <c r="F41" s="2212"/>
      <c r="G41" s="2211"/>
      <c r="H41" s="2109" t="s">
        <v>669</v>
      </c>
      <c r="I41" s="2468">
        <v>4631.7700000000004</v>
      </c>
      <c r="J41" s="2109" t="s">
        <v>669</v>
      </c>
      <c r="K41" s="2468">
        <v>5881.79</v>
      </c>
      <c r="L41" s="2109" t="s">
        <v>669</v>
      </c>
      <c r="M41" s="2468"/>
      <c r="N41" s="2109" t="s">
        <v>669</v>
      </c>
      <c r="O41" s="2468"/>
      <c r="P41" s="2109" t="s">
        <v>669</v>
      </c>
      <c r="Q41" s="2468"/>
      <c r="R41" s="2109" t="s">
        <v>669</v>
      </c>
      <c r="S41" s="2468"/>
      <c r="T41" s="2109" t="s">
        <v>669</v>
      </c>
      <c r="U41" s="2468"/>
      <c r="V41" s="4029" t="s">
        <v>669</v>
      </c>
      <c r="W41" s="4031"/>
      <c r="X41" s="4029" t="s">
        <v>669</v>
      </c>
      <c r="Y41" s="4031"/>
    </row>
    <row r="42" spans="1:25" s="77" customFormat="1" x14ac:dyDescent="0.35">
      <c r="A42" s="2477"/>
      <c r="B42" s="2340"/>
      <c r="C42" s="2236"/>
      <c r="D42" s="2475"/>
      <c r="E42" s="2212"/>
      <c r="F42" s="2212"/>
      <c r="G42" s="2211"/>
      <c r="H42" s="2334"/>
      <c r="I42" s="2468"/>
      <c r="J42" s="2331"/>
      <c r="K42" s="2463"/>
      <c r="L42" s="2468"/>
      <c r="M42" s="2468"/>
      <c r="N42" s="2334"/>
      <c r="O42" s="2468"/>
      <c r="P42" s="2468"/>
      <c r="Q42" s="2468"/>
      <c r="R42" s="2468"/>
      <c r="S42" s="2468"/>
      <c r="T42" s="2468"/>
      <c r="U42" s="2468"/>
      <c r="V42" s="4031"/>
      <c r="W42" s="4031"/>
      <c r="X42" s="4031"/>
      <c r="Y42" s="4031"/>
    </row>
    <row r="43" spans="1:25" s="77" customFormat="1" x14ac:dyDescent="0.35">
      <c r="A43" s="2477"/>
      <c r="B43" s="2340"/>
      <c r="C43" s="2236"/>
      <c r="D43" s="2475"/>
      <c r="E43" s="2341"/>
      <c r="F43" s="2342"/>
      <c r="G43" s="2211"/>
      <c r="H43" s="2334"/>
      <c r="I43" s="2468"/>
      <c r="J43" s="2331"/>
      <c r="K43" s="2463"/>
      <c r="L43" s="2468"/>
      <c r="M43" s="2468"/>
      <c r="N43" s="2334"/>
      <c r="O43" s="2468"/>
      <c r="P43" s="2468"/>
      <c r="Q43" s="2468"/>
      <c r="R43" s="2468"/>
      <c r="S43" s="2468"/>
      <c r="T43" s="2468"/>
      <c r="U43" s="2468"/>
      <c r="V43" s="4031"/>
      <c r="W43" s="4031"/>
      <c r="X43" s="4031"/>
      <c r="Y43" s="4031"/>
    </row>
    <row r="44" spans="1:25" s="77" customFormat="1" x14ac:dyDescent="0.35">
      <c r="A44" s="2477"/>
      <c r="B44" s="2340"/>
      <c r="C44" s="2236"/>
      <c r="D44" s="2212"/>
      <c r="E44" s="2341"/>
      <c r="F44" s="2342"/>
      <c r="G44" s="2211"/>
      <c r="H44" s="2334"/>
      <c r="I44" s="2468"/>
      <c r="J44" s="2331"/>
      <c r="K44" s="2463"/>
      <c r="L44" s="2468"/>
      <c r="M44" s="2468"/>
      <c r="N44" s="2334"/>
      <c r="O44" s="2468"/>
      <c r="P44" s="2468"/>
      <c r="Q44" s="2468"/>
      <c r="R44" s="2468"/>
      <c r="S44" s="2468"/>
      <c r="T44" s="2468"/>
      <c r="U44" s="2468"/>
      <c r="V44" s="4031"/>
      <c r="W44" s="4031"/>
      <c r="X44" s="4031"/>
      <c r="Y44" s="4031"/>
    </row>
    <row r="45" spans="1:25" s="77" customFormat="1" x14ac:dyDescent="0.35">
      <c r="A45" s="2477"/>
      <c r="B45" s="2340"/>
      <c r="C45" s="2236"/>
      <c r="D45" s="2212"/>
      <c r="E45" s="2341"/>
      <c r="F45" s="2342"/>
      <c r="G45" s="2211"/>
      <c r="H45" s="2334"/>
      <c r="I45" s="2468"/>
      <c r="J45" s="2331"/>
      <c r="K45" s="2463"/>
      <c r="L45" s="2468"/>
      <c r="M45" s="2468"/>
      <c r="N45" s="2334"/>
      <c r="O45" s="2468"/>
      <c r="P45" s="2468"/>
      <c r="Q45" s="2468"/>
      <c r="R45" s="2468"/>
      <c r="S45" s="2468"/>
      <c r="T45" s="2468"/>
      <c r="U45" s="2468"/>
      <c r="V45" s="4031"/>
      <c r="W45" s="4031"/>
      <c r="X45" s="4031"/>
      <c r="Y45" s="4031"/>
    </row>
    <row r="46" spans="1:25" s="77" customFormat="1" x14ac:dyDescent="0.35">
      <c r="A46" s="2477"/>
      <c r="B46" s="2478"/>
      <c r="C46" s="2236"/>
      <c r="D46" s="2212"/>
      <c r="E46" s="2341"/>
      <c r="F46" s="2342"/>
      <c r="G46" s="2211"/>
      <c r="H46" s="2334"/>
      <c r="I46" s="2468"/>
      <c r="J46" s="2331"/>
      <c r="K46" s="2463"/>
      <c r="L46" s="2468"/>
      <c r="M46" s="2468"/>
      <c r="N46" s="2334"/>
      <c r="O46" s="2468"/>
      <c r="P46" s="2468"/>
      <c r="Q46" s="2468"/>
      <c r="R46" s="2468"/>
      <c r="S46" s="2468"/>
      <c r="T46" s="2468"/>
      <c r="U46" s="2468"/>
      <c r="V46" s="4031"/>
      <c r="W46" s="4031"/>
      <c r="X46" s="4031"/>
      <c r="Y46" s="4031"/>
    </row>
    <row r="47" spans="1:25" s="77" customFormat="1" x14ac:dyDescent="0.35">
      <c r="A47" s="2477"/>
      <c r="B47" s="2479"/>
      <c r="C47" s="2236"/>
      <c r="D47" s="2212"/>
      <c r="E47" s="2341"/>
      <c r="F47" s="2342"/>
      <c r="G47" s="2211"/>
      <c r="H47" s="2334"/>
      <c r="I47" s="2468"/>
      <c r="J47" s="2331"/>
      <c r="K47" s="2463"/>
      <c r="L47" s="2468"/>
      <c r="M47" s="2468"/>
      <c r="N47" s="2334"/>
      <c r="O47" s="2468"/>
      <c r="P47" s="2468"/>
      <c r="Q47" s="2468"/>
      <c r="R47" s="2468"/>
      <c r="S47" s="2468"/>
      <c r="T47" s="2468"/>
      <c r="U47" s="2468"/>
      <c r="V47" s="4031"/>
      <c r="W47" s="4031"/>
      <c r="X47" s="4031"/>
      <c r="Y47" s="4031"/>
    </row>
    <row r="48" spans="1:25" s="77" customFormat="1" x14ac:dyDescent="0.35">
      <c r="A48" s="2477"/>
      <c r="B48" s="128"/>
      <c r="C48" s="2236"/>
      <c r="D48" s="2212"/>
      <c r="E48" s="2341"/>
      <c r="F48" s="2342"/>
      <c r="G48" s="2211"/>
      <c r="H48" s="2334"/>
      <c r="I48" s="2468"/>
      <c r="J48" s="2331"/>
      <c r="K48" s="2463"/>
      <c r="L48" s="2468"/>
      <c r="M48" s="2468"/>
      <c r="N48" s="2334"/>
      <c r="O48" s="2468"/>
      <c r="P48" s="2468"/>
      <c r="Q48" s="2468"/>
      <c r="R48" s="2468"/>
      <c r="S48" s="2468"/>
      <c r="T48" s="2468"/>
      <c r="U48" s="2468"/>
      <c r="V48" s="4031"/>
      <c r="W48" s="4031"/>
      <c r="X48" s="4031"/>
      <c r="Y48" s="4031"/>
    </row>
    <row r="49" spans="1:25" s="77" customFormat="1" x14ac:dyDescent="0.35">
      <c r="A49" s="2477"/>
      <c r="B49" s="2340"/>
      <c r="C49" s="2236"/>
      <c r="D49" s="2212"/>
      <c r="E49" s="2341"/>
      <c r="F49" s="2342"/>
      <c r="G49" s="2211"/>
      <c r="H49" s="2334"/>
      <c r="I49" s="2468"/>
      <c r="J49" s="2331"/>
      <c r="K49" s="2463"/>
      <c r="L49" s="2468"/>
      <c r="M49" s="2468"/>
      <c r="N49" s="2334"/>
      <c r="O49" s="2468"/>
      <c r="P49" s="2468"/>
      <c r="Q49" s="2468"/>
      <c r="R49" s="2468"/>
      <c r="S49" s="2468"/>
      <c r="T49" s="2468"/>
      <c r="U49" s="2468"/>
      <c r="V49" s="4031"/>
      <c r="W49" s="4031"/>
      <c r="X49" s="4031"/>
      <c r="Y49" s="4031"/>
    </row>
    <row r="50" spans="1:25" s="77" customFormat="1" x14ac:dyDescent="0.35">
      <c r="A50" s="2477"/>
      <c r="B50" s="2340"/>
      <c r="C50" s="2236"/>
      <c r="D50" s="2212"/>
      <c r="E50" s="2341"/>
      <c r="F50" s="2342"/>
      <c r="G50" s="2211"/>
      <c r="H50" s="2334"/>
      <c r="I50" s="2468"/>
      <c r="J50" s="2331"/>
      <c r="K50" s="2463"/>
      <c r="L50" s="2468"/>
      <c r="M50" s="2468"/>
      <c r="N50" s="2334"/>
      <c r="O50" s="2468"/>
      <c r="P50" s="2468"/>
      <c r="Q50" s="2468"/>
      <c r="R50" s="2468"/>
      <c r="S50" s="2468"/>
      <c r="T50" s="2468"/>
      <c r="U50" s="2468"/>
      <c r="V50" s="4031"/>
      <c r="W50" s="4031"/>
      <c r="X50" s="4031"/>
      <c r="Y50" s="4031"/>
    </row>
    <row r="51" spans="1:25" s="77" customFormat="1" x14ac:dyDescent="0.35">
      <c r="A51" s="2477"/>
      <c r="B51" s="2340"/>
      <c r="C51" s="2236"/>
      <c r="D51" s="2212"/>
      <c r="E51" s="2341"/>
      <c r="F51" s="2342"/>
      <c r="G51" s="2211"/>
      <c r="H51" s="2334"/>
      <c r="I51" s="2468"/>
      <c r="J51" s="2331"/>
      <c r="K51" s="2463"/>
      <c r="L51" s="2468"/>
      <c r="M51" s="2468"/>
      <c r="N51" s="2334"/>
      <c r="O51" s="2468"/>
      <c r="P51" s="2468"/>
      <c r="Q51" s="2468"/>
      <c r="R51" s="2468"/>
      <c r="S51" s="2468"/>
      <c r="T51" s="2468"/>
      <c r="U51" s="2468"/>
      <c r="V51" s="4031"/>
      <c r="W51" s="4031"/>
      <c r="X51" s="4031"/>
      <c r="Y51" s="4031"/>
    </row>
    <row r="52" spans="1:25" s="77" customFormat="1" x14ac:dyDescent="0.35">
      <c r="A52" s="2477"/>
      <c r="B52" s="2340"/>
      <c r="C52" s="2236"/>
      <c r="D52" s="2212"/>
      <c r="E52" s="2341"/>
      <c r="F52" s="2342"/>
      <c r="G52" s="2211"/>
      <c r="H52" s="2334"/>
      <c r="I52" s="2468"/>
      <c r="J52" s="2331"/>
      <c r="K52" s="2463"/>
      <c r="L52" s="2468"/>
      <c r="M52" s="2468"/>
      <c r="N52" s="2334"/>
      <c r="O52" s="2468"/>
      <c r="P52" s="2468"/>
      <c r="Q52" s="2468"/>
      <c r="R52" s="2468"/>
      <c r="S52" s="2468"/>
      <c r="T52" s="2468"/>
      <c r="U52" s="2468"/>
      <c r="V52" s="4031"/>
      <c r="W52" s="4031"/>
      <c r="X52" s="4031"/>
      <c r="Y52" s="4031"/>
    </row>
    <row r="53" spans="1:25" s="77" customFormat="1" x14ac:dyDescent="0.35">
      <c r="A53" s="2477"/>
      <c r="B53" s="2340"/>
      <c r="C53" s="2236"/>
      <c r="D53" s="2212"/>
      <c r="E53" s="2341"/>
      <c r="F53" s="2342"/>
      <c r="G53" s="2211"/>
      <c r="H53" s="2334"/>
      <c r="I53" s="2468"/>
      <c r="J53" s="2331"/>
      <c r="K53" s="2463"/>
      <c r="L53" s="2468"/>
      <c r="M53" s="2468"/>
      <c r="N53" s="2334"/>
      <c r="O53" s="2468"/>
      <c r="P53" s="2468"/>
      <c r="Q53" s="2468"/>
      <c r="R53" s="2468"/>
      <c r="S53" s="2468"/>
      <c r="T53" s="2468"/>
      <c r="U53" s="2468"/>
      <c r="V53" s="4031"/>
      <c r="W53" s="4031"/>
      <c r="X53" s="4031"/>
      <c r="Y53" s="4031"/>
    </row>
    <row r="54" spans="1:25" s="77" customFormat="1" x14ac:dyDescent="0.35">
      <c r="A54" s="2477"/>
      <c r="B54" s="2340"/>
      <c r="C54" s="2236"/>
      <c r="D54" s="2212"/>
      <c r="E54" s="2341"/>
      <c r="F54" s="2342"/>
      <c r="G54" s="2211"/>
      <c r="H54" s="2334"/>
      <c r="I54" s="2468"/>
      <c r="J54" s="2331"/>
      <c r="K54" s="2463"/>
      <c r="L54" s="2468"/>
      <c r="M54" s="2468"/>
      <c r="N54" s="2334"/>
      <c r="O54" s="2468"/>
      <c r="P54" s="2468"/>
      <c r="Q54" s="2468"/>
      <c r="R54" s="2468"/>
      <c r="S54" s="2468"/>
      <c r="T54" s="2468"/>
      <c r="U54" s="2468"/>
      <c r="V54" s="4031"/>
      <c r="W54" s="4031"/>
      <c r="X54" s="4031"/>
      <c r="Y54" s="4031"/>
    </row>
    <row r="55" spans="1:25" s="77" customFormat="1" x14ac:dyDescent="0.35">
      <c r="A55" s="2477"/>
      <c r="B55" s="2340"/>
      <c r="C55" s="2236"/>
      <c r="D55" s="2212"/>
      <c r="E55" s="2341"/>
      <c r="F55" s="2342"/>
      <c r="G55" s="2211"/>
      <c r="H55" s="2334"/>
      <c r="I55" s="2468"/>
      <c r="J55" s="2331"/>
      <c r="K55" s="2463"/>
      <c r="L55" s="2468"/>
      <c r="M55" s="2468"/>
      <c r="N55" s="2334"/>
      <c r="O55" s="2468"/>
      <c r="P55" s="2468"/>
      <c r="Q55" s="2468"/>
      <c r="R55" s="2468"/>
      <c r="S55" s="2468"/>
      <c r="T55" s="2468"/>
      <c r="U55" s="2468"/>
      <c r="V55" s="4031"/>
      <c r="W55" s="4031"/>
      <c r="X55" s="4031"/>
      <c r="Y55" s="4031"/>
    </row>
    <row r="56" spans="1:25" s="77" customFormat="1" x14ac:dyDescent="0.35">
      <c r="A56" s="2477"/>
      <c r="B56" s="2340"/>
      <c r="C56" s="2236"/>
      <c r="D56" s="2212"/>
      <c r="E56" s="2341"/>
      <c r="F56" s="2342"/>
      <c r="G56" s="2211"/>
      <c r="H56" s="2334"/>
      <c r="I56" s="2468"/>
      <c r="J56" s="2331"/>
      <c r="K56" s="2463"/>
      <c r="L56" s="2468"/>
      <c r="M56" s="2468"/>
      <c r="N56" s="2334"/>
      <c r="O56" s="2468"/>
      <c r="P56" s="2468"/>
      <c r="Q56" s="2468"/>
      <c r="R56" s="2468"/>
      <c r="S56" s="2468"/>
      <c r="T56" s="2468"/>
      <c r="U56" s="2468"/>
      <c r="V56" s="4031"/>
      <c r="W56" s="4031"/>
      <c r="X56" s="4031"/>
      <c r="Y56" s="4031"/>
    </row>
    <row r="57" spans="1:25" s="77" customFormat="1" x14ac:dyDescent="0.35">
      <c r="A57" s="2477"/>
      <c r="B57" s="2340"/>
      <c r="C57" s="2236"/>
      <c r="D57" s="2212"/>
      <c r="E57" s="2341"/>
      <c r="F57" s="2342"/>
      <c r="G57" s="2211"/>
      <c r="H57" s="2334"/>
      <c r="I57" s="2468"/>
      <c r="J57" s="2331"/>
      <c r="K57" s="2463"/>
      <c r="L57" s="2468"/>
      <c r="M57" s="2468"/>
      <c r="N57" s="2334"/>
      <c r="O57" s="2468"/>
      <c r="P57" s="2468"/>
      <c r="Q57" s="2468"/>
      <c r="R57" s="2468"/>
      <c r="S57" s="2468"/>
      <c r="T57" s="2468"/>
      <c r="U57" s="2468"/>
      <c r="V57" s="4031"/>
      <c r="W57" s="4031"/>
      <c r="X57" s="4031"/>
      <c r="Y57" s="4031"/>
    </row>
    <row r="58" spans="1:25" s="77" customFormat="1" x14ac:dyDescent="0.35">
      <c r="A58" s="2477"/>
      <c r="B58" s="2340"/>
      <c r="C58" s="2236"/>
      <c r="D58" s="2212"/>
      <c r="E58" s="2341"/>
      <c r="F58" s="2342"/>
      <c r="G58" s="2211"/>
      <c r="H58" s="2334"/>
      <c r="I58" s="2468"/>
      <c r="J58" s="2331"/>
      <c r="K58" s="2463"/>
      <c r="L58" s="2468"/>
      <c r="M58" s="2468"/>
      <c r="N58" s="2334"/>
      <c r="O58" s="2468"/>
      <c r="P58" s="2468"/>
      <c r="Q58" s="2468"/>
      <c r="R58" s="2468"/>
      <c r="S58" s="2468"/>
      <c r="T58" s="2468"/>
      <c r="U58" s="2468"/>
      <c r="V58" s="4031"/>
      <c r="W58" s="4031"/>
      <c r="X58" s="4031"/>
      <c r="Y58" s="4031"/>
    </row>
    <row r="59" spans="1:25" s="77" customFormat="1" ht="15" thickBot="1" x14ac:dyDescent="0.4">
      <c r="A59" s="2477"/>
      <c r="B59" s="2340"/>
      <c r="C59" s="2236"/>
      <c r="D59" s="2212"/>
      <c r="E59" s="2341"/>
      <c r="F59" s="2342"/>
      <c r="G59" s="2211"/>
      <c r="H59" s="2334"/>
      <c r="I59" s="2468"/>
      <c r="J59" s="2331"/>
      <c r="K59" s="2463"/>
      <c r="L59" s="2468"/>
      <c r="M59" s="2468"/>
      <c r="N59" s="2334"/>
      <c r="O59" s="2468"/>
      <c r="P59" s="2468"/>
      <c r="Q59" s="2468"/>
      <c r="R59" s="2468"/>
      <c r="S59" s="2468"/>
      <c r="T59" s="2468"/>
      <c r="U59" s="2468"/>
      <c r="V59" s="4031"/>
      <c r="W59" s="4031"/>
      <c r="X59" s="4031"/>
      <c r="Y59" s="4031"/>
    </row>
    <row r="60" spans="1:25" ht="15" thickTop="1" x14ac:dyDescent="0.35">
      <c r="A60" s="14"/>
      <c r="B60" s="15"/>
      <c r="C60" s="16"/>
      <c r="D60" s="16"/>
      <c r="E60" s="17"/>
      <c r="F60" s="18" t="s">
        <v>715</v>
      </c>
      <c r="G60" s="19"/>
      <c r="H60" s="20"/>
      <c r="I60" s="50">
        <f>SUM(I23:I59)</f>
        <v>84260.78</v>
      </c>
      <c r="J60" s="20"/>
      <c r="K60" s="50">
        <f>SUM(K23:K59)</f>
        <v>139907.36000000002</v>
      </c>
      <c r="L60" s="20"/>
      <c r="M60" s="50">
        <f>SUM(M23:M59)</f>
        <v>143500</v>
      </c>
      <c r="N60" s="20"/>
      <c r="O60" s="50">
        <f>SUM(O23:O59)</f>
        <v>179570</v>
      </c>
      <c r="P60" s="20"/>
      <c r="Q60" s="50">
        <f>SUM(Q23:Q59)</f>
        <v>170360</v>
      </c>
      <c r="R60" s="20"/>
      <c r="S60" s="50">
        <f>SUM(S23:S59)</f>
        <v>140740</v>
      </c>
      <c r="T60" s="20"/>
      <c r="U60" s="50">
        <f>SUM(U23:U59)</f>
        <v>138558</v>
      </c>
      <c r="V60" s="20"/>
      <c r="W60" s="50">
        <f>SUM(W23:W59)</f>
        <v>138615</v>
      </c>
      <c r="X60" s="20"/>
      <c r="Y60" s="50">
        <f>SUM(Y23:Y59)</f>
        <v>143957</v>
      </c>
    </row>
    <row r="61" spans="1:25" x14ac:dyDescent="0.35">
      <c r="A61" s="2239"/>
      <c r="B61" s="2240"/>
      <c r="C61" s="2241"/>
      <c r="D61" s="2241"/>
      <c r="E61" s="2242"/>
      <c r="F61" s="2243" t="s">
        <v>716</v>
      </c>
      <c r="G61" s="2244"/>
      <c r="H61" s="2065">
        <v>0</v>
      </c>
      <c r="I61" s="2064"/>
      <c r="J61" s="2065">
        <v>0</v>
      </c>
      <c r="K61" s="2064"/>
      <c r="L61" s="2065">
        <v>0</v>
      </c>
      <c r="M61" s="2064"/>
      <c r="N61" s="2065">
        <v>0</v>
      </c>
      <c r="O61" s="2064"/>
      <c r="P61" s="2065">
        <v>0</v>
      </c>
      <c r="Q61" s="2064"/>
      <c r="R61" s="2065">
        <v>0</v>
      </c>
      <c r="S61" s="2064"/>
      <c r="T61" s="2065">
        <v>0</v>
      </c>
      <c r="U61" s="2064"/>
      <c r="V61" s="3270">
        <v>0</v>
      </c>
      <c r="W61" s="3418"/>
      <c r="X61" s="3270">
        <v>0</v>
      </c>
      <c r="Y61" s="3418"/>
    </row>
    <row r="62" spans="1:25" x14ac:dyDescent="0.35">
      <c r="A62" s="2239"/>
      <c r="B62" s="2240"/>
      <c r="C62" s="2241"/>
      <c r="D62" s="2241"/>
      <c r="E62" s="2242"/>
      <c r="F62" s="2243" t="s">
        <v>717</v>
      </c>
      <c r="G62" s="2244"/>
      <c r="H62" s="2066"/>
      <c r="I62" s="2067">
        <f>H61*I60</f>
        <v>0</v>
      </c>
      <c r="J62" s="2066"/>
      <c r="K62" s="2067">
        <f>J61*K60</f>
        <v>0</v>
      </c>
      <c r="L62" s="2066"/>
      <c r="M62" s="2067">
        <f>L61*M60</f>
        <v>0</v>
      </c>
      <c r="N62" s="2066"/>
      <c r="O62" s="2067">
        <f>N61*O60</f>
        <v>0</v>
      </c>
      <c r="P62" s="2066"/>
      <c r="Q62" s="2067">
        <f>P61*Q60</f>
        <v>0</v>
      </c>
      <c r="R62" s="2066"/>
      <c r="S62" s="2067">
        <f>R61*S60</f>
        <v>0</v>
      </c>
      <c r="T62" s="2066"/>
      <c r="U62" s="2067">
        <f>T61*U60</f>
        <v>0</v>
      </c>
      <c r="V62" s="3271"/>
      <c r="W62" s="3419">
        <f>V61*W60</f>
        <v>0</v>
      </c>
      <c r="X62" s="3271"/>
      <c r="Y62" s="3419">
        <f>X61*Y60</f>
        <v>0</v>
      </c>
    </row>
    <row r="63" spans="1:25" x14ac:dyDescent="0.35">
      <c r="A63" s="2239"/>
      <c r="B63" s="2240"/>
      <c r="C63" s="2241"/>
      <c r="D63" s="2241"/>
      <c r="E63" s="2242"/>
      <c r="F63" s="2243"/>
      <c r="G63" s="2244"/>
      <c r="H63" s="2066"/>
      <c r="I63" s="2068"/>
      <c r="J63" s="2066"/>
      <c r="K63" s="2068"/>
      <c r="L63" s="2066"/>
      <c r="M63" s="2068"/>
      <c r="N63" s="2066"/>
      <c r="O63" s="2068"/>
      <c r="P63" s="2066"/>
      <c r="Q63" s="2068"/>
      <c r="R63" s="2066"/>
      <c r="S63" s="2068"/>
      <c r="T63" s="2066"/>
      <c r="U63" s="2068"/>
      <c r="V63" s="3271"/>
      <c r="W63" s="3273"/>
      <c r="X63" s="3271"/>
      <c r="Y63" s="3273"/>
    </row>
    <row r="64" spans="1:25" x14ac:dyDescent="0.35">
      <c r="A64" s="2239"/>
      <c r="B64" s="2240"/>
      <c r="C64" s="2241"/>
      <c r="D64" s="2241"/>
      <c r="E64" s="2242"/>
      <c r="F64" s="2243" t="s">
        <v>718</v>
      </c>
      <c r="G64" s="2244"/>
      <c r="H64" s="2069"/>
      <c r="I64" s="2070">
        <f>SUM(I60:I62)</f>
        <v>84260.78</v>
      </c>
      <c r="J64" s="2069"/>
      <c r="K64" s="2070">
        <f>SUM(K60:K62)</f>
        <v>139907.36000000002</v>
      </c>
      <c r="L64" s="2069"/>
      <c r="M64" s="2070">
        <f>SUM(M60:M62)</f>
        <v>143500</v>
      </c>
      <c r="N64" s="2069"/>
      <c r="O64" s="2070">
        <f>SUM(O60:O62)</f>
        <v>179570</v>
      </c>
      <c r="P64" s="2069"/>
      <c r="Q64" s="2070">
        <f>SUM(Q60:Q62)</f>
        <v>170360</v>
      </c>
      <c r="R64" s="2069"/>
      <c r="S64" s="2070">
        <f>SUM(S60:S62)</f>
        <v>140740</v>
      </c>
      <c r="T64" s="2069"/>
      <c r="U64" s="2070">
        <f>SUM(U60:U62)</f>
        <v>138558</v>
      </c>
      <c r="V64" s="3274"/>
      <c r="W64" s="3272">
        <f>SUM(W60:W62)</f>
        <v>138615</v>
      </c>
      <c r="X64" s="3274"/>
      <c r="Y64" s="3272">
        <f>SUM(Y60:Y62)</f>
        <v>143957</v>
      </c>
    </row>
    <row r="65" spans="1:25" x14ac:dyDescent="0.35">
      <c r="A65" s="2239"/>
      <c r="B65" s="2240"/>
      <c r="C65" s="2241"/>
      <c r="D65" s="2241"/>
      <c r="E65" s="2242"/>
      <c r="F65" s="2255" t="s">
        <v>719</v>
      </c>
      <c r="G65" s="2256"/>
      <c r="H65" s="2073"/>
      <c r="I65" s="2074" t="e">
        <f>I64/#REF!</f>
        <v>#REF!</v>
      </c>
      <c r="J65" s="2073"/>
      <c r="K65" s="2074" t="e">
        <f>K64/#REF!</f>
        <v>#REF!</v>
      </c>
      <c r="L65" s="2073"/>
      <c r="M65" s="2074" t="e">
        <f>M64/#REF!</f>
        <v>#REF!</v>
      </c>
      <c r="N65" s="2073"/>
      <c r="O65" s="2074" t="e">
        <f>O64/#REF!</f>
        <v>#REF!</v>
      </c>
      <c r="P65" s="2073"/>
      <c r="Q65" s="2074" t="e">
        <f>Q64/#REF!</f>
        <v>#REF!</v>
      </c>
      <c r="R65" s="2073"/>
      <c r="S65" s="2074" t="e">
        <f>S64/#REF!</f>
        <v>#REF!</v>
      </c>
      <c r="T65" s="2073"/>
      <c r="U65" s="2074" t="e">
        <f>U64/#REF!</f>
        <v>#REF!</v>
      </c>
      <c r="V65" s="3276"/>
      <c r="W65" s="3277" t="e">
        <f>W64/#REF!</f>
        <v>#REF!</v>
      </c>
      <c r="X65" s="3276"/>
      <c r="Y65" s="3277" t="e">
        <f>Y64/#REF!</f>
        <v>#REF!</v>
      </c>
    </row>
    <row r="66" spans="1:25" x14ac:dyDescent="0.35">
      <c r="A66" s="2239"/>
      <c r="B66" s="2240"/>
      <c r="C66" s="2241"/>
      <c r="D66" s="2241"/>
      <c r="E66" s="2242"/>
      <c r="F66" s="2255" t="s">
        <v>720</v>
      </c>
      <c r="G66" s="2260"/>
      <c r="H66" s="2073"/>
      <c r="I66" s="2074" t="e">
        <f>I64/#REF!</f>
        <v>#REF!</v>
      </c>
      <c r="J66" s="2073"/>
      <c r="K66" s="2074" t="e">
        <f>K64/#REF!</f>
        <v>#REF!</v>
      </c>
      <c r="L66" s="2073"/>
      <c r="M66" s="2074" t="e">
        <f>M64/#REF!</f>
        <v>#REF!</v>
      </c>
      <c r="N66" s="2073"/>
      <c r="O66" s="2074" t="e">
        <f>O64/#REF!</f>
        <v>#REF!</v>
      </c>
      <c r="P66" s="2073"/>
      <c r="Q66" s="2074" t="e">
        <f>Q64/#REF!</f>
        <v>#REF!</v>
      </c>
      <c r="R66" s="2073"/>
      <c r="S66" s="2074" t="e">
        <f>S64/#REF!</f>
        <v>#REF!</v>
      </c>
      <c r="T66" s="2073"/>
      <c r="U66" s="2074" t="e">
        <f>U64/#REF!</f>
        <v>#REF!</v>
      </c>
      <c r="V66" s="3276"/>
      <c r="W66" s="3277" t="e">
        <f>W64/#REF!</f>
        <v>#REF!</v>
      </c>
      <c r="X66" s="3276"/>
      <c r="Y66" s="3277" t="e">
        <f>Y64/#REF!</f>
        <v>#REF!</v>
      </c>
    </row>
    <row r="67" spans="1:25" ht="15" thickBot="1" x14ac:dyDescent="0.4">
      <c r="A67" s="2239"/>
      <c r="B67" s="2240"/>
      <c r="C67" s="2241"/>
      <c r="D67" s="2241"/>
      <c r="E67" s="2242"/>
      <c r="F67" s="2243"/>
      <c r="G67" s="2261"/>
      <c r="H67" s="2077"/>
      <c r="I67" s="2078"/>
      <c r="J67" s="2077"/>
      <c r="K67" s="2078"/>
      <c r="L67" s="1285"/>
      <c r="M67" s="1285"/>
      <c r="N67" s="2077"/>
      <c r="O67" s="2078"/>
      <c r="P67" s="2077"/>
      <c r="Q67" s="2078"/>
      <c r="R67" s="2077"/>
      <c r="S67" s="2078"/>
      <c r="T67" s="2077"/>
      <c r="U67" s="2078"/>
      <c r="V67" s="1980"/>
      <c r="W67" s="3279"/>
      <c r="X67" s="1980"/>
      <c r="Y67" s="3279"/>
    </row>
    <row r="68" spans="1:25" ht="15.5" thickTop="1" thickBot="1" x14ac:dyDescent="0.4">
      <c r="A68" s="3764" t="s">
        <v>721</v>
      </c>
      <c r="B68" s="3765"/>
      <c r="C68" s="12"/>
      <c r="D68" s="12"/>
      <c r="E68" s="12"/>
      <c r="F68" s="12"/>
      <c r="G68" s="13"/>
      <c r="H68" s="21"/>
      <c r="I68" s="21"/>
      <c r="J68" s="21"/>
      <c r="K68" s="21"/>
      <c r="L68" s="21"/>
      <c r="M68" s="21"/>
      <c r="N68" s="21"/>
      <c r="O68" s="21"/>
      <c r="P68" s="21"/>
      <c r="Q68" s="21"/>
      <c r="R68" s="21"/>
      <c r="S68" s="21"/>
      <c r="T68" s="21"/>
      <c r="U68" s="21"/>
      <c r="V68" s="21"/>
      <c r="W68" s="21"/>
      <c r="X68" s="21"/>
      <c r="Y68" s="21"/>
    </row>
    <row r="69" spans="1:25" ht="15" thickTop="1" x14ac:dyDescent="0.35">
      <c r="A69" s="2480"/>
      <c r="B69" s="2284"/>
      <c r="C69" s="2481"/>
      <c r="D69" s="2481"/>
      <c r="E69" s="2481"/>
      <c r="F69" s="2481"/>
      <c r="G69" s="2482"/>
      <c r="H69" s="2483"/>
      <c r="I69" s="2483"/>
      <c r="J69" s="2483"/>
      <c r="K69" s="2483"/>
      <c r="L69" s="2483"/>
      <c r="M69" s="2483"/>
      <c r="N69" s="2483"/>
      <c r="O69" s="2483"/>
      <c r="P69" s="2483"/>
      <c r="Q69" s="2483"/>
      <c r="R69" s="2483"/>
      <c r="S69" s="2483"/>
      <c r="T69" s="2483"/>
      <c r="U69" s="2483"/>
      <c r="V69" s="3543"/>
      <c r="W69" s="3543"/>
      <c r="X69" s="3543"/>
      <c r="Y69" s="3543"/>
    </row>
    <row r="70" spans="1:25" s="2" customFormat="1" x14ac:dyDescent="0.35">
      <c r="A70" s="2480"/>
      <c r="B70" s="2284"/>
      <c r="C70" s="2481"/>
      <c r="D70" s="2481"/>
      <c r="E70" s="2481"/>
      <c r="F70" s="2481"/>
      <c r="G70" s="2482"/>
      <c r="H70" s="2483"/>
      <c r="I70" s="2483"/>
      <c r="J70" s="2483"/>
      <c r="K70" s="2483"/>
      <c r="L70" s="2483"/>
      <c r="M70" s="2483"/>
      <c r="N70" s="2483"/>
      <c r="O70" s="2483"/>
      <c r="P70" s="2483"/>
      <c r="Q70" s="2483"/>
      <c r="R70" s="2483"/>
      <c r="S70" s="2483"/>
      <c r="T70" s="2483"/>
      <c r="U70" s="2483"/>
      <c r="V70" s="3543"/>
      <c r="W70" s="3543"/>
      <c r="X70" s="3543"/>
      <c r="Y70" s="3543"/>
    </row>
    <row r="71" spans="1:25" s="2" customFormat="1" ht="15" thickBot="1" x14ac:dyDescent="0.4">
      <c r="A71" s="2480"/>
      <c r="B71" s="2284"/>
      <c r="C71" s="2481"/>
      <c r="D71" s="2481"/>
      <c r="E71" s="2481"/>
      <c r="F71" s="2481"/>
      <c r="G71" s="2482"/>
      <c r="H71" s="2483"/>
      <c r="I71" s="2483"/>
      <c r="J71" s="2483"/>
      <c r="K71" s="2483"/>
      <c r="L71" s="2483"/>
      <c r="M71" s="2483"/>
      <c r="N71" s="2483"/>
      <c r="O71" s="2483"/>
      <c r="P71" s="2483"/>
      <c r="Q71" s="2483"/>
      <c r="R71" s="2483"/>
      <c r="S71" s="2483"/>
      <c r="T71" s="2483"/>
      <c r="U71" s="2483"/>
      <c r="V71" s="3543"/>
      <c r="W71" s="3543"/>
      <c r="X71" s="3543"/>
      <c r="Y71" s="3543"/>
    </row>
    <row r="72" spans="1:25" ht="15.5" thickTop="1" thickBot="1" x14ac:dyDescent="0.4">
      <c r="A72" s="3764" t="s">
        <v>722</v>
      </c>
      <c r="B72" s="3765"/>
      <c r="C72" s="12"/>
      <c r="D72" s="12"/>
      <c r="E72" s="12"/>
      <c r="F72" s="12"/>
      <c r="G72" s="13"/>
      <c r="H72" s="21"/>
      <c r="I72" s="21"/>
      <c r="J72" s="21"/>
      <c r="K72" s="21"/>
      <c r="L72" s="21"/>
      <c r="M72" s="21"/>
      <c r="N72" s="21"/>
      <c r="O72" s="21"/>
      <c r="P72" s="21"/>
      <c r="Q72" s="21"/>
      <c r="R72" s="21"/>
      <c r="S72" s="21"/>
      <c r="T72" s="21"/>
      <c r="U72" s="21"/>
      <c r="V72" s="21"/>
      <c r="W72" s="21"/>
      <c r="X72" s="21"/>
      <c r="Y72" s="21"/>
    </row>
    <row r="73" spans="1:25" s="2" customFormat="1" ht="15" thickTop="1" x14ac:dyDescent="0.35">
      <c r="A73" s="2480"/>
      <c r="B73" s="2284"/>
      <c r="C73" s="2481"/>
      <c r="D73" s="2481"/>
      <c r="E73" s="2481"/>
      <c r="F73" s="2481"/>
      <c r="G73" s="2482"/>
      <c r="H73" s="2483"/>
      <c r="I73" s="2483"/>
      <c r="J73" s="2483"/>
      <c r="K73" s="2483"/>
      <c r="L73" s="2483"/>
      <c r="M73" s="2483"/>
      <c r="N73" s="2483"/>
      <c r="O73" s="2483"/>
      <c r="P73" s="2483"/>
      <c r="Q73" s="2483"/>
      <c r="R73" s="2483"/>
      <c r="S73" s="2483"/>
      <c r="T73" s="2483"/>
      <c r="U73" s="2483"/>
      <c r="V73" s="3543"/>
      <c r="W73" s="3543"/>
      <c r="X73" s="3543"/>
      <c r="Y73" s="3543"/>
    </row>
    <row r="74" spans="1:25" s="2" customFormat="1" x14ac:dyDescent="0.35">
      <c r="A74" s="2480"/>
      <c r="B74" s="2284"/>
      <c r="C74" s="2481"/>
      <c r="D74" s="2481"/>
      <c r="E74" s="2481"/>
      <c r="F74" s="2481"/>
      <c r="G74" s="2482"/>
      <c r="H74" s="2483"/>
      <c r="I74" s="2483"/>
      <c r="J74" s="2483"/>
      <c r="K74" s="2483"/>
      <c r="L74" s="2483"/>
      <c r="M74" s="2483"/>
      <c r="N74" s="2483"/>
      <c r="O74" s="2483"/>
      <c r="P74" s="2483"/>
      <c r="Q74" s="2483"/>
      <c r="R74" s="2483"/>
      <c r="S74" s="2483"/>
      <c r="T74" s="2483"/>
      <c r="U74" s="2483"/>
      <c r="V74" s="3543"/>
      <c r="W74" s="3543"/>
      <c r="X74" s="3543"/>
      <c r="Y74" s="3543"/>
    </row>
    <row r="75" spans="1:25" ht="15" thickBot="1" x14ac:dyDescent="0.4">
      <c r="A75" s="2480"/>
      <c r="B75" s="2284"/>
      <c r="C75" s="2481"/>
      <c r="D75" s="2481"/>
      <c r="E75" s="2481"/>
      <c r="F75" s="2481"/>
      <c r="G75" s="2482"/>
      <c r="H75" s="2483"/>
      <c r="I75" s="2483"/>
      <c r="J75" s="2483"/>
      <c r="K75" s="2483"/>
      <c r="L75" s="2483"/>
      <c r="M75" s="2483"/>
      <c r="N75" s="2483"/>
      <c r="O75" s="2483"/>
      <c r="P75" s="2483"/>
      <c r="Q75" s="2483"/>
      <c r="R75" s="2483"/>
      <c r="S75" s="2483"/>
      <c r="T75" s="2483"/>
      <c r="U75" s="2483"/>
      <c r="V75" s="3543"/>
      <c r="W75" s="3543"/>
      <c r="X75" s="3543"/>
      <c r="Y75" s="3543"/>
    </row>
    <row r="76" spans="1:25" ht="15.5" thickTop="1" thickBot="1" x14ac:dyDescent="0.4">
      <c r="A76" s="3764" t="s">
        <v>723</v>
      </c>
      <c r="B76" s="3765"/>
      <c r="C76" s="12"/>
      <c r="D76" s="12"/>
      <c r="E76" s="12"/>
      <c r="F76" s="12"/>
      <c r="G76" s="13"/>
      <c r="H76" s="21"/>
      <c r="I76" s="21"/>
      <c r="J76" s="21"/>
      <c r="K76" s="21"/>
      <c r="L76" s="21"/>
      <c r="M76" s="21"/>
      <c r="N76" s="21"/>
      <c r="O76" s="21"/>
      <c r="P76" s="21"/>
      <c r="Q76" s="21"/>
      <c r="R76" s="21"/>
      <c r="S76" s="21"/>
      <c r="T76" s="21"/>
      <c r="U76" s="21"/>
      <c r="V76" s="21"/>
      <c r="W76" s="21"/>
      <c r="X76" s="21"/>
      <c r="Y76" s="21"/>
    </row>
    <row r="77" spans="1:25" ht="15" thickTop="1" x14ac:dyDescent="0.35">
      <c r="A77" s="2480"/>
      <c r="B77" s="2284"/>
      <c r="C77" s="2481"/>
      <c r="D77" s="2481"/>
      <c r="E77" s="2481"/>
      <c r="F77" s="2481"/>
      <c r="G77" s="2482"/>
      <c r="H77" s="2483"/>
      <c r="I77" s="2483"/>
      <c r="J77" s="2483"/>
      <c r="K77" s="2483"/>
      <c r="L77" s="2483"/>
      <c r="M77" s="2483"/>
      <c r="N77" s="2483"/>
      <c r="O77" s="2483"/>
      <c r="P77" s="2483"/>
      <c r="Q77" s="2483"/>
      <c r="R77" s="2483"/>
      <c r="S77" s="2483"/>
      <c r="T77" s="2483"/>
      <c r="U77" s="2483"/>
      <c r="V77" s="3543"/>
      <c r="W77" s="3543"/>
      <c r="X77" s="3543"/>
      <c r="Y77" s="3543"/>
    </row>
    <row r="78" spans="1:25" x14ac:dyDescent="0.35">
      <c r="A78" s="2286"/>
      <c r="B78" s="2284"/>
      <c r="C78" s="2285"/>
      <c r="D78" s="2285"/>
      <c r="E78" s="2285"/>
      <c r="F78" s="2285"/>
      <c r="G78" s="2198"/>
      <c r="H78" s="2081"/>
      <c r="I78" s="2081"/>
      <c r="J78" s="2081"/>
      <c r="K78" s="2081"/>
      <c r="L78" s="2081"/>
      <c r="M78" s="2081"/>
      <c r="N78" s="2081"/>
      <c r="O78" s="2081"/>
      <c r="P78" s="2081"/>
      <c r="Q78" s="2081"/>
      <c r="R78" s="2081"/>
      <c r="S78" s="2081"/>
      <c r="T78" s="2081"/>
      <c r="U78" s="2081"/>
      <c r="V78" s="3284"/>
      <c r="W78" s="3284"/>
      <c r="X78" s="3284"/>
      <c r="Y78" s="3284"/>
    </row>
    <row r="79" spans="1:25" ht="15" thickBot="1" x14ac:dyDescent="0.4">
      <c r="A79" s="2269"/>
      <c r="B79" s="2270"/>
      <c r="C79" s="2285"/>
      <c r="D79" s="2285"/>
      <c r="E79" s="2285"/>
      <c r="F79" s="2285"/>
      <c r="G79" s="2198"/>
      <c r="H79" s="2084"/>
      <c r="I79" s="2084"/>
      <c r="J79" s="2084"/>
      <c r="K79" s="2084"/>
      <c r="L79" s="2084"/>
      <c r="M79" s="2084"/>
      <c r="N79" s="2084"/>
      <c r="O79" s="2084"/>
      <c r="P79" s="2084"/>
      <c r="Q79" s="2084"/>
      <c r="R79" s="2084"/>
      <c r="S79" s="2084"/>
      <c r="T79" s="2084"/>
      <c r="U79" s="2084"/>
      <c r="V79" s="3287"/>
      <c r="W79" s="3287"/>
      <c r="X79" s="3287"/>
      <c r="Y79" s="3287"/>
    </row>
    <row r="80" spans="1:25" ht="15.5" thickTop="1" thickBot="1" x14ac:dyDescent="0.4">
      <c r="A80" s="3764" t="s">
        <v>724</v>
      </c>
      <c r="B80" s="3765"/>
      <c r="C80" s="12"/>
      <c r="D80" s="12"/>
      <c r="E80" s="12"/>
      <c r="F80" s="12"/>
      <c r="G80" s="13"/>
      <c r="H80" s="21"/>
      <c r="I80" s="21"/>
      <c r="J80" s="21"/>
      <c r="K80" s="21"/>
      <c r="L80" s="21"/>
      <c r="M80" s="21"/>
      <c r="N80" s="21"/>
      <c r="O80" s="21"/>
      <c r="P80" s="21"/>
      <c r="Q80" s="21"/>
      <c r="R80" s="21"/>
      <c r="S80" s="21"/>
      <c r="T80" s="21"/>
      <c r="U80" s="21"/>
      <c r="V80" s="21"/>
      <c r="W80" s="21"/>
      <c r="X80" s="21"/>
      <c r="Y80" s="21"/>
    </row>
    <row r="81" spans="1:25" ht="15" thickTop="1" x14ac:dyDescent="0.35">
      <c r="A81" s="2484"/>
      <c r="B81" s="2485"/>
      <c r="C81" s="2481"/>
      <c r="D81" s="2481"/>
      <c r="E81" s="2481"/>
      <c r="F81" s="2481"/>
      <c r="G81" s="2482"/>
      <c r="H81" s="2483"/>
      <c r="I81" s="2483"/>
      <c r="J81" s="2483"/>
      <c r="K81" s="2483"/>
      <c r="L81" s="2483"/>
      <c r="M81" s="2483"/>
      <c r="N81" s="2483"/>
      <c r="O81" s="2483"/>
      <c r="P81" s="2483"/>
      <c r="Q81" s="2483"/>
      <c r="R81" s="2483"/>
      <c r="S81" s="2483"/>
      <c r="T81" s="2483"/>
      <c r="U81" s="2483"/>
      <c r="V81" s="3543"/>
      <c r="W81" s="3543"/>
      <c r="X81" s="3543"/>
      <c r="Y81" s="3543"/>
    </row>
    <row r="82" spans="1:25" x14ac:dyDescent="0.35">
      <c r="A82" s="2269"/>
      <c r="B82" s="2270"/>
      <c r="C82" s="2285"/>
      <c r="D82" s="2285"/>
      <c r="E82" s="2285"/>
      <c r="F82" s="2285"/>
      <c r="G82" s="2198"/>
      <c r="H82" s="2087"/>
      <c r="I82" s="2087"/>
      <c r="J82" s="2087"/>
      <c r="K82" s="2087"/>
      <c r="L82" s="2087"/>
      <c r="M82" s="2087"/>
      <c r="N82" s="2087"/>
      <c r="O82" s="2087"/>
      <c r="P82" s="2087"/>
      <c r="Q82" s="2087"/>
      <c r="R82" s="2087"/>
      <c r="S82" s="2087"/>
      <c r="T82" s="2087"/>
      <c r="U82" s="2087"/>
      <c r="V82" s="3289"/>
      <c r="W82" s="3289"/>
      <c r="X82" s="3289"/>
      <c r="Y82" s="3289"/>
    </row>
    <row r="83" spans="1:25" ht="15" thickBot="1" x14ac:dyDescent="0.4">
      <c r="A83" s="2269"/>
      <c r="B83" s="2270"/>
      <c r="C83" s="2285"/>
      <c r="D83" s="2285"/>
      <c r="E83" s="2285"/>
      <c r="F83" s="2285"/>
      <c r="G83" s="2198"/>
      <c r="H83" s="2087"/>
      <c r="I83" s="2087"/>
      <c r="J83" s="2087"/>
      <c r="K83" s="2087"/>
      <c r="L83" s="2087"/>
      <c r="M83" s="2087"/>
      <c r="N83" s="2087"/>
      <c r="O83" s="2087"/>
      <c r="P83" s="2087"/>
      <c r="Q83" s="2087"/>
      <c r="R83" s="2087"/>
      <c r="S83" s="2087"/>
      <c r="T83" s="2087"/>
      <c r="U83" s="2087"/>
      <c r="V83" s="3289"/>
      <c r="W83" s="3289"/>
      <c r="X83" s="3289"/>
      <c r="Y83" s="3289"/>
    </row>
    <row r="84" spans="1:25" ht="15.5" thickTop="1" thickBot="1" x14ac:dyDescent="0.4">
      <c r="A84" s="3764" t="s">
        <v>725</v>
      </c>
      <c r="B84" s="3765"/>
      <c r="C84" s="12"/>
      <c r="D84" s="12"/>
      <c r="E84" s="12"/>
      <c r="F84" s="12"/>
      <c r="G84" s="13"/>
      <c r="H84" s="21"/>
      <c r="I84" s="21"/>
      <c r="J84" s="21"/>
      <c r="K84" s="21"/>
      <c r="L84" s="21"/>
      <c r="M84" s="21"/>
      <c r="N84" s="21"/>
      <c r="O84" s="21"/>
      <c r="P84" s="21"/>
      <c r="Q84" s="21"/>
      <c r="R84" s="21"/>
      <c r="S84" s="21"/>
      <c r="T84" s="21"/>
      <c r="U84" s="21"/>
      <c r="V84" s="21"/>
      <c r="W84" s="21"/>
      <c r="X84" s="21"/>
      <c r="Y84" s="21"/>
    </row>
    <row r="85" spans="1:25" ht="15" thickTop="1" x14ac:dyDescent="0.35">
      <c r="A85" s="2286"/>
      <c r="B85" s="2284" t="s">
        <v>726</v>
      </c>
      <c r="C85" s="2285"/>
      <c r="D85" s="2285"/>
      <c r="E85" s="2285"/>
      <c r="F85" s="2285"/>
      <c r="G85" s="2198"/>
      <c r="H85" s="2087"/>
      <c r="I85" s="2087"/>
      <c r="J85" s="2087"/>
      <c r="K85" s="2087"/>
      <c r="L85" s="2087"/>
      <c r="M85" s="2087"/>
      <c r="N85" s="2087"/>
      <c r="O85" s="2087"/>
      <c r="P85" s="2087"/>
      <c r="Q85" s="2087"/>
      <c r="R85" s="2087"/>
      <c r="S85" s="2087"/>
      <c r="T85" s="2087"/>
      <c r="U85" s="2087"/>
      <c r="V85" s="3289"/>
      <c r="W85" s="3289"/>
      <c r="X85" s="3289"/>
      <c r="Y85" s="3289"/>
    </row>
    <row r="86" spans="1:25" x14ac:dyDescent="0.35">
      <c r="A86" s="2286"/>
      <c r="B86" s="2284" t="s">
        <v>727</v>
      </c>
      <c r="C86" s="2285"/>
      <c r="D86" s="2285"/>
      <c r="E86" s="2285"/>
      <c r="F86" s="2285"/>
      <c r="G86" s="2198"/>
      <c r="H86" s="2087"/>
      <c r="I86" s="2087"/>
      <c r="J86" s="2087"/>
      <c r="K86" s="2087"/>
      <c r="L86" s="2087"/>
      <c r="M86" s="2087"/>
      <c r="N86" s="2087"/>
      <c r="O86" s="2087"/>
      <c r="P86" s="2087"/>
      <c r="Q86" s="2087"/>
      <c r="R86" s="2087"/>
      <c r="S86" s="2087"/>
      <c r="T86" s="2087"/>
      <c r="U86" s="2087"/>
      <c r="V86" s="3289"/>
      <c r="W86" s="3289"/>
      <c r="X86" s="3289"/>
      <c r="Y86" s="3289"/>
    </row>
    <row r="87" spans="1:25" x14ac:dyDescent="0.35">
      <c r="A87" s="2286"/>
      <c r="B87" s="2284" t="s">
        <v>728</v>
      </c>
      <c r="C87" s="2285"/>
      <c r="D87" s="2285"/>
      <c r="E87" s="2285"/>
      <c r="F87" s="2285"/>
      <c r="G87" s="2198"/>
      <c r="H87" s="2087"/>
      <c r="I87" s="2087"/>
      <c r="J87" s="2087"/>
      <c r="K87" s="2087"/>
      <c r="L87" s="2087"/>
      <c r="M87" s="2087"/>
      <c r="N87" s="2087"/>
      <c r="O87" s="2087"/>
      <c r="P87" s="2087"/>
      <c r="Q87" s="2087"/>
      <c r="R87" s="2087"/>
      <c r="S87" s="2087"/>
      <c r="T87" s="2087"/>
      <c r="U87" s="2087"/>
      <c r="V87" s="3289"/>
      <c r="W87" s="3289"/>
      <c r="X87" s="3289"/>
      <c r="Y87" s="3289"/>
    </row>
    <row r="88" spans="1:25" x14ac:dyDescent="0.35">
      <c r="A88" s="2286"/>
      <c r="B88" s="2284" t="s">
        <v>729</v>
      </c>
      <c r="C88" s="2285"/>
      <c r="D88" s="2285"/>
      <c r="E88" s="2285"/>
      <c r="F88" s="2285"/>
      <c r="G88" s="2198"/>
      <c r="H88" s="2087"/>
      <c r="I88" s="2087"/>
      <c r="J88" s="2087"/>
      <c r="K88" s="2087"/>
      <c r="L88" s="2087"/>
      <c r="M88" s="2087"/>
      <c r="N88" s="2087"/>
      <c r="O88" s="2087"/>
      <c r="P88" s="2087"/>
      <c r="Q88" s="2087"/>
      <c r="R88" s="2087"/>
      <c r="S88" s="2087"/>
      <c r="T88" s="2087"/>
      <c r="U88" s="2087"/>
      <c r="V88" s="3289"/>
      <c r="W88" s="3289"/>
      <c r="X88" s="3289"/>
      <c r="Y88" s="3289"/>
    </row>
    <row r="89" spans="1:25" ht="15" thickBot="1" x14ac:dyDescent="0.4">
      <c r="A89" s="978"/>
      <c r="B89" s="939"/>
      <c r="C89" s="940"/>
      <c r="D89" s="940"/>
      <c r="E89" s="940"/>
      <c r="F89" s="940"/>
      <c r="G89" s="1039"/>
      <c r="H89" s="981"/>
      <c r="I89" s="981"/>
      <c r="J89" s="981"/>
      <c r="K89" s="981"/>
      <c r="L89" s="981"/>
      <c r="M89" s="981"/>
      <c r="N89" s="981"/>
      <c r="O89" s="981"/>
      <c r="P89" s="981"/>
      <c r="Q89" s="981"/>
      <c r="R89" s="981"/>
      <c r="S89" s="981"/>
      <c r="T89" s="981"/>
      <c r="U89" s="981"/>
      <c r="V89" s="981"/>
      <c r="W89" s="981"/>
      <c r="X89" s="981"/>
      <c r="Y89" s="981"/>
    </row>
    <row r="90" spans="1:25" ht="15.5" thickTop="1" thickBot="1" x14ac:dyDescent="0.4">
      <c r="A90" s="7" t="s">
        <v>730</v>
      </c>
      <c r="B90" s="8"/>
      <c r="C90" s="12"/>
      <c r="D90" s="12"/>
      <c r="E90" s="12"/>
      <c r="F90" s="12"/>
      <c r="G90" s="13"/>
      <c r="H90" s="21"/>
      <c r="I90" s="21"/>
      <c r="J90" s="21"/>
      <c r="K90" s="21"/>
      <c r="L90" s="21"/>
      <c r="M90" s="21"/>
      <c r="N90" s="21"/>
      <c r="O90" s="21"/>
      <c r="P90" s="21"/>
      <c r="Q90" s="21"/>
      <c r="R90" s="21"/>
      <c r="S90" s="21"/>
      <c r="T90" s="21"/>
      <c r="U90" s="21"/>
      <c r="V90" s="21"/>
      <c r="W90" s="21"/>
      <c r="X90" s="21"/>
      <c r="Y90" s="21"/>
    </row>
    <row r="91" spans="1:25" ht="15" thickTop="1" x14ac:dyDescent="0.35">
      <c r="A91" s="2480"/>
      <c r="B91" s="2486" t="s">
        <v>731</v>
      </c>
      <c r="C91" s="2481"/>
      <c r="D91" s="2481"/>
      <c r="E91" s="2481"/>
      <c r="F91" s="2481"/>
      <c r="G91" s="2482"/>
      <c r="H91" s="2487"/>
      <c r="I91" s="2487"/>
      <c r="J91" s="2487"/>
      <c r="K91" s="2487"/>
      <c r="L91" s="2487"/>
      <c r="M91" s="2487"/>
      <c r="N91" s="2487"/>
      <c r="O91" s="2487"/>
      <c r="P91" s="2487"/>
      <c r="Q91" s="2487"/>
      <c r="R91" s="2487"/>
      <c r="S91" s="2487"/>
      <c r="T91" s="2487"/>
      <c r="U91" s="2487"/>
      <c r="V91" s="3547"/>
      <c r="W91" s="3547"/>
      <c r="X91" s="3547"/>
      <c r="Y91" s="3547"/>
    </row>
    <row r="92" spans="1:25" x14ac:dyDescent="0.35">
      <c r="A92" s="2286"/>
      <c r="B92" s="2284" t="s">
        <v>732</v>
      </c>
      <c r="C92" s="2285"/>
      <c r="D92" s="2285"/>
      <c r="E92" s="2285"/>
      <c r="F92" s="2285"/>
      <c r="G92" s="2198"/>
      <c r="H92" s="2158"/>
      <c r="I92" s="2158"/>
      <c r="J92" s="2158"/>
      <c r="K92" s="2158"/>
      <c r="L92" s="2158"/>
      <c r="M92" s="2158"/>
      <c r="N92" s="2158"/>
      <c r="O92" s="2158"/>
      <c r="P92" s="2158"/>
      <c r="Q92" s="2158"/>
      <c r="R92" s="2158"/>
      <c r="S92" s="2158"/>
      <c r="T92" s="2158"/>
      <c r="U92" s="2158"/>
      <c r="V92" s="3290"/>
      <c r="W92" s="3290"/>
      <c r="X92" s="3290"/>
      <c r="Y92" s="3290"/>
    </row>
    <row r="93" spans="1:25" ht="15" thickBot="1" x14ac:dyDescent="0.4">
      <c r="A93" s="2089"/>
      <c r="B93" s="2090" t="s">
        <v>733</v>
      </c>
      <c r="C93" s="2091"/>
      <c r="D93" s="2091"/>
      <c r="E93" s="2091"/>
      <c r="F93" s="2091"/>
      <c r="G93" s="2092"/>
      <c r="H93" s="2093"/>
      <c r="I93" s="2093"/>
      <c r="J93" s="2093"/>
      <c r="K93" s="2093"/>
      <c r="L93" s="2093"/>
      <c r="M93" s="2093"/>
      <c r="N93" s="2093"/>
      <c r="O93" s="2093"/>
      <c r="P93" s="2093"/>
      <c r="Q93" s="2093"/>
      <c r="R93" s="2093"/>
      <c r="S93" s="2093"/>
      <c r="T93" s="2093"/>
      <c r="U93" s="2093"/>
      <c r="V93" s="1994"/>
      <c r="W93" s="1994"/>
      <c r="X93" s="1994"/>
      <c r="Y93" s="1994"/>
    </row>
    <row r="94" spans="1:25" ht="15.5" thickTop="1" thickBot="1" x14ac:dyDescent="0.4">
      <c r="V94" s="2"/>
      <c r="W94" s="2"/>
      <c r="X94" s="2"/>
      <c r="Y94" s="2"/>
    </row>
    <row r="95" spans="1:25" x14ac:dyDescent="0.35">
      <c r="A95" s="78" t="s">
        <v>734</v>
      </c>
      <c r="B95" s="80"/>
      <c r="V95" s="2"/>
      <c r="W95" s="2"/>
      <c r="X95" s="2"/>
      <c r="Y95" s="2"/>
    </row>
    <row r="96" spans="1:25" x14ac:dyDescent="0.35">
      <c r="A96" s="79" t="s">
        <v>632</v>
      </c>
      <c r="B96" s="2094" t="str">
        <f>J4</f>
        <v>Sirius Maintenance</v>
      </c>
      <c r="V96" s="2"/>
      <c r="W96" s="2"/>
      <c r="X96" s="2"/>
      <c r="Y96" s="2"/>
    </row>
    <row r="97" spans="1:2" x14ac:dyDescent="0.35">
      <c r="A97" s="2279" t="s">
        <v>636</v>
      </c>
      <c r="B97" s="2094" t="str">
        <f>J5</f>
        <v>Richard Leal</v>
      </c>
    </row>
    <row r="98" spans="1:2" x14ac:dyDescent="0.35">
      <c r="A98" s="2096" t="s">
        <v>639</v>
      </c>
      <c r="B98" s="2097">
        <f>J6</f>
        <v>7865542099</v>
      </c>
    </row>
    <row r="99" spans="1:2" x14ac:dyDescent="0.35">
      <c r="A99" s="2096" t="s">
        <v>642</v>
      </c>
      <c r="B99" s="2159" t="str">
        <f>J7</f>
        <v>richard@siriusmaintenance.net</v>
      </c>
    </row>
    <row r="100" spans="1:2" x14ac:dyDescent="0.35">
      <c r="A100" s="2099" t="s">
        <v>735</v>
      </c>
      <c r="B100" s="2100">
        <f>J8</f>
        <v>139907.36000000002</v>
      </c>
    </row>
    <row r="102" spans="1:2" x14ac:dyDescent="0.35">
      <c r="A102" s="81"/>
      <c r="B102" s="1" t="s">
        <v>736</v>
      </c>
    </row>
    <row r="103" spans="1:2" x14ac:dyDescent="0.35">
      <c r="A103" s="82"/>
      <c r="B103" s="1" t="s">
        <v>737</v>
      </c>
    </row>
  </sheetData>
  <mergeCells count="68">
    <mergeCell ref="V7:W7"/>
    <mergeCell ref="V8:W8"/>
    <mergeCell ref="X2:Y2"/>
    <mergeCell ref="X3:Y3"/>
    <mergeCell ref="X4:Y4"/>
    <mergeCell ref="X5:Y5"/>
    <mergeCell ref="X6:Y6"/>
    <mergeCell ref="X7:Y7"/>
    <mergeCell ref="X8:Y8"/>
    <mergeCell ref="V2:W2"/>
    <mergeCell ref="V3:W3"/>
    <mergeCell ref="V4:W4"/>
    <mergeCell ref="V5:W5"/>
    <mergeCell ref="V6:W6"/>
    <mergeCell ref="H1:I1"/>
    <mergeCell ref="A68:B68"/>
    <mergeCell ref="A72:B72"/>
    <mergeCell ref="A76:B76"/>
    <mergeCell ref="A80:B80"/>
    <mergeCell ref="A84:B84"/>
    <mergeCell ref="T8:U8"/>
    <mergeCell ref="J7:K7"/>
    <mergeCell ref="H7:I7"/>
    <mergeCell ref="N7:O7"/>
    <mergeCell ref="P7:Q7"/>
    <mergeCell ref="R7:S7"/>
    <mergeCell ref="T7:U7"/>
    <mergeCell ref="J8:K8"/>
    <mergeCell ref="H8:I8"/>
    <mergeCell ref="N8:O8"/>
    <mergeCell ref="P8:Q8"/>
    <mergeCell ref="R8:S8"/>
    <mergeCell ref="L7:M7"/>
    <mergeCell ref="L8:M8"/>
    <mergeCell ref="T6:U6"/>
    <mergeCell ref="J5:K5"/>
    <mergeCell ref="H5:I5"/>
    <mergeCell ref="N5:O5"/>
    <mergeCell ref="P5:Q5"/>
    <mergeCell ref="R5:S5"/>
    <mergeCell ref="T5:U5"/>
    <mergeCell ref="J6:K6"/>
    <mergeCell ref="H6:I6"/>
    <mergeCell ref="N6:O6"/>
    <mergeCell ref="P6:Q6"/>
    <mergeCell ref="R6:S6"/>
    <mergeCell ref="L5:M5"/>
    <mergeCell ref="L6:M6"/>
    <mergeCell ref="T4:U4"/>
    <mergeCell ref="L3:M3"/>
    <mergeCell ref="H3:I3"/>
    <mergeCell ref="N3:O3"/>
    <mergeCell ref="P3:Q3"/>
    <mergeCell ref="R3:S3"/>
    <mergeCell ref="T3:U3"/>
    <mergeCell ref="J4:K4"/>
    <mergeCell ref="H4:I4"/>
    <mergeCell ref="N4:O4"/>
    <mergeCell ref="P4:Q4"/>
    <mergeCell ref="R4:S4"/>
    <mergeCell ref="L4:M4"/>
    <mergeCell ref="J3:K3"/>
    <mergeCell ref="T2:U2"/>
    <mergeCell ref="J2:K2"/>
    <mergeCell ref="H2:I2"/>
    <mergeCell ref="N2:O2"/>
    <mergeCell ref="P2:Q2"/>
    <mergeCell ref="R2:S2"/>
  </mergeCells>
  <conditionalFormatting sqref="H20:H32">
    <cfRule type="cellIs" dxfId="1247" priority="75" operator="equal">
      <formula>"X"</formula>
    </cfRule>
    <cfRule type="cellIs" dxfId="1246" priority="76" operator="equal">
      <formula>"I"</formula>
    </cfRule>
  </conditionalFormatting>
  <conditionalFormatting sqref="H34:H41">
    <cfRule type="cellIs" dxfId="1245" priority="67" operator="equal">
      <formula>"X"</formula>
    </cfRule>
    <cfRule type="cellIs" dxfId="1244" priority="68" operator="equal">
      <formula>"I"</formula>
    </cfRule>
  </conditionalFormatting>
  <conditionalFormatting sqref="J20:J32">
    <cfRule type="cellIs" dxfId="1243" priority="63" operator="equal">
      <formula>"X"</formula>
    </cfRule>
    <cfRule type="cellIs" dxfId="1242" priority="64" operator="equal">
      <formula>"I"</formula>
    </cfRule>
  </conditionalFormatting>
  <conditionalFormatting sqref="J34:J41">
    <cfRule type="cellIs" dxfId="1241" priority="77" operator="equal">
      <formula>"X"</formula>
    </cfRule>
    <cfRule type="cellIs" dxfId="1240" priority="78" operator="equal">
      <formula>"I"</formula>
    </cfRule>
  </conditionalFormatting>
  <conditionalFormatting sqref="L23:L28">
    <cfRule type="cellIs" dxfId="1239" priority="47" operator="equal">
      <formula>"X"</formula>
    </cfRule>
    <cfRule type="cellIs" dxfId="1238" priority="48" operator="equal">
      <formula>"I"</formula>
    </cfRule>
  </conditionalFormatting>
  <conditionalFormatting sqref="L37:L41">
    <cfRule type="cellIs" dxfId="1237" priority="41" operator="equal">
      <formula>"X"</formula>
    </cfRule>
    <cfRule type="cellIs" dxfId="1236" priority="42" operator="equal">
      <formula>"I"</formula>
    </cfRule>
  </conditionalFormatting>
  <conditionalFormatting sqref="N20:N32">
    <cfRule type="cellIs" dxfId="1235" priority="55" operator="equal">
      <formula>"X"</formula>
    </cfRule>
    <cfRule type="cellIs" dxfId="1234" priority="56" operator="equal">
      <formula>"I"</formula>
    </cfRule>
  </conditionalFormatting>
  <conditionalFormatting sqref="N34:N41">
    <cfRule type="cellIs" dxfId="1233" priority="57" operator="equal">
      <formula>"X"</formula>
    </cfRule>
    <cfRule type="cellIs" dxfId="1232" priority="58" operator="equal">
      <formula>"I"</formula>
    </cfRule>
  </conditionalFormatting>
  <conditionalFormatting sqref="P20:P32 R20:R32 T20 T32">
    <cfRule type="cellIs" dxfId="1231" priority="89" operator="equal">
      <formula>"X"</formula>
    </cfRule>
    <cfRule type="cellIs" dxfId="1230" priority="90" operator="equal">
      <formula>"I"</formula>
    </cfRule>
  </conditionalFormatting>
  <conditionalFormatting sqref="P34:P41">
    <cfRule type="cellIs" dxfId="1229" priority="49" operator="equal">
      <formula>"X"</formula>
    </cfRule>
    <cfRule type="cellIs" dxfId="1228" priority="50" operator="equal">
      <formula>"I"</formula>
    </cfRule>
  </conditionalFormatting>
  <conditionalFormatting sqref="R34:R41">
    <cfRule type="cellIs" dxfId="1227" priority="35" operator="equal">
      <formula>"X"</formula>
    </cfRule>
    <cfRule type="cellIs" dxfId="1226" priority="36" operator="equal">
      <formula>"I"</formula>
    </cfRule>
  </conditionalFormatting>
  <conditionalFormatting sqref="T34:T36">
    <cfRule type="cellIs" dxfId="1225" priority="87" operator="equal">
      <formula>"X"</formula>
    </cfRule>
    <cfRule type="cellIs" dxfId="1224" priority="88" operator="equal">
      <formula>"I"</formula>
    </cfRule>
  </conditionalFormatting>
  <conditionalFormatting sqref="T37:T39">
    <cfRule type="cellIs" dxfId="1223" priority="33" operator="equal">
      <formula>"X"</formula>
    </cfRule>
    <cfRule type="cellIs" dxfId="1222" priority="34" operator="equal">
      <formula>"I"</formula>
    </cfRule>
  </conditionalFormatting>
  <conditionalFormatting sqref="T40">
    <cfRule type="cellIs" dxfId="1221" priority="31" operator="equal">
      <formula>"X"</formula>
    </cfRule>
    <cfRule type="cellIs" dxfId="1220" priority="32" operator="equal">
      <formula>"I"</formula>
    </cfRule>
  </conditionalFormatting>
  <conditionalFormatting sqref="T41">
    <cfRule type="cellIs" dxfId="1219" priority="29" operator="equal">
      <formula>"X"</formula>
    </cfRule>
    <cfRule type="cellIs" dxfId="1218" priority="30" operator="equal">
      <formula>"I"</formula>
    </cfRule>
  </conditionalFormatting>
  <conditionalFormatting sqref="T21:T31">
    <cfRule type="cellIs" dxfId="1217" priority="27" operator="equal">
      <formula>"X"</formula>
    </cfRule>
    <cfRule type="cellIs" dxfId="1216" priority="28" operator="equal">
      <formula>"I"</formula>
    </cfRule>
  </conditionalFormatting>
  <conditionalFormatting sqref="L29:L31">
    <cfRule type="cellIs" dxfId="1215" priority="25" operator="equal">
      <formula>"X"</formula>
    </cfRule>
    <cfRule type="cellIs" dxfId="1214" priority="26" operator="equal">
      <formula>"I"</formula>
    </cfRule>
  </conditionalFormatting>
  <conditionalFormatting sqref="V20 V32">
    <cfRule type="cellIs" dxfId="1213" priority="23" operator="equal">
      <formula>"X"</formula>
    </cfRule>
    <cfRule type="cellIs" dxfId="1212" priority="24" operator="equal">
      <formula>"I"</formula>
    </cfRule>
  </conditionalFormatting>
  <conditionalFormatting sqref="V34:V36">
    <cfRule type="cellIs" dxfId="1211" priority="21" operator="equal">
      <formula>"X"</formula>
    </cfRule>
    <cfRule type="cellIs" dxfId="1210" priority="22" operator="equal">
      <formula>"I"</formula>
    </cfRule>
  </conditionalFormatting>
  <conditionalFormatting sqref="V37:V39">
    <cfRule type="cellIs" dxfId="1209" priority="19" operator="equal">
      <formula>"X"</formula>
    </cfRule>
    <cfRule type="cellIs" dxfId="1208" priority="20" operator="equal">
      <formula>"I"</formula>
    </cfRule>
  </conditionalFormatting>
  <conditionalFormatting sqref="V40">
    <cfRule type="cellIs" dxfId="1207" priority="17" operator="equal">
      <formula>"X"</formula>
    </cfRule>
    <cfRule type="cellIs" dxfId="1206" priority="18" operator="equal">
      <formula>"I"</formula>
    </cfRule>
  </conditionalFormatting>
  <conditionalFormatting sqref="V41">
    <cfRule type="cellIs" dxfId="1205" priority="15" operator="equal">
      <formula>"X"</formula>
    </cfRule>
    <cfRule type="cellIs" dxfId="1204" priority="16" operator="equal">
      <formula>"I"</formula>
    </cfRule>
  </conditionalFormatting>
  <conditionalFormatting sqref="V21:V31">
    <cfRule type="cellIs" dxfId="1203" priority="13" operator="equal">
      <formula>"X"</formula>
    </cfRule>
    <cfRule type="cellIs" dxfId="1202" priority="14" operator="equal">
      <formula>"I"</formula>
    </cfRule>
  </conditionalFormatting>
  <conditionalFormatting sqref="X20 X32">
    <cfRule type="cellIs" dxfId="1201" priority="11" operator="equal">
      <formula>"X"</formula>
    </cfRule>
    <cfRule type="cellIs" dxfId="1200" priority="12" operator="equal">
      <formula>"I"</formula>
    </cfRule>
  </conditionalFormatting>
  <conditionalFormatting sqref="X34:X36">
    <cfRule type="cellIs" dxfId="1199" priority="9" operator="equal">
      <formula>"X"</formula>
    </cfRule>
    <cfRule type="cellIs" dxfId="1198" priority="10" operator="equal">
      <formula>"I"</formula>
    </cfRule>
  </conditionalFormatting>
  <conditionalFormatting sqref="X37:X39">
    <cfRule type="cellIs" dxfId="1197" priority="7" operator="equal">
      <formula>"X"</formula>
    </cfRule>
    <cfRule type="cellIs" dxfId="1196" priority="8" operator="equal">
      <formula>"I"</formula>
    </cfRule>
  </conditionalFormatting>
  <conditionalFormatting sqref="X40">
    <cfRule type="cellIs" dxfId="1195" priority="5" operator="equal">
      <formula>"X"</formula>
    </cfRule>
    <cfRule type="cellIs" dxfId="1194" priority="6" operator="equal">
      <formula>"I"</formula>
    </cfRule>
  </conditionalFormatting>
  <conditionalFormatting sqref="X41">
    <cfRule type="cellIs" dxfId="1193" priority="3" operator="equal">
      <formula>"X"</formula>
    </cfRule>
    <cfRule type="cellIs" dxfId="1192" priority="4" operator="equal">
      <formula>"I"</formula>
    </cfRule>
  </conditionalFormatting>
  <conditionalFormatting sqref="X21:X31">
    <cfRule type="cellIs" dxfId="1191" priority="1" operator="equal">
      <formula>"X"</formula>
    </cfRule>
    <cfRule type="cellIs" dxfId="1190" priority="2" operator="equal">
      <formula>"I"</formula>
    </cfRule>
  </conditionalFormatting>
  <hyperlinks>
    <hyperlink ref="B3" location="'Cost Summary'!A1" display="BACK TO SUMMARY SHEET" xr:uid="{6CBD802F-11F4-41C8-9711-1ED1F1B17C3A}"/>
    <hyperlink ref="J7" r:id="rId1" xr:uid="{C9F61FE2-A9C8-44D1-A4E0-CFF1006CF68F}"/>
    <hyperlink ref="N7" r:id="rId2" xr:uid="{4A5B2DB7-8A80-4613-8E60-2443FB49683A}"/>
    <hyperlink ref="P7:Q7" r:id="rId3" display="hanna@asterakb.com" xr:uid="{3F30309E-10A8-427D-9B49-5A3BEF6B7804}"/>
    <hyperlink ref="L7:M7" r:id="rId4" display="Michael@nationalkb.com" xr:uid="{76B56652-E3BE-4732-8D86-7A796E7D36E3}"/>
    <hyperlink ref="T7:U7" r:id="rId5" display="eddy@granitestatespecialties.com" xr:uid="{516D49BC-48B0-453F-A88B-3888CAC4169A}"/>
  </hyperlinks>
  <pageMargins left="0.7" right="0.7" top="0.75" bottom="0.75" header="0.3" footer="0.3"/>
  <pageSetup orientation="portrait" r:id="rId6"/>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3793-E553-4301-A096-653F7043C38D}">
  <sheetPr>
    <tabColor rgb="FFFFC000"/>
  </sheetPr>
  <dimension ref="A1:Y109"/>
  <sheetViews>
    <sheetView zoomScale="91" zoomScaleNormal="91" workbookViewId="0">
      <pane xSplit="2" ySplit="9" topLeftCell="C40" activePane="bottomRight" state="frozen"/>
      <selection pane="topRight" activeCell="C1" sqref="C1"/>
      <selection pane="bottomLeft" activeCell="A11" sqref="A11"/>
      <selection pane="bottomRight" activeCell="K21" sqref="K21"/>
    </sheetView>
  </sheetViews>
  <sheetFormatPr defaultRowHeight="14.5" x14ac:dyDescent="0.35"/>
  <cols>
    <col min="1" max="1" width="11" customWidth="1"/>
    <col min="2" max="2" width="70.7265625" style="1" customWidth="1"/>
    <col min="3" max="3" width="10.81640625" style="2" bestFit="1" customWidth="1"/>
    <col min="4" max="4" width="9.8164062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6.7265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 min="24" max="24" width="7.453125" style="2" bestFit="1" customWidth="1"/>
    <col min="25" max="25" width="14.81640625" style="2" customWidth="1"/>
  </cols>
  <sheetData>
    <row r="1" spans="1:25" x14ac:dyDescent="0.35">
      <c r="E1" s="152"/>
      <c r="F1" s="125"/>
      <c r="G1" s="123" t="s">
        <v>621</v>
      </c>
      <c r="H1" s="3785" t="s">
        <v>2698</v>
      </c>
      <c r="I1" s="3785"/>
      <c r="J1" s="3785" t="s">
        <v>2699</v>
      </c>
      <c r="K1" s="3785"/>
      <c r="L1" s="3785" t="s">
        <v>2700</v>
      </c>
      <c r="M1" s="3785"/>
      <c r="N1" s="3785" t="s">
        <v>2701</v>
      </c>
      <c r="O1" s="3785"/>
      <c r="P1" s="3785"/>
      <c r="Q1" s="3785"/>
      <c r="R1" s="3785" t="s">
        <v>2702</v>
      </c>
      <c r="S1" s="3785"/>
      <c r="T1" s="3785" t="s">
        <v>2702</v>
      </c>
      <c r="U1" s="3785"/>
    </row>
    <row r="2" spans="1:25" x14ac:dyDescent="0.35">
      <c r="E2" s="152"/>
      <c r="F2" s="122" t="s">
        <v>622</v>
      </c>
      <c r="G2" s="123" t="s">
        <v>451</v>
      </c>
      <c r="H2" s="3751" t="s">
        <v>2703</v>
      </c>
      <c r="I2" s="3751"/>
      <c r="J2" s="3751" t="s">
        <v>2704</v>
      </c>
      <c r="K2" s="3751"/>
      <c r="L2" s="3751" t="s">
        <v>1675</v>
      </c>
      <c r="M2" s="3751"/>
      <c r="N2" s="3751" t="s">
        <v>2038</v>
      </c>
      <c r="O2" s="3751"/>
      <c r="P2" s="3751" t="s">
        <v>2038</v>
      </c>
      <c r="Q2" s="3751"/>
      <c r="R2" s="3751" t="s">
        <v>1141</v>
      </c>
      <c r="S2" s="3751"/>
      <c r="T2" s="3751" t="s">
        <v>1141</v>
      </c>
      <c r="U2" s="3751"/>
      <c r="V2" s="3751"/>
      <c r="W2" s="3751"/>
      <c r="X2" s="3751"/>
      <c r="Y2" s="3751"/>
    </row>
    <row r="3" spans="1:25" ht="19.5" x14ac:dyDescent="0.35">
      <c r="B3" s="137" t="s">
        <v>623</v>
      </c>
      <c r="E3" s="152"/>
      <c r="F3" s="124" t="s">
        <v>624</v>
      </c>
      <c r="G3" s="123" t="s">
        <v>557</v>
      </c>
      <c r="H3" s="3754" t="s">
        <v>625</v>
      </c>
      <c r="I3" s="3755"/>
      <c r="J3" s="3797" t="s">
        <v>625</v>
      </c>
      <c r="K3" s="3798"/>
      <c r="L3" s="3778" t="s">
        <v>626</v>
      </c>
      <c r="M3" s="3779"/>
      <c r="N3" s="3754" t="s">
        <v>627</v>
      </c>
      <c r="O3" s="3755"/>
      <c r="P3" s="3754" t="s">
        <v>627</v>
      </c>
      <c r="Q3" s="3755"/>
      <c r="R3" s="3754" t="s">
        <v>626</v>
      </c>
      <c r="S3" s="3755"/>
      <c r="T3" s="3754" t="s">
        <v>627</v>
      </c>
      <c r="U3" s="3755"/>
      <c r="V3" s="3754" t="s">
        <v>629</v>
      </c>
      <c r="W3" s="3755"/>
      <c r="X3" s="3754" t="s">
        <v>630</v>
      </c>
      <c r="Y3" s="3755"/>
    </row>
    <row r="4" spans="1:25" x14ac:dyDescent="0.35">
      <c r="A4" s="3" t="s">
        <v>631</v>
      </c>
      <c r="B4" s="4" t="str">
        <f>'AREA CALC''s'!B4</f>
        <v>Alton Hilltop Gardens</v>
      </c>
      <c r="C4" s="5"/>
      <c r="D4" s="5"/>
      <c r="E4" s="5"/>
      <c r="F4" s="5"/>
      <c r="G4" s="6" t="s">
        <v>632</v>
      </c>
      <c r="H4" s="3898" t="s">
        <v>2197</v>
      </c>
      <c r="I4" s="3898"/>
      <c r="J4" s="3898" t="s">
        <v>2197</v>
      </c>
      <c r="K4" s="3898"/>
      <c r="L4" s="3752" t="s">
        <v>1376</v>
      </c>
      <c r="M4" s="3753"/>
      <c r="N4" s="3898" t="s">
        <v>2705</v>
      </c>
      <c r="O4" s="3898"/>
      <c r="P4" s="3898" t="s">
        <v>2706</v>
      </c>
      <c r="Q4" s="3898"/>
      <c r="R4" s="3752" t="s">
        <v>1554</v>
      </c>
      <c r="S4" s="3753"/>
      <c r="T4" s="3898" t="s">
        <v>1340</v>
      </c>
      <c r="U4" s="3898"/>
      <c r="V4" s="3898"/>
      <c r="W4" s="3898"/>
      <c r="X4" s="3796"/>
      <c r="Y4" s="3753"/>
    </row>
    <row r="5" spans="1:25" x14ac:dyDescent="0.35">
      <c r="A5" s="2283" t="s">
        <v>634</v>
      </c>
      <c r="B5" s="2284" t="s">
        <v>2707</v>
      </c>
      <c r="C5" s="2285"/>
      <c r="D5" s="2285"/>
      <c r="E5" s="2285"/>
      <c r="F5" s="2285"/>
      <c r="G5" s="2194" t="s">
        <v>636</v>
      </c>
      <c r="H5" s="3950"/>
      <c r="I5" s="3950"/>
      <c r="J5" s="3950" t="s">
        <v>2202</v>
      </c>
      <c r="K5" s="3950"/>
      <c r="L5" s="3959" t="s">
        <v>1380</v>
      </c>
      <c r="M5" s="3960"/>
      <c r="N5" s="3950" t="s">
        <v>2708</v>
      </c>
      <c r="O5" s="3950"/>
      <c r="P5" s="3950" t="s">
        <v>2709</v>
      </c>
      <c r="Q5" s="3950"/>
      <c r="R5" s="3931" t="s">
        <v>1706</v>
      </c>
      <c r="S5" s="3932"/>
      <c r="T5" s="3950" t="s">
        <v>2617</v>
      </c>
      <c r="U5" s="3950"/>
      <c r="V5" s="3950"/>
      <c r="W5" s="3950"/>
      <c r="X5" s="3933"/>
      <c r="Y5" s="3932"/>
    </row>
    <row r="6" spans="1:25" x14ac:dyDescent="0.35">
      <c r="A6" s="2283" t="s">
        <v>638</v>
      </c>
      <c r="B6" s="2195" t="s">
        <v>523</v>
      </c>
      <c r="C6" s="2285"/>
      <c r="D6" s="2285"/>
      <c r="E6" s="2285"/>
      <c r="F6" s="2285"/>
      <c r="G6" s="2194" t="s">
        <v>639</v>
      </c>
      <c r="H6" s="3949"/>
      <c r="I6" s="3949"/>
      <c r="J6" s="3949" t="s">
        <v>2206</v>
      </c>
      <c r="K6" s="3949"/>
      <c r="L6" s="3961" t="s">
        <v>1384</v>
      </c>
      <c r="M6" s="3962"/>
      <c r="N6" s="3949" t="s">
        <v>2710</v>
      </c>
      <c r="O6" s="3949"/>
      <c r="P6" s="3949"/>
      <c r="Q6" s="3949"/>
      <c r="R6" s="3937" t="s">
        <v>1718</v>
      </c>
      <c r="S6" s="3938"/>
      <c r="T6" s="3949" t="s">
        <v>1885</v>
      </c>
      <c r="U6" s="3949"/>
      <c r="V6" s="3949"/>
      <c r="W6" s="3949"/>
      <c r="X6" s="3939"/>
      <c r="Y6" s="3938"/>
    </row>
    <row r="7" spans="1:25" x14ac:dyDescent="0.35">
      <c r="A7" s="2283" t="s">
        <v>641</v>
      </c>
      <c r="B7" s="2196"/>
      <c r="C7" s="2285"/>
      <c r="D7" s="2285"/>
      <c r="E7" s="2285"/>
      <c r="F7" s="2285"/>
      <c r="G7" s="2194" t="s">
        <v>642</v>
      </c>
      <c r="H7" s="3951"/>
      <c r="I7" s="3951"/>
      <c r="J7" s="3951" t="s">
        <v>2211</v>
      </c>
      <c r="K7" s="3951"/>
      <c r="L7" s="3934" t="s">
        <v>1388</v>
      </c>
      <c r="M7" s="3935"/>
      <c r="N7" s="3951" t="s">
        <v>2711</v>
      </c>
      <c r="O7" s="3951"/>
      <c r="P7" s="3951"/>
      <c r="Q7" s="3951"/>
      <c r="R7" s="3853" t="s">
        <v>1730</v>
      </c>
      <c r="S7" s="3854"/>
      <c r="T7" s="3951" t="s">
        <v>2619</v>
      </c>
      <c r="U7" s="3951"/>
      <c r="V7" s="3951"/>
      <c r="W7" s="3951"/>
      <c r="X7" s="3936"/>
      <c r="Y7" s="3935"/>
    </row>
    <row r="8" spans="1:25" x14ac:dyDescent="0.35">
      <c r="A8" s="938" t="s">
        <v>644</v>
      </c>
      <c r="B8" s="939"/>
      <c r="C8" s="940"/>
      <c r="D8" s="940"/>
      <c r="E8" s="940"/>
      <c r="F8" s="940"/>
      <c r="G8" s="1024" t="s">
        <v>644</v>
      </c>
      <c r="H8" s="3958">
        <f>I70</f>
        <v>384350</v>
      </c>
      <c r="I8" s="3958"/>
      <c r="J8" s="3958">
        <f>K70</f>
        <v>356370</v>
      </c>
      <c r="K8" s="3958"/>
      <c r="L8" s="3958">
        <f>M70</f>
        <v>346768</v>
      </c>
      <c r="M8" s="3958"/>
      <c r="N8" s="3958">
        <f>O70</f>
        <v>320116</v>
      </c>
      <c r="O8" s="3958"/>
      <c r="P8" s="3958">
        <f>Q70</f>
        <v>578833.71</v>
      </c>
      <c r="Q8" s="3958"/>
      <c r="R8" s="3958">
        <f>S70</f>
        <v>120300</v>
      </c>
      <c r="S8" s="3958"/>
      <c r="T8" s="3958">
        <f>U70</f>
        <v>215705</v>
      </c>
      <c r="U8" s="3958"/>
      <c r="V8" s="3958">
        <f>W70</f>
        <v>0</v>
      </c>
      <c r="W8" s="3958"/>
      <c r="X8" s="3943">
        <f>Y70</f>
        <v>0</v>
      </c>
      <c r="Y8" s="3944"/>
    </row>
    <row r="9" spans="1:25"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row>
    <row r="10" spans="1:25" hidden="1" x14ac:dyDescent="0.35">
      <c r="A10" s="2286"/>
      <c r="B10" s="2488"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c r="X10" s="2107"/>
      <c r="Y10" s="2107"/>
    </row>
    <row r="11" spans="1:25"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c r="X11" s="2107"/>
      <c r="Y11" s="2107"/>
    </row>
    <row r="12" spans="1:25"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c r="X12" s="2107"/>
      <c r="Y12" s="2107"/>
    </row>
    <row r="13" spans="1:25"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2107"/>
      <c r="Y13" s="2107"/>
    </row>
    <row r="14" spans="1:25"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2107"/>
      <c r="Y14" s="2107"/>
    </row>
    <row r="15" spans="1:25"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2107"/>
      <c r="Y15" s="2107"/>
    </row>
    <row r="16" spans="1:25"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2107"/>
      <c r="Y16" s="2107"/>
    </row>
    <row r="17" spans="1:25"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2107"/>
      <c r="Y17" s="2107"/>
    </row>
    <row r="18" spans="1:25"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2107"/>
      <c r="Y18" s="2107"/>
    </row>
    <row r="19" spans="1:25"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2107"/>
      <c r="Y19" s="2107"/>
    </row>
    <row r="20" spans="1:25" x14ac:dyDescent="0.35">
      <c r="A20" s="2286"/>
      <c r="B20" s="2284"/>
      <c r="C20" s="2201"/>
      <c r="D20" s="2285"/>
      <c r="E20" s="2285"/>
      <c r="F20" s="2285"/>
      <c r="G20" s="2198"/>
      <c r="H20" s="2109"/>
      <c r="I20" s="2107"/>
      <c r="J20" s="2109"/>
      <c r="K20" s="2107"/>
      <c r="L20" s="2109"/>
      <c r="M20" s="2107"/>
      <c r="N20" s="2109"/>
      <c r="O20" s="2107"/>
      <c r="P20" s="2109"/>
      <c r="Q20" s="2107"/>
      <c r="R20" s="2109"/>
      <c r="S20" s="2107"/>
      <c r="T20" s="2109"/>
      <c r="U20" s="2107"/>
      <c r="V20" s="2109"/>
      <c r="W20" s="2107"/>
      <c r="X20" s="2109"/>
      <c r="Y20" s="2107"/>
    </row>
    <row r="21" spans="1:25" x14ac:dyDescent="0.35">
      <c r="A21" s="2489"/>
      <c r="B21" s="2203" t="s">
        <v>2712</v>
      </c>
      <c r="C21" s="45"/>
      <c r="D21" s="46"/>
      <c r="E21" s="46"/>
      <c r="F21" s="46"/>
      <c r="G21" s="52"/>
      <c r="H21" s="2109"/>
      <c r="I21" s="2490"/>
      <c r="J21" s="2109"/>
      <c r="K21" s="2490"/>
      <c r="L21" s="2109"/>
      <c r="M21" s="2490"/>
      <c r="N21" s="2109"/>
      <c r="O21" s="2490"/>
      <c r="P21" s="2109"/>
      <c r="Q21" s="2490"/>
      <c r="R21" s="2109"/>
      <c r="S21" s="2490"/>
      <c r="T21" s="2109"/>
      <c r="U21" s="2491"/>
      <c r="V21" s="2109"/>
      <c r="W21" s="2490"/>
      <c r="X21" s="2109"/>
      <c r="Y21" s="2490"/>
    </row>
    <row r="22" spans="1:25" x14ac:dyDescent="0.35">
      <c r="A22" s="2492"/>
      <c r="B22" s="606" t="s">
        <v>657</v>
      </c>
      <c r="C22" s="2201"/>
      <c r="D22" s="2285"/>
      <c r="E22" s="2285"/>
      <c r="F22" s="2285"/>
      <c r="G22" s="2198"/>
      <c r="H22" s="2109"/>
      <c r="I22" s="2490"/>
      <c r="J22" s="2109"/>
      <c r="K22" s="2490"/>
      <c r="L22" s="2109"/>
      <c r="M22" s="2490"/>
      <c r="N22" s="2109"/>
      <c r="O22" s="2490"/>
      <c r="P22" s="2109"/>
      <c r="Q22" s="2490"/>
      <c r="R22" s="2109"/>
      <c r="S22" s="2490"/>
      <c r="T22" s="2109"/>
      <c r="U22" s="2491"/>
      <c r="V22" s="2109"/>
      <c r="W22" s="2490"/>
      <c r="X22" s="2109"/>
      <c r="Y22" s="2490"/>
    </row>
    <row r="23" spans="1:25" x14ac:dyDescent="0.35">
      <c r="A23" s="2492"/>
      <c r="B23" s="2493" t="s">
        <v>658</v>
      </c>
      <c r="C23" s="2201"/>
      <c r="D23" s="2285"/>
      <c r="E23" s="2285"/>
      <c r="F23" s="2285"/>
      <c r="G23" s="2198"/>
      <c r="H23" s="2109" t="s">
        <v>671</v>
      </c>
      <c r="I23" s="2490"/>
      <c r="J23" s="2109" t="s">
        <v>671</v>
      </c>
      <c r="K23" s="2490"/>
      <c r="L23" s="2109"/>
      <c r="M23" s="2490"/>
      <c r="N23" s="2109"/>
      <c r="O23" s="2490"/>
      <c r="P23" s="2109"/>
      <c r="Q23" s="2490"/>
      <c r="R23" s="2109" t="s">
        <v>671</v>
      </c>
      <c r="S23" s="2490"/>
      <c r="T23" s="2109" t="s">
        <v>671</v>
      </c>
      <c r="U23" s="2491"/>
      <c r="V23" s="2109"/>
      <c r="W23" s="2490"/>
      <c r="X23" s="2109"/>
      <c r="Y23" s="2490"/>
    </row>
    <row r="24" spans="1:25" x14ac:dyDescent="0.35">
      <c r="A24" s="2489"/>
      <c r="B24" s="2493" t="s">
        <v>659</v>
      </c>
      <c r="C24" s="2208"/>
      <c r="D24" s="2285"/>
      <c r="E24" s="2285"/>
      <c r="F24" s="2285"/>
      <c r="G24" s="2198"/>
      <c r="H24" s="2109" t="s">
        <v>669</v>
      </c>
      <c r="I24" s="2490"/>
      <c r="J24" s="2109" t="s">
        <v>669</v>
      </c>
      <c r="K24" s="2490"/>
      <c r="L24" s="2109"/>
      <c r="M24" s="2490"/>
      <c r="N24" s="2109"/>
      <c r="O24" s="2490"/>
      <c r="P24" s="2109"/>
      <c r="Q24" s="2490"/>
      <c r="R24" s="2109" t="s">
        <v>669</v>
      </c>
      <c r="S24" s="2490"/>
      <c r="T24" s="2109" t="s">
        <v>669</v>
      </c>
      <c r="U24" s="2491"/>
      <c r="V24" s="2109"/>
      <c r="W24" s="2490"/>
      <c r="X24" s="2109"/>
      <c r="Y24" s="2490"/>
    </row>
    <row r="25" spans="1:25" x14ac:dyDescent="0.35">
      <c r="A25" s="2489"/>
      <c r="B25" s="2494" t="s">
        <v>660</v>
      </c>
      <c r="C25" s="2208"/>
      <c r="D25" s="2285"/>
      <c r="E25" s="2285"/>
      <c r="F25" s="2285"/>
      <c r="G25" s="2198"/>
      <c r="H25" s="2109" t="s">
        <v>671</v>
      </c>
      <c r="I25" s="2490"/>
      <c r="J25" s="2109" t="s">
        <v>671</v>
      </c>
      <c r="K25" s="2490"/>
      <c r="L25" s="2109"/>
      <c r="M25" s="2490"/>
      <c r="N25" s="2109"/>
      <c r="O25" s="2490"/>
      <c r="P25" s="2109"/>
      <c r="Q25" s="2490"/>
      <c r="R25" s="2109" t="s">
        <v>671</v>
      </c>
      <c r="S25" s="2490"/>
      <c r="T25" s="2109" t="s">
        <v>671</v>
      </c>
      <c r="U25" s="2491"/>
      <c r="V25" s="2109"/>
      <c r="W25" s="2490"/>
      <c r="X25" s="2109"/>
      <c r="Y25" s="2490"/>
    </row>
    <row r="26" spans="1:25" s="77" customFormat="1" x14ac:dyDescent="0.35">
      <c r="A26" s="2492"/>
      <c r="B26" s="2494" t="s">
        <v>661</v>
      </c>
      <c r="C26" s="2211"/>
      <c r="D26" s="2212"/>
      <c r="E26" s="2212"/>
      <c r="F26" s="2212"/>
      <c r="G26" s="2211"/>
      <c r="H26" s="2109" t="s">
        <v>669</v>
      </c>
      <c r="I26" s="2495"/>
      <c r="J26" s="2109" t="s">
        <v>669</v>
      </c>
      <c r="K26" s="2495"/>
      <c r="L26" s="2109"/>
      <c r="M26" s="2495"/>
      <c r="N26" s="2109"/>
      <c r="O26" s="2495"/>
      <c r="P26" s="2109"/>
      <c r="Q26" s="2495"/>
      <c r="R26" s="2109" t="s">
        <v>669</v>
      </c>
      <c r="S26" s="2495"/>
      <c r="T26" s="2109" t="s">
        <v>669</v>
      </c>
      <c r="U26" s="2491"/>
      <c r="V26" s="2109"/>
      <c r="W26" s="2495"/>
      <c r="X26" s="2109"/>
      <c r="Y26" s="2495"/>
    </row>
    <row r="27" spans="1:25" s="77" customFormat="1" x14ac:dyDescent="0.35">
      <c r="A27" s="2492"/>
      <c r="B27" s="2494" t="s">
        <v>662</v>
      </c>
      <c r="C27" s="2211"/>
      <c r="D27" s="2212"/>
      <c r="E27" s="2212"/>
      <c r="F27" s="2212"/>
      <c r="G27" s="2211"/>
      <c r="H27" s="2109" t="s">
        <v>669</v>
      </c>
      <c r="I27" s="2495"/>
      <c r="J27" s="2109" t="s">
        <v>669</v>
      </c>
      <c r="K27" s="2495"/>
      <c r="L27" s="2109"/>
      <c r="M27" s="2495"/>
      <c r="N27" s="2109"/>
      <c r="O27" s="2495"/>
      <c r="P27" s="2109"/>
      <c r="Q27" s="2495"/>
      <c r="R27" s="2109" t="s">
        <v>669</v>
      </c>
      <c r="S27" s="2495"/>
      <c r="T27" s="2109" t="s">
        <v>669</v>
      </c>
      <c r="U27" s="2491"/>
      <c r="V27" s="2109"/>
      <c r="W27" s="2495"/>
      <c r="X27" s="2109"/>
      <c r="Y27" s="2495"/>
    </row>
    <row r="28" spans="1:25" s="77" customFormat="1" x14ac:dyDescent="0.35">
      <c r="A28" s="2492"/>
      <c r="B28" s="2494" t="s">
        <v>663</v>
      </c>
      <c r="C28" s="2211"/>
      <c r="D28" s="2212"/>
      <c r="E28" s="2212"/>
      <c r="F28" s="2212"/>
      <c r="G28" s="2211"/>
      <c r="H28" s="2109" t="s">
        <v>669</v>
      </c>
      <c r="I28" s="2495"/>
      <c r="J28" s="2109" t="s">
        <v>669</v>
      </c>
      <c r="K28" s="2495"/>
      <c r="L28" s="2109"/>
      <c r="M28" s="2495"/>
      <c r="N28" s="2109"/>
      <c r="O28" s="2495"/>
      <c r="P28" s="2109"/>
      <c r="Q28" s="2495"/>
      <c r="R28" s="2109" t="s">
        <v>669</v>
      </c>
      <c r="S28" s="2495"/>
      <c r="T28" s="2109" t="s">
        <v>669</v>
      </c>
      <c r="U28" s="2491"/>
      <c r="V28" s="2109"/>
      <c r="W28" s="2495"/>
      <c r="X28" s="2109"/>
      <c r="Y28" s="2495"/>
    </row>
    <row r="29" spans="1:25" s="77" customFormat="1" x14ac:dyDescent="0.35">
      <c r="A29" s="2492"/>
      <c r="B29" s="2494" t="s">
        <v>789</v>
      </c>
      <c r="C29" s="2211"/>
      <c r="D29" s="2212"/>
      <c r="E29" s="2212"/>
      <c r="F29" s="2212"/>
      <c r="G29" s="2211"/>
      <c r="H29" s="2109" t="s">
        <v>671</v>
      </c>
      <c r="I29" s="2496" t="s">
        <v>1733</v>
      </c>
      <c r="J29" s="2109" t="s">
        <v>671</v>
      </c>
      <c r="K29" s="2496" t="s">
        <v>1733</v>
      </c>
      <c r="L29" s="2109"/>
      <c r="M29" s="2495"/>
      <c r="N29" s="2109"/>
      <c r="O29" s="2495"/>
      <c r="P29" s="2109"/>
      <c r="Q29" s="2495"/>
      <c r="R29" s="2109" t="s">
        <v>671</v>
      </c>
      <c r="S29" s="2495"/>
      <c r="T29" s="2109" t="s">
        <v>671</v>
      </c>
      <c r="U29" s="2496"/>
      <c r="V29" s="2109"/>
      <c r="W29" s="2495"/>
      <c r="X29" s="2109"/>
      <c r="Y29" s="2495"/>
    </row>
    <row r="30" spans="1:25" s="77" customFormat="1" x14ac:dyDescent="0.35">
      <c r="A30" s="2497"/>
      <c r="B30" s="2494" t="s">
        <v>790</v>
      </c>
      <c r="C30" s="2211"/>
      <c r="D30" s="2212"/>
      <c r="E30" s="2212"/>
      <c r="F30" s="2212"/>
      <c r="G30" s="2211"/>
      <c r="H30" s="2109" t="s">
        <v>671</v>
      </c>
      <c r="I30" s="2496" t="s">
        <v>2620</v>
      </c>
      <c r="J30" s="2109" t="s">
        <v>671</v>
      </c>
      <c r="K30" s="2496" t="s">
        <v>2620</v>
      </c>
      <c r="L30" s="2109"/>
      <c r="M30" s="2495"/>
      <c r="N30" s="2109"/>
      <c r="O30" s="2495"/>
      <c r="P30" s="2109"/>
      <c r="Q30" s="2495"/>
      <c r="R30" s="2109" t="s">
        <v>671</v>
      </c>
      <c r="S30" s="2495"/>
      <c r="T30" s="2109" t="s">
        <v>671</v>
      </c>
      <c r="U30" s="2496"/>
      <c r="V30" s="2109"/>
      <c r="W30" s="2495"/>
      <c r="X30" s="2109"/>
      <c r="Y30" s="2495"/>
    </row>
    <row r="31" spans="1:25" s="77" customFormat="1" x14ac:dyDescent="0.35">
      <c r="A31" s="2497"/>
      <c r="B31" s="2494" t="s">
        <v>791</v>
      </c>
      <c r="C31" s="2211"/>
      <c r="D31" s="2212"/>
      <c r="E31" s="2212"/>
      <c r="F31" s="2212"/>
      <c r="G31" s="2211"/>
      <c r="H31" s="2109" t="s">
        <v>671</v>
      </c>
      <c r="I31" s="2496" t="s">
        <v>2621</v>
      </c>
      <c r="J31" s="2109" t="s">
        <v>671</v>
      </c>
      <c r="K31" s="2496" t="s">
        <v>2621</v>
      </c>
      <c r="L31" s="2109"/>
      <c r="M31" s="2495"/>
      <c r="N31" s="2109"/>
      <c r="O31" s="2495"/>
      <c r="P31" s="2109"/>
      <c r="Q31" s="2495"/>
      <c r="R31" s="2109" t="s">
        <v>671</v>
      </c>
      <c r="S31" s="2495"/>
      <c r="T31" s="2109" t="s">
        <v>671</v>
      </c>
      <c r="U31" s="2496"/>
      <c r="V31" s="2109"/>
      <c r="W31" s="2495"/>
      <c r="X31" s="2109"/>
      <c r="Y31" s="2495"/>
    </row>
    <row r="32" spans="1:25" s="77" customFormat="1" x14ac:dyDescent="0.35">
      <c r="A32" s="2492"/>
      <c r="B32" s="2498" t="s">
        <v>664</v>
      </c>
      <c r="C32" s="2211"/>
      <c r="D32" s="2212"/>
      <c r="E32" s="2212"/>
      <c r="F32" s="2212"/>
      <c r="G32" s="2211"/>
      <c r="H32" s="2109"/>
      <c r="I32" s="2495"/>
      <c r="J32" s="2109"/>
      <c r="K32" s="2495"/>
      <c r="L32" s="2109"/>
      <c r="M32" s="2495"/>
      <c r="N32" s="2109"/>
      <c r="O32" s="2495"/>
      <c r="P32" s="2109"/>
      <c r="Q32" s="2495"/>
      <c r="R32" s="2109"/>
      <c r="S32" s="2495"/>
      <c r="T32" s="2109"/>
      <c r="U32" s="2491"/>
      <c r="V32" s="2109"/>
      <c r="W32" s="2495"/>
      <c r="X32" s="2109"/>
      <c r="Y32" s="2495"/>
    </row>
    <row r="33" spans="1:25" s="77" customFormat="1" x14ac:dyDescent="0.35">
      <c r="A33" s="2492"/>
      <c r="B33" s="2499" t="s">
        <v>665</v>
      </c>
      <c r="C33" s="2216"/>
      <c r="D33" s="2217"/>
      <c r="E33" s="2217"/>
      <c r="F33" s="2217"/>
      <c r="G33" s="2216">
        <f>SUM(G36:G38)</f>
        <v>151200</v>
      </c>
      <c r="H33" s="2289"/>
      <c r="I33" s="2500"/>
      <c r="J33" s="2289"/>
      <c r="K33" s="2500">
        <v>334370</v>
      </c>
      <c r="L33" s="2289"/>
      <c r="M33" s="2500">
        <v>280768</v>
      </c>
      <c r="N33" s="2500"/>
      <c r="O33" s="2500">
        <v>288656</v>
      </c>
      <c r="P33" s="2500"/>
      <c r="Q33" s="2500">
        <f>578833.71</f>
        <v>578833.71</v>
      </c>
      <c r="R33" s="2289"/>
      <c r="S33" s="2500">
        <v>120300</v>
      </c>
      <c r="T33" s="2288"/>
      <c r="U33" s="2501"/>
      <c r="V33" s="2500"/>
      <c r="W33" s="2500"/>
      <c r="X33" s="2500"/>
      <c r="Y33" s="2500"/>
    </row>
    <row r="34" spans="1:25" s="77" customFormat="1" x14ac:dyDescent="0.35">
      <c r="A34" s="2492"/>
      <c r="B34" s="127" t="s">
        <v>874</v>
      </c>
      <c r="C34" s="2211"/>
      <c r="D34" s="2212"/>
      <c r="E34" s="2212"/>
      <c r="F34" s="2212"/>
      <c r="G34" s="2211"/>
      <c r="H34" s="2109"/>
      <c r="I34" s="2495"/>
      <c r="J34" s="2109"/>
      <c r="K34" s="2495"/>
      <c r="L34" s="2109"/>
      <c r="M34" s="2495"/>
      <c r="N34" s="2109"/>
      <c r="O34" s="2495"/>
      <c r="P34" s="2109"/>
      <c r="Q34" s="2495"/>
      <c r="R34" s="2109"/>
      <c r="S34" s="2495"/>
      <c r="T34" s="2109"/>
      <c r="U34" s="2491"/>
      <c r="V34" s="2109"/>
      <c r="W34" s="2495"/>
      <c r="X34" s="2109"/>
      <c r="Y34" s="2495"/>
    </row>
    <row r="35" spans="1:25" s="77" customFormat="1" x14ac:dyDescent="0.35">
      <c r="A35" s="2492"/>
      <c r="B35" s="2340"/>
      <c r="C35" s="2211"/>
      <c r="D35" s="2475"/>
      <c r="E35" s="2212"/>
      <c r="F35" s="2212"/>
      <c r="G35" s="2211"/>
      <c r="H35" s="2109"/>
      <c r="I35" s="2495"/>
      <c r="J35" s="2109"/>
      <c r="K35" s="2495"/>
      <c r="L35" s="2109"/>
      <c r="M35" s="2495"/>
      <c r="N35" s="2109"/>
      <c r="O35" s="2495"/>
      <c r="P35" s="2109"/>
      <c r="Q35" s="2495"/>
      <c r="R35" s="2109"/>
      <c r="S35" s="2495"/>
      <c r="T35" s="2109"/>
      <c r="U35" s="2491"/>
      <c r="V35" s="2109"/>
      <c r="W35" s="2495"/>
      <c r="X35" s="2109"/>
      <c r="Y35" s="2495"/>
    </row>
    <row r="36" spans="1:25" s="77" customFormat="1" x14ac:dyDescent="0.35">
      <c r="A36" s="2502"/>
      <c r="B36" s="2340" t="s">
        <v>2713</v>
      </c>
      <c r="C36" s="2236"/>
      <c r="D36" s="2475">
        <v>177</v>
      </c>
      <c r="E36" s="2212" t="s">
        <v>666</v>
      </c>
      <c r="F36" s="2212">
        <v>350</v>
      </c>
      <c r="G36" s="2211">
        <f>D36*F36</f>
        <v>61950</v>
      </c>
      <c r="H36" s="2109"/>
      <c r="I36" s="2495"/>
      <c r="J36" s="2109"/>
      <c r="K36" s="2495"/>
      <c r="L36" s="2109"/>
      <c r="M36" s="2495"/>
      <c r="N36" s="2109"/>
      <c r="O36" s="2495"/>
      <c r="P36" s="2109"/>
      <c r="Q36" s="2495"/>
      <c r="R36" s="2109" t="s">
        <v>669</v>
      </c>
      <c r="S36" s="2495"/>
      <c r="T36" s="2109" t="s">
        <v>669</v>
      </c>
      <c r="U36" s="2491">
        <v>31329</v>
      </c>
      <c r="V36" s="2109"/>
      <c r="W36" s="2495"/>
      <c r="X36" s="2109"/>
      <c r="Y36" s="2495"/>
    </row>
    <row r="37" spans="1:25" s="77" customFormat="1" x14ac:dyDescent="0.35">
      <c r="A37" s="2502"/>
      <c r="B37" s="2340" t="s">
        <v>2714</v>
      </c>
      <c r="C37" s="2236"/>
      <c r="D37" s="2475">
        <v>176</v>
      </c>
      <c r="E37" s="2212" t="s">
        <v>666</v>
      </c>
      <c r="F37" s="2212">
        <v>350</v>
      </c>
      <c r="G37" s="2211">
        <f t="shared" ref="G37:G38" si="0">D37*F37</f>
        <v>61600</v>
      </c>
      <c r="H37" s="2109"/>
      <c r="I37" s="2495"/>
      <c r="J37" s="2109"/>
      <c r="K37" s="2495"/>
      <c r="L37" s="2109"/>
      <c r="M37" s="2495"/>
      <c r="N37" s="2109"/>
      <c r="O37" s="2495"/>
      <c r="P37" s="2109"/>
      <c r="Q37" s="2495"/>
      <c r="R37" s="2109" t="s">
        <v>669</v>
      </c>
      <c r="S37" s="2495"/>
      <c r="T37" s="2109" t="s">
        <v>669</v>
      </c>
      <c r="U37" s="2491">
        <v>77824</v>
      </c>
      <c r="V37" s="2109"/>
      <c r="W37" s="2495"/>
      <c r="X37" s="2109"/>
      <c r="Y37" s="2495"/>
    </row>
    <row r="38" spans="1:25" s="77" customFormat="1" x14ac:dyDescent="0.35">
      <c r="A38" s="2502"/>
      <c r="B38" s="2340" t="s">
        <v>2715</v>
      </c>
      <c r="C38" s="2236"/>
      <c r="D38" s="2475">
        <v>79</v>
      </c>
      <c r="E38" s="2212" t="s">
        <v>666</v>
      </c>
      <c r="F38" s="2212">
        <v>350</v>
      </c>
      <c r="G38" s="2211">
        <f t="shared" si="0"/>
        <v>27650</v>
      </c>
      <c r="H38" s="2334"/>
      <c r="I38" s="2495"/>
      <c r="J38" s="2334"/>
      <c r="K38" s="2495"/>
      <c r="L38" s="2334"/>
      <c r="M38" s="2495"/>
      <c r="N38" s="2495"/>
      <c r="O38" s="2495"/>
      <c r="P38" s="2495"/>
      <c r="Q38" s="2495"/>
      <c r="R38" s="2109" t="s">
        <v>669</v>
      </c>
      <c r="S38" s="2495"/>
      <c r="T38" s="2109" t="s">
        <v>669</v>
      </c>
      <c r="U38" s="2491">
        <v>106552</v>
      </c>
      <c r="V38" s="2495"/>
      <c r="W38" s="2495"/>
      <c r="X38" s="2495"/>
      <c r="Y38" s="2495"/>
    </row>
    <row r="39" spans="1:25" s="77" customFormat="1" x14ac:dyDescent="0.35">
      <c r="A39" s="2502"/>
      <c r="B39" s="2340"/>
      <c r="C39" s="2236"/>
      <c r="D39" s="2475"/>
      <c r="E39" s="2212"/>
      <c r="F39" s="2212"/>
      <c r="G39" s="2211"/>
      <c r="H39" s="2334"/>
      <c r="I39" s="2495"/>
      <c r="J39" s="2334"/>
      <c r="K39" s="2495"/>
      <c r="L39" s="2334"/>
      <c r="M39" s="2495"/>
      <c r="N39" s="2495"/>
      <c r="O39" s="2495"/>
      <c r="P39" s="2495"/>
      <c r="Q39" s="2495"/>
      <c r="R39" s="2334"/>
      <c r="S39" s="2495"/>
      <c r="T39" s="2331"/>
      <c r="U39" s="2491"/>
      <c r="V39" s="2495"/>
      <c r="W39" s="2495"/>
      <c r="X39" s="2495"/>
      <c r="Y39" s="2495"/>
    </row>
    <row r="40" spans="1:25" s="77" customFormat="1" x14ac:dyDescent="0.35">
      <c r="A40" s="2502"/>
      <c r="B40" s="2359" t="s">
        <v>2716</v>
      </c>
      <c r="C40" s="2236"/>
      <c r="D40" s="2475"/>
      <c r="E40" s="2341"/>
      <c r="F40" s="2342"/>
      <c r="G40" s="2211"/>
      <c r="H40" s="2334"/>
      <c r="I40" s="2495"/>
      <c r="J40" s="2334"/>
      <c r="K40" s="2495"/>
      <c r="L40" s="2334"/>
      <c r="M40" s="2495"/>
      <c r="N40" s="2495"/>
      <c r="O40" s="2495"/>
      <c r="P40" s="2495"/>
      <c r="Q40" s="2495"/>
      <c r="R40" s="2334"/>
      <c r="S40" s="2495"/>
      <c r="T40" s="2331"/>
      <c r="U40" s="2491"/>
      <c r="V40" s="2495"/>
      <c r="W40" s="2495"/>
      <c r="X40" s="2495"/>
      <c r="Y40" s="2495"/>
    </row>
    <row r="41" spans="1:25" s="77" customFormat="1" x14ac:dyDescent="0.35">
      <c r="A41" s="2502"/>
      <c r="B41" s="2340" t="s">
        <v>2717</v>
      </c>
      <c r="C41" s="2236"/>
      <c r="D41" s="2475">
        <f>13*28</f>
        <v>364</v>
      </c>
      <c r="E41" s="2341" t="s">
        <v>752</v>
      </c>
      <c r="F41" s="2342">
        <v>25</v>
      </c>
      <c r="G41" s="2211">
        <f>F41*D41</f>
        <v>9100</v>
      </c>
      <c r="H41" s="2109" t="s">
        <v>669</v>
      </c>
      <c r="I41" s="2495">
        <f t="shared" ref="I41:I53" si="1">G41</f>
        <v>9100</v>
      </c>
      <c r="J41" s="2109" t="s">
        <v>669</v>
      </c>
      <c r="K41" s="2495"/>
      <c r="L41" s="2109" t="s">
        <v>669</v>
      </c>
      <c r="M41" s="2495"/>
      <c r="N41" s="2109" t="s">
        <v>669</v>
      </c>
      <c r="O41" s="2495"/>
      <c r="P41" s="2109" t="s">
        <v>669</v>
      </c>
      <c r="Q41" s="2495"/>
      <c r="R41" s="2334"/>
      <c r="S41" s="2495"/>
      <c r="T41" s="2331"/>
      <c r="U41" s="2491"/>
      <c r="V41" s="2495"/>
      <c r="W41" s="2495"/>
      <c r="X41" s="2495"/>
      <c r="Y41" s="2495"/>
    </row>
    <row r="42" spans="1:25" s="77" customFormat="1" x14ac:dyDescent="0.35">
      <c r="A42" s="2502"/>
      <c r="B42" s="2340" t="s">
        <v>2718</v>
      </c>
      <c r="C42" s="2236"/>
      <c r="D42" s="2475">
        <f>128*19</f>
        <v>2432</v>
      </c>
      <c r="E42" s="2341" t="s">
        <v>752</v>
      </c>
      <c r="F42" s="2342">
        <v>25</v>
      </c>
      <c r="G42" s="2211">
        <f t="shared" ref="G42:G61" si="2">F42*D42</f>
        <v>60800</v>
      </c>
      <c r="H42" s="2109" t="s">
        <v>669</v>
      </c>
      <c r="I42" s="2495">
        <f t="shared" si="1"/>
        <v>60800</v>
      </c>
      <c r="J42" s="2109" t="s">
        <v>669</v>
      </c>
      <c r="K42" s="2495"/>
      <c r="L42" s="2109" t="s">
        <v>669</v>
      </c>
      <c r="M42" s="2495"/>
      <c r="N42" s="2109" t="s">
        <v>669</v>
      </c>
      <c r="O42" s="2495"/>
      <c r="P42" s="2109" t="s">
        <v>669</v>
      </c>
      <c r="Q42" s="2495"/>
      <c r="R42" s="2334"/>
      <c r="S42" s="2495"/>
      <c r="T42" s="2331"/>
      <c r="U42" s="2491"/>
      <c r="V42" s="2495"/>
      <c r="W42" s="2495"/>
      <c r="X42" s="2495"/>
      <c r="Y42" s="2495"/>
    </row>
    <row r="43" spans="1:25" s="77" customFormat="1" x14ac:dyDescent="0.35">
      <c r="A43" s="2502"/>
      <c r="B43" s="2340" t="s">
        <v>2719</v>
      </c>
      <c r="C43" s="2236"/>
      <c r="D43" s="2475">
        <f>30*15</f>
        <v>450</v>
      </c>
      <c r="E43" s="2341" t="s">
        <v>752</v>
      </c>
      <c r="F43" s="2342">
        <v>25</v>
      </c>
      <c r="G43" s="2211">
        <f t="shared" si="2"/>
        <v>11250</v>
      </c>
      <c r="H43" s="2109" t="s">
        <v>669</v>
      </c>
      <c r="I43" s="2495">
        <f t="shared" si="1"/>
        <v>11250</v>
      </c>
      <c r="J43" s="2109" t="s">
        <v>669</v>
      </c>
      <c r="K43" s="2495"/>
      <c r="L43" s="2109" t="s">
        <v>669</v>
      </c>
      <c r="M43" s="2495"/>
      <c r="N43" s="2109" t="s">
        <v>669</v>
      </c>
      <c r="O43" s="2495"/>
      <c r="P43" s="2109" t="s">
        <v>669</v>
      </c>
      <c r="Q43" s="2495"/>
      <c r="R43" s="2334"/>
      <c r="S43" s="2495"/>
      <c r="T43" s="2331"/>
      <c r="U43" s="2491"/>
      <c r="V43" s="2495"/>
      <c r="W43" s="2495"/>
      <c r="X43" s="2495"/>
      <c r="Y43" s="2495"/>
    </row>
    <row r="44" spans="1:25" s="77" customFormat="1" x14ac:dyDescent="0.35">
      <c r="A44" s="2502"/>
      <c r="B44" s="2340" t="s">
        <v>2720</v>
      </c>
      <c r="C44" s="2236"/>
      <c r="D44" s="2475">
        <f>12*24</f>
        <v>288</v>
      </c>
      <c r="E44" s="2341" t="s">
        <v>752</v>
      </c>
      <c r="F44" s="2342">
        <v>25</v>
      </c>
      <c r="G44" s="2211">
        <f t="shared" si="2"/>
        <v>7200</v>
      </c>
      <c r="H44" s="2109" t="s">
        <v>669</v>
      </c>
      <c r="I44" s="2495">
        <f t="shared" si="1"/>
        <v>7200</v>
      </c>
      <c r="J44" s="2109" t="s">
        <v>669</v>
      </c>
      <c r="K44" s="2495"/>
      <c r="L44" s="2109" t="s">
        <v>669</v>
      </c>
      <c r="M44" s="2495"/>
      <c r="N44" s="2109" t="s">
        <v>669</v>
      </c>
      <c r="O44" s="2495"/>
      <c r="P44" s="2109" t="s">
        <v>669</v>
      </c>
      <c r="Q44" s="2495"/>
      <c r="R44" s="2334"/>
      <c r="S44" s="2495"/>
      <c r="T44" s="2331"/>
      <c r="U44" s="2491"/>
      <c r="V44" s="2495"/>
      <c r="W44" s="2495"/>
      <c r="X44" s="2495"/>
      <c r="Y44" s="2495"/>
    </row>
    <row r="45" spans="1:25" s="77" customFormat="1" x14ac:dyDescent="0.35">
      <c r="A45" s="2502"/>
      <c r="B45" s="2340" t="s">
        <v>2721</v>
      </c>
      <c r="C45" s="2236"/>
      <c r="D45" s="2475">
        <f>18*5</f>
        <v>90</v>
      </c>
      <c r="E45" s="2341" t="s">
        <v>752</v>
      </c>
      <c r="F45" s="2342">
        <v>25</v>
      </c>
      <c r="G45" s="2211">
        <f t="shared" si="2"/>
        <v>2250</v>
      </c>
      <c r="H45" s="2109" t="s">
        <v>669</v>
      </c>
      <c r="I45" s="2495">
        <f t="shared" si="1"/>
        <v>2250</v>
      </c>
      <c r="J45" s="2109" t="s">
        <v>669</v>
      </c>
      <c r="K45" s="2495"/>
      <c r="L45" s="2109" t="s">
        <v>669</v>
      </c>
      <c r="M45" s="2495"/>
      <c r="N45" s="2109" t="s">
        <v>669</v>
      </c>
      <c r="O45" s="2495"/>
      <c r="P45" s="2109" t="s">
        <v>669</v>
      </c>
      <c r="Q45" s="2495"/>
      <c r="R45" s="2334"/>
      <c r="S45" s="2495"/>
      <c r="T45" s="2331"/>
      <c r="U45" s="2491"/>
      <c r="V45" s="2495"/>
      <c r="W45" s="2495"/>
      <c r="X45" s="2495"/>
      <c r="Y45" s="2495"/>
    </row>
    <row r="46" spans="1:25" s="77" customFormat="1" x14ac:dyDescent="0.35">
      <c r="A46" s="2502"/>
      <c r="B46" s="2340" t="s">
        <v>2722</v>
      </c>
      <c r="C46" s="2236"/>
      <c r="D46" s="2475">
        <f>2*20</f>
        <v>40</v>
      </c>
      <c r="E46" s="2341" t="s">
        <v>752</v>
      </c>
      <c r="F46" s="2342">
        <v>25</v>
      </c>
      <c r="G46" s="2211">
        <f t="shared" si="2"/>
        <v>1000</v>
      </c>
      <c r="H46" s="2109" t="s">
        <v>669</v>
      </c>
      <c r="I46" s="2495">
        <f t="shared" si="1"/>
        <v>1000</v>
      </c>
      <c r="J46" s="2109" t="s">
        <v>669</v>
      </c>
      <c r="K46" s="2495"/>
      <c r="L46" s="2109" t="s">
        <v>669</v>
      </c>
      <c r="M46" s="2495"/>
      <c r="N46" s="2109" t="s">
        <v>669</v>
      </c>
      <c r="O46" s="2495"/>
      <c r="P46" s="2109" t="s">
        <v>669</v>
      </c>
      <c r="Q46" s="2495"/>
      <c r="R46" s="2334"/>
      <c r="S46" s="2495"/>
      <c r="T46" s="2331"/>
      <c r="U46" s="2491"/>
      <c r="V46" s="2495"/>
      <c r="W46" s="2495"/>
      <c r="X46" s="2495"/>
      <c r="Y46" s="2495"/>
    </row>
    <row r="47" spans="1:25" s="77" customFormat="1" x14ac:dyDescent="0.35">
      <c r="A47" s="2502"/>
      <c r="B47" s="2340" t="s">
        <v>2723</v>
      </c>
      <c r="C47" s="2236"/>
      <c r="D47" s="2475">
        <f>18*39</f>
        <v>702</v>
      </c>
      <c r="E47" s="2341" t="s">
        <v>752</v>
      </c>
      <c r="F47" s="2342">
        <v>25</v>
      </c>
      <c r="G47" s="2211">
        <f t="shared" si="2"/>
        <v>17550</v>
      </c>
      <c r="H47" s="2109" t="s">
        <v>669</v>
      </c>
      <c r="I47" s="2495">
        <f t="shared" si="1"/>
        <v>17550</v>
      </c>
      <c r="J47" s="2109" t="s">
        <v>669</v>
      </c>
      <c r="K47" s="2495"/>
      <c r="L47" s="2109" t="s">
        <v>669</v>
      </c>
      <c r="M47" s="2495"/>
      <c r="N47" s="2109" t="s">
        <v>669</v>
      </c>
      <c r="O47" s="2495"/>
      <c r="P47" s="2109" t="s">
        <v>669</v>
      </c>
      <c r="Q47" s="2495"/>
      <c r="R47" s="2334"/>
      <c r="S47" s="2495"/>
      <c r="T47" s="2331"/>
      <c r="U47" s="2491"/>
      <c r="V47" s="2495"/>
      <c r="W47" s="2495"/>
      <c r="X47" s="2495"/>
      <c r="Y47" s="2495"/>
    </row>
    <row r="48" spans="1:25" s="77" customFormat="1" x14ac:dyDescent="0.35">
      <c r="A48" s="2502"/>
      <c r="B48" s="2340" t="s">
        <v>2724</v>
      </c>
      <c r="C48" s="2236"/>
      <c r="D48" s="2475">
        <f>9*18</f>
        <v>162</v>
      </c>
      <c r="E48" s="2341" t="s">
        <v>752</v>
      </c>
      <c r="F48" s="2342">
        <v>25</v>
      </c>
      <c r="G48" s="2211">
        <f t="shared" si="2"/>
        <v>4050</v>
      </c>
      <c r="H48" s="2109" t="s">
        <v>669</v>
      </c>
      <c r="I48" s="2495">
        <f t="shared" si="1"/>
        <v>4050</v>
      </c>
      <c r="J48" s="2109" t="s">
        <v>669</v>
      </c>
      <c r="K48" s="2495"/>
      <c r="L48" s="2109" t="s">
        <v>669</v>
      </c>
      <c r="M48" s="2495"/>
      <c r="N48" s="2109" t="s">
        <v>669</v>
      </c>
      <c r="O48" s="2495"/>
      <c r="P48" s="2109" t="s">
        <v>669</v>
      </c>
      <c r="Q48" s="2495"/>
      <c r="R48" s="2334"/>
      <c r="S48" s="2495"/>
      <c r="T48" s="2331"/>
      <c r="U48" s="2491"/>
      <c r="V48" s="2495"/>
      <c r="W48" s="2495"/>
      <c r="X48" s="2495"/>
      <c r="Y48" s="2495"/>
    </row>
    <row r="49" spans="1:25" s="77" customFormat="1" x14ac:dyDescent="0.35">
      <c r="A49" s="2502"/>
      <c r="B49" s="2340" t="s">
        <v>2725</v>
      </c>
      <c r="C49" s="2236"/>
      <c r="D49" s="2475">
        <f>9*18</f>
        <v>162</v>
      </c>
      <c r="E49" s="2341" t="s">
        <v>752</v>
      </c>
      <c r="F49" s="2342">
        <v>25</v>
      </c>
      <c r="G49" s="2211">
        <f t="shared" si="2"/>
        <v>4050</v>
      </c>
      <c r="H49" s="2109" t="s">
        <v>669</v>
      </c>
      <c r="I49" s="2495">
        <f t="shared" si="1"/>
        <v>4050</v>
      </c>
      <c r="J49" s="2109" t="s">
        <v>669</v>
      </c>
      <c r="K49" s="2495"/>
      <c r="L49" s="2109" t="s">
        <v>669</v>
      </c>
      <c r="M49" s="2495"/>
      <c r="N49" s="2109" t="s">
        <v>669</v>
      </c>
      <c r="O49" s="2495"/>
      <c r="P49" s="2109" t="s">
        <v>669</v>
      </c>
      <c r="Q49" s="2495"/>
      <c r="R49" s="2334"/>
      <c r="S49" s="2495"/>
      <c r="T49" s="2331"/>
      <c r="U49" s="2491"/>
      <c r="V49" s="2495"/>
      <c r="W49" s="2495"/>
      <c r="X49" s="2495"/>
      <c r="Y49" s="2495"/>
    </row>
    <row r="50" spans="1:25" s="77" customFormat="1" x14ac:dyDescent="0.35">
      <c r="A50" s="2502"/>
      <c r="B50" s="2340" t="s">
        <v>2726</v>
      </c>
      <c r="C50" s="2236"/>
      <c r="D50" s="2475">
        <f>44*34</f>
        <v>1496</v>
      </c>
      <c r="E50" s="2341" t="s">
        <v>752</v>
      </c>
      <c r="F50" s="2342">
        <v>25</v>
      </c>
      <c r="G50" s="2211">
        <f t="shared" si="2"/>
        <v>37400</v>
      </c>
      <c r="H50" s="2109" t="s">
        <v>669</v>
      </c>
      <c r="I50" s="2495">
        <f t="shared" si="1"/>
        <v>37400</v>
      </c>
      <c r="J50" s="2109" t="s">
        <v>669</v>
      </c>
      <c r="K50" s="2495"/>
      <c r="L50" s="2109" t="s">
        <v>669</v>
      </c>
      <c r="M50" s="2495"/>
      <c r="N50" s="2109" t="s">
        <v>669</v>
      </c>
      <c r="O50" s="2495"/>
      <c r="P50" s="2109" t="s">
        <v>669</v>
      </c>
      <c r="Q50" s="2495"/>
      <c r="R50" s="2334"/>
      <c r="S50" s="2495"/>
      <c r="T50" s="2331"/>
      <c r="U50" s="2491"/>
      <c r="V50" s="2495"/>
      <c r="W50" s="2495"/>
      <c r="X50" s="2495"/>
      <c r="Y50" s="2495"/>
    </row>
    <row r="51" spans="1:25" s="77" customFormat="1" x14ac:dyDescent="0.35">
      <c r="A51" s="2502"/>
      <c r="B51" s="2340" t="s">
        <v>2727</v>
      </c>
      <c r="C51" s="2236"/>
      <c r="D51" s="2475">
        <f>50*34</f>
        <v>1700</v>
      </c>
      <c r="E51" s="2341" t="s">
        <v>752</v>
      </c>
      <c r="F51" s="2342">
        <v>25</v>
      </c>
      <c r="G51" s="2211">
        <f t="shared" si="2"/>
        <v>42500</v>
      </c>
      <c r="H51" s="2109" t="s">
        <v>669</v>
      </c>
      <c r="I51" s="2495">
        <f t="shared" si="1"/>
        <v>42500</v>
      </c>
      <c r="J51" s="2109" t="s">
        <v>669</v>
      </c>
      <c r="K51" s="2495"/>
      <c r="L51" s="2109" t="s">
        <v>669</v>
      </c>
      <c r="M51" s="2495"/>
      <c r="N51" s="2109" t="s">
        <v>669</v>
      </c>
      <c r="O51" s="2495"/>
      <c r="P51" s="2109" t="s">
        <v>669</v>
      </c>
      <c r="Q51" s="2495"/>
      <c r="R51" s="2334"/>
      <c r="S51" s="2495"/>
      <c r="T51" s="2331"/>
      <c r="U51" s="2491"/>
      <c r="V51" s="2495"/>
      <c r="W51" s="2495"/>
      <c r="X51" s="2495"/>
      <c r="Y51" s="2495"/>
    </row>
    <row r="52" spans="1:25" s="77" customFormat="1" x14ac:dyDescent="0.35">
      <c r="A52" s="2502"/>
      <c r="B52" s="2340" t="s">
        <v>2728</v>
      </c>
      <c r="C52" s="2236"/>
      <c r="D52" s="2475">
        <f>70*41</f>
        <v>2870</v>
      </c>
      <c r="E52" s="2341" t="s">
        <v>752</v>
      </c>
      <c r="F52" s="2342">
        <v>25</v>
      </c>
      <c r="G52" s="2211">
        <f t="shared" si="2"/>
        <v>71750</v>
      </c>
      <c r="H52" s="2109" t="s">
        <v>669</v>
      </c>
      <c r="I52" s="2495">
        <f t="shared" si="1"/>
        <v>71750</v>
      </c>
      <c r="J52" s="2109" t="s">
        <v>669</v>
      </c>
      <c r="K52" s="2495"/>
      <c r="L52" s="2109" t="s">
        <v>669</v>
      </c>
      <c r="M52" s="2495"/>
      <c r="N52" s="2109" t="s">
        <v>669</v>
      </c>
      <c r="O52" s="2495"/>
      <c r="P52" s="2109" t="s">
        <v>669</v>
      </c>
      <c r="Q52" s="2495"/>
      <c r="R52" s="2334"/>
      <c r="S52" s="2495"/>
      <c r="T52" s="2331"/>
      <c r="U52" s="2491"/>
      <c r="V52" s="2495"/>
      <c r="W52" s="2495"/>
      <c r="X52" s="2495"/>
      <c r="Y52" s="2495"/>
    </row>
    <row r="53" spans="1:25" s="77" customFormat="1" x14ac:dyDescent="0.35">
      <c r="A53" s="2502"/>
      <c r="B53" s="2340" t="s">
        <v>2729</v>
      </c>
      <c r="C53" s="2236"/>
      <c r="D53" s="2475">
        <f>30*36</f>
        <v>1080</v>
      </c>
      <c r="E53" s="2341" t="s">
        <v>752</v>
      </c>
      <c r="F53" s="2342">
        <v>25</v>
      </c>
      <c r="G53" s="2211">
        <f t="shared" si="2"/>
        <v>27000</v>
      </c>
      <c r="H53" s="2109" t="s">
        <v>669</v>
      </c>
      <c r="I53" s="2495">
        <f t="shared" si="1"/>
        <v>27000</v>
      </c>
      <c r="J53" s="2109" t="s">
        <v>669</v>
      </c>
      <c r="K53" s="2495"/>
      <c r="L53" s="2109" t="s">
        <v>669</v>
      </c>
      <c r="M53" s="2495"/>
      <c r="N53" s="2109" t="s">
        <v>669</v>
      </c>
      <c r="O53" s="2495"/>
      <c r="P53" s="2109" t="s">
        <v>669</v>
      </c>
      <c r="Q53" s="2495"/>
      <c r="R53" s="2334"/>
      <c r="S53" s="2495"/>
      <c r="T53" s="2331"/>
      <c r="U53" s="2491"/>
      <c r="V53" s="2495"/>
      <c r="W53" s="2495"/>
      <c r="X53" s="2495"/>
      <c r="Y53" s="2495"/>
    </row>
    <row r="54" spans="1:25" s="77" customFormat="1" x14ac:dyDescent="0.35">
      <c r="A54" s="2502"/>
      <c r="B54" s="2340"/>
      <c r="C54" s="2236"/>
      <c r="D54" s="2212"/>
      <c r="E54" s="2341"/>
      <c r="F54" s="2342"/>
      <c r="G54" s="2211"/>
      <c r="H54" s="2334"/>
      <c r="I54" s="2495"/>
      <c r="J54" s="2334"/>
      <c r="K54" s="2495"/>
      <c r="L54" s="2334"/>
      <c r="M54" s="2495"/>
      <c r="N54" s="2495"/>
      <c r="O54" s="2495"/>
      <c r="P54" s="2495"/>
      <c r="Q54" s="2495"/>
      <c r="R54" s="2334"/>
      <c r="S54" s="2495"/>
      <c r="T54" s="2331"/>
      <c r="U54" s="2491"/>
      <c r="V54" s="2495"/>
      <c r="W54" s="2495"/>
      <c r="X54" s="2495"/>
      <c r="Y54" s="2495"/>
    </row>
    <row r="55" spans="1:25" s="77" customFormat="1" x14ac:dyDescent="0.35">
      <c r="A55" s="2502"/>
      <c r="B55" s="2359" t="s">
        <v>2730</v>
      </c>
      <c r="C55" s="2236"/>
      <c r="D55" s="2475">
        <f>128+30+18+12+2+50+70</f>
        <v>310</v>
      </c>
      <c r="E55" s="2341" t="s">
        <v>666</v>
      </c>
      <c r="F55" s="2342">
        <v>245</v>
      </c>
      <c r="G55" s="2211">
        <f t="shared" si="2"/>
        <v>75950</v>
      </c>
      <c r="H55" s="2109" t="s">
        <v>669</v>
      </c>
      <c r="I55" s="2503">
        <f>G55</f>
        <v>75950</v>
      </c>
      <c r="J55" s="2109" t="s">
        <v>671</v>
      </c>
      <c r="K55" s="2495" t="s">
        <v>2731</v>
      </c>
      <c r="L55" s="2109" t="s">
        <v>671</v>
      </c>
      <c r="M55" s="2503" t="s">
        <v>2731</v>
      </c>
      <c r="N55" s="2109" t="s">
        <v>671</v>
      </c>
      <c r="O55" s="2503"/>
      <c r="P55" s="2109" t="s">
        <v>671</v>
      </c>
      <c r="Q55" s="2503"/>
      <c r="R55" s="2334"/>
      <c r="S55" s="2503"/>
      <c r="T55" s="2331"/>
      <c r="U55" s="2504"/>
      <c r="V55" s="2503"/>
      <c r="W55" s="2503"/>
      <c r="X55" s="2503"/>
      <c r="Y55" s="2503"/>
    </row>
    <row r="56" spans="1:25" s="77" customFormat="1" x14ac:dyDescent="0.35">
      <c r="A56" s="2502"/>
      <c r="B56" s="2340"/>
      <c r="C56" s="2236"/>
      <c r="D56" s="2212"/>
      <c r="E56" s="2341"/>
      <c r="F56" s="2342"/>
      <c r="G56" s="2211"/>
      <c r="H56" s="2334"/>
      <c r="I56" s="2503"/>
      <c r="J56" s="2334"/>
      <c r="K56" s="2495"/>
      <c r="L56" s="2334"/>
      <c r="M56" s="2503"/>
      <c r="N56" s="2503"/>
      <c r="O56" s="2503"/>
      <c r="P56" s="2503"/>
      <c r="Q56" s="2503"/>
      <c r="R56" s="2334"/>
      <c r="S56" s="2503"/>
      <c r="T56" s="2331"/>
      <c r="U56" s="2504"/>
      <c r="V56" s="2503"/>
      <c r="W56" s="2503"/>
      <c r="X56" s="2503"/>
      <c r="Y56" s="2503"/>
    </row>
    <row r="57" spans="1:25" s="77" customFormat="1" x14ac:dyDescent="0.35">
      <c r="A57" s="2502"/>
      <c r="B57" s="2359" t="s">
        <v>2732</v>
      </c>
      <c r="C57" s="2236"/>
      <c r="D57" s="2475"/>
      <c r="E57" s="2341"/>
      <c r="F57" s="2342"/>
      <c r="G57" s="2211"/>
      <c r="H57" s="2109" t="s">
        <v>669</v>
      </c>
      <c r="I57" s="2503">
        <v>12500</v>
      </c>
      <c r="J57" s="2109" t="s">
        <v>669</v>
      </c>
      <c r="K57" s="2495">
        <f>(126000/(454+50))*88</f>
        <v>22000</v>
      </c>
      <c r="L57" s="2505" t="s">
        <v>669</v>
      </c>
      <c r="M57" s="2503">
        <v>66000</v>
      </c>
      <c r="N57" s="2109" t="s">
        <v>669</v>
      </c>
      <c r="O57" s="2503"/>
      <c r="P57" s="2109" t="s">
        <v>671</v>
      </c>
      <c r="Q57" s="2503"/>
      <c r="R57" s="2334"/>
      <c r="S57" s="2503"/>
      <c r="T57" s="2331"/>
      <c r="U57" s="2504"/>
      <c r="V57" s="2503"/>
      <c r="W57" s="2503"/>
      <c r="X57" s="2503"/>
      <c r="Y57" s="2503"/>
    </row>
    <row r="58" spans="1:25" s="77" customFormat="1" x14ac:dyDescent="0.35">
      <c r="A58" s="2502"/>
      <c r="B58" s="2340" t="s">
        <v>2733</v>
      </c>
      <c r="C58" s="2236"/>
      <c r="D58" s="2475">
        <f>3*5*5</f>
        <v>75</v>
      </c>
      <c r="E58" s="2341" t="s">
        <v>752</v>
      </c>
      <c r="F58" s="2342">
        <v>22</v>
      </c>
      <c r="G58" s="2211">
        <f t="shared" si="2"/>
        <v>1650</v>
      </c>
      <c r="H58" s="2109"/>
      <c r="I58" s="2503"/>
      <c r="J58" s="2109" t="s">
        <v>669</v>
      </c>
      <c r="K58" s="2503"/>
      <c r="L58" s="2505" t="s">
        <v>669</v>
      </c>
      <c r="M58" s="2503"/>
      <c r="N58" s="2109" t="s">
        <v>669</v>
      </c>
      <c r="O58" s="2503">
        <f>G58</f>
        <v>1650</v>
      </c>
      <c r="P58" s="2109" t="s">
        <v>671</v>
      </c>
      <c r="Q58" s="2503"/>
      <c r="R58" s="2334"/>
      <c r="S58" s="2503"/>
      <c r="T58" s="2331"/>
      <c r="U58" s="2504"/>
      <c r="V58" s="2503"/>
      <c r="W58" s="2503"/>
      <c r="X58" s="2503"/>
      <c r="Y58" s="2503"/>
    </row>
    <row r="59" spans="1:25" s="77" customFormat="1" x14ac:dyDescent="0.35">
      <c r="A59" s="2502"/>
      <c r="B59" s="2340" t="s">
        <v>2734</v>
      </c>
      <c r="C59" s="2236"/>
      <c r="D59" s="2475">
        <f>3*9*5</f>
        <v>135</v>
      </c>
      <c r="E59" s="2341" t="s">
        <v>752</v>
      </c>
      <c r="F59" s="2342">
        <v>22</v>
      </c>
      <c r="G59" s="2211">
        <f t="shared" si="2"/>
        <v>2970</v>
      </c>
      <c r="H59" s="2109"/>
      <c r="I59" s="2503"/>
      <c r="J59" s="2109" t="s">
        <v>669</v>
      </c>
      <c r="K59" s="2503"/>
      <c r="L59" s="2505" t="s">
        <v>669</v>
      </c>
      <c r="M59" s="2503"/>
      <c r="N59" s="2109" t="s">
        <v>669</v>
      </c>
      <c r="O59" s="2503">
        <f>G59</f>
        <v>2970</v>
      </c>
      <c r="P59" s="2109" t="s">
        <v>671</v>
      </c>
      <c r="Q59" s="2503"/>
      <c r="R59" s="2334"/>
      <c r="S59" s="2503"/>
      <c r="T59" s="2331"/>
      <c r="U59" s="2504"/>
      <c r="V59" s="2503"/>
      <c r="W59" s="2503"/>
      <c r="X59" s="2503"/>
      <c r="Y59" s="2503"/>
    </row>
    <row r="60" spans="1:25" s="77" customFormat="1" x14ac:dyDescent="0.35">
      <c r="A60" s="2502"/>
      <c r="B60" s="2340" t="s">
        <v>2735</v>
      </c>
      <c r="C60" s="2236"/>
      <c r="D60" s="2475">
        <f>3*5*30</f>
        <v>450</v>
      </c>
      <c r="E60" s="2341" t="s">
        <v>752</v>
      </c>
      <c r="F60" s="2342">
        <v>22</v>
      </c>
      <c r="G60" s="2211">
        <f t="shared" si="2"/>
        <v>9900</v>
      </c>
      <c r="H60" s="2109"/>
      <c r="I60" s="2503"/>
      <c r="J60" s="2109" t="s">
        <v>669</v>
      </c>
      <c r="K60" s="2503"/>
      <c r="L60" s="2505" t="s">
        <v>669</v>
      </c>
      <c r="M60" s="2503"/>
      <c r="N60" s="2109" t="s">
        <v>669</v>
      </c>
      <c r="O60" s="2503">
        <f>G60</f>
        <v>9900</v>
      </c>
      <c r="P60" s="2109" t="s">
        <v>671</v>
      </c>
      <c r="Q60" s="2503"/>
      <c r="R60" s="2334"/>
      <c r="S60" s="2503"/>
      <c r="T60" s="2331"/>
      <c r="U60" s="2504"/>
      <c r="V60" s="2503"/>
      <c r="W60" s="2503"/>
      <c r="X60" s="2503"/>
      <c r="Y60" s="2503"/>
    </row>
    <row r="61" spans="1:25" s="77" customFormat="1" x14ac:dyDescent="0.35">
      <c r="A61" s="2502"/>
      <c r="B61" s="2340" t="s">
        <v>2736</v>
      </c>
      <c r="C61" s="2236"/>
      <c r="D61" s="2475">
        <f>3.5*5*44</f>
        <v>770</v>
      </c>
      <c r="E61" s="2341" t="s">
        <v>752</v>
      </c>
      <c r="F61" s="2342">
        <v>22</v>
      </c>
      <c r="G61" s="2211">
        <f t="shared" si="2"/>
        <v>16940</v>
      </c>
      <c r="H61" s="2109"/>
      <c r="I61" s="2503"/>
      <c r="J61" s="2109" t="s">
        <v>669</v>
      </c>
      <c r="K61" s="2503"/>
      <c r="L61" s="2505" t="s">
        <v>669</v>
      </c>
      <c r="M61" s="2503"/>
      <c r="N61" s="2109" t="s">
        <v>669</v>
      </c>
      <c r="O61" s="2503">
        <f>G61</f>
        <v>16940</v>
      </c>
      <c r="P61" s="2109" t="s">
        <v>671</v>
      </c>
      <c r="Q61" s="2503"/>
      <c r="R61" s="2334"/>
      <c r="S61" s="2503"/>
      <c r="T61" s="2331"/>
      <c r="U61" s="2504"/>
      <c r="V61" s="2503"/>
      <c r="W61" s="2503"/>
      <c r="X61" s="2503"/>
      <c r="Y61" s="2503"/>
    </row>
    <row r="62" spans="1:25" s="77" customFormat="1" x14ac:dyDescent="0.35">
      <c r="A62" s="2502"/>
      <c r="B62" s="2340"/>
      <c r="C62" s="2236"/>
      <c r="D62" s="2475"/>
      <c r="E62" s="2341"/>
      <c r="F62" s="2342"/>
      <c r="G62" s="2211"/>
      <c r="H62" s="2109"/>
      <c r="I62" s="2503"/>
      <c r="J62" s="2109"/>
      <c r="K62" s="2503"/>
      <c r="L62" s="2109"/>
      <c r="M62" s="2503"/>
      <c r="N62" s="2506"/>
      <c r="O62" s="2503"/>
      <c r="P62" s="2506"/>
      <c r="Q62" s="2503"/>
      <c r="R62" s="2334"/>
      <c r="S62" s="2503"/>
      <c r="T62" s="2331"/>
      <c r="U62" s="2504"/>
      <c r="V62" s="2503"/>
      <c r="W62" s="2503"/>
      <c r="X62" s="2503"/>
      <c r="Y62" s="2503"/>
    </row>
    <row r="63" spans="1:25" s="77" customFormat="1" x14ac:dyDescent="0.35">
      <c r="A63" s="2502"/>
      <c r="B63" s="2340"/>
      <c r="C63" s="2236"/>
      <c r="D63" s="2212"/>
      <c r="E63" s="2341"/>
      <c r="F63" s="2342"/>
      <c r="G63" s="2211"/>
      <c r="H63" s="2334"/>
      <c r="I63" s="2503"/>
      <c r="J63" s="2334"/>
      <c r="K63" s="2495"/>
      <c r="L63" s="2334"/>
      <c r="M63" s="2503"/>
      <c r="N63" s="2503"/>
      <c r="O63" s="2503"/>
      <c r="P63" s="2503"/>
      <c r="Q63" s="2503"/>
      <c r="R63" s="2334"/>
      <c r="S63" s="2503"/>
      <c r="T63" s="2331"/>
      <c r="U63" s="2504"/>
      <c r="V63" s="2503"/>
      <c r="W63" s="2503"/>
      <c r="X63" s="2503"/>
      <c r="Y63" s="2503"/>
    </row>
    <row r="64" spans="1:25" s="77" customFormat="1" x14ac:dyDescent="0.35">
      <c r="A64" s="2502"/>
      <c r="B64" s="2340"/>
      <c r="C64" s="2236"/>
      <c r="D64" s="2475"/>
      <c r="E64" s="2341"/>
      <c r="F64" s="2342"/>
      <c r="G64" s="2211"/>
      <c r="H64" s="2334"/>
      <c r="I64" s="2503"/>
      <c r="J64" s="2334"/>
      <c r="K64" s="2495"/>
      <c r="L64" s="2334"/>
      <c r="M64" s="2503"/>
      <c r="N64" s="2503"/>
      <c r="O64" s="2503"/>
      <c r="P64" s="2503"/>
      <c r="Q64" s="2503"/>
      <c r="R64" s="2334"/>
      <c r="S64" s="2503"/>
      <c r="T64" s="2331"/>
      <c r="U64" s="2504"/>
      <c r="V64" s="2503"/>
      <c r="W64" s="2503"/>
      <c r="X64" s="2503"/>
      <c r="Y64" s="2503"/>
    </row>
    <row r="65" spans="1:25" s="77" customFormat="1" x14ac:dyDescent="0.35">
      <c r="A65" s="2502"/>
      <c r="B65" s="2340"/>
      <c r="C65" s="2236"/>
      <c r="D65" s="2212"/>
      <c r="E65" s="2341"/>
      <c r="F65" s="2342"/>
      <c r="G65" s="2211"/>
      <c r="H65" s="2334"/>
      <c r="I65" s="2495"/>
      <c r="J65" s="2334"/>
      <c r="K65" s="2495"/>
      <c r="L65" s="2334"/>
      <c r="M65" s="2495"/>
      <c r="N65" s="2495"/>
      <c r="O65" s="2495"/>
      <c r="P65" s="2495"/>
      <c r="Q65" s="2495"/>
      <c r="R65" s="2334"/>
      <c r="S65" s="2495"/>
      <c r="T65" s="2331"/>
      <c r="U65" s="2491"/>
      <c r="V65" s="2495"/>
      <c r="W65" s="2495"/>
      <c r="X65" s="2495"/>
      <c r="Y65" s="2495"/>
    </row>
    <row r="66" spans="1:25" x14ac:dyDescent="0.35">
      <c r="A66" s="14"/>
      <c r="B66" s="15"/>
      <c r="C66" s="16"/>
      <c r="D66" s="16"/>
      <c r="E66" s="17"/>
      <c r="F66" s="18" t="s">
        <v>715</v>
      </c>
      <c r="G66" s="19"/>
      <c r="H66" s="20"/>
      <c r="I66" s="50">
        <f>SUM(I23:I65)</f>
        <v>384350</v>
      </c>
      <c r="J66" s="20"/>
      <c r="K66" s="50">
        <f>SUM(K23:K65)</f>
        <v>356370</v>
      </c>
      <c r="L66" s="20"/>
      <c r="M66" s="50">
        <f>SUM(M23:M65)</f>
        <v>346768</v>
      </c>
      <c r="N66" s="20"/>
      <c r="O66" s="50">
        <f>SUM(O23:O65)</f>
        <v>320116</v>
      </c>
      <c r="P66" s="20"/>
      <c r="Q66" s="50">
        <f>SUM(Q23:Q65)</f>
        <v>578833.71</v>
      </c>
      <c r="R66" s="20"/>
      <c r="S66" s="50">
        <f>SUM(S23:S65)</f>
        <v>120300</v>
      </c>
      <c r="T66" s="20"/>
      <c r="U66" s="50">
        <f>SUM(U23:U65)</f>
        <v>215705</v>
      </c>
      <c r="V66" s="20"/>
      <c r="W66" s="50">
        <f>SUM(W23:W65)</f>
        <v>0</v>
      </c>
      <c r="X66" s="20"/>
      <c r="Y66" s="50">
        <f>SUM(Y23:Y65)</f>
        <v>0</v>
      </c>
    </row>
    <row r="67" spans="1:25" x14ac:dyDescent="0.35">
      <c r="A67" s="2239"/>
      <c r="B67" s="2240"/>
      <c r="C67" s="2241"/>
      <c r="D67" s="2241"/>
      <c r="E67" s="2242"/>
      <c r="F67" s="2243" t="s">
        <v>716</v>
      </c>
      <c r="G67" s="2244"/>
      <c r="H67" s="2065">
        <v>0</v>
      </c>
      <c r="I67" s="2064"/>
      <c r="J67" s="2065">
        <v>0</v>
      </c>
      <c r="K67" s="2064"/>
      <c r="L67" s="2065">
        <v>0</v>
      </c>
      <c r="M67" s="2064"/>
      <c r="N67" s="2065">
        <v>0</v>
      </c>
      <c r="O67" s="2064"/>
      <c r="P67" s="2065">
        <v>0</v>
      </c>
      <c r="Q67" s="2064"/>
      <c r="R67" s="2065">
        <v>0</v>
      </c>
      <c r="S67" s="2064"/>
      <c r="T67" s="2065">
        <v>0</v>
      </c>
      <c r="U67" s="2064"/>
      <c r="V67" s="2065">
        <v>0</v>
      </c>
      <c r="W67" s="2064"/>
      <c r="X67" s="2065">
        <v>0</v>
      </c>
      <c r="Y67" s="2064"/>
    </row>
    <row r="68" spans="1:25" x14ac:dyDescent="0.35">
      <c r="A68" s="2239"/>
      <c r="B68" s="2240"/>
      <c r="C68" s="2241"/>
      <c r="D68" s="2241"/>
      <c r="E68" s="2242"/>
      <c r="F68" s="2243" t="s">
        <v>717</v>
      </c>
      <c r="G68" s="2244"/>
      <c r="H68" s="2066"/>
      <c r="I68" s="2067">
        <f>H67*I66</f>
        <v>0</v>
      </c>
      <c r="J68" s="2066"/>
      <c r="K68" s="2067">
        <f>J67*K66</f>
        <v>0</v>
      </c>
      <c r="L68" s="2066"/>
      <c r="M68" s="2067">
        <f>L67*M66</f>
        <v>0</v>
      </c>
      <c r="N68" s="2066"/>
      <c r="O68" s="2067">
        <f>N67*O66</f>
        <v>0</v>
      </c>
      <c r="P68" s="2066"/>
      <c r="Q68" s="2067">
        <f>P67*Q66</f>
        <v>0</v>
      </c>
      <c r="R68" s="2066"/>
      <c r="S68" s="2067">
        <f>R67*S66</f>
        <v>0</v>
      </c>
      <c r="T68" s="2066"/>
      <c r="U68" s="2067">
        <f>T67*U66</f>
        <v>0</v>
      </c>
      <c r="V68" s="2066"/>
      <c r="W68" s="2067">
        <f>V67*W66</f>
        <v>0</v>
      </c>
      <c r="X68" s="2066"/>
      <c r="Y68" s="2067">
        <f>X67*Y66</f>
        <v>0</v>
      </c>
    </row>
    <row r="69" spans="1:25" x14ac:dyDescent="0.35">
      <c r="A69" s="2239"/>
      <c r="B69" s="2240"/>
      <c r="C69" s="2241"/>
      <c r="D69" s="2241"/>
      <c r="E69" s="2242"/>
      <c r="F69" s="2243"/>
      <c r="G69" s="2244"/>
      <c r="H69" s="2066"/>
      <c r="I69" s="2068"/>
      <c r="J69" s="2066"/>
      <c r="K69" s="2068"/>
      <c r="L69" s="2066"/>
      <c r="M69" s="2068"/>
      <c r="N69" s="2066"/>
      <c r="O69" s="2068"/>
      <c r="P69" s="2066"/>
      <c r="Q69" s="2068"/>
      <c r="R69" s="2066"/>
      <c r="S69" s="2068"/>
      <c r="T69" s="2066"/>
      <c r="U69" s="2068"/>
      <c r="V69" s="2066"/>
      <c r="W69" s="2068"/>
      <c r="X69" s="2066"/>
      <c r="Y69" s="2068"/>
    </row>
    <row r="70" spans="1:25" x14ac:dyDescent="0.35">
      <c r="A70" s="2239"/>
      <c r="B70" s="2240"/>
      <c r="C70" s="2241"/>
      <c r="D70" s="2241"/>
      <c r="E70" s="2242"/>
      <c r="F70" s="2243" t="s">
        <v>718</v>
      </c>
      <c r="G70" s="2244"/>
      <c r="H70" s="2069"/>
      <c r="I70" s="2070">
        <f>SUM(I66:I68)</f>
        <v>384350</v>
      </c>
      <c r="J70" s="2069"/>
      <c r="K70" s="2070">
        <f>SUM(K66:K68)</f>
        <v>356370</v>
      </c>
      <c r="L70" s="2069"/>
      <c r="M70" s="2070">
        <f>SUM(M66:M68)</f>
        <v>346768</v>
      </c>
      <c r="N70" s="2069"/>
      <c r="O70" s="2070">
        <f>SUM(O66:O68)</f>
        <v>320116</v>
      </c>
      <c r="P70" s="2069"/>
      <c r="Q70" s="2070">
        <f>SUM(Q66:Q68)</f>
        <v>578833.71</v>
      </c>
      <c r="R70" s="2069"/>
      <c r="S70" s="2070">
        <f>SUM(S66:S68)</f>
        <v>120300</v>
      </c>
      <c r="T70" s="2069"/>
      <c r="U70" s="2070">
        <f>SUM(U66:U68)</f>
        <v>215705</v>
      </c>
      <c r="V70" s="2069"/>
      <c r="W70" s="2070">
        <f>SUM(W66:W68)</f>
        <v>0</v>
      </c>
      <c r="X70" s="2069"/>
      <c r="Y70" s="2070">
        <f>SUM(Y66:Y68)</f>
        <v>0</v>
      </c>
    </row>
    <row r="71" spans="1:25" x14ac:dyDescent="0.35">
      <c r="A71" s="2239"/>
      <c r="B71" s="2240"/>
      <c r="C71" s="2241"/>
      <c r="D71" s="2241"/>
      <c r="E71" s="2242"/>
      <c r="F71" s="2255" t="s">
        <v>719</v>
      </c>
      <c r="G71" s="2256"/>
      <c r="H71" s="2073"/>
      <c r="I71" s="2074" t="e">
        <f>I70/#REF!</f>
        <v>#REF!</v>
      </c>
      <c r="J71" s="2073"/>
      <c r="K71" s="2074" t="e">
        <f>K70/#REF!</f>
        <v>#REF!</v>
      </c>
      <c r="L71" s="2073"/>
      <c r="M71" s="2074" t="e">
        <f>M70/#REF!</f>
        <v>#REF!</v>
      </c>
      <c r="N71" s="2073"/>
      <c r="O71" s="2074" t="e">
        <f>O70/#REF!</f>
        <v>#REF!</v>
      </c>
      <c r="P71" s="2073"/>
      <c r="Q71" s="2074" t="e">
        <f>Q70/#REF!</f>
        <v>#REF!</v>
      </c>
      <c r="R71" s="2073"/>
      <c r="S71" s="2074" t="e">
        <f>S70/#REF!</f>
        <v>#REF!</v>
      </c>
      <c r="T71" s="2073"/>
      <c r="U71" s="2074" t="e">
        <f>U70/#REF!</f>
        <v>#REF!</v>
      </c>
      <c r="V71" s="2073"/>
      <c r="W71" s="2074" t="e">
        <f>W70/#REF!</f>
        <v>#REF!</v>
      </c>
      <c r="X71" s="2073"/>
      <c r="Y71" s="2074" t="e">
        <f>Y70/#REF!</f>
        <v>#REF!</v>
      </c>
    </row>
    <row r="72" spans="1:25" x14ac:dyDescent="0.35">
      <c r="A72" s="2239"/>
      <c r="B72" s="2240"/>
      <c r="C72" s="2241"/>
      <c r="D72" s="2241"/>
      <c r="E72" s="2242"/>
      <c r="F72" s="2255" t="s">
        <v>720</v>
      </c>
      <c r="G72" s="2260"/>
      <c r="H72" s="2073"/>
      <c r="I72" s="2074" t="e">
        <f>I70/#REF!</f>
        <v>#REF!</v>
      </c>
      <c r="J72" s="2073"/>
      <c r="K72" s="2074" t="e">
        <f>K70/#REF!</f>
        <v>#REF!</v>
      </c>
      <c r="L72" s="2073"/>
      <c r="M72" s="2074" t="e">
        <f>M70/#REF!</f>
        <v>#REF!</v>
      </c>
      <c r="N72" s="2073"/>
      <c r="O72" s="2074" t="e">
        <f>O70/#REF!</f>
        <v>#REF!</v>
      </c>
      <c r="P72" s="2073"/>
      <c r="Q72" s="2074" t="e">
        <f>Q70/#REF!</f>
        <v>#REF!</v>
      </c>
      <c r="R72" s="2073"/>
      <c r="S72" s="2074" t="e">
        <f>S70/#REF!</f>
        <v>#REF!</v>
      </c>
      <c r="T72" s="2073"/>
      <c r="U72" s="2074" t="e">
        <f>U70/#REF!</f>
        <v>#REF!</v>
      </c>
      <c r="V72" s="2073"/>
      <c r="W72" s="2074" t="e">
        <f>W70/#REF!</f>
        <v>#REF!</v>
      </c>
      <c r="X72" s="2073"/>
      <c r="Y72" s="2074" t="e">
        <f>Y70/#REF!</f>
        <v>#REF!</v>
      </c>
    </row>
    <row r="73" spans="1:25" x14ac:dyDescent="0.35">
      <c r="A73" s="2239"/>
      <c r="B73" s="2240"/>
      <c r="C73" s="2241"/>
      <c r="D73" s="2241"/>
      <c r="E73" s="2242"/>
      <c r="F73" s="2243"/>
      <c r="G73" s="2261"/>
      <c r="H73" s="2077"/>
      <c r="I73" s="2078"/>
      <c r="J73" s="2077"/>
      <c r="K73" s="2078"/>
      <c r="L73" s="2077"/>
      <c r="M73" s="2078"/>
      <c r="N73" s="2077"/>
      <c r="O73" s="2078"/>
      <c r="P73" s="2077"/>
      <c r="Q73" s="2078"/>
      <c r="R73" s="2077"/>
      <c r="S73" s="2078"/>
      <c r="T73" s="2077"/>
      <c r="U73" s="2078"/>
      <c r="V73" s="2077"/>
      <c r="W73" s="2078"/>
      <c r="X73" s="2077"/>
      <c r="Y73" s="2078"/>
    </row>
    <row r="74" spans="1:25" x14ac:dyDescent="0.35">
      <c r="A74" s="3764" t="s">
        <v>721</v>
      </c>
      <c r="B74" s="3765"/>
      <c r="C74" s="12"/>
      <c r="D74" s="12"/>
      <c r="E74" s="12"/>
      <c r="F74" s="12"/>
      <c r="G74" s="13"/>
      <c r="H74" s="21"/>
      <c r="I74" s="21"/>
      <c r="J74" s="21"/>
      <c r="K74" s="21"/>
      <c r="L74" s="21"/>
      <c r="M74" s="21"/>
      <c r="N74" s="21"/>
      <c r="O74" s="21"/>
      <c r="P74" s="21"/>
      <c r="Q74" s="21"/>
      <c r="R74" s="21"/>
      <c r="S74" s="21"/>
      <c r="T74" s="21"/>
      <c r="U74" s="21"/>
      <c r="V74" s="21"/>
      <c r="W74" s="21"/>
      <c r="X74" s="21"/>
      <c r="Y74" s="21"/>
    </row>
    <row r="75" spans="1:25" x14ac:dyDescent="0.35">
      <c r="A75" s="2507"/>
      <c r="B75" s="2284"/>
      <c r="C75" s="2508"/>
      <c r="D75" s="2508"/>
      <c r="E75" s="2508"/>
      <c r="F75" s="2508"/>
      <c r="G75" s="2509"/>
      <c r="H75" s="2510"/>
      <c r="I75" s="2510"/>
      <c r="J75" s="2510"/>
      <c r="K75" s="2510"/>
      <c r="L75" s="2510"/>
      <c r="M75" s="2510"/>
      <c r="N75" s="2510"/>
      <c r="O75" s="2510"/>
      <c r="P75" s="2510"/>
      <c r="Q75" s="2510"/>
      <c r="R75" s="2510"/>
      <c r="S75" s="2510"/>
      <c r="T75" s="2510"/>
      <c r="U75" s="2510"/>
      <c r="V75" s="2510"/>
      <c r="W75" s="2510"/>
      <c r="X75" s="2510"/>
      <c r="Y75" s="2510"/>
    </row>
    <row r="76" spans="1:25" s="2" customFormat="1" x14ac:dyDescent="0.35">
      <c r="A76" s="2507"/>
      <c r="B76" s="2284"/>
      <c r="C76" s="2508"/>
      <c r="D76" s="2508"/>
      <c r="E76" s="2508"/>
      <c r="F76" s="2508"/>
      <c r="G76" s="2509"/>
      <c r="H76" s="2510"/>
      <c r="I76" s="2510"/>
      <c r="J76" s="2510"/>
      <c r="K76" s="2510"/>
      <c r="L76" s="2510"/>
      <c r="M76" s="2510"/>
      <c r="N76" s="2510"/>
      <c r="O76" s="2510"/>
      <c r="P76" s="2510"/>
      <c r="Q76" s="2510"/>
      <c r="R76" s="2510"/>
      <c r="S76" s="2510"/>
      <c r="T76" s="2510"/>
      <c r="U76" s="2510"/>
      <c r="V76" s="2510"/>
      <c r="W76" s="2510"/>
      <c r="X76" s="2510"/>
      <c r="Y76" s="2510"/>
    </row>
    <row r="77" spans="1:25" s="2" customFormat="1" x14ac:dyDescent="0.35">
      <c r="A77" s="2507"/>
      <c r="B77" s="2284"/>
      <c r="C77" s="2508"/>
      <c r="D77" s="2508"/>
      <c r="E77" s="2508"/>
      <c r="F77" s="2508"/>
      <c r="G77" s="2509"/>
      <c r="H77" s="2510"/>
      <c r="I77" s="2510"/>
      <c r="J77" s="2510"/>
      <c r="K77" s="2510"/>
      <c r="L77" s="2510"/>
      <c r="M77" s="2510"/>
      <c r="N77" s="2510"/>
      <c r="O77" s="2510"/>
      <c r="P77" s="2510"/>
      <c r="Q77" s="2510"/>
      <c r="R77" s="2510"/>
      <c r="S77" s="2510"/>
      <c r="T77" s="2510"/>
      <c r="U77" s="2510"/>
      <c r="V77" s="2510"/>
      <c r="W77" s="2510"/>
      <c r="X77" s="2510"/>
      <c r="Y77" s="2510"/>
    </row>
    <row r="78" spans="1:25" x14ac:dyDescent="0.35">
      <c r="A78" s="3764" t="s">
        <v>722</v>
      </c>
      <c r="B78" s="3765"/>
      <c r="C78" s="12"/>
      <c r="D78" s="12"/>
      <c r="E78" s="12"/>
      <c r="F78" s="12"/>
      <c r="G78" s="13"/>
      <c r="H78" s="21"/>
      <c r="I78" s="21"/>
      <c r="J78" s="21"/>
      <c r="K78" s="21"/>
      <c r="L78" s="21"/>
      <c r="M78" s="21"/>
      <c r="N78" s="21"/>
      <c r="O78" s="21"/>
      <c r="P78" s="21"/>
      <c r="Q78" s="21"/>
      <c r="R78" s="21"/>
      <c r="S78" s="21"/>
      <c r="T78" s="21"/>
      <c r="U78" s="21"/>
      <c r="V78" s="21"/>
      <c r="W78" s="21"/>
      <c r="X78" s="21"/>
      <c r="Y78" s="21"/>
    </row>
    <row r="79" spans="1:25" s="2" customFormat="1" x14ac:dyDescent="0.35">
      <c r="A79" s="2507"/>
      <c r="B79" s="2284"/>
      <c r="C79" s="2508"/>
      <c r="D79" s="2508"/>
      <c r="E79" s="2508"/>
      <c r="F79" s="2508"/>
      <c r="G79" s="2509"/>
      <c r="H79" s="2510"/>
      <c r="I79" s="2510"/>
      <c r="J79" s="2510"/>
      <c r="K79" s="2510"/>
      <c r="L79" s="2510"/>
      <c r="M79" s="2510"/>
      <c r="N79" s="2510"/>
      <c r="O79" s="2510"/>
      <c r="P79" s="2510"/>
      <c r="Q79" s="2510"/>
      <c r="R79" s="2510"/>
      <c r="S79" s="2510"/>
      <c r="T79" s="2510"/>
      <c r="U79" s="2510"/>
      <c r="V79" s="2510"/>
      <c r="W79" s="2510"/>
      <c r="X79" s="2510"/>
      <c r="Y79" s="2510"/>
    </row>
    <row r="80" spans="1:25" s="2" customFormat="1" x14ac:dyDescent="0.35">
      <c r="A80" s="2507"/>
      <c r="B80" s="2284"/>
      <c r="C80" s="2508"/>
      <c r="D80" s="2508"/>
      <c r="E80" s="2508"/>
      <c r="F80" s="2508"/>
      <c r="G80" s="2509"/>
      <c r="H80" s="2510"/>
      <c r="I80" s="2510"/>
      <c r="J80" s="2510"/>
      <c r="K80" s="2510"/>
      <c r="L80" s="2510"/>
      <c r="M80" s="2510"/>
      <c r="N80" s="2510"/>
      <c r="O80" s="2510"/>
      <c r="P80" s="2510"/>
      <c r="Q80" s="2510"/>
      <c r="R80" s="2510"/>
      <c r="S80" s="2510"/>
      <c r="T80" s="2510"/>
      <c r="U80" s="2510"/>
      <c r="V80" s="2510"/>
      <c r="W80" s="2510"/>
      <c r="X80" s="2510"/>
      <c r="Y80" s="2510"/>
    </row>
    <row r="81" spans="1:25" x14ac:dyDescent="0.35">
      <c r="A81" s="2507"/>
      <c r="B81" s="2284"/>
      <c r="C81" s="2508"/>
      <c r="D81" s="2508"/>
      <c r="E81" s="2508"/>
      <c r="F81" s="2508"/>
      <c r="G81" s="2509"/>
      <c r="H81" s="2510"/>
      <c r="I81" s="2510"/>
      <c r="J81" s="2510"/>
      <c r="K81" s="2510"/>
      <c r="L81" s="2510"/>
      <c r="M81" s="2510"/>
      <c r="N81" s="2510"/>
      <c r="O81" s="2510"/>
      <c r="P81" s="2510"/>
      <c r="Q81" s="2510"/>
      <c r="R81" s="2510"/>
      <c r="S81" s="2510"/>
      <c r="T81" s="2510"/>
      <c r="U81" s="2510"/>
      <c r="V81" s="2510"/>
      <c r="W81" s="2510"/>
      <c r="X81" s="2510"/>
      <c r="Y81" s="2510"/>
    </row>
    <row r="82" spans="1:25" x14ac:dyDescent="0.35">
      <c r="A82" s="3764" t="s">
        <v>723</v>
      </c>
      <c r="B82" s="3765"/>
      <c r="C82" s="12"/>
      <c r="D82" s="12"/>
      <c r="E82" s="12"/>
      <c r="F82" s="12"/>
      <c r="G82" s="13"/>
      <c r="H82" s="21"/>
      <c r="I82" s="21"/>
      <c r="J82" s="21"/>
      <c r="K82" s="21"/>
      <c r="L82" s="21"/>
      <c r="M82" s="21"/>
      <c r="N82" s="21"/>
      <c r="O82" s="21"/>
      <c r="P82" s="21"/>
      <c r="Q82" s="21"/>
      <c r="R82" s="21"/>
      <c r="S82" s="21"/>
      <c r="T82" s="21"/>
      <c r="U82" s="21"/>
      <c r="V82" s="21"/>
      <c r="W82" s="21"/>
      <c r="X82" s="21"/>
      <c r="Y82" s="21"/>
    </row>
    <row r="83" spans="1:25" x14ac:dyDescent="0.35">
      <c r="A83" s="2507"/>
      <c r="B83" s="2284"/>
      <c r="C83" s="2508"/>
      <c r="D83" s="2508"/>
      <c r="E83" s="2508"/>
      <c r="F83" s="2508"/>
      <c r="G83" s="2509"/>
      <c r="H83" s="2510"/>
      <c r="I83" s="2510"/>
      <c r="J83" s="2510"/>
      <c r="K83" s="2510"/>
      <c r="L83" s="2510"/>
      <c r="M83" s="2510"/>
      <c r="N83" s="2510"/>
      <c r="O83" s="2510"/>
      <c r="P83" s="2510"/>
      <c r="Q83" s="2510"/>
      <c r="R83" s="2510"/>
      <c r="S83" s="2510"/>
      <c r="T83" s="2510"/>
      <c r="U83" s="2510"/>
      <c r="V83" s="2510"/>
      <c r="W83" s="2510"/>
      <c r="X83" s="2510"/>
      <c r="Y83" s="2510"/>
    </row>
    <row r="84" spans="1:25" x14ac:dyDescent="0.35">
      <c r="A84" s="2286"/>
      <c r="B84" s="2284"/>
      <c r="C84" s="2285"/>
      <c r="D84" s="2285"/>
      <c r="E84" s="2285"/>
      <c r="F84" s="2285"/>
      <c r="G84" s="2198"/>
      <c r="H84" s="2081"/>
      <c r="I84" s="2081"/>
      <c r="J84" s="2081"/>
      <c r="K84" s="2081"/>
      <c r="L84" s="2081"/>
      <c r="M84" s="2081"/>
      <c r="N84" s="2081"/>
      <c r="O84" s="2081"/>
      <c r="P84" s="2081"/>
      <c r="Q84" s="2081"/>
      <c r="R84" s="2081"/>
      <c r="S84" s="2081"/>
      <c r="T84" s="2081"/>
      <c r="U84" s="2081"/>
      <c r="V84" s="2081"/>
      <c r="W84" s="2081"/>
      <c r="X84" s="2081"/>
      <c r="Y84" s="2081"/>
    </row>
    <row r="85" spans="1:25" x14ac:dyDescent="0.35">
      <c r="A85" s="2269"/>
      <c r="B85" s="2270"/>
      <c r="C85" s="2285"/>
      <c r="D85" s="2285"/>
      <c r="E85" s="2285"/>
      <c r="F85" s="2285"/>
      <c r="G85" s="2198"/>
      <c r="H85" s="2084"/>
      <c r="I85" s="2084"/>
      <c r="J85" s="2084"/>
      <c r="K85" s="2084"/>
      <c r="L85" s="2084"/>
      <c r="M85" s="2084"/>
      <c r="N85" s="2084"/>
      <c r="O85" s="2084"/>
      <c r="P85" s="2084"/>
      <c r="Q85" s="2084"/>
      <c r="R85" s="2084"/>
      <c r="S85" s="2084"/>
      <c r="T85" s="2084"/>
      <c r="U85" s="2084"/>
      <c r="V85" s="2084"/>
      <c r="W85" s="2084"/>
      <c r="X85" s="2084"/>
      <c r="Y85" s="2084"/>
    </row>
    <row r="86" spans="1:25" x14ac:dyDescent="0.35">
      <c r="A86" s="3764" t="s">
        <v>724</v>
      </c>
      <c r="B86" s="3765"/>
      <c r="C86" s="12"/>
      <c r="D86" s="12"/>
      <c r="E86" s="12"/>
      <c r="F86" s="12"/>
      <c r="G86" s="13"/>
      <c r="H86" s="21"/>
      <c r="I86" s="21"/>
      <c r="J86" s="21"/>
      <c r="K86" s="21"/>
      <c r="L86" s="21"/>
      <c r="M86" s="21"/>
      <c r="N86" s="21"/>
      <c r="O86" s="21"/>
      <c r="P86" s="21"/>
      <c r="Q86" s="21"/>
      <c r="R86" s="21"/>
      <c r="S86" s="21"/>
      <c r="T86" s="21"/>
      <c r="U86" s="21"/>
      <c r="V86" s="21"/>
      <c r="W86" s="21"/>
      <c r="X86" s="21"/>
      <c r="Y86" s="21"/>
    </row>
    <row r="87" spans="1:25" x14ac:dyDescent="0.35">
      <c r="A87" s="2511"/>
      <c r="B87" s="2512"/>
      <c r="C87" s="2508"/>
      <c r="D87" s="2508"/>
      <c r="E87" s="2508"/>
      <c r="F87" s="2508"/>
      <c r="G87" s="2509"/>
      <c r="H87" s="2510"/>
      <c r="I87" s="2510"/>
      <c r="J87" s="2510"/>
      <c r="K87" s="2510"/>
      <c r="L87" s="2510"/>
      <c r="M87" s="2510"/>
      <c r="N87" s="2510"/>
      <c r="O87" s="2510"/>
      <c r="P87" s="2510"/>
      <c r="Q87" s="2510"/>
      <c r="R87" s="2510"/>
      <c r="S87" s="2510"/>
      <c r="T87" s="2510"/>
      <c r="U87" s="2510"/>
      <c r="V87" s="2510"/>
      <c r="W87" s="2510"/>
      <c r="X87" s="2510"/>
      <c r="Y87" s="2510"/>
    </row>
    <row r="88" spans="1:25" x14ac:dyDescent="0.35">
      <c r="A88" s="2269"/>
      <c r="B88" s="2270"/>
      <c r="C88" s="2285"/>
      <c r="D88" s="2285"/>
      <c r="E88" s="2285"/>
      <c r="F88" s="2285"/>
      <c r="G88" s="2198"/>
      <c r="H88" s="2087"/>
      <c r="I88" s="2087"/>
      <c r="J88" s="2087"/>
      <c r="K88" s="2087"/>
      <c r="L88" s="2087"/>
      <c r="M88" s="2087"/>
      <c r="N88" s="2087"/>
      <c r="O88" s="2087"/>
      <c r="P88" s="2087"/>
      <c r="Q88" s="2087"/>
      <c r="R88" s="2087"/>
      <c r="S88" s="2087"/>
      <c r="T88" s="2087"/>
      <c r="U88" s="2087"/>
      <c r="V88" s="2087"/>
      <c r="W88" s="2087"/>
      <c r="X88" s="2087"/>
      <c r="Y88" s="2087"/>
    </row>
    <row r="89" spans="1:25" x14ac:dyDescent="0.35">
      <c r="A89" s="2269"/>
      <c r="B89" s="2270"/>
      <c r="C89" s="2285"/>
      <c r="D89" s="2285"/>
      <c r="E89" s="2285"/>
      <c r="F89" s="2285"/>
      <c r="G89" s="2198"/>
      <c r="H89" s="2087"/>
      <c r="I89" s="2087"/>
      <c r="J89" s="2087"/>
      <c r="K89" s="2087"/>
      <c r="L89" s="2087"/>
      <c r="M89" s="2087"/>
      <c r="N89" s="2087"/>
      <c r="O89" s="2087"/>
      <c r="P89" s="2087"/>
      <c r="Q89" s="2087"/>
      <c r="R89" s="2087"/>
      <c r="S89" s="2087"/>
      <c r="T89" s="2087"/>
      <c r="U89" s="2087"/>
      <c r="V89" s="2087"/>
      <c r="W89" s="2087"/>
      <c r="X89" s="2087"/>
      <c r="Y89" s="2087"/>
    </row>
    <row r="90" spans="1:25" x14ac:dyDescent="0.35">
      <c r="A90" s="3764" t="s">
        <v>725</v>
      </c>
      <c r="B90" s="3765"/>
      <c r="C90" s="12"/>
      <c r="D90" s="12"/>
      <c r="E90" s="12"/>
      <c r="F90" s="12"/>
      <c r="G90" s="13"/>
      <c r="H90" s="21"/>
      <c r="I90" s="21"/>
      <c r="J90" s="21"/>
      <c r="K90" s="21"/>
      <c r="L90" s="21"/>
      <c r="M90" s="21"/>
      <c r="N90" s="21"/>
      <c r="O90" s="21"/>
      <c r="P90" s="21"/>
      <c r="Q90" s="21"/>
      <c r="R90" s="21"/>
      <c r="S90" s="21"/>
      <c r="T90" s="21"/>
      <c r="U90" s="21"/>
      <c r="V90" s="21"/>
      <c r="W90" s="21"/>
      <c r="X90" s="21"/>
      <c r="Y90" s="21"/>
    </row>
    <row r="91" spans="1:25" x14ac:dyDescent="0.35">
      <c r="A91" s="2286"/>
      <c r="B91" s="2284" t="s">
        <v>726</v>
      </c>
      <c r="C91" s="2285"/>
      <c r="D91" s="2285"/>
      <c r="E91" s="2285"/>
      <c r="F91" s="2285"/>
      <c r="G91" s="2198"/>
      <c r="H91" s="2087"/>
      <c r="I91" s="2087"/>
      <c r="J91" s="2087"/>
      <c r="K91" s="2087"/>
      <c r="L91" s="2087"/>
      <c r="M91" s="2087"/>
      <c r="N91" s="2087"/>
      <c r="O91" s="2087"/>
      <c r="P91" s="2087"/>
      <c r="Q91" s="2087"/>
      <c r="R91" s="2087"/>
      <c r="S91" s="2087"/>
      <c r="T91" s="2087"/>
      <c r="U91" s="2087"/>
      <c r="V91" s="2087"/>
      <c r="W91" s="2087"/>
      <c r="X91" s="2087"/>
      <c r="Y91" s="2087"/>
    </row>
    <row r="92" spans="1:25" x14ac:dyDescent="0.35">
      <c r="A92" s="2286"/>
      <c r="B92" s="2284" t="s">
        <v>727</v>
      </c>
      <c r="C92" s="2285"/>
      <c r="D92" s="2285"/>
      <c r="E92" s="2285"/>
      <c r="F92" s="2285"/>
      <c r="G92" s="2198"/>
      <c r="H92" s="2087"/>
      <c r="I92" s="2087"/>
      <c r="J92" s="2087"/>
      <c r="K92" s="2087"/>
      <c r="L92" s="2087"/>
      <c r="M92" s="2087"/>
      <c r="N92" s="2087"/>
      <c r="O92" s="2087"/>
      <c r="P92" s="2087"/>
      <c r="Q92" s="2087"/>
      <c r="R92" s="2087"/>
      <c r="S92" s="2087"/>
      <c r="T92" s="2087"/>
      <c r="U92" s="2087"/>
      <c r="V92" s="2087"/>
      <c r="W92" s="2087"/>
      <c r="X92" s="2087"/>
      <c r="Y92" s="2087"/>
    </row>
    <row r="93" spans="1:25" x14ac:dyDescent="0.35">
      <c r="A93" s="2286"/>
      <c r="B93" s="2284" t="s">
        <v>728</v>
      </c>
      <c r="C93" s="2285"/>
      <c r="D93" s="2285"/>
      <c r="E93" s="2285"/>
      <c r="F93" s="2285"/>
      <c r="G93" s="2198"/>
      <c r="H93" s="2087"/>
      <c r="I93" s="2087"/>
      <c r="J93" s="2087"/>
      <c r="K93" s="2087"/>
      <c r="L93" s="2087"/>
      <c r="M93" s="2087"/>
      <c r="N93" s="2087"/>
      <c r="O93" s="2087"/>
      <c r="P93" s="2087"/>
      <c r="Q93" s="2087"/>
      <c r="R93" s="2087"/>
      <c r="S93" s="2087"/>
      <c r="T93" s="2087"/>
      <c r="U93" s="2087"/>
      <c r="V93" s="2087"/>
      <c r="W93" s="2087"/>
      <c r="X93" s="2087"/>
      <c r="Y93" s="2087"/>
    </row>
    <row r="94" spans="1:25" x14ac:dyDescent="0.35">
      <c r="A94" s="2286"/>
      <c r="B94" s="2284" t="s">
        <v>729</v>
      </c>
      <c r="C94" s="2285"/>
      <c r="D94" s="2285"/>
      <c r="E94" s="2285"/>
      <c r="F94" s="2285"/>
      <c r="G94" s="2198"/>
      <c r="H94" s="2087"/>
      <c r="I94" s="2087"/>
      <c r="J94" s="2087"/>
      <c r="K94" s="2087"/>
      <c r="L94" s="2087"/>
      <c r="M94" s="2087"/>
      <c r="N94" s="2087"/>
      <c r="O94" s="2087"/>
      <c r="P94" s="2087"/>
      <c r="Q94" s="2087"/>
      <c r="R94" s="2087"/>
      <c r="S94" s="2087"/>
      <c r="T94" s="2087"/>
      <c r="U94" s="2087"/>
      <c r="V94" s="2087"/>
      <c r="W94" s="2087"/>
      <c r="X94" s="2087"/>
      <c r="Y94" s="2087"/>
    </row>
    <row r="95" spans="1:25" x14ac:dyDescent="0.35">
      <c r="A95" s="978"/>
      <c r="B95" s="939"/>
      <c r="C95" s="940"/>
      <c r="D95" s="940"/>
      <c r="E95" s="940"/>
      <c r="F95" s="940"/>
      <c r="G95" s="1039"/>
      <c r="H95" s="981"/>
      <c r="I95" s="981"/>
      <c r="J95" s="981"/>
      <c r="K95" s="981"/>
      <c r="L95" s="981"/>
      <c r="M95" s="981"/>
      <c r="N95" s="981"/>
      <c r="O95" s="981"/>
      <c r="P95" s="981"/>
      <c r="Q95" s="981"/>
      <c r="R95" s="981"/>
      <c r="S95" s="981"/>
      <c r="T95" s="981"/>
      <c r="U95" s="981"/>
      <c r="V95" s="981"/>
      <c r="W95" s="981"/>
      <c r="X95" s="981"/>
      <c r="Y95" s="981"/>
    </row>
    <row r="96" spans="1:25" x14ac:dyDescent="0.35">
      <c r="A96" s="7" t="s">
        <v>730</v>
      </c>
      <c r="B96" s="8"/>
      <c r="C96" s="12"/>
      <c r="D96" s="12"/>
      <c r="E96" s="12"/>
      <c r="F96" s="12"/>
      <c r="G96" s="13"/>
      <c r="H96" s="21"/>
      <c r="I96" s="21"/>
      <c r="J96" s="21"/>
      <c r="K96" s="21"/>
      <c r="L96" s="21"/>
      <c r="M96" s="21"/>
      <c r="N96" s="21"/>
      <c r="O96" s="21"/>
      <c r="P96" s="21"/>
      <c r="Q96" s="21"/>
      <c r="R96" s="21"/>
      <c r="S96" s="21"/>
      <c r="T96" s="21"/>
      <c r="U96" s="21"/>
      <c r="V96" s="21"/>
      <c r="W96" s="21"/>
      <c r="X96" s="21"/>
      <c r="Y96" s="21"/>
    </row>
    <row r="97" spans="1:25" x14ac:dyDescent="0.35">
      <c r="A97" s="2507"/>
      <c r="B97" s="2513" t="s">
        <v>731</v>
      </c>
      <c r="C97" s="2508"/>
      <c r="D97" s="2508"/>
      <c r="E97" s="2508"/>
      <c r="F97" s="2508"/>
      <c r="G97" s="2509"/>
      <c r="H97" s="2514"/>
      <c r="I97" s="2514"/>
      <c r="J97" s="2514"/>
      <c r="K97" s="2514"/>
      <c r="L97" s="2514"/>
      <c r="M97" s="2514"/>
      <c r="N97" s="2514"/>
      <c r="O97" s="2514"/>
      <c r="P97" s="2514"/>
      <c r="Q97" s="2514"/>
      <c r="R97" s="2514"/>
      <c r="S97" s="2514"/>
      <c r="T97" s="2514"/>
      <c r="U97" s="2514"/>
      <c r="V97" s="2514"/>
      <c r="W97" s="2514"/>
      <c r="X97" s="2514"/>
      <c r="Y97" s="2514"/>
    </row>
    <row r="98" spans="1:25" x14ac:dyDescent="0.35">
      <c r="A98" s="2286"/>
      <c r="B98" s="2284" t="s">
        <v>732</v>
      </c>
      <c r="C98" s="2285"/>
      <c r="D98" s="2285"/>
      <c r="E98" s="2285"/>
      <c r="F98" s="2285"/>
      <c r="G98" s="2198"/>
      <c r="H98" s="2158"/>
      <c r="I98" s="2158"/>
      <c r="J98" s="2158"/>
      <c r="K98" s="2158"/>
      <c r="L98" s="2158"/>
      <c r="M98" s="2158"/>
      <c r="N98" s="2158"/>
      <c r="O98" s="2158"/>
      <c r="P98" s="2158"/>
      <c r="Q98" s="2158"/>
      <c r="R98" s="2158"/>
      <c r="S98" s="2158"/>
      <c r="T98" s="2158"/>
      <c r="U98" s="2158"/>
      <c r="V98" s="2158"/>
      <c r="W98" s="2158"/>
      <c r="X98" s="2158"/>
      <c r="Y98" s="2158"/>
    </row>
    <row r="99" spans="1:25" x14ac:dyDescent="0.35">
      <c r="A99" s="2089"/>
      <c r="B99" s="2090" t="s">
        <v>733</v>
      </c>
      <c r="C99" s="2091"/>
      <c r="D99" s="2091"/>
      <c r="E99" s="2091"/>
      <c r="F99" s="2091"/>
      <c r="G99" s="2092"/>
      <c r="H99" s="2093"/>
      <c r="I99" s="2093"/>
      <c r="J99" s="2093"/>
      <c r="K99" s="2093"/>
      <c r="L99" s="2093"/>
      <c r="M99" s="2093"/>
      <c r="N99" s="2093"/>
      <c r="O99" s="2093"/>
      <c r="P99" s="2093"/>
      <c r="Q99" s="2093"/>
      <c r="R99" s="2093"/>
      <c r="S99" s="2093"/>
      <c r="T99" s="2093"/>
      <c r="U99" s="2093"/>
      <c r="V99" s="2093"/>
      <c r="W99" s="2093"/>
      <c r="X99" s="2093"/>
      <c r="Y99" s="2093"/>
    </row>
    <row r="101" spans="1:25" x14ac:dyDescent="0.35">
      <c r="A101" s="78" t="s">
        <v>734</v>
      </c>
      <c r="B101" s="80"/>
    </row>
    <row r="102" spans="1:25" x14ac:dyDescent="0.35">
      <c r="A102" s="79" t="s">
        <v>632</v>
      </c>
      <c r="B102" s="2094" t="str">
        <f>J4</f>
        <v>Confidentia International</v>
      </c>
    </row>
    <row r="103" spans="1:25" x14ac:dyDescent="0.35">
      <c r="A103" s="2279" t="s">
        <v>636</v>
      </c>
      <c r="B103" s="2094" t="str">
        <f>J5</f>
        <v>Mark Silva</v>
      </c>
    </row>
    <row r="104" spans="1:25" x14ac:dyDescent="0.35">
      <c r="A104" s="2096" t="s">
        <v>639</v>
      </c>
      <c r="B104" s="2097" t="str">
        <f>J6</f>
        <v>561-401-6666</v>
      </c>
    </row>
    <row r="105" spans="1:25" x14ac:dyDescent="0.35">
      <c r="A105" s="2096" t="s">
        <v>642</v>
      </c>
      <c r="B105" s="2159" t="str">
        <f>J7</f>
        <v>Mark Silva &lt;msilva@confidentiainternational.com&gt;</v>
      </c>
    </row>
    <row r="106" spans="1:25" x14ac:dyDescent="0.35">
      <c r="A106" s="2099" t="s">
        <v>735</v>
      </c>
      <c r="B106" s="2460">
        <f>J8</f>
        <v>356370</v>
      </c>
    </row>
    <row r="108" spans="1:25" x14ac:dyDescent="0.35">
      <c r="A108" s="81"/>
      <c r="B108" s="1" t="s">
        <v>736</v>
      </c>
    </row>
    <row r="109" spans="1:25" x14ac:dyDescent="0.35">
      <c r="A109" s="82"/>
      <c r="B109" s="1" t="s">
        <v>737</v>
      </c>
    </row>
  </sheetData>
  <mergeCells count="75">
    <mergeCell ref="A74:B74"/>
    <mergeCell ref="A78:B78"/>
    <mergeCell ref="A82:B82"/>
    <mergeCell ref="A86:B86"/>
    <mergeCell ref="A90:B90"/>
    <mergeCell ref="X8:Y8"/>
    <mergeCell ref="T7:U7"/>
    <mergeCell ref="H7:I7"/>
    <mergeCell ref="R7:S7"/>
    <mergeCell ref="N7:O7"/>
    <mergeCell ref="V7:W7"/>
    <mergeCell ref="X7:Y7"/>
    <mergeCell ref="T8:U8"/>
    <mergeCell ref="H8:I8"/>
    <mergeCell ref="R8:S8"/>
    <mergeCell ref="N8:O8"/>
    <mergeCell ref="V8:W8"/>
    <mergeCell ref="L7:M7"/>
    <mergeCell ref="L8:M8"/>
    <mergeCell ref="J7:K7"/>
    <mergeCell ref="J8:K8"/>
    <mergeCell ref="X6:Y6"/>
    <mergeCell ref="T5:U5"/>
    <mergeCell ref="H5:I5"/>
    <mergeCell ref="R5:S5"/>
    <mergeCell ref="N5:O5"/>
    <mergeCell ref="V5:W5"/>
    <mergeCell ref="X5:Y5"/>
    <mergeCell ref="T6:U6"/>
    <mergeCell ref="H6:I6"/>
    <mergeCell ref="R6:S6"/>
    <mergeCell ref="N6:O6"/>
    <mergeCell ref="V6:W6"/>
    <mergeCell ref="L5:M5"/>
    <mergeCell ref="L6:M6"/>
    <mergeCell ref="J5:K5"/>
    <mergeCell ref="J6:K6"/>
    <mergeCell ref="X4:Y4"/>
    <mergeCell ref="T3:U3"/>
    <mergeCell ref="H3:I3"/>
    <mergeCell ref="R3:S3"/>
    <mergeCell ref="N3:O3"/>
    <mergeCell ref="V3:W3"/>
    <mergeCell ref="X3:Y3"/>
    <mergeCell ref="T4:U4"/>
    <mergeCell ref="H4:I4"/>
    <mergeCell ref="R4:S4"/>
    <mergeCell ref="N4:O4"/>
    <mergeCell ref="V4:W4"/>
    <mergeCell ref="L3:M3"/>
    <mergeCell ref="L4:M4"/>
    <mergeCell ref="J3:K3"/>
    <mergeCell ref="J4:K4"/>
    <mergeCell ref="H1:I1"/>
    <mergeCell ref="X2:Y2"/>
    <mergeCell ref="T2:U2"/>
    <mergeCell ref="H2:I2"/>
    <mergeCell ref="R2:S2"/>
    <mergeCell ref="N2:O2"/>
    <mergeCell ref="V2:W2"/>
    <mergeCell ref="L1:M1"/>
    <mergeCell ref="L2:M2"/>
    <mergeCell ref="N1:O1"/>
    <mergeCell ref="J1:K1"/>
    <mergeCell ref="J2:K2"/>
    <mergeCell ref="P1:Q1"/>
    <mergeCell ref="P2:Q2"/>
    <mergeCell ref="R1:S1"/>
    <mergeCell ref="T1:U1"/>
    <mergeCell ref="P8:Q8"/>
    <mergeCell ref="P3:Q3"/>
    <mergeCell ref="P4:Q4"/>
    <mergeCell ref="P5:Q5"/>
    <mergeCell ref="P6:Q6"/>
    <mergeCell ref="P7:Q7"/>
  </mergeCells>
  <conditionalFormatting sqref="H20:H22 H32">
    <cfRule type="cellIs" dxfId="1189" priority="85" operator="equal">
      <formula>"X"</formula>
    </cfRule>
    <cfRule type="cellIs" dxfId="1188" priority="86" operator="equal">
      <formula>"I"</formula>
    </cfRule>
  </conditionalFormatting>
  <conditionalFormatting sqref="H34:H37">
    <cfRule type="cellIs" dxfId="1187" priority="73" operator="equal">
      <formula>"X"</formula>
    </cfRule>
    <cfRule type="cellIs" dxfId="1186" priority="74" operator="equal">
      <formula>"I"</formula>
    </cfRule>
  </conditionalFormatting>
  <conditionalFormatting sqref="H41:H53">
    <cfRule type="cellIs" dxfId="1185" priority="65" operator="equal">
      <formula>"X"</formula>
    </cfRule>
    <cfRule type="cellIs" dxfId="1184" priority="66" operator="equal">
      <formula>"I"</formula>
    </cfRule>
  </conditionalFormatting>
  <conditionalFormatting sqref="H55">
    <cfRule type="cellIs" dxfId="1183" priority="63" operator="equal">
      <formula>"X"</formula>
    </cfRule>
    <cfRule type="cellIs" dxfId="1182" priority="64" operator="equal">
      <formula>"I"</formula>
    </cfRule>
  </conditionalFormatting>
  <conditionalFormatting sqref="H57:H62">
    <cfRule type="cellIs" dxfId="1181" priority="61" operator="equal">
      <formula>"X"</formula>
    </cfRule>
    <cfRule type="cellIs" dxfId="1180" priority="62" operator="equal">
      <formula>"I"</formula>
    </cfRule>
  </conditionalFormatting>
  <conditionalFormatting sqref="L20:L32">
    <cfRule type="cellIs" dxfId="1179" priority="59" operator="equal">
      <formula>"X"</formula>
    </cfRule>
    <cfRule type="cellIs" dxfId="1178" priority="60" operator="equal">
      <formula>"I"</formula>
    </cfRule>
  </conditionalFormatting>
  <conditionalFormatting sqref="L34:L37">
    <cfRule type="cellIs" dxfId="1177" priority="57" operator="equal">
      <formula>"X"</formula>
    </cfRule>
    <cfRule type="cellIs" dxfId="1176" priority="58" operator="equal">
      <formula>"I"</formula>
    </cfRule>
  </conditionalFormatting>
  <conditionalFormatting sqref="L41:L53">
    <cfRule type="cellIs" dxfId="1175" priority="55" operator="equal">
      <formula>"X"</formula>
    </cfRule>
    <cfRule type="cellIs" dxfId="1174" priority="56" operator="equal">
      <formula>"I"</formula>
    </cfRule>
  </conditionalFormatting>
  <conditionalFormatting sqref="L55">
    <cfRule type="cellIs" dxfId="1173" priority="53" operator="equal">
      <formula>"X"</formula>
    </cfRule>
    <cfRule type="cellIs" dxfId="1172" priority="54" operator="equal">
      <formula>"I"</formula>
    </cfRule>
  </conditionalFormatting>
  <conditionalFormatting sqref="L62">
    <cfRule type="cellIs" dxfId="1171" priority="51" operator="equal">
      <formula>"X"</formula>
    </cfRule>
    <cfRule type="cellIs" dxfId="1170" priority="52" operator="equal">
      <formula>"I"</formula>
    </cfRule>
  </conditionalFormatting>
  <conditionalFormatting sqref="R20:R32">
    <cfRule type="cellIs" dxfId="1169" priority="69" operator="equal">
      <formula>"X"</formula>
    </cfRule>
    <cfRule type="cellIs" dxfId="1168" priority="70" operator="equal">
      <formula>"I"</formula>
    </cfRule>
  </conditionalFormatting>
  <conditionalFormatting sqref="R34:R38">
    <cfRule type="cellIs" dxfId="1167" priority="67" operator="equal">
      <formula>"X"</formula>
    </cfRule>
    <cfRule type="cellIs" dxfId="1166" priority="68" operator="equal">
      <formula>"I"</formula>
    </cfRule>
  </conditionalFormatting>
  <conditionalFormatting sqref="T20:T22 T32">
    <cfRule type="cellIs" dxfId="1165" priority="83" operator="equal">
      <formula>"X"</formula>
    </cfRule>
    <cfRule type="cellIs" dxfId="1164" priority="84" operator="equal">
      <formula>"I"</formula>
    </cfRule>
  </conditionalFormatting>
  <conditionalFormatting sqref="T34:T35">
    <cfRule type="cellIs" dxfId="1163" priority="71" operator="equal">
      <formula>"X"</formula>
    </cfRule>
    <cfRule type="cellIs" dxfId="1162" priority="72" operator="equal">
      <formula>"I"</formula>
    </cfRule>
  </conditionalFormatting>
  <conditionalFormatting sqref="N20:N32">
    <cfRule type="cellIs" dxfId="1161" priority="89" operator="equal">
      <formula>"X"</formula>
    </cfRule>
    <cfRule type="cellIs" dxfId="1160" priority="90" operator="equal">
      <formula>"I"</formula>
    </cfRule>
  </conditionalFormatting>
  <conditionalFormatting sqref="N34:N37">
    <cfRule type="cellIs" dxfId="1159" priority="77" operator="equal">
      <formula>"X"</formula>
    </cfRule>
    <cfRule type="cellIs" dxfId="1158" priority="78" operator="equal">
      <formula>"I"</formula>
    </cfRule>
  </conditionalFormatting>
  <conditionalFormatting sqref="N41:N53">
    <cfRule type="cellIs" dxfId="1157" priority="47" operator="equal">
      <formula>"X"</formula>
    </cfRule>
    <cfRule type="cellIs" dxfId="1156" priority="48" operator="equal">
      <formula>"I"</formula>
    </cfRule>
  </conditionalFormatting>
  <conditionalFormatting sqref="N55">
    <cfRule type="cellIs" dxfId="1155" priority="45" operator="equal">
      <formula>"X"</formula>
    </cfRule>
    <cfRule type="cellIs" dxfId="1154" priority="46" operator="equal">
      <formula>"I"</formula>
    </cfRule>
  </conditionalFormatting>
  <conditionalFormatting sqref="N62">
    <cfRule type="cellIs" dxfId="1153" priority="43" operator="equal">
      <formula>"X"</formula>
    </cfRule>
    <cfRule type="cellIs" dxfId="1152" priority="44" operator="equal">
      <formula>"I"</formula>
    </cfRule>
  </conditionalFormatting>
  <conditionalFormatting sqref="V20:V32">
    <cfRule type="cellIs" dxfId="1151" priority="91" operator="equal">
      <formula>"X"</formula>
    </cfRule>
    <cfRule type="cellIs" dxfId="1150" priority="92" operator="equal">
      <formula>"I"</formula>
    </cfRule>
  </conditionalFormatting>
  <conditionalFormatting sqref="V34:V37">
    <cfRule type="cellIs" dxfId="1149" priority="79" operator="equal">
      <formula>"X"</formula>
    </cfRule>
    <cfRule type="cellIs" dxfId="1148" priority="80" operator="equal">
      <formula>"I"</formula>
    </cfRule>
  </conditionalFormatting>
  <conditionalFormatting sqref="X20:X32">
    <cfRule type="cellIs" dxfId="1147" priority="93" operator="equal">
      <formula>"X"</formula>
    </cfRule>
    <cfRule type="cellIs" dxfId="1146" priority="94" operator="equal">
      <formula>"I"</formula>
    </cfRule>
  </conditionalFormatting>
  <conditionalFormatting sqref="X34:X37">
    <cfRule type="cellIs" dxfId="1145" priority="81" operator="equal">
      <formula>"X"</formula>
    </cfRule>
    <cfRule type="cellIs" dxfId="1144" priority="82" operator="equal">
      <formula>"I"</formula>
    </cfRule>
  </conditionalFormatting>
  <conditionalFormatting sqref="J20:J22 J32">
    <cfRule type="cellIs" dxfId="1143" priority="39" operator="equal">
      <formula>"X"</formula>
    </cfRule>
    <cfRule type="cellIs" dxfId="1142" priority="40" operator="equal">
      <formula>"I"</formula>
    </cfRule>
  </conditionalFormatting>
  <conditionalFormatting sqref="J34:J37">
    <cfRule type="cellIs" dxfId="1141" priority="37" operator="equal">
      <formula>"X"</formula>
    </cfRule>
    <cfRule type="cellIs" dxfId="1140" priority="38" operator="equal">
      <formula>"I"</formula>
    </cfRule>
  </conditionalFormatting>
  <conditionalFormatting sqref="J41:J53">
    <cfRule type="cellIs" dxfId="1139" priority="35" operator="equal">
      <formula>"X"</formula>
    </cfRule>
    <cfRule type="cellIs" dxfId="1138" priority="36" operator="equal">
      <formula>"I"</formula>
    </cfRule>
  </conditionalFormatting>
  <conditionalFormatting sqref="J55">
    <cfRule type="cellIs" dxfId="1137" priority="33" operator="equal">
      <formula>"X"</formula>
    </cfRule>
    <cfRule type="cellIs" dxfId="1136" priority="34" operator="equal">
      <formula>"I"</formula>
    </cfRule>
  </conditionalFormatting>
  <conditionalFormatting sqref="J62">
    <cfRule type="cellIs" dxfId="1135" priority="31" operator="equal">
      <formula>"X"</formula>
    </cfRule>
    <cfRule type="cellIs" dxfId="1134" priority="32" operator="equal">
      <formula>"I"</formula>
    </cfRule>
  </conditionalFormatting>
  <conditionalFormatting sqref="P20:P32">
    <cfRule type="cellIs" dxfId="1133" priority="29" operator="equal">
      <formula>"X"</formula>
    </cfRule>
    <cfRule type="cellIs" dxfId="1132" priority="30" operator="equal">
      <formula>"I"</formula>
    </cfRule>
  </conditionalFormatting>
  <conditionalFormatting sqref="P34:P37">
    <cfRule type="cellIs" dxfId="1131" priority="27" operator="equal">
      <formula>"X"</formula>
    </cfRule>
    <cfRule type="cellIs" dxfId="1130" priority="28" operator="equal">
      <formula>"I"</formula>
    </cfRule>
  </conditionalFormatting>
  <conditionalFormatting sqref="P41:P53">
    <cfRule type="cellIs" dxfId="1129" priority="25" operator="equal">
      <formula>"X"</formula>
    </cfRule>
    <cfRule type="cellIs" dxfId="1128" priority="26" operator="equal">
      <formula>"I"</formula>
    </cfRule>
  </conditionalFormatting>
  <conditionalFormatting sqref="P55">
    <cfRule type="cellIs" dxfId="1127" priority="23" operator="equal">
      <formula>"X"</formula>
    </cfRule>
    <cfRule type="cellIs" dxfId="1126" priority="24" operator="equal">
      <formula>"I"</formula>
    </cfRule>
  </conditionalFormatting>
  <conditionalFormatting sqref="P57:P62">
    <cfRule type="cellIs" dxfId="1125" priority="21" operator="equal">
      <formula>"X"</formula>
    </cfRule>
    <cfRule type="cellIs" dxfId="1124" priority="22" operator="equal">
      <formula>"I"</formula>
    </cfRule>
  </conditionalFormatting>
  <conditionalFormatting sqref="J57:J61">
    <cfRule type="cellIs" dxfId="1123" priority="17" operator="equal">
      <formula>"X"</formula>
    </cfRule>
    <cfRule type="cellIs" dxfId="1122" priority="18" operator="equal">
      <formula>"I"</formula>
    </cfRule>
  </conditionalFormatting>
  <conditionalFormatting sqref="N57:N61">
    <cfRule type="cellIs" dxfId="1121" priority="15" operator="equal">
      <formula>"X"</formula>
    </cfRule>
    <cfRule type="cellIs" dxfId="1120" priority="16" operator="equal">
      <formula>"I"</formula>
    </cfRule>
  </conditionalFormatting>
  <conditionalFormatting sqref="T23:T31">
    <cfRule type="cellIs" dxfId="1119" priority="13" operator="equal">
      <formula>"X"</formula>
    </cfRule>
    <cfRule type="cellIs" dxfId="1118" priority="14" operator="equal">
      <formula>"I"</formula>
    </cfRule>
  </conditionalFormatting>
  <conditionalFormatting sqref="T36:T38">
    <cfRule type="cellIs" dxfId="1117" priority="11" operator="equal">
      <formula>"X"</formula>
    </cfRule>
    <cfRule type="cellIs" dxfId="1116" priority="12" operator="equal">
      <formula>"I"</formula>
    </cfRule>
  </conditionalFormatting>
  <conditionalFormatting sqref="L57:L61">
    <cfRule type="cellIs" dxfId="1115" priority="9" operator="equal">
      <formula>"X"</formula>
    </cfRule>
    <cfRule type="cellIs" dxfId="1114" priority="10" operator="equal">
      <formula>"I"</formula>
    </cfRule>
  </conditionalFormatting>
  <conditionalFormatting sqref="H29:H31">
    <cfRule type="cellIs" dxfId="1113" priority="7" operator="equal">
      <formula>"X"</formula>
    </cfRule>
    <cfRule type="cellIs" dxfId="1112" priority="8" operator="equal">
      <formula>"I"</formula>
    </cfRule>
  </conditionalFormatting>
  <conditionalFormatting sqref="H23:H28">
    <cfRule type="cellIs" dxfId="1111" priority="5" operator="equal">
      <formula>"X"</formula>
    </cfRule>
    <cfRule type="cellIs" dxfId="1110" priority="6" operator="equal">
      <formula>"I"</formula>
    </cfRule>
  </conditionalFormatting>
  <conditionalFormatting sqref="J29:J31">
    <cfRule type="cellIs" dxfId="1109" priority="3" operator="equal">
      <formula>"X"</formula>
    </cfRule>
    <cfRule type="cellIs" dxfId="1108" priority="4" operator="equal">
      <formula>"I"</formula>
    </cfRule>
  </conditionalFormatting>
  <conditionalFormatting sqref="J23:J28">
    <cfRule type="cellIs" dxfId="1107" priority="1" operator="equal">
      <formula>"X"</formula>
    </cfRule>
    <cfRule type="cellIs" dxfId="1106" priority="2" operator="equal">
      <formula>"I"</formula>
    </cfRule>
  </conditionalFormatting>
  <hyperlinks>
    <hyperlink ref="B3" location="'Cost Summary'!A1" display="BACK TO SUMMARY SHEET" xr:uid="{6B0973C5-AF11-43CE-8339-0E551417A848}"/>
    <hyperlink ref="R7:S7" r:id="rId1" display="jeff.thomas@truteam.com" xr:uid="{02635BA0-DC13-424C-B338-B48FA7DDBE9A}"/>
    <hyperlink ref="L7:M7" r:id="rId2" display="sales@borgzinner.com" xr:uid="{7857E692-8363-4AE8-BA3F-14A18941B81F}"/>
    <hyperlink ref="J7:K7" r:id="rId3" display="Michael@nationalkb.com" xr:uid="{2628F742-2772-4D85-B8EC-0472A2FEBE99}"/>
    <hyperlink ref="T7:U7" r:id="rId4" display="&lt;lgraef@etiflorida.com&gt; " xr:uid="{C7C93A3D-E3E4-4521-B065-C503C721832B}"/>
  </hyperlinks>
  <pageMargins left="0.7" right="0.7" top="0.75" bottom="0.75" header="0.3" footer="0.3"/>
  <pageSetup orientation="portrait" r:id="rId5"/>
  <legacyDrawing r:id="rId6"/>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5DE5-D4D4-49FD-9281-8D2A88638A28}">
  <dimension ref="A1:S90"/>
  <sheetViews>
    <sheetView zoomScale="85" zoomScaleNormal="85" workbookViewId="0">
      <pane xSplit="2" ySplit="9" topLeftCell="C34" activePane="bottomRight" state="frozen"/>
      <selection pane="topRight" activeCell="C1" sqref="C1"/>
      <selection pane="bottomLeft" activeCell="A11" sqref="A11"/>
      <selection pane="bottomRight" activeCell="I52" sqref="I52:I5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c r="G2" s="123" t="s">
        <v>451</v>
      </c>
      <c r="H2" s="3751"/>
      <c r="I2" s="3751"/>
      <c r="J2" s="3751"/>
      <c r="K2" s="3751"/>
      <c r="L2" s="3751"/>
      <c r="M2" s="3751"/>
      <c r="N2" s="3751"/>
      <c r="O2" s="3751"/>
      <c r="P2" s="3751"/>
      <c r="Q2" s="3751"/>
      <c r="R2" s="3751"/>
      <c r="S2" s="3751"/>
    </row>
    <row r="3" spans="1:19" ht="20" thickBot="1" x14ac:dyDescent="0.4">
      <c r="B3" s="137" t="s">
        <v>623</v>
      </c>
      <c r="E3" s="152"/>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952"/>
      <c r="K4" s="3753"/>
      <c r="L4" s="3952"/>
      <c r="M4" s="3753"/>
      <c r="N4" s="3952"/>
      <c r="O4" s="3753"/>
      <c r="P4" s="3952"/>
      <c r="Q4" s="3753"/>
      <c r="R4" s="3952"/>
      <c r="S4" s="3753"/>
    </row>
    <row r="5" spans="1:19" x14ac:dyDescent="0.35">
      <c r="A5" s="2283" t="s">
        <v>634</v>
      </c>
      <c r="B5" s="2284" t="s">
        <v>2737</v>
      </c>
      <c r="C5" s="2285"/>
      <c r="D5" s="2285"/>
      <c r="E5" s="2285"/>
      <c r="F5" s="2285"/>
      <c r="G5" s="2194" t="s">
        <v>636</v>
      </c>
      <c r="H5" s="3931"/>
      <c r="I5" s="3932"/>
      <c r="J5" s="3954"/>
      <c r="K5" s="3932"/>
      <c r="L5" s="3954"/>
      <c r="M5" s="3932"/>
      <c r="N5" s="3954"/>
      <c r="O5" s="3932"/>
      <c r="P5" s="3954"/>
      <c r="Q5" s="3932"/>
      <c r="R5" s="3954"/>
      <c r="S5" s="3932"/>
    </row>
    <row r="6" spans="1:19" x14ac:dyDescent="0.35">
      <c r="A6" s="2283" t="s">
        <v>638</v>
      </c>
      <c r="B6" s="2195" t="s">
        <v>2738</v>
      </c>
      <c r="C6" s="2285"/>
      <c r="D6" s="2285"/>
      <c r="E6" s="2285"/>
      <c r="F6" s="2285"/>
      <c r="G6" s="2194" t="s">
        <v>639</v>
      </c>
      <c r="H6" s="3937"/>
      <c r="I6" s="3938"/>
      <c r="J6" s="3953"/>
      <c r="K6" s="3938"/>
      <c r="L6" s="3953"/>
      <c r="M6" s="3938"/>
      <c r="N6" s="3953"/>
      <c r="O6" s="3938"/>
      <c r="P6" s="3953"/>
      <c r="Q6" s="3938"/>
      <c r="R6" s="3953"/>
      <c r="S6" s="3938"/>
    </row>
    <row r="7" spans="1:19" x14ac:dyDescent="0.35">
      <c r="A7" s="2283" t="s">
        <v>641</v>
      </c>
      <c r="B7" s="2196"/>
      <c r="C7" s="2285"/>
      <c r="D7" s="2285"/>
      <c r="E7" s="2285"/>
      <c r="F7" s="2285"/>
      <c r="G7" s="2194" t="s">
        <v>642</v>
      </c>
      <c r="H7" s="3934"/>
      <c r="I7" s="3935"/>
      <c r="J7" s="3955"/>
      <c r="K7" s="3935"/>
      <c r="L7" s="3955"/>
      <c r="M7" s="3935"/>
      <c r="N7" s="3955"/>
      <c r="O7" s="3935"/>
      <c r="P7" s="3955"/>
      <c r="Q7" s="3935"/>
      <c r="R7" s="3955"/>
      <c r="S7" s="3935"/>
    </row>
    <row r="8" spans="1:19" ht="15" thickBot="1" x14ac:dyDescent="0.4">
      <c r="A8" s="938" t="s">
        <v>644</v>
      </c>
      <c r="B8" s="939"/>
      <c r="C8" s="940"/>
      <c r="D8" s="940"/>
      <c r="E8" s="940"/>
      <c r="F8" s="940"/>
      <c r="G8" s="938" t="s">
        <v>644</v>
      </c>
      <c r="H8" s="3945">
        <f>I51</f>
        <v>0</v>
      </c>
      <c r="I8" s="3944"/>
      <c r="J8" s="3945">
        <f>K51</f>
        <v>0</v>
      </c>
      <c r="K8" s="3944"/>
      <c r="L8" s="3945">
        <f>M51</f>
        <v>0</v>
      </c>
      <c r="M8" s="3944"/>
      <c r="N8" s="3945">
        <f>O51</f>
        <v>0</v>
      </c>
      <c r="O8" s="3944"/>
      <c r="P8" s="3945">
        <f>Q51</f>
        <v>0</v>
      </c>
      <c r="Q8" s="3944"/>
      <c r="R8" s="3945">
        <f>S51</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515"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516"/>
      <c r="B20" s="2284"/>
      <c r="C20" s="2201"/>
      <c r="D20" s="2285"/>
      <c r="E20" s="2285"/>
      <c r="F20" s="2285"/>
      <c r="G20" s="2198"/>
      <c r="H20" s="2107"/>
      <c r="I20" s="2107"/>
      <c r="J20" s="2107"/>
      <c r="K20" s="2107"/>
      <c r="L20" s="2107"/>
      <c r="M20" s="2107"/>
      <c r="N20" s="2107"/>
      <c r="O20" s="2107"/>
      <c r="P20" s="2107"/>
      <c r="Q20" s="2107"/>
      <c r="R20" s="2107"/>
      <c r="S20" s="2107"/>
    </row>
    <row r="21" spans="1:19" ht="15" thickBot="1" x14ac:dyDescent="0.4">
      <c r="A21" s="2516"/>
      <c r="B21" s="2203" t="s">
        <v>2737</v>
      </c>
      <c r="C21" s="45"/>
      <c r="D21" s="46"/>
      <c r="E21" s="46"/>
      <c r="F21" s="46"/>
      <c r="G21" s="52"/>
      <c r="H21" s="47"/>
      <c r="I21" s="47"/>
      <c r="J21" s="47"/>
      <c r="K21" s="47"/>
      <c r="L21" s="47"/>
      <c r="M21" s="47"/>
      <c r="N21" s="47"/>
      <c r="O21" s="47"/>
      <c r="P21" s="47"/>
      <c r="Q21" s="47"/>
      <c r="R21" s="47"/>
      <c r="S21" s="47"/>
    </row>
    <row r="22" spans="1:19" x14ac:dyDescent="0.35">
      <c r="A22" s="2516"/>
      <c r="B22" s="606" t="s">
        <v>657</v>
      </c>
      <c r="C22" s="2201"/>
      <c r="D22" s="2285"/>
      <c r="E22" s="2285"/>
      <c r="F22" s="2285"/>
      <c r="G22" s="2198"/>
      <c r="H22" s="2514"/>
      <c r="I22" s="2490"/>
      <c r="J22" s="2490"/>
      <c r="K22" s="2490"/>
      <c r="L22" s="2331"/>
      <c r="M22" s="2490"/>
      <c r="N22" s="2490"/>
      <c r="O22" s="2490"/>
      <c r="P22" s="2490"/>
      <c r="Q22" s="2490"/>
      <c r="R22" s="2490"/>
      <c r="S22" s="2490"/>
    </row>
    <row r="23" spans="1:19" x14ac:dyDescent="0.35">
      <c r="A23" s="2517"/>
      <c r="B23" s="2518" t="s">
        <v>658</v>
      </c>
      <c r="C23" s="2201"/>
      <c r="D23" s="2285"/>
      <c r="E23" s="2285"/>
      <c r="F23" s="2285"/>
      <c r="G23" s="2198"/>
      <c r="H23" s="2331"/>
      <c r="I23" s="2519"/>
      <c r="J23" s="2331"/>
      <c r="K23" s="2490"/>
      <c r="L23" s="2331"/>
      <c r="M23" s="2490"/>
      <c r="N23" s="2490"/>
      <c r="O23" s="2490"/>
      <c r="P23" s="2490"/>
      <c r="Q23" s="2490"/>
      <c r="R23" s="2490"/>
      <c r="S23" s="2490"/>
    </row>
    <row r="24" spans="1:19" x14ac:dyDescent="0.35">
      <c r="A24" s="2517"/>
      <c r="B24" s="2518" t="s">
        <v>659</v>
      </c>
      <c r="C24" s="2208"/>
      <c r="D24" s="2285"/>
      <c r="E24" s="2285"/>
      <c r="F24" s="2285"/>
      <c r="G24" s="2198"/>
      <c r="H24" s="2331"/>
      <c r="I24" s="2519"/>
      <c r="J24" s="2331"/>
      <c r="K24" s="2490"/>
      <c r="L24" s="2331"/>
      <c r="M24" s="2490"/>
      <c r="N24" s="2490"/>
      <c r="O24" s="2490"/>
      <c r="P24" s="2490"/>
      <c r="Q24" s="2490"/>
      <c r="R24" s="2490"/>
      <c r="S24" s="2490"/>
    </row>
    <row r="25" spans="1:19" x14ac:dyDescent="0.35">
      <c r="A25" s="2517"/>
      <c r="B25" s="2520" t="s">
        <v>660</v>
      </c>
      <c r="C25" s="2208"/>
      <c r="D25" s="2285"/>
      <c r="E25" s="2285"/>
      <c r="F25" s="2285"/>
      <c r="G25" s="2198"/>
      <c r="H25" s="2331"/>
      <c r="I25" s="2519"/>
      <c r="J25" s="2331"/>
      <c r="K25" s="2490"/>
      <c r="L25" s="2331"/>
      <c r="M25" s="2490"/>
      <c r="N25" s="2490"/>
      <c r="O25" s="2490"/>
      <c r="P25" s="2490"/>
      <c r="Q25" s="2490"/>
      <c r="R25" s="2490"/>
      <c r="S25" s="2490"/>
    </row>
    <row r="26" spans="1:19" s="77" customFormat="1" x14ac:dyDescent="0.35">
      <c r="A26" s="2516"/>
      <c r="B26" s="2520" t="s">
        <v>661</v>
      </c>
      <c r="C26" s="2211"/>
      <c r="D26" s="2212"/>
      <c r="E26" s="2212"/>
      <c r="F26" s="2212"/>
      <c r="G26" s="2211"/>
      <c r="H26" s="2331"/>
      <c r="I26" s="2519"/>
      <c r="J26" s="2334"/>
      <c r="K26" s="2521"/>
      <c r="L26" s="2334"/>
      <c r="M26" s="2521"/>
      <c r="N26" s="2521"/>
      <c r="O26" s="2521"/>
      <c r="P26" s="2521"/>
      <c r="Q26" s="2521"/>
      <c r="R26" s="2521"/>
      <c r="S26" s="2521"/>
    </row>
    <row r="27" spans="1:19" s="77" customFormat="1" x14ac:dyDescent="0.35">
      <c r="A27" s="2516"/>
      <c r="B27" s="2520" t="s">
        <v>662</v>
      </c>
      <c r="C27" s="2211"/>
      <c r="D27" s="2212"/>
      <c r="E27" s="2212"/>
      <c r="F27" s="2212"/>
      <c r="G27" s="2211"/>
      <c r="H27" s="2331"/>
      <c r="I27" s="2519"/>
      <c r="J27" s="2334"/>
      <c r="K27" s="2521"/>
      <c r="L27" s="2334"/>
      <c r="M27" s="2521"/>
      <c r="N27" s="2521"/>
      <c r="O27" s="2521"/>
      <c r="P27" s="2521"/>
      <c r="Q27" s="2521"/>
      <c r="R27" s="2521"/>
      <c r="S27" s="2521"/>
    </row>
    <row r="28" spans="1:19" s="77" customFormat="1" x14ac:dyDescent="0.35">
      <c r="A28" s="2516"/>
      <c r="B28" s="2520" t="s">
        <v>663</v>
      </c>
      <c r="C28" s="2211"/>
      <c r="D28" s="2212"/>
      <c r="E28" s="2212"/>
      <c r="F28" s="2212"/>
      <c r="G28" s="2211"/>
      <c r="H28" s="2331"/>
      <c r="I28" s="2519"/>
      <c r="J28" s="2334"/>
      <c r="K28" s="2521"/>
      <c r="L28" s="2334"/>
      <c r="M28" s="2521"/>
      <c r="N28" s="2521"/>
      <c r="O28" s="2521"/>
      <c r="P28" s="2521"/>
      <c r="Q28" s="2521"/>
      <c r="R28" s="2521"/>
      <c r="S28" s="2521"/>
    </row>
    <row r="29" spans="1:19" s="77" customFormat="1" x14ac:dyDescent="0.35">
      <c r="A29" s="2516"/>
      <c r="B29" s="2522" t="s">
        <v>664</v>
      </c>
      <c r="C29" s="2211"/>
      <c r="D29" s="2212"/>
      <c r="E29" s="2212"/>
      <c r="F29" s="2212"/>
      <c r="G29" s="2211"/>
      <c r="H29" s="2331"/>
      <c r="I29" s="2519"/>
      <c r="J29" s="2334"/>
      <c r="K29" s="2521"/>
      <c r="L29" s="2334"/>
      <c r="M29" s="2521"/>
      <c r="N29" s="2521"/>
      <c r="O29" s="2521"/>
      <c r="P29" s="2521"/>
      <c r="Q29" s="2521"/>
      <c r="R29" s="2521"/>
      <c r="S29" s="2521"/>
    </row>
    <row r="30" spans="1:19" s="77" customFormat="1" x14ac:dyDescent="0.35">
      <c r="A30" s="2516"/>
      <c r="B30" s="2523" t="s">
        <v>665</v>
      </c>
      <c r="C30" s="2216"/>
      <c r="D30" s="2217"/>
      <c r="E30" s="2217"/>
      <c r="F30" s="2217"/>
      <c r="G30" s="2216"/>
      <c r="H30" s="2288"/>
      <c r="I30" s="2524"/>
      <c r="J30" s="2289"/>
      <c r="K30" s="2525"/>
      <c r="L30" s="2289"/>
      <c r="M30" s="2525"/>
      <c r="N30" s="2525"/>
      <c r="O30" s="2525"/>
      <c r="P30" s="2525"/>
      <c r="Q30" s="2525"/>
      <c r="R30" s="2525"/>
      <c r="S30" s="2525"/>
    </row>
    <row r="31" spans="1:19" s="77" customFormat="1" x14ac:dyDescent="0.35">
      <c r="A31" s="2526"/>
      <c r="B31" s="2340"/>
      <c r="C31" s="2236"/>
      <c r="D31" s="2212"/>
      <c r="E31" s="2212"/>
      <c r="F31" s="2212"/>
      <c r="G31" s="2211"/>
      <c r="H31" s="2331"/>
      <c r="I31" s="2519"/>
      <c r="J31" s="2334"/>
      <c r="K31" s="2521"/>
      <c r="L31" s="2334"/>
      <c r="M31" s="2521"/>
      <c r="N31" s="2521"/>
      <c r="O31" s="2521"/>
      <c r="P31" s="2521"/>
      <c r="Q31" s="2521"/>
      <c r="R31" s="2521"/>
      <c r="S31" s="2521"/>
    </row>
    <row r="32" spans="1:19" s="77" customFormat="1" x14ac:dyDescent="0.35">
      <c r="A32" s="2526"/>
      <c r="B32" s="2340"/>
      <c r="C32" s="2236"/>
      <c r="D32" s="2212"/>
      <c r="E32" s="2212"/>
      <c r="F32" s="2212"/>
      <c r="G32" s="2211"/>
      <c r="H32" s="2331"/>
      <c r="I32" s="2519"/>
      <c r="J32" s="2334"/>
      <c r="K32" s="2521"/>
      <c r="L32" s="2334"/>
      <c r="M32" s="2521"/>
      <c r="N32" s="2521"/>
      <c r="O32" s="2521"/>
      <c r="P32" s="2521"/>
      <c r="Q32" s="2521"/>
      <c r="R32" s="2521"/>
      <c r="S32" s="2521"/>
    </row>
    <row r="33" spans="1:19" s="77" customFormat="1" x14ac:dyDescent="0.35">
      <c r="A33" s="2526"/>
      <c r="B33" s="2340"/>
      <c r="C33" s="2236"/>
      <c r="D33" s="2212"/>
      <c r="E33" s="2212"/>
      <c r="F33" s="2212"/>
      <c r="G33" s="2211"/>
      <c r="H33" s="2331"/>
      <c r="I33" s="2519"/>
      <c r="J33" s="2334"/>
      <c r="K33" s="2521"/>
      <c r="L33" s="2334"/>
      <c r="M33" s="2521"/>
      <c r="N33" s="2521"/>
      <c r="O33" s="2521"/>
      <c r="P33" s="2521"/>
      <c r="Q33" s="2521"/>
      <c r="R33" s="2521"/>
      <c r="S33" s="2521"/>
    </row>
    <row r="34" spans="1:19" s="77" customFormat="1" x14ac:dyDescent="0.35">
      <c r="A34" s="2526"/>
      <c r="B34" s="2340"/>
      <c r="C34" s="2236"/>
      <c r="D34" s="2212"/>
      <c r="E34" s="2341"/>
      <c r="F34" s="2342"/>
      <c r="G34" s="2211"/>
      <c r="H34" s="2331"/>
      <c r="I34" s="2519"/>
      <c r="J34" s="2334"/>
      <c r="K34" s="2521"/>
      <c r="L34" s="2334"/>
      <c r="M34" s="2521"/>
      <c r="N34" s="2521"/>
      <c r="O34" s="2521"/>
      <c r="P34" s="2521"/>
      <c r="Q34" s="2521"/>
      <c r="R34" s="2521"/>
      <c r="S34" s="2521"/>
    </row>
    <row r="35" spans="1:19" s="77" customFormat="1" x14ac:dyDescent="0.35">
      <c r="A35" s="2526"/>
      <c r="B35" s="2340"/>
      <c r="C35" s="2236"/>
      <c r="D35" s="2212"/>
      <c r="E35" s="2341"/>
      <c r="F35" s="2342"/>
      <c r="G35" s="2211"/>
      <c r="H35" s="2331"/>
      <c r="I35" s="2519"/>
      <c r="J35" s="2334"/>
      <c r="K35" s="2521"/>
      <c r="L35" s="2334"/>
      <c r="M35" s="2521"/>
      <c r="N35" s="2521"/>
      <c r="O35" s="2521"/>
      <c r="P35" s="2521"/>
      <c r="Q35" s="2521"/>
      <c r="R35" s="2521"/>
      <c r="S35" s="2521"/>
    </row>
    <row r="36" spans="1:19" s="77" customFormat="1" x14ac:dyDescent="0.35">
      <c r="A36" s="2526"/>
      <c r="B36" s="2340"/>
      <c r="C36" s="2236"/>
      <c r="D36" s="2212"/>
      <c r="E36" s="2341"/>
      <c r="F36" s="2342"/>
      <c r="G36" s="2211"/>
      <c r="H36" s="2331"/>
      <c r="I36" s="2519"/>
      <c r="J36" s="2334"/>
      <c r="K36" s="2521"/>
      <c r="L36" s="2334"/>
      <c r="M36" s="2521"/>
      <c r="N36" s="2521"/>
      <c r="O36" s="2521"/>
      <c r="P36" s="2521"/>
      <c r="Q36" s="2521"/>
      <c r="R36" s="2521"/>
      <c r="S36" s="2521"/>
    </row>
    <row r="37" spans="1:19" s="77" customFormat="1" x14ac:dyDescent="0.35">
      <c r="A37" s="2526"/>
      <c r="B37" s="2527"/>
      <c r="C37" s="2236"/>
      <c r="D37" s="2212"/>
      <c r="E37" s="2341"/>
      <c r="F37" s="2342"/>
      <c r="G37" s="2211"/>
      <c r="H37" s="2331"/>
      <c r="I37" s="2519"/>
      <c r="J37" s="2334"/>
      <c r="K37" s="2521"/>
      <c r="L37" s="2334"/>
      <c r="M37" s="2521"/>
      <c r="N37" s="2521"/>
      <c r="O37" s="2521"/>
      <c r="P37" s="2521"/>
      <c r="Q37" s="2521"/>
      <c r="R37" s="2521"/>
      <c r="S37" s="2521"/>
    </row>
    <row r="38" spans="1:19" s="77" customFormat="1" x14ac:dyDescent="0.35">
      <c r="A38" s="2526"/>
      <c r="B38" s="2528"/>
      <c r="C38" s="2236"/>
      <c r="D38" s="2212"/>
      <c r="E38" s="2341"/>
      <c r="F38" s="2342"/>
      <c r="G38" s="2211"/>
      <c r="H38" s="2331"/>
      <c r="I38" s="2519"/>
      <c r="J38" s="2334"/>
      <c r="K38" s="2521"/>
      <c r="L38" s="2334"/>
      <c r="M38" s="2521"/>
      <c r="N38" s="2521"/>
      <c r="O38" s="2521"/>
      <c r="P38" s="2521"/>
      <c r="Q38" s="2521"/>
      <c r="R38" s="2521"/>
      <c r="S38" s="2521"/>
    </row>
    <row r="39" spans="1:19" s="77" customFormat="1" x14ac:dyDescent="0.35">
      <c r="A39" s="2526"/>
      <c r="B39" s="128"/>
      <c r="C39" s="2236"/>
      <c r="D39" s="2212"/>
      <c r="E39" s="2341"/>
      <c r="F39" s="2342"/>
      <c r="G39" s="2211"/>
      <c r="H39" s="2331"/>
      <c r="I39" s="2519"/>
      <c r="J39" s="2334"/>
      <c r="K39" s="2521"/>
      <c r="L39" s="2334"/>
      <c r="M39" s="2521"/>
      <c r="N39" s="2521"/>
      <c r="O39" s="2521"/>
      <c r="P39" s="2521"/>
      <c r="Q39" s="2521"/>
      <c r="R39" s="2521"/>
      <c r="S39" s="2521"/>
    </row>
    <row r="40" spans="1:19" s="77" customFormat="1" x14ac:dyDescent="0.35">
      <c r="A40" s="2526"/>
      <c r="B40" s="2340"/>
      <c r="C40" s="2236"/>
      <c r="D40" s="2212"/>
      <c r="E40" s="2341"/>
      <c r="F40" s="2342"/>
      <c r="G40" s="2211"/>
      <c r="H40" s="2331"/>
      <c r="I40" s="2519"/>
      <c r="J40" s="2334"/>
      <c r="K40" s="2521"/>
      <c r="L40" s="2334"/>
      <c r="M40" s="2521"/>
      <c r="N40" s="2521"/>
      <c r="O40" s="2521"/>
      <c r="P40" s="2521"/>
      <c r="Q40" s="2521"/>
      <c r="R40" s="2521"/>
      <c r="S40" s="2521"/>
    </row>
    <row r="41" spans="1:19" s="77" customFormat="1" x14ac:dyDescent="0.35">
      <c r="A41" s="2526"/>
      <c r="B41" s="2340"/>
      <c r="C41" s="2236"/>
      <c r="D41" s="2212"/>
      <c r="E41" s="2341"/>
      <c r="F41" s="2342"/>
      <c r="G41" s="2211"/>
      <c r="H41" s="2331"/>
      <c r="I41" s="2519"/>
      <c r="J41" s="2334"/>
      <c r="K41" s="2521"/>
      <c r="L41" s="2334"/>
      <c r="M41" s="2521"/>
      <c r="N41" s="2521"/>
      <c r="O41" s="2521"/>
      <c r="P41" s="2521"/>
      <c r="Q41" s="2521"/>
      <c r="R41" s="2521"/>
      <c r="S41" s="2521"/>
    </row>
    <row r="42" spans="1:19" s="77" customFormat="1" x14ac:dyDescent="0.35">
      <c r="A42" s="2526"/>
      <c r="B42" s="2340"/>
      <c r="C42" s="2236"/>
      <c r="D42" s="2212"/>
      <c r="E42" s="2341"/>
      <c r="F42" s="2342"/>
      <c r="G42" s="2211"/>
      <c r="H42" s="2331"/>
      <c r="I42" s="2519"/>
      <c r="J42" s="2334"/>
      <c r="K42" s="2521"/>
      <c r="L42" s="2334"/>
      <c r="M42" s="2521"/>
      <c r="N42" s="2521"/>
      <c r="O42" s="2521"/>
      <c r="P42" s="2521"/>
      <c r="Q42" s="2521"/>
      <c r="R42" s="2521"/>
      <c r="S42" s="2521"/>
    </row>
    <row r="43" spans="1:19" s="77" customFormat="1" x14ac:dyDescent="0.35">
      <c r="A43" s="2526"/>
      <c r="B43" s="2340"/>
      <c r="C43" s="2236"/>
      <c r="D43" s="2212"/>
      <c r="E43" s="2341"/>
      <c r="F43" s="2342"/>
      <c r="G43" s="2211"/>
      <c r="H43" s="2331"/>
      <c r="I43" s="2519"/>
      <c r="J43" s="2334"/>
      <c r="K43" s="2521"/>
      <c r="L43" s="2334"/>
      <c r="M43" s="2521"/>
      <c r="N43" s="2521"/>
      <c r="O43" s="2521"/>
      <c r="P43" s="2521"/>
      <c r="Q43" s="2521"/>
      <c r="R43" s="2521"/>
      <c r="S43" s="2521"/>
    </row>
    <row r="44" spans="1:19" s="77" customFormat="1" x14ac:dyDescent="0.35">
      <c r="A44" s="2526"/>
      <c r="B44" s="2340"/>
      <c r="C44" s="2236"/>
      <c r="D44" s="2212"/>
      <c r="E44" s="2341"/>
      <c r="F44" s="2342"/>
      <c r="G44" s="2211"/>
      <c r="H44" s="2331"/>
      <c r="I44" s="2519"/>
      <c r="J44" s="2334"/>
      <c r="K44" s="2521"/>
      <c r="L44" s="2334"/>
      <c r="M44" s="2521"/>
      <c r="N44" s="2521"/>
      <c r="O44" s="2521"/>
      <c r="P44" s="2521"/>
      <c r="Q44" s="2521"/>
      <c r="R44" s="2521"/>
      <c r="S44" s="2521"/>
    </row>
    <row r="45" spans="1:19" s="77" customFormat="1" x14ac:dyDescent="0.35">
      <c r="A45" s="2526"/>
      <c r="B45" s="2340"/>
      <c r="C45" s="2236"/>
      <c r="D45" s="2212"/>
      <c r="E45" s="2341"/>
      <c r="F45" s="2342"/>
      <c r="G45" s="2211"/>
      <c r="H45" s="2331"/>
      <c r="I45" s="2519"/>
      <c r="J45" s="2334"/>
      <c r="K45" s="2521"/>
      <c r="L45" s="2334"/>
      <c r="M45" s="2521"/>
      <c r="N45" s="2521"/>
      <c r="O45" s="2521"/>
      <c r="P45" s="2521"/>
      <c r="Q45" s="2521"/>
      <c r="R45" s="2521"/>
      <c r="S45" s="2521"/>
    </row>
    <row r="46" spans="1:19" s="77" customFormat="1" ht="15" thickBot="1" x14ac:dyDescent="0.4">
      <c r="A46" s="2526"/>
      <c r="B46" s="2340"/>
      <c r="C46" s="2236"/>
      <c r="D46" s="2212"/>
      <c r="E46" s="2341"/>
      <c r="F46" s="2342"/>
      <c r="G46" s="2211"/>
      <c r="H46" s="2331"/>
      <c r="I46" s="2519"/>
      <c r="J46" s="2334"/>
      <c r="K46" s="2521"/>
      <c r="L46" s="2334"/>
      <c r="M46" s="2521"/>
      <c r="N46" s="2521"/>
      <c r="O46" s="2521"/>
      <c r="P46" s="2521"/>
      <c r="Q46" s="2521"/>
      <c r="R46" s="2521"/>
      <c r="S46" s="2521"/>
    </row>
    <row r="47" spans="1:19" ht="15" thickTop="1" x14ac:dyDescent="0.35">
      <c r="A47" s="14"/>
      <c r="B47" s="15"/>
      <c r="C47" s="16"/>
      <c r="D47" s="16"/>
      <c r="E47" s="17"/>
      <c r="F47" s="18" t="s">
        <v>715</v>
      </c>
      <c r="G47" s="19"/>
      <c r="H47" s="20"/>
      <c r="I47" s="50">
        <f>SUM(I23:I46)</f>
        <v>0</v>
      </c>
      <c r="J47" s="20"/>
      <c r="K47" s="50">
        <f>SUM(K23:K46)</f>
        <v>0</v>
      </c>
      <c r="L47" s="20"/>
      <c r="M47" s="50">
        <f>SUM(M23:M46)</f>
        <v>0</v>
      </c>
      <c r="N47" s="20"/>
      <c r="O47" s="50">
        <f>SUM(O23:O46)</f>
        <v>0</v>
      </c>
      <c r="P47" s="20"/>
      <c r="Q47" s="50">
        <f>SUM(Q23:Q46)</f>
        <v>0</v>
      </c>
      <c r="R47" s="20"/>
      <c r="S47" s="50">
        <f>SUM(S23:S46)</f>
        <v>0</v>
      </c>
    </row>
    <row r="48" spans="1:19" x14ac:dyDescent="0.35">
      <c r="A48" s="2239"/>
      <c r="B48" s="2240"/>
      <c r="C48" s="2241"/>
      <c r="D48" s="2241"/>
      <c r="E48" s="2242"/>
      <c r="F48" s="2243" t="s">
        <v>716</v>
      </c>
      <c r="G48" s="2244"/>
      <c r="H48" s="2065">
        <v>0</v>
      </c>
      <c r="I48" s="2064"/>
      <c r="J48" s="2065">
        <v>0</v>
      </c>
      <c r="K48" s="2064"/>
      <c r="L48" s="2065">
        <v>0</v>
      </c>
      <c r="M48" s="2064"/>
      <c r="N48" s="2065">
        <v>0</v>
      </c>
      <c r="O48" s="2064"/>
      <c r="P48" s="2065">
        <v>0</v>
      </c>
      <c r="Q48" s="2064"/>
      <c r="R48" s="2065">
        <v>0</v>
      </c>
      <c r="S48" s="2064"/>
    </row>
    <row r="49" spans="1:19" x14ac:dyDescent="0.35">
      <c r="A49" s="2239"/>
      <c r="B49" s="2240"/>
      <c r="C49" s="2241"/>
      <c r="D49" s="2241"/>
      <c r="E49" s="2242"/>
      <c r="F49" s="2243" t="s">
        <v>717</v>
      </c>
      <c r="G49" s="2244"/>
      <c r="H49" s="2066"/>
      <c r="I49" s="2067">
        <f>H48*I47</f>
        <v>0</v>
      </c>
      <c r="J49" s="2066"/>
      <c r="K49" s="2067">
        <f>J48*K47</f>
        <v>0</v>
      </c>
      <c r="L49" s="2066"/>
      <c r="M49" s="2067">
        <f>L48*M47</f>
        <v>0</v>
      </c>
      <c r="N49" s="2066"/>
      <c r="O49" s="2067">
        <f>N48*O47</f>
        <v>0</v>
      </c>
      <c r="P49" s="2066"/>
      <c r="Q49" s="2067">
        <f>P48*Q47</f>
        <v>0</v>
      </c>
      <c r="R49" s="2066"/>
      <c r="S49" s="2067">
        <f>R48*S47</f>
        <v>0</v>
      </c>
    </row>
    <row r="50" spans="1:19" x14ac:dyDescent="0.35">
      <c r="A50" s="2239"/>
      <c r="B50" s="2240"/>
      <c r="C50" s="2241"/>
      <c r="D50" s="2241"/>
      <c r="E50" s="2242"/>
      <c r="F50" s="2243"/>
      <c r="G50" s="2244"/>
      <c r="H50" s="2066"/>
      <c r="I50" s="2068"/>
      <c r="J50" s="2066"/>
      <c r="K50" s="2068"/>
      <c r="L50" s="2066"/>
      <c r="M50" s="2068"/>
      <c r="N50" s="2066"/>
      <c r="O50" s="2068"/>
      <c r="P50" s="2066"/>
      <c r="Q50" s="2068"/>
      <c r="R50" s="2066"/>
      <c r="S50" s="2068"/>
    </row>
    <row r="51" spans="1:19" x14ac:dyDescent="0.35">
      <c r="A51" s="2239"/>
      <c r="B51" s="2240"/>
      <c r="C51" s="2241"/>
      <c r="D51" s="2241"/>
      <c r="E51" s="2242"/>
      <c r="F51" s="2243" t="s">
        <v>718</v>
      </c>
      <c r="G51" s="2244"/>
      <c r="H51" s="2069"/>
      <c r="I51" s="2070">
        <f>SUM(I47:I49)</f>
        <v>0</v>
      </c>
      <c r="J51" s="2069"/>
      <c r="K51" s="2070">
        <f>SUM(K47:K49)</f>
        <v>0</v>
      </c>
      <c r="L51" s="2069"/>
      <c r="M51" s="2070">
        <f>SUM(M47:M49)</f>
        <v>0</v>
      </c>
      <c r="N51" s="2069"/>
      <c r="O51" s="2070">
        <f>SUM(O47:O49)</f>
        <v>0</v>
      </c>
      <c r="P51" s="2069"/>
      <c r="Q51" s="2070">
        <f>SUM(Q47:Q49)</f>
        <v>0</v>
      </c>
      <c r="R51" s="2069"/>
      <c r="S51" s="2070">
        <f>SUM(S47:S49)</f>
        <v>0</v>
      </c>
    </row>
    <row r="52" spans="1:19" x14ac:dyDescent="0.35">
      <c r="A52" s="2239"/>
      <c r="B52" s="2240"/>
      <c r="C52" s="2241"/>
      <c r="D52" s="2241"/>
      <c r="E52" s="2242"/>
      <c r="F52" s="2255" t="s">
        <v>719</v>
      </c>
      <c r="G52" s="2256"/>
      <c r="H52" s="2073"/>
      <c r="I52" s="2074" t="e">
        <f>I51/#REF!</f>
        <v>#REF!</v>
      </c>
      <c r="J52" s="2073"/>
      <c r="K52" s="2074" t="e">
        <f>K51/#REF!</f>
        <v>#REF!</v>
      </c>
      <c r="L52" s="2073"/>
      <c r="M52" s="2074" t="e">
        <f>M51/#REF!</f>
        <v>#REF!</v>
      </c>
      <c r="N52" s="2073"/>
      <c r="O52" s="2074" t="e">
        <f>O51/#REF!</f>
        <v>#REF!</v>
      </c>
      <c r="P52" s="2073"/>
      <c r="Q52" s="2074" t="e">
        <f>Q51/#REF!</f>
        <v>#REF!</v>
      </c>
      <c r="R52" s="2073"/>
      <c r="S52" s="2074" t="e">
        <f>S51/#REF!</f>
        <v>#REF!</v>
      </c>
    </row>
    <row r="53" spans="1:19" x14ac:dyDescent="0.35">
      <c r="A53" s="2239"/>
      <c r="B53" s="2240"/>
      <c r="C53" s="2241"/>
      <c r="D53" s="2241"/>
      <c r="E53" s="2242"/>
      <c r="F53" s="2255" t="s">
        <v>720</v>
      </c>
      <c r="G53" s="2260"/>
      <c r="H53" s="2073"/>
      <c r="I53" s="2074" t="e">
        <f>I51/#REF!</f>
        <v>#REF!</v>
      </c>
      <c r="J53" s="2073"/>
      <c r="K53" s="2074" t="e">
        <f>K51/#REF!</f>
        <v>#REF!</v>
      </c>
      <c r="L53" s="2073"/>
      <c r="M53" s="2074" t="e">
        <f>M51/#REF!</f>
        <v>#REF!</v>
      </c>
      <c r="N53" s="2073"/>
      <c r="O53" s="2074" t="e">
        <f>O51/#REF!</f>
        <v>#REF!</v>
      </c>
      <c r="P53" s="2073"/>
      <c r="Q53" s="2074" t="e">
        <f>Q51/#REF!</f>
        <v>#REF!</v>
      </c>
      <c r="R53" s="2073"/>
      <c r="S53" s="2074" t="e">
        <f>S51/#REF!</f>
        <v>#REF!</v>
      </c>
    </row>
    <row r="54" spans="1:19" ht="15" thickBot="1" x14ac:dyDescent="0.4">
      <c r="A54" s="2239"/>
      <c r="B54" s="2240"/>
      <c r="C54" s="2241"/>
      <c r="D54" s="2241"/>
      <c r="E54" s="2242"/>
      <c r="F54" s="2243"/>
      <c r="G54" s="2261"/>
      <c r="H54" s="2077"/>
      <c r="I54" s="2078"/>
      <c r="J54" s="2077"/>
      <c r="K54" s="2078"/>
      <c r="L54" s="2077"/>
      <c r="M54" s="2078"/>
      <c r="N54" s="2077"/>
      <c r="O54" s="2078"/>
      <c r="P54" s="2077"/>
      <c r="Q54" s="2078"/>
      <c r="R54" s="2077"/>
      <c r="S54" s="2078"/>
    </row>
    <row r="55" spans="1:19" ht="15.5" thickTop="1" thickBot="1" x14ac:dyDescent="0.4">
      <c r="A55" s="3764" t="s">
        <v>721</v>
      </c>
      <c r="B55" s="3765"/>
      <c r="C55" s="12"/>
      <c r="D55" s="12"/>
      <c r="E55" s="12"/>
      <c r="F55" s="12"/>
      <c r="G55" s="43"/>
      <c r="H55" s="42"/>
      <c r="I55" s="21"/>
      <c r="J55" s="21"/>
      <c r="K55" s="21"/>
      <c r="L55" s="21"/>
      <c r="M55" s="21"/>
      <c r="N55" s="21"/>
      <c r="O55" s="21"/>
      <c r="P55" s="21"/>
      <c r="Q55" s="21"/>
      <c r="R55" s="21"/>
      <c r="S55" s="21"/>
    </row>
    <row r="56" spans="1:19" ht="15" thickTop="1" x14ac:dyDescent="0.35">
      <c r="A56" s="2529"/>
      <c r="B56" s="2284"/>
      <c r="C56" s="2530"/>
      <c r="D56" s="2530"/>
      <c r="E56" s="2530"/>
      <c r="F56" s="2530"/>
      <c r="G56" s="2531"/>
      <c r="H56" s="2532"/>
      <c r="I56" s="2533"/>
      <c r="J56" s="2533"/>
      <c r="K56" s="2533"/>
      <c r="L56" s="2533"/>
      <c r="M56" s="2533"/>
      <c r="N56" s="2533"/>
      <c r="O56" s="2533"/>
      <c r="P56" s="2533"/>
      <c r="Q56" s="2533"/>
      <c r="R56" s="2533"/>
      <c r="S56" s="2533"/>
    </row>
    <row r="57" spans="1:19" s="2" customFormat="1" x14ac:dyDescent="0.35">
      <c r="A57" s="2529"/>
      <c r="B57" s="2284"/>
      <c r="C57" s="2530"/>
      <c r="D57" s="2530"/>
      <c r="E57" s="2530"/>
      <c r="F57" s="2530"/>
      <c r="G57" s="2531"/>
      <c r="H57" s="2532"/>
      <c r="I57" s="2533"/>
      <c r="J57" s="2533"/>
      <c r="K57" s="2533"/>
      <c r="L57" s="2533"/>
      <c r="M57" s="2533"/>
      <c r="N57" s="2533"/>
      <c r="O57" s="2533"/>
      <c r="P57" s="2533"/>
      <c r="Q57" s="2533"/>
      <c r="R57" s="2533"/>
      <c r="S57" s="2533"/>
    </row>
    <row r="58" spans="1:19" s="2" customFormat="1" ht="15" thickBot="1" x14ac:dyDescent="0.4">
      <c r="A58" s="2529"/>
      <c r="B58" s="2284"/>
      <c r="C58" s="2530"/>
      <c r="D58" s="2530"/>
      <c r="E58" s="2530"/>
      <c r="F58" s="2530"/>
      <c r="G58" s="2531"/>
      <c r="H58" s="2532"/>
      <c r="I58" s="2533"/>
      <c r="J58" s="2533"/>
      <c r="K58" s="2533"/>
      <c r="L58" s="2533"/>
      <c r="M58" s="2533"/>
      <c r="N58" s="2533"/>
      <c r="O58" s="2533"/>
      <c r="P58" s="2533"/>
      <c r="Q58" s="2533"/>
      <c r="R58" s="2533"/>
      <c r="S58" s="2533"/>
    </row>
    <row r="59" spans="1:19" ht="15.5" thickTop="1" thickBot="1" x14ac:dyDescent="0.4">
      <c r="A59" s="3764" t="s">
        <v>722</v>
      </c>
      <c r="B59" s="3765"/>
      <c r="C59" s="12"/>
      <c r="D59" s="12"/>
      <c r="E59" s="12"/>
      <c r="F59" s="12"/>
      <c r="G59" s="43"/>
      <c r="H59" s="42"/>
      <c r="I59" s="21"/>
      <c r="J59" s="21"/>
      <c r="K59" s="21"/>
      <c r="L59" s="21"/>
      <c r="M59" s="21"/>
      <c r="N59" s="21"/>
      <c r="O59" s="21"/>
      <c r="P59" s="21"/>
      <c r="Q59" s="21"/>
      <c r="R59" s="21"/>
      <c r="S59" s="21"/>
    </row>
    <row r="60" spans="1:19" s="2" customFormat="1" ht="15" thickTop="1" x14ac:dyDescent="0.35">
      <c r="A60" s="2529"/>
      <c r="B60" s="2284"/>
      <c r="C60" s="2530"/>
      <c r="D60" s="2530"/>
      <c r="E60" s="2530"/>
      <c r="F60" s="2530"/>
      <c r="G60" s="2531"/>
      <c r="H60" s="2532"/>
      <c r="I60" s="2533"/>
      <c r="J60" s="2533"/>
      <c r="K60" s="2533"/>
      <c r="L60" s="2533"/>
      <c r="M60" s="2533"/>
      <c r="N60" s="2533"/>
      <c r="O60" s="2533"/>
      <c r="P60" s="2533"/>
      <c r="Q60" s="2533"/>
      <c r="R60" s="2533"/>
      <c r="S60" s="2533"/>
    </row>
    <row r="61" spans="1:19" s="2" customFormat="1" x14ac:dyDescent="0.35">
      <c r="A61" s="2529"/>
      <c r="B61" s="2284"/>
      <c r="C61" s="2530"/>
      <c r="D61" s="2530"/>
      <c r="E61" s="2530"/>
      <c r="F61" s="2530"/>
      <c r="G61" s="2531"/>
      <c r="H61" s="2532"/>
      <c r="I61" s="2533"/>
      <c r="J61" s="2533"/>
      <c r="K61" s="2533"/>
      <c r="L61" s="2533"/>
      <c r="M61" s="2533"/>
      <c r="N61" s="2533"/>
      <c r="O61" s="2533"/>
      <c r="P61" s="2533"/>
      <c r="Q61" s="2533"/>
      <c r="R61" s="2533"/>
      <c r="S61" s="2533"/>
    </row>
    <row r="62" spans="1:19" ht="15" thickBot="1" x14ac:dyDescent="0.4">
      <c r="A62" s="2529"/>
      <c r="B62" s="2284"/>
      <c r="C62" s="2530"/>
      <c r="D62" s="2530"/>
      <c r="E62" s="2530"/>
      <c r="F62" s="2530"/>
      <c r="G62" s="2531"/>
      <c r="H62" s="2532"/>
      <c r="I62" s="2533"/>
      <c r="J62" s="2533"/>
      <c r="K62" s="2533"/>
      <c r="L62" s="2533"/>
      <c r="M62" s="2533"/>
      <c r="N62" s="2533"/>
      <c r="O62" s="2533"/>
      <c r="P62" s="2533"/>
      <c r="Q62" s="2533"/>
      <c r="R62" s="2533"/>
      <c r="S62" s="2533"/>
    </row>
    <row r="63" spans="1:19" ht="15.5" thickTop="1" thickBot="1" x14ac:dyDescent="0.4">
      <c r="A63" s="3764" t="s">
        <v>723</v>
      </c>
      <c r="B63" s="3765"/>
      <c r="C63" s="12"/>
      <c r="D63" s="12"/>
      <c r="E63" s="12"/>
      <c r="F63" s="12"/>
      <c r="G63" s="43"/>
      <c r="H63" s="42"/>
      <c r="I63" s="21"/>
      <c r="J63" s="21"/>
      <c r="K63" s="21"/>
      <c r="L63" s="21"/>
      <c r="M63" s="21"/>
      <c r="N63" s="21"/>
      <c r="O63" s="21"/>
      <c r="P63" s="21"/>
      <c r="Q63" s="21"/>
      <c r="R63" s="21"/>
      <c r="S63" s="21"/>
    </row>
    <row r="64" spans="1:19" ht="15" thickTop="1" x14ac:dyDescent="0.35">
      <c r="A64" s="2529"/>
      <c r="B64" s="2284"/>
      <c r="C64" s="2530"/>
      <c r="D64" s="2530"/>
      <c r="E64" s="2530"/>
      <c r="F64" s="2530"/>
      <c r="G64" s="2531"/>
      <c r="H64" s="2532"/>
      <c r="I64" s="2533"/>
      <c r="J64" s="2533"/>
      <c r="K64" s="2533"/>
      <c r="L64" s="2533"/>
      <c r="M64" s="2533"/>
      <c r="N64" s="2533"/>
      <c r="O64" s="2533"/>
      <c r="P64" s="2533"/>
      <c r="Q64" s="2533"/>
      <c r="R64" s="2533"/>
      <c r="S64" s="2533"/>
    </row>
    <row r="65" spans="1:19" x14ac:dyDescent="0.35">
      <c r="A65" s="2286"/>
      <c r="B65" s="2284"/>
      <c r="C65" s="2285"/>
      <c r="D65" s="2285"/>
      <c r="E65" s="2285"/>
      <c r="F65" s="2285"/>
      <c r="G65" s="2349"/>
      <c r="H65" s="2268"/>
      <c r="I65" s="2081"/>
      <c r="J65" s="2081"/>
      <c r="K65" s="2081"/>
      <c r="L65" s="2081"/>
      <c r="M65" s="2081"/>
      <c r="N65" s="2081"/>
      <c r="O65" s="2081"/>
      <c r="P65" s="2081"/>
      <c r="Q65" s="2081"/>
      <c r="R65" s="2081"/>
      <c r="S65" s="2081"/>
    </row>
    <row r="66" spans="1:19" ht="15" thickBot="1" x14ac:dyDescent="0.4">
      <c r="A66" s="2269"/>
      <c r="B66" s="2270"/>
      <c r="C66" s="2285"/>
      <c r="D66" s="2285"/>
      <c r="E66" s="2285"/>
      <c r="F66" s="2285"/>
      <c r="G66" s="2349"/>
      <c r="H66" s="2272"/>
      <c r="I66" s="2084"/>
      <c r="J66" s="2084"/>
      <c r="K66" s="2084"/>
      <c r="L66" s="2084"/>
      <c r="M66" s="2084"/>
      <c r="N66" s="2084"/>
      <c r="O66" s="2084"/>
      <c r="P66" s="2084"/>
      <c r="Q66" s="2084"/>
      <c r="R66" s="2084"/>
      <c r="S66" s="2084"/>
    </row>
    <row r="67" spans="1:19" ht="15.5" thickTop="1" thickBot="1" x14ac:dyDescent="0.4">
      <c r="A67" s="3764" t="s">
        <v>724</v>
      </c>
      <c r="B67" s="3765"/>
      <c r="C67" s="12"/>
      <c r="D67" s="12"/>
      <c r="E67" s="12"/>
      <c r="F67" s="12"/>
      <c r="G67" s="43"/>
      <c r="H67" s="42"/>
      <c r="I67" s="21"/>
      <c r="J67" s="21"/>
      <c r="K67" s="21"/>
      <c r="L67" s="21"/>
      <c r="M67" s="21"/>
      <c r="N67" s="21"/>
      <c r="O67" s="21"/>
      <c r="P67" s="21"/>
      <c r="Q67" s="21"/>
      <c r="R67" s="21"/>
      <c r="S67" s="21"/>
    </row>
    <row r="68" spans="1:19" ht="15" thickTop="1" x14ac:dyDescent="0.35">
      <c r="A68" s="2534"/>
      <c r="B68" s="2535"/>
      <c r="C68" s="2530"/>
      <c r="D68" s="2530"/>
      <c r="E68" s="2530"/>
      <c r="F68" s="2530"/>
      <c r="G68" s="2531"/>
      <c r="H68" s="2532"/>
      <c r="I68" s="2533"/>
      <c r="J68" s="2533"/>
      <c r="K68" s="2533"/>
      <c r="L68" s="2533"/>
      <c r="M68" s="2533"/>
      <c r="N68" s="2533"/>
      <c r="O68" s="2533"/>
      <c r="P68" s="2533"/>
      <c r="Q68" s="2533"/>
      <c r="R68" s="2533"/>
      <c r="S68" s="2533"/>
    </row>
    <row r="69" spans="1:19" x14ac:dyDescent="0.35">
      <c r="A69" s="2269"/>
      <c r="B69" s="2270"/>
      <c r="C69" s="2285"/>
      <c r="D69" s="2285"/>
      <c r="E69" s="2285"/>
      <c r="F69" s="2285"/>
      <c r="G69" s="2349"/>
      <c r="H69" s="2274"/>
      <c r="I69" s="2087"/>
      <c r="J69" s="2087"/>
      <c r="K69" s="2087"/>
      <c r="L69" s="2087"/>
      <c r="M69" s="2087"/>
      <c r="N69" s="2087"/>
      <c r="O69" s="2087"/>
      <c r="P69" s="2087"/>
      <c r="Q69" s="2087"/>
      <c r="R69" s="2087"/>
      <c r="S69" s="2087"/>
    </row>
    <row r="70" spans="1:19" ht="15" thickBot="1" x14ac:dyDescent="0.4">
      <c r="A70" s="2269"/>
      <c r="B70" s="2270"/>
      <c r="C70" s="2285"/>
      <c r="D70" s="2285"/>
      <c r="E70" s="2285"/>
      <c r="F70" s="2285"/>
      <c r="G70" s="2349"/>
      <c r="H70" s="2274"/>
      <c r="I70" s="2087"/>
      <c r="J70" s="2087"/>
      <c r="K70" s="2087"/>
      <c r="L70" s="2087"/>
      <c r="M70" s="2087"/>
      <c r="N70" s="2087"/>
      <c r="O70" s="2087"/>
      <c r="P70" s="2087"/>
      <c r="Q70" s="2087"/>
      <c r="R70" s="2087"/>
      <c r="S70" s="2087"/>
    </row>
    <row r="71" spans="1:19" ht="15.5" thickTop="1" thickBot="1" x14ac:dyDescent="0.4">
      <c r="A71" s="3764" t="s">
        <v>725</v>
      </c>
      <c r="B71" s="3765"/>
      <c r="C71" s="12"/>
      <c r="D71" s="12"/>
      <c r="E71" s="12"/>
      <c r="F71" s="12"/>
      <c r="G71" s="43"/>
      <c r="H71" s="42"/>
      <c r="I71" s="21"/>
      <c r="J71" s="21"/>
      <c r="K71" s="21"/>
      <c r="L71" s="21"/>
      <c r="M71" s="21"/>
      <c r="N71" s="21"/>
      <c r="O71" s="21"/>
      <c r="P71" s="21"/>
      <c r="Q71" s="21"/>
      <c r="R71" s="21"/>
      <c r="S71" s="21"/>
    </row>
    <row r="72" spans="1:19" ht="15" thickTop="1" x14ac:dyDescent="0.35">
      <c r="A72" s="2286"/>
      <c r="B72" s="2284" t="s">
        <v>726</v>
      </c>
      <c r="C72" s="2285"/>
      <c r="D72" s="2285"/>
      <c r="E72" s="2285"/>
      <c r="F72" s="2285"/>
      <c r="G72" s="2349"/>
      <c r="H72" s="2274"/>
      <c r="I72" s="2087"/>
      <c r="J72" s="2087"/>
      <c r="K72" s="2087"/>
      <c r="L72" s="2087"/>
      <c r="M72" s="2087"/>
      <c r="N72" s="2087"/>
      <c r="O72" s="2087"/>
      <c r="P72" s="2087"/>
      <c r="Q72" s="2087"/>
      <c r="R72" s="2087"/>
      <c r="S72" s="2087"/>
    </row>
    <row r="73" spans="1:19" x14ac:dyDescent="0.35">
      <c r="A73" s="2286"/>
      <c r="B73" s="2284" t="s">
        <v>727</v>
      </c>
      <c r="C73" s="2285"/>
      <c r="D73" s="2285"/>
      <c r="E73" s="2285"/>
      <c r="F73" s="2285"/>
      <c r="G73" s="2349"/>
      <c r="H73" s="2274"/>
      <c r="I73" s="2087"/>
      <c r="J73" s="2087"/>
      <c r="K73" s="2087"/>
      <c r="L73" s="2087"/>
      <c r="M73" s="2087"/>
      <c r="N73" s="2087"/>
      <c r="O73" s="2087"/>
      <c r="P73" s="2087"/>
      <c r="Q73" s="2087"/>
      <c r="R73" s="2087"/>
      <c r="S73" s="2087"/>
    </row>
    <row r="74" spans="1:19" x14ac:dyDescent="0.35">
      <c r="A74" s="2286"/>
      <c r="B74" s="2284" t="s">
        <v>728</v>
      </c>
      <c r="C74" s="2285"/>
      <c r="D74" s="2285"/>
      <c r="E74" s="2285"/>
      <c r="F74" s="2285"/>
      <c r="G74" s="2349"/>
      <c r="H74" s="2274"/>
      <c r="I74" s="2087"/>
      <c r="J74" s="2087"/>
      <c r="K74" s="2087"/>
      <c r="L74" s="2087"/>
      <c r="M74" s="2087"/>
      <c r="N74" s="2087"/>
      <c r="O74" s="2087"/>
      <c r="P74" s="2087"/>
      <c r="Q74" s="2087"/>
      <c r="R74" s="2087"/>
      <c r="S74" s="2087"/>
    </row>
    <row r="75" spans="1:19" x14ac:dyDescent="0.35">
      <c r="A75" s="2286"/>
      <c r="B75" s="2284" t="s">
        <v>729</v>
      </c>
      <c r="C75" s="2285"/>
      <c r="D75" s="2285"/>
      <c r="E75" s="2285"/>
      <c r="F75" s="2285"/>
      <c r="G75" s="2349"/>
      <c r="H75" s="2274"/>
      <c r="I75" s="2087"/>
      <c r="J75" s="2087"/>
      <c r="K75" s="2087"/>
      <c r="L75" s="2087"/>
      <c r="M75" s="2087"/>
      <c r="N75" s="2087"/>
      <c r="O75" s="2087"/>
      <c r="P75" s="2087"/>
      <c r="Q75" s="2087"/>
      <c r="R75" s="2087"/>
      <c r="S75" s="2087"/>
    </row>
    <row r="76" spans="1:19" ht="15" thickBot="1" x14ac:dyDescent="0.4">
      <c r="A76" s="978"/>
      <c r="B76" s="939"/>
      <c r="C76" s="940"/>
      <c r="D76" s="940"/>
      <c r="E76" s="940"/>
      <c r="F76" s="940"/>
      <c r="G76" s="979"/>
      <c r="H76" s="980"/>
      <c r="I76" s="981"/>
      <c r="J76" s="981"/>
      <c r="K76" s="981"/>
      <c r="L76" s="981"/>
      <c r="M76" s="981"/>
      <c r="N76" s="981"/>
      <c r="O76" s="981"/>
      <c r="P76" s="981"/>
      <c r="Q76" s="981"/>
      <c r="R76" s="981"/>
      <c r="S76" s="981"/>
    </row>
    <row r="77" spans="1:19" ht="15.5" thickTop="1" thickBot="1" x14ac:dyDescent="0.4">
      <c r="A77" s="7" t="s">
        <v>730</v>
      </c>
      <c r="B77" s="8"/>
      <c r="C77" s="12"/>
      <c r="D77" s="12"/>
      <c r="E77" s="12"/>
      <c r="F77" s="12"/>
      <c r="G77" s="43"/>
      <c r="H77" s="42"/>
      <c r="I77" s="21"/>
      <c r="J77" s="21"/>
      <c r="K77" s="21"/>
      <c r="L77" s="21"/>
      <c r="M77" s="21"/>
      <c r="N77" s="21"/>
      <c r="O77" s="21"/>
      <c r="P77" s="21"/>
      <c r="Q77" s="21"/>
      <c r="R77" s="21"/>
      <c r="S77" s="21"/>
    </row>
    <row r="78" spans="1:19" ht="15" thickTop="1" x14ac:dyDescent="0.35">
      <c r="A78" s="2529"/>
      <c r="B78" s="2536" t="s">
        <v>731</v>
      </c>
      <c r="C78" s="2530"/>
      <c r="D78" s="2530"/>
      <c r="E78" s="2530"/>
      <c r="F78" s="2530"/>
      <c r="G78" s="2531"/>
      <c r="H78" s="2490"/>
      <c r="I78" s="2514"/>
      <c r="J78" s="2514"/>
      <c r="K78" s="2514"/>
      <c r="L78" s="2514"/>
      <c r="M78" s="2514"/>
      <c r="N78" s="2514"/>
      <c r="O78" s="2514"/>
      <c r="P78" s="2514"/>
      <c r="Q78" s="2514"/>
      <c r="R78" s="2514"/>
      <c r="S78" s="2514"/>
    </row>
    <row r="79" spans="1:19" x14ac:dyDescent="0.35">
      <c r="A79" s="2286"/>
      <c r="B79" s="2284" t="s">
        <v>732</v>
      </c>
      <c r="C79" s="2285"/>
      <c r="D79" s="2285"/>
      <c r="E79" s="2285"/>
      <c r="F79" s="2285"/>
      <c r="G79" s="2349"/>
      <c r="H79" s="2276"/>
      <c r="I79" s="2158"/>
      <c r="J79" s="2158"/>
      <c r="K79" s="2158"/>
      <c r="L79" s="2158"/>
      <c r="M79" s="2158"/>
      <c r="N79" s="2158"/>
      <c r="O79" s="2158"/>
      <c r="P79" s="2158"/>
      <c r="Q79" s="2158"/>
      <c r="R79" s="2158"/>
      <c r="S79" s="2158"/>
    </row>
    <row r="80" spans="1:19" ht="15" thickBot="1" x14ac:dyDescent="0.4">
      <c r="A80" s="2089"/>
      <c r="B80" s="2090" t="s">
        <v>733</v>
      </c>
      <c r="C80" s="2091"/>
      <c r="D80" s="2091"/>
      <c r="E80" s="2091"/>
      <c r="F80" s="2091"/>
      <c r="G80" s="2350"/>
      <c r="H80" s="2277"/>
      <c r="I80" s="2093"/>
      <c r="J80" s="2093"/>
      <c r="K80" s="2093"/>
      <c r="L80" s="2093"/>
      <c r="M80" s="2093"/>
      <c r="N80" s="2093"/>
      <c r="O80" s="2093"/>
      <c r="P80" s="2093"/>
      <c r="Q80" s="2093"/>
      <c r="R80" s="2093"/>
      <c r="S80" s="2093"/>
    </row>
    <row r="81" spans="1:2" ht="15.5" thickTop="1" thickBot="1" x14ac:dyDescent="0.4"/>
    <row r="82" spans="1:2" ht="15.5" thickTop="1" thickBot="1" x14ac:dyDescent="0.4">
      <c r="A82" s="78" t="s">
        <v>734</v>
      </c>
      <c r="B82" s="80"/>
    </row>
    <row r="83" spans="1:2" ht="15" thickTop="1" x14ac:dyDescent="0.35">
      <c r="A83" s="79" t="s">
        <v>632</v>
      </c>
      <c r="B83" s="2094"/>
    </row>
    <row r="84" spans="1:2" x14ac:dyDescent="0.35">
      <c r="A84" s="2279" t="s">
        <v>636</v>
      </c>
      <c r="B84" s="2094"/>
    </row>
    <row r="85" spans="1:2" x14ac:dyDescent="0.35">
      <c r="A85" s="2096" t="s">
        <v>639</v>
      </c>
      <c r="B85" s="2097"/>
    </row>
    <row r="86" spans="1:2" x14ac:dyDescent="0.35">
      <c r="A86" s="2096" t="s">
        <v>642</v>
      </c>
      <c r="B86" s="2159"/>
    </row>
    <row r="87" spans="1:2" ht="15" thickBot="1" x14ac:dyDescent="0.4">
      <c r="A87" s="2099" t="s">
        <v>735</v>
      </c>
      <c r="B87" s="2100"/>
    </row>
    <row r="88" spans="1:2" ht="15" thickTop="1" x14ac:dyDescent="0.35"/>
    <row r="89" spans="1:2" x14ac:dyDescent="0.35">
      <c r="A89" s="81"/>
      <c r="B89" s="1" t="s">
        <v>736</v>
      </c>
    </row>
    <row r="90" spans="1:2" x14ac:dyDescent="0.35">
      <c r="A90" s="82"/>
      <c r="B90" s="1" t="s">
        <v>737</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F607242E-FC33-4222-A664-21244331EF68}"/>
  </hyperlink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F923-C73E-41C9-AC37-24F18B5D5FEC}">
  <sheetPr>
    <tabColor rgb="FF92D050"/>
  </sheetPr>
  <dimension ref="A1:S100"/>
  <sheetViews>
    <sheetView zoomScale="85" zoomScaleNormal="85"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4" width="9.5429687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2739</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2740</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58">
        <f>I61</f>
        <v>0</v>
      </c>
      <c r="I8" s="3958"/>
      <c r="J8" s="3958">
        <f>K61</f>
        <v>0</v>
      </c>
      <c r="K8" s="3958"/>
      <c r="L8" s="3958">
        <f>M61</f>
        <v>0</v>
      </c>
      <c r="M8" s="3958"/>
      <c r="N8" s="3958">
        <f>O61</f>
        <v>0</v>
      </c>
      <c r="O8" s="3958"/>
      <c r="P8" s="3958">
        <f>Q61</f>
        <v>0</v>
      </c>
      <c r="Q8" s="3958"/>
      <c r="R8" s="3943">
        <f>S61</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537"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538"/>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538"/>
      <c r="B21" s="2203" t="s">
        <v>2739</v>
      </c>
      <c r="C21" s="45"/>
      <c r="D21" s="46"/>
      <c r="E21" s="46"/>
      <c r="F21" s="46"/>
      <c r="G21" s="52"/>
      <c r="H21" s="2109"/>
      <c r="I21" s="2519"/>
      <c r="J21" s="2109"/>
      <c r="K21" s="2539"/>
      <c r="L21" s="2109"/>
      <c r="M21" s="2539"/>
      <c r="N21" s="2109"/>
      <c r="O21" s="2539"/>
      <c r="P21" s="2109"/>
      <c r="Q21" s="2539"/>
      <c r="R21" s="2109"/>
      <c r="S21" s="2539"/>
    </row>
    <row r="22" spans="1:19" x14ac:dyDescent="0.35">
      <c r="A22" s="2538"/>
      <c r="B22" s="606" t="s">
        <v>657</v>
      </c>
      <c r="C22" s="2201"/>
      <c r="D22" s="2285"/>
      <c r="E22" s="2285"/>
      <c r="F22" s="2285"/>
      <c r="G22" s="2198"/>
      <c r="H22" s="2109"/>
      <c r="I22" s="2519"/>
      <c r="J22" s="2109"/>
      <c r="K22" s="2539"/>
      <c r="L22" s="2109"/>
      <c r="M22" s="2539"/>
      <c r="N22" s="2109"/>
      <c r="O22" s="2539"/>
      <c r="P22" s="2109"/>
      <c r="Q22" s="2539"/>
      <c r="R22" s="2109"/>
      <c r="S22" s="2539"/>
    </row>
    <row r="23" spans="1:19" x14ac:dyDescent="0.35">
      <c r="A23" s="2538"/>
      <c r="B23" s="2518" t="s">
        <v>658</v>
      </c>
      <c r="C23" s="2201"/>
      <c r="D23" s="2285"/>
      <c r="E23" s="2285"/>
      <c r="F23" s="2285"/>
      <c r="G23" s="2198"/>
      <c r="H23" s="2109"/>
      <c r="I23" s="2519"/>
      <c r="J23" s="2109"/>
      <c r="K23" s="2539"/>
      <c r="L23" s="2109"/>
      <c r="M23" s="2539"/>
      <c r="N23" s="2109"/>
      <c r="O23" s="2539"/>
      <c r="P23" s="2109"/>
      <c r="Q23" s="2539"/>
      <c r="R23" s="2109"/>
      <c r="S23" s="2539"/>
    </row>
    <row r="24" spans="1:19" x14ac:dyDescent="0.35">
      <c r="A24" s="2538"/>
      <c r="B24" s="2518" t="s">
        <v>659</v>
      </c>
      <c r="C24" s="2208"/>
      <c r="D24" s="2285"/>
      <c r="E24" s="2285"/>
      <c r="F24" s="2285"/>
      <c r="G24" s="2198"/>
      <c r="H24" s="2109"/>
      <c r="I24" s="2519"/>
      <c r="J24" s="2109"/>
      <c r="K24" s="2539"/>
      <c r="L24" s="2109"/>
      <c r="M24" s="2539"/>
      <c r="N24" s="2109"/>
      <c r="O24" s="2539"/>
      <c r="P24" s="2109"/>
      <c r="Q24" s="2539"/>
      <c r="R24" s="2109"/>
      <c r="S24" s="2539"/>
    </row>
    <row r="25" spans="1:19" x14ac:dyDescent="0.35">
      <c r="A25" s="2477"/>
      <c r="B25" s="2520" t="s">
        <v>660</v>
      </c>
      <c r="C25" s="2208"/>
      <c r="D25" s="2285"/>
      <c r="E25" s="2285"/>
      <c r="F25" s="2285"/>
      <c r="G25" s="2198"/>
      <c r="H25" s="2109"/>
      <c r="I25" s="2519"/>
      <c r="J25" s="2109"/>
      <c r="K25" s="2539"/>
      <c r="L25" s="2109"/>
      <c r="M25" s="2539"/>
      <c r="N25" s="2109"/>
      <c r="O25" s="2539"/>
      <c r="P25" s="2109"/>
      <c r="Q25" s="2539"/>
      <c r="R25" s="2109"/>
      <c r="S25" s="2539"/>
    </row>
    <row r="26" spans="1:19" s="77" customFormat="1" x14ac:dyDescent="0.35">
      <c r="A26" s="2477"/>
      <c r="B26" s="2520" t="s">
        <v>661</v>
      </c>
      <c r="C26" s="2211"/>
      <c r="D26" s="2212"/>
      <c r="E26" s="2212"/>
      <c r="F26" s="2212"/>
      <c r="G26" s="2211"/>
      <c r="H26" s="2109"/>
      <c r="I26" s="2519"/>
      <c r="J26" s="2109"/>
      <c r="K26" s="2521"/>
      <c r="L26" s="2109"/>
      <c r="M26" s="2521"/>
      <c r="N26" s="2109"/>
      <c r="O26" s="2521"/>
      <c r="P26" s="2109"/>
      <c r="Q26" s="2521"/>
      <c r="R26" s="2109"/>
      <c r="S26" s="2521"/>
    </row>
    <row r="27" spans="1:19" s="77" customFormat="1" x14ac:dyDescent="0.35">
      <c r="A27" s="2538"/>
      <c r="B27" s="2520" t="s">
        <v>662</v>
      </c>
      <c r="C27" s="2211"/>
      <c r="D27" s="2212"/>
      <c r="E27" s="2212"/>
      <c r="F27" s="2212"/>
      <c r="G27" s="2211"/>
      <c r="H27" s="2109"/>
      <c r="I27" s="2519"/>
      <c r="J27" s="2109"/>
      <c r="K27" s="2521"/>
      <c r="L27" s="2109"/>
      <c r="M27" s="2521"/>
      <c r="N27" s="2109"/>
      <c r="O27" s="2521"/>
      <c r="P27" s="2109"/>
      <c r="Q27" s="2521"/>
      <c r="R27" s="2109"/>
      <c r="S27" s="2521"/>
    </row>
    <row r="28" spans="1:19" s="77" customFormat="1" x14ac:dyDescent="0.35">
      <c r="A28" s="2538"/>
      <c r="B28" s="2520" t="s">
        <v>663</v>
      </c>
      <c r="C28" s="2211"/>
      <c r="D28" s="2212"/>
      <c r="E28" s="2212"/>
      <c r="F28" s="2212"/>
      <c r="G28" s="2211"/>
      <c r="H28" s="2109"/>
      <c r="I28" s="2519"/>
      <c r="J28" s="2109"/>
      <c r="K28" s="2521"/>
      <c r="L28" s="2109"/>
      <c r="M28" s="2521"/>
      <c r="N28" s="2109"/>
      <c r="O28" s="2521"/>
      <c r="P28" s="2109"/>
      <c r="Q28" s="2521"/>
      <c r="R28" s="2109"/>
      <c r="S28" s="2521"/>
    </row>
    <row r="29" spans="1:19" s="77" customFormat="1" x14ac:dyDescent="0.35">
      <c r="A29" s="2538"/>
      <c r="B29" s="2520" t="s">
        <v>742</v>
      </c>
      <c r="C29" s="2211"/>
      <c r="D29" s="2212"/>
      <c r="E29" s="2212"/>
      <c r="F29" s="2212"/>
      <c r="G29" s="2211"/>
      <c r="H29" s="2109"/>
      <c r="I29" s="2519"/>
      <c r="J29" s="2109"/>
      <c r="K29" s="2521"/>
      <c r="L29" s="2109"/>
      <c r="M29" s="2521"/>
      <c r="N29" s="2109"/>
      <c r="O29" s="2521"/>
      <c r="P29" s="2109"/>
      <c r="Q29" s="2521"/>
      <c r="R29" s="2109"/>
      <c r="S29" s="2521"/>
    </row>
    <row r="30" spans="1:19" s="77" customFormat="1" x14ac:dyDescent="0.35">
      <c r="A30" s="2538"/>
      <c r="B30" s="2522" t="s">
        <v>664</v>
      </c>
      <c r="C30" s="2211"/>
      <c r="D30" s="2212"/>
      <c r="E30" s="2212"/>
      <c r="F30" s="2212"/>
      <c r="G30" s="2211"/>
      <c r="H30" s="2109"/>
      <c r="I30" s="2519"/>
      <c r="J30" s="2109"/>
      <c r="K30" s="2521"/>
      <c r="L30" s="2109"/>
      <c r="M30" s="2521"/>
      <c r="N30" s="2109"/>
      <c r="O30" s="2521"/>
      <c r="P30" s="2109"/>
      <c r="Q30" s="2521"/>
      <c r="R30" s="2109"/>
      <c r="S30" s="2521"/>
    </row>
    <row r="31" spans="1:19" s="77" customFormat="1" x14ac:dyDescent="0.35">
      <c r="A31" s="2538"/>
      <c r="B31" s="2523" t="s">
        <v>665</v>
      </c>
      <c r="C31" s="2216"/>
      <c r="D31" s="2217"/>
      <c r="E31" s="2217"/>
      <c r="F31" s="2217"/>
      <c r="G31" s="2216"/>
      <c r="H31" s="2288"/>
      <c r="I31" s="2524"/>
      <c r="J31" s="2289"/>
      <c r="K31" s="2525"/>
      <c r="L31" s="2289"/>
      <c r="M31" s="2525"/>
      <c r="N31" s="2525"/>
      <c r="O31" s="2525"/>
      <c r="P31" s="2525"/>
      <c r="Q31" s="2525"/>
      <c r="R31" s="2525"/>
      <c r="S31" s="2525"/>
    </row>
    <row r="32" spans="1:19" s="77" customFormat="1" x14ac:dyDescent="0.35">
      <c r="A32" s="2538"/>
      <c r="B32" s="121" t="s">
        <v>874</v>
      </c>
      <c r="C32" s="2211"/>
      <c r="D32" s="2212"/>
      <c r="E32" s="2212"/>
      <c r="F32" s="2212"/>
      <c r="G32" s="2211"/>
      <c r="H32" s="2109"/>
      <c r="I32" s="2519"/>
      <c r="J32" s="2109"/>
      <c r="K32" s="2521"/>
      <c r="L32" s="2109"/>
      <c r="M32" s="2521"/>
      <c r="N32" s="2109"/>
      <c r="O32" s="2521"/>
      <c r="P32" s="2109"/>
      <c r="Q32" s="2521"/>
      <c r="R32" s="2109"/>
      <c r="S32" s="2521"/>
    </row>
    <row r="33" spans="1:19" s="77" customFormat="1" x14ac:dyDescent="0.35">
      <c r="A33" s="2538"/>
      <c r="B33" s="2340"/>
      <c r="C33" s="2211"/>
      <c r="D33" s="2212"/>
      <c r="E33" s="2212"/>
      <c r="F33" s="2212"/>
      <c r="G33" s="2211"/>
      <c r="H33" s="2109"/>
      <c r="I33" s="2519"/>
      <c r="J33" s="2109"/>
      <c r="K33" s="2521"/>
      <c r="L33" s="2109"/>
      <c r="M33" s="2521"/>
      <c r="N33" s="2109"/>
      <c r="O33" s="2521"/>
      <c r="P33" s="2109"/>
      <c r="Q33" s="2521"/>
      <c r="R33" s="2109"/>
      <c r="S33" s="2521"/>
    </row>
    <row r="34" spans="1:19" s="77" customFormat="1" x14ac:dyDescent="0.35">
      <c r="A34" s="2477"/>
      <c r="B34" s="2234" t="s">
        <v>2741</v>
      </c>
      <c r="C34" s="2236"/>
      <c r="D34" s="2212"/>
      <c r="E34" s="2212"/>
      <c r="F34" s="2212"/>
      <c r="G34" s="2211"/>
      <c r="H34" s="2109"/>
      <c r="I34" s="2519"/>
      <c r="J34" s="2109"/>
      <c r="K34" s="2521"/>
      <c r="L34" s="2109"/>
      <c r="M34" s="2521"/>
      <c r="N34" s="2109"/>
      <c r="O34" s="2521"/>
      <c r="P34" s="2109"/>
      <c r="Q34" s="2521"/>
      <c r="R34" s="2109"/>
      <c r="S34" s="2521"/>
    </row>
    <row r="35" spans="1:19" s="77" customFormat="1" x14ac:dyDescent="0.35">
      <c r="A35" s="2477"/>
      <c r="B35" s="2235" t="s">
        <v>2742</v>
      </c>
      <c r="C35" s="2236"/>
      <c r="D35" s="2212"/>
      <c r="E35" s="2212"/>
      <c r="F35" s="2212"/>
      <c r="G35" s="2211"/>
      <c r="H35" s="2109"/>
      <c r="I35" s="2519"/>
      <c r="J35" s="2109"/>
      <c r="K35" s="2521"/>
      <c r="L35" s="2109"/>
      <c r="M35" s="2521"/>
      <c r="N35" s="2109"/>
      <c r="O35" s="2521"/>
      <c r="P35" s="2109"/>
      <c r="Q35" s="2521"/>
      <c r="R35" s="2109"/>
      <c r="S35" s="2521"/>
    </row>
    <row r="36" spans="1:19" s="77" customFormat="1" x14ac:dyDescent="0.35">
      <c r="A36" s="2477"/>
      <c r="B36" s="2235" t="s">
        <v>2743</v>
      </c>
      <c r="C36" s="2236"/>
      <c r="D36" s="2212"/>
      <c r="E36" s="2212"/>
      <c r="F36" s="2212"/>
      <c r="G36" s="2211"/>
      <c r="H36" s="2109"/>
      <c r="I36" s="2519"/>
      <c r="J36" s="2109"/>
      <c r="K36" s="2521"/>
      <c r="L36" s="2109"/>
      <c r="M36" s="2521"/>
      <c r="N36" s="2109"/>
      <c r="O36" s="2521"/>
      <c r="P36" s="2109"/>
      <c r="Q36" s="2521"/>
      <c r="R36" s="2109"/>
      <c r="S36" s="2521"/>
    </row>
    <row r="37" spans="1:19" s="77" customFormat="1" ht="25" x14ac:dyDescent="0.35">
      <c r="A37" s="2477"/>
      <c r="B37" s="2317" t="s">
        <v>2744</v>
      </c>
      <c r="C37" s="2236"/>
      <c r="D37" s="2212"/>
      <c r="E37" s="2212"/>
      <c r="F37" s="2212"/>
      <c r="G37" s="2211"/>
      <c r="H37" s="2109"/>
      <c r="I37" s="2519"/>
      <c r="J37" s="2109"/>
      <c r="K37" s="2521"/>
      <c r="L37" s="2109"/>
      <c r="M37" s="2521"/>
      <c r="N37" s="2109"/>
      <c r="O37" s="2521"/>
      <c r="P37" s="2109"/>
      <c r="Q37" s="2521"/>
      <c r="R37" s="2109"/>
      <c r="S37" s="2521"/>
    </row>
    <row r="38" spans="1:19" s="77" customFormat="1" x14ac:dyDescent="0.35">
      <c r="A38" s="2477"/>
      <c r="B38" s="2235" t="s">
        <v>2745</v>
      </c>
      <c r="C38" s="2236"/>
      <c r="D38" s="2212"/>
      <c r="E38" s="2212"/>
      <c r="F38" s="2212"/>
      <c r="G38" s="2211"/>
      <c r="H38" s="2109"/>
      <c r="I38" s="2519"/>
      <c r="J38" s="2109"/>
      <c r="K38" s="2521"/>
      <c r="L38" s="2109"/>
      <c r="M38" s="2521"/>
      <c r="N38" s="2109"/>
      <c r="O38" s="2521"/>
      <c r="P38" s="2109"/>
      <c r="Q38" s="2521"/>
      <c r="R38" s="2109"/>
      <c r="S38" s="2521"/>
    </row>
    <row r="39" spans="1:19" s="77" customFormat="1" x14ac:dyDescent="0.35">
      <c r="A39" s="2477"/>
      <c r="B39" s="2235" t="s">
        <v>1831</v>
      </c>
      <c r="C39" s="2236"/>
      <c r="D39" s="2212"/>
      <c r="E39" s="2341"/>
      <c r="F39" s="2342"/>
      <c r="G39" s="2211"/>
      <c r="H39" s="2109"/>
      <c r="I39" s="2519"/>
      <c r="J39" s="2109"/>
      <c r="K39" s="2521"/>
      <c r="L39" s="2109"/>
      <c r="M39" s="2521"/>
      <c r="N39" s="2109"/>
      <c r="O39" s="2521"/>
      <c r="P39" s="2109"/>
      <c r="Q39" s="2521"/>
      <c r="R39" s="2109"/>
      <c r="S39" s="2521"/>
    </row>
    <row r="40" spans="1:19" s="77" customFormat="1" x14ac:dyDescent="0.35">
      <c r="A40" s="2477"/>
      <c r="B40" s="2235" t="s">
        <v>2746</v>
      </c>
      <c r="C40" s="2236"/>
      <c r="D40" s="2212"/>
      <c r="E40" s="2341"/>
      <c r="F40" s="2342"/>
      <c r="G40" s="2211"/>
      <c r="H40" s="2109"/>
      <c r="I40" s="2519"/>
      <c r="J40" s="2109"/>
      <c r="K40" s="2521"/>
      <c r="L40" s="2109"/>
      <c r="M40" s="2521"/>
      <c r="N40" s="2109"/>
      <c r="O40" s="2521"/>
      <c r="P40" s="2109"/>
      <c r="Q40" s="2521"/>
      <c r="R40" s="2109"/>
      <c r="S40" s="2521"/>
    </row>
    <row r="41" spans="1:19" s="77" customFormat="1" x14ac:dyDescent="0.35">
      <c r="A41" s="2477"/>
      <c r="B41" s="2235" t="s">
        <v>1833</v>
      </c>
      <c r="C41" s="2236"/>
      <c r="D41" s="2212"/>
      <c r="E41" s="2341"/>
      <c r="F41" s="2342"/>
      <c r="G41" s="2211"/>
      <c r="H41" s="2109"/>
      <c r="I41" s="2519"/>
      <c r="J41" s="2109"/>
      <c r="K41" s="2521"/>
      <c r="L41" s="2109"/>
      <c r="M41" s="2521"/>
      <c r="N41" s="2109"/>
      <c r="O41" s="2521"/>
      <c r="P41" s="2109"/>
      <c r="Q41" s="2521"/>
      <c r="R41" s="2109"/>
      <c r="S41" s="2521"/>
    </row>
    <row r="42" spans="1:19" s="77" customFormat="1" x14ac:dyDescent="0.35">
      <c r="A42" s="2477"/>
      <c r="B42" s="2540"/>
      <c r="C42" s="2236"/>
      <c r="D42" s="2212"/>
      <c r="E42" s="2341"/>
      <c r="F42" s="2342"/>
      <c r="G42" s="2211"/>
      <c r="H42" s="2109"/>
      <c r="I42" s="2519"/>
      <c r="J42" s="2109"/>
      <c r="K42" s="2521"/>
      <c r="L42" s="2109"/>
      <c r="M42" s="2521"/>
      <c r="N42" s="2109"/>
      <c r="O42" s="2521"/>
      <c r="P42" s="2109"/>
      <c r="Q42" s="2521"/>
      <c r="R42" s="2109"/>
      <c r="S42" s="2521"/>
    </row>
    <row r="43" spans="1:19" s="77" customFormat="1" x14ac:dyDescent="0.35">
      <c r="A43" s="2477"/>
      <c r="B43" s="2541"/>
      <c r="C43" s="2236"/>
      <c r="D43" s="2212"/>
      <c r="E43" s="2341"/>
      <c r="F43" s="2342"/>
      <c r="G43" s="2211"/>
      <c r="H43" s="2109"/>
      <c r="I43" s="2519"/>
      <c r="J43" s="2109"/>
      <c r="K43" s="2521"/>
      <c r="L43" s="2109"/>
      <c r="M43" s="2521"/>
      <c r="N43" s="2109"/>
      <c r="O43" s="2521"/>
      <c r="P43" s="2109"/>
      <c r="Q43" s="2521"/>
      <c r="R43" s="2109"/>
      <c r="S43" s="2521"/>
    </row>
    <row r="44" spans="1:19" s="77" customFormat="1" x14ac:dyDescent="0.35">
      <c r="A44" s="2477"/>
      <c r="B44" s="128"/>
      <c r="C44" s="2236"/>
      <c r="D44" s="2212"/>
      <c r="E44" s="2341"/>
      <c r="F44" s="2342"/>
      <c r="G44" s="2211"/>
      <c r="H44" s="2109" t="s">
        <v>669</v>
      </c>
      <c r="I44" s="2519"/>
      <c r="J44" s="2109"/>
      <c r="K44" s="2521"/>
      <c r="L44" s="2109"/>
      <c r="M44" s="2521"/>
      <c r="N44" s="2109"/>
      <c r="O44" s="2521"/>
      <c r="P44" s="2109"/>
      <c r="Q44" s="2521"/>
      <c r="R44" s="2109"/>
      <c r="S44" s="2521"/>
    </row>
    <row r="45" spans="1:19" s="77" customFormat="1" x14ac:dyDescent="0.35">
      <c r="A45" s="2477"/>
      <c r="B45" s="2340"/>
      <c r="C45" s="2236"/>
      <c r="D45" s="2212"/>
      <c r="E45" s="2341"/>
      <c r="F45" s="2342"/>
      <c r="G45" s="2211"/>
      <c r="H45" s="2109"/>
      <c r="I45" s="2519"/>
      <c r="J45" s="2109"/>
      <c r="K45" s="2521"/>
      <c r="L45" s="2109"/>
      <c r="M45" s="2521"/>
      <c r="N45" s="2109"/>
      <c r="O45" s="2521"/>
      <c r="P45" s="2109"/>
      <c r="Q45" s="2521"/>
      <c r="R45" s="2109"/>
      <c r="S45" s="2521"/>
    </row>
    <row r="46" spans="1:19" s="77" customFormat="1" x14ac:dyDescent="0.35">
      <c r="A46" s="2477"/>
      <c r="B46" s="2340"/>
      <c r="C46" s="2236"/>
      <c r="D46" s="2212"/>
      <c r="E46" s="2341"/>
      <c r="F46" s="2342"/>
      <c r="G46" s="2211"/>
      <c r="H46" s="2109"/>
      <c r="I46" s="2519"/>
      <c r="J46" s="2109"/>
      <c r="K46" s="2521"/>
      <c r="L46" s="2109"/>
      <c r="M46" s="2521"/>
      <c r="N46" s="2109"/>
      <c r="O46" s="2521"/>
      <c r="P46" s="2109"/>
      <c r="Q46" s="2521"/>
      <c r="R46" s="2109"/>
      <c r="S46" s="2521"/>
    </row>
    <row r="47" spans="1:19" s="77" customFormat="1" x14ac:dyDescent="0.35">
      <c r="A47" s="2477"/>
      <c r="B47" s="2340"/>
      <c r="C47" s="2236"/>
      <c r="D47" s="2212"/>
      <c r="E47" s="2341"/>
      <c r="F47" s="2342"/>
      <c r="G47" s="2211"/>
      <c r="H47" s="2109"/>
      <c r="I47" s="2519"/>
      <c r="J47" s="2109"/>
      <c r="K47" s="2521"/>
      <c r="L47" s="2109"/>
      <c r="M47" s="2521"/>
      <c r="N47" s="2109"/>
      <c r="O47" s="2521"/>
      <c r="P47" s="2109"/>
      <c r="Q47" s="2521"/>
      <c r="R47" s="2109"/>
      <c r="S47" s="2521"/>
    </row>
    <row r="48" spans="1:19" s="77" customFormat="1" x14ac:dyDescent="0.35">
      <c r="A48" s="2477"/>
      <c r="B48" s="2340"/>
      <c r="C48" s="2236"/>
      <c r="D48" s="2212"/>
      <c r="E48" s="2341"/>
      <c r="F48" s="2342"/>
      <c r="G48" s="2211"/>
      <c r="H48" s="2109"/>
      <c r="I48" s="2519"/>
      <c r="J48" s="2109"/>
      <c r="K48" s="2521"/>
      <c r="L48" s="2109"/>
      <c r="M48" s="2521"/>
      <c r="N48" s="2109"/>
      <c r="O48" s="2521"/>
      <c r="P48" s="2109"/>
      <c r="Q48" s="2521"/>
      <c r="R48" s="2109"/>
      <c r="S48" s="2521"/>
    </row>
    <row r="49" spans="1:19" s="77" customFormat="1" x14ac:dyDescent="0.35">
      <c r="A49" s="2477"/>
      <c r="B49" s="2340"/>
      <c r="C49" s="2236"/>
      <c r="D49" s="2212"/>
      <c r="E49" s="2341"/>
      <c r="F49" s="2342"/>
      <c r="G49" s="2211"/>
      <c r="H49" s="2109"/>
      <c r="I49" s="2519"/>
      <c r="J49" s="2109"/>
      <c r="K49" s="2521"/>
      <c r="L49" s="2109"/>
      <c r="M49" s="2521"/>
      <c r="N49" s="2109"/>
      <c r="O49" s="2521"/>
      <c r="P49" s="2109"/>
      <c r="Q49" s="2521"/>
      <c r="R49" s="2109"/>
      <c r="S49" s="2521"/>
    </row>
    <row r="50" spans="1:19" s="77" customFormat="1" x14ac:dyDescent="0.35">
      <c r="A50" s="2477"/>
      <c r="B50" s="2340"/>
      <c r="C50" s="2236"/>
      <c r="D50" s="2212"/>
      <c r="E50" s="2341"/>
      <c r="F50" s="2342"/>
      <c r="G50" s="2211"/>
      <c r="H50" s="2109"/>
      <c r="I50" s="2519"/>
      <c r="J50" s="2109"/>
      <c r="K50" s="2521"/>
      <c r="L50" s="2109"/>
      <c r="M50" s="2521"/>
      <c r="N50" s="2109"/>
      <c r="O50" s="2521"/>
      <c r="P50" s="2109"/>
      <c r="Q50" s="2521"/>
      <c r="R50" s="2109"/>
      <c r="S50" s="2521"/>
    </row>
    <row r="51" spans="1:19" s="77" customFormat="1" x14ac:dyDescent="0.35">
      <c r="A51" s="2477"/>
      <c r="B51" s="2340"/>
      <c r="C51" s="2236"/>
      <c r="D51" s="2212"/>
      <c r="E51" s="2341"/>
      <c r="F51" s="2342"/>
      <c r="G51" s="2211"/>
      <c r="H51" s="2109"/>
      <c r="I51" s="2519"/>
      <c r="J51" s="2109"/>
      <c r="K51" s="2521"/>
      <c r="L51" s="2109"/>
      <c r="M51" s="2521"/>
      <c r="N51" s="2109"/>
      <c r="O51" s="2521"/>
      <c r="P51" s="2109"/>
      <c r="Q51" s="2521"/>
      <c r="R51" s="2109"/>
      <c r="S51" s="2521"/>
    </row>
    <row r="52" spans="1:19" s="77" customFormat="1" x14ac:dyDescent="0.35">
      <c r="A52" s="2477"/>
      <c r="B52" s="2340"/>
      <c r="C52" s="2236"/>
      <c r="D52" s="2212"/>
      <c r="E52" s="2341"/>
      <c r="F52" s="2342"/>
      <c r="G52" s="2211"/>
      <c r="H52" s="2109"/>
      <c r="I52" s="2519"/>
      <c r="J52" s="2109"/>
      <c r="K52" s="2521"/>
      <c r="L52" s="2109"/>
      <c r="M52" s="2521"/>
      <c r="N52" s="2109"/>
      <c r="O52" s="2521"/>
      <c r="P52" s="2109"/>
      <c r="Q52" s="2521"/>
      <c r="R52" s="2109"/>
      <c r="S52" s="2521"/>
    </row>
    <row r="53" spans="1:19" s="77" customFormat="1" x14ac:dyDescent="0.35">
      <c r="A53" s="2477"/>
      <c r="B53" s="2340"/>
      <c r="C53" s="2236"/>
      <c r="D53" s="2212"/>
      <c r="E53" s="2341"/>
      <c r="F53" s="2342"/>
      <c r="G53" s="2211"/>
      <c r="H53" s="2109"/>
      <c r="I53" s="2519"/>
      <c r="J53" s="2109"/>
      <c r="K53" s="2521"/>
      <c r="L53" s="2109"/>
      <c r="M53" s="2521"/>
      <c r="N53" s="2109"/>
      <c r="O53" s="2521"/>
      <c r="P53" s="2109"/>
      <c r="Q53" s="2521"/>
      <c r="R53" s="2109"/>
      <c r="S53" s="2521"/>
    </row>
    <row r="54" spans="1:19" s="77" customFormat="1" x14ac:dyDescent="0.35">
      <c r="A54" s="2477"/>
      <c r="B54" s="2340"/>
      <c r="C54" s="2236"/>
      <c r="D54" s="2212"/>
      <c r="E54" s="2341"/>
      <c r="F54" s="2342"/>
      <c r="G54" s="2211"/>
      <c r="H54" s="2109"/>
      <c r="I54" s="2519"/>
      <c r="J54" s="2109"/>
      <c r="K54" s="2521"/>
      <c r="L54" s="2109"/>
      <c r="M54" s="2521"/>
      <c r="N54" s="2109"/>
      <c r="O54" s="2521"/>
      <c r="P54" s="2109"/>
      <c r="Q54" s="2521"/>
      <c r="R54" s="2109"/>
      <c r="S54" s="2521"/>
    </row>
    <row r="55" spans="1:19" s="77" customFormat="1" x14ac:dyDescent="0.35">
      <c r="A55" s="2477"/>
      <c r="B55" s="2340"/>
      <c r="C55" s="2236"/>
      <c r="D55" s="2212"/>
      <c r="E55" s="2341"/>
      <c r="F55" s="2342"/>
      <c r="G55" s="2211"/>
      <c r="H55" s="2109"/>
      <c r="I55" s="2519"/>
      <c r="J55" s="2109"/>
      <c r="K55" s="2521"/>
      <c r="L55" s="2109"/>
      <c r="M55" s="2521"/>
      <c r="N55" s="2109"/>
      <c r="O55" s="2521"/>
      <c r="P55" s="2109"/>
      <c r="Q55" s="2521"/>
      <c r="R55" s="2109"/>
      <c r="S55" s="2521"/>
    </row>
    <row r="56" spans="1:19" x14ac:dyDescent="0.35">
      <c r="A56" s="2542"/>
      <c r="B56" s="2543"/>
      <c r="C56" s="2201"/>
      <c r="D56" s="2285"/>
      <c r="E56" s="2285"/>
      <c r="F56" s="2285"/>
      <c r="G56" s="2198"/>
      <c r="H56" s="2109"/>
      <c r="I56" s="2539"/>
      <c r="J56" s="2109"/>
      <c r="K56" s="2539"/>
      <c r="L56" s="2109"/>
      <c r="M56" s="2539"/>
      <c r="N56" s="2109"/>
      <c r="O56" s="2539"/>
      <c r="P56" s="2109"/>
      <c r="Q56" s="2539"/>
      <c r="R56" s="2109"/>
      <c r="S56" s="2539"/>
    </row>
    <row r="57" spans="1:19" x14ac:dyDescent="0.35">
      <c r="A57" s="14"/>
      <c r="B57" s="15"/>
      <c r="C57" s="16"/>
      <c r="D57" s="16"/>
      <c r="E57" s="17"/>
      <c r="F57" s="18" t="s">
        <v>715</v>
      </c>
      <c r="G57" s="19"/>
      <c r="H57" s="20"/>
      <c r="I57" s="50">
        <f>SUM(I23:I56)</f>
        <v>0</v>
      </c>
      <c r="J57" s="20"/>
      <c r="K57" s="50">
        <f>SUM(K23:K56)</f>
        <v>0</v>
      </c>
      <c r="L57" s="20"/>
      <c r="M57" s="50">
        <f>SUM(M23:M56)</f>
        <v>0</v>
      </c>
      <c r="N57" s="20"/>
      <c r="O57" s="50">
        <f>SUM(O23:O56)</f>
        <v>0</v>
      </c>
      <c r="P57" s="20"/>
      <c r="Q57" s="50">
        <f>SUM(Q23:Q56)</f>
        <v>0</v>
      </c>
      <c r="R57" s="20"/>
      <c r="S57" s="50">
        <f>SUM(S23:S56)</f>
        <v>0</v>
      </c>
    </row>
    <row r="58" spans="1:19" x14ac:dyDescent="0.35">
      <c r="A58" s="2239"/>
      <c r="B58" s="2240"/>
      <c r="C58" s="2241"/>
      <c r="D58" s="2241"/>
      <c r="E58" s="2242"/>
      <c r="F58" s="2243" t="s">
        <v>716</v>
      </c>
      <c r="G58" s="2244"/>
      <c r="H58" s="2065">
        <v>0</v>
      </c>
      <c r="I58" s="2064"/>
      <c r="J58" s="2065">
        <v>0</v>
      </c>
      <c r="K58" s="2064"/>
      <c r="L58" s="2065">
        <v>0</v>
      </c>
      <c r="M58" s="2064"/>
      <c r="N58" s="2065">
        <v>0</v>
      </c>
      <c r="O58" s="2064"/>
      <c r="P58" s="2065">
        <v>0</v>
      </c>
      <c r="Q58" s="2064"/>
      <c r="R58" s="2065">
        <v>0</v>
      </c>
      <c r="S58" s="2064"/>
    </row>
    <row r="59" spans="1:19" x14ac:dyDescent="0.35">
      <c r="A59" s="2239"/>
      <c r="B59" s="2240"/>
      <c r="C59" s="2241"/>
      <c r="D59" s="2241"/>
      <c r="E59" s="2242"/>
      <c r="F59" s="2243" t="s">
        <v>717</v>
      </c>
      <c r="G59" s="2244"/>
      <c r="H59" s="2066"/>
      <c r="I59" s="2067">
        <f>H58*I57</f>
        <v>0</v>
      </c>
      <c r="J59" s="2066"/>
      <c r="K59" s="2067">
        <f>J58*K57</f>
        <v>0</v>
      </c>
      <c r="L59" s="2066"/>
      <c r="M59" s="2067">
        <f>L58*M57</f>
        <v>0</v>
      </c>
      <c r="N59" s="2066"/>
      <c r="O59" s="2067">
        <f>N58*O57</f>
        <v>0</v>
      </c>
      <c r="P59" s="2066"/>
      <c r="Q59" s="2067">
        <f>P58*Q57</f>
        <v>0</v>
      </c>
      <c r="R59" s="2066"/>
      <c r="S59" s="2067">
        <f>R58*S57</f>
        <v>0</v>
      </c>
    </row>
    <row r="60" spans="1:19" x14ac:dyDescent="0.35">
      <c r="A60" s="2239"/>
      <c r="B60" s="2240"/>
      <c r="C60" s="2241"/>
      <c r="D60" s="2241"/>
      <c r="E60" s="2242"/>
      <c r="F60" s="2243"/>
      <c r="G60" s="2244"/>
      <c r="H60" s="2066"/>
      <c r="I60" s="2068"/>
      <c r="J60" s="2066"/>
      <c r="K60" s="2068"/>
      <c r="L60" s="2066"/>
      <c r="M60" s="2068"/>
      <c r="N60" s="2066"/>
      <c r="O60" s="2068"/>
      <c r="P60" s="2066"/>
      <c r="Q60" s="2068"/>
      <c r="R60" s="2066"/>
      <c r="S60" s="2068"/>
    </row>
    <row r="61" spans="1:19" x14ac:dyDescent="0.35">
      <c r="A61" s="2239"/>
      <c r="B61" s="2240"/>
      <c r="C61" s="2241"/>
      <c r="D61" s="2241"/>
      <c r="E61" s="2242"/>
      <c r="F61" s="2243" t="s">
        <v>718</v>
      </c>
      <c r="G61" s="2244"/>
      <c r="H61" s="2069"/>
      <c r="I61" s="2070">
        <f>SUM(I57:I59)</f>
        <v>0</v>
      </c>
      <c r="J61" s="2069"/>
      <c r="K61" s="2070">
        <f>SUM(K57:K59)</f>
        <v>0</v>
      </c>
      <c r="L61" s="2069"/>
      <c r="M61" s="2070">
        <f>SUM(M57:M59)</f>
        <v>0</v>
      </c>
      <c r="N61" s="2069"/>
      <c r="O61" s="2070">
        <f>SUM(O57:O59)</f>
        <v>0</v>
      </c>
      <c r="P61" s="2069"/>
      <c r="Q61" s="2070">
        <f>SUM(Q57:Q59)</f>
        <v>0</v>
      </c>
      <c r="R61" s="2069"/>
      <c r="S61" s="2070">
        <f>SUM(S57:S59)</f>
        <v>0</v>
      </c>
    </row>
    <row r="62" spans="1:19" x14ac:dyDescent="0.35">
      <c r="A62" s="2239"/>
      <c r="B62" s="2240"/>
      <c r="C62" s="2241"/>
      <c r="D62" s="2241"/>
      <c r="E62" s="2242"/>
      <c r="F62" s="2255" t="s">
        <v>719</v>
      </c>
      <c r="G62" s="2256"/>
      <c r="H62" s="2073"/>
      <c r="I62" s="2074" t="e">
        <f>I61/#REF!</f>
        <v>#REF!</v>
      </c>
      <c r="J62" s="2073"/>
      <c r="K62" s="2074" t="e">
        <f>K61/#REF!</f>
        <v>#REF!</v>
      </c>
      <c r="L62" s="2073"/>
      <c r="M62" s="2074" t="e">
        <f>M61/#REF!</f>
        <v>#REF!</v>
      </c>
      <c r="N62" s="2073"/>
      <c r="O62" s="2074" t="e">
        <f>O61/#REF!</f>
        <v>#REF!</v>
      </c>
      <c r="P62" s="2073"/>
      <c r="Q62" s="2074" t="e">
        <f>Q61/#REF!</f>
        <v>#REF!</v>
      </c>
      <c r="R62" s="2073"/>
      <c r="S62" s="2074" t="e">
        <f>S61/#REF!</f>
        <v>#REF!</v>
      </c>
    </row>
    <row r="63" spans="1:19" x14ac:dyDescent="0.35">
      <c r="A63" s="2239"/>
      <c r="B63" s="2240"/>
      <c r="C63" s="2241"/>
      <c r="D63" s="2241"/>
      <c r="E63" s="2242"/>
      <c r="F63" s="2255" t="s">
        <v>720</v>
      </c>
      <c r="G63" s="2260"/>
      <c r="H63" s="2073"/>
      <c r="I63" s="2074" t="e">
        <f>I61/#REF!</f>
        <v>#REF!</v>
      </c>
      <c r="J63" s="2073"/>
      <c r="K63" s="2074" t="e">
        <f>K61/#REF!</f>
        <v>#REF!</v>
      </c>
      <c r="L63" s="2073"/>
      <c r="M63" s="2074" t="e">
        <f>M61/#REF!</f>
        <v>#REF!</v>
      </c>
      <c r="N63" s="2073"/>
      <c r="O63" s="2074" t="e">
        <f>O61/#REF!</f>
        <v>#REF!</v>
      </c>
      <c r="P63" s="2073"/>
      <c r="Q63" s="2074" t="e">
        <f>Q61/#REF!</f>
        <v>#REF!</v>
      </c>
      <c r="R63" s="2073"/>
      <c r="S63" s="2074" t="e">
        <f>S61/#REF!</f>
        <v>#REF!</v>
      </c>
    </row>
    <row r="64" spans="1:19" x14ac:dyDescent="0.35">
      <c r="A64" s="2239"/>
      <c r="B64" s="2240"/>
      <c r="C64" s="2241"/>
      <c r="D64" s="2241"/>
      <c r="E64" s="2242"/>
      <c r="F64" s="2243"/>
      <c r="G64" s="2261"/>
      <c r="H64" s="2077"/>
      <c r="I64" s="2078"/>
      <c r="J64" s="2077"/>
      <c r="K64" s="2078"/>
      <c r="L64" s="2077"/>
      <c r="M64" s="2078"/>
      <c r="N64" s="2077"/>
      <c r="O64" s="2078"/>
      <c r="P64" s="2077"/>
      <c r="Q64" s="2078"/>
      <c r="R64" s="2077"/>
      <c r="S64" s="2078"/>
    </row>
    <row r="65" spans="1:19" x14ac:dyDescent="0.35">
      <c r="A65" s="3764" t="s">
        <v>721</v>
      </c>
      <c r="B65" s="3765"/>
      <c r="C65" s="12"/>
      <c r="D65" s="12"/>
      <c r="E65" s="12"/>
      <c r="F65" s="12"/>
      <c r="G65" s="13"/>
      <c r="H65" s="21"/>
      <c r="I65" s="21"/>
      <c r="J65" s="21"/>
      <c r="K65" s="21"/>
      <c r="L65" s="21"/>
      <c r="M65" s="21"/>
      <c r="N65" s="21"/>
      <c r="O65" s="21"/>
      <c r="P65" s="21"/>
      <c r="Q65" s="21"/>
      <c r="R65" s="21"/>
      <c r="S65" s="21"/>
    </row>
    <row r="66" spans="1:19" x14ac:dyDescent="0.35">
      <c r="A66" s="2544"/>
      <c r="B66" s="2284"/>
      <c r="C66" s="2481"/>
      <c r="D66" s="2481"/>
      <c r="E66" s="2481"/>
      <c r="F66" s="2481"/>
      <c r="G66" s="2482"/>
      <c r="H66" s="2510"/>
      <c r="I66" s="2510"/>
      <c r="J66" s="2510"/>
      <c r="K66" s="2510"/>
      <c r="L66" s="2510"/>
      <c r="M66" s="2510"/>
      <c r="N66" s="2510"/>
      <c r="O66" s="2510"/>
      <c r="P66" s="2510"/>
      <c r="Q66" s="2510"/>
      <c r="R66" s="2510"/>
      <c r="S66" s="2510"/>
    </row>
    <row r="67" spans="1:19" s="2" customFormat="1" x14ac:dyDescent="0.35">
      <c r="A67" s="2544"/>
      <c r="B67" s="2284"/>
      <c r="C67" s="2481"/>
      <c r="D67" s="2481"/>
      <c r="E67" s="2481"/>
      <c r="F67" s="2481"/>
      <c r="G67" s="2482"/>
      <c r="H67" s="2510"/>
      <c r="I67" s="2510"/>
      <c r="J67" s="2510"/>
      <c r="K67" s="2510"/>
      <c r="L67" s="2510"/>
      <c r="M67" s="2510"/>
      <c r="N67" s="2510"/>
      <c r="O67" s="2510"/>
      <c r="P67" s="2510"/>
      <c r="Q67" s="2510"/>
      <c r="R67" s="2510"/>
      <c r="S67" s="2510"/>
    </row>
    <row r="68" spans="1:19" s="2" customFormat="1" x14ac:dyDescent="0.35">
      <c r="A68" s="2544"/>
      <c r="B68" s="2284"/>
      <c r="C68" s="2481"/>
      <c r="D68" s="2481"/>
      <c r="E68" s="2481"/>
      <c r="F68" s="2481"/>
      <c r="G68" s="2482"/>
      <c r="H68" s="2510"/>
      <c r="I68" s="2510"/>
      <c r="J68" s="2510"/>
      <c r="K68" s="2510"/>
      <c r="L68" s="2510"/>
      <c r="M68" s="2510"/>
      <c r="N68" s="2510"/>
      <c r="O68" s="2510"/>
      <c r="P68" s="2510"/>
      <c r="Q68" s="2510"/>
      <c r="R68" s="2510"/>
      <c r="S68" s="2510"/>
    </row>
    <row r="69" spans="1:19" x14ac:dyDescent="0.35">
      <c r="A69" s="3764" t="s">
        <v>722</v>
      </c>
      <c r="B69" s="3765"/>
      <c r="C69" s="12"/>
      <c r="D69" s="12"/>
      <c r="E69" s="12"/>
      <c r="F69" s="12"/>
      <c r="G69" s="13"/>
      <c r="H69" s="21"/>
      <c r="I69" s="21"/>
      <c r="J69" s="21"/>
      <c r="K69" s="21"/>
      <c r="L69" s="21"/>
      <c r="M69" s="21"/>
      <c r="N69" s="21"/>
      <c r="O69" s="21"/>
      <c r="P69" s="21"/>
      <c r="Q69" s="21"/>
      <c r="R69" s="21"/>
      <c r="S69" s="21"/>
    </row>
    <row r="70" spans="1:19" s="2" customFormat="1" x14ac:dyDescent="0.35">
      <c r="A70" s="2544"/>
      <c r="B70" s="2284"/>
      <c r="C70" s="2481"/>
      <c r="D70" s="2481"/>
      <c r="E70" s="2481"/>
      <c r="F70" s="2481"/>
      <c r="G70" s="2482"/>
      <c r="H70" s="2510"/>
      <c r="I70" s="2510"/>
      <c r="J70" s="2510"/>
      <c r="K70" s="2510"/>
      <c r="L70" s="2510"/>
      <c r="M70" s="2510"/>
      <c r="N70" s="2510"/>
      <c r="O70" s="2510"/>
      <c r="P70" s="2510"/>
      <c r="Q70" s="2510"/>
      <c r="R70" s="2510"/>
      <c r="S70" s="2510"/>
    </row>
    <row r="71" spans="1:19" s="2" customFormat="1" x14ac:dyDescent="0.35">
      <c r="A71" s="2544"/>
      <c r="B71" s="2284"/>
      <c r="C71" s="2481"/>
      <c r="D71" s="2481"/>
      <c r="E71" s="2481"/>
      <c r="F71" s="2481"/>
      <c r="G71" s="2482"/>
      <c r="H71" s="2510"/>
      <c r="I71" s="2510"/>
      <c r="J71" s="2510"/>
      <c r="K71" s="2510"/>
      <c r="L71" s="2510"/>
      <c r="M71" s="2510"/>
      <c r="N71" s="2510"/>
      <c r="O71" s="2510"/>
      <c r="P71" s="2510"/>
      <c r="Q71" s="2510"/>
      <c r="R71" s="2510"/>
      <c r="S71" s="2510"/>
    </row>
    <row r="72" spans="1:19" x14ac:dyDescent="0.35">
      <c r="A72" s="2544"/>
      <c r="B72" s="2284"/>
      <c r="C72" s="2481"/>
      <c r="D72" s="2481"/>
      <c r="E72" s="2481"/>
      <c r="F72" s="2481"/>
      <c r="G72" s="2482"/>
      <c r="H72" s="2510"/>
      <c r="I72" s="2510"/>
      <c r="J72" s="2510"/>
      <c r="K72" s="2510"/>
      <c r="L72" s="2510"/>
      <c r="M72" s="2510"/>
      <c r="N72" s="2510"/>
      <c r="O72" s="2510"/>
      <c r="P72" s="2510"/>
      <c r="Q72" s="2510"/>
      <c r="R72" s="2510"/>
      <c r="S72" s="2510"/>
    </row>
    <row r="73" spans="1:19" x14ac:dyDescent="0.35">
      <c r="A73" s="3764" t="s">
        <v>723</v>
      </c>
      <c r="B73" s="3765"/>
      <c r="C73" s="12"/>
      <c r="D73" s="12"/>
      <c r="E73" s="12"/>
      <c r="F73" s="12"/>
      <c r="G73" s="13"/>
      <c r="H73" s="21"/>
      <c r="I73" s="21"/>
      <c r="J73" s="21"/>
      <c r="K73" s="21"/>
      <c r="L73" s="21"/>
      <c r="M73" s="21"/>
      <c r="N73" s="21"/>
      <c r="O73" s="21"/>
      <c r="P73" s="21"/>
      <c r="Q73" s="21"/>
      <c r="R73" s="21"/>
      <c r="S73" s="21"/>
    </row>
    <row r="74" spans="1:19" x14ac:dyDescent="0.35">
      <c r="A74" s="2544"/>
      <c r="B74" s="2284"/>
      <c r="C74" s="2481"/>
      <c r="D74" s="2481"/>
      <c r="E74" s="2481"/>
      <c r="F74" s="2481"/>
      <c r="G74" s="2482"/>
      <c r="H74" s="2510"/>
      <c r="I74" s="2510"/>
      <c r="J74" s="2510"/>
      <c r="K74" s="2510"/>
      <c r="L74" s="2510"/>
      <c r="M74" s="2510"/>
      <c r="N74" s="2510"/>
      <c r="O74" s="2510"/>
      <c r="P74" s="2510"/>
      <c r="Q74" s="2510"/>
      <c r="R74" s="2510"/>
      <c r="S74" s="2510"/>
    </row>
    <row r="75" spans="1:19" x14ac:dyDescent="0.35">
      <c r="A75" s="2286"/>
      <c r="B75" s="2284"/>
      <c r="C75" s="2285"/>
      <c r="D75" s="2285"/>
      <c r="E75" s="2285"/>
      <c r="F75" s="2285"/>
      <c r="G75" s="2198"/>
      <c r="H75" s="2081"/>
      <c r="I75" s="2081"/>
      <c r="J75" s="2081"/>
      <c r="K75" s="2081"/>
      <c r="L75" s="2081"/>
      <c r="M75" s="2081"/>
      <c r="N75" s="2081"/>
      <c r="O75" s="2081"/>
      <c r="P75" s="2081"/>
      <c r="Q75" s="2081"/>
      <c r="R75" s="2081"/>
      <c r="S75" s="2081"/>
    </row>
    <row r="76" spans="1:19" x14ac:dyDescent="0.35">
      <c r="A76" s="2269"/>
      <c r="B76" s="2270"/>
      <c r="C76" s="2285"/>
      <c r="D76" s="2285"/>
      <c r="E76" s="2285"/>
      <c r="F76" s="2285"/>
      <c r="G76" s="2198"/>
      <c r="H76" s="2084"/>
      <c r="I76" s="2084"/>
      <c r="J76" s="2084"/>
      <c r="K76" s="2084"/>
      <c r="L76" s="2084"/>
      <c r="M76" s="2084"/>
      <c r="N76" s="2084"/>
      <c r="O76" s="2084"/>
      <c r="P76" s="2084"/>
      <c r="Q76" s="2084"/>
      <c r="R76" s="2084"/>
      <c r="S76" s="2084"/>
    </row>
    <row r="77" spans="1:19" x14ac:dyDescent="0.35">
      <c r="A77" s="3764" t="s">
        <v>724</v>
      </c>
      <c r="B77" s="3765"/>
      <c r="C77" s="12"/>
      <c r="D77" s="12"/>
      <c r="E77" s="12"/>
      <c r="F77" s="12"/>
      <c r="G77" s="13"/>
      <c r="H77" s="21"/>
      <c r="I77" s="21"/>
      <c r="J77" s="21"/>
      <c r="K77" s="21"/>
      <c r="L77" s="21"/>
      <c r="M77" s="21"/>
      <c r="N77" s="21"/>
      <c r="O77" s="21"/>
      <c r="P77" s="21"/>
      <c r="Q77" s="21"/>
      <c r="R77" s="21"/>
      <c r="S77" s="21"/>
    </row>
    <row r="78" spans="1:19" x14ac:dyDescent="0.35">
      <c r="A78" s="2545"/>
      <c r="B78" s="2485"/>
      <c r="C78" s="2481"/>
      <c r="D78" s="2481"/>
      <c r="E78" s="2481"/>
      <c r="F78" s="2481"/>
      <c r="G78" s="2482"/>
      <c r="H78" s="2510"/>
      <c r="I78" s="2510"/>
      <c r="J78" s="2510"/>
      <c r="K78" s="2510"/>
      <c r="L78" s="2510"/>
      <c r="M78" s="2510"/>
      <c r="N78" s="2510"/>
      <c r="O78" s="2510"/>
      <c r="P78" s="2510"/>
      <c r="Q78" s="2510"/>
      <c r="R78" s="2510"/>
      <c r="S78" s="2510"/>
    </row>
    <row r="79" spans="1:19" x14ac:dyDescent="0.35">
      <c r="A79" s="2269"/>
      <c r="B79" s="2270"/>
      <c r="C79" s="2285"/>
      <c r="D79" s="2285"/>
      <c r="E79" s="2285"/>
      <c r="F79" s="2285"/>
      <c r="G79" s="2198"/>
      <c r="H79" s="2087"/>
      <c r="I79" s="2087"/>
      <c r="J79" s="2087"/>
      <c r="K79" s="2087"/>
      <c r="L79" s="2087"/>
      <c r="M79" s="2087"/>
      <c r="N79" s="2087"/>
      <c r="O79" s="2087"/>
      <c r="P79" s="2087"/>
      <c r="Q79" s="2087"/>
      <c r="R79" s="2087"/>
      <c r="S79" s="2087"/>
    </row>
    <row r="80" spans="1:19" x14ac:dyDescent="0.35">
      <c r="A80" s="2269"/>
      <c r="B80" s="2270"/>
      <c r="C80" s="2285"/>
      <c r="D80" s="2285"/>
      <c r="E80" s="2285"/>
      <c r="F80" s="2285"/>
      <c r="G80" s="2198"/>
      <c r="H80" s="2087"/>
      <c r="I80" s="2087"/>
      <c r="J80" s="2087"/>
      <c r="K80" s="2087"/>
      <c r="L80" s="2087"/>
      <c r="M80" s="2087"/>
      <c r="N80" s="2087"/>
      <c r="O80" s="2087"/>
      <c r="P80" s="2087"/>
      <c r="Q80" s="2087"/>
      <c r="R80" s="2087"/>
      <c r="S80" s="2087"/>
    </row>
    <row r="81" spans="1:19" x14ac:dyDescent="0.35">
      <c r="A81" s="3764" t="s">
        <v>725</v>
      </c>
      <c r="B81" s="3765"/>
      <c r="C81" s="12"/>
      <c r="D81" s="12"/>
      <c r="E81" s="12"/>
      <c r="F81" s="12"/>
      <c r="G81" s="13"/>
      <c r="H81" s="21"/>
      <c r="I81" s="21"/>
      <c r="J81" s="21"/>
      <c r="K81" s="21"/>
      <c r="L81" s="21"/>
      <c r="M81" s="21"/>
      <c r="N81" s="21"/>
      <c r="O81" s="21"/>
      <c r="P81" s="21"/>
      <c r="Q81" s="21"/>
      <c r="R81" s="21"/>
      <c r="S81" s="21"/>
    </row>
    <row r="82" spans="1:19" x14ac:dyDescent="0.35">
      <c r="A82" s="2286"/>
      <c r="B82" s="2284" t="s">
        <v>726</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727</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728</v>
      </c>
      <c r="C84" s="2285"/>
      <c r="D84" s="2285"/>
      <c r="E84" s="2285"/>
      <c r="F84" s="2285"/>
      <c r="G84" s="2198"/>
      <c r="H84" s="2087"/>
      <c r="I84" s="2087"/>
      <c r="J84" s="2087"/>
      <c r="K84" s="2087"/>
      <c r="L84" s="2087"/>
      <c r="M84" s="2087"/>
      <c r="N84" s="2087"/>
      <c r="O84" s="2087"/>
      <c r="P84" s="2087"/>
      <c r="Q84" s="2087"/>
      <c r="R84" s="2087"/>
      <c r="S84" s="2087"/>
    </row>
    <row r="85" spans="1:19" x14ac:dyDescent="0.35">
      <c r="A85" s="2286"/>
      <c r="B85" s="2284" t="s">
        <v>729</v>
      </c>
      <c r="C85" s="2285"/>
      <c r="D85" s="2285"/>
      <c r="E85" s="2285"/>
      <c r="F85" s="2285"/>
      <c r="G85" s="2198"/>
      <c r="H85" s="2087"/>
      <c r="I85" s="2087"/>
      <c r="J85" s="2087"/>
      <c r="K85" s="2087"/>
      <c r="L85" s="2087"/>
      <c r="M85" s="2087"/>
      <c r="N85" s="2087"/>
      <c r="O85" s="2087"/>
      <c r="P85" s="2087"/>
      <c r="Q85" s="2087"/>
      <c r="R85" s="2087"/>
      <c r="S85" s="2087"/>
    </row>
    <row r="86" spans="1:19" x14ac:dyDescent="0.35">
      <c r="A86" s="978"/>
      <c r="B86" s="939"/>
      <c r="C86" s="940"/>
      <c r="D86" s="940"/>
      <c r="E86" s="940"/>
      <c r="F86" s="940"/>
      <c r="G86" s="1039"/>
      <c r="H86" s="981"/>
      <c r="I86" s="981"/>
      <c r="J86" s="981"/>
      <c r="K86" s="981"/>
      <c r="L86" s="981"/>
      <c r="M86" s="981"/>
      <c r="N86" s="981"/>
      <c r="O86" s="981"/>
      <c r="P86" s="981"/>
      <c r="Q86" s="981"/>
      <c r="R86" s="981"/>
      <c r="S86" s="981"/>
    </row>
    <row r="87" spans="1:19" x14ac:dyDescent="0.35">
      <c r="A87" s="7" t="s">
        <v>730</v>
      </c>
      <c r="B87" s="8"/>
      <c r="C87" s="12"/>
      <c r="D87" s="12"/>
      <c r="E87" s="12"/>
      <c r="F87" s="12"/>
      <c r="G87" s="13"/>
      <c r="H87" s="21"/>
      <c r="I87" s="21"/>
      <c r="J87" s="21"/>
      <c r="K87" s="21"/>
      <c r="L87" s="21"/>
      <c r="M87" s="21"/>
      <c r="N87" s="21"/>
      <c r="O87" s="21"/>
      <c r="P87" s="21"/>
      <c r="Q87" s="21"/>
      <c r="R87" s="21"/>
      <c r="S87" s="21"/>
    </row>
    <row r="88" spans="1:19" x14ac:dyDescent="0.35">
      <c r="A88" s="2544"/>
      <c r="B88" s="2486" t="s">
        <v>731</v>
      </c>
      <c r="C88" s="2481"/>
      <c r="D88" s="2481"/>
      <c r="E88" s="2481"/>
      <c r="F88" s="2481"/>
      <c r="G88" s="2482"/>
      <c r="H88" s="2546"/>
      <c r="I88" s="2546"/>
      <c r="J88" s="2546"/>
      <c r="K88" s="2546"/>
      <c r="L88" s="2546"/>
      <c r="M88" s="2546"/>
      <c r="N88" s="2546"/>
      <c r="O88" s="2546"/>
      <c r="P88" s="2546"/>
      <c r="Q88" s="2546"/>
      <c r="R88" s="2546"/>
      <c r="S88" s="2546"/>
    </row>
    <row r="89" spans="1:19" x14ac:dyDescent="0.35">
      <c r="A89" s="2286"/>
      <c r="B89" s="2284" t="s">
        <v>732</v>
      </c>
      <c r="C89" s="2285"/>
      <c r="D89" s="2285"/>
      <c r="E89" s="2285"/>
      <c r="F89" s="2285"/>
      <c r="G89" s="2198"/>
      <c r="H89" s="2158"/>
      <c r="I89" s="2158"/>
      <c r="J89" s="2158"/>
      <c r="K89" s="2158"/>
      <c r="L89" s="2158"/>
      <c r="M89" s="2158"/>
      <c r="N89" s="2158"/>
      <c r="O89" s="2158"/>
      <c r="P89" s="2158"/>
      <c r="Q89" s="2158"/>
      <c r="R89" s="2158"/>
      <c r="S89" s="2158"/>
    </row>
    <row r="90" spans="1:19" x14ac:dyDescent="0.35">
      <c r="A90" s="2089"/>
      <c r="B90" s="2090" t="s">
        <v>733</v>
      </c>
      <c r="C90" s="2091"/>
      <c r="D90" s="2091"/>
      <c r="E90" s="2091"/>
      <c r="F90" s="2091"/>
      <c r="G90" s="2092"/>
      <c r="H90" s="2093"/>
      <c r="I90" s="2093"/>
      <c r="J90" s="2093"/>
      <c r="K90" s="2093"/>
      <c r="L90" s="2093"/>
      <c r="M90" s="2093"/>
      <c r="N90" s="2093"/>
      <c r="O90" s="2093"/>
      <c r="P90" s="2093"/>
      <c r="Q90" s="2093"/>
      <c r="R90" s="2093"/>
      <c r="S90" s="2093"/>
    </row>
    <row r="92" spans="1:19" x14ac:dyDescent="0.35">
      <c r="A92" s="78" t="s">
        <v>734</v>
      </c>
      <c r="B92" s="80"/>
    </row>
    <row r="93" spans="1:19" x14ac:dyDescent="0.35">
      <c r="A93" s="79" t="s">
        <v>632</v>
      </c>
      <c r="B93" s="2094"/>
    </row>
    <row r="94" spans="1:19" x14ac:dyDescent="0.35">
      <c r="A94" s="2279" t="s">
        <v>636</v>
      </c>
      <c r="B94" s="2094"/>
    </row>
    <row r="95" spans="1:19" x14ac:dyDescent="0.35">
      <c r="A95" s="2096" t="s">
        <v>639</v>
      </c>
      <c r="B95" s="2097"/>
    </row>
    <row r="96" spans="1:19" x14ac:dyDescent="0.35">
      <c r="A96" s="2096" t="s">
        <v>642</v>
      </c>
      <c r="B96" s="2159"/>
    </row>
    <row r="97" spans="1:2" x14ac:dyDescent="0.35">
      <c r="A97" s="2099" t="s">
        <v>735</v>
      </c>
      <c r="B97" s="2100"/>
    </row>
    <row r="99" spans="1:2" x14ac:dyDescent="0.35">
      <c r="A99" s="81"/>
      <c r="B99" s="1" t="s">
        <v>736</v>
      </c>
    </row>
    <row r="100" spans="1:2" x14ac:dyDescent="0.35">
      <c r="A100" s="82"/>
      <c r="B100" s="1" t="s">
        <v>737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105" priority="13" operator="equal">
      <formula>"X"</formula>
    </cfRule>
    <cfRule type="cellIs" dxfId="1104" priority="14" operator="equal">
      <formula>"I"</formula>
    </cfRule>
  </conditionalFormatting>
  <conditionalFormatting sqref="H32:H56">
    <cfRule type="cellIs" dxfId="1103" priority="1" operator="equal">
      <formula>"X"</formula>
    </cfRule>
    <cfRule type="cellIs" dxfId="1102" priority="2" operator="equal">
      <formula>"I"</formula>
    </cfRule>
  </conditionalFormatting>
  <conditionalFormatting sqref="J20:J30">
    <cfRule type="cellIs" dxfId="1101" priority="15" operator="equal">
      <formula>"X"</formula>
    </cfRule>
    <cfRule type="cellIs" dxfId="1100" priority="16" operator="equal">
      <formula>"I"</formula>
    </cfRule>
  </conditionalFormatting>
  <conditionalFormatting sqref="J32:J56">
    <cfRule type="cellIs" dxfId="1099" priority="3" operator="equal">
      <formula>"X"</formula>
    </cfRule>
    <cfRule type="cellIs" dxfId="1098" priority="4" operator="equal">
      <formula>"I"</formula>
    </cfRule>
  </conditionalFormatting>
  <conditionalFormatting sqref="L20:L30">
    <cfRule type="cellIs" dxfId="1097" priority="17" operator="equal">
      <formula>"X"</formula>
    </cfRule>
    <cfRule type="cellIs" dxfId="1096" priority="18" operator="equal">
      <formula>"I"</formula>
    </cfRule>
  </conditionalFormatting>
  <conditionalFormatting sqref="L32:L56">
    <cfRule type="cellIs" dxfId="1095" priority="5" operator="equal">
      <formula>"X"</formula>
    </cfRule>
    <cfRule type="cellIs" dxfId="1094" priority="6" operator="equal">
      <formula>"I"</formula>
    </cfRule>
  </conditionalFormatting>
  <conditionalFormatting sqref="N20:N30">
    <cfRule type="cellIs" dxfId="1093" priority="19" operator="equal">
      <formula>"X"</formula>
    </cfRule>
    <cfRule type="cellIs" dxfId="1092" priority="20" operator="equal">
      <formula>"I"</formula>
    </cfRule>
  </conditionalFormatting>
  <conditionalFormatting sqref="N32:N56">
    <cfRule type="cellIs" dxfId="1091" priority="7" operator="equal">
      <formula>"X"</formula>
    </cfRule>
    <cfRule type="cellIs" dxfId="1090" priority="8" operator="equal">
      <formula>"I"</formula>
    </cfRule>
  </conditionalFormatting>
  <conditionalFormatting sqref="P20:P30">
    <cfRule type="cellIs" dxfId="1089" priority="21" operator="equal">
      <formula>"X"</formula>
    </cfRule>
    <cfRule type="cellIs" dxfId="1088" priority="22" operator="equal">
      <formula>"I"</formula>
    </cfRule>
  </conditionalFormatting>
  <conditionalFormatting sqref="P32:P56">
    <cfRule type="cellIs" dxfId="1087" priority="9" operator="equal">
      <formula>"X"</formula>
    </cfRule>
    <cfRule type="cellIs" dxfId="1086" priority="10" operator="equal">
      <formula>"I"</formula>
    </cfRule>
  </conditionalFormatting>
  <conditionalFormatting sqref="R20:R30">
    <cfRule type="cellIs" dxfId="1085" priority="23" operator="equal">
      <formula>"X"</formula>
    </cfRule>
    <cfRule type="cellIs" dxfId="1084" priority="24" operator="equal">
      <formula>"I"</formula>
    </cfRule>
  </conditionalFormatting>
  <conditionalFormatting sqref="R32:R56">
    <cfRule type="cellIs" dxfId="1083" priority="11" operator="equal">
      <formula>"X"</formula>
    </cfRule>
    <cfRule type="cellIs" dxfId="1082" priority="12" operator="equal">
      <formula>"I"</formula>
    </cfRule>
  </conditionalFormatting>
  <hyperlinks>
    <hyperlink ref="B3" location="'Cost Summary'!A1" display="BACK TO SUMMARY SHEET" xr:uid="{C2390CEB-EA9B-4A86-B9E5-94006D53DD9D}"/>
  </hyperlink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69C4-8209-4B28-908B-B3F1217C1055}">
  <sheetPr>
    <tabColor rgb="FF92D050"/>
  </sheetPr>
  <dimension ref="A1:S100"/>
  <sheetViews>
    <sheetView workbookViewId="0">
      <pane xSplit="2" ySplit="9" topLeftCell="H20" activePane="bottomRight" state="frozen"/>
      <selection pane="topRight" activeCell="C1" sqref="C1"/>
      <selection pane="bottomLeft" activeCell="A11" sqref="A11"/>
      <selection pane="bottomRight" activeCell="B29" sqref="B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2747</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2748</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ht="15" thickBot="1" x14ac:dyDescent="0.4">
      <c r="A8" s="938" t="s">
        <v>644</v>
      </c>
      <c r="B8" s="939"/>
      <c r="C8" s="940"/>
      <c r="D8" s="940"/>
      <c r="E8" s="940"/>
      <c r="F8" s="940"/>
      <c r="G8" s="1024" t="s">
        <v>644</v>
      </c>
      <c r="H8" s="3945">
        <f>I61</f>
        <v>0</v>
      </c>
      <c r="I8" s="3944"/>
      <c r="J8" s="3945">
        <f>K61</f>
        <v>0</v>
      </c>
      <c r="K8" s="3944"/>
      <c r="L8" s="3945">
        <f>M61</f>
        <v>0</v>
      </c>
      <c r="M8" s="3944"/>
      <c r="N8" s="3945">
        <f>O61</f>
        <v>0</v>
      </c>
      <c r="O8" s="3944"/>
      <c r="P8" s="3945">
        <f>Q61</f>
        <v>0</v>
      </c>
      <c r="Q8" s="3944"/>
      <c r="R8" s="3945">
        <f>S61</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488"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547"/>
      <c r="B20" s="2284"/>
      <c r="C20" s="2201"/>
      <c r="D20" s="2285"/>
      <c r="E20" s="2285"/>
      <c r="F20" s="2285"/>
      <c r="G20" s="2198"/>
      <c r="H20" s="2109"/>
      <c r="I20" s="2107"/>
      <c r="J20" s="2109"/>
      <c r="K20" s="2107"/>
      <c r="L20" s="2109"/>
      <c r="M20" s="2107"/>
      <c r="N20" s="2109"/>
      <c r="O20" s="2107"/>
      <c r="P20" s="2109"/>
      <c r="Q20" s="2107"/>
      <c r="R20" s="2109"/>
      <c r="S20" s="2107"/>
    </row>
    <row r="21" spans="1:19" ht="15" thickBot="1" x14ac:dyDescent="0.4">
      <c r="A21" s="2497"/>
      <c r="B21" s="2203" t="s">
        <v>2747</v>
      </c>
      <c r="C21" s="45"/>
      <c r="D21" s="46"/>
      <c r="E21" s="46"/>
      <c r="F21" s="46"/>
      <c r="G21" s="52"/>
      <c r="H21" s="2109"/>
      <c r="I21" s="2491"/>
      <c r="J21" s="2109"/>
      <c r="K21" s="2490"/>
      <c r="L21" s="2109"/>
      <c r="M21" s="2490"/>
      <c r="N21" s="2109"/>
      <c r="O21" s="2490"/>
      <c r="P21" s="2109"/>
      <c r="Q21" s="2490"/>
      <c r="R21" s="2109"/>
      <c r="S21" s="2490"/>
    </row>
    <row r="22" spans="1:19" x14ac:dyDescent="0.35">
      <c r="A22" s="2497"/>
      <c r="B22" s="606" t="s">
        <v>657</v>
      </c>
      <c r="C22" s="2201"/>
      <c r="D22" s="2285"/>
      <c r="E22" s="2285"/>
      <c r="F22" s="2285"/>
      <c r="G22" s="2198"/>
      <c r="H22" s="2109"/>
      <c r="I22" s="2491"/>
      <c r="J22" s="2109"/>
      <c r="K22" s="2490"/>
      <c r="L22" s="2109"/>
      <c r="M22" s="2490"/>
      <c r="N22" s="2109"/>
      <c r="O22" s="2490"/>
      <c r="P22" s="2109"/>
      <c r="Q22" s="2490"/>
      <c r="R22" s="2109"/>
      <c r="S22" s="2490"/>
    </row>
    <row r="23" spans="1:19" x14ac:dyDescent="0.35">
      <c r="A23" s="2497"/>
      <c r="B23" s="2465" t="s">
        <v>658</v>
      </c>
      <c r="C23" s="2201"/>
      <c r="D23" s="2285"/>
      <c r="E23" s="2285"/>
      <c r="F23" s="2285"/>
      <c r="G23" s="2198"/>
      <c r="H23" s="2109"/>
      <c r="I23" s="2491"/>
      <c r="J23" s="2109"/>
      <c r="K23" s="2490"/>
      <c r="L23" s="2109"/>
      <c r="M23" s="2490"/>
      <c r="N23" s="2109"/>
      <c r="O23" s="2490"/>
      <c r="P23" s="2109"/>
      <c r="Q23" s="2490"/>
      <c r="R23" s="2109"/>
      <c r="S23" s="2490"/>
    </row>
    <row r="24" spans="1:19" x14ac:dyDescent="0.35">
      <c r="A24" s="2497"/>
      <c r="B24" s="2465" t="s">
        <v>659</v>
      </c>
      <c r="C24" s="2208"/>
      <c r="D24" s="2285"/>
      <c r="E24" s="2285"/>
      <c r="F24" s="2285"/>
      <c r="G24" s="2198"/>
      <c r="H24" s="2109"/>
      <c r="I24" s="2491"/>
      <c r="J24" s="2109"/>
      <c r="K24" s="2490"/>
      <c r="L24" s="2109"/>
      <c r="M24" s="2490"/>
      <c r="N24" s="2109"/>
      <c r="O24" s="2490"/>
      <c r="P24" s="2109"/>
      <c r="Q24" s="2490"/>
      <c r="R24" s="2109"/>
      <c r="S24" s="2490"/>
    </row>
    <row r="25" spans="1:19" x14ac:dyDescent="0.35">
      <c r="A25" s="2547"/>
      <c r="B25" s="2467" t="s">
        <v>660</v>
      </c>
      <c r="C25" s="2208"/>
      <c r="D25" s="2285"/>
      <c r="E25" s="2285"/>
      <c r="F25" s="2285"/>
      <c r="G25" s="2198"/>
      <c r="H25" s="2109"/>
      <c r="I25" s="2491"/>
      <c r="J25" s="2109"/>
      <c r="K25" s="2490"/>
      <c r="L25" s="2109"/>
      <c r="M25" s="2490"/>
      <c r="N25" s="2109"/>
      <c r="O25" s="2490"/>
      <c r="P25" s="2109"/>
      <c r="Q25" s="2490"/>
      <c r="R25" s="2109"/>
      <c r="S25" s="2490"/>
    </row>
    <row r="26" spans="1:19" s="77" customFormat="1" x14ac:dyDescent="0.35">
      <c r="A26" s="2497"/>
      <c r="B26" s="2467" t="s">
        <v>661</v>
      </c>
      <c r="C26" s="2211"/>
      <c r="D26" s="2212"/>
      <c r="E26" s="2212"/>
      <c r="F26" s="2212"/>
      <c r="G26" s="2211"/>
      <c r="H26" s="2109"/>
      <c r="I26" s="2491"/>
      <c r="J26" s="2109"/>
      <c r="K26" s="2548"/>
      <c r="L26" s="2109"/>
      <c r="M26" s="2548"/>
      <c r="N26" s="2109"/>
      <c r="O26" s="2548"/>
      <c r="P26" s="2109"/>
      <c r="Q26" s="2548"/>
      <c r="R26" s="2109"/>
      <c r="S26" s="2548"/>
    </row>
    <row r="27" spans="1:19" s="77" customFormat="1" x14ac:dyDescent="0.35">
      <c r="A27" s="2497"/>
      <c r="B27" s="2467" t="s">
        <v>662</v>
      </c>
      <c r="C27" s="2211"/>
      <c r="D27" s="2212"/>
      <c r="E27" s="2212"/>
      <c r="F27" s="2212"/>
      <c r="G27" s="2211"/>
      <c r="H27" s="2109"/>
      <c r="I27" s="2491"/>
      <c r="J27" s="2109"/>
      <c r="K27" s="2548"/>
      <c r="L27" s="2109"/>
      <c r="M27" s="2548"/>
      <c r="N27" s="2109"/>
      <c r="O27" s="2548"/>
      <c r="P27" s="2109"/>
      <c r="Q27" s="2548"/>
      <c r="R27" s="2109"/>
      <c r="S27" s="2548"/>
    </row>
    <row r="28" spans="1:19" s="77" customFormat="1" x14ac:dyDescent="0.35">
      <c r="A28" s="2497"/>
      <c r="B28" s="2467" t="s">
        <v>663</v>
      </c>
      <c r="C28" s="2211"/>
      <c r="D28" s="2212"/>
      <c r="E28" s="2212"/>
      <c r="F28" s="2212"/>
      <c r="G28" s="2211"/>
      <c r="H28" s="2109"/>
      <c r="I28" s="2491"/>
      <c r="J28" s="2109"/>
      <c r="K28" s="2548"/>
      <c r="L28" s="2109"/>
      <c r="M28" s="2548"/>
      <c r="N28" s="2109"/>
      <c r="O28" s="2548"/>
      <c r="P28" s="2109"/>
      <c r="Q28" s="2548"/>
      <c r="R28" s="2109"/>
      <c r="S28" s="2548"/>
    </row>
    <row r="29" spans="1:19" s="77" customFormat="1" x14ac:dyDescent="0.35">
      <c r="A29" s="2497"/>
      <c r="B29" s="2467" t="s">
        <v>742</v>
      </c>
      <c r="C29" s="2211"/>
      <c r="D29" s="2212"/>
      <c r="E29" s="2212"/>
      <c r="F29" s="2212"/>
      <c r="G29" s="2211"/>
      <c r="H29" s="2109"/>
      <c r="I29" s="2491"/>
      <c r="J29" s="2109"/>
      <c r="K29" s="2548"/>
      <c r="L29" s="2109"/>
      <c r="M29" s="2548"/>
      <c r="N29" s="2109"/>
      <c r="O29" s="2548"/>
      <c r="P29" s="2109"/>
      <c r="Q29" s="2548"/>
      <c r="R29" s="2109"/>
      <c r="S29" s="2548"/>
    </row>
    <row r="30" spans="1:19" s="77" customFormat="1" x14ac:dyDescent="0.35">
      <c r="A30" s="2497"/>
      <c r="B30" s="2549" t="s">
        <v>664</v>
      </c>
      <c r="C30" s="2211"/>
      <c r="D30" s="2212"/>
      <c r="E30" s="2212"/>
      <c r="F30" s="2212"/>
      <c r="G30" s="2211"/>
      <c r="H30" s="2109"/>
      <c r="I30" s="2491"/>
      <c r="J30" s="2109"/>
      <c r="K30" s="2548"/>
      <c r="L30" s="2109"/>
      <c r="M30" s="2548"/>
      <c r="N30" s="2109"/>
      <c r="O30" s="2548"/>
      <c r="P30" s="2109"/>
      <c r="Q30" s="2548"/>
      <c r="R30" s="2109"/>
      <c r="S30" s="2548"/>
    </row>
    <row r="31" spans="1:19" s="77" customFormat="1" x14ac:dyDescent="0.35">
      <c r="A31" s="2497"/>
      <c r="B31" s="2550" t="s">
        <v>665</v>
      </c>
      <c r="C31" s="2216"/>
      <c r="D31" s="2217"/>
      <c r="E31" s="2217"/>
      <c r="F31" s="2217"/>
      <c r="G31" s="2216"/>
      <c r="H31" s="2288"/>
      <c r="I31" s="2474"/>
      <c r="J31" s="2289"/>
      <c r="K31" s="2473"/>
      <c r="L31" s="2289"/>
      <c r="M31" s="2473"/>
      <c r="N31" s="2473"/>
      <c r="O31" s="2473"/>
      <c r="P31" s="2473"/>
      <c r="Q31" s="2473"/>
      <c r="R31" s="2473"/>
      <c r="S31" s="2473"/>
    </row>
    <row r="32" spans="1:19" s="77" customFormat="1" x14ac:dyDescent="0.35">
      <c r="A32" s="2497"/>
      <c r="B32" s="127"/>
      <c r="C32" s="2211"/>
      <c r="D32" s="2212"/>
      <c r="E32" s="2212"/>
      <c r="F32" s="2212"/>
      <c r="G32" s="2211"/>
      <c r="H32" s="2331"/>
      <c r="I32" s="2491"/>
      <c r="J32" s="2334"/>
      <c r="K32" s="2548"/>
      <c r="L32" s="2334"/>
      <c r="M32" s="2548"/>
      <c r="N32" s="2548"/>
      <c r="O32" s="2548"/>
      <c r="P32" s="2548"/>
      <c r="Q32" s="2548"/>
      <c r="R32" s="2109"/>
      <c r="S32" s="2548"/>
    </row>
    <row r="33" spans="1:19" s="77" customFormat="1" x14ac:dyDescent="0.35">
      <c r="A33" s="2429"/>
      <c r="B33" s="2234"/>
      <c r="C33" s="2236"/>
      <c r="D33" s="2212"/>
      <c r="E33" s="2212"/>
      <c r="F33" s="2212"/>
      <c r="G33" s="2211"/>
      <c r="H33" s="2331"/>
      <c r="I33" s="2491"/>
      <c r="J33" s="2334"/>
      <c r="K33" s="2548"/>
      <c r="L33" s="2334"/>
      <c r="M33" s="2548"/>
      <c r="N33" s="2548"/>
      <c r="O33" s="2548"/>
      <c r="P33" s="2548"/>
      <c r="Q33" s="2548"/>
      <c r="R33" s="2109"/>
      <c r="S33" s="2548"/>
    </row>
    <row r="34" spans="1:19" s="77" customFormat="1" x14ac:dyDescent="0.35">
      <c r="A34" s="2429"/>
      <c r="B34" s="2235"/>
      <c r="C34" s="2236"/>
      <c r="D34" s="2212"/>
      <c r="E34" s="2212"/>
      <c r="F34" s="2212"/>
      <c r="G34" s="2211"/>
      <c r="H34" s="2109"/>
      <c r="I34" s="2491"/>
      <c r="J34" s="2109"/>
      <c r="K34" s="2548"/>
      <c r="L34" s="2109"/>
      <c r="M34" s="2548"/>
      <c r="N34" s="2109"/>
      <c r="O34" s="2548"/>
      <c r="P34" s="2109"/>
      <c r="Q34" s="2548"/>
      <c r="R34" s="2109"/>
      <c r="S34" s="2548"/>
    </row>
    <row r="35" spans="1:19" s="77" customFormat="1" x14ac:dyDescent="0.35">
      <c r="A35" s="2429"/>
      <c r="B35" s="2235"/>
      <c r="C35" s="2236"/>
      <c r="D35" s="2212"/>
      <c r="E35" s="2212"/>
      <c r="F35" s="2212"/>
      <c r="G35" s="2211"/>
      <c r="H35" s="2109"/>
      <c r="I35" s="2491"/>
      <c r="J35" s="2109"/>
      <c r="K35" s="2548"/>
      <c r="L35" s="2109"/>
      <c r="M35" s="2548"/>
      <c r="N35" s="2109"/>
      <c r="O35" s="2548"/>
      <c r="P35" s="2109"/>
      <c r="Q35" s="2548"/>
      <c r="R35" s="2109"/>
      <c r="S35" s="2548"/>
    </row>
    <row r="36" spans="1:19" s="77" customFormat="1" x14ac:dyDescent="0.35">
      <c r="A36" s="2429"/>
      <c r="B36" s="2317"/>
      <c r="C36" s="2236"/>
      <c r="D36" s="2212"/>
      <c r="E36" s="2212"/>
      <c r="F36" s="2212"/>
      <c r="G36" s="2211"/>
      <c r="H36" s="2109"/>
      <c r="I36" s="2491"/>
      <c r="J36" s="2109"/>
      <c r="K36" s="2548"/>
      <c r="L36" s="2109"/>
      <c r="M36" s="2548"/>
      <c r="N36" s="2109"/>
      <c r="O36" s="2548"/>
      <c r="P36" s="2109"/>
      <c r="Q36" s="2548"/>
      <c r="R36" s="2109"/>
      <c r="S36" s="2548"/>
    </row>
    <row r="37" spans="1:19" s="77" customFormat="1" x14ac:dyDescent="0.35">
      <c r="A37" s="2429"/>
      <c r="B37" s="2235"/>
      <c r="C37" s="2236"/>
      <c r="D37" s="2212"/>
      <c r="E37" s="2212"/>
      <c r="F37" s="2212"/>
      <c r="G37" s="2211"/>
      <c r="H37" s="2109"/>
      <c r="I37" s="2491"/>
      <c r="J37" s="2109"/>
      <c r="K37" s="2548"/>
      <c r="L37" s="2109"/>
      <c r="M37" s="2548"/>
      <c r="N37" s="2109"/>
      <c r="O37" s="2548"/>
      <c r="P37" s="2109"/>
      <c r="Q37" s="2548"/>
      <c r="R37" s="2109"/>
      <c r="S37" s="2548"/>
    </row>
    <row r="38" spans="1:19" s="77" customFormat="1" x14ac:dyDescent="0.35">
      <c r="A38" s="2429"/>
      <c r="B38" s="2235"/>
      <c r="C38" s="2236"/>
      <c r="D38" s="2212"/>
      <c r="E38" s="2341"/>
      <c r="F38" s="2342"/>
      <c r="G38" s="2211"/>
      <c r="H38" s="2109"/>
      <c r="I38" s="2491"/>
      <c r="J38" s="2109"/>
      <c r="K38" s="2548"/>
      <c r="L38" s="2109"/>
      <c r="M38" s="2548"/>
      <c r="N38" s="2109"/>
      <c r="O38" s="2548"/>
      <c r="P38" s="2109"/>
      <c r="Q38" s="2548"/>
      <c r="R38" s="2109"/>
      <c r="S38" s="2548"/>
    </row>
    <row r="39" spans="1:19" s="77" customFormat="1" x14ac:dyDescent="0.35">
      <c r="A39" s="2429"/>
      <c r="B39" s="2235"/>
      <c r="C39" s="2236"/>
      <c r="D39" s="2212"/>
      <c r="E39" s="2341"/>
      <c r="F39" s="2342"/>
      <c r="G39" s="2211"/>
      <c r="H39" s="2109"/>
      <c r="I39" s="2491"/>
      <c r="J39" s="2109"/>
      <c r="K39" s="2548"/>
      <c r="L39" s="2109"/>
      <c r="M39" s="2548"/>
      <c r="N39" s="2109"/>
      <c r="O39" s="2548"/>
      <c r="P39" s="2109"/>
      <c r="Q39" s="2548"/>
      <c r="R39" s="2109"/>
      <c r="S39" s="2548"/>
    </row>
    <row r="40" spans="1:19" s="77" customFormat="1" x14ac:dyDescent="0.35">
      <c r="A40" s="2429"/>
      <c r="B40" s="2235"/>
      <c r="C40" s="2236"/>
      <c r="D40" s="2212"/>
      <c r="E40" s="2341"/>
      <c r="F40" s="2342"/>
      <c r="G40" s="2211"/>
      <c r="H40" s="2109"/>
      <c r="I40" s="2491"/>
      <c r="J40" s="2109"/>
      <c r="K40" s="2548"/>
      <c r="L40" s="2109"/>
      <c r="M40" s="2548"/>
      <c r="N40" s="2109"/>
      <c r="O40" s="2548"/>
      <c r="P40" s="2109"/>
      <c r="Q40" s="2548"/>
      <c r="R40" s="2109"/>
      <c r="S40" s="2548"/>
    </row>
    <row r="41" spans="1:19" s="77" customFormat="1" x14ac:dyDescent="0.35">
      <c r="A41" s="2429"/>
      <c r="B41" s="2551"/>
      <c r="C41" s="2236"/>
      <c r="D41" s="2212"/>
      <c r="E41" s="2341"/>
      <c r="F41" s="2342"/>
      <c r="G41" s="2211"/>
      <c r="H41" s="2109"/>
      <c r="I41" s="2491"/>
      <c r="J41" s="2109"/>
      <c r="K41" s="2548"/>
      <c r="L41" s="2109"/>
      <c r="M41" s="2548"/>
      <c r="N41" s="2109"/>
      <c r="O41" s="2548"/>
      <c r="P41" s="2109"/>
      <c r="Q41" s="2548"/>
      <c r="R41" s="2109"/>
      <c r="S41" s="2548"/>
    </row>
    <row r="42" spans="1:19" s="77" customFormat="1" x14ac:dyDescent="0.35">
      <c r="A42" s="2429"/>
      <c r="B42" s="2451"/>
      <c r="C42" s="2236"/>
      <c r="D42" s="2212"/>
      <c r="E42" s="2341"/>
      <c r="F42" s="2342"/>
      <c r="G42" s="2211"/>
      <c r="H42" s="2109"/>
      <c r="I42" s="2491"/>
      <c r="J42" s="2109"/>
      <c r="K42" s="2548"/>
      <c r="L42" s="2109"/>
      <c r="M42" s="2548"/>
      <c r="N42" s="2109"/>
      <c r="O42" s="2548"/>
      <c r="P42" s="2109"/>
      <c r="Q42" s="2548"/>
      <c r="R42" s="2109"/>
      <c r="S42" s="2548"/>
    </row>
    <row r="43" spans="1:19" s="77" customFormat="1" x14ac:dyDescent="0.35">
      <c r="A43" s="2429"/>
      <c r="B43" s="128"/>
      <c r="C43" s="2236"/>
      <c r="D43" s="2212"/>
      <c r="E43" s="2341"/>
      <c r="F43" s="2342"/>
      <c r="G43" s="2211"/>
      <c r="H43" s="2109"/>
      <c r="I43" s="2491"/>
      <c r="J43" s="2109"/>
      <c r="K43" s="2548"/>
      <c r="L43" s="2109"/>
      <c r="M43" s="2548"/>
      <c r="N43" s="2109"/>
      <c r="O43" s="2548"/>
      <c r="P43" s="2109"/>
      <c r="Q43" s="2548"/>
      <c r="R43" s="2109"/>
      <c r="S43" s="2548"/>
    </row>
    <row r="44" spans="1:19" s="77" customFormat="1" x14ac:dyDescent="0.35">
      <c r="A44" s="2429"/>
      <c r="B44" s="2340"/>
      <c r="C44" s="2236"/>
      <c r="D44" s="2212"/>
      <c r="E44" s="2341"/>
      <c r="F44" s="2342"/>
      <c r="G44" s="2211"/>
      <c r="H44" s="2109"/>
      <c r="I44" s="2491"/>
      <c r="J44" s="2109"/>
      <c r="K44" s="2548"/>
      <c r="L44" s="2109"/>
      <c r="M44" s="2548"/>
      <c r="N44" s="2109"/>
      <c r="O44" s="2548"/>
      <c r="P44" s="2109"/>
      <c r="Q44" s="2548"/>
      <c r="R44" s="2109"/>
      <c r="S44" s="2548"/>
    </row>
    <row r="45" spans="1:19" s="77" customFormat="1" x14ac:dyDescent="0.35">
      <c r="A45" s="2429"/>
      <c r="B45" s="2340"/>
      <c r="C45" s="2236"/>
      <c r="D45" s="2212"/>
      <c r="E45" s="2341"/>
      <c r="F45" s="2342"/>
      <c r="G45" s="2211"/>
      <c r="H45" s="2109"/>
      <c r="I45" s="2491"/>
      <c r="J45" s="2109"/>
      <c r="K45" s="2548"/>
      <c r="L45" s="2109"/>
      <c r="M45" s="2548"/>
      <c r="N45" s="2109"/>
      <c r="O45" s="2548"/>
      <c r="P45" s="2109"/>
      <c r="Q45" s="2548"/>
      <c r="R45" s="2109"/>
      <c r="S45" s="2548"/>
    </row>
    <row r="46" spans="1:19" s="77" customFormat="1" x14ac:dyDescent="0.35">
      <c r="A46" s="2429"/>
      <c r="B46" s="2340"/>
      <c r="C46" s="2236"/>
      <c r="D46" s="2212"/>
      <c r="E46" s="2341"/>
      <c r="F46" s="2342"/>
      <c r="G46" s="2211"/>
      <c r="H46" s="2109"/>
      <c r="I46" s="2491"/>
      <c r="J46" s="2109"/>
      <c r="K46" s="2548"/>
      <c r="L46" s="2109"/>
      <c r="M46" s="2548"/>
      <c r="N46" s="2109"/>
      <c r="O46" s="2548"/>
      <c r="P46" s="2109"/>
      <c r="Q46" s="2548"/>
      <c r="R46" s="2109"/>
      <c r="S46" s="2548"/>
    </row>
    <row r="47" spans="1:19" s="77" customFormat="1" x14ac:dyDescent="0.35">
      <c r="A47" s="2429"/>
      <c r="B47" s="2340"/>
      <c r="C47" s="2236"/>
      <c r="D47" s="2212"/>
      <c r="E47" s="2341"/>
      <c r="F47" s="2342"/>
      <c r="G47" s="2211"/>
      <c r="H47" s="2109"/>
      <c r="I47" s="2491"/>
      <c r="J47" s="2109"/>
      <c r="K47" s="2548"/>
      <c r="L47" s="2109"/>
      <c r="M47" s="2548"/>
      <c r="N47" s="2109"/>
      <c r="O47" s="2548"/>
      <c r="P47" s="2109"/>
      <c r="Q47" s="2548"/>
      <c r="R47" s="2109"/>
      <c r="S47" s="2548"/>
    </row>
    <row r="48" spans="1:19" s="77" customFormat="1" x14ac:dyDescent="0.35">
      <c r="A48" s="2429"/>
      <c r="B48" s="2340"/>
      <c r="C48" s="2236"/>
      <c r="D48" s="2212"/>
      <c r="E48" s="2341"/>
      <c r="F48" s="2342"/>
      <c r="G48" s="2211"/>
      <c r="H48" s="2109"/>
      <c r="I48" s="2491"/>
      <c r="J48" s="2109"/>
      <c r="K48" s="2548"/>
      <c r="L48" s="2109"/>
      <c r="M48" s="2548"/>
      <c r="N48" s="2109"/>
      <c r="O48" s="2548"/>
      <c r="P48" s="2109"/>
      <c r="Q48" s="2548"/>
      <c r="R48" s="2109"/>
      <c r="S48" s="2548"/>
    </row>
    <row r="49" spans="1:19" s="77" customFormat="1" x14ac:dyDescent="0.35">
      <c r="A49" s="2429"/>
      <c r="B49" s="2340"/>
      <c r="C49" s="2236"/>
      <c r="D49" s="2212"/>
      <c r="E49" s="2341"/>
      <c r="F49" s="2342"/>
      <c r="G49" s="2211"/>
      <c r="H49" s="2109"/>
      <c r="I49" s="2491"/>
      <c r="J49" s="2109"/>
      <c r="K49" s="2548"/>
      <c r="L49" s="2109"/>
      <c r="M49" s="2548"/>
      <c r="N49" s="2109"/>
      <c r="O49" s="2548"/>
      <c r="P49" s="2109"/>
      <c r="Q49" s="2548"/>
      <c r="R49" s="2109"/>
      <c r="S49" s="2548"/>
    </row>
    <row r="50" spans="1:19" s="77" customFormat="1" x14ac:dyDescent="0.35">
      <c r="A50" s="2429"/>
      <c r="B50" s="2340"/>
      <c r="C50" s="2236"/>
      <c r="D50" s="2212"/>
      <c r="E50" s="2341"/>
      <c r="F50" s="2342"/>
      <c r="G50" s="2211"/>
      <c r="H50" s="2109"/>
      <c r="I50" s="2491"/>
      <c r="J50" s="2109"/>
      <c r="K50" s="2548"/>
      <c r="L50" s="2109"/>
      <c r="M50" s="2548"/>
      <c r="N50" s="2109"/>
      <c r="O50" s="2548"/>
      <c r="P50" s="2109"/>
      <c r="Q50" s="2548"/>
      <c r="R50" s="2109"/>
      <c r="S50" s="2548"/>
    </row>
    <row r="51" spans="1:19" s="77" customFormat="1" x14ac:dyDescent="0.35">
      <c r="A51" s="2429"/>
      <c r="B51" s="2340"/>
      <c r="C51" s="2236"/>
      <c r="D51" s="2212"/>
      <c r="E51" s="2341"/>
      <c r="F51" s="2342"/>
      <c r="G51" s="2211"/>
      <c r="H51" s="2109"/>
      <c r="I51" s="2491"/>
      <c r="J51" s="2109"/>
      <c r="K51" s="2548"/>
      <c r="L51" s="2109"/>
      <c r="M51" s="2548"/>
      <c r="N51" s="2109"/>
      <c r="O51" s="2548"/>
      <c r="P51" s="2109"/>
      <c r="Q51" s="2548"/>
      <c r="R51" s="2109"/>
      <c r="S51" s="2548"/>
    </row>
    <row r="52" spans="1:19" s="77" customFormat="1" x14ac:dyDescent="0.35">
      <c r="A52" s="2429"/>
      <c r="B52" s="2340"/>
      <c r="C52" s="2236"/>
      <c r="D52" s="2212"/>
      <c r="E52" s="2341"/>
      <c r="F52" s="2342"/>
      <c r="G52" s="2211"/>
      <c r="H52" s="2109"/>
      <c r="I52" s="2491"/>
      <c r="J52" s="2109"/>
      <c r="K52" s="2548"/>
      <c r="L52" s="2109"/>
      <c r="M52" s="2548"/>
      <c r="N52" s="2109"/>
      <c r="O52" s="2548"/>
      <c r="P52" s="2109"/>
      <c r="Q52" s="2548"/>
      <c r="R52" s="2109"/>
      <c r="S52" s="2548"/>
    </row>
    <row r="53" spans="1:19" s="77" customFormat="1" x14ac:dyDescent="0.35">
      <c r="A53" s="2429"/>
      <c r="B53" s="2340"/>
      <c r="C53" s="2236"/>
      <c r="D53" s="2212"/>
      <c r="E53" s="2341"/>
      <c r="F53" s="2342"/>
      <c r="G53" s="2211"/>
      <c r="H53" s="2109"/>
      <c r="I53" s="2491"/>
      <c r="J53" s="2109"/>
      <c r="K53" s="2548"/>
      <c r="L53" s="2109"/>
      <c r="M53" s="2548"/>
      <c r="N53" s="2109"/>
      <c r="O53" s="2548"/>
      <c r="P53" s="2109"/>
      <c r="Q53" s="2548"/>
      <c r="R53" s="2109"/>
      <c r="S53" s="2548"/>
    </row>
    <row r="54" spans="1:19" s="77" customFormat="1" x14ac:dyDescent="0.35">
      <c r="A54" s="2429"/>
      <c r="B54" s="2340"/>
      <c r="C54" s="2236"/>
      <c r="D54" s="2212"/>
      <c r="E54" s="2341"/>
      <c r="F54" s="2342"/>
      <c r="G54" s="2211"/>
      <c r="H54" s="2109"/>
      <c r="I54" s="2491"/>
      <c r="J54" s="2109"/>
      <c r="K54" s="2548"/>
      <c r="L54" s="2109"/>
      <c r="M54" s="2548"/>
      <c r="N54" s="2109"/>
      <c r="O54" s="2548"/>
      <c r="P54" s="2109"/>
      <c r="Q54" s="2548"/>
      <c r="R54" s="2109"/>
      <c r="S54" s="2548"/>
    </row>
    <row r="55" spans="1:19" x14ac:dyDescent="0.35">
      <c r="A55" s="2547"/>
      <c r="B55" s="2543"/>
      <c r="C55" s="2201"/>
      <c r="D55" s="2285"/>
      <c r="E55" s="2285"/>
      <c r="F55" s="2285"/>
      <c r="G55" s="2198"/>
      <c r="H55" s="2109"/>
      <c r="I55" s="2490"/>
      <c r="J55" s="2109"/>
      <c r="K55" s="2490"/>
      <c r="L55" s="2109"/>
      <c r="M55" s="2490"/>
      <c r="N55" s="2109"/>
      <c r="O55" s="2490"/>
      <c r="P55" s="2109"/>
      <c r="Q55" s="2490"/>
      <c r="R55" s="2109"/>
      <c r="S55" s="2490"/>
    </row>
    <row r="56" spans="1:19" ht="15" thickBot="1" x14ac:dyDescent="0.4">
      <c r="A56" s="2542"/>
      <c r="B56" s="2543"/>
      <c r="C56" s="2201"/>
      <c r="D56" s="2285"/>
      <c r="E56" s="2285"/>
      <c r="F56" s="2285"/>
      <c r="G56" s="2198"/>
      <c r="H56" s="2109"/>
      <c r="I56" s="2490"/>
      <c r="J56" s="2109"/>
      <c r="K56" s="2490"/>
      <c r="L56" s="2109"/>
      <c r="M56" s="2490"/>
      <c r="N56" s="2109"/>
      <c r="O56" s="2490"/>
      <c r="P56" s="2109"/>
      <c r="Q56" s="2490"/>
      <c r="R56" s="2109"/>
      <c r="S56" s="2490"/>
    </row>
    <row r="57" spans="1:19" ht="15" thickTop="1" x14ac:dyDescent="0.35">
      <c r="A57" s="14"/>
      <c r="B57" s="15"/>
      <c r="C57" s="16"/>
      <c r="D57" s="16"/>
      <c r="E57" s="17"/>
      <c r="F57" s="18" t="s">
        <v>715</v>
      </c>
      <c r="G57" s="19"/>
      <c r="H57" s="20"/>
      <c r="I57" s="50">
        <f>SUM(I23:I56)</f>
        <v>0</v>
      </c>
      <c r="J57" s="20"/>
      <c r="K57" s="50">
        <f>SUM(K23:K56)</f>
        <v>0</v>
      </c>
      <c r="L57" s="20"/>
      <c r="M57" s="50">
        <f>SUM(M23:M56)</f>
        <v>0</v>
      </c>
      <c r="N57" s="20"/>
      <c r="O57" s="50">
        <f>SUM(O23:O56)</f>
        <v>0</v>
      </c>
      <c r="P57" s="20"/>
      <c r="Q57" s="50">
        <f>SUM(Q23:Q56)</f>
        <v>0</v>
      </c>
      <c r="R57" s="20"/>
      <c r="S57" s="50">
        <f>SUM(S23:S56)</f>
        <v>0</v>
      </c>
    </row>
    <row r="58" spans="1:19" x14ac:dyDescent="0.35">
      <c r="A58" s="2239"/>
      <c r="B58" s="2240"/>
      <c r="C58" s="2241"/>
      <c r="D58" s="2241"/>
      <c r="E58" s="2242"/>
      <c r="F58" s="2243" t="s">
        <v>716</v>
      </c>
      <c r="G58" s="2244"/>
      <c r="H58" s="2065">
        <v>0</v>
      </c>
      <c r="I58" s="2064"/>
      <c r="J58" s="2065">
        <v>0</v>
      </c>
      <c r="K58" s="2064"/>
      <c r="L58" s="2065">
        <v>0</v>
      </c>
      <c r="M58" s="2064"/>
      <c r="N58" s="2065">
        <v>0</v>
      </c>
      <c r="O58" s="2064"/>
      <c r="P58" s="2065">
        <v>0</v>
      </c>
      <c r="Q58" s="2064"/>
      <c r="R58" s="2065">
        <v>0</v>
      </c>
      <c r="S58" s="2064"/>
    </row>
    <row r="59" spans="1:19" x14ac:dyDescent="0.35">
      <c r="A59" s="2239"/>
      <c r="B59" s="2240"/>
      <c r="C59" s="2241"/>
      <c r="D59" s="2241"/>
      <c r="E59" s="2242"/>
      <c r="F59" s="2243" t="s">
        <v>717</v>
      </c>
      <c r="G59" s="2244"/>
      <c r="H59" s="2066"/>
      <c r="I59" s="2067">
        <f>H58*I57</f>
        <v>0</v>
      </c>
      <c r="J59" s="2066"/>
      <c r="K59" s="2067">
        <f>J58*K57</f>
        <v>0</v>
      </c>
      <c r="L59" s="2066"/>
      <c r="M59" s="2067">
        <f>L58*M57</f>
        <v>0</v>
      </c>
      <c r="N59" s="2066"/>
      <c r="O59" s="2067">
        <f>N58*O57</f>
        <v>0</v>
      </c>
      <c r="P59" s="2066"/>
      <c r="Q59" s="2067">
        <f>P58*Q57</f>
        <v>0</v>
      </c>
      <c r="R59" s="2066"/>
      <c r="S59" s="2067">
        <f>R58*S57</f>
        <v>0</v>
      </c>
    </row>
    <row r="60" spans="1:19" x14ac:dyDescent="0.35">
      <c r="A60" s="2239"/>
      <c r="B60" s="2240"/>
      <c r="C60" s="2241"/>
      <c r="D60" s="2241"/>
      <c r="E60" s="2242"/>
      <c r="F60" s="2243"/>
      <c r="G60" s="2244"/>
      <c r="H60" s="2066"/>
      <c r="I60" s="2068"/>
      <c r="J60" s="2066"/>
      <c r="K60" s="2068"/>
      <c r="L60" s="2066"/>
      <c r="M60" s="2068"/>
      <c r="N60" s="2066"/>
      <c r="O60" s="2068"/>
      <c r="P60" s="2066"/>
      <c r="Q60" s="2068"/>
      <c r="R60" s="2066"/>
      <c r="S60" s="2068"/>
    </row>
    <row r="61" spans="1:19" x14ac:dyDescent="0.35">
      <c r="A61" s="2239"/>
      <c r="B61" s="2240"/>
      <c r="C61" s="2241"/>
      <c r="D61" s="2241"/>
      <c r="E61" s="2242"/>
      <c r="F61" s="2243" t="s">
        <v>718</v>
      </c>
      <c r="G61" s="2244"/>
      <c r="H61" s="2069"/>
      <c r="I61" s="2070">
        <f>SUM(I57:I59)</f>
        <v>0</v>
      </c>
      <c r="J61" s="2069"/>
      <c r="K61" s="2070">
        <f>SUM(K57:K59)</f>
        <v>0</v>
      </c>
      <c r="L61" s="2069"/>
      <c r="M61" s="2070">
        <f>SUM(M57:M59)</f>
        <v>0</v>
      </c>
      <c r="N61" s="2069"/>
      <c r="O61" s="2070">
        <f>SUM(O57:O59)</f>
        <v>0</v>
      </c>
      <c r="P61" s="2069"/>
      <c r="Q61" s="2070">
        <f>SUM(Q57:Q59)</f>
        <v>0</v>
      </c>
      <c r="R61" s="2069"/>
      <c r="S61" s="2070">
        <f>SUM(S57:S59)</f>
        <v>0</v>
      </c>
    </row>
    <row r="62" spans="1:19" x14ac:dyDescent="0.35">
      <c r="A62" s="2239"/>
      <c r="B62" s="2240"/>
      <c r="C62" s="2241"/>
      <c r="D62" s="2241"/>
      <c r="E62" s="2242"/>
      <c r="F62" s="2255" t="s">
        <v>719</v>
      </c>
      <c r="G62" s="2256"/>
      <c r="H62" s="2073"/>
      <c r="I62" s="2074" t="e">
        <f>I61/#REF!</f>
        <v>#REF!</v>
      </c>
      <c r="J62" s="2073"/>
      <c r="K62" s="2074" t="e">
        <f>K61/#REF!</f>
        <v>#REF!</v>
      </c>
      <c r="L62" s="2073"/>
      <c r="M62" s="2074" t="e">
        <f>M61/#REF!</f>
        <v>#REF!</v>
      </c>
      <c r="N62" s="2073"/>
      <c r="O62" s="2074" t="e">
        <f>O61/#REF!</f>
        <v>#REF!</v>
      </c>
      <c r="P62" s="2073"/>
      <c r="Q62" s="2074" t="e">
        <f>Q61/#REF!</f>
        <v>#REF!</v>
      </c>
      <c r="R62" s="2073"/>
      <c r="S62" s="2074" t="e">
        <f>S61/#REF!</f>
        <v>#REF!</v>
      </c>
    </row>
    <row r="63" spans="1:19" x14ac:dyDescent="0.35">
      <c r="A63" s="2239"/>
      <c r="B63" s="2240"/>
      <c r="C63" s="2241"/>
      <c r="D63" s="2241"/>
      <c r="E63" s="2242"/>
      <c r="F63" s="2255" t="s">
        <v>720</v>
      </c>
      <c r="G63" s="2260"/>
      <c r="H63" s="2073"/>
      <c r="I63" s="2074" t="e">
        <f>I61/#REF!</f>
        <v>#REF!</v>
      </c>
      <c r="J63" s="2073"/>
      <c r="K63" s="2074" t="e">
        <f>K61/#REF!</f>
        <v>#REF!</v>
      </c>
      <c r="L63" s="2073"/>
      <c r="M63" s="2074" t="e">
        <f>M61/#REF!</f>
        <v>#REF!</v>
      </c>
      <c r="N63" s="2073"/>
      <c r="O63" s="2074" t="e">
        <f>O61/#REF!</f>
        <v>#REF!</v>
      </c>
      <c r="P63" s="2073"/>
      <c r="Q63" s="2074" t="e">
        <f>Q61/#REF!</f>
        <v>#REF!</v>
      </c>
      <c r="R63" s="2073"/>
      <c r="S63" s="2074" t="e">
        <f>S61/#REF!</f>
        <v>#REF!</v>
      </c>
    </row>
    <row r="64" spans="1:19" ht="15" thickBot="1" x14ac:dyDescent="0.4">
      <c r="A64" s="2239"/>
      <c r="B64" s="2240"/>
      <c r="C64" s="2241"/>
      <c r="D64" s="2241"/>
      <c r="E64" s="2242"/>
      <c r="F64" s="2243"/>
      <c r="G64" s="2261"/>
      <c r="H64" s="2077"/>
      <c r="I64" s="2078"/>
      <c r="J64" s="2077"/>
      <c r="K64" s="2078"/>
      <c r="L64" s="2077"/>
      <c r="M64" s="2078"/>
      <c r="N64" s="2077"/>
      <c r="O64" s="2078"/>
      <c r="P64" s="2077"/>
      <c r="Q64" s="2078"/>
      <c r="R64" s="2077"/>
      <c r="S64" s="2078"/>
    </row>
    <row r="65" spans="1:19" ht="15.5" thickTop="1" thickBot="1" x14ac:dyDescent="0.4">
      <c r="A65" s="3764" t="s">
        <v>721</v>
      </c>
      <c r="B65" s="3765"/>
      <c r="C65" s="12"/>
      <c r="D65" s="12"/>
      <c r="E65" s="12"/>
      <c r="F65" s="12"/>
      <c r="G65" s="13"/>
      <c r="H65" s="21"/>
      <c r="I65" s="21"/>
      <c r="J65" s="21"/>
      <c r="K65" s="21"/>
      <c r="L65" s="21"/>
      <c r="M65" s="21"/>
      <c r="N65" s="21"/>
      <c r="O65" s="21"/>
      <c r="P65" s="21"/>
      <c r="Q65" s="21"/>
      <c r="R65" s="21"/>
      <c r="S65" s="21"/>
    </row>
    <row r="66" spans="1:19" ht="15" thickTop="1" x14ac:dyDescent="0.35">
      <c r="A66" s="2432"/>
      <c r="B66" s="2284"/>
      <c r="C66" s="2415"/>
      <c r="D66" s="2415"/>
      <c r="E66" s="2415"/>
      <c r="F66" s="2415"/>
      <c r="G66" s="2416"/>
      <c r="H66" s="2455"/>
      <c r="I66" s="2455"/>
      <c r="J66" s="2455"/>
      <c r="K66" s="2455"/>
      <c r="L66" s="2455"/>
      <c r="M66" s="2455"/>
      <c r="N66" s="2455"/>
      <c r="O66" s="2455"/>
      <c r="P66" s="2455"/>
      <c r="Q66" s="2455"/>
      <c r="R66" s="2455"/>
      <c r="S66" s="2455"/>
    </row>
    <row r="67" spans="1:19" s="2" customFormat="1" x14ac:dyDescent="0.35">
      <c r="A67" s="2432"/>
      <c r="B67" s="2284"/>
      <c r="C67" s="2415"/>
      <c r="D67" s="2415"/>
      <c r="E67" s="2415"/>
      <c r="F67" s="2415"/>
      <c r="G67" s="2416"/>
      <c r="H67" s="2455"/>
      <c r="I67" s="2455"/>
      <c r="J67" s="2455"/>
      <c r="K67" s="2455"/>
      <c r="L67" s="2455"/>
      <c r="M67" s="2455"/>
      <c r="N67" s="2455"/>
      <c r="O67" s="2455"/>
      <c r="P67" s="2455"/>
      <c r="Q67" s="2455"/>
      <c r="R67" s="2455"/>
      <c r="S67" s="2455"/>
    </row>
    <row r="68" spans="1:19" s="2" customFormat="1" ht="15" thickBot="1" x14ac:dyDescent="0.4">
      <c r="A68" s="2432"/>
      <c r="B68" s="2284"/>
      <c r="C68" s="2415"/>
      <c r="D68" s="2415"/>
      <c r="E68" s="2415"/>
      <c r="F68" s="2415"/>
      <c r="G68" s="2416"/>
      <c r="H68" s="2455"/>
      <c r="I68" s="2455"/>
      <c r="J68" s="2455"/>
      <c r="K68" s="2455"/>
      <c r="L68" s="2455"/>
      <c r="M68" s="2455"/>
      <c r="N68" s="2455"/>
      <c r="O68" s="2455"/>
      <c r="P68" s="2455"/>
      <c r="Q68" s="2455"/>
      <c r="R68" s="2455"/>
      <c r="S68" s="2455"/>
    </row>
    <row r="69" spans="1:19" ht="15.5" thickTop="1" thickBot="1" x14ac:dyDescent="0.4">
      <c r="A69" s="3764" t="s">
        <v>722</v>
      </c>
      <c r="B69" s="3765"/>
      <c r="C69" s="12"/>
      <c r="D69" s="12"/>
      <c r="E69" s="12"/>
      <c r="F69" s="12"/>
      <c r="G69" s="13"/>
      <c r="H69" s="21"/>
      <c r="I69" s="21"/>
      <c r="J69" s="21"/>
      <c r="K69" s="21"/>
      <c r="L69" s="21"/>
      <c r="M69" s="21"/>
      <c r="N69" s="21"/>
      <c r="O69" s="21"/>
      <c r="P69" s="21"/>
      <c r="Q69" s="21"/>
      <c r="R69" s="21"/>
      <c r="S69" s="21"/>
    </row>
    <row r="70" spans="1:19" s="2" customFormat="1" ht="15" thickTop="1" x14ac:dyDescent="0.35">
      <c r="A70" s="2432"/>
      <c r="B70" s="2284"/>
      <c r="C70" s="2415"/>
      <c r="D70" s="2415"/>
      <c r="E70" s="2415"/>
      <c r="F70" s="2415"/>
      <c r="G70" s="2416"/>
      <c r="H70" s="2455"/>
      <c r="I70" s="2455"/>
      <c r="J70" s="2455"/>
      <c r="K70" s="2455"/>
      <c r="L70" s="2455"/>
      <c r="M70" s="2455"/>
      <c r="N70" s="2455"/>
      <c r="O70" s="2455"/>
      <c r="P70" s="2455"/>
      <c r="Q70" s="2455"/>
      <c r="R70" s="2455"/>
      <c r="S70" s="2455"/>
    </row>
    <row r="71" spans="1:19" s="2" customFormat="1" x14ac:dyDescent="0.35">
      <c r="A71" s="2432"/>
      <c r="B71" s="2284"/>
      <c r="C71" s="2415"/>
      <c r="D71" s="2415"/>
      <c r="E71" s="2415"/>
      <c r="F71" s="2415"/>
      <c r="G71" s="2416"/>
      <c r="H71" s="2455"/>
      <c r="I71" s="2455"/>
      <c r="J71" s="2455"/>
      <c r="K71" s="2455"/>
      <c r="L71" s="2455"/>
      <c r="M71" s="2455"/>
      <c r="N71" s="2455"/>
      <c r="O71" s="2455"/>
      <c r="P71" s="2455"/>
      <c r="Q71" s="2455"/>
      <c r="R71" s="2455"/>
      <c r="S71" s="2455"/>
    </row>
    <row r="72" spans="1:19" ht="15" thickBot="1" x14ac:dyDescent="0.4">
      <c r="A72" s="2432"/>
      <c r="B72" s="2284"/>
      <c r="C72" s="2415"/>
      <c r="D72" s="2415"/>
      <c r="E72" s="2415"/>
      <c r="F72" s="2415"/>
      <c r="G72" s="2416"/>
      <c r="H72" s="2455"/>
      <c r="I72" s="2455"/>
      <c r="J72" s="2455"/>
      <c r="K72" s="2455"/>
      <c r="L72" s="2455"/>
      <c r="M72" s="2455"/>
      <c r="N72" s="2455"/>
      <c r="O72" s="2455"/>
      <c r="P72" s="2455"/>
      <c r="Q72" s="2455"/>
      <c r="R72" s="2455"/>
      <c r="S72" s="2455"/>
    </row>
    <row r="73" spans="1:19" ht="15.5" thickTop="1" thickBot="1" x14ac:dyDescent="0.4">
      <c r="A73" s="3764" t="s">
        <v>723</v>
      </c>
      <c r="B73" s="3765"/>
      <c r="C73" s="12"/>
      <c r="D73" s="12"/>
      <c r="E73" s="12"/>
      <c r="F73" s="12"/>
      <c r="G73" s="13"/>
      <c r="H73" s="21"/>
      <c r="I73" s="21"/>
      <c r="J73" s="21"/>
      <c r="K73" s="21"/>
      <c r="L73" s="21"/>
      <c r="M73" s="21"/>
      <c r="N73" s="21"/>
      <c r="O73" s="21"/>
      <c r="P73" s="21"/>
      <c r="Q73" s="21"/>
      <c r="R73" s="21"/>
      <c r="S73" s="21"/>
    </row>
    <row r="74" spans="1:19" ht="15" thickTop="1" x14ac:dyDescent="0.35">
      <c r="A74" s="2432"/>
      <c r="B74" s="2284"/>
      <c r="C74" s="2415"/>
      <c r="D74" s="2415"/>
      <c r="E74" s="2415"/>
      <c r="F74" s="2415"/>
      <c r="G74" s="2416"/>
      <c r="H74" s="2455"/>
      <c r="I74" s="2455"/>
      <c r="J74" s="2455"/>
      <c r="K74" s="2455"/>
      <c r="L74" s="2455"/>
      <c r="M74" s="2455"/>
      <c r="N74" s="2455"/>
      <c r="O74" s="2455"/>
      <c r="P74" s="2455"/>
      <c r="Q74" s="2455"/>
      <c r="R74" s="2455"/>
      <c r="S74" s="2455"/>
    </row>
    <row r="75" spans="1:19" x14ac:dyDescent="0.35">
      <c r="A75" s="2286"/>
      <c r="B75" s="2284"/>
      <c r="C75" s="2285"/>
      <c r="D75" s="2285"/>
      <c r="E75" s="2285"/>
      <c r="F75" s="2285"/>
      <c r="G75" s="2198"/>
      <c r="H75" s="2081"/>
      <c r="I75" s="2081"/>
      <c r="J75" s="2081"/>
      <c r="K75" s="2081"/>
      <c r="L75" s="2081"/>
      <c r="M75" s="2081"/>
      <c r="N75" s="2081"/>
      <c r="O75" s="2081"/>
      <c r="P75" s="2081"/>
      <c r="Q75" s="2081"/>
      <c r="R75" s="2081"/>
      <c r="S75" s="2081"/>
    </row>
    <row r="76" spans="1:19" ht="15" thickBot="1" x14ac:dyDescent="0.4">
      <c r="A76" s="2269"/>
      <c r="B76" s="2270"/>
      <c r="C76" s="2285"/>
      <c r="D76" s="2285"/>
      <c r="E76" s="2285"/>
      <c r="F76" s="2285"/>
      <c r="G76" s="2198"/>
      <c r="H76" s="2084"/>
      <c r="I76" s="2084"/>
      <c r="J76" s="2084"/>
      <c r="K76" s="2084"/>
      <c r="L76" s="2084"/>
      <c r="M76" s="2084"/>
      <c r="N76" s="2084"/>
      <c r="O76" s="2084"/>
      <c r="P76" s="2084"/>
      <c r="Q76" s="2084"/>
      <c r="R76" s="2084"/>
      <c r="S76" s="2084"/>
    </row>
    <row r="77" spans="1:19" ht="15.5" thickTop="1" thickBot="1" x14ac:dyDescent="0.4">
      <c r="A77" s="3764" t="s">
        <v>724</v>
      </c>
      <c r="B77" s="3765"/>
      <c r="C77" s="12"/>
      <c r="D77" s="12"/>
      <c r="E77" s="12"/>
      <c r="F77" s="12"/>
      <c r="G77" s="13"/>
      <c r="H77" s="21"/>
      <c r="I77" s="21"/>
      <c r="J77" s="21"/>
      <c r="K77" s="21"/>
      <c r="L77" s="21"/>
      <c r="M77" s="21"/>
      <c r="N77" s="21"/>
      <c r="O77" s="21"/>
      <c r="P77" s="21"/>
      <c r="Q77" s="21"/>
      <c r="R77" s="21"/>
      <c r="S77" s="21"/>
    </row>
    <row r="78" spans="1:19" ht="15" thickTop="1" x14ac:dyDescent="0.35">
      <c r="A78" s="2434"/>
      <c r="B78" s="2417"/>
      <c r="C78" s="2415"/>
      <c r="D78" s="2415"/>
      <c r="E78" s="2415"/>
      <c r="F78" s="2415"/>
      <c r="G78" s="2416"/>
      <c r="H78" s="2455"/>
      <c r="I78" s="2455"/>
      <c r="J78" s="2455"/>
      <c r="K78" s="2455"/>
      <c r="L78" s="2455"/>
      <c r="M78" s="2455"/>
      <c r="N78" s="2455"/>
      <c r="O78" s="2455"/>
      <c r="P78" s="2455"/>
      <c r="Q78" s="2455"/>
      <c r="R78" s="2455"/>
      <c r="S78" s="2455"/>
    </row>
    <row r="79" spans="1:19" x14ac:dyDescent="0.35">
      <c r="A79" s="2269"/>
      <c r="B79" s="2270"/>
      <c r="C79" s="2285"/>
      <c r="D79" s="2285"/>
      <c r="E79" s="2285"/>
      <c r="F79" s="2285"/>
      <c r="G79" s="2198"/>
      <c r="H79" s="2087"/>
      <c r="I79" s="2087"/>
      <c r="J79" s="2087"/>
      <c r="K79" s="2087"/>
      <c r="L79" s="2087"/>
      <c r="M79" s="2087"/>
      <c r="N79" s="2087"/>
      <c r="O79" s="2087"/>
      <c r="P79" s="2087"/>
      <c r="Q79" s="2087"/>
      <c r="R79" s="2087"/>
      <c r="S79" s="2087"/>
    </row>
    <row r="80" spans="1:19" ht="15" thickBot="1" x14ac:dyDescent="0.4">
      <c r="A80" s="2269"/>
      <c r="B80" s="2270"/>
      <c r="C80" s="2285"/>
      <c r="D80" s="2285"/>
      <c r="E80" s="2285"/>
      <c r="F80" s="2285"/>
      <c r="G80" s="2198"/>
      <c r="H80" s="2087"/>
      <c r="I80" s="2087"/>
      <c r="J80" s="2087"/>
      <c r="K80" s="2087"/>
      <c r="L80" s="2087"/>
      <c r="M80" s="2087"/>
      <c r="N80" s="2087"/>
      <c r="O80" s="2087"/>
      <c r="P80" s="2087"/>
      <c r="Q80" s="2087"/>
      <c r="R80" s="2087"/>
      <c r="S80" s="2087"/>
    </row>
    <row r="81" spans="1:19" ht="15.5" thickTop="1" thickBot="1" x14ac:dyDescent="0.4">
      <c r="A81" s="3764" t="s">
        <v>725</v>
      </c>
      <c r="B81" s="3765"/>
      <c r="C81" s="12"/>
      <c r="D81" s="12"/>
      <c r="E81" s="12"/>
      <c r="F81" s="12"/>
      <c r="G81" s="13"/>
      <c r="H81" s="21"/>
      <c r="I81" s="21"/>
      <c r="J81" s="21"/>
      <c r="K81" s="21"/>
      <c r="L81" s="21"/>
      <c r="M81" s="21"/>
      <c r="N81" s="21"/>
      <c r="O81" s="21"/>
      <c r="P81" s="21"/>
      <c r="Q81" s="21"/>
      <c r="R81" s="21"/>
      <c r="S81" s="21"/>
    </row>
    <row r="82" spans="1:19" ht="15" thickTop="1" x14ac:dyDescent="0.35">
      <c r="A82" s="2286"/>
      <c r="B82" s="2284" t="s">
        <v>726</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727</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728</v>
      </c>
      <c r="C84" s="2285"/>
      <c r="D84" s="2285"/>
      <c r="E84" s="2285"/>
      <c r="F84" s="2285"/>
      <c r="G84" s="2198"/>
      <c r="H84" s="2087"/>
      <c r="I84" s="2087"/>
      <c r="J84" s="2087"/>
      <c r="K84" s="2087"/>
      <c r="L84" s="2087"/>
      <c r="M84" s="2087"/>
      <c r="N84" s="2087"/>
      <c r="O84" s="2087"/>
      <c r="P84" s="2087"/>
      <c r="Q84" s="2087"/>
      <c r="R84" s="2087"/>
      <c r="S84" s="2087"/>
    </row>
    <row r="85" spans="1:19" x14ac:dyDescent="0.35">
      <c r="A85" s="2286"/>
      <c r="B85" s="2284" t="s">
        <v>729</v>
      </c>
      <c r="C85" s="2285"/>
      <c r="D85" s="2285"/>
      <c r="E85" s="2285"/>
      <c r="F85" s="2285"/>
      <c r="G85" s="2198"/>
      <c r="H85" s="2087"/>
      <c r="I85" s="2087"/>
      <c r="J85" s="2087"/>
      <c r="K85" s="2087"/>
      <c r="L85" s="2087"/>
      <c r="M85" s="2087"/>
      <c r="N85" s="2087"/>
      <c r="O85" s="2087"/>
      <c r="P85" s="2087"/>
      <c r="Q85" s="2087"/>
      <c r="R85" s="2087"/>
      <c r="S85" s="2087"/>
    </row>
    <row r="86" spans="1:19" ht="15" thickBot="1" x14ac:dyDescent="0.4">
      <c r="A86" s="978"/>
      <c r="B86" s="939"/>
      <c r="C86" s="940"/>
      <c r="D86" s="940"/>
      <c r="E86" s="940"/>
      <c r="F86" s="940"/>
      <c r="G86" s="1039"/>
      <c r="H86" s="981"/>
      <c r="I86" s="981"/>
      <c r="J86" s="981"/>
      <c r="K86" s="981"/>
      <c r="L86" s="981"/>
      <c r="M86" s="981"/>
      <c r="N86" s="981"/>
      <c r="O86" s="981"/>
      <c r="P86" s="981"/>
      <c r="Q86" s="981"/>
      <c r="R86" s="981"/>
      <c r="S86" s="981"/>
    </row>
    <row r="87" spans="1:19" ht="15.5" thickTop="1" thickBot="1" x14ac:dyDescent="0.4">
      <c r="A87" s="7" t="s">
        <v>730</v>
      </c>
      <c r="B87" s="8"/>
      <c r="C87" s="12"/>
      <c r="D87" s="12"/>
      <c r="E87" s="12"/>
      <c r="F87" s="12"/>
      <c r="G87" s="13"/>
      <c r="H87" s="21"/>
      <c r="I87" s="21"/>
      <c r="J87" s="21"/>
      <c r="K87" s="21"/>
      <c r="L87" s="21"/>
      <c r="M87" s="21"/>
      <c r="N87" s="21"/>
      <c r="O87" s="21"/>
      <c r="P87" s="21"/>
      <c r="Q87" s="21"/>
      <c r="R87" s="21"/>
      <c r="S87" s="21"/>
    </row>
    <row r="88" spans="1:19" ht="15" thickTop="1" x14ac:dyDescent="0.35">
      <c r="A88" s="2432"/>
      <c r="B88" s="2418" t="s">
        <v>731</v>
      </c>
      <c r="C88" s="2415"/>
      <c r="D88" s="2415"/>
      <c r="E88" s="2415"/>
      <c r="F88" s="2415"/>
      <c r="G88" s="2416"/>
      <c r="H88" s="2546"/>
      <c r="I88" s="2546"/>
      <c r="J88" s="2546"/>
      <c r="K88" s="2546"/>
      <c r="L88" s="2546"/>
      <c r="M88" s="2546"/>
      <c r="N88" s="2546"/>
      <c r="O88" s="2546"/>
      <c r="P88" s="2546"/>
      <c r="Q88" s="2546"/>
      <c r="R88" s="2546"/>
      <c r="S88" s="2546"/>
    </row>
    <row r="89" spans="1:19" x14ac:dyDescent="0.35">
      <c r="A89" s="2286"/>
      <c r="B89" s="2284" t="s">
        <v>732</v>
      </c>
      <c r="C89" s="2285"/>
      <c r="D89" s="2285"/>
      <c r="E89" s="2285"/>
      <c r="F89" s="2285"/>
      <c r="G89" s="2198"/>
      <c r="H89" s="2158"/>
      <c r="I89" s="2158"/>
      <c r="J89" s="2158"/>
      <c r="K89" s="2158"/>
      <c r="L89" s="2158"/>
      <c r="M89" s="2158"/>
      <c r="N89" s="2158"/>
      <c r="O89" s="2158"/>
      <c r="P89" s="2158"/>
      <c r="Q89" s="2158"/>
      <c r="R89" s="2158"/>
      <c r="S89" s="2158"/>
    </row>
    <row r="90" spans="1:19" ht="15" thickBot="1" x14ac:dyDescent="0.4">
      <c r="A90" s="2089"/>
      <c r="B90" s="2090" t="s">
        <v>733</v>
      </c>
      <c r="C90" s="2091"/>
      <c r="D90" s="2091"/>
      <c r="E90" s="2091"/>
      <c r="F90" s="2091"/>
      <c r="G90" s="2092"/>
      <c r="H90" s="2093"/>
      <c r="I90" s="2093"/>
      <c r="J90" s="2093"/>
      <c r="K90" s="2093"/>
      <c r="L90" s="2093"/>
      <c r="M90" s="2093"/>
      <c r="N90" s="2093"/>
      <c r="O90" s="2093"/>
      <c r="P90" s="2093"/>
      <c r="Q90" s="2093"/>
      <c r="R90" s="2093"/>
      <c r="S90" s="2093"/>
    </row>
    <row r="91" spans="1:19" ht="15.5" thickTop="1" thickBot="1" x14ac:dyDescent="0.4"/>
    <row r="92" spans="1:19" ht="15.5" thickTop="1" thickBot="1" x14ac:dyDescent="0.4">
      <c r="A92" s="78" t="s">
        <v>734</v>
      </c>
      <c r="B92" s="80"/>
    </row>
    <row r="93" spans="1:19" ht="15" thickTop="1" x14ac:dyDescent="0.35">
      <c r="A93" s="79" t="s">
        <v>632</v>
      </c>
      <c r="B93" s="2094"/>
    </row>
    <row r="94" spans="1:19" x14ac:dyDescent="0.35">
      <c r="A94" s="2279" t="s">
        <v>636</v>
      </c>
      <c r="B94" s="2094"/>
    </row>
    <row r="95" spans="1:19" x14ac:dyDescent="0.35">
      <c r="A95" s="2096" t="s">
        <v>639</v>
      </c>
      <c r="B95" s="2097"/>
    </row>
    <row r="96" spans="1:19" x14ac:dyDescent="0.35">
      <c r="A96" s="2096" t="s">
        <v>642</v>
      </c>
      <c r="B96" s="2159"/>
    </row>
    <row r="97" spans="1:2" ht="15" thickBot="1" x14ac:dyDescent="0.4">
      <c r="A97" s="2099" t="s">
        <v>735</v>
      </c>
      <c r="B97" s="2100"/>
    </row>
    <row r="98" spans="1:2" ht="15" thickTop="1" x14ac:dyDescent="0.35"/>
    <row r="99" spans="1:2" x14ac:dyDescent="0.35">
      <c r="A99" s="81"/>
      <c r="B99" s="1" t="s">
        <v>736</v>
      </c>
    </row>
    <row r="100" spans="1:2" x14ac:dyDescent="0.35">
      <c r="A100" s="82"/>
      <c r="B100" s="1" t="s">
        <v>737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81" priority="13" operator="equal">
      <formula>"X"</formula>
    </cfRule>
    <cfRule type="cellIs" dxfId="1080" priority="14" operator="equal">
      <formula>"I"</formula>
    </cfRule>
  </conditionalFormatting>
  <conditionalFormatting sqref="H34:H56">
    <cfRule type="cellIs" dxfId="1079" priority="1" operator="equal">
      <formula>"X"</formula>
    </cfRule>
    <cfRule type="cellIs" dxfId="1078" priority="2" operator="equal">
      <formula>"I"</formula>
    </cfRule>
  </conditionalFormatting>
  <conditionalFormatting sqref="J20:J30">
    <cfRule type="cellIs" dxfId="1077" priority="15" operator="equal">
      <formula>"X"</formula>
    </cfRule>
    <cfRule type="cellIs" dxfId="1076" priority="16" operator="equal">
      <formula>"I"</formula>
    </cfRule>
  </conditionalFormatting>
  <conditionalFormatting sqref="J34:J56">
    <cfRule type="cellIs" dxfId="1075" priority="3" operator="equal">
      <formula>"X"</formula>
    </cfRule>
    <cfRule type="cellIs" dxfId="1074" priority="4" operator="equal">
      <formula>"I"</formula>
    </cfRule>
  </conditionalFormatting>
  <conditionalFormatting sqref="L20:L30">
    <cfRule type="cellIs" dxfId="1073" priority="17" operator="equal">
      <formula>"X"</formula>
    </cfRule>
    <cfRule type="cellIs" dxfId="1072" priority="18" operator="equal">
      <formula>"I"</formula>
    </cfRule>
  </conditionalFormatting>
  <conditionalFormatting sqref="L34:L56">
    <cfRule type="cellIs" dxfId="1071" priority="5" operator="equal">
      <formula>"X"</formula>
    </cfRule>
    <cfRule type="cellIs" dxfId="1070" priority="6" operator="equal">
      <formula>"I"</formula>
    </cfRule>
  </conditionalFormatting>
  <conditionalFormatting sqref="N20:N30">
    <cfRule type="cellIs" dxfId="1069" priority="19" operator="equal">
      <formula>"X"</formula>
    </cfRule>
    <cfRule type="cellIs" dxfId="1068" priority="20" operator="equal">
      <formula>"I"</formula>
    </cfRule>
  </conditionalFormatting>
  <conditionalFormatting sqref="N34:N56">
    <cfRule type="cellIs" dxfId="1067" priority="7" operator="equal">
      <formula>"X"</formula>
    </cfRule>
    <cfRule type="cellIs" dxfId="1066" priority="8" operator="equal">
      <formula>"I"</formula>
    </cfRule>
  </conditionalFormatting>
  <conditionalFormatting sqref="P20:P30">
    <cfRule type="cellIs" dxfId="1065" priority="23" operator="equal">
      <formula>"X"</formula>
    </cfRule>
    <cfRule type="cellIs" dxfId="1064" priority="24" operator="equal">
      <formula>"I"</formula>
    </cfRule>
  </conditionalFormatting>
  <conditionalFormatting sqref="P34:P56">
    <cfRule type="cellIs" dxfId="1063" priority="9" operator="equal">
      <formula>"X"</formula>
    </cfRule>
    <cfRule type="cellIs" dxfId="1062" priority="10" operator="equal">
      <formula>"I"</formula>
    </cfRule>
  </conditionalFormatting>
  <conditionalFormatting sqref="R20:R30">
    <cfRule type="cellIs" dxfId="1061" priority="25" operator="equal">
      <formula>"X"</formula>
    </cfRule>
    <cfRule type="cellIs" dxfId="1060" priority="26" operator="equal">
      <formula>"I"</formula>
    </cfRule>
  </conditionalFormatting>
  <conditionalFormatting sqref="R32:R56">
    <cfRule type="cellIs" dxfId="1059" priority="11" operator="equal">
      <formula>"X"</formula>
    </cfRule>
    <cfRule type="cellIs" dxfId="1058" priority="12" operator="equal">
      <formula>"I"</formula>
    </cfRule>
  </conditionalFormatting>
  <hyperlinks>
    <hyperlink ref="B3" location="'Cost Summary'!A1" display="BACK TO SUMMARY SHEET" xr:uid="{32FCF9AF-46C8-4A4F-B239-90791E355048}"/>
  </hyperlink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000-571F-4DD9-8726-188118609417}">
  <sheetPr>
    <tabColor rgb="FF92D050"/>
  </sheetPr>
  <dimension ref="A1:U127"/>
  <sheetViews>
    <sheetView zoomScale="85" zoomScaleNormal="85" workbookViewId="0">
      <pane xSplit="2" ySplit="9" topLeftCell="C69" activePane="bottomRight" state="frozen"/>
      <selection pane="topRight" activeCell="C1" sqref="C1"/>
      <selection pane="bottomLeft" activeCell="A11" sqref="A11"/>
      <selection pane="bottomRight" activeCell="I49" sqref="I49"/>
    </sheetView>
  </sheetViews>
  <sheetFormatPr defaultRowHeight="14.5" x14ac:dyDescent="0.35"/>
  <cols>
    <col min="1" max="1" width="11" customWidth="1"/>
    <col min="2" max="2" width="70.7265625" style="1" customWidth="1"/>
    <col min="3" max="3" width="10.81640625" style="2" bestFit="1" customWidth="1"/>
    <col min="4" max="4" width="9.5429687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s>
  <sheetData>
    <row r="1" spans="1:21" x14ac:dyDescent="0.35">
      <c r="E1" s="152"/>
      <c r="F1" s="125"/>
      <c r="G1" s="123" t="s">
        <v>621</v>
      </c>
      <c r="M1" s="2" t="s">
        <v>2749</v>
      </c>
    </row>
    <row r="2" spans="1:21" x14ac:dyDescent="0.35">
      <c r="E2" s="152"/>
      <c r="F2" s="122" t="s">
        <v>622</v>
      </c>
      <c r="G2" s="123" t="s">
        <v>451</v>
      </c>
      <c r="H2" s="3751"/>
      <c r="I2" s="3751"/>
      <c r="J2" s="3751"/>
      <c r="K2" s="3751"/>
      <c r="L2" s="3751"/>
      <c r="M2" s="3751"/>
      <c r="N2" s="3751"/>
      <c r="O2" s="3751"/>
      <c r="P2" s="3751"/>
      <c r="Q2" s="3751"/>
      <c r="R2" s="3751"/>
      <c r="S2" s="3751"/>
      <c r="T2" s="3751"/>
      <c r="U2" s="3751"/>
    </row>
    <row r="3" spans="1:21" ht="19.5" x14ac:dyDescent="0.35">
      <c r="B3" s="137" t="s">
        <v>623</v>
      </c>
      <c r="E3" s="152"/>
      <c r="F3" s="124" t="s">
        <v>624</v>
      </c>
      <c r="G3" s="123" t="s">
        <v>557</v>
      </c>
      <c r="H3" s="3754" t="s">
        <v>625</v>
      </c>
      <c r="I3" s="3755"/>
      <c r="J3" s="3754" t="s">
        <v>626</v>
      </c>
      <c r="K3" s="3755"/>
      <c r="L3" s="3772" t="s">
        <v>626</v>
      </c>
      <c r="M3" s="3773"/>
      <c r="N3" s="3754" t="s">
        <v>627</v>
      </c>
      <c r="O3" s="3755"/>
      <c r="P3" s="3754" t="s">
        <v>628</v>
      </c>
      <c r="Q3" s="3755"/>
      <c r="R3" s="3754" t="s">
        <v>629</v>
      </c>
      <c r="S3" s="3755"/>
      <c r="T3" s="3754" t="s">
        <v>630</v>
      </c>
      <c r="U3" s="3755"/>
    </row>
    <row r="4" spans="1:21" x14ac:dyDescent="0.35">
      <c r="A4" s="3" t="s">
        <v>631</v>
      </c>
      <c r="B4" s="4" t="str">
        <f>'AREA CALC''s'!B4</f>
        <v>Alton Hilltop Gardens</v>
      </c>
      <c r="C4" s="5"/>
      <c r="D4" s="5"/>
      <c r="E4" s="5"/>
      <c r="F4" s="5"/>
      <c r="G4" s="6" t="s">
        <v>632</v>
      </c>
      <c r="H4" s="3898" t="s">
        <v>2750</v>
      </c>
      <c r="I4" s="3898"/>
      <c r="J4" s="3898" t="s">
        <v>2751</v>
      </c>
      <c r="K4" s="3898"/>
      <c r="L4" s="3898" t="s">
        <v>2752</v>
      </c>
      <c r="M4" s="3898"/>
      <c r="N4" s="3898" t="s">
        <v>2753</v>
      </c>
      <c r="O4" s="3898"/>
      <c r="P4" s="3898"/>
      <c r="Q4" s="3898"/>
      <c r="R4" s="3898"/>
      <c r="S4" s="3898"/>
      <c r="T4" s="3796"/>
      <c r="U4" s="3753"/>
    </row>
    <row r="5" spans="1:21" x14ac:dyDescent="0.35">
      <c r="A5" s="2283" t="s">
        <v>634</v>
      </c>
      <c r="B5" s="2284" t="s">
        <v>527</v>
      </c>
      <c r="C5" s="2285"/>
      <c r="D5" s="2285"/>
      <c r="E5" s="2285"/>
      <c r="F5" s="2285"/>
      <c r="G5" s="2194" t="s">
        <v>636</v>
      </c>
      <c r="H5" s="3950" t="s">
        <v>2754</v>
      </c>
      <c r="I5" s="3950"/>
      <c r="J5" s="3950" t="s">
        <v>2755</v>
      </c>
      <c r="K5" s="3950"/>
      <c r="L5" s="3950" t="s">
        <v>2755</v>
      </c>
      <c r="M5" s="3950"/>
      <c r="N5" s="3950" t="s">
        <v>2756</v>
      </c>
      <c r="O5" s="3950"/>
      <c r="P5" s="3950"/>
      <c r="Q5" s="3950"/>
      <c r="R5" s="3950"/>
      <c r="S5" s="3950"/>
      <c r="T5" s="3933"/>
      <c r="U5" s="3932"/>
    </row>
    <row r="6" spans="1:21" x14ac:dyDescent="0.35">
      <c r="A6" s="2283" t="s">
        <v>638</v>
      </c>
      <c r="B6" s="2195" t="s">
        <v>526</v>
      </c>
      <c r="C6" s="2285"/>
      <c r="D6" s="2285"/>
      <c r="E6" s="2285"/>
      <c r="F6" s="2285"/>
      <c r="G6" s="2194" t="s">
        <v>639</v>
      </c>
      <c r="H6" s="3949">
        <v>5612361106</v>
      </c>
      <c r="I6" s="3949"/>
      <c r="J6" s="3949">
        <v>4404799399</v>
      </c>
      <c r="K6" s="3949"/>
      <c r="L6" s="3949">
        <v>4404799399</v>
      </c>
      <c r="M6" s="3949"/>
      <c r="N6" s="3949">
        <v>2693927282</v>
      </c>
      <c r="O6" s="3949"/>
      <c r="P6" s="3949"/>
      <c r="Q6" s="3949"/>
      <c r="R6" s="3949"/>
      <c r="S6" s="3949"/>
      <c r="T6" s="3939"/>
      <c r="U6" s="3938"/>
    </row>
    <row r="7" spans="1:21" x14ac:dyDescent="0.35">
      <c r="A7" s="2283" t="s">
        <v>641</v>
      </c>
      <c r="B7" s="2196"/>
      <c r="C7" s="2285"/>
      <c r="D7" s="2285"/>
      <c r="E7" s="2285"/>
      <c r="F7" s="2285"/>
      <c r="G7" s="2194" t="s">
        <v>642</v>
      </c>
      <c r="H7" s="3951" t="s">
        <v>2757</v>
      </c>
      <c r="I7" s="3951"/>
      <c r="J7" s="3951" t="s">
        <v>2758</v>
      </c>
      <c r="K7" s="3951"/>
      <c r="L7" s="3951" t="s">
        <v>2758</v>
      </c>
      <c r="M7" s="3951"/>
      <c r="N7" s="3951" t="s">
        <v>2759</v>
      </c>
      <c r="O7" s="3951"/>
      <c r="P7" s="3951"/>
      <c r="Q7" s="3951"/>
      <c r="R7" s="3951"/>
      <c r="S7" s="3951"/>
      <c r="T7" s="3936"/>
      <c r="U7" s="3935"/>
    </row>
    <row r="8" spans="1:21" x14ac:dyDescent="0.35">
      <c r="A8" s="938" t="s">
        <v>644</v>
      </c>
      <c r="B8" s="939"/>
      <c r="C8" s="940"/>
      <c r="D8" s="940"/>
      <c r="E8" s="940"/>
      <c r="F8" s="940"/>
      <c r="G8" s="1024" t="s">
        <v>644</v>
      </c>
      <c r="H8" s="3958">
        <f>I88</f>
        <v>2001804</v>
      </c>
      <c r="I8" s="3958"/>
      <c r="J8" s="3958">
        <f>K88</f>
        <v>2034227</v>
      </c>
      <c r="K8" s="3958"/>
      <c r="L8" s="3958">
        <f>M88</f>
        <v>1889609</v>
      </c>
      <c r="M8" s="3958"/>
      <c r="N8" s="3958">
        <f>O88</f>
        <v>1888599</v>
      </c>
      <c r="O8" s="3958"/>
      <c r="P8" s="3958">
        <f>Q88</f>
        <v>0</v>
      </c>
      <c r="Q8" s="3958"/>
      <c r="R8" s="3958">
        <f>S88</f>
        <v>0</v>
      </c>
      <c r="S8" s="3958"/>
      <c r="T8" s="3943">
        <f>U88</f>
        <v>0</v>
      </c>
      <c r="U8" s="3944"/>
    </row>
    <row r="9" spans="1:2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idden="1" x14ac:dyDescent="0.35">
      <c r="A10" s="2286"/>
      <c r="B10" s="2419" t="s">
        <v>653</v>
      </c>
      <c r="C10" s="2285"/>
      <c r="D10" s="2285"/>
      <c r="E10" s="2285"/>
      <c r="F10" s="2285"/>
      <c r="G10" s="2198"/>
      <c r="H10" s="2107"/>
      <c r="I10" s="2107"/>
      <c r="J10" s="2107"/>
      <c r="K10" s="2107"/>
      <c r="L10" s="2107"/>
      <c r="M10" s="2107"/>
      <c r="N10" s="2107"/>
      <c r="O10" s="2107"/>
      <c r="P10" s="2107"/>
      <c r="Q10" s="2107"/>
      <c r="R10" s="2107"/>
      <c r="S10" s="2107"/>
      <c r="T10" s="2107"/>
      <c r="U10" s="2107"/>
    </row>
    <row r="11" spans="1:21"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row>
    <row r="12" spans="1:21"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row>
    <row r="13" spans="1:21"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row>
    <row r="14" spans="1:21"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row>
    <row r="15" spans="1:21"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row>
    <row r="16" spans="1:21"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row>
    <row r="17" spans="1:21"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row>
    <row r="18" spans="1:21"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row>
    <row r="19" spans="1:21"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row>
    <row r="20" spans="1:21" x14ac:dyDescent="0.35">
      <c r="A20" s="2441"/>
      <c r="B20" s="2284"/>
      <c r="C20" s="2201"/>
      <c r="D20" s="2285"/>
      <c r="E20" s="2285"/>
      <c r="F20" s="2285"/>
      <c r="G20" s="2198"/>
      <c r="H20" s="2109"/>
      <c r="I20" s="2107"/>
      <c r="J20" s="2109"/>
      <c r="K20" s="2107"/>
      <c r="L20" s="2109"/>
      <c r="M20" s="2107"/>
      <c r="N20" s="2109"/>
      <c r="O20" s="2107"/>
      <c r="P20" s="2109"/>
      <c r="Q20" s="2107"/>
      <c r="R20" s="2109"/>
      <c r="S20" s="2107"/>
      <c r="T20" s="2109"/>
      <c r="U20" s="2107"/>
    </row>
    <row r="21" spans="1:21" x14ac:dyDescent="0.35">
      <c r="A21" s="2441"/>
      <c r="B21" s="2203" t="s">
        <v>527</v>
      </c>
      <c r="C21" s="45"/>
      <c r="D21" s="46"/>
      <c r="E21" s="46"/>
      <c r="F21" s="46"/>
      <c r="G21" s="52"/>
      <c r="H21" s="2109"/>
      <c r="I21" s="2422"/>
      <c r="J21" s="2109"/>
      <c r="K21" s="2420"/>
      <c r="L21" s="2109"/>
      <c r="M21" s="2420"/>
      <c r="N21" s="2109"/>
      <c r="O21" s="2420"/>
      <c r="P21" s="2109"/>
      <c r="Q21" s="2420"/>
      <c r="R21" s="2109"/>
      <c r="S21" s="2420"/>
      <c r="T21" s="2109"/>
      <c r="U21" s="2420"/>
    </row>
    <row r="22" spans="1:21" x14ac:dyDescent="0.35">
      <c r="A22" s="2441"/>
      <c r="B22" s="606" t="s">
        <v>657</v>
      </c>
      <c r="C22" s="2201"/>
      <c r="D22" s="2285"/>
      <c r="E22" s="2285"/>
      <c r="F22" s="2285"/>
      <c r="G22" s="2198"/>
      <c r="H22" s="2109"/>
      <c r="I22" s="2422"/>
      <c r="J22" s="2109"/>
      <c r="K22" s="2420"/>
      <c r="L22" s="2109"/>
      <c r="M22" s="2420"/>
      <c r="N22" s="2109"/>
      <c r="O22" s="2420"/>
      <c r="P22" s="2109"/>
      <c r="Q22" s="2420"/>
      <c r="R22" s="2109"/>
      <c r="S22" s="2420"/>
      <c r="T22" s="2109"/>
      <c r="U22" s="2420"/>
    </row>
    <row r="23" spans="1:21" x14ac:dyDescent="0.35">
      <c r="A23" s="2441"/>
      <c r="B23" s="2552" t="s">
        <v>658</v>
      </c>
      <c r="C23" s="2201"/>
      <c r="D23" s="2285"/>
      <c r="E23" s="2285"/>
      <c r="F23" s="2285"/>
      <c r="G23" s="2198"/>
      <c r="H23" s="2109"/>
      <c r="I23" s="2422"/>
      <c r="J23" s="2109"/>
      <c r="K23" s="2420"/>
      <c r="L23" s="2109"/>
      <c r="M23" s="2420"/>
      <c r="N23" s="2109"/>
      <c r="O23" s="2420"/>
      <c r="P23" s="2109"/>
      <c r="Q23" s="2420"/>
      <c r="R23" s="2109"/>
      <c r="S23" s="2420"/>
      <c r="T23" s="2109"/>
      <c r="U23" s="2420"/>
    </row>
    <row r="24" spans="1:21" x14ac:dyDescent="0.35">
      <c r="A24" s="2441"/>
      <c r="B24" s="2552" t="s">
        <v>659</v>
      </c>
      <c r="C24" s="2208"/>
      <c r="D24" s="2285"/>
      <c r="E24" s="2285"/>
      <c r="F24" s="2285"/>
      <c r="G24" s="2198"/>
      <c r="H24" s="2109"/>
      <c r="I24" s="2422"/>
      <c r="J24" s="2109"/>
      <c r="K24" s="2420"/>
      <c r="L24" s="2109"/>
      <c r="M24" s="2420"/>
      <c r="N24" s="2109"/>
      <c r="O24" s="2420"/>
      <c r="P24" s="2109"/>
      <c r="Q24" s="2420"/>
      <c r="R24" s="2109"/>
      <c r="S24" s="2420"/>
      <c r="T24" s="2109"/>
      <c r="U24" s="2420"/>
    </row>
    <row r="25" spans="1:21" x14ac:dyDescent="0.35">
      <c r="A25" s="2429"/>
      <c r="B25" s="2553" t="s">
        <v>660</v>
      </c>
      <c r="C25" s="2208"/>
      <c r="D25" s="2285"/>
      <c r="E25" s="2285"/>
      <c r="F25" s="2285"/>
      <c r="G25" s="2198"/>
      <c r="H25" s="2109"/>
      <c r="I25" s="2422"/>
      <c r="J25" s="2109"/>
      <c r="K25" s="2420"/>
      <c r="L25" s="2109"/>
      <c r="M25" s="2420"/>
      <c r="N25" s="2109"/>
      <c r="O25" s="2420"/>
      <c r="P25" s="2109"/>
      <c r="Q25" s="2420"/>
      <c r="R25" s="2109"/>
      <c r="S25" s="2420"/>
      <c r="T25" s="2109"/>
      <c r="U25" s="2420"/>
    </row>
    <row r="26" spans="1:21" s="77" customFormat="1" x14ac:dyDescent="0.35">
      <c r="A26" s="2429"/>
      <c r="B26" s="2553" t="s">
        <v>661</v>
      </c>
      <c r="C26" s="2211"/>
      <c r="D26" s="2212"/>
      <c r="E26" s="2212"/>
      <c r="F26" s="2212"/>
      <c r="G26" s="2211"/>
      <c r="H26" s="2109"/>
      <c r="I26" s="2422"/>
      <c r="J26" s="2109"/>
      <c r="K26" s="2554"/>
      <c r="L26" s="2109"/>
      <c r="M26" s="2554"/>
      <c r="N26" s="2109"/>
      <c r="O26" s="2554"/>
      <c r="P26" s="2109"/>
      <c r="Q26" s="2554"/>
      <c r="R26" s="2109"/>
      <c r="S26" s="2554"/>
      <c r="T26" s="2109"/>
      <c r="U26" s="2554"/>
    </row>
    <row r="27" spans="1:21" s="77" customFormat="1" x14ac:dyDescent="0.35">
      <c r="A27" s="2441"/>
      <c r="B27" s="2553" t="s">
        <v>662</v>
      </c>
      <c r="C27" s="2211"/>
      <c r="D27" s="2212"/>
      <c r="E27" s="2212"/>
      <c r="F27" s="2212"/>
      <c r="G27" s="2211"/>
      <c r="H27" s="2109"/>
      <c r="I27" s="2422"/>
      <c r="J27" s="2109"/>
      <c r="K27" s="2554"/>
      <c r="L27" s="2109"/>
      <c r="M27" s="2554"/>
      <c r="N27" s="2109"/>
      <c r="O27" s="2554"/>
      <c r="P27" s="2109"/>
      <c r="Q27" s="2554"/>
      <c r="R27" s="2109"/>
      <c r="S27" s="2554"/>
      <c r="T27" s="2109"/>
      <c r="U27" s="2554"/>
    </row>
    <row r="28" spans="1:21" s="77" customFormat="1" x14ac:dyDescent="0.35">
      <c r="A28" s="2441"/>
      <c r="B28" s="2553" t="s">
        <v>663</v>
      </c>
      <c r="C28" s="2211"/>
      <c r="D28" s="2212"/>
      <c r="E28" s="2212"/>
      <c r="F28" s="2212"/>
      <c r="G28" s="2211"/>
      <c r="H28" s="2109"/>
      <c r="I28" s="2422"/>
      <c r="J28" s="2109"/>
      <c r="K28" s="2554"/>
      <c r="L28" s="2109"/>
      <c r="M28" s="2554"/>
      <c r="N28" s="2109"/>
      <c r="O28" s="2554"/>
      <c r="P28" s="2109"/>
      <c r="Q28" s="2554"/>
      <c r="R28" s="2109"/>
      <c r="S28" s="2554"/>
      <c r="T28" s="2109"/>
      <c r="U28" s="2554"/>
    </row>
    <row r="29" spans="1:21" s="77" customFormat="1" x14ac:dyDescent="0.35">
      <c r="A29" s="2441"/>
      <c r="B29" s="2553" t="s">
        <v>789</v>
      </c>
      <c r="C29" s="2211"/>
      <c r="D29" s="2212"/>
      <c r="E29" s="2212"/>
      <c r="F29" s="2212"/>
      <c r="G29" s="2211"/>
      <c r="H29" s="2109"/>
      <c r="I29" s="2422"/>
      <c r="J29" s="2109"/>
      <c r="K29" s="2554"/>
      <c r="L29" s="2109"/>
      <c r="M29" s="2554"/>
      <c r="N29" s="2109"/>
      <c r="O29" s="2554"/>
      <c r="P29" s="2109"/>
      <c r="Q29" s="2554"/>
      <c r="R29" s="2109"/>
      <c r="S29" s="2554"/>
      <c r="T29" s="2109"/>
      <c r="U29" s="2554"/>
    </row>
    <row r="30" spans="1:21" s="77" customFormat="1" x14ac:dyDescent="0.35">
      <c r="A30" s="2441"/>
      <c r="B30" s="2553" t="s">
        <v>790</v>
      </c>
      <c r="C30" s="2211"/>
      <c r="D30" s="2212"/>
      <c r="E30" s="2212"/>
      <c r="F30" s="2212"/>
      <c r="G30" s="2211"/>
      <c r="H30" s="2109"/>
      <c r="I30" s="2422"/>
      <c r="J30" s="2109"/>
      <c r="K30" s="2554"/>
      <c r="L30" s="2109"/>
      <c r="M30" s="2554"/>
      <c r="N30" s="2109"/>
      <c r="O30" s="2554"/>
      <c r="P30" s="2109"/>
      <c r="Q30" s="2554"/>
      <c r="R30" s="2109"/>
      <c r="S30" s="2554"/>
      <c r="T30" s="2109"/>
      <c r="U30" s="2554"/>
    </row>
    <row r="31" spans="1:21" s="77" customFormat="1" x14ac:dyDescent="0.35">
      <c r="A31" s="2441"/>
      <c r="B31" s="2553" t="s">
        <v>791</v>
      </c>
      <c r="C31" s="2211"/>
      <c r="D31" s="2212"/>
      <c r="E31" s="2212"/>
      <c r="F31" s="2212"/>
      <c r="G31" s="2211"/>
      <c r="H31" s="2109"/>
      <c r="I31" s="2422"/>
      <c r="J31" s="2109"/>
      <c r="K31" s="2554"/>
      <c r="L31" s="2109"/>
      <c r="M31" s="2554"/>
      <c r="N31" s="2109"/>
      <c r="O31" s="2554"/>
      <c r="P31" s="2109"/>
      <c r="Q31" s="2554"/>
      <c r="R31" s="2109"/>
      <c r="S31" s="2554"/>
      <c r="T31" s="2109"/>
      <c r="U31" s="2554"/>
    </row>
    <row r="32" spans="1:21" s="77" customFormat="1" x14ac:dyDescent="0.35">
      <c r="A32" s="2441"/>
      <c r="B32" s="2555" t="s">
        <v>664</v>
      </c>
      <c r="C32" s="2211"/>
      <c r="D32" s="2212"/>
      <c r="E32" s="2212"/>
      <c r="F32" s="2212"/>
      <c r="G32" s="2211"/>
      <c r="H32" s="2109"/>
      <c r="I32" s="2422"/>
      <c r="J32" s="2109"/>
      <c r="K32" s="2554"/>
      <c r="L32" s="2109"/>
      <c r="M32" s="2554"/>
      <c r="N32" s="2109"/>
      <c r="O32" s="2554"/>
      <c r="P32" s="2109"/>
      <c r="Q32" s="2554"/>
      <c r="R32" s="2109"/>
      <c r="S32" s="2554"/>
      <c r="T32" s="2109"/>
      <c r="U32" s="2554"/>
    </row>
    <row r="33" spans="1:21" s="77" customFormat="1" x14ac:dyDescent="0.35">
      <c r="A33" s="2441"/>
      <c r="B33" s="2556" t="s">
        <v>665</v>
      </c>
      <c r="C33" s="2216"/>
      <c r="D33" s="2217"/>
      <c r="E33" s="2217"/>
      <c r="F33" s="2217"/>
      <c r="G33" s="2557">
        <f>SUM(G70:G73)</f>
        <v>1824400</v>
      </c>
      <c r="H33" s="2288"/>
      <c r="I33" s="2558">
        <v>1743120</v>
      </c>
      <c r="J33" s="2289"/>
      <c r="K33" s="2559">
        <f>1626866-19759</f>
        <v>1607107</v>
      </c>
      <c r="L33" s="2289"/>
      <c r="M33" s="2559"/>
      <c r="N33" s="2289"/>
      <c r="O33" s="2559">
        <v>1742239</v>
      </c>
      <c r="P33" s="2559"/>
      <c r="Q33" s="2559"/>
      <c r="R33" s="2559"/>
      <c r="S33" s="2559"/>
      <c r="T33" s="2559"/>
      <c r="U33" s="2559"/>
    </row>
    <row r="34" spans="1:21" s="161" customFormat="1" x14ac:dyDescent="0.35">
      <c r="A34" s="2560"/>
      <c r="B34" s="2561" t="s">
        <v>2753</v>
      </c>
      <c r="C34" s="2227"/>
      <c r="D34" s="2228"/>
      <c r="E34" s="2228"/>
      <c r="F34" s="2228"/>
      <c r="G34" s="2562"/>
      <c r="H34" s="2331"/>
      <c r="I34" s="2563"/>
      <c r="J34" s="2564"/>
      <c r="K34" s="2565"/>
      <c r="L34" s="2564"/>
      <c r="M34" s="2565"/>
      <c r="N34" s="2564"/>
      <c r="O34" s="2565"/>
      <c r="P34" s="2565"/>
      <c r="Q34" s="2565"/>
      <c r="R34" s="2565"/>
      <c r="S34" s="2565"/>
      <c r="T34" s="2565"/>
      <c r="U34" s="2565"/>
    </row>
    <row r="35" spans="1:21" s="77" customFormat="1" x14ac:dyDescent="0.35">
      <c r="A35" s="2441"/>
      <c r="B35" s="2566" t="s">
        <v>2760</v>
      </c>
      <c r="C35" s="2211"/>
      <c r="D35" s="2475">
        <v>432</v>
      </c>
      <c r="E35" s="2212"/>
      <c r="F35" s="2212"/>
      <c r="G35" s="2211"/>
      <c r="H35" s="2109" t="s">
        <v>671</v>
      </c>
      <c r="I35" s="2422"/>
      <c r="J35" s="2109" t="s">
        <v>671</v>
      </c>
      <c r="K35" s="2554"/>
      <c r="L35" s="2109" t="s">
        <v>671</v>
      </c>
      <c r="M35" s="2554"/>
      <c r="N35" s="2109" t="s">
        <v>669</v>
      </c>
      <c r="O35" s="2554"/>
      <c r="P35" s="2109"/>
      <c r="Q35" s="2554"/>
      <c r="R35" s="2109"/>
      <c r="S35" s="2554"/>
      <c r="T35" s="2109"/>
      <c r="U35" s="2554"/>
    </row>
    <row r="36" spans="1:21" s="77" customFormat="1" ht="25" x14ac:dyDescent="0.35">
      <c r="A36" s="2567"/>
      <c r="B36" s="2566" t="s">
        <v>2761</v>
      </c>
      <c r="C36" s="2236"/>
      <c r="D36" s="2475">
        <v>432</v>
      </c>
      <c r="E36" s="2212"/>
      <c r="F36" s="2212"/>
      <c r="G36" s="2211"/>
      <c r="H36" s="2109" t="s">
        <v>671</v>
      </c>
      <c r="I36" s="2422"/>
      <c r="J36" s="2109" t="s">
        <v>671</v>
      </c>
      <c r="K36" s="2554"/>
      <c r="L36" s="2109" t="s">
        <v>671</v>
      </c>
      <c r="M36" s="2554"/>
      <c r="N36" s="2109" t="s">
        <v>669</v>
      </c>
      <c r="O36" s="2554"/>
      <c r="P36" s="2109"/>
      <c r="Q36" s="2554"/>
      <c r="R36" s="2109"/>
      <c r="S36" s="2554"/>
      <c r="T36" s="2109"/>
      <c r="U36" s="2554"/>
    </row>
    <row r="37" spans="1:21" s="77" customFormat="1" x14ac:dyDescent="0.35">
      <c r="A37" s="2429"/>
      <c r="B37" s="2566" t="s">
        <v>2762</v>
      </c>
      <c r="C37" s="2236"/>
      <c r="D37" s="2475">
        <v>432</v>
      </c>
      <c r="E37" s="2341"/>
      <c r="F37" s="2342"/>
      <c r="G37" s="2211"/>
      <c r="H37" s="2109" t="s">
        <v>671</v>
      </c>
      <c r="I37" s="2422"/>
      <c r="J37" s="2109" t="s">
        <v>671</v>
      </c>
      <c r="K37" s="2554"/>
      <c r="L37" s="2109" t="s">
        <v>671</v>
      </c>
      <c r="M37" s="2554"/>
      <c r="N37" s="2109" t="s">
        <v>669</v>
      </c>
      <c r="O37" s="2554"/>
      <c r="P37" s="2109"/>
      <c r="Q37" s="2554"/>
      <c r="R37" s="2109"/>
      <c r="S37" s="2554"/>
      <c r="T37" s="2109"/>
      <c r="U37" s="2554"/>
    </row>
    <row r="38" spans="1:21" s="77" customFormat="1" x14ac:dyDescent="0.35">
      <c r="A38" s="2567"/>
      <c r="B38" s="2566" t="s">
        <v>2763</v>
      </c>
      <c r="C38" s="2236"/>
      <c r="D38" s="2475">
        <v>432</v>
      </c>
      <c r="E38" s="2341"/>
      <c r="F38" s="2342"/>
      <c r="G38" s="2211"/>
      <c r="H38" s="2109" t="s">
        <v>671</v>
      </c>
      <c r="I38" s="2563"/>
      <c r="J38" s="2109" t="s">
        <v>671</v>
      </c>
      <c r="K38" s="2554"/>
      <c r="L38" s="2109" t="s">
        <v>671</v>
      </c>
      <c r="M38" s="2554"/>
      <c r="N38" s="2109" t="s">
        <v>669</v>
      </c>
      <c r="O38" s="2554"/>
      <c r="P38" s="2109"/>
      <c r="Q38" s="2554"/>
      <c r="R38" s="2109"/>
      <c r="S38" s="2554"/>
      <c r="T38" s="2109"/>
      <c r="U38" s="2554"/>
    </row>
    <row r="39" spans="1:21" s="77" customFormat="1" x14ac:dyDescent="0.35">
      <c r="A39" s="2567"/>
      <c r="B39" s="2566" t="s">
        <v>2764</v>
      </c>
      <c r="C39" s="2236"/>
      <c r="D39" s="2475">
        <v>432</v>
      </c>
      <c r="E39" s="2341"/>
      <c r="F39" s="2342"/>
      <c r="G39" s="2211"/>
      <c r="H39" s="2109" t="s">
        <v>671</v>
      </c>
      <c r="I39" s="2563"/>
      <c r="J39" s="2109" t="s">
        <v>671</v>
      </c>
      <c r="K39" s="2554"/>
      <c r="L39" s="2109" t="s">
        <v>671</v>
      </c>
      <c r="M39" s="2554"/>
      <c r="N39" s="2109" t="s">
        <v>669</v>
      </c>
      <c r="O39" s="2554"/>
      <c r="P39" s="2109"/>
      <c r="Q39" s="2554"/>
      <c r="R39" s="2109"/>
      <c r="S39" s="2554"/>
      <c r="T39" s="2109"/>
      <c r="U39" s="2554"/>
    </row>
    <row r="40" spans="1:21" s="77" customFormat="1" ht="22.5" customHeight="1" x14ac:dyDescent="0.35">
      <c r="A40" s="2567"/>
      <c r="B40" s="2568" t="s">
        <v>2765</v>
      </c>
      <c r="C40" s="345"/>
      <c r="D40" s="2475">
        <v>432</v>
      </c>
      <c r="E40" s="2341"/>
      <c r="F40" s="2342"/>
      <c r="G40" s="2211"/>
      <c r="H40" s="2109" t="s">
        <v>671</v>
      </c>
      <c r="I40" s="2563"/>
      <c r="J40" s="2109" t="s">
        <v>671</v>
      </c>
      <c r="K40" s="2554"/>
      <c r="L40" s="2109" t="s">
        <v>671</v>
      </c>
      <c r="M40" s="2554"/>
      <c r="N40" s="2109"/>
      <c r="O40" s="2554"/>
      <c r="P40" s="2109"/>
      <c r="Q40" s="2554"/>
      <c r="R40" s="2109"/>
      <c r="S40" s="2554"/>
      <c r="T40" s="2109"/>
      <c r="U40" s="2554"/>
    </row>
    <row r="41" spans="1:21" s="77" customFormat="1" x14ac:dyDescent="0.35">
      <c r="A41" s="2567"/>
      <c r="B41" s="2568" t="s">
        <v>2766</v>
      </c>
      <c r="C41" s="387"/>
      <c r="D41" s="2475">
        <v>432</v>
      </c>
      <c r="E41" s="2341"/>
      <c r="F41" s="2342"/>
      <c r="G41" s="2211"/>
      <c r="H41" s="2109" t="s">
        <v>671</v>
      </c>
      <c r="I41" s="2563"/>
      <c r="J41" s="2109" t="s">
        <v>671</v>
      </c>
      <c r="K41" s="2554"/>
      <c r="L41" s="2109" t="s">
        <v>671</v>
      </c>
      <c r="M41" s="2554"/>
      <c r="N41" s="2109"/>
      <c r="O41" s="2554"/>
      <c r="P41" s="2109"/>
      <c r="Q41" s="2554"/>
      <c r="R41" s="2109"/>
      <c r="S41" s="2554"/>
      <c r="T41" s="2109"/>
      <c r="U41" s="2554"/>
    </row>
    <row r="42" spans="1:21" s="77" customFormat="1" x14ac:dyDescent="0.35">
      <c r="A42" s="2567"/>
      <c r="B42" s="2566" t="s">
        <v>2767</v>
      </c>
      <c r="C42" s="2569"/>
      <c r="D42" s="2475">
        <v>432</v>
      </c>
      <c r="E42" s="2341"/>
      <c r="F42" s="2342"/>
      <c r="G42" s="2211"/>
      <c r="H42" s="2109" t="s">
        <v>671</v>
      </c>
      <c r="I42" s="2563"/>
      <c r="J42" s="2109" t="s">
        <v>671</v>
      </c>
      <c r="K42" s="2554"/>
      <c r="L42" s="2109" t="s">
        <v>671</v>
      </c>
      <c r="M42" s="2554"/>
      <c r="N42" s="2109" t="s">
        <v>669</v>
      </c>
      <c r="O42" s="2554"/>
      <c r="P42" s="2109"/>
      <c r="Q42" s="2554"/>
      <c r="R42" s="2109"/>
      <c r="S42" s="2554"/>
      <c r="T42" s="2109"/>
      <c r="U42" s="2554"/>
    </row>
    <row r="43" spans="1:21" s="77" customFormat="1" x14ac:dyDescent="0.35">
      <c r="A43" s="2567"/>
      <c r="B43" s="2566" t="s">
        <v>2768</v>
      </c>
      <c r="C43" s="2236"/>
      <c r="D43" s="2475">
        <v>432</v>
      </c>
      <c r="E43" s="2341"/>
      <c r="F43" s="2342"/>
      <c r="G43" s="2211"/>
      <c r="H43" s="2109" t="s">
        <v>671</v>
      </c>
      <c r="I43" s="2563"/>
      <c r="J43" s="2109" t="s">
        <v>671</v>
      </c>
      <c r="K43" s="2554"/>
      <c r="L43" s="2109" t="s">
        <v>671</v>
      </c>
      <c r="M43" s="2554"/>
      <c r="N43" s="2109" t="s">
        <v>669</v>
      </c>
      <c r="O43" s="2554"/>
      <c r="P43" s="2109"/>
      <c r="Q43" s="2554"/>
      <c r="R43" s="2109"/>
      <c r="S43" s="2554"/>
      <c r="T43" s="2109"/>
      <c r="U43" s="2554"/>
    </row>
    <row r="44" spans="1:21" s="77" customFormat="1" x14ac:dyDescent="0.35">
      <c r="A44" s="2567"/>
      <c r="B44" s="2566"/>
      <c r="C44" s="2236"/>
      <c r="D44" s="2212"/>
      <c r="E44" s="2341"/>
      <c r="F44" s="2342"/>
      <c r="G44" s="2211"/>
      <c r="H44" s="2088"/>
      <c r="I44" s="2563"/>
      <c r="J44" s="2088"/>
      <c r="K44" s="2554"/>
      <c r="L44" s="2088"/>
      <c r="M44" s="2554"/>
      <c r="N44" s="2109"/>
      <c r="O44" s="2554"/>
      <c r="P44" s="2109"/>
      <c r="Q44" s="2554"/>
      <c r="R44" s="2109"/>
      <c r="S44" s="2554"/>
      <c r="T44" s="2109"/>
      <c r="U44" s="2554"/>
    </row>
    <row r="45" spans="1:21" s="77" customFormat="1" x14ac:dyDescent="0.35">
      <c r="A45" s="2567"/>
      <c r="B45" s="2570" t="s">
        <v>2750</v>
      </c>
      <c r="C45" s="2236"/>
      <c r="D45" s="2571"/>
      <c r="E45" s="2572"/>
      <c r="F45" s="2573"/>
      <c r="G45" s="2211"/>
      <c r="H45" s="2109"/>
      <c r="I45" s="2109"/>
      <c r="J45" s="2109"/>
      <c r="K45" s="2554"/>
      <c r="L45" s="2109"/>
      <c r="M45" s="2554"/>
      <c r="N45" s="2109"/>
      <c r="O45" s="2554"/>
      <c r="P45" s="2109"/>
      <c r="Q45" s="2554"/>
      <c r="R45" s="2109"/>
      <c r="S45" s="2554"/>
      <c r="T45" s="2109"/>
      <c r="U45" s="2554"/>
    </row>
    <row r="46" spans="1:21" s="77" customFormat="1" x14ac:dyDescent="0.35">
      <c r="A46" s="2567"/>
      <c r="B46" s="2566" t="s">
        <v>2769</v>
      </c>
      <c r="C46" s="2574"/>
      <c r="D46" s="2475">
        <v>432</v>
      </c>
      <c r="E46" s="522"/>
      <c r="F46" s="523"/>
      <c r="G46" s="2575"/>
      <c r="H46" s="2109" t="s">
        <v>669</v>
      </c>
      <c r="I46" s="2566"/>
      <c r="J46" s="2109" t="s">
        <v>671</v>
      </c>
      <c r="K46" s="2566"/>
      <c r="L46" s="2109" t="s">
        <v>671</v>
      </c>
      <c r="M46" s="2566"/>
      <c r="N46" s="2109" t="s">
        <v>671</v>
      </c>
      <c r="O46" s="2566"/>
      <c r="P46" s="2109"/>
      <c r="Q46" s="2566"/>
      <c r="R46" s="2109"/>
      <c r="S46" s="2566"/>
      <c r="T46" s="2109"/>
      <c r="U46" s="2554"/>
    </row>
    <row r="47" spans="1:21" s="77" customFormat="1" x14ac:dyDescent="0.35">
      <c r="A47" s="2567"/>
      <c r="B47" s="2576" t="s">
        <v>2770</v>
      </c>
      <c r="C47" s="2577"/>
      <c r="D47" s="2475">
        <v>432</v>
      </c>
      <c r="E47" s="524"/>
      <c r="F47" s="525"/>
      <c r="G47" s="2578"/>
      <c r="H47" s="2109" t="s">
        <v>669</v>
      </c>
      <c r="I47" s="2576"/>
      <c r="J47" s="2109" t="s">
        <v>671</v>
      </c>
      <c r="K47" s="2576"/>
      <c r="L47" s="2109" t="s">
        <v>671</v>
      </c>
      <c r="M47" s="2576"/>
      <c r="N47" s="2109" t="s">
        <v>671</v>
      </c>
      <c r="O47" s="2576"/>
      <c r="P47" s="2109"/>
      <c r="Q47" s="2576"/>
      <c r="R47" s="2109"/>
      <c r="S47" s="2576"/>
      <c r="T47" s="2109"/>
      <c r="U47" s="2554"/>
    </row>
    <row r="48" spans="1:21" s="77" customFormat="1" x14ac:dyDescent="0.35">
      <c r="A48" s="2567"/>
      <c r="B48" s="2576" t="s">
        <v>2771</v>
      </c>
      <c r="C48" s="2577"/>
      <c r="D48" s="2475">
        <v>432</v>
      </c>
      <c r="E48" s="526"/>
      <c r="F48" s="527"/>
      <c r="G48" s="2578"/>
      <c r="H48" s="2109" t="s">
        <v>669</v>
      </c>
      <c r="I48" s="2576"/>
      <c r="J48" s="2109" t="s">
        <v>671</v>
      </c>
      <c r="K48" s="2576"/>
      <c r="L48" s="2109" t="s">
        <v>671</v>
      </c>
      <c r="M48" s="2576"/>
      <c r="N48" s="2109" t="s">
        <v>671</v>
      </c>
      <c r="O48" s="2576"/>
      <c r="P48" s="2109"/>
      <c r="Q48" s="2576"/>
      <c r="R48" s="2109"/>
      <c r="S48" s="2576"/>
      <c r="T48" s="2109"/>
      <c r="U48" s="2554"/>
    </row>
    <row r="49" spans="1:21" s="77" customFormat="1" x14ac:dyDescent="0.35">
      <c r="A49" s="2567"/>
      <c r="B49" s="2566" t="s">
        <v>2772</v>
      </c>
      <c r="C49" s="2236"/>
      <c r="D49" s="2475">
        <v>432</v>
      </c>
      <c r="E49" s="637"/>
      <c r="F49" s="2579"/>
      <c r="G49" s="2211"/>
      <c r="H49" s="2109" t="s">
        <v>669</v>
      </c>
      <c r="I49" s="2563"/>
      <c r="J49" s="2109" t="s">
        <v>671</v>
      </c>
      <c r="K49" s="2554"/>
      <c r="L49" s="2109" t="s">
        <v>671</v>
      </c>
      <c r="M49" s="2554"/>
      <c r="N49" s="2109" t="s">
        <v>671</v>
      </c>
      <c r="O49" s="2554"/>
      <c r="P49" s="2109"/>
      <c r="Q49" s="2554"/>
      <c r="R49" s="2109"/>
      <c r="S49" s="2554"/>
      <c r="T49" s="2109"/>
      <c r="U49" s="2554"/>
    </row>
    <row r="50" spans="1:21" s="77" customFormat="1" x14ac:dyDescent="0.35">
      <c r="A50" s="2567"/>
      <c r="B50" s="2566" t="s">
        <v>2773</v>
      </c>
      <c r="C50" s="2236"/>
      <c r="D50" s="2475">
        <v>432</v>
      </c>
      <c r="E50" s="2341"/>
      <c r="F50" s="2342"/>
      <c r="G50" s="2211"/>
      <c r="H50" s="2109" t="s">
        <v>669</v>
      </c>
      <c r="I50" s="2563"/>
      <c r="J50" s="2109" t="s">
        <v>671</v>
      </c>
      <c r="K50" s="2554"/>
      <c r="L50" s="2109" t="s">
        <v>671</v>
      </c>
      <c r="M50" s="2554"/>
      <c r="N50" s="2109" t="s">
        <v>671</v>
      </c>
      <c r="O50" s="2554"/>
      <c r="P50" s="2109"/>
      <c r="Q50" s="2554"/>
      <c r="R50" s="2109"/>
      <c r="S50" s="2554"/>
      <c r="T50" s="2109"/>
      <c r="U50" s="2554"/>
    </row>
    <row r="51" spans="1:21" s="77" customFormat="1" x14ac:dyDescent="0.35">
      <c r="A51" s="2567"/>
      <c r="B51" s="2566" t="s">
        <v>2774</v>
      </c>
      <c r="C51" s="2236"/>
      <c r="D51" s="2475">
        <v>432</v>
      </c>
      <c r="E51" s="2341"/>
      <c r="F51" s="2342"/>
      <c r="G51" s="2211"/>
      <c r="H51" s="2109" t="s">
        <v>669</v>
      </c>
      <c r="I51" s="2563"/>
      <c r="J51" s="2109" t="s">
        <v>671</v>
      </c>
      <c r="K51" s="2554"/>
      <c r="L51" s="2109" t="s">
        <v>671</v>
      </c>
      <c r="M51" s="2554"/>
      <c r="N51" s="2109" t="s">
        <v>671</v>
      </c>
      <c r="O51" s="2554"/>
      <c r="P51" s="2109"/>
      <c r="Q51" s="2554"/>
      <c r="R51" s="2109"/>
      <c r="S51" s="2554"/>
      <c r="T51" s="2109"/>
      <c r="U51" s="2554"/>
    </row>
    <row r="52" spans="1:21" s="77" customFormat="1" x14ac:dyDescent="0.35">
      <c r="A52" s="2567"/>
      <c r="B52" s="2566"/>
      <c r="C52" s="2236"/>
      <c r="D52" s="2580"/>
      <c r="E52" s="2341"/>
      <c r="F52" s="2342"/>
      <c r="G52" s="2211"/>
      <c r="H52" s="2109"/>
      <c r="I52" s="2563"/>
      <c r="J52" s="2109"/>
      <c r="K52" s="2554"/>
      <c r="L52" s="2109"/>
      <c r="M52" s="2554"/>
      <c r="N52" s="2109"/>
      <c r="O52" s="2554"/>
      <c r="P52" s="2109"/>
      <c r="Q52" s="2554"/>
      <c r="R52" s="2109"/>
      <c r="S52" s="2554"/>
      <c r="T52" s="2109"/>
      <c r="U52" s="2554"/>
    </row>
    <row r="53" spans="1:21" s="77" customFormat="1" x14ac:dyDescent="0.35">
      <c r="A53" s="2429"/>
      <c r="B53" s="2570" t="s">
        <v>2775</v>
      </c>
      <c r="C53" s="2236"/>
      <c r="D53" s="2580"/>
      <c r="E53" s="2341"/>
      <c r="F53" s="2342"/>
      <c r="G53" s="2211"/>
      <c r="H53" s="2109"/>
      <c r="I53" s="2422"/>
      <c r="J53" s="2109" t="s">
        <v>669</v>
      </c>
      <c r="K53" s="2554"/>
      <c r="L53" s="2109" t="s">
        <v>669</v>
      </c>
      <c r="M53" s="2422">
        <v>1849152</v>
      </c>
      <c r="N53" s="2109"/>
      <c r="O53" s="2554"/>
      <c r="P53" s="2109"/>
      <c r="Q53" s="2554"/>
      <c r="R53" s="2109"/>
      <c r="S53" s="2554"/>
      <c r="T53" s="2109"/>
      <c r="U53" s="2554"/>
    </row>
    <row r="54" spans="1:21" s="77" customFormat="1" x14ac:dyDescent="0.35">
      <c r="A54" s="2567"/>
      <c r="B54" s="2566"/>
      <c r="C54" s="2236"/>
      <c r="D54" s="2581"/>
      <c r="E54" s="2341"/>
      <c r="F54" s="2342"/>
      <c r="G54" s="2211"/>
      <c r="H54" s="2109"/>
      <c r="I54" s="2422"/>
      <c r="J54" s="2109"/>
      <c r="K54" s="2582"/>
      <c r="L54" s="2109"/>
      <c r="M54" s="2422"/>
      <c r="N54" s="2109"/>
      <c r="O54" s="2554"/>
      <c r="P54" s="2109"/>
      <c r="Q54" s="2554"/>
      <c r="R54" s="2109"/>
      <c r="S54" s="2554"/>
      <c r="T54" s="2109"/>
      <c r="U54" s="2554"/>
    </row>
    <row r="55" spans="1:21" s="77" customFormat="1" x14ac:dyDescent="0.35">
      <c r="A55" s="2429"/>
      <c r="B55" s="2583" t="s">
        <v>80</v>
      </c>
      <c r="C55" s="2236"/>
      <c r="D55" s="2581"/>
      <c r="E55" s="2341"/>
      <c r="F55" s="2342"/>
      <c r="G55" s="2211"/>
      <c r="H55" s="2109"/>
      <c r="I55" s="2422"/>
      <c r="J55" s="2109"/>
      <c r="K55" s="2582"/>
      <c r="L55" s="2109"/>
      <c r="M55" s="2422">
        <v>40457</v>
      </c>
      <c r="N55" s="2109"/>
      <c r="O55" s="2584"/>
      <c r="P55" s="2109"/>
      <c r="Q55" s="2554"/>
      <c r="R55" s="2109"/>
      <c r="S55" s="2554"/>
      <c r="T55" s="2109"/>
      <c r="U55" s="2554"/>
    </row>
    <row r="56" spans="1:21" s="77" customFormat="1" x14ac:dyDescent="0.35">
      <c r="A56" s="2429"/>
      <c r="B56" s="2566" t="s">
        <v>2776</v>
      </c>
      <c r="C56" s="2236" t="s">
        <v>2777</v>
      </c>
      <c r="D56" s="2475">
        <v>1</v>
      </c>
      <c r="E56" s="2341"/>
      <c r="F56" s="2342"/>
      <c r="G56" s="2211"/>
      <c r="H56" s="2038" t="s">
        <v>654</v>
      </c>
      <c r="I56" s="2422">
        <v>2848</v>
      </c>
      <c r="J56" s="2109" t="s">
        <v>669</v>
      </c>
      <c r="K56" s="2422">
        <v>2848</v>
      </c>
      <c r="L56" s="2109" t="s">
        <v>669</v>
      </c>
      <c r="M56" s="2422"/>
      <c r="N56" s="2038" t="s">
        <v>654</v>
      </c>
      <c r="O56" s="2422">
        <v>2848</v>
      </c>
      <c r="P56" s="2109"/>
      <c r="Q56" s="2554"/>
      <c r="R56" s="2109"/>
      <c r="S56" s="2554"/>
      <c r="T56" s="2109"/>
      <c r="U56" s="2554"/>
    </row>
    <row r="57" spans="1:21" s="77" customFormat="1" x14ac:dyDescent="0.35">
      <c r="A57" s="2429"/>
      <c r="B57" s="2566" t="s">
        <v>2778</v>
      </c>
      <c r="C57" s="2236" t="s">
        <v>2777</v>
      </c>
      <c r="D57" s="2475">
        <v>1</v>
      </c>
      <c r="E57" s="2341"/>
      <c r="F57" s="2342"/>
      <c r="G57" s="2211"/>
      <c r="H57" s="2038" t="s">
        <v>654</v>
      </c>
      <c r="I57" s="2422">
        <v>1827</v>
      </c>
      <c r="J57" s="2109" t="s">
        <v>669</v>
      </c>
      <c r="K57" s="2422">
        <v>1827</v>
      </c>
      <c r="L57" s="2109" t="s">
        <v>669</v>
      </c>
      <c r="M57" s="2422"/>
      <c r="N57" s="2038" t="s">
        <v>654</v>
      </c>
      <c r="O57" s="2422">
        <v>1827</v>
      </c>
      <c r="P57" s="2109"/>
      <c r="Q57" s="2554"/>
      <c r="R57" s="2109"/>
      <c r="S57" s="2554"/>
      <c r="T57" s="2109"/>
      <c r="U57" s="2554"/>
    </row>
    <row r="58" spans="1:21" s="77" customFormat="1" x14ac:dyDescent="0.35">
      <c r="A58" s="2429"/>
      <c r="B58" s="2566" t="s">
        <v>2779</v>
      </c>
      <c r="C58" s="2236" t="s">
        <v>2777</v>
      </c>
      <c r="D58" s="2475">
        <v>1</v>
      </c>
      <c r="E58" s="2341"/>
      <c r="F58" s="2342"/>
      <c r="G58" s="2211"/>
      <c r="H58" s="2038" t="s">
        <v>654</v>
      </c>
      <c r="I58" s="2422">
        <v>1233</v>
      </c>
      <c r="J58" s="2109" t="s">
        <v>669</v>
      </c>
      <c r="K58" s="2422">
        <v>1233</v>
      </c>
      <c r="L58" s="2109" t="s">
        <v>669</v>
      </c>
      <c r="M58" s="2422"/>
      <c r="N58" s="2038" t="s">
        <v>654</v>
      </c>
      <c r="O58" s="2422">
        <v>1233</v>
      </c>
      <c r="P58" s="2109"/>
      <c r="Q58" s="2554"/>
      <c r="R58" s="2109"/>
      <c r="S58" s="2554"/>
      <c r="T58" s="2109"/>
      <c r="U58" s="2554"/>
    </row>
    <row r="59" spans="1:21" s="77" customFormat="1" x14ac:dyDescent="0.35">
      <c r="A59" s="2429"/>
      <c r="B59" s="2566" t="s">
        <v>2780</v>
      </c>
      <c r="C59" s="2236" t="s">
        <v>2777</v>
      </c>
      <c r="D59" s="2475">
        <v>1</v>
      </c>
      <c r="E59" s="2341"/>
      <c r="F59" s="2342"/>
      <c r="G59" s="2211"/>
      <c r="H59" s="2038" t="s">
        <v>654</v>
      </c>
      <c r="I59" s="2422">
        <v>1204</v>
      </c>
      <c r="J59" s="2109" t="s">
        <v>669</v>
      </c>
      <c r="K59" s="2422">
        <v>1204</v>
      </c>
      <c r="L59" s="2109" t="s">
        <v>669</v>
      </c>
      <c r="M59" s="2422"/>
      <c r="N59" s="2038" t="s">
        <v>654</v>
      </c>
      <c r="O59" s="2422">
        <v>1204</v>
      </c>
      <c r="P59" s="2109"/>
      <c r="Q59" s="2554"/>
      <c r="R59" s="2109"/>
      <c r="S59" s="2554"/>
      <c r="T59" s="2109"/>
      <c r="U59" s="2554"/>
    </row>
    <row r="60" spans="1:21" s="77" customFormat="1" x14ac:dyDescent="0.35">
      <c r="A60" s="2429"/>
      <c r="B60" s="2566" t="s">
        <v>2781</v>
      </c>
      <c r="C60" s="2236" t="s">
        <v>2777</v>
      </c>
      <c r="D60" s="2475">
        <v>1</v>
      </c>
      <c r="E60" s="2341"/>
      <c r="F60" s="2342"/>
      <c r="G60" s="2211"/>
      <c r="H60" s="2038" t="s">
        <v>654</v>
      </c>
      <c r="I60" s="2422">
        <v>1354</v>
      </c>
      <c r="J60" s="2109" t="s">
        <v>669</v>
      </c>
      <c r="K60" s="2422">
        <v>1354</v>
      </c>
      <c r="L60" s="2109" t="s">
        <v>669</v>
      </c>
      <c r="M60" s="2422"/>
      <c r="N60" s="2038" t="s">
        <v>654</v>
      </c>
      <c r="O60" s="2422">
        <v>1354</v>
      </c>
      <c r="P60" s="2109"/>
      <c r="Q60" s="2554"/>
      <c r="R60" s="2109"/>
      <c r="S60" s="2554"/>
      <c r="T60" s="2109"/>
      <c r="U60" s="2554"/>
    </row>
    <row r="61" spans="1:21" s="77" customFormat="1" x14ac:dyDescent="0.35">
      <c r="A61" s="2429"/>
      <c r="B61" s="2566" t="s">
        <v>2782</v>
      </c>
      <c r="C61" s="2236" t="s">
        <v>2777</v>
      </c>
      <c r="D61" s="2475">
        <v>1</v>
      </c>
      <c r="E61" s="2341"/>
      <c r="F61" s="2342"/>
      <c r="G61" s="2211"/>
      <c r="H61" s="2038" t="s">
        <v>654</v>
      </c>
      <c r="I61" s="2563">
        <v>11292</v>
      </c>
      <c r="J61" s="2109" t="s">
        <v>669</v>
      </c>
      <c r="K61" s="2563">
        <v>11292</v>
      </c>
      <c r="L61" s="2109" t="s">
        <v>669</v>
      </c>
      <c r="M61" s="2563"/>
      <c r="N61" s="2038" t="s">
        <v>654</v>
      </c>
      <c r="O61" s="2563">
        <v>11292</v>
      </c>
      <c r="P61" s="2109"/>
      <c r="Q61" s="2554"/>
      <c r="R61" s="2109"/>
      <c r="S61" s="2554"/>
      <c r="T61" s="2109"/>
      <c r="U61" s="2554"/>
    </row>
    <row r="62" spans="1:21" s="77" customFormat="1" x14ac:dyDescent="0.35">
      <c r="A62" s="2429"/>
      <c r="B62" s="2566" t="s">
        <v>1152</v>
      </c>
      <c r="C62" s="2236"/>
      <c r="D62" s="2475"/>
      <c r="E62" s="2341"/>
      <c r="F62" s="2342"/>
      <c r="G62" s="2211"/>
      <c r="H62" s="2038" t="s">
        <v>654</v>
      </c>
      <c r="I62" s="2422">
        <v>2000</v>
      </c>
      <c r="J62" s="2109" t="s">
        <v>669</v>
      </c>
      <c r="K62" s="2585"/>
      <c r="L62" s="2109" t="s">
        <v>669</v>
      </c>
      <c r="M62" s="2585"/>
      <c r="N62" s="2038" t="s">
        <v>654</v>
      </c>
      <c r="O62" s="2422">
        <v>2000</v>
      </c>
      <c r="P62" s="2109"/>
      <c r="Q62" s="2554"/>
      <c r="R62" s="2109"/>
      <c r="S62" s="2554"/>
      <c r="T62" s="2109"/>
      <c r="U62" s="2554"/>
    </row>
    <row r="63" spans="1:21" s="77" customFormat="1" x14ac:dyDescent="0.35">
      <c r="A63" s="2429"/>
      <c r="B63" s="2566"/>
      <c r="C63" s="2236"/>
      <c r="D63" s="2475"/>
      <c r="E63" s="2341"/>
      <c r="F63" s="2342"/>
      <c r="G63" s="2211"/>
      <c r="H63" s="2109"/>
      <c r="I63" s="2563"/>
      <c r="J63" s="2109"/>
      <c r="K63" s="2585"/>
      <c r="L63" s="2109"/>
      <c r="M63" s="2585"/>
      <c r="N63" s="2109"/>
      <c r="O63" s="2554"/>
      <c r="P63" s="2109"/>
      <c r="Q63" s="2554"/>
      <c r="R63" s="2109"/>
      <c r="S63" s="2554"/>
      <c r="T63" s="2109"/>
      <c r="U63" s="2554"/>
    </row>
    <row r="64" spans="1:21" s="77" customFormat="1" x14ac:dyDescent="0.35">
      <c r="A64" s="2567"/>
      <c r="B64" s="2566" t="s">
        <v>1152</v>
      </c>
      <c r="C64" s="2236"/>
      <c r="D64" s="2212"/>
      <c r="E64" s="2341"/>
      <c r="F64" s="2342"/>
      <c r="G64" s="2211"/>
      <c r="H64" s="2109" t="s">
        <v>669</v>
      </c>
      <c r="I64" s="2563">
        <v>124848</v>
      </c>
      <c r="J64" s="2109" t="s">
        <v>669</v>
      </c>
      <c r="K64" s="2586">
        <v>129600</v>
      </c>
      <c r="L64" s="2109" t="s">
        <v>669</v>
      </c>
      <c r="M64" s="2586"/>
      <c r="N64" s="2109" t="s">
        <v>669</v>
      </c>
      <c r="O64" s="2554"/>
      <c r="P64" s="2109"/>
      <c r="Q64" s="2554"/>
      <c r="R64" s="2109"/>
      <c r="S64" s="2554"/>
      <c r="T64" s="2109"/>
      <c r="U64" s="2554"/>
    </row>
    <row r="65" spans="1:21" s="77" customFormat="1" x14ac:dyDescent="0.35">
      <c r="A65" s="2567"/>
      <c r="B65" s="2566" t="s">
        <v>2783</v>
      </c>
      <c r="C65" s="2236"/>
      <c r="D65" s="2212"/>
      <c r="E65" s="2341"/>
      <c r="F65" s="2342"/>
      <c r="G65" s="2211"/>
      <c r="H65" s="2109" t="s">
        <v>669</v>
      </c>
      <c r="I65" s="2563"/>
      <c r="J65" s="2109" t="s">
        <v>669</v>
      </c>
      <c r="K65" s="2586">
        <v>43200</v>
      </c>
      <c r="L65" s="2109" t="s">
        <v>669</v>
      </c>
      <c r="M65" s="2586"/>
      <c r="N65" s="2109" t="s">
        <v>669</v>
      </c>
      <c r="O65" s="2554"/>
      <c r="P65" s="2109"/>
      <c r="Q65" s="2554"/>
      <c r="R65" s="2109"/>
      <c r="S65" s="2554"/>
      <c r="T65" s="2109"/>
      <c r="U65" s="2554"/>
    </row>
    <row r="66" spans="1:21" s="77" customFormat="1" x14ac:dyDescent="0.35">
      <c r="A66" s="2567"/>
      <c r="B66" s="2566" t="s">
        <v>2784</v>
      </c>
      <c r="C66" s="2236"/>
      <c r="D66" s="2212"/>
      <c r="E66" s="2341"/>
      <c r="F66" s="2342"/>
      <c r="G66" s="2211"/>
      <c r="H66" s="2109" t="s">
        <v>669</v>
      </c>
      <c r="I66" s="2422"/>
      <c r="J66" s="2109" t="s">
        <v>669</v>
      </c>
      <c r="K66" s="2586">
        <v>86400</v>
      </c>
      <c r="L66" s="2109" t="s">
        <v>669</v>
      </c>
      <c r="M66" s="2586"/>
      <c r="N66" s="2109" t="s">
        <v>669</v>
      </c>
      <c r="O66" s="2554"/>
      <c r="P66" s="2109"/>
      <c r="Q66" s="2554"/>
      <c r="R66" s="2109"/>
      <c r="S66" s="2554"/>
      <c r="T66" s="2109"/>
      <c r="U66" s="2554"/>
    </row>
    <row r="67" spans="1:21" s="77" customFormat="1" x14ac:dyDescent="0.35">
      <c r="A67" s="2567"/>
      <c r="B67" s="2566" t="s">
        <v>2785</v>
      </c>
      <c r="C67" s="2236"/>
      <c r="D67" s="2212"/>
      <c r="E67" s="2341"/>
      <c r="F67" s="2342"/>
      <c r="G67" s="2211"/>
      <c r="H67" s="2109" t="s">
        <v>669</v>
      </c>
      <c r="I67" s="2563"/>
      <c r="J67" s="2109" t="s">
        <v>669</v>
      </c>
      <c r="K67" s="2586">
        <v>23560</v>
      </c>
      <c r="L67" s="2109" t="s">
        <v>669</v>
      </c>
      <c r="M67" s="2586"/>
      <c r="N67" s="2109" t="s">
        <v>669</v>
      </c>
      <c r="O67" s="2554"/>
      <c r="P67" s="2109"/>
      <c r="Q67" s="2554"/>
      <c r="R67" s="2109"/>
      <c r="S67" s="2554"/>
      <c r="T67" s="2109"/>
      <c r="U67" s="2554"/>
    </row>
    <row r="68" spans="1:21" s="77" customFormat="1" x14ac:dyDescent="0.35">
      <c r="A68" s="2567"/>
      <c r="B68" s="2566" t="s">
        <v>1125</v>
      </c>
      <c r="C68" s="2236"/>
      <c r="D68" s="2212"/>
      <c r="E68" s="2341"/>
      <c r="F68" s="2342"/>
      <c r="G68" s="2211"/>
      <c r="H68" s="2109" t="s">
        <v>669</v>
      </c>
      <c r="I68" s="2563">
        <v>112078</v>
      </c>
      <c r="J68" s="2109" t="s">
        <v>669</v>
      </c>
      <c r="K68" s="2586">
        <v>124602</v>
      </c>
      <c r="L68" s="2109" t="s">
        <v>669</v>
      </c>
      <c r="M68" s="2586"/>
      <c r="N68" s="2038" t="s">
        <v>654</v>
      </c>
      <c r="O68" s="2422">
        <f>K68</f>
        <v>124602</v>
      </c>
      <c r="P68" s="2109"/>
      <c r="Q68" s="2554"/>
      <c r="R68" s="2109"/>
      <c r="S68" s="2554"/>
      <c r="T68" s="2109"/>
      <c r="U68" s="2554"/>
    </row>
    <row r="69" spans="1:21" s="77" customFormat="1" x14ac:dyDescent="0.35">
      <c r="A69" s="2429"/>
      <c r="B69" s="2566"/>
      <c r="C69" s="2236"/>
      <c r="D69" s="2212"/>
      <c r="E69" s="2341"/>
      <c r="F69" s="2342"/>
      <c r="G69" s="2211"/>
      <c r="H69" s="2109"/>
      <c r="I69" s="2422"/>
      <c r="J69" s="2109"/>
      <c r="K69" s="2587"/>
      <c r="L69" s="2109"/>
      <c r="M69" s="2587"/>
      <c r="N69" s="2109"/>
      <c r="O69" s="2554"/>
      <c r="P69" s="2109"/>
      <c r="Q69" s="2554"/>
      <c r="R69" s="2109"/>
      <c r="S69" s="2554"/>
      <c r="T69" s="2109"/>
      <c r="U69" s="2554"/>
    </row>
    <row r="70" spans="1:21" s="77" customFormat="1" x14ac:dyDescent="0.35">
      <c r="A70" s="2429"/>
      <c r="B70" s="2566" t="s">
        <v>2786</v>
      </c>
      <c r="C70" s="2236"/>
      <c r="D70" s="2475">
        <v>177</v>
      </c>
      <c r="E70" s="2341" t="s">
        <v>666</v>
      </c>
      <c r="F70" s="2588">
        <v>4200</v>
      </c>
      <c r="G70" s="2589">
        <f>D70*F70</f>
        <v>743400</v>
      </c>
      <c r="H70" s="2109"/>
      <c r="I70" s="2422"/>
      <c r="J70" s="2109"/>
      <c r="K70" s="2554"/>
      <c r="L70" s="2109"/>
      <c r="M70" s="2554"/>
      <c r="N70" s="2109"/>
      <c r="O70" s="2554"/>
      <c r="P70" s="2109"/>
      <c r="Q70" s="2554"/>
      <c r="R70" s="2109"/>
      <c r="S70" s="2554"/>
      <c r="T70" s="2109"/>
      <c r="U70" s="2554"/>
    </row>
    <row r="71" spans="1:21" s="77" customFormat="1" x14ac:dyDescent="0.35">
      <c r="A71" s="2429"/>
      <c r="B71" s="121" t="s">
        <v>2787</v>
      </c>
      <c r="C71" s="2236"/>
      <c r="D71" s="2475">
        <v>176</v>
      </c>
      <c r="E71" s="2341" t="s">
        <v>666</v>
      </c>
      <c r="F71" s="2588">
        <v>4200</v>
      </c>
      <c r="G71" s="2589">
        <f t="shared" ref="G71:G73" si="0">D71*F71</f>
        <v>739200</v>
      </c>
      <c r="H71" s="2109"/>
      <c r="I71" s="2422"/>
      <c r="J71" s="2109"/>
      <c r="K71" s="2554"/>
      <c r="L71" s="2109"/>
      <c r="M71" s="2554"/>
      <c r="N71" s="2109"/>
      <c r="O71" s="2554"/>
      <c r="P71" s="2109"/>
      <c r="Q71" s="2554"/>
      <c r="R71" s="2109"/>
      <c r="S71" s="2554"/>
      <c r="T71" s="2109"/>
      <c r="U71" s="2554"/>
    </row>
    <row r="72" spans="1:21" s="77" customFormat="1" x14ac:dyDescent="0.35">
      <c r="A72" s="2429"/>
      <c r="B72" s="2340" t="s">
        <v>2788</v>
      </c>
      <c r="C72" s="2236"/>
      <c r="D72" s="2475">
        <v>79</v>
      </c>
      <c r="E72" s="2341" t="s">
        <v>666</v>
      </c>
      <c r="F72" s="2588">
        <v>4200</v>
      </c>
      <c r="G72" s="2589">
        <f t="shared" si="0"/>
        <v>331800</v>
      </c>
      <c r="H72" s="2109"/>
      <c r="I72" s="2422"/>
      <c r="J72" s="2109"/>
      <c r="K72" s="2554"/>
      <c r="L72" s="2109"/>
      <c r="M72" s="2554"/>
      <c r="N72" s="2109"/>
      <c r="O72" s="2554"/>
      <c r="P72" s="2109"/>
      <c r="Q72" s="2554"/>
      <c r="R72" s="2109"/>
      <c r="S72" s="2554"/>
      <c r="T72" s="2109"/>
      <c r="U72" s="2554"/>
    </row>
    <row r="73" spans="1:21" s="77" customFormat="1" x14ac:dyDescent="0.35">
      <c r="A73" s="2429"/>
      <c r="B73" s="2340" t="s">
        <v>2789</v>
      </c>
      <c r="C73" s="2236"/>
      <c r="D73" s="2475">
        <v>1</v>
      </c>
      <c r="E73" s="2341" t="s">
        <v>666</v>
      </c>
      <c r="F73" s="2588">
        <v>10000</v>
      </c>
      <c r="G73" s="2589">
        <f t="shared" si="0"/>
        <v>10000</v>
      </c>
      <c r="H73" s="2109"/>
      <c r="I73" s="2422"/>
      <c r="J73" s="2109"/>
      <c r="K73" s="2554"/>
      <c r="L73" s="2109"/>
      <c r="M73" s="2554"/>
      <c r="N73" s="2109"/>
      <c r="O73" s="2554"/>
      <c r="P73" s="2109"/>
      <c r="Q73" s="2554"/>
      <c r="R73" s="2109"/>
      <c r="S73" s="2554"/>
      <c r="T73" s="2109"/>
      <c r="U73" s="2554"/>
    </row>
    <row r="74" spans="1:21" s="77" customFormat="1" x14ac:dyDescent="0.35">
      <c r="A74" s="2429"/>
      <c r="B74" s="2340"/>
      <c r="C74" s="2236"/>
      <c r="D74" s="2212"/>
      <c r="E74" s="2341"/>
      <c r="F74" s="2342"/>
      <c r="G74" s="2211"/>
      <c r="H74" s="2109"/>
      <c r="I74" s="2422"/>
      <c r="J74" s="2109"/>
      <c r="K74" s="2554"/>
      <c r="L74" s="2109"/>
      <c r="M74" s="2554"/>
      <c r="N74" s="2109"/>
      <c r="O74" s="2554"/>
      <c r="P74" s="2109"/>
      <c r="Q74" s="2554"/>
      <c r="R74" s="2109"/>
      <c r="S74" s="2554"/>
      <c r="T74" s="2109"/>
      <c r="U74" s="2554"/>
    </row>
    <row r="75" spans="1:21" s="77" customFormat="1" x14ac:dyDescent="0.35">
      <c r="A75" s="2429"/>
      <c r="B75" s="2340" t="s">
        <v>2790</v>
      </c>
      <c r="C75" s="2236"/>
      <c r="D75" s="2212"/>
      <c r="E75" s="2341"/>
      <c r="F75" s="2342"/>
      <c r="G75" s="2211"/>
      <c r="H75" s="2109"/>
      <c r="I75" s="2422"/>
      <c r="J75" s="2109"/>
      <c r="K75" s="2554"/>
      <c r="L75" s="2109"/>
      <c r="M75" s="2554"/>
      <c r="N75" s="2109"/>
      <c r="O75" s="2554"/>
      <c r="P75" s="2109"/>
      <c r="Q75" s="2554"/>
      <c r="R75" s="2109"/>
      <c r="S75" s="2554"/>
      <c r="T75" s="2109"/>
      <c r="U75" s="2554"/>
    </row>
    <row r="76" spans="1:21" s="77" customFormat="1" x14ac:dyDescent="0.35">
      <c r="A76" s="2429"/>
      <c r="B76" s="2340"/>
      <c r="C76" s="2236"/>
      <c r="D76" s="2212"/>
      <c r="E76" s="2341"/>
      <c r="F76" s="2342"/>
      <c r="G76" s="2211"/>
      <c r="H76" s="2109"/>
      <c r="I76" s="2422"/>
      <c r="J76" s="2109"/>
      <c r="K76" s="2554"/>
      <c r="L76" s="2109"/>
      <c r="M76" s="2554"/>
      <c r="N76" s="2109"/>
      <c r="O76" s="2554"/>
      <c r="P76" s="2109"/>
      <c r="Q76" s="2554"/>
      <c r="R76" s="2109"/>
      <c r="S76" s="2554"/>
      <c r="T76" s="2109"/>
      <c r="U76" s="2554"/>
    </row>
    <row r="77" spans="1:21" s="77" customFormat="1" x14ac:dyDescent="0.35">
      <c r="A77" s="2429"/>
      <c r="B77" s="2340"/>
      <c r="C77" s="2236"/>
      <c r="D77" s="2212"/>
      <c r="E77" s="2341"/>
      <c r="F77" s="2342"/>
      <c r="G77" s="2211"/>
      <c r="H77" s="2109"/>
      <c r="I77" s="2422"/>
      <c r="J77" s="2109"/>
      <c r="K77" s="2554"/>
      <c r="L77" s="2109"/>
      <c r="M77" s="2554"/>
      <c r="N77" s="2109"/>
      <c r="O77" s="2554"/>
      <c r="P77" s="2109"/>
      <c r="Q77" s="2554"/>
      <c r="R77" s="2109"/>
      <c r="S77" s="2554"/>
      <c r="T77" s="2109"/>
      <c r="U77" s="2554"/>
    </row>
    <row r="78" spans="1:21" s="77" customFormat="1" x14ac:dyDescent="0.35">
      <c r="A78" s="2429"/>
      <c r="B78" s="2340"/>
      <c r="C78" s="2236"/>
      <c r="D78" s="2212"/>
      <c r="E78" s="2341"/>
      <c r="F78" s="2342"/>
      <c r="G78" s="2211"/>
      <c r="H78" s="2109"/>
      <c r="I78" s="2422"/>
      <c r="J78" s="2109"/>
      <c r="K78" s="2554"/>
      <c r="L78" s="2109"/>
      <c r="M78" s="2554"/>
      <c r="N78" s="2109"/>
      <c r="O78" s="2554"/>
      <c r="P78" s="2109"/>
      <c r="Q78" s="2554"/>
      <c r="R78" s="2109"/>
      <c r="S78" s="2554"/>
      <c r="T78" s="2109"/>
      <c r="U78" s="2554"/>
    </row>
    <row r="79" spans="1:21" s="77" customFormat="1" x14ac:dyDescent="0.35">
      <c r="A79" s="2429"/>
      <c r="B79" s="2340"/>
      <c r="C79" s="2236"/>
      <c r="D79" s="2212"/>
      <c r="E79" s="2341"/>
      <c r="F79" s="2342"/>
      <c r="G79" s="2211"/>
      <c r="H79" s="2109"/>
      <c r="I79" s="2422"/>
      <c r="J79" s="2109"/>
      <c r="K79" s="2554"/>
      <c r="L79" s="2109"/>
      <c r="M79" s="2554"/>
      <c r="N79" s="2109"/>
      <c r="O79" s="2554"/>
      <c r="P79" s="2109"/>
      <c r="Q79" s="2554"/>
      <c r="R79" s="2109"/>
      <c r="S79" s="2554"/>
      <c r="T79" s="2109"/>
      <c r="U79" s="2554"/>
    </row>
    <row r="80" spans="1:21" s="77" customFormat="1" x14ac:dyDescent="0.35">
      <c r="A80" s="2429"/>
      <c r="B80" s="2340"/>
      <c r="C80" s="2236"/>
      <c r="D80" s="2212"/>
      <c r="E80" s="2341"/>
      <c r="F80" s="2342"/>
      <c r="G80" s="2211"/>
      <c r="H80" s="2109"/>
      <c r="I80" s="2422"/>
      <c r="J80" s="2109"/>
      <c r="K80" s="2554"/>
      <c r="L80" s="2109"/>
      <c r="M80" s="2554"/>
      <c r="N80" s="2109"/>
      <c r="O80" s="2554"/>
      <c r="P80" s="2109"/>
      <c r="Q80" s="2554"/>
      <c r="R80" s="2109"/>
      <c r="S80" s="2554"/>
      <c r="T80" s="2109"/>
      <c r="U80" s="2554"/>
    </row>
    <row r="81" spans="1:21" s="77" customFormat="1" x14ac:dyDescent="0.35">
      <c r="A81" s="2429"/>
      <c r="B81" s="2340"/>
      <c r="C81" s="2236"/>
      <c r="D81" s="2212"/>
      <c r="E81" s="2341"/>
      <c r="F81" s="2342"/>
      <c r="G81" s="2211"/>
      <c r="H81" s="2109"/>
      <c r="I81" s="2422"/>
      <c r="J81" s="2109"/>
      <c r="K81" s="2554"/>
      <c r="L81" s="2109"/>
      <c r="M81" s="2554"/>
      <c r="N81" s="2109"/>
      <c r="O81" s="2554"/>
      <c r="P81" s="2109"/>
      <c r="Q81" s="2554"/>
      <c r="R81" s="2109"/>
      <c r="S81" s="2554"/>
      <c r="T81" s="2109"/>
      <c r="U81" s="2554"/>
    </row>
    <row r="82" spans="1:21" s="77" customFormat="1" x14ac:dyDescent="0.35">
      <c r="A82" s="2429"/>
      <c r="B82" s="2340"/>
      <c r="C82" s="2236"/>
      <c r="D82" s="2212"/>
      <c r="E82" s="2341"/>
      <c r="F82" s="2342"/>
      <c r="G82" s="2211"/>
      <c r="H82" s="2109"/>
      <c r="I82" s="2422"/>
      <c r="J82" s="2109"/>
      <c r="K82" s="2554"/>
      <c r="L82" s="2109"/>
      <c r="M82" s="2554"/>
      <c r="N82" s="2109"/>
      <c r="O82" s="2554"/>
      <c r="P82" s="2109"/>
      <c r="Q82" s="2554"/>
      <c r="R82" s="2109"/>
      <c r="S82" s="2554"/>
      <c r="T82" s="2109"/>
      <c r="U82" s="2554"/>
    </row>
    <row r="83" spans="1:21" x14ac:dyDescent="0.35">
      <c r="A83" s="2542"/>
      <c r="B83" s="2543"/>
      <c r="C83" s="2201"/>
      <c r="D83" s="2285"/>
      <c r="E83" s="2285"/>
      <c r="F83" s="2285"/>
      <c r="G83" s="2198"/>
      <c r="H83" s="2109"/>
      <c r="I83" s="2420"/>
      <c r="J83" s="2109"/>
      <c r="K83" s="2420"/>
      <c r="L83" s="2109"/>
      <c r="M83" s="2420"/>
      <c r="N83" s="2109"/>
      <c r="O83" s="2420"/>
      <c r="P83" s="2109"/>
      <c r="Q83" s="2420"/>
      <c r="R83" s="2109"/>
      <c r="S83" s="2420"/>
      <c r="T83" s="2109"/>
      <c r="U83" s="2420"/>
    </row>
    <row r="84" spans="1:21" x14ac:dyDescent="0.35">
      <c r="A84" s="14"/>
      <c r="B84" s="15"/>
      <c r="C84" s="16"/>
      <c r="D84" s="16"/>
      <c r="E84" s="17"/>
      <c r="F84" s="18" t="s">
        <v>715</v>
      </c>
      <c r="G84" s="19"/>
      <c r="H84" s="20"/>
      <c r="I84" s="50">
        <f>SUM(I23:I83)</f>
        <v>2001804</v>
      </c>
      <c r="J84" s="20"/>
      <c r="K84" s="50">
        <f>SUM(K23:K83)</f>
        <v>2034227</v>
      </c>
      <c r="L84" s="20"/>
      <c r="M84" s="50">
        <f>SUM(M23:M83)</f>
        <v>1889609</v>
      </c>
      <c r="N84" s="20"/>
      <c r="O84" s="50">
        <f>SUM(O23:O83)</f>
        <v>1888599</v>
      </c>
      <c r="P84" s="20"/>
      <c r="Q84" s="50">
        <f>SUM(Q23:Q83)</f>
        <v>0</v>
      </c>
      <c r="R84" s="20"/>
      <c r="S84" s="50">
        <f>SUM(S23:S83)</f>
        <v>0</v>
      </c>
      <c r="T84" s="20"/>
      <c r="U84" s="50">
        <f>SUM(U23:U83)</f>
        <v>0</v>
      </c>
    </row>
    <row r="85" spans="1:21" x14ac:dyDescent="0.35">
      <c r="A85" s="2239"/>
      <c r="B85" s="2240"/>
      <c r="C85" s="2241"/>
      <c r="D85" s="2241"/>
      <c r="E85" s="2242"/>
      <c r="F85" s="2243" t="s">
        <v>716</v>
      </c>
      <c r="G85" s="2244"/>
      <c r="H85" s="2065">
        <v>0</v>
      </c>
      <c r="I85" s="2064"/>
      <c r="J85" s="2065">
        <v>0</v>
      </c>
      <c r="K85" s="2064"/>
      <c r="L85" s="2065">
        <v>0</v>
      </c>
      <c r="M85" s="2064"/>
      <c r="N85" s="2065">
        <v>0</v>
      </c>
      <c r="O85" s="2064"/>
      <c r="P85" s="2065">
        <v>0</v>
      </c>
      <c r="Q85" s="2064"/>
      <c r="R85" s="2065">
        <v>0</v>
      </c>
      <c r="S85" s="2064"/>
      <c r="T85" s="2065">
        <v>0</v>
      </c>
      <c r="U85" s="2064"/>
    </row>
    <row r="86" spans="1:21" x14ac:dyDescent="0.35">
      <c r="A86" s="2239"/>
      <c r="B86" s="2240"/>
      <c r="C86" s="2241"/>
      <c r="D86" s="2241"/>
      <c r="E86" s="2242"/>
      <c r="F86" s="2243" t="s">
        <v>717</v>
      </c>
      <c r="G86" s="2244"/>
      <c r="H86" s="2066"/>
      <c r="I86" s="2067">
        <f>H85*I84</f>
        <v>0</v>
      </c>
      <c r="J86" s="2066"/>
      <c r="K86" s="2067">
        <f>J85*K84</f>
        <v>0</v>
      </c>
      <c r="L86" s="2066"/>
      <c r="M86" s="2067">
        <f>L85*M84</f>
        <v>0</v>
      </c>
      <c r="N86" s="2066"/>
      <c r="O86" s="2067">
        <f>N85*O84</f>
        <v>0</v>
      </c>
      <c r="P86" s="2066"/>
      <c r="Q86" s="2067">
        <f>P85*Q84</f>
        <v>0</v>
      </c>
      <c r="R86" s="2066"/>
      <c r="S86" s="2067">
        <f>R85*S84</f>
        <v>0</v>
      </c>
      <c r="T86" s="2066"/>
      <c r="U86" s="2067">
        <f>T85*U84</f>
        <v>0</v>
      </c>
    </row>
    <row r="87" spans="1:21" x14ac:dyDescent="0.35">
      <c r="A87" s="2239"/>
      <c r="B87" s="2240"/>
      <c r="C87" s="2241"/>
      <c r="D87" s="2241"/>
      <c r="E87" s="2242"/>
      <c r="F87" s="2243"/>
      <c r="G87" s="2244"/>
      <c r="H87" s="2066"/>
      <c r="I87" s="2068"/>
      <c r="J87" s="2066"/>
      <c r="K87" s="2068"/>
      <c r="L87" s="2066"/>
      <c r="M87" s="2068"/>
      <c r="N87" s="2066"/>
      <c r="O87" s="2068"/>
      <c r="P87" s="2066"/>
      <c r="Q87" s="2068"/>
      <c r="R87" s="2066"/>
      <c r="S87" s="2068"/>
      <c r="T87" s="2066"/>
      <c r="U87" s="2068"/>
    </row>
    <row r="88" spans="1:21" x14ac:dyDescent="0.35">
      <c r="A88" s="2239"/>
      <c r="B88" s="2240"/>
      <c r="C88" s="2241"/>
      <c r="D88" s="2241"/>
      <c r="E88" s="2242"/>
      <c r="F88" s="2243" t="s">
        <v>718</v>
      </c>
      <c r="G88" s="2244"/>
      <c r="H88" s="2069"/>
      <c r="I88" s="2070">
        <f>SUM(I84:I86)</f>
        <v>2001804</v>
      </c>
      <c r="J88" s="2069"/>
      <c r="K88" s="2070">
        <f>SUM(K84:K86)</f>
        <v>2034227</v>
      </c>
      <c r="L88" s="2069"/>
      <c r="M88" s="2070">
        <f>SUM(M84:M86)</f>
        <v>1889609</v>
      </c>
      <c r="N88" s="2069"/>
      <c r="O88" s="2070">
        <f>SUM(O84:O86)</f>
        <v>1888599</v>
      </c>
      <c r="P88" s="2069"/>
      <c r="Q88" s="2070">
        <f>SUM(Q84:Q86)</f>
        <v>0</v>
      </c>
      <c r="R88" s="2069"/>
      <c r="S88" s="2070">
        <f>SUM(S84:S86)</f>
        <v>0</v>
      </c>
      <c r="T88" s="2069"/>
      <c r="U88" s="2070">
        <f>SUM(U84:U86)</f>
        <v>0</v>
      </c>
    </row>
    <row r="89" spans="1:21" x14ac:dyDescent="0.35">
      <c r="A89" s="2239"/>
      <c r="B89" s="2240"/>
      <c r="C89" s="2241"/>
      <c r="D89" s="2241"/>
      <c r="E89" s="2242"/>
      <c r="F89" s="2255" t="s">
        <v>719</v>
      </c>
      <c r="G89" s="2256"/>
      <c r="H89" s="2073"/>
      <c r="I89" s="2074" t="e">
        <f>I88/#REF!</f>
        <v>#REF!</v>
      </c>
      <c r="J89" s="2073"/>
      <c r="K89" s="2074" t="e">
        <f>K88/#REF!</f>
        <v>#REF!</v>
      </c>
      <c r="L89" s="2073"/>
      <c r="M89" s="2074" t="e">
        <f>M88/#REF!</f>
        <v>#REF!</v>
      </c>
      <c r="N89" s="2073"/>
      <c r="O89" s="2074" t="e">
        <f>O88/#REF!</f>
        <v>#REF!</v>
      </c>
      <c r="P89" s="2073"/>
      <c r="Q89" s="2074" t="e">
        <f>Q88/#REF!</f>
        <v>#REF!</v>
      </c>
      <c r="R89" s="2073"/>
      <c r="S89" s="2074" t="e">
        <f>S88/#REF!</f>
        <v>#REF!</v>
      </c>
      <c r="T89" s="2073"/>
      <c r="U89" s="2074" t="e">
        <f>U88/#REF!</f>
        <v>#REF!</v>
      </c>
    </row>
    <row r="90" spans="1:21" x14ac:dyDescent="0.35">
      <c r="A90" s="2239"/>
      <c r="B90" s="2240"/>
      <c r="C90" s="2241"/>
      <c r="D90" s="2241"/>
      <c r="E90" s="2242"/>
      <c r="F90" s="2255" t="s">
        <v>720</v>
      </c>
      <c r="G90" s="2260"/>
      <c r="H90" s="2073"/>
      <c r="I90" s="2074" t="e">
        <f>I88/#REF!</f>
        <v>#REF!</v>
      </c>
      <c r="J90" s="2073"/>
      <c r="K90" s="2074" t="e">
        <f>K88/#REF!</f>
        <v>#REF!</v>
      </c>
      <c r="L90" s="2073"/>
      <c r="M90" s="2074" t="e">
        <f>M88/#REF!</f>
        <v>#REF!</v>
      </c>
      <c r="N90" s="2073"/>
      <c r="O90" s="2074" t="e">
        <f>O88/#REF!</f>
        <v>#REF!</v>
      </c>
      <c r="P90" s="2073"/>
      <c r="Q90" s="2074" t="e">
        <f>Q88/#REF!</f>
        <v>#REF!</v>
      </c>
      <c r="R90" s="2073"/>
      <c r="S90" s="2074" t="e">
        <f>S88/#REF!</f>
        <v>#REF!</v>
      </c>
      <c r="T90" s="2073"/>
      <c r="U90" s="2074" t="e">
        <f>U88/#REF!</f>
        <v>#REF!</v>
      </c>
    </row>
    <row r="91" spans="1:21" x14ac:dyDescent="0.35">
      <c r="A91" s="2239"/>
      <c r="B91" s="2240"/>
      <c r="C91" s="2241"/>
      <c r="D91" s="2241"/>
      <c r="E91" s="2242"/>
      <c r="F91" s="2243"/>
      <c r="G91" s="2261"/>
      <c r="H91" s="2077"/>
      <c r="I91" s="2078"/>
      <c r="J91" s="2077"/>
      <c r="K91" s="2078"/>
      <c r="L91" s="2077"/>
      <c r="M91" s="2078"/>
      <c r="N91" s="2077"/>
      <c r="O91" s="2078"/>
      <c r="P91" s="2077"/>
      <c r="Q91" s="2078"/>
      <c r="R91" s="2077"/>
      <c r="S91" s="2078"/>
      <c r="T91" s="2077"/>
      <c r="U91" s="2078"/>
    </row>
    <row r="92" spans="1:21" x14ac:dyDescent="0.35">
      <c r="A92" s="3764" t="s">
        <v>721</v>
      </c>
      <c r="B92" s="3765"/>
      <c r="C92" s="12"/>
      <c r="D92" s="12"/>
      <c r="E92" s="12"/>
      <c r="F92" s="12"/>
      <c r="G92" s="13"/>
      <c r="H92" s="21"/>
      <c r="I92" s="21"/>
      <c r="J92" s="21"/>
      <c r="K92" s="21"/>
      <c r="L92" s="21"/>
      <c r="M92" s="21"/>
      <c r="N92" s="21"/>
      <c r="O92" s="21"/>
      <c r="P92" s="21"/>
      <c r="Q92" s="21"/>
      <c r="R92" s="21"/>
      <c r="S92" s="21"/>
      <c r="T92" s="21"/>
      <c r="U92" s="21"/>
    </row>
    <row r="93" spans="1:21" x14ac:dyDescent="0.35">
      <c r="A93" s="2432"/>
      <c r="B93" s="2284"/>
      <c r="C93" s="2415"/>
      <c r="D93" s="2415"/>
      <c r="E93" s="2415"/>
      <c r="F93" s="2415"/>
      <c r="G93" s="2416"/>
      <c r="H93" s="2533"/>
      <c r="I93" s="2533"/>
      <c r="J93" s="2533"/>
      <c r="K93" s="2533"/>
      <c r="L93" s="2533"/>
      <c r="M93" s="2533"/>
      <c r="N93" s="2533"/>
      <c r="O93" s="2533"/>
      <c r="P93" s="2533"/>
      <c r="Q93" s="2533"/>
      <c r="R93" s="2533"/>
      <c r="S93" s="2533"/>
      <c r="T93" s="2533"/>
      <c r="U93" s="2533"/>
    </row>
    <row r="94" spans="1:21" s="2" customFormat="1" x14ac:dyDescent="0.35">
      <c r="A94" s="2432"/>
      <c r="B94" s="2284"/>
      <c r="C94" s="2415"/>
      <c r="D94" s="2415"/>
      <c r="E94" s="2415"/>
      <c r="F94" s="2415"/>
      <c r="G94" s="2416"/>
      <c r="H94" s="2533"/>
      <c r="I94" s="2533"/>
      <c r="J94" s="2533"/>
      <c r="K94" s="2533"/>
      <c r="L94" s="2533"/>
      <c r="M94" s="2533"/>
      <c r="N94" s="2533"/>
      <c r="O94" s="2533"/>
      <c r="P94" s="2533"/>
      <c r="Q94" s="2533"/>
      <c r="R94" s="2533"/>
      <c r="S94" s="2533"/>
      <c r="T94" s="2533"/>
      <c r="U94" s="2533"/>
    </row>
    <row r="95" spans="1:21" s="2" customFormat="1" x14ac:dyDescent="0.35">
      <c r="A95" s="2432"/>
      <c r="B95" s="2284"/>
      <c r="C95" s="2415"/>
      <c r="D95" s="2415"/>
      <c r="E95" s="2415"/>
      <c r="F95" s="2415"/>
      <c r="G95" s="2416"/>
      <c r="H95" s="2533"/>
      <c r="I95" s="2533"/>
      <c r="J95" s="2533"/>
      <c r="K95" s="2533"/>
      <c r="L95" s="2533"/>
      <c r="M95" s="2533"/>
      <c r="N95" s="2533"/>
      <c r="O95" s="2533"/>
      <c r="P95" s="2533"/>
      <c r="Q95" s="2533"/>
      <c r="R95" s="2533"/>
      <c r="S95" s="2533"/>
      <c r="T95" s="2533"/>
      <c r="U95" s="2533"/>
    </row>
    <row r="96" spans="1:21" x14ac:dyDescent="0.35">
      <c r="A96" s="3764" t="s">
        <v>722</v>
      </c>
      <c r="B96" s="3765"/>
      <c r="C96" s="12"/>
      <c r="D96" s="12"/>
      <c r="E96" s="12"/>
      <c r="F96" s="12"/>
      <c r="G96" s="13"/>
      <c r="H96" s="21"/>
      <c r="I96" s="21"/>
      <c r="J96" s="21"/>
      <c r="K96" s="21"/>
      <c r="L96" s="21"/>
      <c r="M96" s="21"/>
      <c r="N96" s="21"/>
      <c r="O96" s="21"/>
      <c r="P96" s="21"/>
      <c r="Q96" s="21"/>
      <c r="R96" s="21"/>
      <c r="S96" s="21"/>
      <c r="T96" s="21"/>
      <c r="U96" s="21"/>
    </row>
    <row r="97" spans="1:21" s="2" customFormat="1" x14ac:dyDescent="0.35">
      <c r="A97" s="2432"/>
      <c r="B97" s="2284"/>
      <c r="C97" s="2415"/>
      <c r="D97" s="2415"/>
      <c r="E97" s="2415"/>
      <c r="F97" s="2415"/>
      <c r="G97" s="2416"/>
      <c r="H97" s="2533"/>
      <c r="I97" s="2533"/>
      <c r="J97" s="2533"/>
      <c r="K97" s="2533"/>
      <c r="L97" s="2533"/>
      <c r="M97" s="2533"/>
      <c r="N97" s="2533"/>
      <c r="O97" s="2533"/>
      <c r="P97" s="2533"/>
      <c r="Q97" s="2533"/>
      <c r="R97" s="2533"/>
      <c r="S97" s="2533"/>
      <c r="T97" s="2533"/>
      <c r="U97" s="2533"/>
    </row>
    <row r="98" spans="1:21" s="2" customFormat="1" x14ac:dyDescent="0.35">
      <c r="A98" s="2432"/>
      <c r="B98" s="2284"/>
      <c r="C98" s="2415"/>
      <c r="D98" s="2415"/>
      <c r="E98" s="2415"/>
      <c r="F98" s="2415"/>
      <c r="G98" s="2416"/>
      <c r="H98" s="2533"/>
      <c r="I98" s="2533"/>
      <c r="J98" s="2533"/>
      <c r="K98" s="2533"/>
      <c r="L98" s="2533"/>
      <c r="M98" s="2533"/>
      <c r="N98" s="2533"/>
      <c r="O98" s="2533"/>
      <c r="P98" s="2533"/>
      <c r="Q98" s="2533"/>
      <c r="R98" s="2533"/>
      <c r="S98" s="2533"/>
      <c r="T98" s="2533"/>
      <c r="U98" s="2533"/>
    </row>
    <row r="99" spans="1:21" x14ac:dyDescent="0.35">
      <c r="A99" s="2432"/>
      <c r="B99" s="2284"/>
      <c r="C99" s="2415"/>
      <c r="D99" s="2415"/>
      <c r="E99" s="2415"/>
      <c r="F99" s="2415"/>
      <c r="G99" s="2416"/>
      <c r="H99" s="2533"/>
      <c r="I99" s="2533"/>
      <c r="J99" s="2533"/>
      <c r="K99" s="2533"/>
      <c r="L99" s="2533"/>
      <c r="M99" s="2533"/>
      <c r="N99" s="2533"/>
      <c r="O99" s="2533"/>
      <c r="P99" s="2533"/>
      <c r="Q99" s="2533"/>
      <c r="R99" s="2533"/>
      <c r="S99" s="2533"/>
      <c r="T99" s="2533"/>
      <c r="U99" s="2533"/>
    </row>
    <row r="100" spans="1:21" x14ac:dyDescent="0.35">
      <c r="A100" s="3764" t="s">
        <v>723</v>
      </c>
      <c r="B100" s="3765"/>
      <c r="C100" s="12"/>
      <c r="D100" s="12"/>
      <c r="E100" s="12"/>
      <c r="F100" s="12"/>
      <c r="G100" s="13"/>
      <c r="H100" s="21"/>
      <c r="I100" s="21"/>
      <c r="J100" s="21"/>
      <c r="K100" s="21"/>
      <c r="L100" s="21"/>
      <c r="M100" s="21"/>
      <c r="N100" s="21"/>
      <c r="O100" s="21"/>
      <c r="P100" s="21"/>
      <c r="Q100" s="21"/>
      <c r="R100" s="21"/>
      <c r="S100" s="21"/>
      <c r="T100" s="21"/>
      <c r="U100" s="21"/>
    </row>
    <row r="101" spans="1:21" x14ac:dyDescent="0.35">
      <c r="A101" s="2432"/>
      <c r="B101" s="2284" t="s">
        <v>2791</v>
      </c>
      <c r="C101" s="2415"/>
      <c r="D101" s="2415"/>
      <c r="E101" s="2415"/>
      <c r="F101" s="2415"/>
      <c r="G101" s="2416"/>
      <c r="H101" s="2533"/>
      <c r="I101" s="2533"/>
      <c r="J101" s="2533"/>
      <c r="K101" s="2533"/>
      <c r="L101" s="2533"/>
      <c r="M101" s="2533"/>
      <c r="N101" s="2533"/>
      <c r="O101" s="2533">
        <f>(1028.2*432)- 640170</f>
        <v>-195987.59999999998</v>
      </c>
      <c r="P101" s="2533"/>
      <c r="Q101" s="2533"/>
      <c r="R101" s="2533"/>
      <c r="S101" s="2533"/>
      <c r="T101" s="2533"/>
      <c r="U101" s="2533"/>
    </row>
    <row r="102" spans="1:21" x14ac:dyDescent="0.35">
      <c r="A102" s="2286"/>
      <c r="B102" s="2284"/>
      <c r="C102" s="2285"/>
      <c r="D102" s="2285"/>
      <c r="E102" s="2285"/>
      <c r="F102" s="2285"/>
      <c r="G102" s="2198"/>
      <c r="H102" s="2081"/>
      <c r="I102" s="2081"/>
      <c r="J102" s="2081"/>
      <c r="K102" s="2081"/>
      <c r="L102" s="2081"/>
      <c r="M102" s="2081"/>
      <c r="N102" s="2081"/>
      <c r="O102" s="2081"/>
      <c r="P102" s="2081"/>
      <c r="Q102" s="2081"/>
      <c r="R102" s="2081"/>
      <c r="S102" s="2081"/>
      <c r="T102" s="2081"/>
      <c r="U102" s="2081"/>
    </row>
    <row r="103" spans="1:21" x14ac:dyDescent="0.35">
      <c r="A103" s="2269"/>
      <c r="B103" s="2270"/>
      <c r="C103" s="2285"/>
      <c r="D103" s="2285"/>
      <c r="E103" s="2285"/>
      <c r="F103" s="2285"/>
      <c r="G103" s="2198"/>
      <c r="H103" s="2084"/>
      <c r="I103" s="2084"/>
      <c r="J103" s="2084"/>
      <c r="K103" s="2084"/>
      <c r="L103" s="2084"/>
      <c r="M103" s="2084"/>
      <c r="N103" s="2084"/>
      <c r="O103" s="2084"/>
      <c r="P103" s="2084"/>
      <c r="Q103" s="2084"/>
      <c r="R103" s="2084"/>
      <c r="S103" s="2084"/>
      <c r="T103" s="2084"/>
      <c r="U103" s="2084"/>
    </row>
    <row r="104" spans="1:21" x14ac:dyDescent="0.35">
      <c r="A104" s="3764" t="s">
        <v>724</v>
      </c>
      <c r="B104" s="3765"/>
      <c r="C104" s="12"/>
      <c r="D104" s="12"/>
      <c r="E104" s="12"/>
      <c r="F104" s="12"/>
      <c r="G104" s="13"/>
      <c r="H104" s="21"/>
      <c r="I104" s="21"/>
      <c r="J104" s="21"/>
      <c r="K104" s="21"/>
      <c r="L104" s="21"/>
      <c r="M104" s="21"/>
      <c r="N104" s="21"/>
      <c r="O104" s="21"/>
      <c r="P104" s="21"/>
      <c r="Q104" s="21"/>
      <c r="R104" s="21"/>
      <c r="S104" s="21"/>
      <c r="T104" s="21"/>
      <c r="U104" s="21"/>
    </row>
    <row r="105" spans="1:21" x14ac:dyDescent="0.35">
      <c r="A105" s="2434"/>
      <c r="B105" s="2417"/>
      <c r="C105" s="2415"/>
      <c r="D105" s="2415"/>
      <c r="E105" s="2415"/>
      <c r="F105" s="2415"/>
      <c r="G105" s="2416"/>
      <c r="H105" s="2533"/>
      <c r="I105" s="2533"/>
      <c r="J105" s="2533"/>
      <c r="K105" s="2533"/>
      <c r="L105" s="2533"/>
      <c r="M105" s="2533"/>
      <c r="N105" s="2533"/>
      <c r="O105" s="2533"/>
      <c r="P105" s="2533"/>
      <c r="Q105" s="2533"/>
      <c r="R105" s="2533"/>
      <c r="S105" s="2533"/>
      <c r="T105" s="2533"/>
      <c r="U105" s="2533"/>
    </row>
    <row r="106" spans="1:21" x14ac:dyDescent="0.35">
      <c r="A106" s="2269"/>
      <c r="B106" s="2270"/>
      <c r="C106" s="2285"/>
      <c r="D106" s="2285"/>
      <c r="E106" s="2285"/>
      <c r="F106" s="2285"/>
      <c r="G106" s="2198"/>
      <c r="H106" s="2087"/>
      <c r="I106" s="2087"/>
      <c r="J106" s="2087"/>
      <c r="K106" s="2087"/>
      <c r="L106" s="2087"/>
      <c r="M106" s="2087"/>
      <c r="N106" s="2087"/>
      <c r="O106" s="2087"/>
      <c r="P106" s="2087"/>
      <c r="Q106" s="2087"/>
      <c r="R106" s="2087"/>
      <c r="S106" s="2087"/>
      <c r="T106" s="2087"/>
      <c r="U106" s="2087"/>
    </row>
    <row r="107" spans="1:21" x14ac:dyDescent="0.35">
      <c r="A107" s="2269"/>
      <c r="B107" s="2270"/>
      <c r="C107" s="2285"/>
      <c r="D107" s="2285"/>
      <c r="E107" s="2285"/>
      <c r="F107" s="2285"/>
      <c r="G107" s="2198"/>
      <c r="H107" s="2087"/>
      <c r="I107" s="2087"/>
      <c r="J107" s="2087"/>
      <c r="K107" s="2087"/>
      <c r="L107" s="2087"/>
      <c r="M107" s="2087"/>
      <c r="N107" s="2087"/>
      <c r="O107" s="2087"/>
      <c r="P107" s="2087"/>
      <c r="Q107" s="2087"/>
      <c r="R107" s="2087"/>
      <c r="S107" s="2087"/>
      <c r="T107" s="2087"/>
      <c r="U107" s="2087"/>
    </row>
    <row r="108" spans="1:21" x14ac:dyDescent="0.35">
      <c r="A108" s="3764" t="s">
        <v>725</v>
      </c>
      <c r="B108" s="3765"/>
      <c r="C108" s="12"/>
      <c r="D108" s="12"/>
      <c r="E108" s="12"/>
      <c r="F108" s="12"/>
      <c r="G108" s="13"/>
      <c r="H108" s="21"/>
      <c r="I108" s="21"/>
      <c r="J108" s="21"/>
      <c r="K108" s="21"/>
      <c r="L108" s="21"/>
      <c r="M108" s="21"/>
      <c r="N108" s="21"/>
      <c r="O108" s="21"/>
      <c r="P108" s="21"/>
      <c r="Q108" s="21"/>
      <c r="R108" s="21"/>
      <c r="S108" s="21"/>
      <c r="T108" s="21"/>
      <c r="U108" s="21"/>
    </row>
    <row r="109" spans="1:21" x14ac:dyDescent="0.35">
      <c r="A109" s="2286"/>
      <c r="B109" s="2284" t="s">
        <v>726</v>
      </c>
      <c r="C109" s="2285"/>
      <c r="D109" s="2285"/>
      <c r="E109" s="2285"/>
      <c r="F109" s="2285"/>
      <c r="G109" s="2198"/>
      <c r="H109" s="2087"/>
      <c r="I109" s="2087"/>
      <c r="J109" s="2087"/>
      <c r="K109" s="2087"/>
      <c r="L109" s="2087"/>
      <c r="M109" s="2087"/>
      <c r="N109" s="2087"/>
      <c r="O109" s="2087"/>
      <c r="P109" s="2087"/>
      <c r="Q109" s="2087"/>
      <c r="R109" s="2087"/>
      <c r="S109" s="2087"/>
      <c r="T109" s="2087"/>
      <c r="U109" s="2087"/>
    </row>
    <row r="110" spans="1:21" x14ac:dyDescent="0.35">
      <c r="A110" s="2286"/>
      <c r="B110" s="2284" t="s">
        <v>727</v>
      </c>
      <c r="C110" s="2285"/>
      <c r="D110" s="2285"/>
      <c r="E110" s="2285"/>
      <c r="F110" s="2285"/>
      <c r="G110" s="2198"/>
      <c r="H110" s="2087"/>
      <c r="I110" s="2087"/>
      <c r="J110" s="2087"/>
      <c r="K110" s="2087"/>
      <c r="L110" s="2087"/>
      <c r="M110" s="2087"/>
      <c r="N110" s="2087"/>
      <c r="O110" s="2087"/>
      <c r="P110" s="2087"/>
      <c r="Q110" s="2087"/>
      <c r="R110" s="2087"/>
      <c r="S110" s="2087"/>
      <c r="T110" s="2087"/>
      <c r="U110" s="2087"/>
    </row>
    <row r="111" spans="1:21" x14ac:dyDescent="0.35">
      <c r="A111" s="2286"/>
      <c r="B111" s="2284" t="s">
        <v>728</v>
      </c>
      <c r="C111" s="2285"/>
      <c r="D111" s="2285"/>
      <c r="E111" s="2285"/>
      <c r="F111" s="2285"/>
      <c r="G111" s="2198"/>
      <c r="H111" s="2087"/>
      <c r="I111" s="2087"/>
      <c r="J111" s="2087"/>
      <c r="K111" s="2087"/>
      <c r="L111" s="2087"/>
      <c r="M111" s="2087"/>
      <c r="N111" s="2087"/>
      <c r="O111" s="2087"/>
      <c r="P111" s="2087"/>
      <c r="Q111" s="2087"/>
      <c r="R111" s="2087"/>
      <c r="S111" s="2087"/>
      <c r="T111" s="2087"/>
      <c r="U111" s="2087"/>
    </row>
    <row r="112" spans="1:21" x14ac:dyDescent="0.35">
      <c r="A112" s="2286"/>
      <c r="B112" s="2284" t="s">
        <v>729</v>
      </c>
      <c r="C112" s="2285"/>
      <c r="D112" s="2285"/>
      <c r="E112" s="2285"/>
      <c r="F112" s="2285"/>
      <c r="G112" s="2198"/>
      <c r="H112" s="2087"/>
      <c r="I112" s="2087"/>
      <c r="J112" s="2087"/>
      <c r="K112" s="2087"/>
      <c r="L112" s="2087"/>
      <c r="M112" s="2087"/>
      <c r="N112" s="2087"/>
      <c r="O112" s="2087"/>
      <c r="P112" s="2087"/>
      <c r="Q112" s="2087"/>
      <c r="R112" s="2087"/>
      <c r="S112" s="2087"/>
      <c r="T112" s="2087"/>
      <c r="U112" s="2087"/>
    </row>
    <row r="113" spans="1:21" x14ac:dyDescent="0.35">
      <c r="A113" s="978"/>
      <c r="B113" s="939"/>
      <c r="C113" s="940"/>
      <c r="D113" s="940"/>
      <c r="E113" s="940"/>
      <c r="F113" s="940"/>
      <c r="G113" s="1039"/>
      <c r="H113" s="981"/>
      <c r="I113" s="981"/>
      <c r="J113" s="981"/>
      <c r="K113" s="981"/>
      <c r="L113" s="981"/>
      <c r="M113" s="981"/>
      <c r="N113" s="981"/>
      <c r="O113" s="981"/>
      <c r="P113" s="981"/>
      <c r="Q113" s="981"/>
      <c r="R113" s="981"/>
      <c r="S113" s="981"/>
      <c r="T113" s="981"/>
      <c r="U113" s="981"/>
    </row>
    <row r="114" spans="1:21" x14ac:dyDescent="0.35">
      <c r="A114" s="7" t="s">
        <v>730</v>
      </c>
      <c r="B114" s="8"/>
      <c r="C114" s="12"/>
      <c r="D114" s="12"/>
      <c r="E114" s="12"/>
      <c r="F114" s="12"/>
      <c r="G114" s="13"/>
      <c r="H114" s="21"/>
      <c r="I114" s="21"/>
      <c r="J114" s="21"/>
      <c r="K114" s="21"/>
      <c r="L114" s="21"/>
      <c r="M114" s="21"/>
      <c r="N114" s="21"/>
      <c r="O114" s="21"/>
      <c r="P114" s="21"/>
      <c r="Q114" s="21"/>
      <c r="R114" s="21"/>
      <c r="S114" s="21"/>
      <c r="T114" s="21"/>
      <c r="U114" s="21"/>
    </row>
    <row r="115" spans="1:21" x14ac:dyDescent="0.35">
      <c r="A115" s="2432"/>
      <c r="B115" s="2418" t="s">
        <v>731</v>
      </c>
      <c r="C115" s="2415"/>
      <c r="D115" s="2415"/>
      <c r="E115" s="2415"/>
      <c r="F115" s="2415"/>
      <c r="G115" s="2416"/>
      <c r="H115" s="2546"/>
      <c r="I115" s="2546"/>
      <c r="J115" s="2546"/>
      <c r="K115" s="2546"/>
      <c r="L115" s="2546"/>
      <c r="M115" s="2546"/>
      <c r="N115" s="2546"/>
      <c r="O115" s="2546"/>
      <c r="P115" s="2546"/>
      <c r="Q115" s="2546"/>
      <c r="R115" s="2546"/>
      <c r="S115" s="2546"/>
      <c r="T115" s="2546"/>
      <c r="U115" s="2546"/>
    </row>
    <row r="116" spans="1:21" x14ac:dyDescent="0.35">
      <c r="A116" s="2286"/>
      <c r="B116" s="2284" t="s">
        <v>732</v>
      </c>
      <c r="C116" s="2285"/>
      <c r="D116" s="2285"/>
      <c r="E116" s="2285"/>
      <c r="F116" s="2285"/>
      <c r="G116" s="2198"/>
      <c r="H116" s="2158"/>
      <c r="I116" s="2158"/>
      <c r="J116" s="2158"/>
      <c r="K116" s="2158"/>
      <c r="L116" s="2158"/>
      <c r="M116" s="2158"/>
      <c r="N116" s="2158"/>
      <c r="O116" s="2158"/>
      <c r="P116" s="2158"/>
      <c r="Q116" s="2158"/>
      <c r="R116" s="2158"/>
      <c r="S116" s="2158"/>
      <c r="T116" s="2158"/>
      <c r="U116" s="2158"/>
    </row>
    <row r="117" spans="1:21" x14ac:dyDescent="0.35">
      <c r="A117" s="2089"/>
      <c r="B117" s="2090" t="s">
        <v>733</v>
      </c>
      <c r="C117" s="2091"/>
      <c r="D117" s="2091"/>
      <c r="E117" s="2091"/>
      <c r="F117" s="2091"/>
      <c r="G117" s="2092"/>
      <c r="H117" s="2093"/>
      <c r="I117" s="2093"/>
      <c r="J117" s="2093"/>
      <c r="K117" s="2093"/>
      <c r="L117" s="2093"/>
      <c r="M117" s="2093"/>
      <c r="N117" s="2093"/>
      <c r="O117" s="2093"/>
      <c r="P117" s="2093"/>
      <c r="Q117" s="2093"/>
      <c r="R117" s="2093"/>
      <c r="S117" s="2093"/>
      <c r="T117" s="2093"/>
      <c r="U117" s="2093"/>
    </row>
    <row r="119" spans="1:21" x14ac:dyDescent="0.35">
      <c r="A119" s="78" t="s">
        <v>734</v>
      </c>
      <c r="B119" s="80"/>
      <c r="C119" s="2" t="s">
        <v>20</v>
      </c>
    </row>
    <row r="120" spans="1:21" x14ac:dyDescent="0.35">
      <c r="A120" s="79" t="s">
        <v>632</v>
      </c>
      <c r="B120" s="2094" t="str">
        <f>N4</f>
        <v>Whirlpool</v>
      </c>
    </row>
    <row r="121" spans="1:21" x14ac:dyDescent="0.35">
      <c r="A121" s="2279" t="s">
        <v>636</v>
      </c>
      <c r="B121" s="2094" t="str">
        <f>N5</f>
        <v>Jessica Koop</v>
      </c>
    </row>
    <row r="122" spans="1:21" x14ac:dyDescent="0.35">
      <c r="A122" s="2096" t="s">
        <v>639</v>
      </c>
      <c r="B122" s="2097">
        <f>N6</f>
        <v>2693927282</v>
      </c>
    </row>
    <row r="123" spans="1:21" x14ac:dyDescent="0.35">
      <c r="A123" s="2096" t="s">
        <v>642</v>
      </c>
      <c r="B123" s="2159" t="str">
        <f>N7</f>
        <v>jessica_koop@whirlpool.com</v>
      </c>
    </row>
    <row r="124" spans="1:21" x14ac:dyDescent="0.35">
      <c r="A124" s="2099" t="s">
        <v>735</v>
      </c>
      <c r="B124" s="2460">
        <f>N8-C124</f>
        <v>1866841</v>
      </c>
      <c r="C124" s="326">
        <f>SUM(O56:O62)</f>
        <v>21758</v>
      </c>
    </row>
    <row r="126" spans="1:21" x14ac:dyDescent="0.35">
      <c r="A126" s="81"/>
      <c r="B126" s="1" t="s">
        <v>736</v>
      </c>
    </row>
    <row r="127" spans="1:21" x14ac:dyDescent="0.35">
      <c r="A127" s="82"/>
      <c r="B127" s="1" t="s">
        <v>737</v>
      </c>
    </row>
  </sheetData>
  <mergeCells count="54">
    <mergeCell ref="A92:B92"/>
    <mergeCell ref="A96:B96"/>
    <mergeCell ref="A100:B100"/>
    <mergeCell ref="A104:B104"/>
    <mergeCell ref="A108:B108"/>
    <mergeCell ref="T8:U8"/>
    <mergeCell ref="H7:I7"/>
    <mergeCell ref="J7:K7"/>
    <mergeCell ref="N7:O7"/>
    <mergeCell ref="P7:Q7"/>
    <mergeCell ref="R7:S7"/>
    <mergeCell ref="T7:U7"/>
    <mergeCell ref="H8:I8"/>
    <mergeCell ref="J8:K8"/>
    <mergeCell ref="N8:O8"/>
    <mergeCell ref="P8:Q8"/>
    <mergeCell ref="R8:S8"/>
    <mergeCell ref="L7:M7"/>
    <mergeCell ref="L8:M8"/>
    <mergeCell ref="T6:U6"/>
    <mergeCell ref="H5:I5"/>
    <mergeCell ref="J5:K5"/>
    <mergeCell ref="N5:O5"/>
    <mergeCell ref="P5:Q5"/>
    <mergeCell ref="R5:S5"/>
    <mergeCell ref="T5:U5"/>
    <mergeCell ref="H6:I6"/>
    <mergeCell ref="J6:K6"/>
    <mergeCell ref="N6:O6"/>
    <mergeCell ref="P6:Q6"/>
    <mergeCell ref="R6:S6"/>
    <mergeCell ref="L5:M5"/>
    <mergeCell ref="L6:M6"/>
    <mergeCell ref="T4:U4"/>
    <mergeCell ref="H3:I3"/>
    <mergeCell ref="J3:K3"/>
    <mergeCell ref="N3:O3"/>
    <mergeCell ref="P3:Q3"/>
    <mergeCell ref="R3:S3"/>
    <mergeCell ref="T3:U3"/>
    <mergeCell ref="H4:I4"/>
    <mergeCell ref="J4:K4"/>
    <mergeCell ref="N4:O4"/>
    <mergeCell ref="P4:Q4"/>
    <mergeCell ref="R4:S4"/>
    <mergeCell ref="L3:M3"/>
    <mergeCell ref="L4:M4"/>
    <mergeCell ref="T2:U2"/>
    <mergeCell ref="H2:I2"/>
    <mergeCell ref="J2:K2"/>
    <mergeCell ref="N2:O2"/>
    <mergeCell ref="P2:Q2"/>
    <mergeCell ref="R2:S2"/>
    <mergeCell ref="L2:M2"/>
  </mergeCells>
  <conditionalFormatting sqref="H20:H32 H35:H83 J35:J83 N35:N83 P35:P83 R35:R83 T35:T83 I45">
    <cfRule type="cellIs" dxfId="1057" priority="17" operator="equal">
      <formula>"X"</formula>
    </cfRule>
    <cfRule type="cellIs" dxfId="1056" priority="18" operator="equal">
      <formula>"I"</formula>
    </cfRule>
  </conditionalFormatting>
  <conditionalFormatting sqref="J20:J32">
    <cfRule type="cellIs" dxfId="1055" priority="19" operator="equal">
      <formula>"X"</formula>
    </cfRule>
    <cfRule type="cellIs" dxfId="1054" priority="20" operator="equal">
      <formula>"I"</formula>
    </cfRule>
  </conditionalFormatting>
  <conditionalFormatting sqref="L20:L32">
    <cfRule type="cellIs" dxfId="1053" priority="3" operator="equal">
      <formula>"X"</formula>
    </cfRule>
    <cfRule type="cellIs" dxfId="1052" priority="4" operator="equal">
      <formula>"I"</formula>
    </cfRule>
  </conditionalFormatting>
  <conditionalFormatting sqref="L35:L83">
    <cfRule type="cellIs" dxfId="1051" priority="1" operator="equal">
      <formula>"X"</formula>
    </cfRule>
    <cfRule type="cellIs" dxfId="1050" priority="2" operator="equal">
      <formula>"I"</formula>
    </cfRule>
  </conditionalFormatting>
  <conditionalFormatting sqref="N20:N32">
    <cfRule type="cellIs" dxfId="1049" priority="21" operator="equal">
      <formula>"X"</formula>
    </cfRule>
    <cfRule type="cellIs" dxfId="1048" priority="22" operator="equal">
      <formula>"I"</formula>
    </cfRule>
  </conditionalFormatting>
  <conditionalFormatting sqref="P20:P32">
    <cfRule type="cellIs" dxfId="1047" priority="23" operator="equal">
      <formula>"X"</formula>
    </cfRule>
    <cfRule type="cellIs" dxfId="1046" priority="24" operator="equal">
      <formula>"I"</formula>
    </cfRule>
  </conditionalFormatting>
  <conditionalFormatting sqref="R20:R32">
    <cfRule type="cellIs" dxfId="1045" priority="25" operator="equal">
      <formula>"X"</formula>
    </cfRule>
    <cfRule type="cellIs" dxfId="1044" priority="26" operator="equal">
      <formula>"I"</formula>
    </cfRule>
  </conditionalFormatting>
  <conditionalFormatting sqref="T20:T32">
    <cfRule type="cellIs" dxfId="1043" priority="27" operator="equal">
      <formula>"X"</formula>
    </cfRule>
    <cfRule type="cellIs" dxfId="1042" priority="28" operator="equal">
      <formula>"I"</formula>
    </cfRule>
  </conditionalFormatting>
  <hyperlinks>
    <hyperlink ref="B3" location="'Cost Summary'!A1" display="BACK TO SUMMARY SHEET" xr:uid="{2970D1D1-44C8-4166-8BE2-19F2E74004B8}"/>
    <hyperlink ref="H7:I7" r:id="rId1" display="Anthony.DiPalermo@geappliances.com" xr:uid="{A952C424-B2C4-4835-8F18-43D50176E17F}"/>
    <hyperlink ref="J7:K7" r:id="rId2" display="sandy@ajmadison.com" xr:uid="{E9CA7615-9A05-4F7D-B436-E7F66F066E4D}"/>
    <hyperlink ref="N7:O7" r:id="rId3" display="jessica_koop@whirlpool.com" xr:uid="{EBE9FBAF-EDDF-41A8-9732-EF23AF7C4834}"/>
    <hyperlink ref="L7:M7" r:id="rId4" display="sandy@ajmadison.com" xr:uid="{30AC10FB-56C4-42E7-BE0C-28FD3F88473E}"/>
  </hyperlinks>
  <pageMargins left="0.7" right="0.7" top="0.75" bottom="0.75" header="0.3" footer="0.3"/>
  <pageSetup orientation="portrait" r:id="rId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C086-972E-46E3-AFAB-D8FE9BE34F83}">
  <dimension ref="A1:S91"/>
  <sheetViews>
    <sheetView zoomScale="85" zoomScaleNormal="85" workbookViewId="0">
      <pane xSplit="2" ySplit="19" topLeftCell="C49" activePane="bottomRight" state="frozen"/>
      <selection pane="topRight" activeCell="C1" sqref="C1"/>
      <selection pane="bottomLeft" activeCell="A20" sqref="A20"/>
      <selection pane="bottomRight" activeCell="I53" sqref="I53:I54"/>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c r="G2" s="123" t="s">
        <v>451</v>
      </c>
      <c r="H2" s="3751"/>
      <c r="I2" s="3751"/>
      <c r="J2" s="3751"/>
      <c r="K2" s="3751"/>
      <c r="L2" s="3751"/>
      <c r="M2" s="3751"/>
      <c r="N2" s="3751"/>
      <c r="O2" s="3751"/>
      <c r="P2" s="3751"/>
      <c r="Q2" s="3751"/>
      <c r="R2" s="3751"/>
      <c r="S2" s="3751"/>
    </row>
    <row r="3" spans="1:19" ht="20" thickBot="1" x14ac:dyDescent="0.4">
      <c r="B3" s="137" t="s">
        <v>623</v>
      </c>
      <c r="E3" s="152"/>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952"/>
      <c r="K4" s="3753"/>
      <c r="L4" s="3952"/>
      <c r="M4" s="3753"/>
      <c r="N4" s="3952"/>
      <c r="O4" s="3753"/>
      <c r="P4" s="3952"/>
      <c r="Q4" s="3753"/>
      <c r="R4" s="3952"/>
      <c r="S4" s="3753"/>
    </row>
    <row r="5" spans="1:19" x14ac:dyDescent="0.35">
      <c r="A5" s="2283" t="s">
        <v>634</v>
      </c>
      <c r="B5" s="2284" t="s">
        <v>2792</v>
      </c>
      <c r="C5" s="2285"/>
      <c r="D5" s="2285"/>
      <c r="E5" s="2285"/>
      <c r="F5" s="2285"/>
      <c r="G5" s="2194" t="s">
        <v>636</v>
      </c>
      <c r="H5" s="3931"/>
      <c r="I5" s="3932"/>
      <c r="J5" s="3954"/>
      <c r="K5" s="3932"/>
      <c r="L5" s="3954"/>
      <c r="M5" s="3932"/>
      <c r="N5" s="3954"/>
      <c r="O5" s="3932"/>
      <c r="P5" s="3954"/>
      <c r="Q5" s="3932"/>
      <c r="R5" s="3954"/>
      <c r="S5" s="3932"/>
    </row>
    <row r="6" spans="1:19" x14ac:dyDescent="0.35">
      <c r="A6" s="2283" t="s">
        <v>638</v>
      </c>
      <c r="B6" s="2195" t="s">
        <v>2793</v>
      </c>
      <c r="C6" s="2285"/>
      <c r="D6" s="2285"/>
      <c r="E6" s="2285"/>
      <c r="F6" s="2285"/>
      <c r="G6" s="2194" t="s">
        <v>639</v>
      </c>
      <c r="H6" s="3937"/>
      <c r="I6" s="3938"/>
      <c r="J6" s="3953"/>
      <c r="K6" s="3938"/>
      <c r="L6" s="3953"/>
      <c r="M6" s="3938"/>
      <c r="N6" s="3953"/>
      <c r="O6" s="3938"/>
      <c r="P6" s="3953"/>
      <c r="Q6" s="3938"/>
      <c r="R6" s="3953"/>
      <c r="S6" s="3938"/>
    </row>
    <row r="7" spans="1:19" x14ac:dyDescent="0.35">
      <c r="A7" s="2283" t="s">
        <v>641</v>
      </c>
      <c r="B7" s="2196"/>
      <c r="C7" s="2285"/>
      <c r="D7" s="2285"/>
      <c r="E7" s="2285"/>
      <c r="F7" s="2285"/>
      <c r="G7" s="2194" t="s">
        <v>642</v>
      </c>
      <c r="H7" s="3934"/>
      <c r="I7" s="3935"/>
      <c r="J7" s="3955"/>
      <c r="K7" s="3935"/>
      <c r="L7" s="3955"/>
      <c r="M7" s="3935"/>
      <c r="N7" s="3955"/>
      <c r="O7" s="3935"/>
      <c r="P7" s="3955"/>
      <c r="Q7" s="3935"/>
      <c r="R7" s="3955"/>
      <c r="S7" s="3935"/>
    </row>
    <row r="8" spans="1:19" ht="15" thickBot="1" x14ac:dyDescent="0.4">
      <c r="A8" s="938" t="s">
        <v>644</v>
      </c>
      <c r="B8" s="939"/>
      <c r="C8" s="940"/>
      <c r="D8" s="940"/>
      <c r="E8" s="940"/>
      <c r="F8" s="940"/>
      <c r="G8" s="938" t="s">
        <v>644</v>
      </c>
      <c r="H8" s="3945">
        <f>I52</f>
        <v>0</v>
      </c>
      <c r="I8" s="3944"/>
      <c r="J8" s="3945">
        <f>K52</f>
        <v>0</v>
      </c>
      <c r="K8" s="3944"/>
      <c r="L8" s="3945">
        <f>M52</f>
        <v>0</v>
      </c>
      <c r="M8" s="3944"/>
      <c r="N8" s="3945">
        <f>O52</f>
        <v>0</v>
      </c>
      <c r="O8" s="3944"/>
      <c r="P8" s="3945">
        <f>Q52</f>
        <v>0</v>
      </c>
      <c r="Q8" s="3944"/>
      <c r="R8" s="3945">
        <f>S52</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419"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286"/>
      <c r="B20" s="2284"/>
      <c r="C20" s="2201"/>
      <c r="D20" s="2285"/>
      <c r="E20" s="2285"/>
      <c r="F20" s="2285"/>
      <c r="G20" s="2198"/>
      <c r="H20" s="2107"/>
      <c r="I20" s="2107"/>
      <c r="J20" s="2107"/>
      <c r="K20" s="2107"/>
      <c r="L20" s="2107"/>
      <c r="M20" s="2107"/>
      <c r="N20" s="2107"/>
      <c r="O20" s="2107"/>
      <c r="P20" s="2107"/>
      <c r="Q20" s="2107"/>
      <c r="R20" s="2107"/>
      <c r="S20" s="2107"/>
    </row>
    <row r="21" spans="1:19" ht="15" thickBot="1" x14ac:dyDescent="0.4">
      <c r="A21" s="2286"/>
      <c r="B21" s="2203" t="s">
        <v>2792</v>
      </c>
      <c r="C21" s="2201"/>
      <c r="D21" s="2285"/>
      <c r="E21" s="2285"/>
      <c r="F21" s="2285"/>
      <c r="G21" s="2198"/>
      <c r="H21" s="2107"/>
      <c r="I21" s="2107"/>
      <c r="J21" s="2107"/>
      <c r="K21" s="2107"/>
      <c r="L21" s="2107"/>
      <c r="M21" s="2107"/>
      <c r="N21" s="2107"/>
      <c r="O21" s="2107"/>
      <c r="P21" s="2107"/>
      <c r="Q21" s="2107"/>
      <c r="R21" s="2107"/>
      <c r="S21" s="2107"/>
    </row>
    <row r="22" spans="1:19" x14ac:dyDescent="0.35">
      <c r="A22" s="2437"/>
      <c r="B22" s="606" t="s">
        <v>657</v>
      </c>
      <c r="C22" s="2201"/>
      <c r="D22" s="2285"/>
      <c r="E22" s="2285"/>
      <c r="F22" s="2285"/>
      <c r="G22" s="2198"/>
      <c r="H22" s="2546"/>
      <c r="I22" s="2420"/>
      <c r="J22" s="2420"/>
      <c r="K22" s="2420"/>
      <c r="L22" s="2331"/>
      <c r="M22" s="2420"/>
      <c r="N22" s="2420"/>
      <c r="O22" s="2420"/>
      <c r="P22" s="2420"/>
      <c r="Q22" s="2420"/>
      <c r="R22" s="2420"/>
      <c r="S22" s="2420"/>
    </row>
    <row r="23" spans="1:19" x14ac:dyDescent="0.35">
      <c r="A23" s="2437"/>
      <c r="B23" s="2421" t="s">
        <v>658</v>
      </c>
      <c r="C23" s="2201"/>
      <c r="D23" s="2285"/>
      <c r="E23" s="2285"/>
      <c r="F23" s="2285"/>
      <c r="G23" s="2198"/>
      <c r="H23" s="2331"/>
      <c r="I23" s="2422"/>
      <c r="J23" s="2331"/>
      <c r="K23" s="2420"/>
      <c r="L23" s="2331"/>
      <c r="M23" s="2420"/>
      <c r="N23" s="2420"/>
      <c r="O23" s="2420"/>
      <c r="P23" s="2420"/>
      <c r="Q23" s="2420"/>
      <c r="R23" s="2420"/>
      <c r="S23" s="2420"/>
    </row>
    <row r="24" spans="1:19" x14ac:dyDescent="0.35">
      <c r="A24" s="2437"/>
      <c r="B24" s="2421" t="s">
        <v>659</v>
      </c>
      <c r="C24" s="2208"/>
      <c r="D24" s="2285"/>
      <c r="E24" s="2285"/>
      <c r="F24" s="2285"/>
      <c r="G24" s="2198"/>
      <c r="H24" s="2331"/>
      <c r="I24" s="2422"/>
      <c r="J24" s="2331"/>
      <c r="K24" s="2420"/>
      <c r="L24" s="2331"/>
      <c r="M24" s="2420"/>
      <c r="N24" s="2420"/>
      <c r="O24" s="2420"/>
      <c r="P24" s="2420"/>
      <c r="Q24" s="2420"/>
      <c r="R24" s="2420"/>
      <c r="S24" s="2420"/>
    </row>
    <row r="25" spans="1:19" x14ac:dyDescent="0.35">
      <c r="A25" s="2437"/>
      <c r="B25" s="2590" t="s">
        <v>660</v>
      </c>
      <c r="C25" s="2208"/>
      <c r="D25" s="2285"/>
      <c r="E25" s="2285"/>
      <c r="F25" s="2285"/>
      <c r="G25" s="2198"/>
      <c r="H25" s="2331"/>
      <c r="I25" s="2422"/>
      <c r="J25" s="2331"/>
      <c r="K25" s="2420"/>
      <c r="L25" s="2331"/>
      <c r="M25" s="2420"/>
      <c r="N25" s="2420"/>
      <c r="O25" s="2420"/>
      <c r="P25" s="2420"/>
      <c r="Q25" s="2420"/>
      <c r="R25" s="2420"/>
      <c r="S25" s="2420"/>
    </row>
    <row r="26" spans="1:19" s="77" customFormat="1" x14ac:dyDescent="0.35">
      <c r="A26" s="2591"/>
      <c r="B26" s="2590" t="s">
        <v>661</v>
      </c>
      <c r="C26" s="2211"/>
      <c r="D26" s="2212"/>
      <c r="E26" s="2212"/>
      <c r="F26" s="2212"/>
      <c r="G26" s="2211"/>
      <c r="H26" s="2331"/>
      <c r="I26" s="2422"/>
      <c r="J26" s="2334"/>
      <c r="K26" s="2592"/>
      <c r="L26" s="2334"/>
      <c r="M26" s="2592"/>
      <c r="N26" s="2592"/>
      <c r="O26" s="2592"/>
      <c r="P26" s="2592"/>
      <c r="Q26" s="2592"/>
      <c r="R26" s="2592"/>
      <c r="S26" s="2592"/>
    </row>
    <row r="27" spans="1:19" s="77" customFormat="1" x14ac:dyDescent="0.35">
      <c r="A27" s="2591"/>
      <c r="B27" s="2590" t="s">
        <v>662</v>
      </c>
      <c r="C27" s="2211"/>
      <c r="D27" s="2212"/>
      <c r="E27" s="2212"/>
      <c r="F27" s="2212"/>
      <c r="G27" s="2211"/>
      <c r="H27" s="2331"/>
      <c r="I27" s="2422"/>
      <c r="J27" s="2334"/>
      <c r="K27" s="2592"/>
      <c r="L27" s="2334"/>
      <c r="M27" s="2592"/>
      <c r="N27" s="2592"/>
      <c r="O27" s="2592"/>
      <c r="P27" s="2592"/>
      <c r="Q27" s="2592"/>
      <c r="R27" s="2592"/>
      <c r="S27" s="2592"/>
    </row>
    <row r="28" spans="1:19" s="77" customFormat="1" x14ac:dyDescent="0.35">
      <c r="A28" s="2591"/>
      <c r="B28" s="2590" t="s">
        <v>663</v>
      </c>
      <c r="C28" s="2211"/>
      <c r="D28" s="2212"/>
      <c r="E28" s="2212"/>
      <c r="F28" s="2212"/>
      <c r="G28" s="2211"/>
      <c r="H28" s="2331"/>
      <c r="I28" s="2422"/>
      <c r="J28" s="2334"/>
      <c r="K28" s="2592"/>
      <c r="L28" s="2334"/>
      <c r="M28" s="2592"/>
      <c r="N28" s="2592"/>
      <c r="O28" s="2592"/>
      <c r="P28" s="2592"/>
      <c r="Q28" s="2592"/>
      <c r="R28" s="2592"/>
      <c r="S28" s="2592"/>
    </row>
    <row r="29" spans="1:19" s="77" customFormat="1" x14ac:dyDescent="0.35">
      <c r="A29" s="2591"/>
      <c r="B29" s="2593" t="s">
        <v>664</v>
      </c>
      <c r="C29" s="2211"/>
      <c r="D29" s="2212"/>
      <c r="E29" s="2212"/>
      <c r="F29" s="2212"/>
      <c r="G29" s="2211"/>
      <c r="H29" s="2331"/>
      <c r="I29" s="2422"/>
      <c r="J29" s="2334"/>
      <c r="K29" s="2592"/>
      <c r="L29" s="2334"/>
      <c r="M29" s="2592"/>
      <c r="N29" s="2592"/>
      <c r="O29" s="2592"/>
      <c r="P29" s="2592"/>
      <c r="Q29" s="2592"/>
      <c r="R29" s="2592"/>
      <c r="S29" s="2592"/>
    </row>
    <row r="30" spans="1:19" s="77" customFormat="1" x14ac:dyDescent="0.35">
      <c r="A30" s="2591"/>
      <c r="B30" s="2594" t="s">
        <v>665</v>
      </c>
      <c r="C30" s="2216"/>
      <c r="D30" s="2217"/>
      <c r="E30" s="2217"/>
      <c r="F30" s="2217"/>
      <c r="G30" s="2216"/>
      <c r="H30" s="2288"/>
      <c r="I30" s="2595"/>
      <c r="J30" s="2289"/>
      <c r="K30" s="2596"/>
      <c r="L30" s="2289"/>
      <c r="M30" s="2596"/>
      <c r="N30" s="2596"/>
      <c r="O30" s="2596"/>
      <c r="P30" s="2596"/>
      <c r="Q30" s="2596"/>
      <c r="R30" s="2596"/>
      <c r="S30" s="2596"/>
    </row>
    <row r="31" spans="1:19" s="77" customFormat="1" x14ac:dyDescent="0.35">
      <c r="A31" s="2591"/>
      <c r="B31" s="127"/>
      <c r="C31" s="2211"/>
      <c r="D31" s="2212"/>
      <c r="E31" s="2212"/>
      <c r="F31" s="2212"/>
      <c r="G31" s="2211"/>
      <c r="H31" s="2331"/>
      <c r="I31" s="2422"/>
      <c r="J31" s="2334"/>
      <c r="K31" s="2592"/>
      <c r="L31" s="2334"/>
      <c r="M31" s="2592"/>
      <c r="N31" s="2592"/>
      <c r="O31" s="2592"/>
      <c r="P31" s="2592"/>
      <c r="Q31" s="2592"/>
      <c r="R31" s="2592"/>
      <c r="S31" s="2592"/>
    </row>
    <row r="32" spans="1:19" s="77" customFormat="1" x14ac:dyDescent="0.35">
      <c r="A32" s="2597"/>
      <c r="B32" s="2234"/>
      <c r="C32" s="2236"/>
      <c r="D32" s="2212"/>
      <c r="E32" s="2212"/>
      <c r="F32" s="2212"/>
      <c r="G32" s="2211"/>
      <c r="H32" s="2331"/>
      <c r="I32" s="2422"/>
      <c r="J32" s="2334"/>
      <c r="K32" s="2592"/>
      <c r="L32" s="2334"/>
      <c r="M32" s="2592"/>
      <c r="N32" s="2592"/>
      <c r="O32" s="2592"/>
      <c r="P32" s="2592"/>
      <c r="Q32" s="2592"/>
      <c r="R32" s="2592"/>
      <c r="S32" s="2592"/>
    </row>
    <row r="33" spans="1:19" s="77" customFormat="1" x14ac:dyDescent="0.35">
      <c r="A33" s="2597"/>
      <c r="B33" s="2235"/>
      <c r="C33" s="2236"/>
      <c r="D33" s="2212"/>
      <c r="E33" s="2212"/>
      <c r="F33" s="2212"/>
      <c r="G33" s="2211"/>
      <c r="H33" s="2331"/>
      <c r="I33" s="2422"/>
      <c r="J33" s="2334"/>
      <c r="K33" s="2592"/>
      <c r="L33" s="2334"/>
      <c r="M33" s="2592"/>
      <c r="N33" s="2592"/>
      <c r="O33" s="2592"/>
      <c r="P33" s="2592"/>
      <c r="Q33" s="2592"/>
      <c r="R33" s="2592"/>
      <c r="S33" s="2592"/>
    </row>
    <row r="34" spans="1:19" s="77" customFormat="1" x14ac:dyDescent="0.35">
      <c r="A34" s="2597"/>
      <c r="B34" s="2235"/>
      <c r="C34" s="2236"/>
      <c r="D34" s="2212"/>
      <c r="E34" s="2212"/>
      <c r="F34" s="2212"/>
      <c r="G34" s="2211"/>
      <c r="H34" s="2331"/>
      <c r="I34" s="2422"/>
      <c r="J34" s="2334"/>
      <c r="K34" s="2592"/>
      <c r="L34" s="2334"/>
      <c r="M34" s="2592"/>
      <c r="N34" s="2592"/>
      <c r="O34" s="2592"/>
      <c r="P34" s="2592"/>
      <c r="Q34" s="2592"/>
      <c r="R34" s="2592"/>
      <c r="S34" s="2592"/>
    </row>
    <row r="35" spans="1:19" s="77" customFormat="1" x14ac:dyDescent="0.35">
      <c r="A35" s="2597"/>
      <c r="B35" s="2317"/>
      <c r="C35" s="2236"/>
      <c r="D35" s="2212"/>
      <c r="E35" s="2212"/>
      <c r="F35" s="2212"/>
      <c r="G35" s="2211"/>
      <c r="H35" s="2331"/>
      <c r="I35" s="2422"/>
      <c r="J35" s="2334"/>
      <c r="K35" s="2592"/>
      <c r="L35" s="2334"/>
      <c r="M35" s="2592"/>
      <c r="N35" s="2592"/>
      <c r="O35" s="2592"/>
      <c r="P35" s="2592"/>
      <c r="Q35" s="2592"/>
      <c r="R35" s="2592"/>
      <c r="S35" s="2592"/>
    </row>
    <row r="36" spans="1:19" s="77" customFormat="1" x14ac:dyDescent="0.35">
      <c r="A36" s="2597"/>
      <c r="B36" s="2235"/>
      <c r="C36" s="2236"/>
      <c r="D36" s="2212"/>
      <c r="E36" s="2212"/>
      <c r="F36" s="2212"/>
      <c r="G36" s="2211"/>
      <c r="H36" s="2331"/>
      <c r="I36" s="2422"/>
      <c r="J36" s="2334"/>
      <c r="K36" s="2592"/>
      <c r="L36" s="2334"/>
      <c r="M36" s="2592"/>
      <c r="N36" s="2592"/>
      <c r="O36" s="2592"/>
      <c r="P36" s="2592"/>
      <c r="Q36" s="2592"/>
      <c r="R36" s="2592"/>
      <c r="S36" s="2592"/>
    </row>
    <row r="37" spans="1:19" s="77" customFormat="1" x14ac:dyDescent="0.35">
      <c r="A37" s="2597"/>
      <c r="B37" s="2235"/>
      <c r="C37" s="2236"/>
      <c r="D37" s="2212"/>
      <c r="E37" s="2341"/>
      <c r="F37" s="2342"/>
      <c r="G37" s="2211"/>
      <c r="H37" s="2331"/>
      <c r="I37" s="2422"/>
      <c r="J37" s="2334"/>
      <c r="K37" s="2592"/>
      <c r="L37" s="2334"/>
      <c r="M37" s="2592"/>
      <c r="N37" s="2592"/>
      <c r="O37" s="2592"/>
      <c r="P37" s="2592"/>
      <c r="Q37" s="2592"/>
      <c r="R37" s="2592"/>
      <c r="S37" s="2592"/>
    </row>
    <row r="38" spans="1:19" s="77" customFormat="1" x14ac:dyDescent="0.35">
      <c r="A38" s="2597"/>
      <c r="B38" s="2235"/>
      <c r="C38" s="2236"/>
      <c r="D38" s="2212"/>
      <c r="E38" s="2341"/>
      <c r="F38" s="2342"/>
      <c r="G38" s="2211"/>
      <c r="H38" s="2331"/>
      <c r="I38" s="2422"/>
      <c r="J38" s="2334"/>
      <c r="K38" s="2592"/>
      <c r="L38" s="2334"/>
      <c r="M38" s="2592"/>
      <c r="N38" s="2592"/>
      <c r="O38" s="2592"/>
      <c r="P38" s="2592"/>
      <c r="Q38" s="2592"/>
      <c r="R38" s="2592"/>
      <c r="S38" s="2592"/>
    </row>
    <row r="39" spans="1:19" s="77" customFormat="1" x14ac:dyDescent="0.35">
      <c r="A39" s="2597"/>
      <c r="B39" s="2235"/>
      <c r="C39" s="2236"/>
      <c r="D39" s="2212"/>
      <c r="E39" s="2341"/>
      <c r="F39" s="2342"/>
      <c r="G39" s="2211"/>
      <c r="H39" s="2331"/>
      <c r="I39" s="2422"/>
      <c r="J39" s="2334"/>
      <c r="K39" s="2592"/>
      <c r="L39" s="2334"/>
      <c r="M39" s="2592"/>
      <c r="N39" s="2592"/>
      <c r="O39" s="2592"/>
      <c r="P39" s="2592"/>
      <c r="Q39" s="2592"/>
      <c r="R39" s="2592"/>
      <c r="S39" s="2592"/>
    </row>
    <row r="40" spans="1:19" s="77" customFormat="1" x14ac:dyDescent="0.35">
      <c r="A40" s="2597"/>
      <c r="B40" s="2598"/>
      <c r="C40" s="2236"/>
      <c r="D40" s="2212"/>
      <c r="E40" s="2341"/>
      <c r="F40" s="2342"/>
      <c r="G40" s="2211"/>
      <c r="H40" s="2331"/>
      <c r="I40" s="2422"/>
      <c r="J40" s="2334"/>
      <c r="K40" s="2592"/>
      <c r="L40" s="2334"/>
      <c r="M40" s="2592"/>
      <c r="N40" s="2592"/>
      <c r="O40" s="2592"/>
      <c r="P40" s="2592"/>
      <c r="Q40" s="2592"/>
      <c r="R40" s="2592"/>
      <c r="S40" s="2592"/>
    </row>
    <row r="41" spans="1:19" s="77" customFormat="1" x14ac:dyDescent="0.35">
      <c r="A41" s="2597"/>
      <c r="B41" s="2599"/>
      <c r="C41" s="2236"/>
      <c r="D41" s="2212"/>
      <c r="E41" s="2341"/>
      <c r="F41" s="2342"/>
      <c r="G41" s="2211"/>
      <c r="H41" s="2331"/>
      <c r="I41" s="2422"/>
      <c r="J41" s="2334"/>
      <c r="K41" s="2592"/>
      <c r="L41" s="2334"/>
      <c r="M41" s="2592"/>
      <c r="N41" s="2592"/>
      <c r="O41" s="2592"/>
      <c r="P41" s="2592"/>
      <c r="Q41" s="2592"/>
      <c r="R41" s="2592"/>
      <c r="S41" s="2592"/>
    </row>
    <row r="42" spans="1:19" s="77" customFormat="1" x14ac:dyDescent="0.35">
      <c r="A42" s="2597"/>
      <c r="B42" s="128"/>
      <c r="C42" s="2236"/>
      <c r="D42" s="2212"/>
      <c r="E42" s="2341"/>
      <c r="F42" s="2342"/>
      <c r="G42" s="2211"/>
      <c r="H42" s="2331"/>
      <c r="I42" s="2422"/>
      <c r="J42" s="2334"/>
      <c r="K42" s="2592"/>
      <c r="L42" s="2334"/>
      <c r="M42" s="2592"/>
      <c r="N42" s="2592"/>
      <c r="O42" s="2592"/>
      <c r="P42" s="2592"/>
      <c r="Q42" s="2592"/>
      <c r="R42" s="2592"/>
      <c r="S42" s="2592"/>
    </row>
    <row r="43" spans="1:19" s="77" customFormat="1" x14ac:dyDescent="0.35">
      <c r="A43" s="2597"/>
      <c r="B43" s="2340"/>
      <c r="C43" s="2236"/>
      <c r="D43" s="2212"/>
      <c r="E43" s="2341"/>
      <c r="F43" s="2342"/>
      <c r="G43" s="2211"/>
      <c r="H43" s="2331"/>
      <c r="I43" s="2422"/>
      <c r="J43" s="2334"/>
      <c r="K43" s="2592"/>
      <c r="L43" s="2334"/>
      <c r="M43" s="2592"/>
      <c r="N43" s="2592"/>
      <c r="O43" s="2592"/>
      <c r="P43" s="2592"/>
      <c r="Q43" s="2592"/>
      <c r="R43" s="2592"/>
      <c r="S43" s="2592"/>
    </row>
    <row r="44" spans="1:19" s="77" customFormat="1" x14ac:dyDescent="0.35">
      <c r="A44" s="2597"/>
      <c r="B44" s="2340"/>
      <c r="C44" s="2236"/>
      <c r="D44" s="2212"/>
      <c r="E44" s="2341"/>
      <c r="F44" s="2342"/>
      <c r="G44" s="2211"/>
      <c r="H44" s="2331"/>
      <c r="I44" s="2422"/>
      <c r="J44" s="2334"/>
      <c r="K44" s="2592"/>
      <c r="L44" s="2334"/>
      <c r="M44" s="2592"/>
      <c r="N44" s="2592"/>
      <c r="O44" s="2592"/>
      <c r="P44" s="2592"/>
      <c r="Q44" s="2592"/>
      <c r="R44" s="2592"/>
      <c r="S44" s="2592"/>
    </row>
    <row r="45" spans="1:19" s="77" customFormat="1" x14ac:dyDescent="0.35">
      <c r="A45" s="2597"/>
      <c r="B45" s="2340"/>
      <c r="C45" s="2236"/>
      <c r="D45" s="2212"/>
      <c r="E45" s="2341"/>
      <c r="F45" s="2342"/>
      <c r="G45" s="2211"/>
      <c r="H45" s="2331"/>
      <c r="I45" s="2422"/>
      <c r="J45" s="2334"/>
      <c r="K45" s="2592"/>
      <c r="L45" s="2334"/>
      <c r="M45" s="2592"/>
      <c r="N45" s="2592"/>
      <c r="O45" s="2592"/>
      <c r="P45" s="2592"/>
      <c r="Q45" s="2592"/>
      <c r="R45" s="2592"/>
      <c r="S45" s="2592"/>
    </row>
    <row r="46" spans="1:19" s="77" customFormat="1" x14ac:dyDescent="0.35">
      <c r="A46" s="2597"/>
      <c r="B46" s="2340"/>
      <c r="C46" s="2236"/>
      <c r="D46" s="2212"/>
      <c r="E46" s="2341"/>
      <c r="F46" s="2342"/>
      <c r="G46" s="2211"/>
      <c r="H46" s="2331"/>
      <c r="I46" s="2422"/>
      <c r="J46" s="2334"/>
      <c r="K46" s="2592"/>
      <c r="L46" s="2334"/>
      <c r="M46" s="2592"/>
      <c r="N46" s="2592"/>
      <c r="O46" s="2592"/>
      <c r="P46" s="2592"/>
      <c r="Q46" s="2592"/>
      <c r="R46" s="2592"/>
      <c r="S46" s="2592"/>
    </row>
    <row r="47" spans="1:19" s="77" customFormat="1" ht="15" thickBot="1" x14ac:dyDescent="0.4">
      <c r="A47" s="2597"/>
      <c r="B47" s="2340"/>
      <c r="C47" s="2236"/>
      <c r="D47" s="2212"/>
      <c r="E47" s="2341"/>
      <c r="F47" s="2342"/>
      <c r="G47" s="2211"/>
      <c r="H47" s="2331"/>
      <c r="I47" s="2422"/>
      <c r="J47" s="2334"/>
      <c r="K47" s="2592"/>
      <c r="L47" s="2334"/>
      <c r="M47" s="2592"/>
      <c r="N47" s="2592"/>
      <c r="O47" s="2592"/>
      <c r="P47" s="2592"/>
      <c r="Q47" s="2592"/>
      <c r="R47" s="2592"/>
      <c r="S47" s="2592"/>
    </row>
    <row r="48" spans="1:19" ht="15" thickTop="1" x14ac:dyDescent="0.35">
      <c r="A48" s="14"/>
      <c r="B48" s="15"/>
      <c r="C48" s="16"/>
      <c r="D48" s="16"/>
      <c r="E48" s="17"/>
      <c r="F48" s="18" t="s">
        <v>715</v>
      </c>
      <c r="G48" s="19"/>
      <c r="H48" s="20"/>
      <c r="I48" s="50">
        <f>SUM(I23:I47)</f>
        <v>0</v>
      </c>
      <c r="J48" s="20"/>
      <c r="K48" s="50">
        <f>SUM(K23:K47)</f>
        <v>0</v>
      </c>
      <c r="L48" s="20"/>
      <c r="M48" s="50">
        <f>SUM(M23:M47)</f>
        <v>0</v>
      </c>
      <c r="N48" s="20"/>
      <c r="O48" s="50">
        <f>SUM(O23:O47)</f>
        <v>0</v>
      </c>
      <c r="P48" s="20"/>
      <c r="Q48" s="50">
        <f>SUM(Q23:Q47)</f>
        <v>0</v>
      </c>
      <c r="R48" s="20"/>
      <c r="S48" s="50">
        <f>SUM(S23:S47)</f>
        <v>0</v>
      </c>
    </row>
    <row r="49" spans="1:19" x14ac:dyDescent="0.35">
      <c r="A49" s="2239"/>
      <c r="B49" s="2240"/>
      <c r="C49" s="2241"/>
      <c r="D49" s="2241"/>
      <c r="E49" s="2242"/>
      <c r="F49" s="2243" t="s">
        <v>716</v>
      </c>
      <c r="G49" s="2244"/>
      <c r="H49" s="2065">
        <v>0</v>
      </c>
      <c r="I49" s="2064"/>
      <c r="J49" s="2065">
        <v>0</v>
      </c>
      <c r="K49" s="2064"/>
      <c r="L49" s="2065">
        <v>0</v>
      </c>
      <c r="M49" s="2064"/>
      <c r="N49" s="2065">
        <v>0</v>
      </c>
      <c r="O49" s="2064"/>
      <c r="P49" s="2065">
        <v>0</v>
      </c>
      <c r="Q49" s="2064"/>
      <c r="R49" s="2065">
        <v>0</v>
      </c>
      <c r="S49" s="2064"/>
    </row>
    <row r="50" spans="1:19" x14ac:dyDescent="0.35">
      <c r="A50" s="2239"/>
      <c r="B50" s="2240"/>
      <c r="C50" s="2241"/>
      <c r="D50" s="2241"/>
      <c r="E50" s="2242"/>
      <c r="F50" s="2243" t="s">
        <v>717</v>
      </c>
      <c r="G50" s="2244"/>
      <c r="H50" s="2066"/>
      <c r="I50" s="2067">
        <f>H49*I48</f>
        <v>0</v>
      </c>
      <c r="J50" s="2066"/>
      <c r="K50" s="2067">
        <f>J49*K48</f>
        <v>0</v>
      </c>
      <c r="L50" s="2066"/>
      <c r="M50" s="2067">
        <f>L49*M48</f>
        <v>0</v>
      </c>
      <c r="N50" s="2066"/>
      <c r="O50" s="2067">
        <f>N49*O48</f>
        <v>0</v>
      </c>
      <c r="P50" s="2066"/>
      <c r="Q50" s="2067">
        <f>P49*Q48</f>
        <v>0</v>
      </c>
      <c r="R50" s="2066"/>
      <c r="S50" s="2067">
        <f>R49*S48</f>
        <v>0</v>
      </c>
    </row>
    <row r="51" spans="1:19" x14ac:dyDescent="0.35">
      <c r="A51" s="2239"/>
      <c r="B51" s="2240"/>
      <c r="C51" s="2241"/>
      <c r="D51" s="2241"/>
      <c r="E51" s="2242"/>
      <c r="F51" s="2243"/>
      <c r="G51" s="2244"/>
      <c r="H51" s="2066"/>
      <c r="I51" s="2068"/>
      <c r="J51" s="2066"/>
      <c r="K51" s="2068"/>
      <c r="L51" s="2066"/>
      <c r="M51" s="2068"/>
      <c r="N51" s="2066"/>
      <c r="O51" s="2068"/>
      <c r="P51" s="2066"/>
      <c r="Q51" s="2068"/>
      <c r="R51" s="2066"/>
      <c r="S51" s="2068"/>
    </row>
    <row r="52" spans="1:19" x14ac:dyDescent="0.35">
      <c r="A52" s="2239"/>
      <c r="B52" s="2240"/>
      <c r="C52" s="2241"/>
      <c r="D52" s="2241"/>
      <c r="E52" s="2242"/>
      <c r="F52" s="2243" t="s">
        <v>718</v>
      </c>
      <c r="G52" s="2244"/>
      <c r="H52" s="2069"/>
      <c r="I52" s="2070">
        <f>SUM(I48:I50)</f>
        <v>0</v>
      </c>
      <c r="J52" s="2069"/>
      <c r="K52" s="2070">
        <f>SUM(K48:K50)</f>
        <v>0</v>
      </c>
      <c r="L52" s="2069"/>
      <c r="M52" s="2070">
        <f>SUM(M48:M50)</f>
        <v>0</v>
      </c>
      <c r="N52" s="2069"/>
      <c r="O52" s="2070">
        <f>SUM(O48:O50)</f>
        <v>0</v>
      </c>
      <c r="P52" s="2069"/>
      <c r="Q52" s="2070">
        <f>SUM(Q48:Q50)</f>
        <v>0</v>
      </c>
      <c r="R52" s="2069"/>
      <c r="S52" s="2070">
        <f>SUM(S48:S50)</f>
        <v>0</v>
      </c>
    </row>
    <row r="53" spans="1:19" x14ac:dyDescent="0.35">
      <c r="A53" s="2239"/>
      <c r="B53" s="2240"/>
      <c r="C53" s="2241"/>
      <c r="D53" s="2241"/>
      <c r="E53" s="2242"/>
      <c r="F53" s="2255" t="s">
        <v>719</v>
      </c>
      <c r="G53" s="2256"/>
      <c r="H53" s="2073"/>
      <c r="I53" s="2074" t="e">
        <f>I52/#REF!</f>
        <v>#REF!</v>
      </c>
      <c r="J53" s="2073"/>
      <c r="K53" s="2074" t="e">
        <f>K52/#REF!</f>
        <v>#REF!</v>
      </c>
      <c r="L53" s="2073"/>
      <c r="M53" s="2074" t="e">
        <f>M52/#REF!</f>
        <v>#REF!</v>
      </c>
      <c r="N53" s="2073"/>
      <c r="O53" s="2074" t="e">
        <f>O52/#REF!</f>
        <v>#REF!</v>
      </c>
      <c r="P53" s="2073"/>
      <c r="Q53" s="2074" t="e">
        <f>Q52/#REF!</f>
        <v>#REF!</v>
      </c>
      <c r="R53" s="2073"/>
      <c r="S53" s="2074" t="e">
        <f>S52/#REF!</f>
        <v>#REF!</v>
      </c>
    </row>
    <row r="54" spans="1:19" x14ac:dyDescent="0.35">
      <c r="A54" s="2239"/>
      <c r="B54" s="2240"/>
      <c r="C54" s="2241"/>
      <c r="D54" s="2241"/>
      <c r="E54" s="2242"/>
      <c r="F54" s="2255" t="s">
        <v>720</v>
      </c>
      <c r="G54" s="2260"/>
      <c r="H54" s="2073"/>
      <c r="I54" s="2074" t="e">
        <f>I52/#REF!</f>
        <v>#REF!</v>
      </c>
      <c r="J54" s="2073"/>
      <c r="K54" s="2074" t="e">
        <f>K52/#REF!</f>
        <v>#REF!</v>
      </c>
      <c r="L54" s="2073"/>
      <c r="M54" s="2074" t="e">
        <f>M52/#REF!</f>
        <v>#REF!</v>
      </c>
      <c r="N54" s="2073"/>
      <c r="O54" s="2074" t="e">
        <f>O52/#REF!</f>
        <v>#REF!</v>
      </c>
      <c r="P54" s="2073"/>
      <c r="Q54" s="2074" t="e">
        <f>Q52/#REF!</f>
        <v>#REF!</v>
      </c>
      <c r="R54" s="2073"/>
      <c r="S54" s="2074" t="e">
        <f>S52/#REF!</f>
        <v>#REF!</v>
      </c>
    </row>
    <row r="55" spans="1:19" ht="15" thickBot="1" x14ac:dyDescent="0.4">
      <c r="A55" s="2239"/>
      <c r="B55" s="2240"/>
      <c r="C55" s="2241"/>
      <c r="D55" s="2241"/>
      <c r="E55" s="2242"/>
      <c r="F55" s="2243"/>
      <c r="G55" s="2261"/>
      <c r="H55" s="2077"/>
      <c r="I55" s="2078"/>
      <c r="J55" s="2077"/>
      <c r="K55" s="2078"/>
      <c r="L55" s="2077"/>
      <c r="M55" s="2078"/>
      <c r="N55" s="2077"/>
      <c r="O55" s="2078"/>
      <c r="P55" s="2077"/>
      <c r="Q55" s="2078"/>
      <c r="R55" s="2077"/>
      <c r="S55" s="2078"/>
    </row>
    <row r="56" spans="1:19" ht="15.5" thickTop="1" thickBot="1" x14ac:dyDescent="0.4">
      <c r="A56" s="3764" t="s">
        <v>721</v>
      </c>
      <c r="B56" s="3765"/>
      <c r="C56" s="12"/>
      <c r="D56" s="12"/>
      <c r="E56" s="12"/>
      <c r="F56" s="12"/>
      <c r="G56" s="43"/>
      <c r="H56" s="42"/>
      <c r="I56" s="21"/>
      <c r="J56" s="21"/>
      <c r="K56" s="21"/>
      <c r="L56" s="21"/>
      <c r="M56" s="21"/>
      <c r="N56" s="21"/>
      <c r="O56" s="21"/>
      <c r="P56" s="21"/>
      <c r="Q56" s="21"/>
      <c r="R56" s="21"/>
      <c r="S56" s="21"/>
    </row>
    <row r="57" spans="1:19" ht="15" thickTop="1" x14ac:dyDescent="0.35">
      <c r="A57" s="2600"/>
      <c r="B57" s="2284"/>
      <c r="C57" s="2601"/>
      <c r="D57" s="2601"/>
      <c r="E57" s="2601"/>
      <c r="F57" s="2601"/>
      <c r="G57" s="2602"/>
      <c r="H57" s="2603"/>
      <c r="I57" s="2604"/>
      <c r="J57" s="2604"/>
      <c r="K57" s="2604"/>
      <c r="L57" s="2604"/>
      <c r="M57" s="2604"/>
      <c r="N57" s="2604"/>
      <c r="O57" s="2604"/>
      <c r="P57" s="2604"/>
      <c r="Q57" s="2604"/>
      <c r="R57" s="2604"/>
      <c r="S57" s="2604"/>
    </row>
    <row r="58" spans="1:19" s="2" customFormat="1" x14ac:dyDescent="0.35">
      <c r="A58" s="2600"/>
      <c r="B58" s="2284"/>
      <c r="C58" s="2601"/>
      <c r="D58" s="2601"/>
      <c r="E58" s="2601"/>
      <c r="F58" s="2601"/>
      <c r="G58" s="2602"/>
      <c r="H58" s="2603"/>
      <c r="I58" s="2604"/>
      <c r="J58" s="2604"/>
      <c r="K58" s="2604"/>
      <c r="L58" s="2604"/>
      <c r="M58" s="2604"/>
      <c r="N58" s="2604"/>
      <c r="O58" s="2604"/>
      <c r="P58" s="2604"/>
      <c r="Q58" s="2604"/>
      <c r="R58" s="2604"/>
      <c r="S58" s="2604"/>
    </row>
    <row r="59" spans="1:19" s="2" customFormat="1" ht="15" thickBot="1" x14ac:dyDescent="0.4">
      <c r="A59" s="2600"/>
      <c r="B59" s="2284"/>
      <c r="C59" s="2601"/>
      <c r="D59" s="2601"/>
      <c r="E59" s="2601"/>
      <c r="F59" s="2601"/>
      <c r="G59" s="2602"/>
      <c r="H59" s="2603"/>
      <c r="I59" s="2604"/>
      <c r="J59" s="2604"/>
      <c r="K59" s="2604"/>
      <c r="L59" s="2604"/>
      <c r="M59" s="2604"/>
      <c r="N59" s="2604"/>
      <c r="O59" s="2604"/>
      <c r="P59" s="2604"/>
      <c r="Q59" s="2604"/>
      <c r="R59" s="2604"/>
      <c r="S59" s="2604"/>
    </row>
    <row r="60" spans="1:19" ht="15.5" thickTop="1" thickBot="1" x14ac:dyDescent="0.4">
      <c r="A60" s="3764" t="s">
        <v>722</v>
      </c>
      <c r="B60" s="3765"/>
      <c r="C60" s="12"/>
      <c r="D60" s="12"/>
      <c r="E60" s="12"/>
      <c r="F60" s="12"/>
      <c r="G60" s="43"/>
      <c r="H60" s="42"/>
      <c r="I60" s="21"/>
      <c r="J60" s="21"/>
      <c r="K60" s="21"/>
      <c r="L60" s="21"/>
      <c r="M60" s="21"/>
      <c r="N60" s="21"/>
      <c r="O60" s="21"/>
      <c r="P60" s="21"/>
      <c r="Q60" s="21"/>
      <c r="R60" s="21"/>
      <c r="S60" s="21"/>
    </row>
    <row r="61" spans="1:19" s="2" customFormat="1" ht="15" thickTop="1" x14ac:dyDescent="0.35">
      <c r="A61" s="2600"/>
      <c r="B61" s="2284"/>
      <c r="C61" s="2601"/>
      <c r="D61" s="2601"/>
      <c r="E61" s="2601"/>
      <c r="F61" s="2601"/>
      <c r="G61" s="2602"/>
      <c r="H61" s="2603"/>
      <c r="I61" s="2604"/>
      <c r="J61" s="2604"/>
      <c r="K61" s="2604"/>
      <c r="L61" s="2604"/>
      <c r="M61" s="2604"/>
      <c r="N61" s="2604"/>
      <c r="O61" s="2604"/>
      <c r="P61" s="2604"/>
      <c r="Q61" s="2604"/>
      <c r="R61" s="2604"/>
      <c r="S61" s="2604"/>
    </row>
    <row r="62" spans="1:19" s="2" customFormat="1" x14ac:dyDescent="0.35">
      <c r="A62" s="2600"/>
      <c r="B62" s="2284"/>
      <c r="C62" s="2601"/>
      <c r="D62" s="2601"/>
      <c r="E62" s="2601"/>
      <c r="F62" s="2601"/>
      <c r="G62" s="2602"/>
      <c r="H62" s="2603"/>
      <c r="I62" s="2604"/>
      <c r="J62" s="2604"/>
      <c r="K62" s="2604"/>
      <c r="L62" s="2604"/>
      <c r="M62" s="2604"/>
      <c r="N62" s="2604"/>
      <c r="O62" s="2604"/>
      <c r="P62" s="2604"/>
      <c r="Q62" s="2604"/>
      <c r="R62" s="2604"/>
      <c r="S62" s="2604"/>
    </row>
    <row r="63" spans="1:19" ht="15" thickBot="1" x14ac:dyDescent="0.4">
      <c r="A63" s="2600"/>
      <c r="B63" s="2284"/>
      <c r="C63" s="2601"/>
      <c r="D63" s="2601"/>
      <c r="E63" s="2601"/>
      <c r="F63" s="2601"/>
      <c r="G63" s="2602"/>
      <c r="H63" s="2603"/>
      <c r="I63" s="2604"/>
      <c r="J63" s="2604"/>
      <c r="K63" s="2604"/>
      <c r="L63" s="2604"/>
      <c r="M63" s="2604"/>
      <c r="N63" s="2604"/>
      <c r="O63" s="2604"/>
      <c r="P63" s="2604"/>
      <c r="Q63" s="2604"/>
      <c r="R63" s="2604"/>
      <c r="S63" s="2604"/>
    </row>
    <row r="64" spans="1:19" ht="15.5" thickTop="1" thickBot="1" x14ac:dyDescent="0.4">
      <c r="A64" s="3764" t="s">
        <v>723</v>
      </c>
      <c r="B64" s="3765"/>
      <c r="C64" s="12"/>
      <c r="D64" s="12"/>
      <c r="E64" s="12"/>
      <c r="F64" s="12"/>
      <c r="G64" s="43"/>
      <c r="H64" s="42"/>
      <c r="I64" s="21"/>
      <c r="J64" s="21"/>
      <c r="K64" s="21"/>
      <c r="L64" s="21"/>
      <c r="M64" s="21"/>
      <c r="N64" s="21"/>
      <c r="O64" s="21"/>
      <c r="P64" s="21"/>
      <c r="Q64" s="21"/>
      <c r="R64" s="21"/>
      <c r="S64" s="21"/>
    </row>
    <row r="65" spans="1:19" ht="15" thickTop="1" x14ac:dyDescent="0.35">
      <c r="A65" s="2600"/>
      <c r="B65" s="2284"/>
      <c r="C65" s="2601"/>
      <c r="D65" s="2601"/>
      <c r="E65" s="2601"/>
      <c r="F65" s="2601"/>
      <c r="G65" s="2602"/>
      <c r="H65" s="2603"/>
      <c r="I65" s="2604"/>
      <c r="J65" s="2604"/>
      <c r="K65" s="2604"/>
      <c r="L65" s="2604"/>
      <c r="M65" s="2604"/>
      <c r="N65" s="2604"/>
      <c r="O65" s="2604"/>
      <c r="P65" s="2604"/>
      <c r="Q65" s="2604"/>
      <c r="R65" s="2604"/>
      <c r="S65" s="2604"/>
    </row>
    <row r="66" spans="1:19" x14ac:dyDescent="0.35">
      <c r="A66" s="2286"/>
      <c r="B66" s="2284"/>
      <c r="C66" s="2285"/>
      <c r="D66" s="2285"/>
      <c r="E66" s="2285"/>
      <c r="F66" s="2285"/>
      <c r="G66" s="2349"/>
      <c r="H66" s="2268"/>
      <c r="I66" s="2081"/>
      <c r="J66" s="2081"/>
      <c r="K66" s="2081"/>
      <c r="L66" s="2081"/>
      <c r="M66" s="2081"/>
      <c r="N66" s="2081"/>
      <c r="O66" s="2081"/>
      <c r="P66" s="2081"/>
      <c r="Q66" s="2081"/>
      <c r="R66" s="2081"/>
      <c r="S66" s="2081"/>
    </row>
    <row r="67" spans="1:19" ht="15" thickBot="1" x14ac:dyDescent="0.4">
      <c r="A67" s="2269"/>
      <c r="B67" s="2270"/>
      <c r="C67" s="2285"/>
      <c r="D67" s="2285"/>
      <c r="E67" s="2285"/>
      <c r="F67" s="2285"/>
      <c r="G67" s="2349"/>
      <c r="H67" s="2272"/>
      <c r="I67" s="2084"/>
      <c r="J67" s="2084"/>
      <c r="K67" s="2084"/>
      <c r="L67" s="2084"/>
      <c r="M67" s="2084"/>
      <c r="N67" s="2084"/>
      <c r="O67" s="2084"/>
      <c r="P67" s="2084"/>
      <c r="Q67" s="2084"/>
      <c r="R67" s="2084"/>
      <c r="S67" s="2084"/>
    </row>
    <row r="68" spans="1:19" ht="15.5" thickTop="1" thickBot="1" x14ac:dyDescent="0.4">
      <c r="A68" s="3764" t="s">
        <v>724</v>
      </c>
      <c r="B68" s="3765"/>
      <c r="C68" s="12"/>
      <c r="D68" s="12"/>
      <c r="E68" s="12"/>
      <c r="F68" s="12"/>
      <c r="G68" s="43"/>
      <c r="H68" s="42"/>
      <c r="I68" s="21"/>
      <c r="J68" s="21"/>
      <c r="K68" s="21"/>
      <c r="L68" s="21"/>
      <c r="M68" s="21"/>
      <c r="N68" s="21"/>
      <c r="O68" s="21"/>
      <c r="P68" s="21"/>
      <c r="Q68" s="21"/>
      <c r="R68" s="21"/>
      <c r="S68" s="21"/>
    </row>
    <row r="69" spans="1:19" ht="15" thickTop="1" x14ac:dyDescent="0.35">
      <c r="A69" s="2605"/>
      <c r="B69" s="2606"/>
      <c r="C69" s="2601"/>
      <c r="D69" s="2601"/>
      <c r="E69" s="2601"/>
      <c r="F69" s="2601"/>
      <c r="G69" s="2602"/>
      <c r="H69" s="2603"/>
      <c r="I69" s="2604"/>
      <c r="J69" s="2604"/>
      <c r="K69" s="2604"/>
      <c r="L69" s="2604"/>
      <c r="M69" s="2604"/>
      <c r="N69" s="2604"/>
      <c r="O69" s="2604"/>
      <c r="P69" s="2604"/>
      <c r="Q69" s="2604"/>
      <c r="R69" s="2604"/>
      <c r="S69" s="2604"/>
    </row>
    <row r="70" spans="1:19" x14ac:dyDescent="0.35">
      <c r="A70" s="2269"/>
      <c r="B70" s="2270"/>
      <c r="C70" s="2285"/>
      <c r="D70" s="2285"/>
      <c r="E70" s="2285"/>
      <c r="F70" s="2285"/>
      <c r="G70" s="2349"/>
      <c r="H70" s="2274"/>
      <c r="I70" s="2087"/>
      <c r="J70" s="2087"/>
      <c r="K70" s="2087"/>
      <c r="L70" s="2087"/>
      <c r="M70" s="2087"/>
      <c r="N70" s="2087"/>
      <c r="O70" s="2087"/>
      <c r="P70" s="2087"/>
      <c r="Q70" s="2087"/>
      <c r="R70" s="2087"/>
      <c r="S70" s="2087"/>
    </row>
    <row r="71" spans="1:19" ht="15" thickBot="1" x14ac:dyDescent="0.4">
      <c r="A71" s="2269"/>
      <c r="B71" s="2270"/>
      <c r="C71" s="2285"/>
      <c r="D71" s="2285"/>
      <c r="E71" s="2285"/>
      <c r="F71" s="2285"/>
      <c r="G71" s="2349"/>
      <c r="H71" s="2274"/>
      <c r="I71" s="2087"/>
      <c r="J71" s="2087"/>
      <c r="K71" s="2087"/>
      <c r="L71" s="2087"/>
      <c r="M71" s="2087"/>
      <c r="N71" s="2087"/>
      <c r="O71" s="2087"/>
      <c r="P71" s="2087"/>
      <c r="Q71" s="2087"/>
      <c r="R71" s="2087"/>
      <c r="S71" s="2087"/>
    </row>
    <row r="72" spans="1:19" ht="15.5" thickTop="1" thickBot="1" x14ac:dyDescent="0.4">
      <c r="A72" s="3764" t="s">
        <v>725</v>
      </c>
      <c r="B72" s="3765"/>
      <c r="C72" s="12"/>
      <c r="D72" s="12"/>
      <c r="E72" s="12"/>
      <c r="F72" s="12"/>
      <c r="G72" s="43"/>
      <c r="H72" s="42"/>
      <c r="I72" s="21"/>
      <c r="J72" s="21"/>
      <c r="K72" s="21"/>
      <c r="L72" s="21"/>
      <c r="M72" s="21"/>
      <c r="N72" s="21"/>
      <c r="O72" s="21"/>
      <c r="P72" s="21"/>
      <c r="Q72" s="21"/>
      <c r="R72" s="21"/>
      <c r="S72" s="21"/>
    </row>
    <row r="73" spans="1:19" ht="15" thickTop="1" x14ac:dyDescent="0.35">
      <c r="A73" s="2286"/>
      <c r="B73" s="2284" t="s">
        <v>726</v>
      </c>
      <c r="C73" s="2285"/>
      <c r="D73" s="2285"/>
      <c r="E73" s="2285"/>
      <c r="F73" s="2285"/>
      <c r="G73" s="2349"/>
      <c r="H73" s="2274"/>
      <c r="I73" s="2087"/>
      <c r="J73" s="2087"/>
      <c r="K73" s="2087"/>
      <c r="L73" s="2087"/>
      <c r="M73" s="2087"/>
      <c r="N73" s="2087"/>
      <c r="O73" s="2087"/>
      <c r="P73" s="2087"/>
      <c r="Q73" s="2087"/>
      <c r="R73" s="2087"/>
      <c r="S73" s="2087"/>
    </row>
    <row r="74" spans="1:19" x14ac:dyDescent="0.35">
      <c r="A74" s="2286"/>
      <c r="B74" s="2284" t="s">
        <v>727</v>
      </c>
      <c r="C74" s="2285"/>
      <c r="D74" s="2285"/>
      <c r="E74" s="2285"/>
      <c r="F74" s="2285"/>
      <c r="G74" s="2349"/>
      <c r="H74" s="2274"/>
      <c r="I74" s="2087"/>
      <c r="J74" s="2087"/>
      <c r="K74" s="2087"/>
      <c r="L74" s="2087"/>
      <c r="M74" s="2087"/>
      <c r="N74" s="2087"/>
      <c r="O74" s="2087"/>
      <c r="P74" s="2087"/>
      <c r="Q74" s="2087"/>
      <c r="R74" s="2087"/>
      <c r="S74" s="2087"/>
    </row>
    <row r="75" spans="1:19" x14ac:dyDescent="0.35">
      <c r="A75" s="2286"/>
      <c r="B75" s="2284" t="s">
        <v>728</v>
      </c>
      <c r="C75" s="2285"/>
      <c r="D75" s="2285"/>
      <c r="E75" s="2285"/>
      <c r="F75" s="2285"/>
      <c r="G75" s="2349"/>
      <c r="H75" s="2274"/>
      <c r="I75" s="2087"/>
      <c r="J75" s="2087"/>
      <c r="K75" s="2087"/>
      <c r="L75" s="2087"/>
      <c r="M75" s="2087"/>
      <c r="N75" s="2087"/>
      <c r="O75" s="2087"/>
      <c r="P75" s="2087"/>
      <c r="Q75" s="2087"/>
      <c r="R75" s="2087"/>
      <c r="S75" s="2087"/>
    </row>
    <row r="76" spans="1:19" x14ac:dyDescent="0.35">
      <c r="A76" s="2286"/>
      <c r="B76" s="2284" t="s">
        <v>729</v>
      </c>
      <c r="C76" s="2285"/>
      <c r="D76" s="2285"/>
      <c r="E76" s="2285"/>
      <c r="F76" s="2285"/>
      <c r="G76" s="2349"/>
      <c r="H76" s="2274"/>
      <c r="I76" s="2087"/>
      <c r="J76" s="2087"/>
      <c r="K76" s="2087"/>
      <c r="L76" s="2087"/>
      <c r="M76" s="2087"/>
      <c r="N76" s="2087"/>
      <c r="O76" s="2087"/>
      <c r="P76" s="2087"/>
      <c r="Q76" s="2087"/>
      <c r="R76" s="2087"/>
      <c r="S76" s="2087"/>
    </row>
    <row r="77" spans="1:19" ht="15" thickBot="1" x14ac:dyDescent="0.4">
      <c r="A77" s="978"/>
      <c r="B77" s="939"/>
      <c r="C77" s="940"/>
      <c r="D77" s="940"/>
      <c r="E77" s="940"/>
      <c r="F77" s="940"/>
      <c r="G77" s="979"/>
      <c r="H77" s="980"/>
      <c r="I77" s="981"/>
      <c r="J77" s="981"/>
      <c r="K77" s="981"/>
      <c r="L77" s="981"/>
      <c r="M77" s="981"/>
      <c r="N77" s="981"/>
      <c r="O77" s="981"/>
      <c r="P77" s="981"/>
      <c r="Q77" s="981"/>
      <c r="R77" s="981"/>
      <c r="S77" s="981"/>
    </row>
    <row r="78" spans="1:19" ht="15.5" thickTop="1" thickBot="1" x14ac:dyDescent="0.4">
      <c r="A78" s="7" t="s">
        <v>730</v>
      </c>
      <c r="B78" s="8"/>
      <c r="C78" s="12"/>
      <c r="D78" s="12"/>
      <c r="E78" s="12"/>
      <c r="F78" s="12"/>
      <c r="G78" s="43"/>
      <c r="H78" s="42"/>
      <c r="I78" s="21"/>
      <c r="J78" s="21"/>
      <c r="K78" s="21"/>
      <c r="L78" s="21"/>
      <c r="M78" s="21"/>
      <c r="N78" s="21"/>
      <c r="O78" s="21"/>
      <c r="P78" s="21"/>
      <c r="Q78" s="21"/>
      <c r="R78" s="21"/>
      <c r="S78" s="21"/>
    </row>
    <row r="79" spans="1:19" ht="15" thickTop="1" x14ac:dyDescent="0.35">
      <c r="A79" s="2600"/>
      <c r="B79" s="2607" t="s">
        <v>731</v>
      </c>
      <c r="C79" s="2601"/>
      <c r="D79" s="2601"/>
      <c r="E79" s="2601"/>
      <c r="F79" s="2601"/>
      <c r="G79" s="2602"/>
      <c r="H79" s="2420"/>
      <c r="I79" s="2546"/>
      <c r="J79" s="2546"/>
      <c r="K79" s="2546"/>
      <c r="L79" s="2546"/>
      <c r="M79" s="2546"/>
      <c r="N79" s="2546"/>
      <c r="O79" s="2546"/>
      <c r="P79" s="2546"/>
      <c r="Q79" s="2546"/>
      <c r="R79" s="2546"/>
      <c r="S79" s="2546"/>
    </row>
    <row r="80" spans="1:19" x14ac:dyDescent="0.35">
      <c r="A80" s="2286"/>
      <c r="B80" s="2284" t="s">
        <v>732</v>
      </c>
      <c r="C80" s="2285"/>
      <c r="D80" s="2285"/>
      <c r="E80" s="2285"/>
      <c r="F80" s="2285"/>
      <c r="G80" s="2349"/>
      <c r="H80" s="2276"/>
      <c r="I80" s="2158"/>
      <c r="J80" s="2158"/>
      <c r="K80" s="2158"/>
      <c r="L80" s="2158"/>
      <c r="M80" s="2158"/>
      <c r="N80" s="2158"/>
      <c r="O80" s="2158"/>
      <c r="P80" s="2158"/>
      <c r="Q80" s="2158"/>
      <c r="R80" s="2158"/>
      <c r="S80" s="2158"/>
    </row>
    <row r="81" spans="1:19" ht="15" thickBot="1" x14ac:dyDescent="0.4">
      <c r="A81" s="2089"/>
      <c r="B81" s="2090" t="s">
        <v>733</v>
      </c>
      <c r="C81" s="2091"/>
      <c r="D81" s="2091"/>
      <c r="E81" s="2091"/>
      <c r="F81" s="2091"/>
      <c r="G81" s="2350"/>
      <c r="H81" s="2277"/>
      <c r="I81" s="2093"/>
      <c r="J81" s="2093"/>
      <c r="K81" s="2093"/>
      <c r="L81" s="2093"/>
      <c r="M81" s="2093"/>
      <c r="N81" s="2093"/>
      <c r="O81" s="2093"/>
      <c r="P81" s="2093"/>
      <c r="Q81" s="2093"/>
      <c r="R81" s="2093"/>
      <c r="S81" s="2093"/>
    </row>
    <row r="82" spans="1:19" ht="15.5" thickTop="1" thickBot="1" x14ac:dyDescent="0.4"/>
    <row r="83" spans="1:19" ht="15.5" thickTop="1" thickBot="1" x14ac:dyDescent="0.4">
      <c r="A83" s="78" t="s">
        <v>734</v>
      </c>
      <c r="B83" s="80"/>
    </row>
    <row r="84" spans="1:19" ht="15" thickTop="1" x14ac:dyDescent="0.35">
      <c r="A84" s="79" t="s">
        <v>632</v>
      </c>
      <c r="B84" s="2094"/>
    </row>
    <row r="85" spans="1:19" x14ac:dyDescent="0.35">
      <c r="A85" s="2279" t="s">
        <v>636</v>
      </c>
      <c r="B85" s="2094"/>
    </row>
    <row r="86" spans="1:19" x14ac:dyDescent="0.35">
      <c r="A86" s="2096" t="s">
        <v>639</v>
      </c>
      <c r="B86" s="2097"/>
    </row>
    <row r="87" spans="1:19" x14ac:dyDescent="0.35">
      <c r="A87" s="2096" t="s">
        <v>642</v>
      </c>
      <c r="B87" s="2159"/>
    </row>
    <row r="88" spans="1:19" ht="15" thickBot="1" x14ac:dyDescent="0.4">
      <c r="A88" s="2099" t="s">
        <v>735</v>
      </c>
      <c r="B88" s="2100"/>
    </row>
    <row r="89" spans="1:19" ht="15" thickTop="1" x14ac:dyDescent="0.35"/>
    <row r="90" spans="1:19" x14ac:dyDescent="0.35">
      <c r="A90" s="81"/>
      <c r="B90" s="1" t="s">
        <v>736</v>
      </c>
    </row>
    <row r="91" spans="1:19" x14ac:dyDescent="0.35">
      <c r="A91" s="82"/>
      <c r="B91" s="1" t="s">
        <v>737</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86984F60-E640-4713-964D-DBE038698EA4}"/>
  </hyperlink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09FD-541E-4913-B0D1-B9D890A6BD2E}">
  <sheetPr>
    <tabColor rgb="FF92D050"/>
  </sheetPr>
  <dimension ref="A1:S100"/>
  <sheetViews>
    <sheetView zoomScale="85" zoomScaleNormal="85" workbookViewId="0">
      <pane xSplit="2" ySplit="9" topLeftCell="C20" activePane="bottomRight" state="frozen"/>
      <selection pane="topRight" activeCell="C1" sqref="C1"/>
      <selection pane="bottomLeft" activeCell="A11" sqref="A11"/>
      <selection pane="bottomRight" activeCell="C31" sqref="C31"/>
    </sheetView>
  </sheetViews>
  <sheetFormatPr defaultRowHeight="14.5" x14ac:dyDescent="0.35"/>
  <cols>
    <col min="1" max="1" width="11" customWidth="1"/>
    <col min="2" max="2" width="70.7265625" style="1" customWidth="1"/>
    <col min="3" max="3" width="10.81640625" style="2" bestFit="1" customWidth="1"/>
    <col min="4" max="4" width="9.5429687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2794</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2795</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58">
        <f>I61</f>
        <v>0</v>
      </c>
      <c r="I8" s="3958"/>
      <c r="J8" s="3958">
        <f>K61</f>
        <v>0</v>
      </c>
      <c r="K8" s="3958"/>
      <c r="L8" s="3958">
        <f>M61</f>
        <v>0</v>
      </c>
      <c r="M8" s="3958"/>
      <c r="N8" s="3958">
        <f>O61</f>
        <v>0</v>
      </c>
      <c r="O8" s="3958"/>
      <c r="P8" s="3958">
        <f>Q61</f>
        <v>0</v>
      </c>
      <c r="Q8" s="3958"/>
      <c r="R8" s="3943">
        <f>S61</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608"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591"/>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591"/>
      <c r="B21" s="2203" t="s">
        <v>2794</v>
      </c>
      <c r="C21" s="45"/>
      <c r="D21" s="46"/>
      <c r="E21" s="46"/>
      <c r="F21" s="46"/>
      <c r="G21" s="52"/>
      <c r="H21" s="2109"/>
      <c r="I21" s="2609"/>
      <c r="J21" s="2109"/>
      <c r="K21" s="2610"/>
      <c r="L21" s="2109"/>
      <c r="M21" s="2610"/>
      <c r="N21" s="2109"/>
      <c r="O21" s="2610"/>
      <c r="P21" s="2109"/>
      <c r="Q21" s="2610"/>
      <c r="R21" s="2109"/>
      <c r="S21" s="2610"/>
    </row>
    <row r="22" spans="1:19" x14ac:dyDescent="0.35">
      <c r="A22" s="2591"/>
      <c r="B22" s="606" t="s">
        <v>657</v>
      </c>
      <c r="C22" s="2201"/>
      <c r="D22" s="2285"/>
      <c r="E22" s="2285"/>
      <c r="F22" s="2285"/>
      <c r="G22" s="2198"/>
      <c r="H22" s="2109"/>
      <c r="I22" s="2609"/>
      <c r="J22" s="2109"/>
      <c r="K22" s="2610"/>
      <c r="L22" s="2109"/>
      <c r="M22" s="2610"/>
      <c r="N22" s="2109"/>
      <c r="O22" s="2610"/>
      <c r="P22" s="2109"/>
      <c r="Q22" s="2610"/>
      <c r="R22" s="2109"/>
      <c r="S22" s="2610"/>
    </row>
    <row r="23" spans="1:19" x14ac:dyDescent="0.35">
      <c r="A23" s="2591"/>
      <c r="B23" s="2611" t="s">
        <v>658</v>
      </c>
      <c r="C23" s="2201"/>
      <c r="D23" s="2285"/>
      <c r="E23" s="2285"/>
      <c r="F23" s="2285"/>
      <c r="G23" s="2198"/>
      <c r="H23" s="2109"/>
      <c r="I23" s="2609"/>
      <c r="J23" s="2109"/>
      <c r="K23" s="2610"/>
      <c r="L23" s="2109"/>
      <c r="M23" s="2610"/>
      <c r="N23" s="2109"/>
      <c r="O23" s="2610"/>
      <c r="P23" s="2109"/>
      <c r="Q23" s="2610"/>
      <c r="R23" s="2109"/>
      <c r="S23" s="2610"/>
    </row>
    <row r="24" spans="1:19" x14ac:dyDescent="0.35">
      <c r="A24" s="2591"/>
      <c r="B24" s="2611" t="s">
        <v>659</v>
      </c>
      <c r="C24" s="2208"/>
      <c r="D24" s="2285"/>
      <c r="E24" s="2285"/>
      <c r="F24" s="2285"/>
      <c r="G24" s="2198"/>
      <c r="H24" s="2109"/>
      <c r="I24" s="2609"/>
      <c r="J24" s="2109"/>
      <c r="K24" s="2610"/>
      <c r="L24" s="2109"/>
      <c r="M24" s="2610"/>
      <c r="N24" s="2109"/>
      <c r="O24" s="2610"/>
      <c r="P24" s="2109"/>
      <c r="Q24" s="2610"/>
      <c r="R24" s="2109"/>
      <c r="S24" s="2610"/>
    </row>
    <row r="25" spans="1:19" x14ac:dyDescent="0.35">
      <c r="A25" s="2612"/>
      <c r="B25" s="2613" t="s">
        <v>660</v>
      </c>
      <c r="C25" s="2208"/>
      <c r="D25" s="2285"/>
      <c r="E25" s="2285"/>
      <c r="F25" s="2285"/>
      <c r="G25" s="2198"/>
      <c r="H25" s="2109"/>
      <c r="I25" s="2609"/>
      <c r="J25" s="2109"/>
      <c r="K25" s="2610"/>
      <c r="L25" s="2109"/>
      <c r="M25" s="2610"/>
      <c r="N25" s="2109"/>
      <c r="O25" s="2610"/>
      <c r="P25" s="2109"/>
      <c r="Q25" s="2610"/>
      <c r="R25" s="2109"/>
      <c r="S25" s="2610"/>
    </row>
    <row r="26" spans="1:19" s="77" customFormat="1" x14ac:dyDescent="0.35">
      <c r="A26" s="2612"/>
      <c r="B26" s="2613" t="s">
        <v>661</v>
      </c>
      <c r="C26" s="2211"/>
      <c r="D26" s="2212"/>
      <c r="E26" s="2212"/>
      <c r="F26" s="2212"/>
      <c r="G26" s="2211"/>
      <c r="H26" s="2109"/>
      <c r="I26" s="2609"/>
      <c r="J26" s="2109"/>
      <c r="K26" s="2592"/>
      <c r="L26" s="2109"/>
      <c r="M26" s="2592"/>
      <c r="N26" s="2109"/>
      <c r="O26" s="2592"/>
      <c r="P26" s="2109"/>
      <c r="Q26" s="2592"/>
      <c r="R26" s="2109"/>
      <c r="S26" s="2592"/>
    </row>
    <row r="27" spans="1:19" s="77" customFormat="1" x14ac:dyDescent="0.35">
      <c r="A27" s="2591"/>
      <c r="B27" s="2613" t="s">
        <v>662</v>
      </c>
      <c r="C27" s="2211"/>
      <c r="D27" s="2212"/>
      <c r="E27" s="2212"/>
      <c r="F27" s="2212"/>
      <c r="G27" s="2211"/>
      <c r="H27" s="2109"/>
      <c r="I27" s="2609"/>
      <c r="J27" s="2109"/>
      <c r="K27" s="2592"/>
      <c r="L27" s="2109"/>
      <c r="M27" s="2592"/>
      <c r="N27" s="2109"/>
      <c r="O27" s="2592"/>
      <c r="P27" s="2109"/>
      <c r="Q27" s="2592"/>
      <c r="R27" s="2109"/>
      <c r="S27" s="2592"/>
    </row>
    <row r="28" spans="1:19" s="77" customFormat="1" x14ac:dyDescent="0.35">
      <c r="A28" s="2591"/>
      <c r="B28" s="2613" t="s">
        <v>663</v>
      </c>
      <c r="C28" s="2211"/>
      <c r="D28" s="2212"/>
      <c r="E28" s="2212"/>
      <c r="F28" s="2212"/>
      <c r="G28" s="2211"/>
      <c r="H28" s="2109"/>
      <c r="I28" s="2609"/>
      <c r="J28" s="2109"/>
      <c r="K28" s="2592"/>
      <c r="L28" s="2109"/>
      <c r="M28" s="2592"/>
      <c r="N28" s="2109"/>
      <c r="O28" s="2592"/>
      <c r="P28" s="2109"/>
      <c r="Q28" s="2592"/>
      <c r="R28" s="2109"/>
      <c r="S28" s="2592"/>
    </row>
    <row r="29" spans="1:19" s="77" customFormat="1" x14ac:dyDescent="0.35">
      <c r="A29" s="2591"/>
      <c r="B29" s="2613" t="s">
        <v>742</v>
      </c>
      <c r="C29" s="2211"/>
      <c r="D29" s="2212"/>
      <c r="E29" s="2212"/>
      <c r="F29" s="2212"/>
      <c r="G29" s="2211"/>
      <c r="H29" s="2109"/>
      <c r="I29" s="2609"/>
      <c r="J29" s="2109"/>
      <c r="K29" s="2592"/>
      <c r="L29" s="2109"/>
      <c r="M29" s="2592"/>
      <c r="N29" s="2109"/>
      <c r="O29" s="2592"/>
      <c r="P29" s="2109"/>
      <c r="Q29" s="2592"/>
      <c r="R29" s="2109"/>
      <c r="S29" s="2592"/>
    </row>
    <row r="30" spans="1:19" s="77" customFormat="1" x14ac:dyDescent="0.35">
      <c r="A30" s="2591"/>
      <c r="B30" s="2593" t="s">
        <v>664</v>
      </c>
      <c r="C30" s="2211"/>
      <c r="D30" s="2212"/>
      <c r="E30" s="2212"/>
      <c r="F30" s="2212"/>
      <c r="G30" s="2211"/>
      <c r="H30" s="2109"/>
      <c r="I30" s="2609"/>
      <c r="J30" s="2109"/>
      <c r="K30" s="2592"/>
      <c r="L30" s="2109"/>
      <c r="M30" s="2592"/>
      <c r="N30" s="2109"/>
      <c r="O30" s="2592"/>
      <c r="P30" s="2109"/>
      <c r="Q30" s="2592"/>
      <c r="R30" s="2109"/>
      <c r="S30" s="2592"/>
    </row>
    <row r="31" spans="1:19" s="77" customFormat="1" x14ac:dyDescent="0.35">
      <c r="A31" s="2591"/>
      <c r="B31" s="2594" t="s">
        <v>665</v>
      </c>
      <c r="C31" s="2216"/>
      <c r="D31" s="2217"/>
      <c r="E31" s="2217"/>
      <c r="F31" s="2217"/>
      <c r="G31" s="2216"/>
      <c r="H31" s="2288"/>
      <c r="I31" s="2595"/>
      <c r="J31" s="2289"/>
      <c r="K31" s="2596"/>
      <c r="L31" s="2289"/>
      <c r="M31" s="2596"/>
      <c r="N31" s="2596"/>
      <c r="O31" s="2596"/>
      <c r="P31" s="2596"/>
      <c r="Q31" s="2596"/>
      <c r="R31" s="2596"/>
      <c r="S31" s="2596"/>
    </row>
    <row r="32" spans="1:19" s="77" customFormat="1" x14ac:dyDescent="0.35">
      <c r="A32" s="2591"/>
      <c r="B32" s="121" t="s">
        <v>874</v>
      </c>
      <c r="C32" s="2211"/>
      <c r="D32" s="2212"/>
      <c r="E32" s="2212"/>
      <c r="F32" s="2212"/>
      <c r="G32" s="2211"/>
      <c r="H32" s="2109"/>
      <c r="I32" s="2609"/>
      <c r="J32" s="2109"/>
      <c r="K32" s="2592"/>
      <c r="L32" s="2109"/>
      <c r="M32" s="2592"/>
      <c r="N32" s="2109"/>
      <c r="O32" s="2592"/>
      <c r="P32" s="2109"/>
      <c r="Q32" s="2592"/>
      <c r="R32" s="2109"/>
      <c r="S32" s="2592"/>
    </row>
    <row r="33" spans="1:19" s="77" customFormat="1" x14ac:dyDescent="0.35">
      <c r="A33" s="2591"/>
      <c r="B33" s="2340"/>
      <c r="C33" s="2211"/>
      <c r="D33" s="2212"/>
      <c r="E33" s="2212"/>
      <c r="F33" s="2212"/>
      <c r="G33" s="2211"/>
      <c r="H33" s="2109"/>
      <c r="I33" s="2609"/>
      <c r="J33" s="2109"/>
      <c r="K33" s="2592"/>
      <c r="L33" s="2109"/>
      <c r="M33" s="2592"/>
      <c r="N33" s="2109"/>
      <c r="O33" s="2592"/>
      <c r="P33" s="2109"/>
      <c r="Q33" s="2592"/>
      <c r="R33" s="2109"/>
      <c r="S33" s="2592"/>
    </row>
    <row r="34" spans="1:19" s="77" customFormat="1" x14ac:dyDescent="0.35">
      <c r="A34" s="2612"/>
      <c r="B34" s="2234" t="s">
        <v>2741</v>
      </c>
      <c r="C34" s="2236"/>
      <c r="D34" s="2212"/>
      <c r="E34" s="2212"/>
      <c r="F34" s="2212"/>
      <c r="G34" s="2211"/>
      <c r="H34" s="2109"/>
      <c r="I34" s="2609"/>
      <c r="J34" s="2109"/>
      <c r="K34" s="2592"/>
      <c r="L34" s="2109"/>
      <c r="M34" s="2592"/>
      <c r="N34" s="2109"/>
      <c r="O34" s="2592"/>
      <c r="P34" s="2109"/>
      <c r="Q34" s="2592"/>
      <c r="R34" s="2109"/>
      <c r="S34" s="2592"/>
    </row>
    <row r="35" spans="1:19" s="77" customFormat="1" x14ac:dyDescent="0.35">
      <c r="A35" s="2612"/>
      <c r="B35" s="2235" t="s">
        <v>2742</v>
      </c>
      <c r="C35" s="2236"/>
      <c r="D35" s="2212"/>
      <c r="E35" s="2212"/>
      <c r="F35" s="2212"/>
      <c r="G35" s="2211"/>
      <c r="H35" s="2109"/>
      <c r="I35" s="2609"/>
      <c r="J35" s="2109"/>
      <c r="K35" s="2592"/>
      <c r="L35" s="2109"/>
      <c r="M35" s="2592"/>
      <c r="N35" s="2109"/>
      <c r="O35" s="2592"/>
      <c r="P35" s="2109"/>
      <c r="Q35" s="2592"/>
      <c r="R35" s="2109"/>
      <c r="S35" s="2592"/>
    </row>
    <row r="36" spans="1:19" s="77" customFormat="1" x14ac:dyDescent="0.35">
      <c r="A36" s="2612"/>
      <c r="B36" s="2235" t="s">
        <v>2743</v>
      </c>
      <c r="C36" s="2236"/>
      <c r="D36" s="2212"/>
      <c r="E36" s="2212"/>
      <c r="F36" s="2212"/>
      <c r="G36" s="2211"/>
      <c r="H36" s="2109"/>
      <c r="I36" s="2609"/>
      <c r="J36" s="2109"/>
      <c r="K36" s="2592"/>
      <c r="L36" s="2109"/>
      <c r="M36" s="2592"/>
      <c r="N36" s="2109"/>
      <c r="O36" s="2592"/>
      <c r="P36" s="2109"/>
      <c r="Q36" s="2592"/>
      <c r="R36" s="2109"/>
      <c r="S36" s="2592"/>
    </row>
    <row r="37" spans="1:19" s="77" customFormat="1" ht="25" x14ac:dyDescent="0.35">
      <c r="A37" s="2612"/>
      <c r="B37" s="2317" t="s">
        <v>2744</v>
      </c>
      <c r="C37" s="2236"/>
      <c r="D37" s="2212"/>
      <c r="E37" s="2212"/>
      <c r="F37" s="2212"/>
      <c r="G37" s="2211"/>
      <c r="H37" s="2109"/>
      <c r="I37" s="2609"/>
      <c r="J37" s="2109"/>
      <c r="K37" s="2592"/>
      <c r="L37" s="2109"/>
      <c r="M37" s="2592"/>
      <c r="N37" s="2109"/>
      <c r="O37" s="2592"/>
      <c r="P37" s="2109"/>
      <c r="Q37" s="2592"/>
      <c r="R37" s="2109"/>
      <c r="S37" s="2592"/>
    </row>
    <row r="38" spans="1:19" s="77" customFormat="1" x14ac:dyDescent="0.35">
      <c r="A38" s="2612"/>
      <c r="B38" s="2235" t="s">
        <v>2745</v>
      </c>
      <c r="C38" s="2236"/>
      <c r="D38" s="2212"/>
      <c r="E38" s="2212"/>
      <c r="F38" s="2212"/>
      <c r="G38" s="2211"/>
      <c r="H38" s="2109"/>
      <c r="I38" s="2609"/>
      <c r="J38" s="2109"/>
      <c r="K38" s="2592"/>
      <c r="L38" s="2109"/>
      <c r="M38" s="2592"/>
      <c r="N38" s="2109"/>
      <c r="O38" s="2592"/>
      <c r="P38" s="2109"/>
      <c r="Q38" s="2592"/>
      <c r="R38" s="2109"/>
      <c r="S38" s="2592"/>
    </row>
    <row r="39" spans="1:19" s="77" customFormat="1" x14ac:dyDescent="0.35">
      <c r="A39" s="2612"/>
      <c r="B39" s="2235" t="s">
        <v>1831</v>
      </c>
      <c r="C39" s="2236"/>
      <c r="D39" s="2212"/>
      <c r="E39" s="2341"/>
      <c r="F39" s="2342"/>
      <c r="G39" s="2211"/>
      <c r="H39" s="2109"/>
      <c r="I39" s="2609"/>
      <c r="J39" s="2109"/>
      <c r="K39" s="2592"/>
      <c r="L39" s="2109"/>
      <c r="M39" s="2592"/>
      <c r="N39" s="2109"/>
      <c r="O39" s="2592"/>
      <c r="P39" s="2109"/>
      <c r="Q39" s="2592"/>
      <c r="R39" s="2109"/>
      <c r="S39" s="2592"/>
    </row>
    <row r="40" spans="1:19" s="77" customFormat="1" x14ac:dyDescent="0.35">
      <c r="A40" s="2612"/>
      <c r="B40" s="2235" t="s">
        <v>2746</v>
      </c>
      <c r="C40" s="2236"/>
      <c r="D40" s="2212"/>
      <c r="E40" s="2341"/>
      <c r="F40" s="2342"/>
      <c r="G40" s="2211"/>
      <c r="H40" s="2109"/>
      <c r="I40" s="2609"/>
      <c r="J40" s="2109"/>
      <c r="K40" s="2592"/>
      <c r="L40" s="2109"/>
      <c r="M40" s="2592"/>
      <c r="N40" s="2109"/>
      <c r="O40" s="2592"/>
      <c r="P40" s="2109"/>
      <c r="Q40" s="2592"/>
      <c r="R40" s="2109"/>
      <c r="S40" s="2592"/>
    </row>
    <row r="41" spans="1:19" s="77" customFormat="1" x14ac:dyDescent="0.35">
      <c r="A41" s="2612"/>
      <c r="B41" s="2235" t="s">
        <v>1833</v>
      </c>
      <c r="C41" s="2236"/>
      <c r="D41" s="2212"/>
      <c r="E41" s="2341"/>
      <c r="F41" s="2342"/>
      <c r="G41" s="2211"/>
      <c r="H41" s="2109"/>
      <c r="I41" s="2609"/>
      <c r="J41" s="2109"/>
      <c r="K41" s="2592"/>
      <c r="L41" s="2109"/>
      <c r="M41" s="2592"/>
      <c r="N41" s="2109"/>
      <c r="O41" s="2592"/>
      <c r="P41" s="2109"/>
      <c r="Q41" s="2592"/>
      <c r="R41" s="2109"/>
      <c r="S41" s="2592"/>
    </row>
    <row r="42" spans="1:19" s="77" customFormat="1" x14ac:dyDescent="0.35">
      <c r="A42" s="2612"/>
      <c r="B42" s="2614"/>
      <c r="C42" s="2236"/>
      <c r="D42" s="2212"/>
      <c r="E42" s="2341"/>
      <c r="F42" s="2342"/>
      <c r="G42" s="2211"/>
      <c r="H42" s="2109"/>
      <c r="I42" s="2609"/>
      <c r="J42" s="2109"/>
      <c r="K42" s="2592"/>
      <c r="L42" s="2109"/>
      <c r="M42" s="2592"/>
      <c r="N42" s="2109"/>
      <c r="O42" s="2592"/>
      <c r="P42" s="2109"/>
      <c r="Q42" s="2592"/>
      <c r="R42" s="2109"/>
      <c r="S42" s="2592"/>
    </row>
    <row r="43" spans="1:19" s="77" customFormat="1" x14ac:dyDescent="0.35">
      <c r="A43" s="2612"/>
      <c r="B43" s="2615"/>
      <c r="C43" s="2236"/>
      <c r="D43" s="2212"/>
      <c r="E43" s="2341"/>
      <c r="F43" s="2342"/>
      <c r="G43" s="2211"/>
      <c r="H43" s="2109"/>
      <c r="I43" s="2609"/>
      <c r="J43" s="2109"/>
      <c r="K43" s="2592"/>
      <c r="L43" s="2109"/>
      <c r="M43" s="2592"/>
      <c r="N43" s="2109"/>
      <c r="O43" s="2592"/>
      <c r="P43" s="2109"/>
      <c r="Q43" s="2592"/>
      <c r="R43" s="2109"/>
      <c r="S43" s="2592"/>
    </row>
    <row r="44" spans="1:19" s="77" customFormat="1" x14ac:dyDescent="0.35">
      <c r="A44" s="2612"/>
      <c r="B44" s="128"/>
      <c r="C44" s="2236"/>
      <c r="D44" s="2212"/>
      <c r="E44" s="2341"/>
      <c r="F44" s="2342"/>
      <c r="G44" s="2211"/>
      <c r="H44" s="2109" t="s">
        <v>669</v>
      </c>
      <c r="I44" s="2609"/>
      <c r="J44" s="2109"/>
      <c r="K44" s="2592"/>
      <c r="L44" s="2109"/>
      <c r="M44" s="2592"/>
      <c r="N44" s="2109"/>
      <c r="O44" s="2592"/>
      <c r="P44" s="2109"/>
      <c r="Q44" s="2592"/>
      <c r="R44" s="2109"/>
      <c r="S44" s="2592"/>
    </row>
    <row r="45" spans="1:19" s="77" customFormat="1" x14ac:dyDescent="0.35">
      <c r="A45" s="2612"/>
      <c r="B45" s="2340"/>
      <c r="C45" s="2236"/>
      <c r="D45" s="2212"/>
      <c r="E45" s="2341"/>
      <c r="F45" s="2342"/>
      <c r="G45" s="2211"/>
      <c r="H45" s="2109"/>
      <c r="I45" s="2609"/>
      <c r="J45" s="2109"/>
      <c r="K45" s="2592"/>
      <c r="L45" s="2109"/>
      <c r="M45" s="2592"/>
      <c r="N45" s="2109"/>
      <c r="O45" s="2592"/>
      <c r="P45" s="2109"/>
      <c r="Q45" s="2592"/>
      <c r="R45" s="2109"/>
      <c r="S45" s="2592"/>
    </row>
    <row r="46" spans="1:19" s="77" customFormat="1" x14ac:dyDescent="0.35">
      <c r="A46" s="2612"/>
      <c r="B46" s="2340"/>
      <c r="C46" s="2236"/>
      <c r="D46" s="2212"/>
      <c r="E46" s="2341"/>
      <c r="F46" s="2342"/>
      <c r="G46" s="2211"/>
      <c r="H46" s="2109"/>
      <c r="I46" s="2609"/>
      <c r="J46" s="2109"/>
      <c r="K46" s="2592"/>
      <c r="L46" s="2109"/>
      <c r="M46" s="2592"/>
      <c r="N46" s="2109"/>
      <c r="O46" s="2592"/>
      <c r="P46" s="2109"/>
      <c r="Q46" s="2592"/>
      <c r="R46" s="2109"/>
      <c r="S46" s="2592"/>
    </row>
    <row r="47" spans="1:19" s="77" customFormat="1" x14ac:dyDescent="0.35">
      <c r="A47" s="2612"/>
      <c r="B47" s="2340"/>
      <c r="C47" s="2236"/>
      <c r="D47" s="2212"/>
      <c r="E47" s="2341"/>
      <c r="F47" s="2342"/>
      <c r="G47" s="2211"/>
      <c r="H47" s="2109"/>
      <c r="I47" s="2609"/>
      <c r="J47" s="2109"/>
      <c r="K47" s="2592"/>
      <c r="L47" s="2109"/>
      <c r="M47" s="2592"/>
      <c r="N47" s="2109"/>
      <c r="O47" s="2592"/>
      <c r="P47" s="2109"/>
      <c r="Q47" s="2592"/>
      <c r="R47" s="2109"/>
      <c r="S47" s="2592"/>
    </row>
    <row r="48" spans="1:19" s="77" customFormat="1" x14ac:dyDescent="0.35">
      <c r="A48" s="2612"/>
      <c r="B48" s="2340"/>
      <c r="C48" s="2236"/>
      <c r="D48" s="2212"/>
      <c r="E48" s="2341"/>
      <c r="F48" s="2342"/>
      <c r="G48" s="2211"/>
      <c r="H48" s="2109"/>
      <c r="I48" s="2609"/>
      <c r="J48" s="2109"/>
      <c r="K48" s="2592"/>
      <c r="L48" s="2109"/>
      <c r="M48" s="2592"/>
      <c r="N48" s="2109"/>
      <c r="O48" s="2592"/>
      <c r="P48" s="2109"/>
      <c r="Q48" s="2592"/>
      <c r="R48" s="2109"/>
      <c r="S48" s="2592"/>
    </row>
    <row r="49" spans="1:19" s="77" customFormat="1" x14ac:dyDescent="0.35">
      <c r="A49" s="2612"/>
      <c r="B49" s="2340"/>
      <c r="C49" s="2236"/>
      <c r="D49" s="2212"/>
      <c r="E49" s="2341"/>
      <c r="F49" s="2342"/>
      <c r="G49" s="2211"/>
      <c r="H49" s="2109"/>
      <c r="I49" s="2609"/>
      <c r="J49" s="2109"/>
      <c r="K49" s="2592"/>
      <c r="L49" s="2109"/>
      <c r="M49" s="2592"/>
      <c r="N49" s="2109"/>
      <c r="O49" s="2592"/>
      <c r="P49" s="2109"/>
      <c r="Q49" s="2592"/>
      <c r="R49" s="2109"/>
      <c r="S49" s="2592"/>
    </row>
    <row r="50" spans="1:19" s="77" customFormat="1" x14ac:dyDescent="0.35">
      <c r="A50" s="2612"/>
      <c r="B50" s="2340"/>
      <c r="C50" s="2236"/>
      <c r="D50" s="2212"/>
      <c r="E50" s="2341"/>
      <c r="F50" s="2342"/>
      <c r="G50" s="2211"/>
      <c r="H50" s="2109"/>
      <c r="I50" s="2609"/>
      <c r="J50" s="2109"/>
      <c r="K50" s="2592"/>
      <c r="L50" s="2109"/>
      <c r="M50" s="2592"/>
      <c r="N50" s="2109"/>
      <c r="O50" s="2592"/>
      <c r="P50" s="2109"/>
      <c r="Q50" s="2592"/>
      <c r="R50" s="2109"/>
      <c r="S50" s="2592"/>
    </row>
    <row r="51" spans="1:19" s="77" customFormat="1" x14ac:dyDescent="0.35">
      <c r="A51" s="2612"/>
      <c r="B51" s="2340"/>
      <c r="C51" s="2236"/>
      <c r="D51" s="2212"/>
      <c r="E51" s="2341"/>
      <c r="F51" s="2342"/>
      <c r="G51" s="2211"/>
      <c r="H51" s="2109"/>
      <c r="I51" s="2609"/>
      <c r="J51" s="2109"/>
      <c r="K51" s="2592"/>
      <c r="L51" s="2109"/>
      <c r="M51" s="2592"/>
      <c r="N51" s="2109"/>
      <c r="O51" s="2592"/>
      <c r="P51" s="2109"/>
      <c r="Q51" s="2592"/>
      <c r="R51" s="2109"/>
      <c r="S51" s="2592"/>
    </row>
    <row r="52" spans="1:19" s="77" customFormat="1" x14ac:dyDescent="0.35">
      <c r="A52" s="2612"/>
      <c r="B52" s="2340"/>
      <c r="C52" s="2236"/>
      <c r="D52" s="2212"/>
      <c r="E52" s="2341"/>
      <c r="F52" s="2342"/>
      <c r="G52" s="2211"/>
      <c r="H52" s="2109"/>
      <c r="I52" s="2609"/>
      <c r="J52" s="2109"/>
      <c r="K52" s="2592"/>
      <c r="L52" s="2109"/>
      <c r="M52" s="2592"/>
      <c r="N52" s="2109"/>
      <c r="O52" s="2592"/>
      <c r="P52" s="2109"/>
      <c r="Q52" s="2592"/>
      <c r="R52" s="2109"/>
      <c r="S52" s="2592"/>
    </row>
    <row r="53" spans="1:19" s="77" customFormat="1" x14ac:dyDescent="0.35">
      <c r="A53" s="2612"/>
      <c r="B53" s="2340"/>
      <c r="C53" s="2236"/>
      <c r="D53" s="2212"/>
      <c r="E53" s="2341"/>
      <c r="F53" s="2342"/>
      <c r="G53" s="2211"/>
      <c r="H53" s="2109"/>
      <c r="I53" s="2609"/>
      <c r="J53" s="2109"/>
      <c r="K53" s="2592"/>
      <c r="L53" s="2109"/>
      <c r="M53" s="2592"/>
      <c r="N53" s="2109"/>
      <c r="O53" s="2592"/>
      <c r="P53" s="2109"/>
      <c r="Q53" s="2592"/>
      <c r="R53" s="2109"/>
      <c r="S53" s="2592"/>
    </row>
    <row r="54" spans="1:19" s="77" customFormat="1" x14ac:dyDescent="0.35">
      <c r="A54" s="2612"/>
      <c r="B54" s="2340"/>
      <c r="C54" s="2236"/>
      <c r="D54" s="2212"/>
      <c r="E54" s="2341"/>
      <c r="F54" s="2342"/>
      <c r="G54" s="2211"/>
      <c r="H54" s="2109"/>
      <c r="I54" s="2609"/>
      <c r="J54" s="2109"/>
      <c r="K54" s="2592"/>
      <c r="L54" s="2109"/>
      <c r="M54" s="2592"/>
      <c r="N54" s="2109"/>
      <c r="O54" s="2592"/>
      <c r="P54" s="2109"/>
      <c r="Q54" s="2592"/>
      <c r="R54" s="2109"/>
      <c r="S54" s="2592"/>
    </row>
    <row r="55" spans="1:19" s="77" customFormat="1" x14ac:dyDescent="0.35">
      <c r="A55" s="2612"/>
      <c r="B55" s="2340"/>
      <c r="C55" s="2236"/>
      <c r="D55" s="2212"/>
      <c r="E55" s="2341"/>
      <c r="F55" s="2342"/>
      <c r="G55" s="2211"/>
      <c r="H55" s="2109"/>
      <c r="I55" s="2609"/>
      <c r="J55" s="2109"/>
      <c r="K55" s="2592"/>
      <c r="L55" s="2109"/>
      <c r="M55" s="2592"/>
      <c r="N55" s="2109"/>
      <c r="O55" s="2592"/>
      <c r="P55" s="2109"/>
      <c r="Q55" s="2592"/>
      <c r="R55" s="2109"/>
      <c r="S55" s="2592"/>
    </row>
    <row r="56" spans="1:19" x14ac:dyDescent="0.35">
      <c r="A56" s="2542"/>
      <c r="B56" s="2543"/>
      <c r="C56" s="2201"/>
      <c r="D56" s="2285"/>
      <c r="E56" s="2285"/>
      <c r="F56" s="2285"/>
      <c r="G56" s="2198"/>
      <c r="H56" s="2109"/>
      <c r="I56" s="2610"/>
      <c r="J56" s="2109"/>
      <c r="K56" s="2610"/>
      <c r="L56" s="2109"/>
      <c r="M56" s="2610"/>
      <c r="N56" s="2109"/>
      <c r="O56" s="2610"/>
      <c r="P56" s="2109"/>
      <c r="Q56" s="2610"/>
      <c r="R56" s="2109"/>
      <c r="S56" s="2610"/>
    </row>
    <row r="57" spans="1:19" x14ac:dyDescent="0.35">
      <c r="A57" s="14"/>
      <c r="B57" s="15"/>
      <c r="C57" s="16"/>
      <c r="D57" s="16"/>
      <c r="E57" s="17"/>
      <c r="F57" s="18" t="s">
        <v>715</v>
      </c>
      <c r="G57" s="19"/>
      <c r="H57" s="20"/>
      <c r="I57" s="50">
        <f>SUM(I23:I56)</f>
        <v>0</v>
      </c>
      <c r="J57" s="20"/>
      <c r="K57" s="50">
        <f>SUM(K23:K56)</f>
        <v>0</v>
      </c>
      <c r="L57" s="20"/>
      <c r="M57" s="50">
        <f>SUM(M23:M56)</f>
        <v>0</v>
      </c>
      <c r="N57" s="20"/>
      <c r="O57" s="50">
        <f>SUM(O23:O56)</f>
        <v>0</v>
      </c>
      <c r="P57" s="20"/>
      <c r="Q57" s="50">
        <f>SUM(Q23:Q56)</f>
        <v>0</v>
      </c>
      <c r="R57" s="20"/>
      <c r="S57" s="50">
        <f>SUM(S23:S56)</f>
        <v>0</v>
      </c>
    </row>
    <row r="58" spans="1:19" x14ac:dyDescent="0.35">
      <c r="A58" s="2239"/>
      <c r="B58" s="2240"/>
      <c r="C58" s="2241"/>
      <c r="D58" s="2241"/>
      <c r="E58" s="2242"/>
      <c r="F58" s="2243" t="s">
        <v>716</v>
      </c>
      <c r="G58" s="2244"/>
      <c r="H58" s="2065">
        <v>0</v>
      </c>
      <c r="I58" s="2064"/>
      <c r="J58" s="2065">
        <v>0</v>
      </c>
      <c r="K58" s="2064"/>
      <c r="L58" s="2065">
        <v>0</v>
      </c>
      <c r="M58" s="2064"/>
      <c r="N58" s="2065">
        <v>0</v>
      </c>
      <c r="O58" s="2064"/>
      <c r="P58" s="2065">
        <v>0</v>
      </c>
      <c r="Q58" s="2064"/>
      <c r="R58" s="2065">
        <v>0</v>
      </c>
      <c r="S58" s="2064"/>
    </row>
    <row r="59" spans="1:19" x14ac:dyDescent="0.35">
      <c r="A59" s="2239"/>
      <c r="B59" s="2240"/>
      <c r="C59" s="2241"/>
      <c r="D59" s="2241"/>
      <c r="E59" s="2242"/>
      <c r="F59" s="2243" t="s">
        <v>717</v>
      </c>
      <c r="G59" s="2244"/>
      <c r="H59" s="2066"/>
      <c r="I59" s="2067">
        <f>H58*I57</f>
        <v>0</v>
      </c>
      <c r="J59" s="2066"/>
      <c r="K59" s="2067">
        <f>J58*K57</f>
        <v>0</v>
      </c>
      <c r="L59" s="2066"/>
      <c r="M59" s="2067">
        <f>L58*M57</f>
        <v>0</v>
      </c>
      <c r="N59" s="2066"/>
      <c r="O59" s="2067">
        <f>N58*O57</f>
        <v>0</v>
      </c>
      <c r="P59" s="2066"/>
      <c r="Q59" s="2067">
        <f>P58*Q57</f>
        <v>0</v>
      </c>
      <c r="R59" s="2066"/>
      <c r="S59" s="2067">
        <f>R58*S57</f>
        <v>0</v>
      </c>
    </row>
    <row r="60" spans="1:19" x14ac:dyDescent="0.35">
      <c r="A60" s="2239"/>
      <c r="B60" s="2240"/>
      <c r="C60" s="2241"/>
      <c r="D60" s="2241"/>
      <c r="E60" s="2242"/>
      <c r="F60" s="2243"/>
      <c r="G60" s="2244"/>
      <c r="H60" s="2066"/>
      <c r="I60" s="2068"/>
      <c r="J60" s="2066"/>
      <c r="K60" s="2068"/>
      <c r="L60" s="2066"/>
      <c r="M60" s="2068"/>
      <c r="N60" s="2066"/>
      <c r="O60" s="2068"/>
      <c r="P60" s="2066"/>
      <c r="Q60" s="2068"/>
      <c r="R60" s="2066"/>
      <c r="S60" s="2068"/>
    </row>
    <row r="61" spans="1:19" x14ac:dyDescent="0.35">
      <c r="A61" s="2239"/>
      <c r="B61" s="2240"/>
      <c r="C61" s="2241"/>
      <c r="D61" s="2241"/>
      <c r="E61" s="2242"/>
      <c r="F61" s="2243" t="s">
        <v>718</v>
      </c>
      <c r="G61" s="2244"/>
      <c r="H61" s="2069"/>
      <c r="I61" s="2070">
        <f>SUM(I57:I59)</f>
        <v>0</v>
      </c>
      <c r="J61" s="2069"/>
      <c r="K61" s="2070">
        <f>SUM(K57:K59)</f>
        <v>0</v>
      </c>
      <c r="L61" s="2069"/>
      <c r="M61" s="2070">
        <f>SUM(M57:M59)</f>
        <v>0</v>
      </c>
      <c r="N61" s="2069"/>
      <c r="O61" s="2070">
        <f>SUM(O57:O59)</f>
        <v>0</v>
      </c>
      <c r="P61" s="2069"/>
      <c r="Q61" s="2070">
        <f>SUM(Q57:Q59)</f>
        <v>0</v>
      </c>
      <c r="R61" s="2069"/>
      <c r="S61" s="2070">
        <f>SUM(S57:S59)</f>
        <v>0</v>
      </c>
    </row>
    <row r="62" spans="1:19" x14ac:dyDescent="0.35">
      <c r="A62" s="2239"/>
      <c r="B62" s="2240"/>
      <c r="C62" s="2241"/>
      <c r="D62" s="2241"/>
      <c r="E62" s="2242"/>
      <c r="F62" s="2255" t="s">
        <v>719</v>
      </c>
      <c r="G62" s="2256"/>
      <c r="H62" s="2073"/>
      <c r="I62" s="2074" t="e">
        <f>I61/#REF!</f>
        <v>#REF!</v>
      </c>
      <c r="J62" s="2073"/>
      <c r="K62" s="2074" t="e">
        <f>K61/#REF!</f>
        <v>#REF!</v>
      </c>
      <c r="L62" s="2073"/>
      <c r="M62" s="2074" t="e">
        <f>M61/#REF!</f>
        <v>#REF!</v>
      </c>
      <c r="N62" s="2073"/>
      <c r="O62" s="2074" t="e">
        <f>O61/#REF!</f>
        <v>#REF!</v>
      </c>
      <c r="P62" s="2073"/>
      <c r="Q62" s="2074" t="e">
        <f>Q61/#REF!</f>
        <v>#REF!</v>
      </c>
      <c r="R62" s="2073"/>
      <c r="S62" s="2074" t="e">
        <f>S61/#REF!</f>
        <v>#REF!</v>
      </c>
    </row>
    <row r="63" spans="1:19" x14ac:dyDescent="0.35">
      <c r="A63" s="2239"/>
      <c r="B63" s="2240"/>
      <c r="C63" s="2241"/>
      <c r="D63" s="2241"/>
      <c r="E63" s="2242"/>
      <c r="F63" s="2255" t="s">
        <v>720</v>
      </c>
      <c r="G63" s="2260"/>
      <c r="H63" s="2073"/>
      <c r="I63" s="2074" t="e">
        <f>I61/#REF!</f>
        <v>#REF!</v>
      </c>
      <c r="J63" s="2073"/>
      <c r="K63" s="2074" t="e">
        <f>K61/#REF!</f>
        <v>#REF!</v>
      </c>
      <c r="L63" s="2073"/>
      <c r="M63" s="2074" t="e">
        <f>M61/#REF!</f>
        <v>#REF!</v>
      </c>
      <c r="N63" s="2073"/>
      <c r="O63" s="2074" t="e">
        <f>O61/#REF!</f>
        <v>#REF!</v>
      </c>
      <c r="P63" s="2073"/>
      <c r="Q63" s="2074" t="e">
        <f>Q61/#REF!</f>
        <v>#REF!</v>
      </c>
      <c r="R63" s="2073"/>
      <c r="S63" s="2074" t="e">
        <f>S61/#REF!</f>
        <v>#REF!</v>
      </c>
    </row>
    <row r="64" spans="1:19" x14ac:dyDescent="0.35">
      <c r="A64" s="2239"/>
      <c r="B64" s="2240"/>
      <c r="C64" s="2241"/>
      <c r="D64" s="2241"/>
      <c r="E64" s="2242"/>
      <c r="F64" s="2243"/>
      <c r="G64" s="2261"/>
      <c r="H64" s="2077"/>
      <c r="I64" s="2078"/>
      <c r="J64" s="2077"/>
      <c r="K64" s="2078"/>
      <c r="L64" s="2077"/>
      <c r="M64" s="2078"/>
      <c r="N64" s="2077"/>
      <c r="O64" s="2078"/>
      <c r="P64" s="2077"/>
      <c r="Q64" s="2078"/>
      <c r="R64" s="2077"/>
      <c r="S64" s="2078"/>
    </row>
    <row r="65" spans="1:19" x14ac:dyDescent="0.35">
      <c r="A65" s="3764" t="s">
        <v>721</v>
      </c>
      <c r="B65" s="3765"/>
      <c r="C65" s="12"/>
      <c r="D65" s="12"/>
      <c r="E65" s="12"/>
      <c r="F65" s="12"/>
      <c r="G65" s="13"/>
      <c r="H65" s="21"/>
      <c r="I65" s="21"/>
      <c r="J65" s="21"/>
      <c r="K65" s="21"/>
      <c r="L65" s="21"/>
      <c r="M65" s="21"/>
      <c r="N65" s="21"/>
      <c r="O65" s="21"/>
      <c r="P65" s="21"/>
      <c r="Q65" s="21"/>
      <c r="R65" s="21"/>
      <c r="S65" s="21"/>
    </row>
    <row r="66" spans="1:19" x14ac:dyDescent="0.35">
      <c r="A66" s="2616"/>
      <c r="B66" s="2284"/>
      <c r="C66" s="2617"/>
      <c r="D66" s="2617"/>
      <c r="E66" s="2617"/>
      <c r="F66" s="2617"/>
      <c r="G66" s="2618"/>
      <c r="H66" s="2619"/>
      <c r="I66" s="2619"/>
      <c r="J66" s="2619"/>
      <c r="K66" s="2619"/>
      <c r="L66" s="2619"/>
      <c r="M66" s="2619"/>
      <c r="N66" s="2619"/>
      <c r="O66" s="2619"/>
      <c r="P66" s="2619"/>
      <c r="Q66" s="2619"/>
      <c r="R66" s="2619"/>
      <c r="S66" s="2619"/>
    </row>
    <row r="67" spans="1:19" s="2" customFormat="1" x14ac:dyDescent="0.35">
      <c r="A67" s="2616"/>
      <c r="B67" s="2284"/>
      <c r="C67" s="2617"/>
      <c r="D67" s="2617"/>
      <c r="E67" s="2617"/>
      <c r="F67" s="2617"/>
      <c r="G67" s="2618"/>
      <c r="H67" s="2619"/>
      <c r="I67" s="2619"/>
      <c r="J67" s="2619"/>
      <c r="K67" s="2619"/>
      <c r="L67" s="2619"/>
      <c r="M67" s="2619"/>
      <c r="N67" s="2619"/>
      <c r="O67" s="2619"/>
      <c r="P67" s="2619"/>
      <c r="Q67" s="2619"/>
      <c r="R67" s="2619"/>
      <c r="S67" s="2619"/>
    </row>
    <row r="68" spans="1:19" s="2" customFormat="1" x14ac:dyDescent="0.35">
      <c r="A68" s="2616"/>
      <c r="B68" s="2284"/>
      <c r="C68" s="2617"/>
      <c r="D68" s="2617"/>
      <c r="E68" s="2617"/>
      <c r="F68" s="2617"/>
      <c r="G68" s="2618"/>
      <c r="H68" s="2619"/>
      <c r="I68" s="2619"/>
      <c r="J68" s="2619"/>
      <c r="K68" s="2619"/>
      <c r="L68" s="2619"/>
      <c r="M68" s="2619"/>
      <c r="N68" s="2619"/>
      <c r="O68" s="2619"/>
      <c r="P68" s="2619"/>
      <c r="Q68" s="2619"/>
      <c r="R68" s="2619"/>
      <c r="S68" s="2619"/>
    </row>
    <row r="69" spans="1:19" x14ac:dyDescent="0.35">
      <c r="A69" s="3764" t="s">
        <v>722</v>
      </c>
      <c r="B69" s="3765"/>
      <c r="C69" s="12"/>
      <c r="D69" s="12"/>
      <c r="E69" s="12"/>
      <c r="F69" s="12"/>
      <c r="G69" s="13"/>
      <c r="H69" s="21"/>
      <c r="I69" s="21"/>
      <c r="J69" s="21"/>
      <c r="K69" s="21"/>
      <c r="L69" s="21"/>
      <c r="M69" s="21"/>
      <c r="N69" s="21"/>
      <c r="O69" s="21"/>
      <c r="P69" s="21"/>
      <c r="Q69" s="21"/>
      <c r="R69" s="21"/>
      <c r="S69" s="21"/>
    </row>
    <row r="70" spans="1:19" s="2" customFormat="1" x14ac:dyDescent="0.35">
      <c r="A70" s="2616"/>
      <c r="B70" s="2284"/>
      <c r="C70" s="2617"/>
      <c r="D70" s="2617"/>
      <c r="E70" s="2617"/>
      <c r="F70" s="2617"/>
      <c r="G70" s="2618"/>
      <c r="H70" s="2619"/>
      <c r="I70" s="2619"/>
      <c r="J70" s="2619"/>
      <c r="K70" s="2619"/>
      <c r="L70" s="2619"/>
      <c r="M70" s="2619"/>
      <c r="N70" s="2619"/>
      <c r="O70" s="2619"/>
      <c r="P70" s="2619"/>
      <c r="Q70" s="2619"/>
      <c r="R70" s="2619"/>
      <c r="S70" s="2619"/>
    </row>
    <row r="71" spans="1:19" s="2" customFormat="1" x14ac:dyDescent="0.35">
      <c r="A71" s="2616"/>
      <c r="B71" s="2284"/>
      <c r="C71" s="2617"/>
      <c r="D71" s="2617"/>
      <c r="E71" s="2617"/>
      <c r="F71" s="2617"/>
      <c r="G71" s="2618"/>
      <c r="H71" s="2619"/>
      <c r="I71" s="2619"/>
      <c r="J71" s="2619"/>
      <c r="K71" s="2619"/>
      <c r="L71" s="2619"/>
      <c r="M71" s="2619"/>
      <c r="N71" s="2619"/>
      <c r="O71" s="2619"/>
      <c r="P71" s="2619"/>
      <c r="Q71" s="2619"/>
      <c r="R71" s="2619"/>
      <c r="S71" s="2619"/>
    </row>
    <row r="72" spans="1:19" x14ac:dyDescent="0.35">
      <c r="A72" s="2616"/>
      <c r="B72" s="2284"/>
      <c r="C72" s="2617"/>
      <c r="D72" s="2617"/>
      <c r="E72" s="2617"/>
      <c r="F72" s="2617"/>
      <c r="G72" s="2618"/>
      <c r="H72" s="2619"/>
      <c r="I72" s="2619"/>
      <c r="J72" s="2619"/>
      <c r="K72" s="2619"/>
      <c r="L72" s="2619"/>
      <c r="M72" s="2619"/>
      <c r="N72" s="2619"/>
      <c r="O72" s="2619"/>
      <c r="P72" s="2619"/>
      <c r="Q72" s="2619"/>
      <c r="R72" s="2619"/>
      <c r="S72" s="2619"/>
    </row>
    <row r="73" spans="1:19" x14ac:dyDescent="0.35">
      <c r="A73" s="3764" t="s">
        <v>723</v>
      </c>
      <c r="B73" s="3765"/>
      <c r="C73" s="12"/>
      <c r="D73" s="12"/>
      <c r="E73" s="12"/>
      <c r="F73" s="12"/>
      <c r="G73" s="13"/>
      <c r="H73" s="21"/>
      <c r="I73" s="21"/>
      <c r="J73" s="21"/>
      <c r="K73" s="21"/>
      <c r="L73" s="21"/>
      <c r="M73" s="21"/>
      <c r="N73" s="21"/>
      <c r="O73" s="21"/>
      <c r="P73" s="21"/>
      <c r="Q73" s="21"/>
      <c r="R73" s="21"/>
      <c r="S73" s="21"/>
    </row>
    <row r="74" spans="1:19" x14ac:dyDescent="0.35">
      <c r="A74" s="2616"/>
      <c r="B74" s="2284"/>
      <c r="C74" s="2617"/>
      <c r="D74" s="2617"/>
      <c r="E74" s="2617"/>
      <c r="F74" s="2617"/>
      <c r="G74" s="2618"/>
      <c r="H74" s="2619"/>
      <c r="I74" s="2619"/>
      <c r="J74" s="2619"/>
      <c r="K74" s="2619"/>
      <c r="L74" s="2619"/>
      <c r="M74" s="2619"/>
      <c r="N74" s="2619"/>
      <c r="O74" s="2619"/>
      <c r="P74" s="2619"/>
      <c r="Q74" s="2619"/>
      <c r="R74" s="2619"/>
      <c r="S74" s="2619"/>
    </row>
    <row r="75" spans="1:19" x14ac:dyDescent="0.35">
      <c r="A75" s="2286"/>
      <c r="B75" s="2284"/>
      <c r="C75" s="2285"/>
      <c r="D75" s="2285"/>
      <c r="E75" s="2285"/>
      <c r="F75" s="2285"/>
      <c r="G75" s="2198"/>
      <c r="H75" s="2081"/>
      <c r="I75" s="2081"/>
      <c r="J75" s="2081"/>
      <c r="K75" s="2081"/>
      <c r="L75" s="2081"/>
      <c r="M75" s="2081"/>
      <c r="N75" s="2081"/>
      <c r="O75" s="2081"/>
      <c r="P75" s="2081"/>
      <c r="Q75" s="2081"/>
      <c r="R75" s="2081"/>
      <c r="S75" s="2081"/>
    </row>
    <row r="76" spans="1:19" x14ac:dyDescent="0.35">
      <c r="A76" s="2269"/>
      <c r="B76" s="2270"/>
      <c r="C76" s="2285"/>
      <c r="D76" s="2285"/>
      <c r="E76" s="2285"/>
      <c r="F76" s="2285"/>
      <c r="G76" s="2198"/>
      <c r="H76" s="2084"/>
      <c r="I76" s="2084"/>
      <c r="J76" s="2084"/>
      <c r="K76" s="2084"/>
      <c r="L76" s="2084"/>
      <c r="M76" s="2084"/>
      <c r="N76" s="2084"/>
      <c r="O76" s="2084"/>
      <c r="P76" s="2084"/>
      <c r="Q76" s="2084"/>
      <c r="R76" s="2084"/>
      <c r="S76" s="2084"/>
    </row>
    <row r="77" spans="1:19" x14ac:dyDescent="0.35">
      <c r="A77" s="3764" t="s">
        <v>724</v>
      </c>
      <c r="B77" s="3765"/>
      <c r="C77" s="12"/>
      <c r="D77" s="12"/>
      <c r="E77" s="12"/>
      <c r="F77" s="12"/>
      <c r="G77" s="13"/>
      <c r="H77" s="21"/>
      <c r="I77" s="21"/>
      <c r="J77" s="21"/>
      <c r="K77" s="21"/>
      <c r="L77" s="21"/>
      <c r="M77" s="21"/>
      <c r="N77" s="21"/>
      <c r="O77" s="21"/>
      <c r="P77" s="21"/>
      <c r="Q77" s="21"/>
      <c r="R77" s="21"/>
      <c r="S77" s="21"/>
    </row>
    <row r="78" spans="1:19" x14ac:dyDescent="0.35">
      <c r="A78" s="2620"/>
      <c r="B78" s="2621"/>
      <c r="C78" s="2617"/>
      <c r="D78" s="2617"/>
      <c r="E78" s="2617"/>
      <c r="F78" s="2617"/>
      <c r="G78" s="2618"/>
      <c r="H78" s="2619"/>
      <c r="I78" s="2619"/>
      <c r="J78" s="2619"/>
      <c r="K78" s="2619"/>
      <c r="L78" s="2619"/>
      <c r="M78" s="2619"/>
      <c r="N78" s="2619"/>
      <c r="O78" s="2619"/>
      <c r="P78" s="2619"/>
      <c r="Q78" s="2619"/>
      <c r="R78" s="2619"/>
      <c r="S78" s="2619"/>
    </row>
    <row r="79" spans="1:19" x14ac:dyDescent="0.35">
      <c r="A79" s="2269"/>
      <c r="B79" s="2270"/>
      <c r="C79" s="2285"/>
      <c r="D79" s="2285"/>
      <c r="E79" s="2285"/>
      <c r="F79" s="2285"/>
      <c r="G79" s="2198"/>
      <c r="H79" s="2087"/>
      <c r="I79" s="2087"/>
      <c r="J79" s="2087"/>
      <c r="K79" s="2087"/>
      <c r="L79" s="2087"/>
      <c r="M79" s="2087"/>
      <c r="N79" s="2087"/>
      <c r="O79" s="2087"/>
      <c r="P79" s="2087"/>
      <c r="Q79" s="2087"/>
      <c r="R79" s="2087"/>
      <c r="S79" s="2087"/>
    </row>
    <row r="80" spans="1:19" x14ac:dyDescent="0.35">
      <c r="A80" s="2269"/>
      <c r="B80" s="2270"/>
      <c r="C80" s="2285"/>
      <c r="D80" s="2285"/>
      <c r="E80" s="2285"/>
      <c r="F80" s="2285"/>
      <c r="G80" s="2198"/>
      <c r="H80" s="2087"/>
      <c r="I80" s="2087"/>
      <c r="J80" s="2087"/>
      <c r="K80" s="2087"/>
      <c r="L80" s="2087"/>
      <c r="M80" s="2087"/>
      <c r="N80" s="2087"/>
      <c r="O80" s="2087"/>
      <c r="P80" s="2087"/>
      <c r="Q80" s="2087"/>
      <c r="R80" s="2087"/>
      <c r="S80" s="2087"/>
    </row>
    <row r="81" spans="1:19" x14ac:dyDescent="0.35">
      <c r="A81" s="3764" t="s">
        <v>725</v>
      </c>
      <c r="B81" s="3765"/>
      <c r="C81" s="12"/>
      <c r="D81" s="12"/>
      <c r="E81" s="12"/>
      <c r="F81" s="12"/>
      <c r="G81" s="13"/>
      <c r="H81" s="21"/>
      <c r="I81" s="21"/>
      <c r="J81" s="21"/>
      <c r="K81" s="21"/>
      <c r="L81" s="21"/>
      <c r="M81" s="21"/>
      <c r="N81" s="21"/>
      <c r="O81" s="21"/>
      <c r="P81" s="21"/>
      <c r="Q81" s="21"/>
      <c r="R81" s="21"/>
      <c r="S81" s="21"/>
    </row>
    <row r="82" spans="1:19" x14ac:dyDescent="0.35">
      <c r="A82" s="2286"/>
      <c r="B82" s="2284" t="s">
        <v>726</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727</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728</v>
      </c>
      <c r="C84" s="2285"/>
      <c r="D84" s="2285"/>
      <c r="E84" s="2285"/>
      <c r="F84" s="2285"/>
      <c r="G84" s="2198"/>
      <c r="H84" s="2087"/>
      <c r="I84" s="2087"/>
      <c r="J84" s="2087"/>
      <c r="K84" s="2087"/>
      <c r="L84" s="2087"/>
      <c r="M84" s="2087"/>
      <c r="N84" s="2087"/>
      <c r="O84" s="2087"/>
      <c r="P84" s="2087"/>
      <c r="Q84" s="2087"/>
      <c r="R84" s="2087"/>
      <c r="S84" s="2087"/>
    </row>
    <row r="85" spans="1:19" x14ac:dyDescent="0.35">
      <c r="A85" s="2286"/>
      <c r="B85" s="2284" t="s">
        <v>729</v>
      </c>
      <c r="C85" s="2285"/>
      <c r="D85" s="2285"/>
      <c r="E85" s="2285"/>
      <c r="F85" s="2285"/>
      <c r="G85" s="2198"/>
      <c r="H85" s="2087"/>
      <c r="I85" s="2087"/>
      <c r="J85" s="2087"/>
      <c r="K85" s="2087"/>
      <c r="L85" s="2087"/>
      <c r="M85" s="2087"/>
      <c r="N85" s="2087"/>
      <c r="O85" s="2087"/>
      <c r="P85" s="2087"/>
      <c r="Q85" s="2087"/>
      <c r="R85" s="2087"/>
      <c r="S85" s="2087"/>
    </row>
    <row r="86" spans="1:19" x14ac:dyDescent="0.35">
      <c r="A86" s="978"/>
      <c r="B86" s="939"/>
      <c r="C86" s="940"/>
      <c r="D86" s="940"/>
      <c r="E86" s="940"/>
      <c r="F86" s="940"/>
      <c r="G86" s="1039"/>
      <c r="H86" s="981"/>
      <c r="I86" s="981"/>
      <c r="J86" s="981"/>
      <c r="K86" s="981"/>
      <c r="L86" s="981"/>
      <c r="M86" s="981"/>
      <c r="N86" s="981"/>
      <c r="O86" s="981"/>
      <c r="P86" s="981"/>
      <c r="Q86" s="981"/>
      <c r="R86" s="981"/>
      <c r="S86" s="981"/>
    </row>
    <row r="87" spans="1:19" x14ac:dyDescent="0.35">
      <c r="A87" s="7" t="s">
        <v>730</v>
      </c>
      <c r="B87" s="8"/>
      <c r="C87" s="12"/>
      <c r="D87" s="12"/>
      <c r="E87" s="12"/>
      <c r="F87" s="12"/>
      <c r="G87" s="13"/>
      <c r="H87" s="21"/>
      <c r="I87" s="21"/>
      <c r="J87" s="21"/>
      <c r="K87" s="21"/>
      <c r="L87" s="21"/>
      <c r="M87" s="21"/>
      <c r="N87" s="21"/>
      <c r="O87" s="21"/>
      <c r="P87" s="21"/>
      <c r="Q87" s="21"/>
      <c r="R87" s="21"/>
      <c r="S87" s="21"/>
    </row>
    <row r="88" spans="1:19" x14ac:dyDescent="0.35">
      <c r="A88" s="2616"/>
      <c r="B88" s="2622" t="s">
        <v>731</v>
      </c>
      <c r="C88" s="2617"/>
      <c r="D88" s="2617"/>
      <c r="E88" s="2617"/>
      <c r="F88" s="2617"/>
      <c r="G88" s="2618"/>
      <c r="H88" s="2546"/>
      <c r="I88" s="2546"/>
      <c r="J88" s="2546"/>
      <c r="K88" s="2546"/>
      <c r="L88" s="2546"/>
      <c r="M88" s="2546"/>
      <c r="N88" s="2546"/>
      <c r="O88" s="2546"/>
      <c r="P88" s="2546"/>
      <c r="Q88" s="2546"/>
      <c r="R88" s="2546"/>
      <c r="S88" s="2546"/>
    </row>
    <row r="89" spans="1:19" x14ac:dyDescent="0.35">
      <c r="A89" s="2286"/>
      <c r="B89" s="2284" t="s">
        <v>732</v>
      </c>
      <c r="C89" s="2285"/>
      <c r="D89" s="2285"/>
      <c r="E89" s="2285"/>
      <c r="F89" s="2285"/>
      <c r="G89" s="2198"/>
      <c r="H89" s="2158"/>
      <c r="I89" s="2158"/>
      <c r="J89" s="2158"/>
      <c r="K89" s="2158"/>
      <c r="L89" s="2158"/>
      <c r="M89" s="2158"/>
      <c r="N89" s="2158"/>
      <c r="O89" s="2158"/>
      <c r="P89" s="2158"/>
      <c r="Q89" s="2158"/>
      <c r="R89" s="2158"/>
      <c r="S89" s="2158"/>
    </row>
    <row r="90" spans="1:19" x14ac:dyDescent="0.35">
      <c r="A90" s="2089"/>
      <c r="B90" s="2090" t="s">
        <v>733</v>
      </c>
      <c r="C90" s="2091"/>
      <c r="D90" s="2091"/>
      <c r="E90" s="2091"/>
      <c r="F90" s="2091"/>
      <c r="G90" s="2092"/>
      <c r="H90" s="2093"/>
      <c r="I90" s="2093"/>
      <c r="J90" s="2093"/>
      <c r="K90" s="2093"/>
      <c r="L90" s="2093"/>
      <c r="M90" s="2093"/>
      <c r="N90" s="2093"/>
      <c r="O90" s="2093"/>
      <c r="P90" s="2093"/>
      <c r="Q90" s="2093"/>
      <c r="R90" s="2093"/>
      <c r="S90" s="2093"/>
    </row>
    <row r="92" spans="1:19" x14ac:dyDescent="0.35">
      <c r="A92" s="78" t="s">
        <v>734</v>
      </c>
      <c r="B92" s="80"/>
    </row>
    <row r="93" spans="1:19" x14ac:dyDescent="0.35">
      <c r="A93" s="79" t="s">
        <v>632</v>
      </c>
      <c r="B93" s="2094"/>
    </row>
    <row r="94" spans="1:19" x14ac:dyDescent="0.35">
      <c r="A94" s="2279" t="s">
        <v>636</v>
      </c>
      <c r="B94" s="2094"/>
    </row>
    <row r="95" spans="1:19" x14ac:dyDescent="0.35">
      <c r="A95" s="2096" t="s">
        <v>639</v>
      </c>
      <c r="B95" s="2097"/>
    </row>
    <row r="96" spans="1:19" x14ac:dyDescent="0.35">
      <c r="A96" s="2096" t="s">
        <v>642</v>
      </c>
      <c r="B96" s="2159"/>
    </row>
    <row r="97" spans="1:2" x14ac:dyDescent="0.35">
      <c r="A97" s="2099" t="s">
        <v>735</v>
      </c>
      <c r="B97" s="2100"/>
    </row>
    <row r="99" spans="1:2" x14ac:dyDescent="0.35">
      <c r="A99" s="81"/>
      <c r="B99" s="1" t="s">
        <v>736</v>
      </c>
    </row>
    <row r="100" spans="1:2" x14ac:dyDescent="0.35">
      <c r="A100" s="82"/>
      <c r="B100" s="1" t="s">
        <v>737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41" priority="13" operator="equal">
      <formula>"X"</formula>
    </cfRule>
    <cfRule type="cellIs" dxfId="1040" priority="14" operator="equal">
      <formula>"I"</formula>
    </cfRule>
  </conditionalFormatting>
  <conditionalFormatting sqref="H32:H56">
    <cfRule type="cellIs" dxfId="1039" priority="1" operator="equal">
      <formula>"X"</formula>
    </cfRule>
    <cfRule type="cellIs" dxfId="1038" priority="2" operator="equal">
      <formula>"I"</formula>
    </cfRule>
  </conditionalFormatting>
  <conditionalFormatting sqref="J20:J30">
    <cfRule type="cellIs" dxfId="1037" priority="15" operator="equal">
      <formula>"X"</formula>
    </cfRule>
    <cfRule type="cellIs" dxfId="1036" priority="16" operator="equal">
      <formula>"I"</formula>
    </cfRule>
  </conditionalFormatting>
  <conditionalFormatting sqref="J32:J56">
    <cfRule type="cellIs" dxfId="1035" priority="3" operator="equal">
      <formula>"X"</formula>
    </cfRule>
    <cfRule type="cellIs" dxfId="1034" priority="4" operator="equal">
      <formula>"I"</formula>
    </cfRule>
  </conditionalFormatting>
  <conditionalFormatting sqref="L20:L30">
    <cfRule type="cellIs" dxfId="1033" priority="17" operator="equal">
      <formula>"X"</formula>
    </cfRule>
    <cfRule type="cellIs" dxfId="1032" priority="18" operator="equal">
      <formula>"I"</formula>
    </cfRule>
  </conditionalFormatting>
  <conditionalFormatting sqref="L32:L56">
    <cfRule type="cellIs" dxfId="1031" priority="5" operator="equal">
      <formula>"X"</formula>
    </cfRule>
    <cfRule type="cellIs" dxfId="1030" priority="6" operator="equal">
      <formula>"I"</formula>
    </cfRule>
  </conditionalFormatting>
  <conditionalFormatting sqref="N20:N30">
    <cfRule type="cellIs" dxfId="1029" priority="19" operator="equal">
      <formula>"X"</formula>
    </cfRule>
    <cfRule type="cellIs" dxfId="1028" priority="20" operator="equal">
      <formula>"I"</formula>
    </cfRule>
  </conditionalFormatting>
  <conditionalFormatting sqref="N32:N56">
    <cfRule type="cellIs" dxfId="1027" priority="7" operator="equal">
      <formula>"X"</formula>
    </cfRule>
    <cfRule type="cellIs" dxfId="1026" priority="8" operator="equal">
      <formula>"I"</formula>
    </cfRule>
  </conditionalFormatting>
  <conditionalFormatting sqref="P20:P30">
    <cfRule type="cellIs" dxfId="1025" priority="21" operator="equal">
      <formula>"X"</formula>
    </cfRule>
    <cfRule type="cellIs" dxfId="1024" priority="22" operator="equal">
      <formula>"I"</formula>
    </cfRule>
  </conditionalFormatting>
  <conditionalFormatting sqref="P32:P56">
    <cfRule type="cellIs" dxfId="1023" priority="9" operator="equal">
      <formula>"X"</formula>
    </cfRule>
    <cfRule type="cellIs" dxfId="1022" priority="10" operator="equal">
      <formula>"I"</formula>
    </cfRule>
  </conditionalFormatting>
  <conditionalFormatting sqref="R20:R30">
    <cfRule type="cellIs" dxfId="1021" priority="23" operator="equal">
      <formula>"X"</formula>
    </cfRule>
    <cfRule type="cellIs" dxfId="1020" priority="24" operator="equal">
      <formula>"I"</formula>
    </cfRule>
  </conditionalFormatting>
  <conditionalFormatting sqref="R32:R56">
    <cfRule type="cellIs" dxfId="1019" priority="11" operator="equal">
      <formula>"X"</formula>
    </cfRule>
    <cfRule type="cellIs" dxfId="1018" priority="12" operator="equal">
      <formula>"I"</formula>
    </cfRule>
  </conditionalFormatting>
  <hyperlinks>
    <hyperlink ref="B3" location="'Cost Summary'!A1" display="BACK TO SUMMARY SHEET" xr:uid="{241BB269-A87D-4AA2-A05A-00A184165A57}"/>
  </hyperlink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788B-5466-4365-882E-6274582388E9}">
  <sheetPr>
    <tabColor rgb="FFFFC000"/>
  </sheetPr>
  <dimension ref="A1:W92"/>
  <sheetViews>
    <sheetView zoomScale="85" zoomScaleNormal="85" workbookViewId="0">
      <pane xSplit="2" ySplit="19" topLeftCell="C36" activePane="bottomRight" state="frozen"/>
      <selection pane="topRight" activeCell="C1" sqref="C1"/>
      <selection pane="bottomLeft" activeCell="A20" sqref="A20"/>
      <selection pane="bottomRight" activeCell="B3" sqref="B3"/>
    </sheetView>
  </sheetViews>
  <sheetFormatPr defaultRowHeight="14.5" x14ac:dyDescent="0.35"/>
  <cols>
    <col min="1" max="1" width="11" customWidth="1"/>
    <col min="2" max="2" width="70.7265625" style="1" customWidth="1"/>
    <col min="3" max="3" width="11.81640625" style="2" bestFit="1" customWidth="1"/>
    <col min="4" max="4" width="9.54296875" style="2" customWidth="1"/>
    <col min="5"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7265625" style="2" customWidth="1"/>
    <col min="17" max="17" width="14.81640625" style="2" customWidth="1"/>
    <col min="18" max="18" width="7.453125" style="2" bestFit="1" customWidth="1"/>
    <col min="19" max="19" width="17.7265625" style="2" customWidth="1"/>
    <col min="20" max="20" width="7.453125" style="2" bestFit="1" customWidth="1"/>
    <col min="21" max="21" width="14.81640625" style="2" customWidth="1"/>
    <col min="22" max="22" width="7.453125" style="2" bestFit="1" customWidth="1"/>
    <col min="23" max="23" width="14.81640625" style="2" customWidth="1"/>
  </cols>
  <sheetData>
    <row r="1" spans="1:23" x14ac:dyDescent="0.35">
      <c r="E1" s="152"/>
      <c r="F1" s="125"/>
      <c r="G1" s="123" t="s">
        <v>621</v>
      </c>
      <c r="H1" s="3785" t="s">
        <v>2796</v>
      </c>
      <c r="I1" s="3785"/>
    </row>
    <row r="2" spans="1:23" x14ac:dyDescent="0.35">
      <c r="E2" s="152"/>
      <c r="F2" s="122" t="s">
        <v>622</v>
      </c>
      <c r="G2" s="123" t="s">
        <v>451</v>
      </c>
      <c r="H2" s="3751" t="s">
        <v>2797</v>
      </c>
      <c r="I2" s="3751"/>
      <c r="J2" s="3751" t="s">
        <v>2798</v>
      </c>
      <c r="K2" s="3751"/>
      <c r="L2" s="3751"/>
      <c r="M2" s="3751"/>
      <c r="N2" s="3751"/>
      <c r="O2" s="3751"/>
      <c r="P2" s="3751"/>
      <c r="Q2" s="3751"/>
      <c r="R2" s="3751"/>
      <c r="S2" s="3751"/>
      <c r="T2" s="3751"/>
      <c r="U2" s="3751"/>
      <c r="V2" s="3751"/>
      <c r="W2" s="3751"/>
    </row>
    <row r="3" spans="1:23" ht="21" customHeight="1" x14ac:dyDescent="0.35">
      <c r="B3" s="137" t="s">
        <v>623</v>
      </c>
      <c r="E3" s="152"/>
      <c r="F3" s="124" t="s">
        <v>624</v>
      </c>
      <c r="G3" s="123" t="s">
        <v>557</v>
      </c>
      <c r="H3" s="3772" t="s">
        <v>625</v>
      </c>
      <c r="I3" s="3773"/>
      <c r="J3" s="3754" t="s">
        <v>626</v>
      </c>
      <c r="K3" s="3755"/>
      <c r="L3" s="3754" t="s">
        <v>630</v>
      </c>
      <c r="M3" s="3755"/>
      <c r="N3" s="3754" t="s">
        <v>627</v>
      </c>
      <c r="O3" s="3755"/>
      <c r="P3" s="3754" t="s">
        <v>626</v>
      </c>
      <c r="Q3" s="3755"/>
      <c r="R3" s="3754" t="s">
        <v>628</v>
      </c>
      <c r="S3" s="3755"/>
      <c r="T3" s="3754" t="s">
        <v>629</v>
      </c>
      <c r="U3" s="3755"/>
      <c r="V3" s="3754" t="s">
        <v>630</v>
      </c>
      <c r="W3" s="3755"/>
    </row>
    <row r="4" spans="1:23" ht="15.75" customHeight="1" x14ac:dyDescent="0.35">
      <c r="A4" s="3" t="s">
        <v>631</v>
      </c>
      <c r="B4" s="4" t="str">
        <f>'AREA CALC''s'!B4</f>
        <v>Alton Hilltop Gardens</v>
      </c>
      <c r="C4" s="5"/>
      <c r="D4" s="5"/>
      <c r="E4" s="5"/>
      <c r="F4" s="5"/>
      <c r="G4" s="6" t="s">
        <v>632</v>
      </c>
      <c r="H4" s="3898" t="s">
        <v>2799</v>
      </c>
      <c r="I4" s="3898"/>
      <c r="J4" s="3898" t="s">
        <v>2800</v>
      </c>
      <c r="K4" s="3898"/>
      <c r="L4" s="3796" t="s">
        <v>2801</v>
      </c>
      <c r="M4" s="3753"/>
      <c r="N4" s="3898" t="s">
        <v>2802</v>
      </c>
      <c r="O4" s="3898"/>
      <c r="P4" s="3898" t="s">
        <v>2197</v>
      </c>
      <c r="Q4" s="3898"/>
      <c r="R4" s="3752" t="s">
        <v>1554</v>
      </c>
      <c r="S4" s="3753"/>
      <c r="T4" s="3898" t="s">
        <v>2803</v>
      </c>
      <c r="U4" s="3898"/>
      <c r="V4" s="3796" t="s">
        <v>2804</v>
      </c>
      <c r="W4" s="3753"/>
    </row>
    <row r="5" spans="1:23" x14ac:dyDescent="0.35">
      <c r="A5" s="2283" t="s">
        <v>634</v>
      </c>
      <c r="B5" s="2284" t="s">
        <v>529</v>
      </c>
      <c r="C5" s="2285"/>
      <c r="D5" s="2285"/>
      <c r="E5" s="2285"/>
      <c r="F5" s="2285"/>
      <c r="G5" s="2194" t="s">
        <v>636</v>
      </c>
      <c r="H5" s="3950" t="s">
        <v>2805</v>
      </c>
      <c r="I5" s="3950"/>
      <c r="J5" s="3950" t="s">
        <v>2806</v>
      </c>
      <c r="K5" s="3950"/>
      <c r="L5" s="3933" t="s">
        <v>2807</v>
      </c>
      <c r="M5" s="3932"/>
      <c r="N5" s="3950" t="s">
        <v>2808</v>
      </c>
      <c r="O5" s="3950"/>
      <c r="P5" s="3950" t="s">
        <v>2202</v>
      </c>
      <c r="Q5" s="3950"/>
      <c r="R5" s="3931" t="s">
        <v>1706</v>
      </c>
      <c r="S5" s="3932"/>
      <c r="T5" s="3950" t="s">
        <v>2809</v>
      </c>
      <c r="U5" s="3950"/>
      <c r="V5" s="3933" t="s">
        <v>2810</v>
      </c>
      <c r="W5" s="3932"/>
    </row>
    <row r="6" spans="1:23" x14ac:dyDescent="0.35">
      <c r="A6" s="2283" t="s">
        <v>638</v>
      </c>
      <c r="B6" s="2195" t="s">
        <v>528</v>
      </c>
      <c r="C6" s="2285"/>
      <c r="D6" s="2285"/>
      <c r="E6" s="2285"/>
      <c r="F6" s="2285"/>
      <c r="G6" s="2194" t="s">
        <v>639</v>
      </c>
      <c r="H6" s="3949" t="s">
        <v>2811</v>
      </c>
      <c r="I6" s="3949"/>
      <c r="J6" s="3949" t="s">
        <v>2812</v>
      </c>
      <c r="K6" s="3949"/>
      <c r="L6" s="3939" t="s">
        <v>2813</v>
      </c>
      <c r="M6" s="3938"/>
      <c r="N6" s="3949" t="s">
        <v>2814</v>
      </c>
      <c r="O6" s="3949"/>
      <c r="P6" s="3949" t="s">
        <v>2206</v>
      </c>
      <c r="Q6" s="3949"/>
      <c r="R6" s="3937" t="s">
        <v>1718</v>
      </c>
      <c r="S6" s="3938"/>
      <c r="T6" s="3949"/>
      <c r="U6" s="3949"/>
      <c r="V6" s="3939"/>
      <c r="W6" s="3938"/>
    </row>
    <row r="7" spans="1:23" x14ac:dyDescent="0.35">
      <c r="A7" s="2283" t="s">
        <v>641</v>
      </c>
      <c r="B7" s="2196"/>
      <c r="C7" s="2285"/>
      <c r="D7" s="2285"/>
      <c r="E7" s="2285"/>
      <c r="F7" s="2285"/>
      <c r="G7" s="2194" t="s">
        <v>642</v>
      </c>
      <c r="H7" s="3951" t="s">
        <v>2815</v>
      </c>
      <c r="I7" s="3951"/>
      <c r="J7" s="3951" t="s">
        <v>2816</v>
      </c>
      <c r="K7" s="3951"/>
      <c r="L7" s="3936" t="s">
        <v>2817</v>
      </c>
      <c r="M7" s="3935"/>
      <c r="N7" s="3963" t="s">
        <v>2818</v>
      </c>
      <c r="O7" s="3951"/>
      <c r="P7" s="3951" t="s">
        <v>2211</v>
      </c>
      <c r="Q7" s="3951"/>
      <c r="R7" s="3853" t="s">
        <v>1730</v>
      </c>
      <c r="S7" s="3854"/>
      <c r="T7" s="3951" t="s">
        <v>2819</v>
      </c>
      <c r="U7" s="3951"/>
      <c r="V7" s="3936" t="s">
        <v>2820</v>
      </c>
      <c r="W7" s="3935"/>
    </row>
    <row r="8" spans="1:23" x14ac:dyDescent="0.35">
      <c r="A8" s="938" t="s">
        <v>644</v>
      </c>
      <c r="B8" s="939"/>
      <c r="C8" s="940"/>
      <c r="D8" s="940"/>
      <c r="E8" s="940"/>
      <c r="F8" s="940"/>
      <c r="G8" s="1024" t="s">
        <v>644</v>
      </c>
      <c r="H8" s="3945">
        <f>I53</f>
        <v>102000</v>
      </c>
      <c r="I8" s="3944"/>
      <c r="J8" s="3945">
        <f>K53</f>
        <v>117092.69</v>
      </c>
      <c r="K8" s="3944"/>
      <c r="L8" s="3945">
        <f>M53</f>
        <v>150295</v>
      </c>
      <c r="M8" s="3944"/>
      <c r="N8" s="3945">
        <f>O53</f>
        <v>153795.62</v>
      </c>
      <c r="O8" s="3944"/>
      <c r="P8" s="3945">
        <f>Q53</f>
        <v>188000</v>
      </c>
      <c r="Q8" s="3944"/>
      <c r="R8" s="3945">
        <f>S53</f>
        <v>195100</v>
      </c>
      <c r="S8" s="3944"/>
      <c r="T8" s="3945">
        <f>U53</f>
        <v>237540</v>
      </c>
      <c r="U8" s="3944"/>
      <c r="V8" s="3945">
        <f>W53</f>
        <v>520099.39</v>
      </c>
      <c r="W8" s="3944"/>
    </row>
    <row r="9" spans="1:23"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row>
    <row r="10" spans="1:23" hidden="1" x14ac:dyDescent="0.35">
      <c r="A10" s="2286"/>
      <c r="B10" s="2623"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row>
    <row r="11" spans="1:23"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row>
    <row r="12" spans="1:23"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row>
    <row r="13" spans="1:23"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row>
    <row r="14" spans="1:23"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row>
    <row r="15" spans="1:23"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row>
    <row r="16" spans="1:23"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row>
    <row r="17" spans="1:23"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row>
    <row r="18" spans="1:23"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row>
    <row r="19" spans="1:23"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row>
    <row r="20" spans="1:23" x14ac:dyDescent="0.35">
      <c r="A20" s="2624"/>
      <c r="B20" s="2284"/>
      <c r="C20" s="2201"/>
      <c r="D20" s="2285"/>
      <c r="E20" s="2285"/>
      <c r="F20" s="2285"/>
      <c r="G20" s="2198"/>
      <c r="H20" s="2109"/>
      <c r="I20" s="2107"/>
      <c r="J20" s="2109"/>
      <c r="K20" s="2107"/>
      <c r="L20" s="2109"/>
      <c r="M20" s="2107"/>
      <c r="N20" s="2109"/>
      <c r="O20" s="2107"/>
      <c r="P20" s="2109"/>
      <c r="Q20" s="2107"/>
      <c r="R20" s="2109"/>
      <c r="S20" s="2107"/>
      <c r="T20" s="2109"/>
      <c r="U20" s="2107"/>
      <c r="V20" s="2109"/>
      <c r="W20" s="2107"/>
    </row>
    <row r="21" spans="1:23" x14ac:dyDescent="0.35">
      <c r="A21" s="2624"/>
      <c r="B21" s="2203" t="s">
        <v>529</v>
      </c>
      <c r="C21" s="45"/>
      <c r="D21" s="46"/>
      <c r="E21" s="46"/>
      <c r="F21" s="46"/>
      <c r="G21" s="52"/>
      <c r="H21" s="2109"/>
      <c r="I21" s="2625"/>
      <c r="J21" s="2109"/>
      <c r="K21" s="2625"/>
      <c r="L21" s="2109"/>
      <c r="M21" s="2625"/>
      <c r="N21" s="2109"/>
      <c r="O21" s="2626"/>
      <c r="P21" s="2109"/>
      <c r="Q21" s="2625"/>
      <c r="R21" s="2109"/>
      <c r="S21" s="2625"/>
      <c r="T21" s="2109"/>
      <c r="U21" s="2625"/>
      <c r="V21" s="2109"/>
      <c r="W21" s="2625"/>
    </row>
    <row r="22" spans="1:23" x14ac:dyDescent="0.35">
      <c r="A22" s="2624"/>
      <c r="B22" s="606" t="s">
        <v>657</v>
      </c>
      <c r="C22" s="2201"/>
      <c r="D22" s="2285"/>
      <c r="E22" s="2285"/>
      <c r="F22" s="2285"/>
      <c r="G22" s="2198"/>
      <c r="H22" s="2109"/>
      <c r="I22" s="2625"/>
      <c r="J22" s="2109"/>
      <c r="K22" s="2625"/>
      <c r="L22" s="2109"/>
      <c r="M22" s="2625"/>
      <c r="N22" s="2109"/>
      <c r="O22" s="2626"/>
      <c r="P22" s="2109"/>
      <c r="Q22" s="2625"/>
      <c r="R22" s="2109"/>
      <c r="S22" s="2625"/>
      <c r="T22" s="2109"/>
      <c r="U22" s="2625"/>
      <c r="V22" s="2109"/>
      <c r="W22" s="2625"/>
    </row>
    <row r="23" spans="1:23" x14ac:dyDescent="0.35">
      <c r="A23" s="2624"/>
      <c r="B23" s="2627" t="s">
        <v>658</v>
      </c>
      <c r="C23" s="2201"/>
      <c r="D23" s="2285"/>
      <c r="E23" s="2285"/>
      <c r="F23" s="2285"/>
      <c r="G23" s="2198"/>
      <c r="H23" s="2109" t="s">
        <v>669</v>
      </c>
      <c r="I23" s="2625"/>
      <c r="J23" s="2109" t="s">
        <v>669</v>
      </c>
      <c r="K23" s="2625"/>
      <c r="L23" s="2109" t="s">
        <v>669</v>
      </c>
      <c r="M23" s="2625"/>
      <c r="N23" s="2109" t="s">
        <v>669</v>
      </c>
      <c r="O23" s="2626"/>
      <c r="P23" s="2109" t="s">
        <v>669</v>
      </c>
      <c r="Q23" s="2625"/>
      <c r="R23" s="2109" t="s">
        <v>669</v>
      </c>
      <c r="S23" s="2626"/>
      <c r="T23" s="2109" t="s">
        <v>669</v>
      </c>
      <c r="U23" s="2625"/>
      <c r="V23" s="2109" t="s">
        <v>669</v>
      </c>
      <c r="W23" s="2625"/>
    </row>
    <row r="24" spans="1:23" x14ac:dyDescent="0.35">
      <c r="A24" s="2624"/>
      <c r="B24" s="2627" t="s">
        <v>659</v>
      </c>
      <c r="C24" s="2208"/>
      <c r="D24" s="2285"/>
      <c r="E24" s="2285"/>
      <c r="F24" s="2285"/>
      <c r="G24" s="2198"/>
      <c r="H24" s="2109" t="s">
        <v>669</v>
      </c>
      <c r="I24" s="2625"/>
      <c r="J24" s="2109" t="s">
        <v>669</v>
      </c>
      <c r="K24" s="2625"/>
      <c r="L24" s="2109" t="s">
        <v>669</v>
      </c>
      <c r="M24" s="2625"/>
      <c r="N24" s="2109" t="s">
        <v>669</v>
      </c>
      <c r="O24" s="2626"/>
      <c r="P24" s="2109" t="s">
        <v>669</v>
      </c>
      <c r="Q24" s="2625"/>
      <c r="R24" s="2109" t="s">
        <v>669</v>
      </c>
      <c r="S24" s="2626"/>
      <c r="T24" s="2109" t="s">
        <v>669</v>
      </c>
      <c r="U24" s="2625"/>
      <c r="V24" s="2109" t="s">
        <v>669</v>
      </c>
      <c r="W24" s="2625"/>
    </row>
    <row r="25" spans="1:23" x14ac:dyDescent="0.35">
      <c r="A25" s="2612"/>
      <c r="B25" s="2553" t="s">
        <v>660</v>
      </c>
      <c r="C25" s="2208"/>
      <c r="D25" s="2285"/>
      <c r="E25" s="2285"/>
      <c r="F25" s="2285"/>
      <c r="G25" s="2198"/>
      <c r="H25" s="2109" t="s">
        <v>671</v>
      </c>
      <c r="I25" s="2625"/>
      <c r="J25" s="2109" t="s">
        <v>671</v>
      </c>
      <c r="K25" s="2625"/>
      <c r="L25" s="2109" t="s">
        <v>671</v>
      </c>
      <c r="M25" s="2625"/>
      <c r="N25" s="2109" t="s">
        <v>671</v>
      </c>
      <c r="O25" s="2626"/>
      <c r="P25" s="2109" t="s">
        <v>671</v>
      </c>
      <c r="Q25" s="2625"/>
      <c r="R25" s="2109" t="s">
        <v>671</v>
      </c>
      <c r="S25" s="2626"/>
      <c r="T25" s="2109" t="s">
        <v>671</v>
      </c>
      <c r="U25" s="2625"/>
      <c r="V25" s="2109" t="s">
        <v>671</v>
      </c>
      <c r="W25" s="2625"/>
    </row>
    <row r="26" spans="1:23" s="77" customFormat="1" x14ac:dyDescent="0.35">
      <c r="A26" s="2612"/>
      <c r="B26" s="2553" t="s">
        <v>661</v>
      </c>
      <c r="C26" s="2211"/>
      <c r="D26" s="2212"/>
      <c r="E26" s="2212"/>
      <c r="F26" s="2212"/>
      <c r="G26" s="2211"/>
      <c r="H26" s="2109" t="s">
        <v>669</v>
      </c>
      <c r="I26" s="2628"/>
      <c r="J26" s="2109" t="s">
        <v>669</v>
      </c>
      <c r="K26" s="2628"/>
      <c r="L26" s="2109" t="s">
        <v>669</v>
      </c>
      <c r="M26" s="2628"/>
      <c r="N26" s="2109" t="s">
        <v>669</v>
      </c>
      <c r="O26" s="2626"/>
      <c r="P26" s="2109" t="s">
        <v>669</v>
      </c>
      <c r="Q26" s="2628"/>
      <c r="R26" s="2109" t="s">
        <v>669</v>
      </c>
      <c r="S26" s="2626"/>
      <c r="T26" s="2109" t="s">
        <v>669</v>
      </c>
      <c r="U26" s="2628"/>
      <c r="V26" s="2109" t="s">
        <v>669</v>
      </c>
      <c r="W26" s="2628"/>
    </row>
    <row r="27" spans="1:23" s="77" customFormat="1" x14ac:dyDescent="0.35">
      <c r="A27" s="2624"/>
      <c r="B27" s="2553" t="s">
        <v>662</v>
      </c>
      <c r="C27" s="2211"/>
      <c r="D27" s="2212"/>
      <c r="E27" s="2212"/>
      <c r="F27" s="2212"/>
      <c r="G27" s="2211"/>
      <c r="H27" s="2109" t="s">
        <v>669</v>
      </c>
      <c r="I27" s="2628"/>
      <c r="J27" s="2109" t="s">
        <v>669</v>
      </c>
      <c r="K27" s="2628"/>
      <c r="L27" s="2109" t="s">
        <v>669</v>
      </c>
      <c r="M27" s="2628"/>
      <c r="N27" s="2109" t="s">
        <v>669</v>
      </c>
      <c r="O27" s="2626"/>
      <c r="P27" s="2109" t="s">
        <v>669</v>
      </c>
      <c r="Q27" s="2628"/>
      <c r="R27" s="2109" t="s">
        <v>669</v>
      </c>
      <c r="S27" s="2626"/>
      <c r="T27" s="2109" t="s">
        <v>669</v>
      </c>
      <c r="U27" s="2628"/>
      <c r="V27" s="2109" t="s">
        <v>669</v>
      </c>
      <c r="W27" s="2628"/>
    </row>
    <row r="28" spans="1:23" s="77" customFormat="1" x14ac:dyDescent="0.35">
      <c r="A28" s="2624"/>
      <c r="B28" s="2553" t="s">
        <v>663</v>
      </c>
      <c r="C28" s="2211"/>
      <c r="D28" s="2212"/>
      <c r="E28" s="2212"/>
      <c r="F28" s="2212"/>
      <c r="G28" s="2211"/>
      <c r="H28" s="2109" t="s">
        <v>669</v>
      </c>
      <c r="I28" s="2628"/>
      <c r="J28" s="2109" t="s">
        <v>669</v>
      </c>
      <c r="K28" s="2628"/>
      <c r="L28" s="2109" t="s">
        <v>669</v>
      </c>
      <c r="M28" s="2628"/>
      <c r="N28" s="2109" t="s">
        <v>669</v>
      </c>
      <c r="O28" s="2626"/>
      <c r="P28" s="2109" t="s">
        <v>669</v>
      </c>
      <c r="Q28" s="2628"/>
      <c r="R28" s="2109" t="s">
        <v>669</v>
      </c>
      <c r="S28" s="2626"/>
      <c r="T28" s="2109" t="s">
        <v>669</v>
      </c>
      <c r="U28" s="2628"/>
      <c r="V28" s="2109" t="s">
        <v>669</v>
      </c>
      <c r="W28" s="2628"/>
    </row>
    <row r="29" spans="1:23" s="77" customFormat="1" x14ac:dyDescent="0.35">
      <c r="A29" s="2624"/>
      <c r="B29" s="2553" t="s">
        <v>789</v>
      </c>
      <c r="C29" s="2211"/>
      <c r="D29" s="2212"/>
      <c r="E29" s="2212"/>
      <c r="F29" s="2212"/>
      <c r="G29" s="2211"/>
      <c r="H29" s="2109" t="s">
        <v>671</v>
      </c>
      <c r="I29" s="2628" t="s">
        <v>1008</v>
      </c>
      <c r="J29" s="2109" t="s">
        <v>671</v>
      </c>
      <c r="K29" s="2628" t="s">
        <v>1008</v>
      </c>
      <c r="L29" s="2109" t="s">
        <v>671</v>
      </c>
      <c r="M29" s="2628"/>
      <c r="N29" s="2109" t="s">
        <v>671</v>
      </c>
      <c r="O29" s="2628" t="s">
        <v>1008</v>
      </c>
      <c r="P29" s="2109" t="s">
        <v>671</v>
      </c>
      <c r="Q29" s="2628" t="s">
        <v>1008</v>
      </c>
      <c r="R29" s="2109" t="s">
        <v>671</v>
      </c>
      <c r="S29" s="2629" t="s">
        <v>2821</v>
      </c>
      <c r="T29" s="2109" t="s">
        <v>671</v>
      </c>
      <c r="U29" s="2628"/>
      <c r="V29" s="2109" t="s">
        <v>671</v>
      </c>
      <c r="W29" s="2628"/>
    </row>
    <row r="30" spans="1:23" s="77" customFormat="1" x14ac:dyDescent="0.35">
      <c r="A30" s="2624"/>
      <c r="B30" s="2553" t="s">
        <v>790</v>
      </c>
      <c r="C30" s="2211"/>
      <c r="D30" s="2212"/>
      <c r="E30" s="2212"/>
      <c r="F30" s="2212"/>
      <c r="G30" s="2211"/>
      <c r="H30" s="2109" t="s">
        <v>671</v>
      </c>
      <c r="I30" s="2628" t="s">
        <v>1100</v>
      </c>
      <c r="J30" s="2109" t="s">
        <v>671</v>
      </c>
      <c r="K30" s="2626" t="s">
        <v>968</v>
      </c>
      <c r="L30" s="2109" t="s">
        <v>671</v>
      </c>
      <c r="M30" s="2628"/>
      <c r="N30" s="2109" t="s">
        <v>671</v>
      </c>
      <c r="O30" s="2626" t="s">
        <v>968</v>
      </c>
      <c r="P30" s="2109" t="s">
        <v>671</v>
      </c>
      <c r="Q30" s="2626" t="s">
        <v>968</v>
      </c>
      <c r="R30" s="2109" t="s">
        <v>671</v>
      </c>
      <c r="S30" s="2626" t="s">
        <v>968</v>
      </c>
      <c r="T30" s="2109" t="s">
        <v>671</v>
      </c>
      <c r="U30" s="2628"/>
      <c r="V30" s="2109" t="s">
        <v>671</v>
      </c>
      <c r="W30" s="2628"/>
    </row>
    <row r="31" spans="1:23" s="77" customFormat="1" x14ac:dyDescent="0.35">
      <c r="A31" s="2624"/>
      <c r="B31" s="2553" t="s">
        <v>791</v>
      </c>
      <c r="C31" s="2211"/>
      <c r="D31" s="2212"/>
      <c r="E31" s="2212"/>
      <c r="F31" s="2212"/>
      <c r="G31" s="2211"/>
      <c r="H31" s="2109" t="s">
        <v>671</v>
      </c>
      <c r="I31" s="2628"/>
      <c r="J31" s="2109" t="s">
        <v>671</v>
      </c>
      <c r="K31" s="2628"/>
      <c r="L31" s="2109" t="s">
        <v>671</v>
      </c>
      <c r="M31" s="2628"/>
      <c r="N31" s="2109" t="s">
        <v>671</v>
      </c>
      <c r="O31" s="2626"/>
      <c r="P31" s="2109" t="s">
        <v>671</v>
      </c>
      <c r="Q31" s="2628"/>
      <c r="R31" s="2109" t="s">
        <v>671</v>
      </c>
      <c r="S31" s="2626"/>
      <c r="T31" s="2109" t="s">
        <v>671</v>
      </c>
      <c r="U31" s="2628"/>
      <c r="V31" s="2109" t="s">
        <v>671</v>
      </c>
      <c r="W31" s="2628"/>
    </row>
    <row r="32" spans="1:23" s="77" customFormat="1" x14ac:dyDescent="0.35">
      <c r="A32" s="2624"/>
      <c r="B32" s="2553" t="s">
        <v>1741</v>
      </c>
      <c r="C32" s="2211"/>
      <c r="D32" s="2212"/>
      <c r="E32" s="2212"/>
      <c r="F32" s="2212"/>
      <c r="G32" s="2211"/>
      <c r="H32" s="2109"/>
      <c r="I32" s="2628"/>
      <c r="J32" s="2109"/>
      <c r="K32" s="2628"/>
      <c r="L32" s="2109"/>
      <c r="M32" s="2628"/>
      <c r="N32" s="2109"/>
      <c r="O32" s="2626"/>
      <c r="P32" s="2109"/>
      <c r="Q32" s="2628"/>
      <c r="R32" s="2109"/>
      <c r="S32" s="2626"/>
      <c r="T32" s="2109"/>
      <c r="U32" s="2628"/>
      <c r="V32" s="2109"/>
      <c r="W32" s="2628"/>
    </row>
    <row r="33" spans="1:23" s="77" customFormat="1" x14ac:dyDescent="0.35">
      <c r="A33" s="2624"/>
      <c r="B33" s="2555" t="s">
        <v>664</v>
      </c>
      <c r="C33" s="2211"/>
      <c r="D33" s="2212"/>
      <c r="E33" s="2212"/>
      <c r="F33" s="2212"/>
      <c r="G33" s="2211"/>
      <c r="H33" s="2109"/>
      <c r="I33" s="2628"/>
      <c r="J33" s="2109"/>
      <c r="K33" s="2628"/>
      <c r="L33" s="2109"/>
      <c r="M33" s="2628"/>
      <c r="N33" s="2109"/>
      <c r="O33" s="2626"/>
      <c r="P33" s="2109"/>
      <c r="Q33" s="2628"/>
      <c r="R33" s="2109"/>
      <c r="S33" s="2628"/>
      <c r="T33" s="2109"/>
      <c r="U33" s="2628"/>
      <c r="V33" s="2109"/>
      <c r="W33" s="2628"/>
    </row>
    <row r="34" spans="1:23" s="77" customFormat="1" x14ac:dyDescent="0.35">
      <c r="A34" s="2624"/>
      <c r="B34" s="2556" t="s">
        <v>665</v>
      </c>
      <c r="C34" s="2216"/>
      <c r="D34" s="2217"/>
      <c r="E34" s="2217"/>
      <c r="F34" s="2217"/>
      <c r="G34" s="2216">
        <f>SUM(G38:G45)</f>
        <v>94900</v>
      </c>
      <c r="H34" s="2289"/>
      <c r="I34" s="2630">
        <v>90000</v>
      </c>
      <c r="J34" s="2630"/>
      <c r="K34" s="2630">
        <v>117092.69</v>
      </c>
      <c r="L34" s="2630"/>
      <c r="M34" s="2630">
        <v>150295</v>
      </c>
      <c r="N34" s="2288"/>
      <c r="O34" s="2216">
        <v>153795.62</v>
      </c>
      <c r="P34" s="2630"/>
      <c r="Q34" s="2630">
        <v>188000</v>
      </c>
      <c r="R34" s="2289"/>
      <c r="S34" s="2630">
        <v>195100</v>
      </c>
      <c r="T34" s="2630"/>
      <c r="U34" s="2630">
        <v>237540</v>
      </c>
      <c r="V34" s="2630"/>
      <c r="W34" s="2630">
        <v>520099.39</v>
      </c>
    </row>
    <row r="35" spans="1:23" s="77" customFormat="1" x14ac:dyDescent="0.35">
      <c r="A35" s="2624"/>
      <c r="B35" s="121" t="s">
        <v>874</v>
      </c>
      <c r="C35" s="2211"/>
      <c r="D35" s="2212"/>
      <c r="E35" s="2212"/>
      <c r="F35" s="2212"/>
      <c r="G35" s="2211"/>
      <c r="H35" s="2109"/>
      <c r="I35" s="2628"/>
      <c r="J35" s="2109"/>
      <c r="K35" s="2628"/>
      <c r="L35" s="2109"/>
      <c r="M35" s="2628"/>
      <c r="N35" s="2109"/>
      <c r="O35" s="2626"/>
      <c r="P35" s="2109"/>
      <c r="Q35" s="2628"/>
      <c r="R35" s="2109"/>
      <c r="S35" s="2628"/>
      <c r="T35" s="2109"/>
      <c r="U35" s="2628"/>
      <c r="V35" s="2109"/>
      <c r="W35" s="2628"/>
    </row>
    <row r="36" spans="1:23" s="77" customFormat="1" x14ac:dyDescent="0.35">
      <c r="A36" s="2624"/>
      <c r="B36" s="2340"/>
      <c r="C36" s="2211"/>
      <c r="D36" s="2212"/>
      <c r="E36" s="2212"/>
      <c r="F36" s="2212"/>
      <c r="G36" s="2211"/>
      <c r="H36" s="2109"/>
      <c r="I36" s="2628"/>
      <c r="J36" s="2109"/>
      <c r="K36" s="2628"/>
      <c r="L36" s="2109"/>
      <c r="M36" s="2628"/>
      <c r="N36" s="2109"/>
      <c r="O36" s="2626"/>
      <c r="P36" s="2109"/>
      <c r="Q36" s="2628"/>
      <c r="R36" s="2109"/>
      <c r="S36" s="2628"/>
      <c r="T36" s="2109"/>
      <c r="U36" s="2628"/>
      <c r="V36" s="2109"/>
      <c r="W36" s="2628"/>
    </row>
    <row r="37" spans="1:23" s="77" customFormat="1" x14ac:dyDescent="0.35">
      <c r="A37" s="2612"/>
      <c r="B37" s="2631" t="s">
        <v>2822</v>
      </c>
      <c r="C37" s="2236"/>
      <c r="D37" s="2212"/>
      <c r="E37" s="2341"/>
      <c r="F37" s="2342"/>
      <c r="G37" s="2211"/>
      <c r="H37" s="2109" t="s">
        <v>669</v>
      </c>
      <c r="I37" s="2628"/>
      <c r="J37" s="2109" t="s">
        <v>669</v>
      </c>
      <c r="K37" s="2628"/>
      <c r="L37" s="2109" t="s">
        <v>669</v>
      </c>
      <c r="M37" s="2628"/>
      <c r="N37" s="2109" t="s">
        <v>669</v>
      </c>
      <c r="O37" s="2626"/>
      <c r="P37" s="2109" t="s">
        <v>669</v>
      </c>
      <c r="Q37" s="2628"/>
      <c r="R37" s="2109" t="s">
        <v>669</v>
      </c>
      <c r="S37" s="2628"/>
      <c r="T37" s="2109" t="s">
        <v>669</v>
      </c>
      <c r="U37" s="2628"/>
      <c r="V37" s="2109" t="s">
        <v>671</v>
      </c>
      <c r="W37" s="2628"/>
    </row>
    <row r="38" spans="1:23" s="77" customFormat="1" x14ac:dyDescent="0.35">
      <c r="A38" s="2612"/>
      <c r="B38" s="2632" t="s">
        <v>1212</v>
      </c>
      <c r="C38" s="2236"/>
      <c r="D38" s="2475"/>
      <c r="E38" s="2341"/>
      <c r="F38" s="2588"/>
      <c r="G38" s="2589"/>
      <c r="H38" s="2109" t="s">
        <v>669</v>
      </c>
      <c r="I38" s="2628"/>
      <c r="J38" s="2109" t="s">
        <v>669</v>
      </c>
      <c r="K38" s="2628"/>
      <c r="L38" s="2109" t="s">
        <v>669</v>
      </c>
      <c r="M38" s="2628"/>
      <c r="N38" s="2109" t="s">
        <v>669</v>
      </c>
      <c r="O38" s="2626"/>
      <c r="P38" s="2109" t="s">
        <v>669</v>
      </c>
      <c r="Q38" s="2628"/>
      <c r="R38" s="2109" t="s">
        <v>669</v>
      </c>
      <c r="S38" s="2628"/>
      <c r="T38" s="2109" t="s">
        <v>669</v>
      </c>
      <c r="U38" s="2628"/>
      <c r="V38" s="2109" t="s">
        <v>671</v>
      </c>
      <c r="W38" s="2628"/>
    </row>
    <row r="39" spans="1:23" s="77" customFormat="1" x14ac:dyDescent="0.35">
      <c r="A39" s="2612"/>
      <c r="B39" s="2632" t="s">
        <v>1220</v>
      </c>
      <c r="C39" s="2236"/>
      <c r="D39" s="2475"/>
      <c r="E39" s="2341"/>
      <c r="F39" s="2588"/>
      <c r="G39" s="2589"/>
      <c r="H39" s="2109" t="s">
        <v>669</v>
      </c>
      <c r="I39" s="2628"/>
      <c r="J39" s="2109" t="s">
        <v>669</v>
      </c>
      <c r="K39" s="2628"/>
      <c r="L39" s="2109" t="s">
        <v>669</v>
      </c>
      <c r="M39" s="2628"/>
      <c r="N39" s="2109" t="s">
        <v>669</v>
      </c>
      <c r="O39" s="2626"/>
      <c r="P39" s="2109" t="s">
        <v>669</v>
      </c>
      <c r="Q39" s="2628"/>
      <c r="R39" s="2109" t="s">
        <v>669</v>
      </c>
      <c r="S39" s="2628"/>
      <c r="T39" s="2109" t="s">
        <v>669</v>
      </c>
      <c r="U39" s="2628"/>
      <c r="V39" s="2109" t="s">
        <v>671</v>
      </c>
      <c r="W39" s="2628"/>
    </row>
    <row r="40" spans="1:23" s="77" customFormat="1" x14ac:dyDescent="0.35">
      <c r="A40" s="2612"/>
      <c r="B40" s="2632" t="s">
        <v>1226</v>
      </c>
      <c r="C40" s="2236"/>
      <c r="D40" s="2475"/>
      <c r="E40" s="2341"/>
      <c r="F40" s="2588"/>
      <c r="G40" s="2589"/>
      <c r="H40" s="2109" t="s">
        <v>669</v>
      </c>
      <c r="I40" s="2628"/>
      <c r="J40" s="2109" t="s">
        <v>669</v>
      </c>
      <c r="K40" s="2628"/>
      <c r="L40" s="2109" t="s">
        <v>669</v>
      </c>
      <c r="M40" s="2628"/>
      <c r="N40" s="2109" t="s">
        <v>669</v>
      </c>
      <c r="O40" s="2626"/>
      <c r="P40" s="2109" t="s">
        <v>669</v>
      </c>
      <c r="Q40" s="2628"/>
      <c r="R40" s="2109" t="s">
        <v>669</v>
      </c>
      <c r="S40" s="2628"/>
      <c r="T40" s="2109" t="s">
        <v>669</v>
      </c>
      <c r="U40" s="2628"/>
      <c r="V40" s="2109" t="s">
        <v>671</v>
      </c>
      <c r="W40" s="2628"/>
    </row>
    <row r="41" spans="1:23" s="77" customFormat="1" x14ac:dyDescent="0.35">
      <c r="A41" s="2612"/>
      <c r="B41" s="2632" t="s">
        <v>1231</v>
      </c>
      <c r="C41" s="2236"/>
      <c r="D41" s="2475"/>
      <c r="E41" s="2341"/>
      <c r="F41" s="2588"/>
      <c r="G41" s="2589"/>
      <c r="H41" s="2109" t="s">
        <v>669</v>
      </c>
      <c r="I41" s="2628"/>
      <c r="J41" s="2109" t="s">
        <v>669</v>
      </c>
      <c r="K41" s="2628"/>
      <c r="L41" s="2109" t="s">
        <v>669</v>
      </c>
      <c r="M41" s="2628"/>
      <c r="N41" s="2109" t="s">
        <v>669</v>
      </c>
      <c r="O41" s="2626"/>
      <c r="P41" s="2109" t="s">
        <v>669</v>
      </c>
      <c r="Q41" s="2628"/>
      <c r="R41" s="2109" t="s">
        <v>669</v>
      </c>
      <c r="S41" s="2628"/>
      <c r="T41" s="2109" t="s">
        <v>669</v>
      </c>
      <c r="U41" s="2628"/>
      <c r="V41" s="2109" t="s">
        <v>671</v>
      </c>
      <c r="W41" s="2628"/>
    </row>
    <row r="42" spans="1:23" s="77" customFormat="1" x14ac:dyDescent="0.35">
      <c r="A42" s="2612"/>
      <c r="B42" s="2632" t="s">
        <v>1240</v>
      </c>
      <c r="C42" s="2236"/>
      <c r="D42" s="2475"/>
      <c r="E42" s="2341"/>
      <c r="F42" s="2588"/>
      <c r="G42" s="2589"/>
      <c r="H42" s="2109" t="s">
        <v>669</v>
      </c>
      <c r="I42" s="2628"/>
      <c r="J42" s="2109" t="s">
        <v>669</v>
      </c>
      <c r="K42" s="2628"/>
      <c r="L42" s="2109" t="s">
        <v>669</v>
      </c>
      <c r="M42" s="2628"/>
      <c r="N42" s="2109" t="s">
        <v>669</v>
      </c>
      <c r="O42" s="2626"/>
      <c r="P42" s="2109" t="s">
        <v>669</v>
      </c>
      <c r="Q42" s="2628"/>
      <c r="R42" s="2109" t="s">
        <v>669</v>
      </c>
      <c r="S42" s="2628"/>
      <c r="T42" s="2109" t="s">
        <v>669</v>
      </c>
      <c r="U42" s="2628"/>
      <c r="V42" s="2109" t="s">
        <v>671</v>
      </c>
      <c r="W42" s="2628"/>
    </row>
    <row r="43" spans="1:23" s="77" customFormat="1" x14ac:dyDescent="0.35">
      <c r="A43" s="2612"/>
      <c r="B43" s="2632" t="s">
        <v>1245</v>
      </c>
      <c r="C43" s="2236"/>
      <c r="D43" s="2475"/>
      <c r="E43" s="2341"/>
      <c r="F43" s="2588"/>
      <c r="G43" s="2589"/>
      <c r="H43" s="2109" t="s">
        <v>669</v>
      </c>
      <c r="I43" s="2628"/>
      <c r="J43" s="2109" t="s">
        <v>669</v>
      </c>
      <c r="K43" s="2628"/>
      <c r="L43" s="2109" t="s">
        <v>669</v>
      </c>
      <c r="M43" s="2628"/>
      <c r="N43" s="2109" t="s">
        <v>669</v>
      </c>
      <c r="O43" s="2626"/>
      <c r="P43" s="2109" t="s">
        <v>669</v>
      </c>
      <c r="Q43" s="2628"/>
      <c r="R43" s="2109" t="s">
        <v>669</v>
      </c>
      <c r="S43" s="2628"/>
      <c r="T43" s="2109" t="s">
        <v>669</v>
      </c>
      <c r="U43" s="2628"/>
      <c r="V43" s="2109" t="s">
        <v>671</v>
      </c>
      <c r="W43" s="2628"/>
    </row>
    <row r="44" spans="1:23" s="77" customFormat="1" x14ac:dyDescent="0.35">
      <c r="A44" s="2612"/>
      <c r="B44" s="392"/>
      <c r="C44" s="2236"/>
      <c r="D44" s="2475"/>
      <c r="E44" s="2341"/>
      <c r="F44" s="2588"/>
      <c r="G44" s="2589"/>
      <c r="H44" s="2109"/>
      <c r="I44" s="2628"/>
      <c r="J44" s="2109"/>
      <c r="K44" s="2628"/>
      <c r="L44" s="2109"/>
      <c r="M44" s="2628"/>
      <c r="N44" s="2109"/>
      <c r="O44" s="2626"/>
      <c r="P44" s="2109"/>
      <c r="Q44" s="2628"/>
      <c r="R44" s="2109"/>
      <c r="S44" s="2628"/>
      <c r="T44" s="2109"/>
      <c r="U44" s="2628"/>
      <c r="V44" s="2109"/>
      <c r="W44" s="2628"/>
    </row>
    <row r="45" spans="1:23" s="77" customFormat="1" x14ac:dyDescent="0.35">
      <c r="A45" s="2612"/>
      <c r="B45" s="2340" t="s">
        <v>2823</v>
      </c>
      <c r="C45" s="2236"/>
      <c r="D45" s="2475">
        <v>949</v>
      </c>
      <c r="E45" s="2341" t="s">
        <v>666</v>
      </c>
      <c r="F45" s="2588">
        <v>100</v>
      </c>
      <c r="G45" s="2589">
        <f t="shared" ref="G45:G46" si="0">D45*F45</f>
        <v>94900</v>
      </c>
      <c r="H45" s="2109" t="s">
        <v>669</v>
      </c>
      <c r="I45" s="2628" t="s">
        <v>2824</v>
      </c>
      <c r="J45" s="2109" t="s">
        <v>669</v>
      </c>
      <c r="K45" s="2628"/>
      <c r="L45" s="2109" t="s">
        <v>669</v>
      </c>
      <c r="M45" s="2628" t="s">
        <v>2825</v>
      </c>
      <c r="N45" s="2109" t="s">
        <v>669</v>
      </c>
      <c r="O45" s="2475" t="s">
        <v>2826</v>
      </c>
      <c r="P45" s="2109" t="s">
        <v>669</v>
      </c>
      <c r="Q45" s="2628"/>
      <c r="R45" s="2109" t="s">
        <v>669</v>
      </c>
      <c r="S45" s="2628" t="s">
        <v>2827</v>
      </c>
      <c r="T45" s="2109" t="s">
        <v>669</v>
      </c>
      <c r="U45" s="2628" t="s">
        <v>2828</v>
      </c>
      <c r="V45" s="2109" t="s">
        <v>671</v>
      </c>
      <c r="W45" s="2628"/>
    </row>
    <row r="46" spans="1:23" s="77" customFormat="1" x14ac:dyDescent="0.35">
      <c r="A46" s="2612"/>
      <c r="B46" s="2340" t="s">
        <v>2829</v>
      </c>
      <c r="C46" s="2236"/>
      <c r="D46" s="2475">
        <v>459</v>
      </c>
      <c r="E46" s="2341" t="s">
        <v>666</v>
      </c>
      <c r="F46" s="2588">
        <v>100</v>
      </c>
      <c r="G46" s="2589">
        <f t="shared" si="0"/>
        <v>45900</v>
      </c>
      <c r="H46" s="2109" t="s">
        <v>669</v>
      </c>
      <c r="I46" s="2628" t="s">
        <v>2830</v>
      </c>
      <c r="J46" s="2109" t="s">
        <v>669</v>
      </c>
      <c r="K46" s="2628"/>
      <c r="L46" s="2109" t="s">
        <v>669</v>
      </c>
      <c r="M46" s="2628" t="s">
        <v>2831</v>
      </c>
      <c r="N46" s="2109" t="s">
        <v>669</v>
      </c>
      <c r="O46" s="2475" t="s">
        <v>2832</v>
      </c>
      <c r="P46" s="2109" t="s">
        <v>669</v>
      </c>
      <c r="Q46" s="2628"/>
      <c r="R46" s="2109" t="s">
        <v>669</v>
      </c>
      <c r="S46" s="2628" t="s">
        <v>2830</v>
      </c>
      <c r="T46" s="2109" t="s">
        <v>669</v>
      </c>
      <c r="U46" s="2628" t="s">
        <v>2833</v>
      </c>
      <c r="V46" s="2109" t="s">
        <v>671</v>
      </c>
      <c r="W46" s="2628"/>
    </row>
    <row r="47" spans="1:23" s="77" customFormat="1" x14ac:dyDescent="0.35">
      <c r="A47" s="2612"/>
      <c r="B47" s="2340" t="s">
        <v>2834</v>
      </c>
      <c r="C47" s="2236"/>
      <c r="D47" s="2212"/>
      <c r="E47" s="2341"/>
      <c r="F47" s="2342"/>
      <c r="G47" s="2211"/>
      <c r="H47" s="2109" t="s">
        <v>669</v>
      </c>
      <c r="I47" s="2628">
        <v>12000</v>
      </c>
      <c r="J47" s="2109" t="s">
        <v>669</v>
      </c>
      <c r="K47" s="2628"/>
      <c r="L47" s="2109" t="s">
        <v>669</v>
      </c>
      <c r="M47" s="2628"/>
      <c r="N47" s="2109" t="s">
        <v>669</v>
      </c>
      <c r="O47" s="2626"/>
      <c r="P47" s="2109" t="s">
        <v>669</v>
      </c>
      <c r="Q47" s="2628"/>
      <c r="R47" s="2109" t="s">
        <v>671</v>
      </c>
      <c r="S47" s="2628"/>
      <c r="T47" s="2109" t="s">
        <v>671</v>
      </c>
      <c r="U47" s="2628"/>
      <c r="V47" s="2109" t="s">
        <v>669</v>
      </c>
      <c r="W47" s="2628"/>
    </row>
    <row r="48" spans="1:23" s="77" customFormat="1" x14ac:dyDescent="0.35">
      <c r="A48" s="2612"/>
      <c r="B48" s="2340"/>
      <c r="C48" s="2236"/>
      <c r="D48" s="2212"/>
      <c r="E48" s="2341"/>
      <c r="F48" s="2342"/>
      <c r="G48" s="2211"/>
      <c r="H48" s="2109"/>
      <c r="I48" s="2628"/>
      <c r="J48" s="2109"/>
      <c r="K48" s="2628"/>
      <c r="L48" s="2109"/>
      <c r="M48" s="2628"/>
      <c r="N48" s="2109"/>
      <c r="O48" s="2626"/>
      <c r="P48" s="2109"/>
      <c r="Q48" s="2628"/>
      <c r="R48" s="2109"/>
      <c r="S48" s="2628"/>
      <c r="T48" s="2109"/>
      <c r="U48" s="2628"/>
      <c r="V48" s="2109"/>
      <c r="W48" s="2628"/>
    </row>
    <row r="49" spans="1:23" x14ac:dyDescent="0.35">
      <c r="A49" s="14"/>
      <c r="B49" s="15"/>
      <c r="C49" s="16"/>
      <c r="D49" s="16"/>
      <c r="E49" s="17"/>
      <c r="F49" s="18" t="s">
        <v>715</v>
      </c>
      <c r="G49" s="19"/>
      <c r="H49" s="20"/>
      <c r="I49" s="50">
        <f>SUM(I23:I48)</f>
        <v>102000</v>
      </c>
      <c r="J49" s="20"/>
      <c r="K49" s="50">
        <f>SUM(K23:K48)</f>
        <v>117092.69</v>
      </c>
      <c r="L49" s="20"/>
      <c r="M49" s="50">
        <f>SUM(M23:M48)</f>
        <v>150295</v>
      </c>
      <c r="N49" s="20"/>
      <c r="O49" s="50">
        <f>SUM(O23:O48)</f>
        <v>153795.62</v>
      </c>
      <c r="P49" s="20"/>
      <c r="Q49" s="50">
        <f>SUM(Q23:Q48)</f>
        <v>188000</v>
      </c>
      <c r="R49" s="20"/>
      <c r="S49" s="50">
        <f>SUM(S23:S48)</f>
        <v>195100</v>
      </c>
      <c r="T49" s="20"/>
      <c r="U49" s="50">
        <f>SUM(U23:U48)</f>
        <v>237540</v>
      </c>
      <c r="V49" s="20"/>
      <c r="W49" s="50">
        <f>SUM(W23:W48)</f>
        <v>520099.39</v>
      </c>
    </row>
    <row r="50" spans="1:23" x14ac:dyDescent="0.35">
      <c r="A50" s="2239"/>
      <c r="B50" s="2240"/>
      <c r="C50" s="2241"/>
      <c r="D50" s="2241"/>
      <c r="E50" s="2242"/>
      <c r="F50" s="2243" t="s">
        <v>716</v>
      </c>
      <c r="G50" s="2244"/>
      <c r="H50" s="2065">
        <v>0</v>
      </c>
      <c r="I50" s="2064"/>
      <c r="J50" s="2065">
        <v>0</v>
      </c>
      <c r="K50" s="2064"/>
      <c r="L50" s="2065">
        <v>0</v>
      </c>
      <c r="M50" s="2064"/>
      <c r="N50" s="2065">
        <v>0</v>
      </c>
      <c r="O50" s="2064"/>
      <c r="P50" s="2065">
        <v>0</v>
      </c>
      <c r="Q50" s="2064"/>
      <c r="R50" s="2065">
        <v>0</v>
      </c>
      <c r="S50" s="2064"/>
      <c r="T50" s="2065">
        <v>0</v>
      </c>
      <c r="U50" s="2064"/>
      <c r="V50" s="2065">
        <v>0</v>
      </c>
      <c r="W50" s="2064"/>
    </row>
    <row r="51" spans="1:23" x14ac:dyDescent="0.35">
      <c r="A51" s="2239"/>
      <c r="B51" s="2240"/>
      <c r="C51" s="2241"/>
      <c r="D51" s="2241"/>
      <c r="E51" s="2242"/>
      <c r="F51" s="2243" t="s">
        <v>717</v>
      </c>
      <c r="G51" s="2244"/>
      <c r="H51" s="2066"/>
      <c r="I51" s="2067">
        <f>H50*I49</f>
        <v>0</v>
      </c>
      <c r="J51" s="2066"/>
      <c r="K51" s="2067">
        <f>J50*K49</f>
        <v>0</v>
      </c>
      <c r="L51" s="2066"/>
      <c r="M51" s="2067">
        <f>L50*M49</f>
        <v>0</v>
      </c>
      <c r="N51" s="2066"/>
      <c r="O51" s="2067">
        <f>N50*O49</f>
        <v>0</v>
      </c>
      <c r="P51" s="2066"/>
      <c r="Q51" s="2067">
        <f>P50*Q49</f>
        <v>0</v>
      </c>
      <c r="R51" s="2066"/>
      <c r="S51" s="2067">
        <f>R50*S49</f>
        <v>0</v>
      </c>
      <c r="T51" s="2066"/>
      <c r="U51" s="2067">
        <f>T50*U49</f>
        <v>0</v>
      </c>
      <c r="V51" s="2066"/>
      <c r="W51" s="2067">
        <f>V50*W49</f>
        <v>0</v>
      </c>
    </row>
    <row r="52" spans="1:23" x14ac:dyDescent="0.35">
      <c r="A52" s="2239"/>
      <c r="B52" s="2240"/>
      <c r="C52" s="2241"/>
      <c r="D52" s="2241"/>
      <c r="E52" s="2242"/>
      <c r="F52" s="2243"/>
      <c r="G52" s="2244"/>
      <c r="H52" s="2066"/>
      <c r="I52" s="2068"/>
      <c r="J52" s="2066"/>
      <c r="K52" s="2068"/>
      <c r="L52" s="2066"/>
      <c r="M52" s="2068"/>
      <c r="N52" s="2066"/>
      <c r="O52" s="2068"/>
      <c r="P52" s="2066"/>
      <c r="Q52" s="2068"/>
      <c r="R52" s="2066"/>
      <c r="S52" s="2068"/>
      <c r="T52" s="2066"/>
      <c r="U52" s="2068"/>
      <c r="V52" s="2066"/>
      <c r="W52" s="2068"/>
    </row>
    <row r="53" spans="1:23" x14ac:dyDescent="0.35">
      <c r="A53" s="2239"/>
      <c r="B53" s="2240"/>
      <c r="C53" s="2241"/>
      <c r="D53" s="2241"/>
      <c r="E53" s="2242"/>
      <c r="F53" s="2243" t="s">
        <v>718</v>
      </c>
      <c r="G53" s="2244"/>
      <c r="H53" s="2069"/>
      <c r="I53" s="2070">
        <f>SUM(I49:I51)</f>
        <v>102000</v>
      </c>
      <c r="J53" s="2069"/>
      <c r="K53" s="2070">
        <f>SUM(K49:K51)</f>
        <v>117092.69</v>
      </c>
      <c r="L53" s="2069"/>
      <c r="M53" s="2070">
        <f>SUM(M49:M51)</f>
        <v>150295</v>
      </c>
      <c r="N53" s="2069"/>
      <c r="O53" s="2070">
        <f>SUM(O49:O51)</f>
        <v>153795.62</v>
      </c>
      <c r="P53" s="2069"/>
      <c r="Q53" s="2070">
        <f>SUM(Q49:Q51)</f>
        <v>188000</v>
      </c>
      <c r="R53" s="2069"/>
      <c r="S53" s="2070">
        <f>SUM(S49:S51)</f>
        <v>195100</v>
      </c>
      <c r="T53" s="2069"/>
      <c r="U53" s="2070">
        <f>SUM(U49:U51)</f>
        <v>237540</v>
      </c>
      <c r="V53" s="2069"/>
      <c r="W53" s="2070">
        <f>SUM(W49:W51)</f>
        <v>520099.39</v>
      </c>
    </row>
    <row r="54" spans="1:23" x14ac:dyDescent="0.35">
      <c r="A54" s="2239"/>
      <c r="B54" s="2240"/>
      <c r="C54" s="2241"/>
      <c r="D54" s="2241"/>
      <c r="E54" s="2242"/>
      <c r="F54" s="2255" t="s">
        <v>719</v>
      </c>
      <c r="G54" s="2256"/>
      <c r="H54" s="2073"/>
      <c r="I54" s="2074" t="e">
        <f>I53/#REF!</f>
        <v>#REF!</v>
      </c>
      <c r="J54" s="2073"/>
      <c r="K54" s="2074" t="e">
        <f>K53/#REF!</f>
        <v>#REF!</v>
      </c>
      <c r="L54" s="2073"/>
      <c r="M54" s="2074" t="e">
        <f>M53/#REF!</f>
        <v>#REF!</v>
      </c>
      <c r="N54" s="2073"/>
      <c r="O54" s="2074" t="e">
        <f>O53/#REF!</f>
        <v>#REF!</v>
      </c>
      <c r="P54" s="2073"/>
      <c r="Q54" s="2074" t="e">
        <f>Q53/#REF!</f>
        <v>#REF!</v>
      </c>
      <c r="R54" s="2073"/>
      <c r="S54" s="2074" t="e">
        <f>S53/#REF!</f>
        <v>#REF!</v>
      </c>
      <c r="T54" s="2073"/>
      <c r="U54" s="2074" t="e">
        <f>U53/#REF!</f>
        <v>#REF!</v>
      </c>
      <c r="V54" s="2073"/>
      <c r="W54" s="2074" t="e">
        <f>W53/#REF!</f>
        <v>#REF!</v>
      </c>
    </row>
    <row r="55" spans="1:23" x14ac:dyDescent="0.35">
      <c r="A55" s="2239"/>
      <c r="B55" s="2240"/>
      <c r="C55" s="2241"/>
      <c r="D55" s="2241"/>
      <c r="E55" s="2242"/>
      <c r="F55" s="2255" t="s">
        <v>720</v>
      </c>
      <c r="G55" s="2260"/>
      <c r="H55" s="2073"/>
      <c r="I55" s="2074" t="e">
        <f>I53/#REF!</f>
        <v>#REF!</v>
      </c>
      <c r="J55" s="2073"/>
      <c r="K55" s="2074" t="e">
        <f>K53/#REF!</f>
        <v>#REF!</v>
      </c>
      <c r="L55" s="2073"/>
      <c r="M55" s="2074" t="e">
        <f>M53/#REF!</f>
        <v>#REF!</v>
      </c>
      <c r="N55" s="2073"/>
      <c r="O55" s="2074" t="e">
        <f>O53/#REF!</f>
        <v>#REF!</v>
      </c>
      <c r="P55" s="2073"/>
      <c r="Q55" s="2074" t="e">
        <f>Q53/#REF!</f>
        <v>#REF!</v>
      </c>
      <c r="R55" s="2073"/>
      <c r="S55" s="2074" t="e">
        <f>S53/#REF!</f>
        <v>#REF!</v>
      </c>
      <c r="T55" s="2073"/>
      <c r="U55" s="2074" t="e">
        <f>U53/#REF!</f>
        <v>#REF!</v>
      </c>
      <c r="V55" s="2073"/>
      <c r="W55" s="2074" t="e">
        <f>W53/#REF!</f>
        <v>#REF!</v>
      </c>
    </row>
    <row r="56" spans="1:23" x14ac:dyDescent="0.35">
      <c r="A56" s="2239"/>
      <c r="B56" s="2240"/>
      <c r="C56" s="2241"/>
      <c r="D56" s="2241"/>
      <c r="E56" s="2242"/>
      <c r="F56" s="2243"/>
      <c r="G56" s="2261"/>
      <c r="H56" s="2077"/>
      <c r="I56" s="2078"/>
      <c r="J56" s="2077"/>
      <c r="K56" s="2078"/>
      <c r="L56" s="2077"/>
      <c r="M56" s="2078"/>
      <c r="N56" s="2077"/>
      <c r="O56" s="2078"/>
      <c r="P56" s="2077"/>
      <c r="Q56" s="2078"/>
      <c r="R56" s="2077"/>
      <c r="S56" s="2078"/>
      <c r="T56" s="2077"/>
      <c r="U56" s="2078"/>
      <c r="V56" s="2077"/>
      <c r="W56" s="2078"/>
    </row>
    <row r="57" spans="1:23" x14ac:dyDescent="0.35">
      <c r="A57" s="3764" t="s">
        <v>721</v>
      </c>
      <c r="B57" s="3765"/>
      <c r="C57" s="12"/>
      <c r="D57" s="12"/>
      <c r="E57" s="12"/>
      <c r="F57" s="12"/>
      <c r="G57" s="13"/>
      <c r="H57" s="21"/>
      <c r="I57" s="21"/>
      <c r="J57" s="21"/>
      <c r="K57" s="21"/>
      <c r="L57" s="21"/>
      <c r="M57" s="21"/>
      <c r="N57" s="21"/>
      <c r="O57" s="21"/>
      <c r="P57" s="21"/>
      <c r="Q57" s="21"/>
      <c r="R57" s="21"/>
      <c r="S57" s="21"/>
      <c r="T57" s="21"/>
      <c r="U57" s="21"/>
      <c r="V57" s="21"/>
      <c r="W57" s="21"/>
    </row>
    <row r="58" spans="1:23" x14ac:dyDescent="0.35">
      <c r="A58" s="2616"/>
      <c r="B58" s="2284"/>
      <c r="C58" s="2617"/>
      <c r="D58" s="2617"/>
      <c r="E58" s="2617"/>
      <c r="F58" s="2617"/>
      <c r="G58" s="2618"/>
      <c r="H58" s="2533"/>
      <c r="I58" s="2533"/>
      <c r="J58" s="2533"/>
      <c r="K58" s="2533"/>
      <c r="L58" s="2533"/>
      <c r="M58" s="2533"/>
      <c r="N58" s="2533"/>
      <c r="O58" s="2533"/>
      <c r="P58" s="2533"/>
      <c r="Q58" s="2533"/>
      <c r="R58" s="2533"/>
      <c r="S58" s="2533"/>
      <c r="T58" s="2533"/>
      <c r="U58" s="2533"/>
      <c r="V58" s="2533"/>
      <c r="W58" s="2533"/>
    </row>
    <row r="59" spans="1:23" s="2" customFormat="1" x14ac:dyDescent="0.35">
      <c r="A59" s="2616"/>
      <c r="B59" s="2284"/>
      <c r="C59" s="2617"/>
      <c r="D59" s="2617"/>
      <c r="E59" s="2617"/>
      <c r="F59" s="2617"/>
      <c r="G59" s="2618"/>
      <c r="H59" s="2533"/>
      <c r="I59" s="2533"/>
      <c r="J59" s="2533"/>
      <c r="K59" s="2533"/>
      <c r="L59" s="2533"/>
      <c r="M59" s="2533"/>
      <c r="N59" s="2533"/>
      <c r="O59" s="2533"/>
      <c r="P59" s="2533"/>
      <c r="Q59" s="2533"/>
      <c r="R59" s="2533"/>
      <c r="S59" s="2533"/>
      <c r="T59" s="2533"/>
      <c r="U59" s="2533"/>
      <c r="V59" s="2533"/>
      <c r="W59" s="2533"/>
    </row>
    <row r="60" spans="1:23" s="2" customFormat="1" x14ac:dyDescent="0.35">
      <c r="A60" s="2616"/>
      <c r="B60" s="2284"/>
      <c r="C60" s="2617"/>
      <c r="D60" s="2617"/>
      <c r="E60" s="2617"/>
      <c r="F60" s="2617"/>
      <c r="G60" s="2618"/>
      <c r="H60" s="2533"/>
      <c r="I60" s="2533"/>
      <c r="J60" s="2533"/>
      <c r="K60" s="2533"/>
      <c r="L60" s="2533"/>
      <c r="M60" s="2533"/>
      <c r="N60" s="2533"/>
      <c r="O60" s="2533"/>
      <c r="P60" s="2533"/>
      <c r="Q60" s="2533"/>
      <c r="R60" s="2533"/>
      <c r="S60" s="2533"/>
      <c r="T60" s="2533"/>
      <c r="U60" s="2533"/>
      <c r="V60" s="2533"/>
      <c r="W60" s="2533"/>
    </row>
    <row r="61" spans="1:23" x14ac:dyDescent="0.35">
      <c r="A61" s="3764" t="s">
        <v>722</v>
      </c>
      <c r="B61" s="3765"/>
      <c r="C61" s="12"/>
      <c r="D61" s="12"/>
      <c r="E61" s="12"/>
      <c r="F61" s="12"/>
      <c r="G61" s="13"/>
      <c r="H61" s="21"/>
      <c r="I61" s="21"/>
      <c r="J61" s="21"/>
      <c r="K61" s="21"/>
      <c r="L61" s="21"/>
      <c r="M61" s="21"/>
      <c r="N61" s="21"/>
      <c r="O61" s="21"/>
      <c r="P61" s="21"/>
      <c r="Q61" s="21"/>
      <c r="R61" s="21"/>
      <c r="S61" s="21"/>
      <c r="T61" s="21"/>
      <c r="U61" s="21"/>
      <c r="V61" s="21"/>
      <c r="W61" s="21"/>
    </row>
    <row r="62" spans="1:23" s="2" customFormat="1" x14ac:dyDescent="0.35">
      <c r="A62" s="2616"/>
      <c r="B62" s="2284"/>
      <c r="C62" s="2617"/>
      <c r="D62" s="2617"/>
      <c r="E62" s="2617"/>
      <c r="F62" s="2617"/>
      <c r="G62" s="2618"/>
      <c r="H62" s="2533"/>
      <c r="I62" s="2533"/>
      <c r="J62" s="2533"/>
      <c r="K62" s="2533"/>
      <c r="L62" s="2533"/>
      <c r="M62" s="2533"/>
      <c r="N62" s="2533"/>
      <c r="O62" s="2533"/>
      <c r="P62" s="2533"/>
      <c r="Q62" s="2533"/>
      <c r="R62" s="2533"/>
      <c r="S62" s="2533"/>
      <c r="T62" s="2533"/>
      <c r="U62" s="2533"/>
      <c r="V62" s="2533"/>
      <c r="W62" s="2533"/>
    </row>
    <row r="63" spans="1:23" s="2" customFormat="1" x14ac:dyDescent="0.35">
      <c r="A63" s="2616"/>
      <c r="B63" s="2284"/>
      <c r="C63" s="2617"/>
      <c r="D63" s="2617"/>
      <c r="E63" s="2617"/>
      <c r="F63" s="2617"/>
      <c r="G63" s="2618"/>
      <c r="H63" s="2533"/>
      <c r="I63" s="2533"/>
      <c r="J63" s="2533"/>
      <c r="K63" s="2533"/>
      <c r="L63" s="2533"/>
      <c r="M63" s="2533"/>
      <c r="N63" s="2533"/>
      <c r="O63" s="2533"/>
      <c r="P63" s="2533"/>
      <c r="Q63" s="2533"/>
      <c r="R63" s="2533"/>
      <c r="S63" s="2533"/>
      <c r="T63" s="2533"/>
      <c r="U63" s="2533"/>
      <c r="V63" s="2533"/>
      <c r="W63" s="2533"/>
    </row>
    <row r="64" spans="1:23" x14ac:dyDescent="0.35">
      <c r="A64" s="2616"/>
      <c r="B64" s="2284"/>
      <c r="C64" s="2617"/>
      <c r="D64" s="2617"/>
      <c r="E64" s="2617"/>
      <c r="F64" s="2617"/>
      <c r="G64" s="2618"/>
      <c r="H64" s="2533"/>
      <c r="I64" s="2533"/>
      <c r="J64" s="2533"/>
      <c r="K64" s="2533"/>
      <c r="L64" s="2533"/>
      <c r="M64" s="2533"/>
      <c r="N64" s="2533"/>
      <c r="O64" s="2533"/>
      <c r="P64" s="2533"/>
      <c r="Q64" s="2533"/>
      <c r="R64" s="2533"/>
      <c r="S64" s="2533"/>
      <c r="T64" s="2533"/>
      <c r="U64" s="2533"/>
      <c r="V64" s="2533"/>
      <c r="W64" s="2533"/>
    </row>
    <row r="65" spans="1:23" x14ac:dyDescent="0.35">
      <c r="A65" s="3764" t="s">
        <v>723</v>
      </c>
      <c r="B65" s="3765"/>
      <c r="C65" s="12"/>
      <c r="D65" s="12"/>
      <c r="E65" s="12"/>
      <c r="F65" s="12"/>
      <c r="G65" s="13"/>
      <c r="H65" s="21"/>
      <c r="I65" s="21"/>
      <c r="J65" s="21"/>
      <c r="K65" s="21"/>
      <c r="L65" s="21"/>
      <c r="M65" s="21"/>
      <c r="N65" s="21"/>
      <c r="O65" s="21"/>
      <c r="P65" s="21"/>
      <c r="Q65" s="21"/>
      <c r="R65" s="21"/>
      <c r="S65" s="21"/>
      <c r="T65" s="21"/>
      <c r="U65" s="21"/>
      <c r="V65" s="21"/>
      <c r="W65" s="21"/>
    </row>
    <row r="66" spans="1:23" x14ac:dyDescent="0.35">
      <c r="A66" s="2616"/>
      <c r="B66" s="2284" t="s">
        <v>2835</v>
      </c>
      <c r="C66" s="2617"/>
      <c r="D66" s="2617"/>
      <c r="E66" s="2617"/>
      <c r="F66" s="2617"/>
      <c r="G66" s="2618"/>
      <c r="H66" s="2109" t="s">
        <v>669</v>
      </c>
      <c r="I66" s="2533">
        <v>12000</v>
      </c>
      <c r="J66" s="2533"/>
      <c r="K66" s="2533"/>
      <c r="L66" s="2533"/>
      <c r="M66" s="2533"/>
      <c r="N66" s="2533"/>
      <c r="O66" s="2533"/>
      <c r="P66" s="2533"/>
      <c r="Q66" s="2533"/>
      <c r="R66" s="2109" t="s">
        <v>669</v>
      </c>
      <c r="S66" s="2533">
        <v>23000</v>
      </c>
      <c r="T66" s="2533"/>
      <c r="U66" s="2533"/>
      <c r="V66" s="2533"/>
      <c r="W66" s="2533"/>
    </row>
    <row r="67" spans="1:23" x14ac:dyDescent="0.35">
      <c r="A67" s="2286"/>
      <c r="B67" s="2284" t="s">
        <v>2836</v>
      </c>
      <c r="C67" s="2285"/>
      <c r="D67" s="2285"/>
      <c r="E67" s="2285"/>
      <c r="F67" s="2285"/>
      <c r="G67" s="2198"/>
      <c r="H67" s="2081"/>
      <c r="I67" s="2081"/>
      <c r="J67" s="2081"/>
      <c r="K67" s="2081"/>
      <c r="L67" s="2081"/>
      <c r="M67" s="2081"/>
      <c r="N67" s="2109" t="s">
        <v>669</v>
      </c>
      <c r="O67" s="2081">
        <v>50700</v>
      </c>
      <c r="P67" s="2081"/>
      <c r="Q67" s="2081"/>
      <c r="R67" s="2081"/>
      <c r="S67" s="2081"/>
      <c r="T67" s="2109" t="s">
        <v>669</v>
      </c>
      <c r="U67" s="2081">
        <f>305000-T8</f>
        <v>67460</v>
      </c>
      <c r="V67" s="2081"/>
      <c r="W67" s="2081"/>
    </row>
    <row r="68" spans="1:23" x14ac:dyDescent="0.35">
      <c r="A68" s="2269"/>
      <c r="B68" s="2270"/>
      <c r="C68" s="2285"/>
      <c r="D68" s="2285"/>
      <c r="E68" s="2285"/>
      <c r="F68" s="2285"/>
      <c r="G68" s="2198"/>
      <c r="H68" s="2084"/>
      <c r="I68" s="2084"/>
      <c r="J68" s="2084"/>
      <c r="K68" s="2084"/>
      <c r="L68" s="2084"/>
      <c r="M68" s="2084"/>
      <c r="N68" s="2084"/>
      <c r="O68" s="2084"/>
      <c r="P68" s="2084"/>
      <c r="Q68" s="2084"/>
      <c r="R68" s="2084"/>
      <c r="S68" s="2084"/>
      <c r="T68" s="2084"/>
      <c r="U68" s="2084"/>
      <c r="V68" s="2084"/>
      <c r="W68" s="2084"/>
    </row>
    <row r="69" spans="1:23" x14ac:dyDescent="0.35">
      <c r="A69" s="3764" t="s">
        <v>724</v>
      </c>
      <c r="B69" s="3765"/>
      <c r="C69" s="12"/>
      <c r="D69" s="12"/>
      <c r="E69" s="12"/>
      <c r="F69" s="12"/>
      <c r="G69" s="13"/>
      <c r="H69" s="21"/>
      <c r="I69" s="21"/>
      <c r="J69" s="21"/>
      <c r="K69" s="21"/>
      <c r="L69" s="21"/>
      <c r="M69" s="21"/>
      <c r="N69" s="21"/>
      <c r="O69" s="21"/>
      <c r="P69" s="21"/>
      <c r="Q69" s="21"/>
      <c r="R69" s="21"/>
      <c r="S69" s="21"/>
      <c r="T69" s="21"/>
      <c r="U69" s="21"/>
      <c r="V69" s="21"/>
      <c r="W69" s="21"/>
    </row>
    <row r="70" spans="1:23" x14ac:dyDescent="0.35">
      <c r="A70" s="2620"/>
      <c r="B70" s="2621"/>
      <c r="C70" s="2617"/>
      <c r="D70" s="2617"/>
      <c r="E70" s="2617"/>
      <c r="F70" s="2617"/>
      <c r="G70" s="2618"/>
      <c r="H70" s="2533"/>
      <c r="I70" s="2533"/>
      <c r="J70" s="2533"/>
      <c r="K70" s="2533"/>
      <c r="L70" s="2533"/>
      <c r="M70" s="2533"/>
      <c r="N70" s="2533"/>
      <c r="O70" s="2533"/>
      <c r="P70" s="2533"/>
      <c r="Q70" s="2533"/>
      <c r="R70" s="2533"/>
      <c r="S70" s="2533"/>
      <c r="T70" s="2533"/>
      <c r="U70" s="2533"/>
      <c r="V70" s="2533"/>
      <c r="W70" s="2533"/>
    </row>
    <row r="71" spans="1:23" x14ac:dyDescent="0.35">
      <c r="A71" s="2269"/>
      <c r="B71" s="2270"/>
      <c r="C71" s="2285"/>
      <c r="D71" s="2285"/>
      <c r="E71" s="2285"/>
      <c r="F71" s="2285"/>
      <c r="G71" s="2198"/>
      <c r="H71" s="2087"/>
      <c r="I71" s="2087"/>
      <c r="J71" s="2087"/>
      <c r="K71" s="2087"/>
      <c r="L71" s="2087"/>
      <c r="M71" s="2087"/>
      <c r="N71" s="2087"/>
      <c r="O71" s="2087"/>
      <c r="P71" s="2087"/>
      <c r="Q71" s="2087"/>
      <c r="R71" s="2087"/>
      <c r="S71" s="2087"/>
      <c r="T71" s="2087"/>
      <c r="U71" s="2087"/>
      <c r="V71" s="2087"/>
      <c r="W71" s="2087"/>
    </row>
    <row r="72" spans="1:23" x14ac:dyDescent="0.35">
      <c r="A72" s="2269"/>
      <c r="B72" s="2270"/>
      <c r="C72" s="2285"/>
      <c r="D72" s="2285"/>
      <c r="E72" s="2285"/>
      <c r="F72" s="2285"/>
      <c r="G72" s="2198"/>
      <c r="H72" s="2087"/>
      <c r="I72" s="2087"/>
      <c r="J72" s="2087"/>
      <c r="K72" s="2087"/>
      <c r="L72" s="2087"/>
      <c r="M72" s="2087"/>
      <c r="N72" s="2087"/>
      <c r="O72" s="2087"/>
      <c r="P72" s="2087"/>
      <c r="Q72" s="2087"/>
      <c r="R72" s="2087"/>
      <c r="S72" s="2087"/>
      <c r="T72" s="2087"/>
      <c r="U72" s="2087"/>
      <c r="V72" s="2087"/>
      <c r="W72" s="2087"/>
    </row>
    <row r="73" spans="1:23" x14ac:dyDescent="0.35">
      <c r="A73" s="3764" t="s">
        <v>725</v>
      </c>
      <c r="B73" s="3765"/>
      <c r="C73" s="12"/>
      <c r="D73" s="12"/>
      <c r="E73" s="12"/>
      <c r="F73" s="12"/>
      <c r="G73" s="13"/>
      <c r="H73" s="21"/>
      <c r="I73" s="21"/>
      <c r="J73" s="21"/>
      <c r="K73" s="21"/>
      <c r="L73" s="21"/>
      <c r="M73" s="21"/>
      <c r="N73" s="21"/>
      <c r="O73" s="21"/>
      <c r="P73" s="21"/>
      <c r="Q73" s="21"/>
      <c r="R73" s="21"/>
      <c r="S73" s="21"/>
      <c r="T73" s="21"/>
      <c r="U73" s="21"/>
      <c r="V73" s="21"/>
      <c r="W73" s="21"/>
    </row>
    <row r="74" spans="1:23" x14ac:dyDescent="0.35">
      <c r="A74" s="2286"/>
      <c r="B74" s="2284" t="s">
        <v>726</v>
      </c>
      <c r="C74" s="2285"/>
      <c r="D74" s="2285"/>
      <c r="E74" s="2285"/>
      <c r="F74" s="2285"/>
      <c r="G74" s="2198"/>
      <c r="H74" s="2087"/>
      <c r="I74" s="2087"/>
      <c r="J74" s="2087"/>
      <c r="K74" s="2087"/>
      <c r="L74" s="2087"/>
      <c r="M74" s="2087"/>
      <c r="N74" s="2087"/>
      <c r="O74" s="2087"/>
      <c r="P74" s="2087"/>
      <c r="Q74" s="2087"/>
      <c r="R74" s="2087"/>
      <c r="S74" s="2087"/>
      <c r="T74" s="2087"/>
      <c r="U74" s="2087"/>
      <c r="V74" s="2087"/>
      <c r="W74" s="2087"/>
    </row>
    <row r="75" spans="1:23" x14ac:dyDescent="0.35">
      <c r="A75" s="2286"/>
      <c r="B75" s="2284" t="s">
        <v>727</v>
      </c>
      <c r="C75" s="2285"/>
      <c r="D75" s="2285"/>
      <c r="E75" s="2285"/>
      <c r="F75" s="2285"/>
      <c r="G75" s="2198"/>
      <c r="H75" s="2087"/>
      <c r="I75" s="2087"/>
      <c r="J75" s="2087"/>
      <c r="K75" s="2087"/>
      <c r="L75" s="2087"/>
      <c r="M75" s="2087"/>
      <c r="N75" s="2087"/>
      <c r="O75" s="2087"/>
      <c r="P75" s="2087"/>
      <c r="Q75" s="2087"/>
      <c r="R75" s="2087"/>
      <c r="S75" s="2087"/>
      <c r="T75" s="2087"/>
      <c r="U75" s="2087"/>
      <c r="V75" s="2087"/>
      <c r="W75" s="2087"/>
    </row>
    <row r="76" spans="1:23" x14ac:dyDescent="0.35">
      <c r="A76" s="2286"/>
      <c r="B76" s="2284" t="s">
        <v>728</v>
      </c>
      <c r="C76" s="2285"/>
      <c r="D76" s="2285"/>
      <c r="E76" s="2285"/>
      <c r="F76" s="2285"/>
      <c r="G76" s="2198"/>
      <c r="H76" s="2087"/>
      <c r="I76" s="2087"/>
      <c r="J76" s="2087"/>
      <c r="K76" s="2087"/>
      <c r="L76" s="2087"/>
      <c r="M76" s="2087"/>
      <c r="N76" s="2087"/>
      <c r="O76" s="2087"/>
      <c r="P76" s="2087"/>
      <c r="Q76" s="2087"/>
      <c r="R76" s="2087"/>
      <c r="S76" s="2087"/>
      <c r="T76" s="2087"/>
      <c r="U76" s="2087"/>
      <c r="V76" s="2087"/>
      <c r="W76" s="2087"/>
    </row>
    <row r="77" spans="1:23" x14ac:dyDescent="0.35">
      <c r="A77" s="2286"/>
      <c r="B77" s="2284" t="s">
        <v>729</v>
      </c>
      <c r="C77" s="2285"/>
      <c r="D77" s="2285"/>
      <c r="E77" s="2285"/>
      <c r="F77" s="2285"/>
      <c r="G77" s="2198"/>
      <c r="H77" s="2087"/>
      <c r="I77" s="2087"/>
      <c r="J77" s="2087"/>
      <c r="K77" s="2087"/>
      <c r="L77" s="2087"/>
      <c r="M77" s="2087"/>
      <c r="N77" s="2087"/>
      <c r="O77" s="2087"/>
      <c r="P77" s="2087"/>
      <c r="Q77" s="2087"/>
      <c r="R77" s="2087"/>
      <c r="S77" s="2087"/>
      <c r="T77" s="2087"/>
      <c r="U77" s="2087"/>
      <c r="V77" s="2087"/>
      <c r="W77" s="2087"/>
    </row>
    <row r="78" spans="1:23" x14ac:dyDescent="0.35">
      <c r="A78" s="978"/>
      <c r="B78" s="939"/>
      <c r="C78" s="940"/>
      <c r="D78" s="940"/>
      <c r="E78" s="940"/>
      <c r="F78" s="940"/>
      <c r="G78" s="1039"/>
      <c r="H78" s="981"/>
      <c r="I78" s="981"/>
      <c r="J78" s="981"/>
      <c r="K78" s="981"/>
      <c r="L78" s="981"/>
      <c r="M78" s="981"/>
      <c r="N78" s="981"/>
      <c r="O78" s="981"/>
      <c r="P78" s="981"/>
      <c r="Q78" s="981"/>
      <c r="R78" s="981"/>
      <c r="S78" s="981"/>
      <c r="T78" s="981"/>
      <c r="U78" s="981"/>
      <c r="V78" s="981"/>
      <c r="W78" s="981"/>
    </row>
    <row r="79" spans="1:23" x14ac:dyDescent="0.35">
      <c r="A79" s="7" t="s">
        <v>730</v>
      </c>
      <c r="B79" s="8"/>
      <c r="C79" s="12"/>
      <c r="D79" s="12"/>
      <c r="E79" s="12"/>
      <c r="F79" s="12"/>
      <c r="G79" s="13"/>
      <c r="H79" s="21"/>
      <c r="I79" s="21"/>
      <c r="J79" s="21"/>
      <c r="K79" s="21"/>
      <c r="L79" s="21"/>
      <c r="M79" s="21"/>
      <c r="N79" s="21"/>
      <c r="O79" s="21"/>
      <c r="P79" s="21"/>
      <c r="Q79" s="21"/>
      <c r="R79" s="21"/>
      <c r="S79" s="21"/>
      <c r="T79" s="21"/>
      <c r="U79" s="21"/>
      <c r="V79" s="21"/>
      <c r="W79" s="21"/>
    </row>
    <row r="80" spans="1:23" x14ac:dyDescent="0.35">
      <c r="A80" s="2616"/>
      <c r="B80" s="2622" t="s">
        <v>731</v>
      </c>
      <c r="C80" s="2617"/>
      <c r="D80" s="2617"/>
      <c r="E80" s="2617"/>
      <c r="F80" s="2617"/>
      <c r="G80" s="2618"/>
      <c r="H80" s="2546"/>
      <c r="I80" s="2546"/>
      <c r="J80" s="2546"/>
      <c r="K80" s="2546"/>
      <c r="L80" s="2546"/>
      <c r="M80" s="2546"/>
      <c r="N80" s="2546"/>
      <c r="O80" s="2546"/>
      <c r="P80" s="2546"/>
      <c r="Q80" s="2546"/>
      <c r="R80" s="2546"/>
      <c r="S80" s="2546"/>
      <c r="T80" s="2546"/>
      <c r="U80" s="2546"/>
      <c r="V80" s="2546"/>
      <c r="W80" s="2546"/>
    </row>
    <row r="81" spans="1:23" x14ac:dyDescent="0.35">
      <c r="A81" s="2286"/>
      <c r="B81" s="2284" t="s">
        <v>732</v>
      </c>
      <c r="C81" s="2285"/>
      <c r="D81" s="2285"/>
      <c r="E81" s="2285"/>
      <c r="F81" s="2285"/>
      <c r="G81" s="2198"/>
      <c r="H81" s="2158"/>
      <c r="I81" s="2158"/>
      <c r="J81" s="2158"/>
      <c r="K81" s="2158"/>
      <c r="L81" s="2158"/>
      <c r="M81" s="2158"/>
      <c r="N81" s="2158"/>
      <c r="O81" s="2158"/>
      <c r="P81" s="2158"/>
      <c r="Q81" s="2158"/>
      <c r="R81" s="2158"/>
      <c r="S81" s="2158"/>
      <c r="T81" s="2158"/>
      <c r="U81" s="2158"/>
      <c r="V81" s="2158"/>
      <c r="W81" s="2158"/>
    </row>
    <row r="82" spans="1:23" x14ac:dyDescent="0.35">
      <c r="A82" s="2089"/>
      <c r="B82" s="2090" t="s">
        <v>733</v>
      </c>
      <c r="C82" s="2091"/>
      <c r="D82" s="2091"/>
      <c r="E82" s="2091"/>
      <c r="F82" s="2091"/>
      <c r="G82" s="2092"/>
      <c r="H82" s="2093"/>
      <c r="I82" s="2093"/>
      <c r="J82" s="2093"/>
      <c r="K82" s="2093"/>
      <c r="L82" s="2093"/>
      <c r="M82" s="2093"/>
      <c r="N82" s="2093"/>
      <c r="O82" s="2093"/>
      <c r="P82" s="2093"/>
      <c r="Q82" s="2093"/>
      <c r="R82" s="2093"/>
      <c r="S82" s="2093"/>
      <c r="T82" s="2093"/>
      <c r="U82" s="2093"/>
      <c r="V82" s="2093"/>
      <c r="W82" s="2093"/>
    </row>
    <row r="84" spans="1:23" x14ac:dyDescent="0.35">
      <c r="A84" s="78" t="s">
        <v>734</v>
      </c>
      <c r="B84" s="80"/>
    </row>
    <row r="85" spans="1:23" x14ac:dyDescent="0.35">
      <c r="A85" s="79" t="s">
        <v>632</v>
      </c>
      <c r="B85" s="2094" t="str">
        <f>H4</f>
        <v>Florida Blinds</v>
      </c>
    </row>
    <row r="86" spans="1:23" x14ac:dyDescent="0.35">
      <c r="A86" s="2279" t="s">
        <v>636</v>
      </c>
      <c r="B86" s="2094" t="str">
        <f>H5</f>
        <v>Michael thomas</v>
      </c>
    </row>
    <row r="87" spans="1:23" x14ac:dyDescent="0.35">
      <c r="A87" s="2096" t="s">
        <v>639</v>
      </c>
      <c r="B87" s="2097" t="str">
        <f>H6</f>
        <v xml:space="preserve">321-558-8870 </v>
      </c>
    </row>
    <row r="88" spans="1:23" x14ac:dyDescent="0.35">
      <c r="A88" s="2096" t="s">
        <v>642</v>
      </c>
      <c r="B88" s="2159" t="str">
        <f>H7</f>
        <v xml:space="preserve"> mthomas@floridablindscontractors.com</v>
      </c>
    </row>
    <row r="89" spans="1:23" x14ac:dyDescent="0.35">
      <c r="A89" s="2099" t="s">
        <v>735</v>
      </c>
      <c r="B89" s="2460">
        <f>H8</f>
        <v>102000</v>
      </c>
      <c r="C89" s="326"/>
    </row>
    <row r="91" spans="1:23" x14ac:dyDescent="0.35">
      <c r="A91" s="81"/>
      <c r="B91" s="1" t="s">
        <v>736</v>
      </c>
    </row>
    <row r="92" spans="1:23" x14ac:dyDescent="0.35">
      <c r="A92" s="82"/>
      <c r="B92" s="1" t="s">
        <v>737</v>
      </c>
    </row>
  </sheetData>
  <mergeCells count="62">
    <mergeCell ref="P8:Q8"/>
    <mergeCell ref="H1:I1"/>
    <mergeCell ref="A57:B57"/>
    <mergeCell ref="A61:B61"/>
    <mergeCell ref="A65:B65"/>
    <mergeCell ref="P7:Q7"/>
    <mergeCell ref="A69:B69"/>
    <mergeCell ref="A73:B73"/>
    <mergeCell ref="V8:W8"/>
    <mergeCell ref="N7:O7"/>
    <mergeCell ref="R7:S7"/>
    <mergeCell ref="H7:I7"/>
    <mergeCell ref="J7:K7"/>
    <mergeCell ref="T7:U7"/>
    <mergeCell ref="V7:W7"/>
    <mergeCell ref="N8:O8"/>
    <mergeCell ref="R8:S8"/>
    <mergeCell ref="H8:I8"/>
    <mergeCell ref="J8:K8"/>
    <mergeCell ref="T8:U8"/>
    <mergeCell ref="L7:M7"/>
    <mergeCell ref="L8:M8"/>
    <mergeCell ref="V6:W6"/>
    <mergeCell ref="N5:O5"/>
    <mergeCell ref="R5:S5"/>
    <mergeCell ref="H5:I5"/>
    <mergeCell ref="J5:K5"/>
    <mergeCell ref="T5:U5"/>
    <mergeCell ref="V5:W5"/>
    <mergeCell ref="N6:O6"/>
    <mergeCell ref="R6:S6"/>
    <mergeCell ref="H6:I6"/>
    <mergeCell ref="J6:K6"/>
    <mergeCell ref="T6:U6"/>
    <mergeCell ref="L5:M5"/>
    <mergeCell ref="L6:M6"/>
    <mergeCell ref="P5:Q5"/>
    <mergeCell ref="P6:Q6"/>
    <mergeCell ref="V4:W4"/>
    <mergeCell ref="N3:O3"/>
    <mergeCell ref="R3:S3"/>
    <mergeCell ref="H3:I3"/>
    <mergeCell ref="J3:K3"/>
    <mergeCell ref="T3:U3"/>
    <mergeCell ref="V3:W3"/>
    <mergeCell ref="N4:O4"/>
    <mergeCell ref="R4:S4"/>
    <mergeCell ref="H4:I4"/>
    <mergeCell ref="J4:K4"/>
    <mergeCell ref="T4:U4"/>
    <mergeCell ref="L3:M3"/>
    <mergeCell ref="L4:M4"/>
    <mergeCell ref="P3:Q3"/>
    <mergeCell ref="P4:Q4"/>
    <mergeCell ref="V2:W2"/>
    <mergeCell ref="N2:O2"/>
    <mergeCell ref="R2:S2"/>
    <mergeCell ref="H2:I2"/>
    <mergeCell ref="J2:K2"/>
    <mergeCell ref="T2:U2"/>
    <mergeCell ref="L2:M2"/>
    <mergeCell ref="P2:Q2"/>
  </mergeCells>
  <conditionalFormatting sqref="H20:H33">
    <cfRule type="cellIs" dxfId="1017" priority="37" operator="equal">
      <formula>"X"</formula>
    </cfRule>
    <cfRule type="cellIs" dxfId="1016" priority="38" operator="equal">
      <formula>"I"</formula>
    </cfRule>
  </conditionalFormatting>
  <conditionalFormatting sqref="H35:H48">
    <cfRule type="cellIs" dxfId="1015" priority="39" operator="equal">
      <formula>"X"</formula>
    </cfRule>
    <cfRule type="cellIs" dxfId="1014" priority="40" operator="equal">
      <formula>"I"</formula>
    </cfRule>
  </conditionalFormatting>
  <conditionalFormatting sqref="H66">
    <cfRule type="cellIs" dxfId="1013" priority="35" operator="equal">
      <formula>"X"</formula>
    </cfRule>
    <cfRule type="cellIs" dxfId="1012" priority="36" operator="equal">
      <formula>"I"</formula>
    </cfRule>
  </conditionalFormatting>
  <conditionalFormatting sqref="J20:J33">
    <cfRule type="cellIs" dxfId="1011" priority="33" operator="equal">
      <formula>"X"</formula>
    </cfRule>
    <cfRule type="cellIs" dxfId="1010" priority="34" operator="equal">
      <formula>"I"</formula>
    </cfRule>
  </conditionalFormatting>
  <conditionalFormatting sqref="J35:J48">
    <cfRule type="cellIs" dxfId="1009" priority="29" operator="equal">
      <formula>"X"</formula>
    </cfRule>
    <cfRule type="cellIs" dxfId="1008" priority="30" operator="equal">
      <formula>"I"</formula>
    </cfRule>
  </conditionalFormatting>
  <conditionalFormatting sqref="L20:L33">
    <cfRule type="cellIs" dxfId="1007" priority="9" operator="equal">
      <formula>"X"</formula>
    </cfRule>
    <cfRule type="cellIs" dxfId="1006" priority="10" operator="equal">
      <formula>"I"</formula>
    </cfRule>
  </conditionalFormatting>
  <conditionalFormatting sqref="L35:L48">
    <cfRule type="cellIs" dxfId="1005" priority="7" operator="equal">
      <formula>"X"</formula>
    </cfRule>
    <cfRule type="cellIs" dxfId="1004" priority="8" operator="equal">
      <formula>"I"</formula>
    </cfRule>
  </conditionalFormatting>
  <conditionalFormatting sqref="N20:N33">
    <cfRule type="cellIs" dxfId="1003" priority="55" operator="equal">
      <formula>"X"</formula>
    </cfRule>
    <cfRule type="cellIs" dxfId="1002" priority="56" operator="equal">
      <formula>"I"</formula>
    </cfRule>
  </conditionalFormatting>
  <conditionalFormatting sqref="N35:N48">
    <cfRule type="cellIs" dxfId="1001" priority="57" operator="equal">
      <formula>"X"</formula>
    </cfRule>
    <cfRule type="cellIs" dxfId="1000" priority="58" operator="equal">
      <formula>"I"</formula>
    </cfRule>
  </conditionalFormatting>
  <conditionalFormatting sqref="N67">
    <cfRule type="cellIs" dxfId="999" priority="43" operator="equal">
      <formula>"X"</formula>
    </cfRule>
    <cfRule type="cellIs" dxfId="998" priority="44" operator="equal">
      <formula>"I"</formula>
    </cfRule>
  </conditionalFormatting>
  <conditionalFormatting sqref="P20:P33">
    <cfRule type="cellIs" dxfId="997" priority="5" operator="equal">
      <formula>"X"</formula>
    </cfRule>
    <cfRule type="cellIs" dxfId="996" priority="6" operator="equal">
      <formula>"I"</formula>
    </cfRule>
  </conditionalFormatting>
  <conditionalFormatting sqref="P35:P48">
    <cfRule type="cellIs" dxfId="995" priority="3" operator="equal">
      <formula>"X"</formula>
    </cfRule>
    <cfRule type="cellIs" dxfId="994" priority="4" operator="equal">
      <formula>"I"</formula>
    </cfRule>
  </conditionalFormatting>
  <conditionalFormatting sqref="R20:R33">
    <cfRule type="cellIs" dxfId="993" priority="53" operator="equal">
      <formula>"X"</formula>
    </cfRule>
    <cfRule type="cellIs" dxfId="992" priority="54" operator="equal">
      <formula>"I"</formula>
    </cfRule>
  </conditionalFormatting>
  <conditionalFormatting sqref="R35:R48">
    <cfRule type="cellIs" dxfId="991" priority="49" operator="equal">
      <formula>"X"</formula>
    </cfRule>
    <cfRule type="cellIs" dxfId="990" priority="50" operator="equal">
      <formula>"I"</formula>
    </cfRule>
  </conditionalFormatting>
  <conditionalFormatting sqref="R66">
    <cfRule type="cellIs" dxfId="989" priority="45" operator="equal">
      <formula>"X"</formula>
    </cfRule>
    <cfRule type="cellIs" dxfId="988" priority="46" operator="equal">
      <formula>"I"</formula>
    </cfRule>
  </conditionalFormatting>
  <conditionalFormatting sqref="T20:T33">
    <cfRule type="cellIs" dxfId="987" priority="21" operator="equal">
      <formula>"X"</formula>
    </cfRule>
    <cfRule type="cellIs" dxfId="986" priority="22" operator="equal">
      <formula>"I"</formula>
    </cfRule>
  </conditionalFormatting>
  <conditionalFormatting sqref="T35:T48">
    <cfRule type="cellIs" dxfId="985" priority="23" operator="equal">
      <formula>"X"</formula>
    </cfRule>
    <cfRule type="cellIs" dxfId="984" priority="24" operator="equal">
      <formula>"I"</formula>
    </cfRule>
  </conditionalFormatting>
  <conditionalFormatting sqref="T67">
    <cfRule type="cellIs" dxfId="983" priority="19" operator="equal">
      <formula>"X"</formula>
    </cfRule>
    <cfRule type="cellIs" dxfId="982" priority="20" operator="equal">
      <formula>"I"</formula>
    </cfRule>
  </conditionalFormatting>
  <conditionalFormatting sqref="V20:V33">
    <cfRule type="cellIs" dxfId="981" priority="1" operator="equal">
      <formula>"X"</formula>
    </cfRule>
    <cfRule type="cellIs" dxfId="980" priority="2" operator="equal">
      <formula>"I"</formula>
    </cfRule>
  </conditionalFormatting>
  <conditionalFormatting sqref="V35:V48">
    <cfRule type="cellIs" dxfId="979" priority="15" operator="equal">
      <formula>"X"</formula>
    </cfRule>
    <cfRule type="cellIs" dxfId="978" priority="16" operator="equal">
      <formula>"I"</formula>
    </cfRule>
  </conditionalFormatting>
  <hyperlinks>
    <hyperlink ref="B3" location="'Cost Summary'!A1" display="BACK TO SUMMARY SHEET" xr:uid="{8135DB78-2858-431C-912B-06707BA9A8AD}"/>
    <hyperlink ref="R7:S7" r:id="rId1" display="jeff.thomas@truteam.com" xr:uid="{EF5CC1AE-6605-4035-9FD8-6D42C38A4B41}"/>
    <hyperlink ref="L7:M7" r:id="rId2" display="cdi@contract-decor.com&gt;" xr:uid="{F6EE71C1-EF76-4565-938E-07C9868B0CC1}"/>
    <hyperlink ref="P7:Q7" r:id="rId3" display="Michael@nationalkb.com" xr:uid="{6CBB70CE-FBE5-4813-96D8-A9D172029CD3}"/>
    <hyperlink ref="T7:U7" r:id="rId4" display="&lt;nswcorp@aol.com&gt;" xr:uid="{A08273A7-5B2C-428E-A960-9FA4F72A582E}"/>
    <hyperlink ref="V7:W7" r:id="rId5" display="&lt;estimating@fvicorporation.com&gt;" xr:uid="{BBC60E4B-8788-4A3B-A729-7FCDC286B711}"/>
  </hyperlinks>
  <pageMargins left="0.7" right="0.7" top="0.75" bottom="0.75" header="0.3" footer="0.3"/>
  <pageSetup orientation="portrait" r:id="rId6"/>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CADF-49D4-4270-8D81-1E65C2F61EFC}">
  <sheetPr>
    <tabColor rgb="FFFFC000"/>
  </sheetPr>
  <dimension ref="A1:BE108"/>
  <sheetViews>
    <sheetView zoomScale="85" zoomScaleNormal="85" workbookViewId="0">
      <pane xSplit="2" ySplit="9" topLeftCell="C20" activePane="bottomRight" state="frozen"/>
      <selection pane="topRight" activeCell="C1" sqref="C1"/>
      <selection pane="bottomLeft" activeCell="A10" sqref="A10"/>
      <selection pane="bottomRight" activeCell="O64" sqref="O64"/>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hidden="1" customWidth="1"/>
    <col min="9" max="9" width="15.54296875" style="2" hidden="1" customWidth="1"/>
    <col min="10" max="10" width="7.453125" style="2" customWidth="1"/>
    <col min="11" max="11" width="14.81640625" style="2" customWidth="1"/>
    <col min="12" max="12" width="6.54296875" style="2" hidden="1" customWidth="1"/>
    <col min="13" max="13" width="15.54296875" style="2" hidden="1" customWidth="1"/>
    <col min="14" max="14" width="6.54296875" style="2" customWidth="1"/>
    <col min="15" max="15" width="15.54296875" style="2" customWidth="1"/>
    <col min="16" max="16" width="6.7265625" style="2" customWidth="1"/>
    <col min="17" max="17" width="14.81640625" style="2" customWidth="1"/>
    <col min="18" max="18" width="6.54296875" style="2" customWidth="1"/>
    <col min="19" max="19" width="16.26953125" style="2" customWidth="1"/>
    <col min="20" max="20" width="6" style="2" customWidth="1"/>
    <col min="21" max="21" width="15.54296875" style="2" customWidth="1"/>
    <col min="22" max="22" width="8.81640625" style="2" customWidth="1"/>
    <col min="23" max="23" width="15.7265625" style="2" customWidth="1"/>
    <col min="24" max="24" width="6.54296875" style="2" customWidth="1"/>
    <col min="25" max="25" width="12.453125" style="2" customWidth="1"/>
    <col min="26" max="26" width="6.81640625" style="2" customWidth="1"/>
    <col min="27" max="27" width="16.26953125" style="2" customWidth="1"/>
    <col min="28" max="28" width="6" style="2" customWidth="1"/>
    <col min="29" max="29" width="15.54296875" style="2" customWidth="1"/>
    <col min="30" max="30" width="6.7265625" style="2" hidden="1" customWidth="1"/>
    <col min="31" max="31" width="14.81640625" style="2" hidden="1" customWidth="1"/>
    <col min="32" max="32" width="6.81640625" style="2" hidden="1" customWidth="1"/>
    <col min="33" max="33" width="16.26953125" style="2" hidden="1" customWidth="1"/>
    <col min="34" max="34" width="7.453125" style="2" hidden="1" customWidth="1"/>
    <col min="35" max="35" width="14.81640625" style="2" hidden="1" customWidth="1"/>
    <col min="36" max="36" width="7.453125" style="2" hidden="1" customWidth="1"/>
    <col min="37" max="37" width="3.54296875" style="2" hidden="1" customWidth="1"/>
    <col min="38" max="38" width="9.1796875" customWidth="1"/>
    <col min="39" max="39" width="15.7265625" customWidth="1"/>
    <col min="40" max="40" width="9.1796875" customWidth="1"/>
    <col min="41" max="41" width="15.7265625" customWidth="1"/>
    <col min="42" max="42" width="9.1796875" style="2" customWidth="1"/>
    <col min="43" max="43" width="14.81640625" style="2" customWidth="1"/>
    <col min="44" max="44" width="6.81640625" style="2" customWidth="1"/>
    <col min="45" max="45" width="16.26953125" style="2" customWidth="1"/>
    <col min="46" max="46" width="7.26953125" style="2" customWidth="1"/>
    <col min="47" max="47" width="14.81640625" style="2" customWidth="1"/>
    <col min="48" max="48" width="7.453125" style="2" customWidth="1"/>
    <col min="49" max="49" width="14.81640625" style="2" customWidth="1"/>
    <col min="50" max="50" width="6.54296875" style="2" customWidth="1"/>
    <col min="51" max="51" width="16.26953125" style="2" customWidth="1"/>
    <col min="52" max="52" width="7.453125" style="2" customWidth="1"/>
    <col min="53" max="53" width="14.81640625" style="2" customWidth="1"/>
    <col min="54" max="54" width="9.26953125" style="2" customWidth="1"/>
    <col min="55" max="55" width="14.81640625" style="2" customWidth="1"/>
    <col min="56" max="56" width="9.1796875" customWidth="1"/>
    <col min="57" max="57" width="15.7265625" customWidth="1"/>
  </cols>
  <sheetData>
    <row r="1" spans="1:57" x14ac:dyDescent="0.35">
      <c r="E1" s="152"/>
      <c r="F1" s="125"/>
      <c r="G1" s="123" t="s">
        <v>621</v>
      </c>
      <c r="J1" s="3785" t="s">
        <v>2837</v>
      </c>
      <c r="K1" s="3785"/>
      <c r="L1" s="3785" t="s">
        <v>2838</v>
      </c>
      <c r="M1" s="3785"/>
      <c r="N1" s="3785" t="s">
        <v>2838</v>
      </c>
      <c r="O1" s="3785"/>
      <c r="P1" s="3785" t="s">
        <v>2838</v>
      </c>
      <c r="Q1" s="3785"/>
      <c r="V1" s="3784"/>
      <c r="W1" s="3784"/>
      <c r="Z1" s="3784"/>
      <c r="AA1" s="3784"/>
      <c r="AD1" s="3785"/>
      <c r="AE1" s="3785"/>
      <c r="AF1" s="3784"/>
      <c r="AG1" s="3784"/>
      <c r="AH1" s="3785"/>
      <c r="AI1" s="3785"/>
      <c r="AJ1" s="3785"/>
      <c r="AK1" s="3785"/>
      <c r="AL1" s="3785"/>
      <c r="AM1" s="3785"/>
      <c r="AN1" s="3785"/>
      <c r="AO1" s="3785"/>
      <c r="AP1" s="3785"/>
      <c r="AQ1" s="3785"/>
      <c r="AR1" s="3784" t="s">
        <v>2839</v>
      </c>
      <c r="AS1" s="3784"/>
      <c r="AT1" s="3785"/>
      <c r="AU1" s="3785"/>
      <c r="AV1" s="130"/>
      <c r="AW1" s="130"/>
      <c r="AZ1" s="3785"/>
      <c r="BA1" s="3785"/>
      <c r="BB1" s="3785"/>
      <c r="BC1" s="3785"/>
      <c r="BD1" s="3785"/>
      <c r="BE1" s="3785"/>
    </row>
    <row r="2" spans="1:57" x14ac:dyDescent="0.35">
      <c r="E2" s="152"/>
      <c r="F2" s="122" t="s">
        <v>622</v>
      </c>
      <c r="G2" s="123" t="s">
        <v>451</v>
      </c>
      <c r="I2" s="2" t="s">
        <v>1141</v>
      </c>
      <c r="J2" s="3751" t="s">
        <v>2840</v>
      </c>
      <c r="K2" s="3751"/>
      <c r="L2" s="3751" t="s">
        <v>2841</v>
      </c>
      <c r="M2" s="3751"/>
      <c r="N2" s="3751" t="s">
        <v>984</v>
      </c>
      <c r="O2" s="3751"/>
      <c r="P2" s="3751" t="s">
        <v>2841</v>
      </c>
      <c r="Q2" s="3751"/>
      <c r="R2" s="3751" t="s">
        <v>1173</v>
      </c>
      <c r="S2" s="3751"/>
      <c r="T2" s="3751" t="s">
        <v>2842</v>
      </c>
      <c r="U2" s="3751"/>
      <c r="V2" s="3964" t="s">
        <v>2843</v>
      </c>
      <c r="W2" s="3785"/>
      <c r="Z2" s="3751" t="s">
        <v>2844</v>
      </c>
      <c r="AA2" s="3751"/>
      <c r="AB2" s="3751" t="s">
        <v>2845</v>
      </c>
      <c r="AC2" s="3751"/>
      <c r="AD2" s="3751"/>
      <c r="AE2" s="3751"/>
      <c r="AF2" s="3965"/>
      <c r="AG2" s="3784"/>
      <c r="AH2" s="3751" t="s">
        <v>2846</v>
      </c>
      <c r="AI2" s="3751"/>
      <c r="AJ2" s="3751" t="s">
        <v>2843</v>
      </c>
      <c r="AK2" s="3751"/>
      <c r="AL2" s="3751"/>
      <c r="AM2" s="3751"/>
      <c r="AN2" s="3751"/>
      <c r="AO2" s="3751"/>
      <c r="AP2" s="3785"/>
      <c r="AQ2" s="3785"/>
      <c r="AT2" s="3946"/>
      <c r="AU2" s="3751"/>
      <c r="AV2" s="130"/>
      <c r="AW2" s="130"/>
      <c r="AX2" s="3751"/>
      <c r="AY2" s="3751"/>
      <c r="AZ2" s="3751" t="s">
        <v>2847</v>
      </c>
      <c r="BA2" s="3751"/>
      <c r="BB2" s="3751" t="s">
        <v>2847</v>
      </c>
      <c r="BC2" s="3751"/>
      <c r="BD2" s="3751" t="s">
        <v>1064</v>
      </c>
      <c r="BE2" s="3751"/>
    </row>
    <row r="3" spans="1:57" ht="19.5" x14ac:dyDescent="0.35">
      <c r="B3" s="137" t="s">
        <v>623</v>
      </c>
      <c r="E3" s="152"/>
      <c r="F3" s="124" t="s">
        <v>624</v>
      </c>
      <c r="G3" s="123" t="s">
        <v>557</v>
      </c>
      <c r="H3" s="3778" t="s">
        <v>625</v>
      </c>
      <c r="I3" s="3779"/>
      <c r="J3" s="3778" t="s">
        <v>625</v>
      </c>
      <c r="K3" s="3779"/>
      <c r="L3" s="3778" t="s">
        <v>626</v>
      </c>
      <c r="M3" s="3779"/>
      <c r="N3" s="3778" t="s">
        <v>626</v>
      </c>
      <c r="O3" s="3779"/>
      <c r="P3" s="3778" t="s">
        <v>627</v>
      </c>
      <c r="Q3" s="3779"/>
      <c r="R3" s="3754" t="s">
        <v>628</v>
      </c>
      <c r="S3" s="3755"/>
      <c r="T3" s="3754" t="s">
        <v>772</v>
      </c>
      <c r="U3" s="3755"/>
      <c r="V3" s="3754" t="s">
        <v>773</v>
      </c>
      <c r="W3" s="3755"/>
      <c r="X3" s="3754" t="s">
        <v>1550</v>
      </c>
      <c r="Y3" s="3755"/>
      <c r="Z3" s="3754" t="s">
        <v>1678</v>
      </c>
      <c r="AA3" s="3755"/>
      <c r="AB3" s="3797" t="s">
        <v>1799</v>
      </c>
      <c r="AC3" s="3798"/>
      <c r="AD3" s="3754" t="s">
        <v>628</v>
      </c>
      <c r="AE3" s="3755"/>
      <c r="AF3" s="3754" t="s">
        <v>627</v>
      </c>
      <c r="AG3" s="3755"/>
      <c r="AH3" s="3754" t="s">
        <v>773</v>
      </c>
      <c r="AI3" s="3755"/>
      <c r="AJ3" s="3754" t="s">
        <v>773</v>
      </c>
      <c r="AK3" s="3755"/>
      <c r="AL3" s="3754" t="s">
        <v>2045</v>
      </c>
      <c r="AM3" s="3755"/>
      <c r="AN3" s="3754" t="s">
        <v>2045</v>
      </c>
      <c r="AO3" s="3755"/>
      <c r="AP3" s="3754" t="s">
        <v>2848</v>
      </c>
      <c r="AQ3" s="3755"/>
      <c r="AR3" s="3754" t="s">
        <v>2849</v>
      </c>
      <c r="AS3" s="3755"/>
      <c r="AT3" s="3754" t="s">
        <v>2850</v>
      </c>
      <c r="AU3" s="3755"/>
      <c r="AV3" s="3754" t="s">
        <v>2851</v>
      </c>
      <c r="AW3" s="3755"/>
      <c r="AX3" s="3754" t="s">
        <v>2852</v>
      </c>
      <c r="AY3" s="3755"/>
      <c r="AZ3" s="3754" t="s">
        <v>2853</v>
      </c>
      <c r="BA3" s="3755"/>
      <c r="BB3" s="3754" t="s">
        <v>2854</v>
      </c>
      <c r="BC3" s="3755"/>
      <c r="BD3" s="3754" t="s">
        <v>2855</v>
      </c>
      <c r="BE3" s="3755"/>
    </row>
    <row r="4" spans="1:57" x14ac:dyDescent="0.35">
      <c r="A4" s="3" t="s">
        <v>631</v>
      </c>
      <c r="B4" s="4" t="str">
        <f>'AREA CALC''s'!B4</f>
        <v>Alton Hilltop Gardens</v>
      </c>
      <c r="C4" s="5"/>
      <c r="D4" s="5"/>
      <c r="E4" s="5"/>
      <c r="F4" s="5"/>
      <c r="G4" s="6" t="s">
        <v>632</v>
      </c>
      <c r="H4" s="3898" t="s">
        <v>2856</v>
      </c>
      <c r="I4" s="3898"/>
      <c r="J4" s="3898" t="s">
        <v>2857</v>
      </c>
      <c r="K4" s="3898"/>
      <c r="L4" s="3898" t="s">
        <v>2858</v>
      </c>
      <c r="M4" s="3898"/>
      <c r="N4" s="3898" t="s">
        <v>2859</v>
      </c>
      <c r="O4" s="3898"/>
      <c r="P4" s="3898" t="s">
        <v>2860</v>
      </c>
      <c r="Q4" s="3898"/>
      <c r="R4" s="3898" t="s">
        <v>2861</v>
      </c>
      <c r="S4" s="3898"/>
      <c r="T4" s="3898" t="s">
        <v>2197</v>
      </c>
      <c r="U4" s="3898"/>
      <c r="V4" s="3898" t="s">
        <v>2862</v>
      </c>
      <c r="W4" s="3898"/>
      <c r="X4" s="3898" t="s">
        <v>2395</v>
      </c>
      <c r="Y4" s="3898"/>
      <c r="Z4" s="3898" t="s">
        <v>2863</v>
      </c>
      <c r="AA4" s="3898"/>
      <c r="AB4" s="3898" t="s">
        <v>2856</v>
      </c>
      <c r="AC4" s="3898"/>
      <c r="AD4" s="3898" t="s">
        <v>2860</v>
      </c>
      <c r="AE4" s="3898"/>
      <c r="AF4" s="3898" t="s">
        <v>2862</v>
      </c>
      <c r="AG4" s="3898"/>
      <c r="AH4" s="3898" t="s">
        <v>2857</v>
      </c>
      <c r="AI4" s="3898"/>
      <c r="AJ4" s="3898" t="s">
        <v>2857</v>
      </c>
      <c r="AK4" s="3898"/>
      <c r="AL4" s="3898" t="s">
        <v>2864</v>
      </c>
      <c r="AM4" s="3898"/>
      <c r="AN4" s="3898" t="s">
        <v>2865</v>
      </c>
      <c r="AO4" s="3898"/>
      <c r="AP4" s="3898" t="s">
        <v>2866</v>
      </c>
      <c r="AQ4" s="3898"/>
      <c r="AR4" s="3898" t="s">
        <v>2867</v>
      </c>
      <c r="AS4" s="3898"/>
      <c r="AT4" s="3898" t="s">
        <v>2868</v>
      </c>
      <c r="AU4" s="3898"/>
      <c r="AV4" s="3898" t="s">
        <v>2199</v>
      </c>
      <c r="AW4" s="3898"/>
      <c r="AX4" s="3898" t="s">
        <v>2869</v>
      </c>
      <c r="AY4" s="3898"/>
      <c r="AZ4" s="3796" t="s">
        <v>2870</v>
      </c>
      <c r="BA4" s="3753"/>
      <c r="BB4" s="3898" t="s">
        <v>2871</v>
      </c>
      <c r="BC4" s="3898"/>
      <c r="BD4" s="3898" t="s">
        <v>2872</v>
      </c>
      <c r="BE4" s="3898"/>
    </row>
    <row r="5" spans="1:57" x14ac:dyDescent="0.35">
      <c r="A5" s="2283" t="s">
        <v>634</v>
      </c>
      <c r="B5" s="2284" t="s">
        <v>531</v>
      </c>
      <c r="C5" s="2285"/>
      <c r="D5" s="2285"/>
      <c r="E5" s="2285"/>
      <c r="F5" s="2285"/>
      <c r="G5" s="2194" t="s">
        <v>636</v>
      </c>
      <c r="H5" s="3950" t="s">
        <v>2873</v>
      </c>
      <c r="I5" s="3950"/>
      <c r="J5" s="3950" t="s">
        <v>2874</v>
      </c>
      <c r="K5" s="3950"/>
      <c r="L5" s="3950" t="s">
        <v>2873</v>
      </c>
      <c r="M5" s="3950"/>
      <c r="N5" s="3950" t="s">
        <v>2873</v>
      </c>
      <c r="O5" s="3950"/>
      <c r="P5" s="3950" t="s">
        <v>2875</v>
      </c>
      <c r="Q5" s="3950"/>
      <c r="R5" s="3950" t="s">
        <v>2876</v>
      </c>
      <c r="S5" s="3950"/>
      <c r="T5" s="3950" t="s">
        <v>2202</v>
      </c>
      <c r="U5" s="3950"/>
      <c r="V5" s="3950" t="s">
        <v>2877</v>
      </c>
      <c r="W5" s="3950"/>
      <c r="X5" s="3950" t="s">
        <v>2410</v>
      </c>
      <c r="Y5" s="3950"/>
      <c r="Z5" s="3950" t="s">
        <v>2878</v>
      </c>
      <c r="AA5" s="3950"/>
      <c r="AB5" s="3950" t="s">
        <v>2873</v>
      </c>
      <c r="AC5" s="3950"/>
      <c r="AD5" s="3950" t="s">
        <v>2875</v>
      </c>
      <c r="AE5" s="3950"/>
      <c r="AF5" s="3950" t="s">
        <v>2877</v>
      </c>
      <c r="AG5" s="3950"/>
      <c r="AH5" s="3950" t="s">
        <v>2874</v>
      </c>
      <c r="AI5" s="3950"/>
      <c r="AJ5" s="3950" t="s">
        <v>2874</v>
      </c>
      <c r="AK5" s="3950"/>
      <c r="AL5" s="3950" t="s">
        <v>2879</v>
      </c>
      <c r="AM5" s="3950"/>
      <c r="AN5" s="3950"/>
      <c r="AO5" s="3950"/>
      <c r="AP5" s="3950" t="s">
        <v>2880</v>
      </c>
      <c r="AQ5" s="3950"/>
      <c r="AR5" s="3950"/>
      <c r="AS5" s="3950"/>
      <c r="AT5" s="3950" t="s">
        <v>2881</v>
      </c>
      <c r="AU5" s="3950"/>
      <c r="AV5" s="3950" t="s">
        <v>1343</v>
      </c>
      <c r="AW5" s="3950"/>
      <c r="AX5" s="3950" t="s">
        <v>2882</v>
      </c>
      <c r="AY5" s="3950"/>
      <c r="AZ5" s="3933"/>
      <c r="BA5" s="3932"/>
      <c r="BB5" s="3950" t="s">
        <v>2881</v>
      </c>
      <c r="BC5" s="3950"/>
      <c r="BD5" s="3950"/>
      <c r="BE5" s="3950"/>
    </row>
    <row r="6" spans="1:57" x14ac:dyDescent="0.35">
      <c r="A6" s="2283" t="s">
        <v>638</v>
      </c>
      <c r="B6" s="2195" t="s">
        <v>530</v>
      </c>
      <c r="C6" s="2285"/>
      <c r="D6" s="2285"/>
      <c r="E6" s="2285"/>
      <c r="F6" s="2285"/>
      <c r="G6" s="2194" t="s">
        <v>639</v>
      </c>
      <c r="H6" s="3949" t="s">
        <v>2883</v>
      </c>
      <c r="I6" s="3949"/>
      <c r="J6" s="3949" t="s">
        <v>2884</v>
      </c>
      <c r="K6" s="3949"/>
      <c r="L6" s="3949" t="s">
        <v>2883</v>
      </c>
      <c r="M6" s="3949"/>
      <c r="N6" s="3949" t="s">
        <v>2883</v>
      </c>
      <c r="O6" s="3949"/>
      <c r="P6" s="3949" t="s">
        <v>2885</v>
      </c>
      <c r="Q6" s="3949"/>
      <c r="R6" s="3949" t="s">
        <v>2886</v>
      </c>
      <c r="S6" s="3949"/>
      <c r="T6" s="3949" t="s">
        <v>2206</v>
      </c>
      <c r="U6" s="3949"/>
      <c r="V6" s="3949" t="s">
        <v>2887</v>
      </c>
      <c r="W6" s="3949"/>
      <c r="X6" s="3949" t="s">
        <v>2888</v>
      </c>
      <c r="Y6" s="3949"/>
      <c r="Z6" s="3949">
        <v>2394519970</v>
      </c>
      <c r="AA6" s="3949"/>
      <c r="AB6" s="3949" t="s">
        <v>2883</v>
      </c>
      <c r="AC6" s="3949"/>
      <c r="AD6" s="3949" t="s">
        <v>2885</v>
      </c>
      <c r="AE6" s="3949"/>
      <c r="AF6" s="3949" t="s">
        <v>2887</v>
      </c>
      <c r="AG6" s="3949"/>
      <c r="AH6" s="3949" t="s">
        <v>2884</v>
      </c>
      <c r="AI6" s="3949"/>
      <c r="AJ6" s="3949" t="s">
        <v>2884</v>
      </c>
      <c r="AK6" s="3949"/>
      <c r="AL6" s="3949" t="s">
        <v>2889</v>
      </c>
      <c r="AM6" s="3949"/>
      <c r="AN6" s="3949"/>
      <c r="AO6" s="3949"/>
      <c r="AP6" s="3949" t="s">
        <v>2890</v>
      </c>
      <c r="AQ6" s="3949"/>
      <c r="AR6" s="3949"/>
      <c r="AS6" s="3949"/>
      <c r="AT6" s="3949" t="s">
        <v>2891</v>
      </c>
      <c r="AU6" s="3949"/>
      <c r="AV6" s="3949" t="s">
        <v>2208</v>
      </c>
      <c r="AW6" s="3949"/>
      <c r="AX6" s="3949" t="s">
        <v>2892</v>
      </c>
      <c r="AY6" s="3949"/>
      <c r="AZ6" s="3939"/>
      <c r="BA6" s="3938"/>
      <c r="BB6" s="3949" t="s">
        <v>2891</v>
      </c>
      <c r="BC6" s="3949"/>
      <c r="BD6" s="3949"/>
      <c r="BE6" s="3949"/>
    </row>
    <row r="7" spans="1:57" x14ac:dyDescent="0.35">
      <c r="A7" s="2283" t="s">
        <v>641</v>
      </c>
      <c r="B7" s="2196"/>
      <c r="C7" s="2285"/>
      <c r="D7" s="2285"/>
      <c r="E7" s="2285"/>
      <c r="F7" s="2285"/>
      <c r="G7" s="2194" t="s">
        <v>642</v>
      </c>
      <c r="H7" s="3951" t="s">
        <v>2893</v>
      </c>
      <c r="I7" s="3951"/>
      <c r="J7" s="3951" t="s">
        <v>2894</v>
      </c>
      <c r="K7" s="3951"/>
      <c r="L7" s="3951" t="s">
        <v>2893</v>
      </c>
      <c r="M7" s="3951"/>
      <c r="N7" s="3951" t="s">
        <v>2893</v>
      </c>
      <c r="O7" s="3951"/>
      <c r="P7" s="3951" t="s">
        <v>2895</v>
      </c>
      <c r="Q7" s="3951"/>
      <c r="R7" s="3951" t="s">
        <v>2896</v>
      </c>
      <c r="S7" s="3951"/>
      <c r="T7" s="3951" t="s">
        <v>2211</v>
      </c>
      <c r="U7" s="3951"/>
      <c r="V7" s="3951" t="s">
        <v>2897</v>
      </c>
      <c r="W7" s="3951"/>
      <c r="X7" s="3951" t="s">
        <v>2421</v>
      </c>
      <c r="Y7" s="3951"/>
      <c r="Z7" s="3951" t="s">
        <v>2898</v>
      </c>
      <c r="AA7" s="3951"/>
      <c r="AB7" s="3951" t="s">
        <v>2893</v>
      </c>
      <c r="AC7" s="3951"/>
      <c r="AD7" s="3951" t="s">
        <v>2895</v>
      </c>
      <c r="AE7" s="3951"/>
      <c r="AF7" s="3951" t="s">
        <v>2897</v>
      </c>
      <c r="AG7" s="3951"/>
      <c r="AH7" s="3951" t="s">
        <v>2894</v>
      </c>
      <c r="AI7" s="3951"/>
      <c r="AJ7" s="3951" t="s">
        <v>2894</v>
      </c>
      <c r="AK7" s="3951"/>
      <c r="AL7" s="3951" t="s">
        <v>2899</v>
      </c>
      <c r="AM7" s="3951"/>
      <c r="AN7" s="3951"/>
      <c r="AO7" s="3951"/>
      <c r="AP7" s="3951" t="s">
        <v>2900</v>
      </c>
      <c r="AQ7" s="3951"/>
      <c r="AR7" s="3951"/>
      <c r="AS7" s="3951"/>
      <c r="AT7" s="3951" t="s">
        <v>2901</v>
      </c>
      <c r="AU7" s="3951"/>
      <c r="AV7" s="3951" t="s">
        <v>2213</v>
      </c>
      <c r="AW7" s="3951"/>
      <c r="AX7" s="3951" t="s">
        <v>2902</v>
      </c>
      <c r="AY7" s="3951"/>
      <c r="AZ7" s="3936"/>
      <c r="BA7" s="3935"/>
      <c r="BB7" s="3951" t="s">
        <v>2901</v>
      </c>
      <c r="BC7" s="3951"/>
      <c r="BD7" s="3951"/>
      <c r="BE7" s="3951"/>
    </row>
    <row r="8" spans="1:57" x14ac:dyDescent="0.35">
      <c r="A8" s="938" t="s">
        <v>644</v>
      </c>
      <c r="B8" s="939"/>
      <c r="C8" s="940"/>
      <c r="D8" s="940"/>
      <c r="E8" s="940"/>
      <c r="F8" s="940"/>
      <c r="G8" s="1024" t="s">
        <v>644</v>
      </c>
      <c r="H8" s="3945">
        <f>I65</f>
        <v>2503575.87</v>
      </c>
      <c r="I8" s="3944"/>
      <c r="J8" s="3945">
        <f>K65</f>
        <v>2338089.4</v>
      </c>
      <c r="K8" s="3944"/>
      <c r="L8" s="3945">
        <f>M65</f>
        <v>2512164.4900000002</v>
      </c>
      <c r="M8" s="3944"/>
      <c r="N8" s="3945">
        <f>O65</f>
        <v>2465159.04</v>
      </c>
      <c r="O8" s="3944"/>
      <c r="P8" s="3945">
        <f>Q65</f>
        <v>2484440</v>
      </c>
      <c r="Q8" s="3944"/>
      <c r="R8" s="3945">
        <f>S65</f>
        <v>2414789.88</v>
      </c>
      <c r="S8" s="3944"/>
      <c r="T8" s="3945">
        <f>U65</f>
        <v>2590226.7000000002</v>
      </c>
      <c r="U8" s="3944"/>
      <c r="V8" s="3945">
        <f>W65</f>
        <v>2723222</v>
      </c>
      <c r="W8" s="3944"/>
      <c r="X8" s="3945">
        <f>Y65</f>
        <v>2775455</v>
      </c>
      <c r="Y8" s="3944"/>
      <c r="Z8" s="3945">
        <f>AA65</f>
        <v>2902663</v>
      </c>
      <c r="AA8" s="3944"/>
      <c r="AB8" s="3945">
        <f>AC65</f>
        <v>2660474.87</v>
      </c>
      <c r="AC8" s="3944"/>
      <c r="AD8" s="3945">
        <f>AE65</f>
        <v>2949084</v>
      </c>
      <c r="AE8" s="3944"/>
      <c r="AF8" s="3945">
        <f>AG65</f>
        <v>2849620</v>
      </c>
      <c r="AG8" s="3944"/>
      <c r="AH8" s="3945">
        <f>AI65</f>
        <v>2961232.5000000005</v>
      </c>
      <c r="AI8" s="3944"/>
      <c r="AJ8" s="3945">
        <f>AK65</f>
        <v>2598982.1394000002</v>
      </c>
      <c r="AK8" s="3944"/>
      <c r="AL8" s="3945">
        <f>AM65</f>
        <v>2715232.4893499999</v>
      </c>
      <c r="AM8" s="3944"/>
      <c r="AN8" s="3945">
        <f>AO65</f>
        <v>2882867.625</v>
      </c>
      <c r="AO8" s="3944"/>
      <c r="AP8" s="3945">
        <f>AQ65</f>
        <v>3186894.1949999998</v>
      </c>
      <c r="AQ8" s="3944"/>
      <c r="AR8" s="3945">
        <f>AS65</f>
        <v>3273253</v>
      </c>
      <c r="AS8" s="3944"/>
      <c r="AT8" s="3945">
        <f>AU65</f>
        <v>3311917.2</v>
      </c>
      <c r="AU8" s="3944"/>
      <c r="AV8" s="3945">
        <f>AW65</f>
        <v>3328861.5</v>
      </c>
      <c r="AW8" s="3944"/>
      <c r="AX8" s="3945">
        <f>AY65</f>
        <v>3284988.2250000001</v>
      </c>
      <c r="AY8" s="3944"/>
      <c r="AZ8" s="3945">
        <f>BA65</f>
        <v>3410087.5094999997</v>
      </c>
      <c r="BA8" s="3944"/>
      <c r="BB8" s="3945">
        <f>BC65</f>
        <v>2161322.39775</v>
      </c>
      <c r="BC8" s="3944"/>
      <c r="BD8" s="3945">
        <f>BE65</f>
        <v>2246566.9500000002</v>
      </c>
      <c r="BE8" s="3944"/>
    </row>
    <row r="9" spans="1:57" ht="29" x14ac:dyDescent="0.35">
      <c r="A9" s="7" t="s">
        <v>645</v>
      </c>
      <c r="B9" s="8"/>
      <c r="C9" s="9" t="s">
        <v>646</v>
      </c>
      <c r="D9" s="9" t="s">
        <v>647</v>
      </c>
      <c r="E9" s="9" t="s">
        <v>648</v>
      </c>
      <c r="F9" s="9" t="s">
        <v>649</v>
      </c>
      <c r="G9" s="10" t="s">
        <v>650</v>
      </c>
      <c r="H9" s="11" t="s">
        <v>651</v>
      </c>
      <c r="I9" s="11" t="s">
        <v>652</v>
      </c>
      <c r="J9" s="11" t="s">
        <v>651</v>
      </c>
      <c r="K9" s="11" t="s">
        <v>652</v>
      </c>
      <c r="L9" s="11"/>
      <c r="M9" s="11"/>
      <c r="N9" s="11"/>
      <c r="O9" s="11"/>
      <c r="P9" s="11" t="s">
        <v>651</v>
      </c>
      <c r="Q9" s="11" t="s">
        <v>652</v>
      </c>
      <c r="R9" s="11"/>
      <c r="S9" s="11"/>
      <c r="T9" s="11"/>
      <c r="U9" s="11"/>
      <c r="V9" s="11"/>
      <c r="W9" s="11"/>
      <c r="X9" s="11"/>
      <c r="Y9" s="11"/>
      <c r="Z9" s="11"/>
      <c r="AA9" s="11"/>
      <c r="AB9" s="11"/>
      <c r="AC9" s="11"/>
      <c r="AD9" s="11" t="s">
        <v>651</v>
      </c>
      <c r="AE9" s="11" t="s">
        <v>652</v>
      </c>
      <c r="AF9" s="11"/>
      <c r="AG9" s="11"/>
      <c r="AH9" s="11" t="s">
        <v>651</v>
      </c>
      <c r="AI9" s="11" t="s">
        <v>652</v>
      </c>
      <c r="AJ9" s="11" t="s">
        <v>651</v>
      </c>
      <c r="AK9" s="11" t="s">
        <v>652</v>
      </c>
      <c r="AL9" s="11" t="s">
        <v>651</v>
      </c>
      <c r="AM9" s="11" t="s">
        <v>652</v>
      </c>
      <c r="AN9" s="11" t="s">
        <v>651</v>
      </c>
      <c r="AO9" s="11" t="s">
        <v>652</v>
      </c>
      <c r="AP9" s="11" t="s">
        <v>651</v>
      </c>
      <c r="AQ9" s="11" t="s">
        <v>652</v>
      </c>
      <c r="AR9" s="11"/>
      <c r="AS9" s="11"/>
      <c r="AT9" s="11" t="s">
        <v>651</v>
      </c>
      <c r="AU9" s="11" t="s">
        <v>652</v>
      </c>
      <c r="AV9" s="11"/>
      <c r="AW9" s="11"/>
      <c r="AX9" s="11"/>
      <c r="AY9" s="11"/>
      <c r="AZ9" s="11" t="s">
        <v>651</v>
      </c>
      <c r="BA9" s="11" t="s">
        <v>652</v>
      </c>
      <c r="BB9" s="11" t="s">
        <v>651</v>
      </c>
      <c r="BC9" s="11" t="s">
        <v>652</v>
      </c>
      <c r="BD9" s="11" t="s">
        <v>651</v>
      </c>
      <c r="BE9" s="11" t="s">
        <v>652</v>
      </c>
    </row>
    <row r="10" spans="1:57" hidden="1" x14ac:dyDescent="0.35">
      <c r="A10" s="2286"/>
      <c r="B10" s="2623"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c r="X10" s="2107"/>
      <c r="Y10" s="2107"/>
      <c r="Z10" s="2107"/>
      <c r="AA10" s="2107"/>
      <c r="AB10" s="2107"/>
      <c r="AC10" s="2107"/>
      <c r="AD10" s="2107"/>
      <c r="AE10" s="2107"/>
      <c r="AF10" s="2107"/>
      <c r="AG10" s="2107"/>
      <c r="AH10" s="2107"/>
      <c r="AI10" s="2107"/>
      <c r="AJ10" s="2107"/>
      <c r="AK10" s="2107"/>
      <c r="AL10" s="2107"/>
      <c r="AM10" s="2107"/>
      <c r="AN10" s="2107"/>
      <c r="AO10" s="2107"/>
      <c r="AP10" s="2107"/>
      <c r="AQ10" s="2107"/>
      <c r="AR10" s="2107"/>
      <c r="AS10" s="2107"/>
      <c r="AT10" s="2107"/>
      <c r="AU10" s="2107"/>
      <c r="AV10" s="2107"/>
      <c r="AW10" s="2107"/>
      <c r="AX10" s="2107"/>
      <c r="AY10" s="2107"/>
      <c r="AZ10" s="2107"/>
      <c r="BA10" s="2107"/>
      <c r="BB10" s="2107"/>
      <c r="BC10" s="2107"/>
      <c r="BD10" s="2107"/>
      <c r="BE10" s="2107"/>
    </row>
    <row r="11" spans="1:57"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c r="X11" s="2107"/>
      <c r="Y11" s="2107"/>
      <c r="Z11" s="2107"/>
      <c r="AA11" s="2107"/>
      <c r="AB11" s="2107"/>
      <c r="AC11" s="2107"/>
      <c r="AD11" s="2107"/>
      <c r="AE11" s="2107"/>
      <c r="AF11" s="2107"/>
      <c r="AG11" s="2107"/>
      <c r="AH11" s="2107"/>
      <c r="AI11" s="2107"/>
      <c r="AJ11" s="2107"/>
      <c r="AK11" s="2107"/>
      <c r="AL11" s="2107"/>
      <c r="AM11" s="2107"/>
      <c r="AN11" s="2107"/>
      <c r="AO11" s="2107"/>
      <c r="AP11" s="2107"/>
      <c r="AQ11" s="2107"/>
      <c r="AR11" s="2107"/>
      <c r="AS11" s="2107"/>
      <c r="AT11" s="2107"/>
      <c r="AU11" s="2107"/>
      <c r="AV11" s="2107"/>
      <c r="AW11" s="2107"/>
      <c r="AX11" s="2107"/>
      <c r="AY11" s="2107"/>
      <c r="AZ11" s="2107"/>
      <c r="BA11" s="2107"/>
      <c r="BB11" s="2107"/>
      <c r="BC11" s="2107"/>
      <c r="BD11" s="2107"/>
      <c r="BE11" s="2107"/>
    </row>
    <row r="12" spans="1:57"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c r="X12" s="2107"/>
      <c r="Y12" s="2107"/>
      <c r="Z12" s="2107"/>
      <c r="AA12" s="2107"/>
      <c r="AB12" s="2107"/>
      <c r="AC12" s="2107"/>
      <c r="AD12" s="2107"/>
      <c r="AE12" s="2107"/>
      <c r="AF12" s="2107"/>
      <c r="AG12" s="2107"/>
      <c r="AH12" s="2107"/>
      <c r="AI12" s="2107"/>
      <c r="AJ12" s="2107"/>
      <c r="AK12" s="2107"/>
      <c r="AL12" s="2107"/>
      <c r="AM12" s="2107"/>
      <c r="AN12" s="2107"/>
      <c r="AO12" s="2107"/>
      <c r="AP12" s="2107"/>
      <c r="AQ12" s="2107"/>
      <c r="AR12" s="2107"/>
      <c r="AS12" s="2107"/>
      <c r="AT12" s="2107"/>
      <c r="AU12" s="2107"/>
      <c r="AV12" s="2107"/>
      <c r="AW12" s="2107"/>
      <c r="AX12" s="2107"/>
      <c r="AY12" s="2107"/>
      <c r="AZ12" s="2107"/>
      <c r="BA12" s="2107"/>
      <c r="BB12" s="2107"/>
      <c r="BC12" s="2107"/>
      <c r="BD12" s="2107"/>
      <c r="BE12" s="2107"/>
    </row>
    <row r="13" spans="1:57"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2107"/>
      <c r="Y13" s="2107"/>
      <c r="Z13" s="2107"/>
      <c r="AA13" s="2107"/>
      <c r="AB13" s="2107"/>
      <c r="AC13" s="2107"/>
      <c r="AD13" s="2107"/>
      <c r="AE13" s="2107"/>
      <c r="AF13" s="2107"/>
      <c r="AG13" s="2107"/>
      <c r="AH13" s="2107"/>
      <c r="AI13" s="2107"/>
      <c r="AJ13" s="2107"/>
      <c r="AK13" s="2107"/>
      <c r="AL13" s="2107"/>
      <c r="AM13" s="2107"/>
      <c r="AN13" s="2107"/>
      <c r="AO13" s="2107"/>
      <c r="AP13" s="2107"/>
      <c r="AQ13" s="2107"/>
      <c r="AR13" s="2107"/>
      <c r="AS13" s="2107"/>
      <c r="AT13" s="2107"/>
      <c r="AU13" s="2107"/>
      <c r="AV13" s="2107"/>
      <c r="AW13" s="2107"/>
      <c r="AX13" s="2107"/>
      <c r="AY13" s="2107"/>
      <c r="AZ13" s="2107"/>
      <c r="BA13" s="2107"/>
      <c r="BB13" s="2107"/>
      <c r="BC13" s="2107"/>
      <c r="BD13" s="2107"/>
      <c r="BE13" s="2107"/>
    </row>
    <row r="14" spans="1:57"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2107"/>
      <c r="Y14" s="2107"/>
      <c r="Z14" s="2107"/>
      <c r="AA14" s="2107"/>
      <c r="AB14" s="2107"/>
      <c r="AC14" s="2107"/>
      <c r="AD14" s="2107"/>
      <c r="AE14" s="2107"/>
      <c r="AF14" s="2107"/>
      <c r="AG14" s="2107"/>
      <c r="AH14" s="2107"/>
      <c r="AI14" s="2107"/>
      <c r="AJ14" s="2107"/>
      <c r="AK14" s="2107"/>
      <c r="AL14" s="2107"/>
      <c r="AM14" s="2107"/>
      <c r="AN14" s="2107"/>
      <c r="AO14" s="2107"/>
      <c r="AP14" s="2107"/>
      <c r="AQ14" s="2107"/>
      <c r="AR14" s="2107"/>
      <c r="AS14" s="2107"/>
      <c r="AT14" s="2107"/>
      <c r="AU14" s="2107"/>
      <c r="AV14" s="2107"/>
      <c r="AW14" s="2107"/>
      <c r="AX14" s="2107"/>
      <c r="AY14" s="2107"/>
      <c r="AZ14" s="2107"/>
      <c r="BA14" s="2107"/>
      <c r="BB14" s="2107"/>
      <c r="BC14" s="2107"/>
      <c r="BD14" s="2107"/>
      <c r="BE14" s="2107"/>
    </row>
    <row r="15" spans="1:57"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2107"/>
      <c r="Y15" s="2107"/>
      <c r="Z15" s="2107"/>
      <c r="AA15" s="2107"/>
      <c r="AB15" s="2107"/>
      <c r="AC15" s="2107"/>
      <c r="AD15" s="2107"/>
      <c r="AE15" s="2107"/>
      <c r="AF15" s="2107"/>
      <c r="AG15" s="2107"/>
      <c r="AH15" s="2107"/>
      <c r="AI15" s="2107"/>
      <c r="AJ15" s="2107"/>
      <c r="AK15" s="2107"/>
      <c r="AL15" s="2107"/>
      <c r="AM15" s="2107"/>
      <c r="AN15" s="2107"/>
      <c r="AO15" s="2107"/>
      <c r="AP15" s="2107"/>
      <c r="AQ15" s="2107"/>
      <c r="AR15" s="2107"/>
      <c r="AS15" s="2107"/>
      <c r="AT15" s="2107"/>
      <c r="AU15" s="2107"/>
      <c r="AV15" s="2107"/>
      <c r="AW15" s="2107"/>
      <c r="AX15" s="2107"/>
      <c r="AY15" s="2107"/>
      <c r="AZ15" s="2107"/>
      <c r="BA15" s="2107"/>
      <c r="BB15" s="2107"/>
      <c r="BC15" s="2107"/>
      <c r="BD15" s="2107"/>
      <c r="BE15" s="2107"/>
    </row>
    <row r="16" spans="1:57"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2107"/>
      <c r="Y16" s="2107"/>
      <c r="Z16" s="2107"/>
      <c r="AA16" s="2107"/>
      <c r="AB16" s="2107"/>
      <c r="AC16" s="2107"/>
      <c r="AD16" s="2107"/>
      <c r="AE16" s="2107"/>
      <c r="AF16" s="2107"/>
      <c r="AG16" s="2107"/>
      <c r="AH16" s="2107"/>
      <c r="AI16" s="2107"/>
      <c r="AJ16" s="2107"/>
      <c r="AK16" s="2107"/>
      <c r="AL16" s="2107"/>
      <c r="AM16" s="2107"/>
      <c r="AN16" s="2107"/>
      <c r="AO16" s="2107"/>
      <c r="AP16" s="2107"/>
      <c r="AQ16" s="2107"/>
      <c r="AR16" s="2107"/>
      <c r="AS16" s="2107"/>
      <c r="AT16" s="2107"/>
      <c r="AU16" s="2107"/>
      <c r="AV16" s="2107"/>
      <c r="AW16" s="2107"/>
      <c r="AX16" s="2107"/>
      <c r="AY16" s="2107"/>
      <c r="AZ16" s="2107"/>
      <c r="BA16" s="2107"/>
      <c r="BB16" s="2107"/>
      <c r="BC16" s="2107"/>
      <c r="BD16" s="2107"/>
      <c r="BE16" s="2107"/>
    </row>
    <row r="17" spans="1:57"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2107"/>
      <c r="Y17" s="2107"/>
      <c r="Z17" s="2107"/>
      <c r="AA17" s="2107"/>
      <c r="AB17" s="2107"/>
      <c r="AC17" s="2107"/>
      <c r="AD17" s="2107"/>
      <c r="AE17" s="2107"/>
      <c r="AF17" s="2107"/>
      <c r="AG17" s="2107"/>
      <c r="AH17" s="2107"/>
      <c r="AI17" s="2107"/>
      <c r="AJ17" s="2107"/>
      <c r="AK17" s="2107"/>
      <c r="AL17" s="2107"/>
      <c r="AM17" s="2107"/>
      <c r="AN17" s="2107"/>
      <c r="AO17" s="2107"/>
      <c r="AP17" s="2107"/>
      <c r="AQ17" s="2107"/>
      <c r="AR17" s="2107"/>
      <c r="AS17" s="2107"/>
      <c r="AT17" s="2107"/>
      <c r="AU17" s="2107"/>
      <c r="AV17" s="2107"/>
      <c r="AW17" s="2107"/>
      <c r="AX17" s="2107"/>
      <c r="AY17" s="2107"/>
      <c r="AZ17" s="2107"/>
      <c r="BA17" s="2107"/>
      <c r="BB17" s="2107"/>
      <c r="BC17" s="2107"/>
      <c r="BD17" s="2107"/>
      <c r="BE17" s="2107"/>
    </row>
    <row r="18" spans="1:57"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2107"/>
      <c r="Y18" s="2107"/>
      <c r="Z18" s="2107"/>
      <c r="AA18" s="2107"/>
      <c r="AB18" s="2107"/>
      <c r="AC18" s="2107"/>
      <c r="AD18" s="2107"/>
      <c r="AE18" s="2107"/>
      <c r="AF18" s="2107"/>
      <c r="AG18" s="2107"/>
      <c r="AH18" s="2107"/>
      <c r="AI18" s="2107"/>
      <c r="AJ18" s="2107"/>
      <c r="AK18" s="2107"/>
      <c r="AL18" s="2107"/>
      <c r="AM18" s="2107"/>
      <c r="AN18" s="2107"/>
      <c r="AO18" s="2107"/>
      <c r="AP18" s="2107"/>
      <c r="AQ18" s="2107"/>
      <c r="AR18" s="2107"/>
      <c r="AS18" s="2107"/>
      <c r="AT18" s="2107"/>
      <c r="AU18" s="2107"/>
      <c r="AV18" s="2107"/>
      <c r="AW18" s="2107"/>
      <c r="AX18" s="2107"/>
      <c r="AY18" s="2107"/>
      <c r="AZ18" s="2107"/>
      <c r="BA18" s="2107"/>
      <c r="BB18" s="2107"/>
      <c r="BC18" s="2107"/>
      <c r="BD18" s="2107"/>
      <c r="BE18" s="2107"/>
    </row>
    <row r="19" spans="1:57"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2107"/>
      <c r="AD19" s="2107"/>
      <c r="AE19" s="2107"/>
      <c r="AF19" s="2107"/>
      <c r="AG19" s="2107"/>
      <c r="AH19" s="2107"/>
      <c r="AI19" s="2107"/>
      <c r="AJ19" s="2107"/>
      <c r="AK19" s="2107"/>
      <c r="AL19" s="2107"/>
      <c r="AM19" s="2107"/>
      <c r="AN19" s="2107"/>
      <c r="AO19" s="2107"/>
      <c r="AP19" s="2107"/>
      <c r="AQ19" s="2107"/>
      <c r="AR19" s="2107"/>
      <c r="AS19" s="2107"/>
      <c r="AT19" s="2107"/>
      <c r="AU19" s="2107"/>
      <c r="AV19" s="2107"/>
      <c r="AW19" s="2107"/>
      <c r="AX19" s="2107"/>
      <c r="AY19" s="2107"/>
      <c r="AZ19" s="2107"/>
      <c r="BA19" s="2107"/>
      <c r="BB19" s="2107"/>
      <c r="BC19" s="2107"/>
      <c r="BD19" s="2107"/>
      <c r="BE19" s="2107"/>
    </row>
    <row r="20" spans="1:57" x14ac:dyDescent="0.35">
      <c r="A20" s="2286"/>
      <c r="B20" s="2284"/>
      <c r="C20" s="2201"/>
      <c r="D20" s="2285"/>
      <c r="E20" s="2285"/>
      <c r="F20" s="2285"/>
      <c r="G20" s="2198"/>
      <c r="H20" s="2109"/>
      <c r="I20" s="2107"/>
      <c r="J20" s="2109"/>
      <c r="K20" s="2107"/>
      <c r="L20" s="2107"/>
      <c r="M20" s="2107"/>
      <c r="N20" s="2107"/>
      <c r="O20" s="2107"/>
      <c r="P20" s="2109"/>
      <c r="Q20" s="2107"/>
      <c r="R20" s="2109"/>
      <c r="S20" s="2107"/>
      <c r="T20" s="2107"/>
      <c r="U20" s="2107"/>
      <c r="V20" s="2107"/>
      <c r="W20" s="2107"/>
      <c r="X20" s="2107"/>
      <c r="Y20" s="2107"/>
      <c r="Z20" s="2107"/>
      <c r="AA20" s="2107"/>
      <c r="AB20" s="2107"/>
      <c r="AC20" s="2107"/>
      <c r="AD20" s="2109"/>
      <c r="AE20" s="2107"/>
      <c r="AF20" s="2107"/>
      <c r="AG20" s="2107"/>
      <c r="AH20" s="2109"/>
      <c r="AI20" s="2107"/>
      <c r="AJ20" s="2109"/>
      <c r="AK20" s="2107"/>
      <c r="AL20" s="2109"/>
      <c r="AM20" s="2107"/>
      <c r="AN20" s="2109"/>
      <c r="AO20" s="2107"/>
      <c r="AP20" s="2109"/>
      <c r="AQ20" s="2107"/>
      <c r="AR20" s="2107"/>
      <c r="AS20" s="2107"/>
      <c r="AT20" s="2109"/>
      <c r="AU20" s="2107"/>
      <c r="AV20" s="2107"/>
      <c r="AW20" s="2107"/>
      <c r="AX20" s="2109"/>
      <c r="AY20" s="2107"/>
      <c r="AZ20" s="2109"/>
      <c r="BA20" s="2107"/>
      <c r="BB20" s="2109"/>
      <c r="BC20" s="2107"/>
      <c r="BD20" s="2109"/>
      <c r="BE20" s="2107"/>
    </row>
    <row r="21" spans="1:57" x14ac:dyDescent="0.35">
      <c r="A21" s="2286"/>
      <c r="B21" s="2203" t="s">
        <v>531</v>
      </c>
      <c r="C21" s="2201"/>
      <c r="D21" s="2285"/>
      <c r="E21" s="2285"/>
      <c r="F21" s="2285"/>
      <c r="G21" s="2198"/>
      <c r="H21" s="2109"/>
      <c r="I21" s="2107"/>
      <c r="J21" s="2109"/>
      <c r="K21" s="2107"/>
      <c r="L21" s="2107"/>
      <c r="M21" s="2107"/>
      <c r="N21" s="2107"/>
      <c r="O21" s="2107"/>
      <c r="P21" s="2109"/>
      <c r="Q21" s="2107"/>
      <c r="R21" s="2109"/>
      <c r="S21" s="2107"/>
      <c r="T21" s="2107"/>
      <c r="U21" s="2107"/>
      <c r="V21" s="2107"/>
      <c r="W21" s="2107"/>
      <c r="X21" s="2107"/>
      <c r="Y21" s="2107"/>
      <c r="Z21" s="2107"/>
      <c r="AA21" s="2107"/>
      <c r="AB21" s="2107"/>
      <c r="AC21" s="2107"/>
      <c r="AD21" s="2109"/>
      <c r="AE21" s="2107"/>
      <c r="AF21" s="2107"/>
      <c r="AG21" s="2107"/>
      <c r="AH21" s="2109"/>
      <c r="AI21" s="2107"/>
      <c r="AJ21" s="2109"/>
      <c r="AK21" s="2107"/>
      <c r="AL21" s="2109"/>
      <c r="AM21" s="2107"/>
      <c r="AN21" s="2109"/>
      <c r="AO21" s="2107"/>
      <c r="AP21" s="2109"/>
      <c r="AQ21" s="2107"/>
      <c r="AR21" s="2107"/>
      <c r="AS21" s="2107"/>
      <c r="AT21" s="2109"/>
      <c r="AU21" s="2107"/>
      <c r="AV21" s="2107"/>
      <c r="AW21" s="2107"/>
      <c r="AX21" s="2109"/>
      <c r="AY21" s="2107"/>
      <c r="AZ21" s="2109"/>
      <c r="BA21" s="2107"/>
      <c r="BB21" s="2109"/>
      <c r="BC21" s="2107"/>
      <c r="BD21" s="2109"/>
      <c r="BE21" s="2107"/>
    </row>
    <row r="22" spans="1:57" x14ac:dyDescent="0.35">
      <c r="A22" s="2633"/>
      <c r="B22" s="606" t="s">
        <v>657</v>
      </c>
      <c r="C22" s="2201"/>
      <c r="D22" s="2285"/>
      <c r="E22" s="2285"/>
      <c r="F22" s="2285"/>
      <c r="G22" s="2198"/>
      <c r="H22" s="2109"/>
      <c r="I22" s="2625"/>
      <c r="J22" s="2109"/>
      <c r="K22" s="2625"/>
      <c r="L22" s="2625"/>
      <c r="M22" s="2625"/>
      <c r="N22" s="2625"/>
      <c r="O22" s="2625"/>
      <c r="P22" s="2109"/>
      <c r="Q22" s="2625"/>
      <c r="R22" s="2109"/>
      <c r="S22" s="2625"/>
      <c r="T22" s="2625"/>
      <c r="U22" s="2625"/>
      <c r="V22" s="2625"/>
      <c r="W22" s="2625"/>
      <c r="X22" s="2625"/>
      <c r="Y22" s="2625"/>
      <c r="Z22" s="2625"/>
      <c r="AA22" s="2625"/>
      <c r="AB22" s="2625"/>
      <c r="AC22" s="2625"/>
      <c r="AD22" s="2109"/>
      <c r="AE22" s="2625"/>
      <c r="AF22" s="2625"/>
      <c r="AG22" s="2625"/>
      <c r="AH22" s="2109"/>
      <c r="AI22" s="2625"/>
      <c r="AJ22" s="2109"/>
      <c r="AK22" s="2625"/>
      <c r="AL22" s="2109"/>
      <c r="AM22" s="2625"/>
      <c r="AN22" s="2109"/>
      <c r="AO22" s="2625"/>
      <c r="AP22" s="2109"/>
      <c r="AQ22" s="2625"/>
      <c r="AR22" s="2625"/>
      <c r="AS22" s="2625"/>
      <c r="AT22" s="2109"/>
      <c r="AU22" s="2625"/>
      <c r="AV22" s="2625"/>
      <c r="AW22" s="2625"/>
      <c r="AX22" s="2109"/>
      <c r="AY22" s="2625"/>
      <c r="AZ22" s="2109"/>
      <c r="BA22" s="2625"/>
      <c r="BB22" s="2109"/>
      <c r="BC22" s="2625"/>
      <c r="BD22" s="2109"/>
      <c r="BE22" s="2625"/>
    </row>
    <row r="23" spans="1:57" x14ac:dyDescent="0.35">
      <c r="A23" s="2633"/>
      <c r="B23" s="2627" t="s">
        <v>658</v>
      </c>
      <c r="C23" s="2201"/>
      <c r="D23" s="2285"/>
      <c r="E23" s="2285"/>
      <c r="F23" s="2285"/>
      <c r="G23" s="2198"/>
      <c r="H23" s="2634" t="s">
        <v>669</v>
      </c>
      <c r="I23" s="2625"/>
      <c r="J23" s="2635" t="s">
        <v>669</v>
      </c>
      <c r="K23" s="2625"/>
      <c r="L23" s="2635" t="s">
        <v>669</v>
      </c>
      <c r="M23" s="2625"/>
      <c r="N23" s="2635" t="s">
        <v>669</v>
      </c>
      <c r="O23" s="2625"/>
      <c r="P23" s="2634" t="s">
        <v>669</v>
      </c>
      <c r="Q23" s="2626"/>
      <c r="R23" s="2635" t="s">
        <v>669</v>
      </c>
      <c r="S23" s="2625"/>
      <c r="T23" s="2635" t="s">
        <v>669</v>
      </c>
      <c r="U23" s="2625"/>
      <c r="V23" s="2109" t="s">
        <v>671</v>
      </c>
      <c r="W23" s="2625"/>
      <c r="X23" s="2634" t="s">
        <v>669</v>
      </c>
      <c r="Y23" s="2626"/>
      <c r="Z23" s="2635" t="s">
        <v>669</v>
      </c>
      <c r="AA23" s="2625"/>
      <c r="AB23" s="2634" t="s">
        <v>669</v>
      </c>
      <c r="AC23" s="2625"/>
      <c r="AD23" s="2634" t="s">
        <v>669</v>
      </c>
      <c r="AE23" s="2626"/>
      <c r="AF23" s="2109" t="s">
        <v>671</v>
      </c>
      <c r="AG23" s="2625"/>
      <c r="AH23" s="2635" t="s">
        <v>669</v>
      </c>
      <c r="AI23" s="2625"/>
      <c r="AJ23" s="2635" t="s">
        <v>669</v>
      </c>
      <c r="AK23" s="2625"/>
      <c r="AL23" s="2635" t="s">
        <v>669</v>
      </c>
      <c r="AM23" s="2625"/>
      <c r="AN23" s="2635" t="s">
        <v>669</v>
      </c>
      <c r="AO23" s="2625"/>
      <c r="AP23" s="2634" t="s">
        <v>669</v>
      </c>
      <c r="AQ23" s="2625"/>
      <c r="AR23" s="2634" t="s">
        <v>669</v>
      </c>
      <c r="AS23" s="2625"/>
      <c r="AT23" s="2635" t="s">
        <v>669</v>
      </c>
      <c r="AU23" s="2625"/>
      <c r="AV23" s="2634" t="s">
        <v>669</v>
      </c>
      <c r="AW23" s="2625"/>
      <c r="AX23" s="2634" t="s">
        <v>669</v>
      </c>
      <c r="AY23" s="2625"/>
      <c r="AZ23" s="2635" t="s">
        <v>669</v>
      </c>
      <c r="BA23" s="2625"/>
      <c r="BB23" s="2635" t="s">
        <v>669</v>
      </c>
      <c r="BC23" s="2625"/>
      <c r="BD23" s="2635" t="s">
        <v>669</v>
      </c>
      <c r="BE23" s="2625"/>
    </row>
    <row r="24" spans="1:57" x14ac:dyDescent="0.35">
      <c r="A24" s="2633"/>
      <c r="B24" s="2627" t="s">
        <v>659</v>
      </c>
      <c r="C24" s="2208"/>
      <c r="D24" s="2285"/>
      <c r="E24" s="2285"/>
      <c r="F24" s="2285"/>
      <c r="G24" s="2198"/>
      <c r="H24" s="2634" t="s">
        <v>669</v>
      </c>
      <c r="I24" s="2625"/>
      <c r="J24" s="2635" t="s">
        <v>669</v>
      </c>
      <c r="K24" s="2625"/>
      <c r="L24" s="2635" t="s">
        <v>669</v>
      </c>
      <c r="M24" s="2625"/>
      <c r="N24" s="2635" t="s">
        <v>669</v>
      </c>
      <c r="O24" s="2625"/>
      <c r="P24" s="2634" t="s">
        <v>669</v>
      </c>
      <c r="Q24" s="2626"/>
      <c r="R24" s="2635" t="s">
        <v>669</v>
      </c>
      <c r="S24" s="2625"/>
      <c r="T24" s="2635" t="s">
        <v>669</v>
      </c>
      <c r="U24" s="2625"/>
      <c r="V24" s="2634" t="s">
        <v>669</v>
      </c>
      <c r="W24" s="2625"/>
      <c r="X24" s="2634" t="s">
        <v>669</v>
      </c>
      <c r="Y24" s="2626"/>
      <c r="Z24" s="2635" t="s">
        <v>669</v>
      </c>
      <c r="AA24" s="2625"/>
      <c r="AB24" s="2634" t="s">
        <v>669</v>
      </c>
      <c r="AC24" s="2625"/>
      <c r="AD24" s="2634" t="s">
        <v>669</v>
      </c>
      <c r="AE24" s="2626"/>
      <c r="AF24" s="2634" t="s">
        <v>669</v>
      </c>
      <c r="AG24" s="2625"/>
      <c r="AH24" s="2635" t="s">
        <v>669</v>
      </c>
      <c r="AI24" s="2625"/>
      <c r="AJ24" s="2635" t="s">
        <v>669</v>
      </c>
      <c r="AK24" s="2625"/>
      <c r="AL24" s="2635" t="s">
        <v>669</v>
      </c>
      <c r="AM24" s="2625"/>
      <c r="AN24" s="2635" t="s">
        <v>669</v>
      </c>
      <c r="AO24" s="2625"/>
      <c r="AP24" s="2634" t="s">
        <v>669</v>
      </c>
      <c r="AQ24" s="2625"/>
      <c r="AR24" s="2634" t="s">
        <v>669</v>
      </c>
      <c r="AS24" s="2625"/>
      <c r="AT24" s="2635" t="s">
        <v>669</v>
      </c>
      <c r="AU24" s="2625"/>
      <c r="AV24" s="2634" t="s">
        <v>669</v>
      </c>
      <c r="AW24" s="2625"/>
      <c r="AX24" s="2634" t="s">
        <v>669</v>
      </c>
      <c r="AY24" s="2625"/>
      <c r="AZ24" s="2635" t="s">
        <v>669</v>
      </c>
      <c r="BA24" s="2625"/>
      <c r="BB24" s="2635" t="s">
        <v>669</v>
      </c>
      <c r="BC24" s="2625"/>
      <c r="BD24" s="2635" t="s">
        <v>669</v>
      </c>
      <c r="BE24" s="2625"/>
    </row>
    <row r="25" spans="1:57" x14ac:dyDescent="0.35">
      <c r="A25" s="2633"/>
      <c r="B25" s="2636" t="s">
        <v>660</v>
      </c>
      <c r="C25" s="2208"/>
      <c r="D25" s="2285"/>
      <c r="E25" s="2285"/>
      <c r="F25" s="2285"/>
      <c r="G25" s="2198"/>
      <c r="H25" s="2109" t="s">
        <v>671</v>
      </c>
      <c r="I25" s="2637"/>
      <c r="J25" s="2109" t="s">
        <v>671</v>
      </c>
      <c r="K25" s="2625" t="s">
        <v>1892</v>
      </c>
      <c r="L25" s="2109" t="s">
        <v>671</v>
      </c>
      <c r="M25" s="2637"/>
      <c r="N25" s="2109" t="s">
        <v>671</v>
      </c>
      <c r="O25" s="2637"/>
      <c r="P25" s="2109" t="s">
        <v>671</v>
      </c>
      <c r="Q25" s="2626"/>
      <c r="R25" s="2109" t="s">
        <v>671</v>
      </c>
      <c r="S25" s="2625" t="s">
        <v>2903</v>
      </c>
      <c r="T25" s="2109" t="s">
        <v>671</v>
      </c>
      <c r="U25" s="2637" t="s">
        <v>1007</v>
      </c>
      <c r="V25" s="2109" t="s">
        <v>671</v>
      </c>
      <c r="W25" s="2637"/>
      <c r="X25" s="2109" t="s">
        <v>671</v>
      </c>
      <c r="Y25" s="2626"/>
      <c r="Z25" s="2109" t="s">
        <v>671</v>
      </c>
      <c r="AA25" s="2637"/>
      <c r="AB25" s="2109" t="s">
        <v>671</v>
      </c>
      <c r="AC25" s="2637"/>
      <c r="AD25" s="2109" t="s">
        <v>671</v>
      </c>
      <c r="AE25" s="2626"/>
      <c r="AF25" s="2109" t="s">
        <v>671</v>
      </c>
      <c r="AG25" s="2637"/>
      <c r="AH25" s="2109" t="s">
        <v>671</v>
      </c>
      <c r="AI25" s="2638" t="s">
        <v>1007</v>
      </c>
      <c r="AJ25" s="2109" t="s">
        <v>671</v>
      </c>
      <c r="AK25" s="2625" t="s">
        <v>1892</v>
      </c>
      <c r="AL25" s="2109" t="s">
        <v>671</v>
      </c>
      <c r="AM25" s="2638" t="s">
        <v>1007</v>
      </c>
      <c r="AN25" s="2109" t="s">
        <v>671</v>
      </c>
      <c r="AO25" s="2638" t="s">
        <v>1007</v>
      </c>
      <c r="AP25" s="2109" t="s">
        <v>671</v>
      </c>
      <c r="AQ25" s="2638" t="s">
        <v>1007</v>
      </c>
      <c r="AR25" s="2109" t="s">
        <v>671</v>
      </c>
      <c r="AS25" s="2637"/>
      <c r="AT25" s="2109" t="s">
        <v>671</v>
      </c>
      <c r="AU25" s="2638" t="s">
        <v>1007</v>
      </c>
      <c r="AV25" s="2109" t="s">
        <v>671</v>
      </c>
      <c r="AW25" s="2638" t="s">
        <v>1007</v>
      </c>
      <c r="AX25" s="2109" t="s">
        <v>671</v>
      </c>
      <c r="AY25" s="2625" t="s">
        <v>2903</v>
      </c>
      <c r="AZ25" s="2109" t="s">
        <v>671</v>
      </c>
      <c r="BA25" s="2638" t="s">
        <v>1007</v>
      </c>
      <c r="BB25" s="2109" t="s">
        <v>671</v>
      </c>
      <c r="BC25" s="2638" t="s">
        <v>1007</v>
      </c>
      <c r="BD25" s="2109" t="s">
        <v>671</v>
      </c>
      <c r="BE25" s="2638" t="s">
        <v>1007</v>
      </c>
    </row>
    <row r="26" spans="1:57" s="77" customFormat="1" x14ac:dyDescent="0.35">
      <c r="A26" s="2624"/>
      <c r="B26" s="2636" t="s">
        <v>661</v>
      </c>
      <c r="C26" s="2211"/>
      <c r="D26" s="2212"/>
      <c r="E26" s="2212"/>
      <c r="F26" s="2212"/>
      <c r="G26" s="2211"/>
      <c r="H26" s="2634" t="s">
        <v>669</v>
      </c>
      <c r="I26" s="2637"/>
      <c r="J26" s="2635" t="s">
        <v>669</v>
      </c>
      <c r="K26" s="2637"/>
      <c r="L26" s="2635" t="s">
        <v>669</v>
      </c>
      <c r="M26" s="2637"/>
      <c r="N26" s="2635" t="s">
        <v>669</v>
      </c>
      <c r="O26" s="2637"/>
      <c r="P26" s="2634" t="s">
        <v>669</v>
      </c>
      <c r="Q26" s="2626"/>
      <c r="R26" s="2635" t="s">
        <v>669</v>
      </c>
      <c r="S26" s="2637"/>
      <c r="T26" s="2635" t="s">
        <v>669</v>
      </c>
      <c r="U26" s="2637"/>
      <c r="V26" s="2634" t="s">
        <v>669</v>
      </c>
      <c r="W26" s="2637"/>
      <c r="X26" s="2634" t="s">
        <v>669</v>
      </c>
      <c r="Y26" s="2626"/>
      <c r="Z26" s="2635" t="s">
        <v>669</v>
      </c>
      <c r="AA26" s="2637"/>
      <c r="AB26" s="2634" t="s">
        <v>669</v>
      </c>
      <c r="AC26" s="2637"/>
      <c r="AD26" s="2634" t="s">
        <v>669</v>
      </c>
      <c r="AE26" s="2626"/>
      <c r="AF26" s="2634" t="s">
        <v>669</v>
      </c>
      <c r="AG26" s="2637"/>
      <c r="AH26" s="2635" t="s">
        <v>669</v>
      </c>
      <c r="AI26" s="2637"/>
      <c r="AJ26" s="2635" t="s">
        <v>669</v>
      </c>
      <c r="AK26" s="2637"/>
      <c r="AL26" s="2635" t="s">
        <v>669</v>
      </c>
      <c r="AM26" s="2637"/>
      <c r="AN26" s="2635" t="s">
        <v>669</v>
      </c>
      <c r="AO26" s="2637"/>
      <c r="AP26" s="2634" t="s">
        <v>669</v>
      </c>
      <c r="AQ26" s="2637"/>
      <c r="AR26" s="2634" t="s">
        <v>669</v>
      </c>
      <c r="AS26" s="2637"/>
      <c r="AT26" s="2635" t="s">
        <v>669</v>
      </c>
      <c r="AU26" s="2637"/>
      <c r="AV26" s="2634" t="s">
        <v>669</v>
      </c>
      <c r="AW26" s="2637"/>
      <c r="AX26" s="2634" t="s">
        <v>669</v>
      </c>
      <c r="AY26" s="2637"/>
      <c r="AZ26" s="2635" t="s">
        <v>669</v>
      </c>
      <c r="BA26" s="2637"/>
      <c r="BB26" s="2635" t="s">
        <v>669</v>
      </c>
      <c r="BC26" s="2637"/>
      <c r="BD26" s="2635" t="s">
        <v>669</v>
      </c>
      <c r="BE26" s="2637"/>
    </row>
    <row r="27" spans="1:57" s="77" customFormat="1" x14ac:dyDescent="0.35">
      <c r="A27" s="2624"/>
      <c r="B27" s="2636" t="s">
        <v>662</v>
      </c>
      <c r="C27" s="2211"/>
      <c r="D27" s="2212"/>
      <c r="E27" s="2212"/>
      <c r="F27" s="2212"/>
      <c r="G27" s="2211"/>
      <c r="H27" s="2634" t="s">
        <v>669</v>
      </c>
      <c r="I27" s="2637"/>
      <c r="J27" s="2635" t="s">
        <v>669</v>
      </c>
      <c r="K27" s="2637"/>
      <c r="L27" s="2635" t="s">
        <v>669</v>
      </c>
      <c r="M27" s="2637"/>
      <c r="N27" s="2635" t="s">
        <v>669</v>
      </c>
      <c r="O27" s="2637"/>
      <c r="P27" s="2634" t="s">
        <v>669</v>
      </c>
      <c r="Q27" s="2626"/>
      <c r="R27" s="2635" t="s">
        <v>669</v>
      </c>
      <c r="S27" s="2637"/>
      <c r="T27" s="2635" t="s">
        <v>669</v>
      </c>
      <c r="U27" s="2637"/>
      <c r="V27" s="2634" t="s">
        <v>669</v>
      </c>
      <c r="W27" s="2637"/>
      <c r="X27" s="2634" t="s">
        <v>669</v>
      </c>
      <c r="Y27" s="2626"/>
      <c r="Z27" s="2635" t="s">
        <v>669</v>
      </c>
      <c r="AA27" s="2637"/>
      <c r="AB27" s="2634" t="s">
        <v>669</v>
      </c>
      <c r="AC27" s="2637"/>
      <c r="AD27" s="2634" t="s">
        <v>669</v>
      </c>
      <c r="AE27" s="2626"/>
      <c r="AF27" s="2634" t="s">
        <v>669</v>
      </c>
      <c r="AG27" s="2637"/>
      <c r="AH27" s="2635" t="s">
        <v>669</v>
      </c>
      <c r="AI27" s="2637"/>
      <c r="AJ27" s="2635" t="s">
        <v>669</v>
      </c>
      <c r="AK27" s="2637"/>
      <c r="AL27" s="2635" t="s">
        <v>669</v>
      </c>
      <c r="AM27" s="2637"/>
      <c r="AN27" s="2635" t="s">
        <v>669</v>
      </c>
      <c r="AO27" s="2637"/>
      <c r="AP27" s="2634" t="s">
        <v>669</v>
      </c>
      <c r="AQ27" s="2637"/>
      <c r="AR27" s="2634" t="s">
        <v>669</v>
      </c>
      <c r="AS27" s="2637"/>
      <c r="AT27" s="2635" t="s">
        <v>669</v>
      </c>
      <c r="AU27" s="2637"/>
      <c r="AV27" s="2634" t="s">
        <v>669</v>
      </c>
      <c r="AW27" s="2637"/>
      <c r="AX27" s="2634" t="s">
        <v>669</v>
      </c>
      <c r="AY27" s="2637"/>
      <c r="AZ27" s="2635" t="s">
        <v>669</v>
      </c>
      <c r="BA27" s="2637"/>
      <c r="BB27" s="2635" t="s">
        <v>669</v>
      </c>
      <c r="BC27" s="2637"/>
      <c r="BD27" s="2635" t="s">
        <v>669</v>
      </c>
      <c r="BE27" s="2637"/>
    </row>
    <row r="28" spans="1:57" s="77" customFormat="1" x14ac:dyDescent="0.35">
      <c r="A28" s="2624"/>
      <c r="B28" s="2636" t="s">
        <v>663</v>
      </c>
      <c r="C28" s="2211"/>
      <c r="D28" s="2212"/>
      <c r="E28" s="2212"/>
      <c r="F28" s="2212"/>
      <c r="G28" s="2211"/>
      <c r="H28" s="2634" t="s">
        <v>669</v>
      </c>
      <c r="I28" s="2637"/>
      <c r="J28" s="2635" t="s">
        <v>669</v>
      </c>
      <c r="K28" s="2637"/>
      <c r="L28" s="2635" t="s">
        <v>669</v>
      </c>
      <c r="M28" s="2637"/>
      <c r="N28" s="2635" t="s">
        <v>669</v>
      </c>
      <c r="O28" s="2637"/>
      <c r="P28" s="2634" t="s">
        <v>669</v>
      </c>
      <c r="Q28" s="2626"/>
      <c r="R28" s="2635" t="s">
        <v>669</v>
      </c>
      <c r="S28" s="2637"/>
      <c r="T28" s="2635" t="s">
        <v>669</v>
      </c>
      <c r="U28" s="2637"/>
      <c r="V28" s="2634" t="s">
        <v>669</v>
      </c>
      <c r="W28" s="2637"/>
      <c r="X28" s="2634" t="s">
        <v>669</v>
      </c>
      <c r="Y28" s="2626"/>
      <c r="Z28" s="2635" t="s">
        <v>669</v>
      </c>
      <c r="AA28" s="2637"/>
      <c r="AB28" s="2634" t="s">
        <v>669</v>
      </c>
      <c r="AC28" s="2637"/>
      <c r="AD28" s="2634" t="s">
        <v>669</v>
      </c>
      <c r="AE28" s="2626"/>
      <c r="AF28" s="2634" t="s">
        <v>669</v>
      </c>
      <c r="AG28" s="2637"/>
      <c r="AH28" s="2635" t="s">
        <v>669</v>
      </c>
      <c r="AI28" s="2637"/>
      <c r="AJ28" s="2635" t="s">
        <v>669</v>
      </c>
      <c r="AK28" s="2637"/>
      <c r="AL28" s="2635" t="s">
        <v>669</v>
      </c>
      <c r="AM28" s="2637"/>
      <c r="AN28" s="2635" t="s">
        <v>669</v>
      </c>
      <c r="AO28" s="2637"/>
      <c r="AP28" s="2634" t="s">
        <v>669</v>
      </c>
      <c r="AQ28" s="2637"/>
      <c r="AR28" s="2634" t="s">
        <v>669</v>
      </c>
      <c r="AS28" s="2637"/>
      <c r="AT28" s="2635" t="s">
        <v>669</v>
      </c>
      <c r="AU28" s="2637"/>
      <c r="AV28" s="2634" t="s">
        <v>669</v>
      </c>
      <c r="AW28" s="2637"/>
      <c r="AX28" s="2634" t="s">
        <v>669</v>
      </c>
      <c r="AY28" s="2637"/>
      <c r="AZ28" s="2635" t="s">
        <v>669</v>
      </c>
      <c r="BA28" s="2637"/>
      <c r="BB28" s="2635" t="s">
        <v>669</v>
      </c>
      <c r="BC28" s="2637"/>
      <c r="BD28" s="2635" t="s">
        <v>669</v>
      </c>
      <c r="BE28" s="2637"/>
    </row>
    <row r="29" spans="1:57" s="77" customFormat="1" x14ac:dyDescent="0.35">
      <c r="A29" s="2624"/>
      <c r="B29" s="2636" t="s">
        <v>789</v>
      </c>
      <c r="C29" s="2211"/>
      <c r="D29" s="2212"/>
      <c r="E29" s="2212"/>
      <c r="F29" s="2212"/>
      <c r="G29" s="2211"/>
      <c r="H29" s="2634" t="s">
        <v>669</v>
      </c>
      <c r="I29" s="2626" t="s">
        <v>1099</v>
      </c>
      <c r="J29" s="2109" t="s">
        <v>671</v>
      </c>
      <c r="K29" s="2637"/>
      <c r="L29" s="2635" t="s">
        <v>669</v>
      </c>
      <c r="M29" s="2626" t="s">
        <v>1099</v>
      </c>
      <c r="N29" s="2635" t="s">
        <v>669</v>
      </c>
      <c r="O29" s="2626" t="s">
        <v>1099</v>
      </c>
      <c r="P29" s="2635" t="s">
        <v>669</v>
      </c>
      <c r="Q29" s="2626" t="s">
        <v>1580</v>
      </c>
      <c r="R29" s="2109" t="s">
        <v>671</v>
      </c>
      <c r="S29" s="2637"/>
      <c r="T29" s="2635" t="s">
        <v>669</v>
      </c>
      <c r="U29" s="2626" t="s">
        <v>1733</v>
      </c>
      <c r="V29" s="2109" t="s">
        <v>671</v>
      </c>
      <c r="W29" s="2637"/>
      <c r="X29" s="2634" t="s">
        <v>669</v>
      </c>
      <c r="Y29" s="2626" t="s">
        <v>1580</v>
      </c>
      <c r="Z29" s="2635" t="s">
        <v>669</v>
      </c>
      <c r="AA29" s="2626" t="s">
        <v>1733</v>
      </c>
      <c r="AB29" s="2634" t="s">
        <v>669</v>
      </c>
      <c r="AC29" s="2626" t="s">
        <v>1099</v>
      </c>
      <c r="AD29" s="2635" t="s">
        <v>669</v>
      </c>
      <c r="AE29" s="2626" t="s">
        <v>1580</v>
      </c>
      <c r="AF29" s="2109" t="s">
        <v>671</v>
      </c>
      <c r="AG29" s="2637"/>
      <c r="AH29" s="2109" t="s">
        <v>671</v>
      </c>
      <c r="AI29" s="2637"/>
      <c r="AJ29" s="2109" t="s">
        <v>671</v>
      </c>
      <c r="AK29" s="2637"/>
      <c r="AL29" s="2109" t="s">
        <v>671</v>
      </c>
      <c r="AM29" s="2637"/>
      <c r="AN29" s="2109" t="s">
        <v>671</v>
      </c>
      <c r="AO29" s="2637"/>
      <c r="AP29" s="2109" t="s">
        <v>671</v>
      </c>
      <c r="AQ29" s="2637"/>
      <c r="AR29" s="2109" t="s">
        <v>671</v>
      </c>
      <c r="AS29" s="2637"/>
      <c r="AT29" s="2109" t="s">
        <v>671</v>
      </c>
      <c r="AU29" s="2637"/>
      <c r="AV29" s="2109" t="s">
        <v>671</v>
      </c>
      <c r="AW29" s="2637"/>
      <c r="AX29" s="2109" t="s">
        <v>671</v>
      </c>
      <c r="AY29" s="2637"/>
      <c r="AZ29" s="2109" t="s">
        <v>671</v>
      </c>
      <c r="BA29" s="2637"/>
      <c r="BB29" s="2109" t="s">
        <v>671</v>
      </c>
      <c r="BC29" s="2637"/>
      <c r="BD29" s="2109" t="s">
        <v>671</v>
      </c>
      <c r="BE29" s="2637"/>
    </row>
    <row r="30" spans="1:57" s="77" customFormat="1" x14ac:dyDescent="0.35">
      <c r="A30" s="2624"/>
      <c r="B30" s="2636" t="s">
        <v>790</v>
      </c>
      <c r="C30" s="2211"/>
      <c r="D30" s="2212"/>
      <c r="E30" s="2212"/>
      <c r="F30" s="2212"/>
      <c r="G30" s="2211"/>
      <c r="H30" s="2634" t="s">
        <v>669</v>
      </c>
      <c r="I30" s="2626" t="s">
        <v>1393</v>
      </c>
      <c r="J30" s="2109" t="s">
        <v>671</v>
      </c>
      <c r="K30" s="2637"/>
      <c r="L30" s="2635" t="s">
        <v>669</v>
      </c>
      <c r="M30" s="2626" t="s">
        <v>1393</v>
      </c>
      <c r="N30" s="2635" t="s">
        <v>669</v>
      </c>
      <c r="O30" s="2626" t="s">
        <v>1393</v>
      </c>
      <c r="P30" s="2634" t="s">
        <v>669</v>
      </c>
      <c r="Q30" s="2626" t="s">
        <v>968</v>
      </c>
      <c r="R30" s="2109" t="s">
        <v>671</v>
      </c>
      <c r="S30" s="2637"/>
      <c r="T30" s="2635" t="s">
        <v>669</v>
      </c>
      <c r="U30" s="2626" t="s">
        <v>2620</v>
      </c>
      <c r="V30" s="2109" t="s">
        <v>671</v>
      </c>
      <c r="W30" s="2626" t="s">
        <v>1736</v>
      </c>
      <c r="X30" s="2634" t="s">
        <v>669</v>
      </c>
      <c r="Y30" s="2626" t="s">
        <v>968</v>
      </c>
      <c r="Z30" s="2635" t="s">
        <v>669</v>
      </c>
      <c r="AA30" s="2626" t="s">
        <v>968</v>
      </c>
      <c r="AB30" s="2634" t="s">
        <v>669</v>
      </c>
      <c r="AC30" s="2626" t="s">
        <v>1393</v>
      </c>
      <c r="AD30" s="2634" t="s">
        <v>669</v>
      </c>
      <c r="AE30" s="2626" t="s">
        <v>968</v>
      </c>
      <c r="AF30" s="2109" t="s">
        <v>671</v>
      </c>
      <c r="AG30" s="2626" t="s">
        <v>1736</v>
      </c>
      <c r="AH30" s="2109" t="s">
        <v>671</v>
      </c>
      <c r="AI30" s="2637"/>
      <c r="AJ30" s="2109" t="s">
        <v>671</v>
      </c>
      <c r="AK30" s="2637"/>
      <c r="AL30" s="2109" t="s">
        <v>671</v>
      </c>
      <c r="AM30" s="2637"/>
      <c r="AN30" s="2109" t="s">
        <v>671</v>
      </c>
      <c r="AO30" s="2637"/>
      <c r="AP30" s="2109" t="s">
        <v>671</v>
      </c>
      <c r="AQ30" s="2637"/>
      <c r="AR30" s="2109" t="s">
        <v>671</v>
      </c>
      <c r="AS30" s="2637"/>
      <c r="AT30" s="2109" t="s">
        <v>671</v>
      </c>
      <c r="AU30" s="2637"/>
      <c r="AV30" s="2109" t="s">
        <v>671</v>
      </c>
      <c r="AW30" s="2637"/>
      <c r="AX30" s="2109" t="s">
        <v>671</v>
      </c>
      <c r="AY30" s="2637"/>
      <c r="AZ30" s="2109" t="s">
        <v>671</v>
      </c>
      <c r="BA30" s="2637"/>
      <c r="BB30" s="2109" t="s">
        <v>671</v>
      </c>
      <c r="BC30" s="2637"/>
      <c r="BD30" s="2109" t="s">
        <v>671</v>
      </c>
      <c r="BE30" s="2637"/>
    </row>
    <row r="31" spans="1:57" s="77" customFormat="1" x14ac:dyDescent="0.35">
      <c r="A31" s="2624"/>
      <c r="B31" s="2636" t="s">
        <v>791</v>
      </c>
      <c r="C31" s="2211"/>
      <c r="D31" s="2212"/>
      <c r="E31" s="2212"/>
      <c r="F31" s="2212"/>
      <c r="G31" s="2211"/>
      <c r="H31" s="2634" t="s">
        <v>669</v>
      </c>
      <c r="I31" s="2637" t="s">
        <v>2904</v>
      </c>
      <c r="J31" s="2109" t="s">
        <v>671</v>
      </c>
      <c r="K31" s="2637"/>
      <c r="L31" s="2635" t="s">
        <v>669</v>
      </c>
      <c r="M31" s="2637" t="s">
        <v>2904</v>
      </c>
      <c r="N31" s="2635" t="s">
        <v>669</v>
      </c>
      <c r="O31" s="2637" t="s">
        <v>2904</v>
      </c>
      <c r="P31" s="2635" t="s">
        <v>669</v>
      </c>
      <c r="Q31" s="2626" t="s">
        <v>2905</v>
      </c>
      <c r="R31" s="2109" t="s">
        <v>671</v>
      </c>
      <c r="S31" s="2637"/>
      <c r="T31" s="2635" t="s">
        <v>669</v>
      </c>
      <c r="U31" s="2637" t="s">
        <v>2906</v>
      </c>
      <c r="V31" s="2109" t="s">
        <v>671</v>
      </c>
      <c r="W31" s="2637"/>
      <c r="X31" s="2634" t="s">
        <v>669</v>
      </c>
      <c r="Y31" s="2626" t="s">
        <v>2907</v>
      </c>
      <c r="Z31" s="2635" t="s">
        <v>669</v>
      </c>
      <c r="AA31" s="2637" t="s">
        <v>2908</v>
      </c>
      <c r="AB31" s="2634" t="s">
        <v>669</v>
      </c>
      <c r="AC31" s="2637" t="s">
        <v>2904</v>
      </c>
      <c r="AD31" s="2635" t="s">
        <v>669</v>
      </c>
      <c r="AE31" s="2626" t="s">
        <v>2905</v>
      </c>
      <c r="AF31" s="2109" t="s">
        <v>671</v>
      </c>
      <c r="AG31" s="2637"/>
      <c r="AH31" s="2109" t="s">
        <v>671</v>
      </c>
      <c r="AI31" s="2637"/>
      <c r="AJ31" s="2109" t="s">
        <v>671</v>
      </c>
      <c r="AK31" s="2637"/>
      <c r="AL31" s="2109" t="s">
        <v>671</v>
      </c>
      <c r="AM31" s="2637"/>
      <c r="AN31" s="2109" t="s">
        <v>671</v>
      </c>
      <c r="AO31" s="2637"/>
      <c r="AP31" s="2109" t="s">
        <v>671</v>
      </c>
      <c r="AQ31" s="2637"/>
      <c r="AR31" s="2109" t="s">
        <v>671</v>
      </c>
      <c r="AS31" s="2637"/>
      <c r="AT31" s="2109" t="s">
        <v>671</v>
      </c>
      <c r="AU31" s="2637"/>
      <c r="AV31" s="2109" t="s">
        <v>671</v>
      </c>
      <c r="AW31" s="2637"/>
      <c r="AX31" s="2109" t="s">
        <v>671</v>
      </c>
      <c r="AY31" s="2637"/>
      <c r="AZ31" s="2109" t="s">
        <v>671</v>
      </c>
      <c r="BA31" s="2637"/>
      <c r="BB31" s="2109" t="s">
        <v>671</v>
      </c>
      <c r="BC31" s="2637"/>
      <c r="BD31" s="2109" t="s">
        <v>671</v>
      </c>
      <c r="BE31" s="2637"/>
    </row>
    <row r="32" spans="1:57" s="77" customFormat="1" x14ac:dyDescent="0.35">
      <c r="A32" s="2624"/>
      <c r="B32" s="2555" t="s">
        <v>664</v>
      </c>
      <c r="C32" s="2211"/>
      <c r="D32" s="2212"/>
      <c r="E32" s="2212"/>
      <c r="F32" s="2212"/>
      <c r="G32" s="2211"/>
      <c r="H32" s="2109"/>
      <c r="I32" s="2637"/>
      <c r="J32" s="2109"/>
      <c r="K32" s="2637"/>
      <c r="L32" s="2637"/>
      <c r="M32" s="2637"/>
      <c r="N32" s="2637"/>
      <c r="O32" s="2637"/>
      <c r="P32" s="2109"/>
      <c r="Q32" s="2626"/>
      <c r="R32" s="2109"/>
      <c r="S32" s="2637"/>
      <c r="T32" s="2637"/>
      <c r="U32" s="2637"/>
      <c r="V32" s="2637"/>
      <c r="W32" s="2637"/>
      <c r="X32" s="2109"/>
      <c r="Y32" s="2626"/>
      <c r="Z32" s="2637"/>
      <c r="AA32" s="2637"/>
      <c r="AB32" s="2637"/>
      <c r="AC32" s="2637"/>
      <c r="AD32" s="2109"/>
      <c r="AE32" s="2626"/>
      <c r="AF32" s="2637"/>
      <c r="AG32" s="2637"/>
      <c r="AH32" s="2109"/>
      <c r="AI32" s="2637"/>
      <c r="AJ32" s="2109"/>
      <c r="AK32" s="2637"/>
      <c r="AL32" s="2109"/>
      <c r="AM32" s="2637"/>
      <c r="AN32" s="2109"/>
      <c r="AO32" s="2637"/>
      <c r="AP32" s="2109"/>
      <c r="AQ32" s="2637"/>
      <c r="AR32" s="2637"/>
      <c r="AS32" s="2637"/>
      <c r="AT32" s="2109"/>
      <c r="AU32" s="2637"/>
      <c r="AV32" s="2637"/>
      <c r="AW32" s="2637"/>
      <c r="AX32" s="2109"/>
      <c r="AY32" s="2637"/>
      <c r="AZ32" s="2109"/>
      <c r="BA32" s="2637"/>
      <c r="BB32" s="2109"/>
      <c r="BC32" s="2637"/>
      <c r="BD32" s="2109"/>
      <c r="BE32" s="2637"/>
    </row>
    <row r="33" spans="1:57" s="77" customFormat="1" x14ac:dyDescent="0.35">
      <c r="A33" s="2624"/>
      <c r="B33" s="2556" t="s">
        <v>665</v>
      </c>
      <c r="C33" s="2216"/>
      <c r="D33" s="2217"/>
      <c r="E33" s="2217"/>
      <c r="F33" s="2217"/>
      <c r="G33" s="2216"/>
      <c r="H33" s="2289"/>
      <c r="I33" s="2630"/>
      <c r="J33" s="2630"/>
      <c r="K33" s="2630"/>
      <c r="L33" s="2630"/>
      <c r="M33" s="2630"/>
      <c r="N33" s="2630"/>
      <c r="O33" s="2630"/>
      <c r="P33" s="2288"/>
      <c r="Q33" s="2639"/>
      <c r="R33" s="2289"/>
      <c r="S33" s="2630"/>
      <c r="T33" s="2630"/>
      <c r="U33" s="2630"/>
      <c r="V33" s="2630"/>
      <c r="W33" s="2630"/>
      <c r="X33" s="2288"/>
      <c r="Y33" s="2639"/>
      <c r="Z33" s="2630"/>
      <c r="AA33" s="2640">
        <v>2902663</v>
      </c>
      <c r="AB33" s="2630"/>
      <c r="AC33" s="2630"/>
      <c r="AD33" s="2288"/>
      <c r="AE33" s="2639"/>
      <c r="AF33" s="2630"/>
      <c r="AG33" s="2630"/>
      <c r="AH33" s="2630"/>
      <c r="AI33" s="2630"/>
      <c r="AJ33" s="2630"/>
      <c r="AK33" s="2630"/>
      <c r="AL33" s="2630"/>
      <c r="AM33" s="2630"/>
      <c r="AN33" s="2630"/>
      <c r="AO33" s="2630"/>
      <c r="AP33" s="2289"/>
      <c r="AQ33" s="2630"/>
      <c r="AR33" s="2630"/>
      <c r="AS33" s="2630"/>
      <c r="AT33" s="2630"/>
      <c r="AU33" s="2630"/>
      <c r="AV33" s="2630"/>
      <c r="AW33" s="2630"/>
      <c r="AX33" s="2289"/>
      <c r="AY33" s="2630"/>
      <c r="AZ33" s="2630"/>
      <c r="BA33" s="2630"/>
      <c r="BB33" s="2630"/>
      <c r="BC33" s="2630"/>
      <c r="BD33" s="2630"/>
      <c r="BE33" s="2630"/>
    </row>
    <row r="34" spans="1:57" s="77" customFormat="1" x14ac:dyDescent="0.35">
      <c r="A34" s="2624"/>
      <c r="B34" s="127"/>
      <c r="C34" s="2211"/>
      <c r="D34" s="2212"/>
      <c r="E34" s="2212"/>
      <c r="F34" s="2212"/>
      <c r="G34" s="2211"/>
      <c r="H34" s="2334"/>
      <c r="I34" s="2637"/>
      <c r="J34" s="2109"/>
      <c r="K34" s="2637"/>
      <c r="L34" s="2637"/>
      <c r="M34" s="2637"/>
      <c r="N34" s="2637"/>
      <c r="O34" s="2637"/>
      <c r="P34" s="2331"/>
      <c r="Q34" s="2626"/>
      <c r="R34" s="2334"/>
      <c r="S34" s="2637"/>
      <c r="T34" s="2637"/>
      <c r="U34" s="2637"/>
      <c r="V34" s="2637"/>
      <c r="W34" s="2637"/>
      <c r="X34" s="2331"/>
      <c r="Y34" s="2626"/>
      <c r="Z34" s="2637"/>
      <c r="AA34" s="2637"/>
      <c r="AB34" s="2637"/>
      <c r="AC34" s="2637"/>
      <c r="AD34" s="2331"/>
      <c r="AE34" s="2626"/>
      <c r="AF34" s="2637"/>
      <c r="AG34" s="2637"/>
      <c r="AH34" s="2109"/>
      <c r="AI34" s="2637"/>
      <c r="AJ34" s="2109"/>
      <c r="AK34" s="2637"/>
      <c r="AL34" s="2109"/>
      <c r="AM34" s="2637"/>
      <c r="AN34" s="2109"/>
      <c r="AO34" s="2637"/>
      <c r="AP34" s="2109"/>
      <c r="AQ34" s="2637"/>
      <c r="AR34" s="2565"/>
      <c r="AS34" s="2565"/>
      <c r="AT34" s="2109"/>
      <c r="AU34" s="2637"/>
      <c r="AV34" s="2637"/>
      <c r="AW34" s="2637"/>
      <c r="AX34" s="2334"/>
      <c r="AY34" s="2637"/>
      <c r="AZ34" s="2109"/>
      <c r="BA34" s="2637"/>
      <c r="BB34" s="2109"/>
      <c r="BC34" s="2637"/>
      <c r="BD34" s="2109"/>
      <c r="BE34" s="2637"/>
    </row>
    <row r="35" spans="1:57" s="77" customFormat="1" x14ac:dyDescent="0.35">
      <c r="A35" s="2641"/>
      <c r="B35" s="2235" t="s">
        <v>1743</v>
      </c>
      <c r="C35" s="2236"/>
      <c r="D35" s="2212"/>
      <c r="E35" s="2212"/>
      <c r="F35" s="2212"/>
      <c r="G35" s="2211"/>
      <c r="H35" s="2642" t="s">
        <v>671</v>
      </c>
      <c r="I35" s="2637"/>
      <c r="J35" s="2643" t="s">
        <v>671</v>
      </c>
      <c r="K35" s="2637"/>
      <c r="L35" s="2643" t="s">
        <v>671</v>
      </c>
      <c r="M35" s="2637"/>
      <c r="N35" s="2643" t="s">
        <v>671</v>
      </c>
      <c r="O35" s="2637"/>
      <c r="P35" s="2642" t="s">
        <v>671</v>
      </c>
      <c r="Q35" s="2626"/>
      <c r="R35" s="2643" t="s">
        <v>671</v>
      </c>
      <c r="S35" s="2637"/>
      <c r="T35" s="2643" t="s">
        <v>671</v>
      </c>
      <c r="U35" s="2637"/>
      <c r="V35" s="2642" t="s">
        <v>671</v>
      </c>
      <c r="W35" s="2637"/>
      <c r="X35" s="2642" t="s">
        <v>671</v>
      </c>
      <c r="Y35" s="2626"/>
      <c r="Z35" s="2643" t="s">
        <v>671</v>
      </c>
      <c r="AA35" s="2637"/>
      <c r="AB35" s="2642" t="s">
        <v>671</v>
      </c>
      <c r="AC35" s="2637"/>
      <c r="AD35" s="2642" t="s">
        <v>671</v>
      </c>
      <c r="AE35" s="2626"/>
      <c r="AF35" s="2642" t="s">
        <v>671</v>
      </c>
      <c r="AG35" s="2637"/>
      <c r="AH35" s="2642" t="s">
        <v>671</v>
      </c>
      <c r="AI35" s="2637"/>
      <c r="AJ35" s="2642" t="s">
        <v>671</v>
      </c>
      <c r="AK35" s="2637"/>
      <c r="AL35" s="2642" t="s">
        <v>671</v>
      </c>
      <c r="AM35" s="2637"/>
      <c r="AN35" s="2642" t="s">
        <v>671</v>
      </c>
      <c r="AO35" s="2637"/>
      <c r="AP35" s="2642" t="s">
        <v>671</v>
      </c>
      <c r="AQ35" s="2637"/>
      <c r="AR35" s="2642" t="s">
        <v>671</v>
      </c>
      <c r="AS35" s="2565"/>
      <c r="AT35" s="2642" t="s">
        <v>671</v>
      </c>
      <c r="AU35" s="2637"/>
      <c r="AV35" s="2642" t="s">
        <v>671</v>
      </c>
      <c r="AW35" s="2637"/>
      <c r="AX35" s="2642" t="s">
        <v>671</v>
      </c>
      <c r="AY35" s="2637"/>
      <c r="AZ35" s="2109"/>
      <c r="BA35" s="2637"/>
      <c r="BB35" s="2642" t="s">
        <v>671</v>
      </c>
      <c r="BC35" s="2637"/>
      <c r="BD35" s="2642" t="s">
        <v>671</v>
      </c>
      <c r="BE35" s="2637"/>
    </row>
    <row r="36" spans="1:57" s="77" customFormat="1" x14ac:dyDescent="0.35">
      <c r="A36" s="2641"/>
      <c r="B36" s="2235" t="s">
        <v>2909</v>
      </c>
      <c r="C36" s="2236"/>
      <c r="D36" s="2212"/>
      <c r="E36" s="2212"/>
      <c r="F36" s="2212"/>
      <c r="G36" s="2211"/>
      <c r="H36" s="2642" t="s">
        <v>671</v>
      </c>
      <c r="I36" s="2637"/>
      <c r="J36" s="2643" t="s">
        <v>671</v>
      </c>
      <c r="K36" s="2637"/>
      <c r="L36" s="2643" t="s">
        <v>671</v>
      </c>
      <c r="M36" s="2637"/>
      <c r="N36" s="2643" t="s">
        <v>671</v>
      </c>
      <c r="O36" s="2637"/>
      <c r="P36" s="2642" t="s">
        <v>671</v>
      </c>
      <c r="Q36" s="2626"/>
      <c r="R36" s="2643" t="s">
        <v>671</v>
      </c>
      <c r="S36" s="2637"/>
      <c r="T36" s="2643" t="s">
        <v>671</v>
      </c>
      <c r="U36" s="2637"/>
      <c r="V36" s="2642" t="s">
        <v>671</v>
      </c>
      <c r="W36" s="2637"/>
      <c r="X36" s="2642" t="s">
        <v>671</v>
      </c>
      <c r="Y36" s="2626"/>
      <c r="Z36" s="2643" t="s">
        <v>671</v>
      </c>
      <c r="AA36" s="2637"/>
      <c r="AB36" s="2642" t="s">
        <v>671</v>
      </c>
      <c r="AC36" s="2637"/>
      <c r="AD36" s="2642" t="s">
        <v>671</v>
      </c>
      <c r="AE36" s="2626"/>
      <c r="AF36" s="2642" t="s">
        <v>671</v>
      </c>
      <c r="AG36" s="2637"/>
      <c r="AH36" s="2642" t="s">
        <v>671</v>
      </c>
      <c r="AI36" s="2637"/>
      <c r="AJ36" s="2642" t="s">
        <v>671</v>
      </c>
      <c r="AK36" s="2637"/>
      <c r="AL36" s="2642" t="s">
        <v>671</v>
      </c>
      <c r="AM36" s="2637"/>
      <c r="AN36" s="2642" t="s">
        <v>671</v>
      </c>
      <c r="AO36" s="2637"/>
      <c r="AP36" s="2642" t="s">
        <v>671</v>
      </c>
      <c r="AQ36" s="2637"/>
      <c r="AR36" s="2642" t="s">
        <v>671</v>
      </c>
      <c r="AS36" s="2565"/>
      <c r="AT36" s="2642" t="s">
        <v>671</v>
      </c>
      <c r="AU36" s="2637"/>
      <c r="AV36" s="2642" t="s">
        <v>671</v>
      </c>
      <c r="AW36" s="2637"/>
      <c r="AX36" s="2642" t="s">
        <v>671</v>
      </c>
      <c r="AY36" s="2637"/>
      <c r="AZ36" s="2109"/>
      <c r="BA36" s="2637"/>
      <c r="BB36" s="2642" t="s">
        <v>671</v>
      </c>
      <c r="BC36" s="2637"/>
      <c r="BD36" s="2642" t="s">
        <v>671</v>
      </c>
      <c r="BE36" s="2637"/>
    </row>
    <row r="37" spans="1:57" s="77" customFormat="1" x14ac:dyDescent="0.35">
      <c r="A37" s="2641"/>
      <c r="B37" s="2235"/>
      <c r="C37" s="2236"/>
      <c r="D37" s="2212"/>
      <c r="E37" s="2212"/>
      <c r="F37" s="2212"/>
      <c r="G37" s="2211"/>
      <c r="H37" s="2334"/>
      <c r="I37" s="2637"/>
      <c r="J37" s="2109"/>
      <c r="K37" s="2637"/>
      <c r="L37" s="2637"/>
      <c r="M37" s="2637"/>
      <c r="N37" s="2637"/>
      <c r="O37" s="2637"/>
      <c r="P37" s="2331"/>
      <c r="Q37" s="2626"/>
      <c r="R37" s="2334"/>
      <c r="S37" s="2637"/>
      <c r="T37" s="2637"/>
      <c r="U37" s="2637"/>
      <c r="V37" s="2637"/>
      <c r="W37" s="2637"/>
      <c r="X37" s="2331"/>
      <c r="Y37" s="2626"/>
      <c r="Z37" s="2331"/>
      <c r="AA37" s="2637"/>
      <c r="AB37" s="2637"/>
      <c r="AC37" s="2637"/>
      <c r="AD37" s="2331"/>
      <c r="AE37" s="2626"/>
      <c r="AF37" s="2637"/>
      <c r="AG37" s="2637"/>
      <c r="AH37" s="2109"/>
      <c r="AI37" s="2637"/>
      <c r="AJ37" s="2109"/>
      <c r="AK37" s="2637"/>
      <c r="AL37" s="2088"/>
      <c r="AM37" s="2637"/>
      <c r="AN37" s="2088"/>
      <c r="AO37" s="2637"/>
      <c r="AP37" s="2109"/>
      <c r="AQ37" s="2637"/>
      <c r="AR37" s="2331"/>
      <c r="AS37" s="2565"/>
      <c r="AT37" s="2088"/>
      <c r="AU37" s="2637"/>
      <c r="AV37" s="2637"/>
      <c r="AW37" s="2637"/>
      <c r="AX37" s="2334"/>
      <c r="AY37" s="2637"/>
      <c r="AZ37" s="2109"/>
      <c r="BA37" s="2637"/>
      <c r="BB37" s="2088"/>
      <c r="BC37" s="2637"/>
      <c r="BD37" s="2088"/>
      <c r="BE37" s="2637"/>
    </row>
    <row r="38" spans="1:57" s="77" customFormat="1" x14ac:dyDescent="0.35">
      <c r="A38" s="2641"/>
      <c r="B38" s="2644" t="s">
        <v>2910</v>
      </c>
      <c r="C38" s="2236"/>
      <c r="D38" s="2212"/>
      <c r="E38" s="2341"/>
      <c r="F38" s="2342"/>
      <c r="G38" s="2211"/>
      <c r="H38" s="2634" t="s">
        <v>669</v>
      </c>
      <c r="I38" s="2637">
        <v>1669192</v>
      </c>
      <c r="J38" s="2109" t="s">
        <v>669</v>
      </c>
      <c r="K38" s="2637">
        <f>1952082.94</f>
        <v>1952082.94</v>
      </c>
      <c r="L38" s="2635" t="s">
        <v>669</v>
      </c>
      <c r="M38" s="2637">
        <v>1890446</v>
      </c>
      <c r="N38" s="2635" t="s">
        <v>669</v>
      </c>
      <c r="O38" s="2637">
        <v>1890446</v>
      </c>
      <c r="P38" s="2634" t="s">
        <v>669</v>
      </c>
      <c r="Q38" s="2645">
        <f>1618000-10960</f>
        <v>1607040</v>
      </c>
      <c r="R38" s="2635" t="s">
        <v>669</v>
      </c>
      <c r="S38" s="2637">
        <v>1609217.71</v>
      </c>
      <c r="T38" s="2635" t="s">
        <v>669</v>
      </c>
      <c r="U38" s="2637">
        <v>1748000</v>
      </c>
      <c r="V38" s="2634" t="s">
        <v>669</v>
      </c>
      <c r="W38" s="2637">
        <f>1457792+377000</f>
        <v>1834792</v>
      </c>
      <c r="X38" s="2634" t="s">
        <v>669</v>
      </c>
      <c r="Y38" s="2645">
        <f>1247995+597472</f>
        <v>1845467</v>
      </c>
      <c r="Z38" s="2635" t="s">
        <v>669</v>
      </c>
      <c r="AA38" s="2637"/>
      <c r="AB38" s="2634" t="s">
        <v>669</v>
      </c>
      <c r="AC38" s="2637">
        <f>1669192</f>
        <v>1669192</v>
      </c>
      <c r="AD38" s="2634" t="s">
        <v>669</v>
      </c>
      <c r="AE38" s="2645">
        <v>1771080</v>
      </c>
      <c r="AF38" s="2634" t="s">
        <v>669</v>
      </c>
      <c r="AG38" s="2637">
        <f>1520462+377000</f>
        <v>1897462</v>
      </c>
      <c r="AH38" s="2109" t="s">
        <v>669</v>
      </c>
      <c r="AI38" s="2637">
        <v>2206296.79</v>
      </c>
      <c r="AJ38" s="2109" t="s">
        <v>669</v>
      </c>
      <c r="AK38" s="2637">
        <f>1952082.94</f>
        <v>1952082.94</v>
      </c>
      <c r="AL38" s="2109" t="s">
        <v>669</v>
      </c>
      <c r="AM38" s="2637">
        <f>1755217.58+130361.67</f>
        <v>1885579.25</v>
      </c>
      <c r="AN38" s="2109" t="s">
        <v>669</v>
      </c>
      <c r="AO38" s="2646">
        <v>1658490</v>
      </c>
      <c r="AP38" s="2109" t="s">
        <v>669</v>
      </c>
      <c r="AQ38" s="2637">
        <f>2133150</f>
        <v>2133150</v>
      </c>
      <c r="AR38" s="2634" t="s">
        <v>669</v>
      </c>
      <c r="AS38" s="2565">
        <f>1843866.67+177426.33</f>
        <v>2021293</v>
      </c>
      <c r="AT38" s="2109" t="s">
        <v>669</v>
      </c>
      <c r="AU38" s="2637">
        <v>2141000</v>
      </c>
      <c r="AV38" s="2109" t="s">
        <v>669</v>
      </c>
      <c r="AW38" s="2637">
        <f>1912700+5800+113900</f>
        <v>2032400</v>
      </c>
      <c r="AX38" s="2634" t="s">
        <v>669</v>
      </c>
      <c r="AY38" s="2637">
        <v>1923002</v>
      </c>
      <c r="AZ38" s="2109" t="s">
        <v>669</v>
      </c>
      <c r="BA38" s="2637">
        <v>3393121.9</v>
      </c>
      <c r="BB38" s="2109" t="s">
        <v>669</v>
      </c>
      <c r="BC38" s="2637">
        <v>2150569.5499999998</v>
      </c>
      <c r="BD38" s="2109" t="s">
        <v>669</v>
      </c>
      <c r="BE38" s="2637">
        <v>1252800</v>
      </c>
    </row>
    <row r="39" spans="1:57" s="77" customFormat="1" x14ac:dyDescent="0.35">
      <c r="A39" s="2641"/>
      <c r="B39" s="2644" t="s">
        <v>2911</v>
      </c>
      <c r="C39" s="2236"/>
      <c r="D39" s="2212"/>
      <c r="E39" s="2341"/>
      <c r="F39" s="2342"/>
      <c r="G39" s="2211"/>
      <c r="H39" s="2634" t="s">
        <v>669</v>
      </c>
      <c r="I39" s="2637">
        <v>631083.87</v>
      </c>
      <c r="J39" s="2109" t="s">
        <v>669</v>
      </c>
      <c r="K39" s="2637">
        <f>991564.55</f>
        <v>991564.55</v>
      </c>
      <c r="L39" s="2635" t="s">
        <v>669</v>
      </c>
      <c r="M39" s="2637">
        <v>621718.49</v>
      </c>
      <c r="N39" s="2635" t="s">
        <v>669</v>
      </c>
      <c r="O39" s="2637">
        <f>621718.49-45217.62-25947.83+24160</f>
        <v>574713.04</v>
      </c>
      <c r="P39" s="2634" t="s">
        <v>669</v>
      </c>
      <c r="Q39" s="2645">
        <v>770000</v>
      </c>
      <c r="R39" s="2635" t="s">
        <v>669</v>
      </c>
      <c r="S39" s="2637">
        <v>680582.29</v>
      </c>
      <c r="T39" s="2635" t="s">
        <v>669</v>
      </c>
      <c r="U39" s="2637">
        <v>699000</v>
      </c>
      <c r="V39" s="2634" t="s">
        <v>669</v>
      </c>
      <c r="W39" s="2637">
        <f>792659+12960</f>
        <v>805619</v>
      </c>
      <c r="X39" s="2634" t="s">
        <v>669</v>
      </c>
      <c r="Y39" s="2645">
        <f>441660+306832</f>
        <v>748492</v>
      </c>
      <c r="Z39" s="2635" t="s">
        <v>669</v>
      </c>
      <c r="AA39" s="2637"/>
      <c r="AB39" s="2634" t="s">
        <v>669</v>
      </c>
      <c r="AC39" s="2637">
        <v>631083.87</v>
      </c>
      <c r="AD39" s="2634" t="s">
        <v>669</v>
      </c>
      <c r="AE39" s="2645">
        <f>825870+66950</f>
        <v>892820</v>
      </c>
      <c r="AF39" s="2634" t="s">
        <v>669</v>
      </c>
      <c r="AG39" s="2637">
        <f>542010+230999+12960</f>
        <v>785969</v>
      </c>
      <c r="AH39" s="2109" t="s">
        <v>669</v>
      </c>
      <c r="AI39" s="2637">
        <v>1097798.82</v>
      </c>
      <c r="AJ39" s="2109" t="s">
        <v>669</v>
      </c>
      <c r="AK39" s="2637">
        <f>991564.55</f>
        <v>991564.55</v>
      </c>
      <c r="AL39" s="2109" t="s">
        <v>669</v>
      </c>
      <c r="AM39" s="2637">
        <v>604368.81999999995</v>
      </c>
      <c r="AN39" s="2109" t="s">
        <v>669</v>
      </c>
      <c r="AO39" s="2646">
        <v>1106775</v>
      </c>
      <c r="AP39" s="2109" t="s">
        <v>669</v>
      </c>
      <c r="AQ39" s="2637">
        <f>973695-84186</f>
        <v>889509</v>
      </c>
      <c r="AR39" s="2634" t="s">
        <v>669</v>
      </c>
      <c r="AS39" s="2565">
        <f>1178520</f>
        <v>1178520</v>
      </c>
      <c r="AT39" s="2109" t="s">
        <v>669</v>
      </c>
      <c r="AU39" s="2637">
        <f>769000+148000+114000+128000</f>
        <v>1159000</v>
      </c>
      <c r="AV39" s="2109" t="s">
        <v>669</v>
      </c>
      <c r="AW39" s="2637">
        <f>504300+30300+206000+121700+45500</f>
        <v>907800</v>
      </c>
      <c r="AX39" s="2634" t="s">
        <v>669</v>
      </c>
      <c r="AY39" s="2637">
        <v>1026895</v>
      </c>
      <c r="AZ39" s="2109" t="s">
        <v>671</v>
      </c>
      <c r="BA39" s="2637"/>
      <c r="BB39" s="2647" t="s">
        <v>671</v>
      </c>
      <c r="BC39" s="2637"/>
      <c r="BD39" s="2109" t="s">
        <v>669</v>
      </c>
      <c r="BE39" s="2637">
        <v>982590</v>
      </c>
    </row>
    <row r="40" spans="1:57" s="77" customFormat="1" x14ac:dyDescent="0.35">
      <c r="A40" s="2648"/>
      <c r="B40" s="128"/>
      <c r="C40" s="2236"/>
      <c r="D40" s="2212"/>
      <c r="E40" s="2341"/>
      <c r="F40" s="2342"/>
      <c r="G40" s="2211"/>
      <c r="H40" s="2331"/>
      <c r="I40" s="2649"/>
      <c r="J40" s="2109"/>
      <c r="K40" s="2637"/>
      <c r="L40" s="2637"/>
      <c r="M40" s="2637"/>
      <c r="N40" s="2637"/>
      <c r="O40" s="2637"/>
      <c r="P40" s="2331"/>
      <c r="Q40" s="2645"/>
      <c r="R40" s="2334"/>
      <c r="S40" s="2637"/>
      <c r="T40" s="2331"/>
      <c r="U40" s="2637"/>
      <c r="V40" s="2637"/>
      <c r="W40" s="2637"/>
      <c r="X40" s="2331"/>
      <c r="Y40" s="2645"/>
      <c r="Z40" s="2637"/>
      <c r="AA40" s="2637"/>
      <c r="AB40" s="2331"/>
      <c r="AC40" s="2637"/>
      <c r="AD40" s="2331"/>
      <c r="AE40" s="2645"/>
      <c r="AF40" s="2637"/>
      <c r="AG40" s="2637"/>
      <c r="AH40" s="2109"/>
      <c r="AI40" s="2649"/>
      <c r="AJ40" s="2109"/>
      <c r="AK40" s="2649"/>
      <c r="AL40" s="2088"/>
      <c r="AM40" s="2649"/>
      <c r="AN40" s="2088"/>
      <c r="AO40" s="2649"/>
      <c r="AP40" s="2109"/>
      <c r="AQ40" s="2649"/>
      <c r="AR40" s="2565"/>
      <c r="AS40" s="2565"/>
      <c r="AT40" s="2088"/>
      <c r="AU40" s="2649"/>
      <c r="AV40" s="2637"/>
      <c r="AW40" s="2637"/>
      <c r="AX40" s="2334"/>
      <c r="AY40" s="2649"/>
      <c r="AZ40" s="2109"/>
      <c r="BA40" s="2649"/>
      <c r="BB40" s="2088"/>
      <c r="BC40" s="2649"/>
      <c r="BD40" s="2088"/>
      <c r="BE40" s="2649"/>
    </row>
    <row r="41" spans="1:57" s="77" customFormat="1" x14ac:dyDescent="0.35">
      <c r="A41" s="2641"/>
      <c r="B41" s="2234" t="s">
        <v>2912</v>
      </c>
      <c r="C41" s="2236" t="s">
        <v>2913</v>
      </c>
      <c r="D41" s="2212"/>
      <c r="E41" s="2212"/>
      <c r="F41" s="2212"/>
      <c r="G41" s="2211"/>
      <c r="H41" s="2109" t="s">
        <v>669</v>
      </c>
      <c r="I41" s="2637"/>
      <c r="J41" s="2635" t="s">
        <v>669</v>
      </c>
      <c r="K41" s="2637"/>
      <c r="L41" s="2635" t="s">
        <v>669</v>
      </c>
      <c r="M41" s="2637"/>
      <c r="N41" s="2635" t="s">
        <v>669</v>
      </c>
      <c r="O41" s="2637"/>
      <c r="P41" s="2634" t="s">
        <v>669</v>
      </c>
      <c r="Q41" s="2626"/>
      <c r="R41" s="2635" t="s">
        <v>669</v>
      </c>
      <c r="S41" s="2637"/>
      <c r="T41" s="2109" t="s">
        <v>669</v>
      </c>
      <c r="U41" s="2637"/>
      <c r="V41" s="2634" t="s">
        <v>669</v>
      </c>
      <c r="W41" s="2637"/>
      <c r="X41" s="2634" t="s">
        <v>669</v>
      </c>
      <c r="Y41" s="2626"/>
      <c r="Z41" s="2635" t="s">
        <v>669</v>
      </c>
      <c r="AA41" s="2637"/>
      <c r="AB41" s="2109" t="s">
        <v>669</v>
      </c>
      <c r="AC41" s="2637"/>
      <c r="AD41" s="2634" t="s">
        <v>669</v>
      </c>
      <c r="AE41" s="2626"/>
      <c r="AF41" s="2634" t="s">
        <v>669</v>
      </c>
      <c r="AG41" s="2637"/>
      <c r="AH41" s="2635" t="s">
        <v>669</v>
      </c>
      <c r="AI41" s="2637"/>
      <c r="AJ41" s="2635" t="s">
        <v>669</v>
      </c>
      <c r="AK41" s="2637"/>
      <c r="AL41" s="2109" t="s">
        <v>669</v>
      </c>
      <c r="AM41" s="2637"/>
      <c r="AN41" s="2109" t="s">
        <v>669</v>
      </c>
      <c r="AO41" s="2637"/>
      <c r="AP41" s="2109" t="s">
        <v>669</v>
      </c>
      <c r="AQ41" s="2637"/>
      <c r="AR41" s="2634" t="s">
        <v>669</v>
      </c>
      <c r="AS41" s="2565"/>
      <c r="AT41" s="2634" t="s">
        <v>669</v>
      </c>
      <c r="AU41" s="2637"/>
      <c r="AV41" s="2637"/>
      <c r="AW41" s="2637"/>
      <c r="AX41" s="2634" t="s">
        <v>669</v>
      </c>
      <c r="AY41" s="2637"/>
      <c r="AZ41" s="2109"/>
      <c r="BA41" s="2637"/>
      <c r="BB41" s="2094"/>
      <c r="BC41" s="2637"/>
      <c r="BD41" s="2109" t="s">
        <v>669</v>
      </c>
      <c r="BE41" s="2637"/>
    </row>
    <row r="42" spans="1:57" s="77" customFormat="1" x14ac:dyDescent="0.35">
      <c r="A42" s="2641"/>
      <c r="B42" s="2235" t="s">
        <v>2914</v>
      </c>
      <c r="C42" s="2236" t="s">
        <v>2915</v>
      </c>
      <c r="D42" s="2212"/>
      <c r="E42" s="2212"/>
      <c r="F42" s="2212"/>
      <c r="G42" s="2211"/>
      <c r="H42" s="2634" t="s">
        <v>669</v>
      </c>
      <c r="I42" s="2637">
        <v>19440</v>
      </c>
      <c r="J42" s="2635" t="s">
        <v>669</v>
      </c>
      <c r="K42" s="2637">
        <v>2500</v>
      </c>
      <c r="L42" s="2635" t="s">
        <v>669</v>
      </c>
      <c r="M42" s="2637"/>
      <c r="N42" s="2635" t="s">
        <v>669</v>
      </c>
      <c r="O42" s="2637"/>
      <c r="P42" s="2634" t="s">
        <v>669</v>
      </c>
      <c r="Q42" s="2645"/>
      <c r="R42" s="2635" t="s">
        <v>669</v>
      </c>
      <c r="S42" s="2637"/>
      <c r="T42" s="2635" t="s">
        <v>669</v>
      </c>
      <c r="U42" s="2637">
        <v>17280</v>
      </c>
      <c r="V42" s="2634" t="s">
        <v>669</v>
      </c>
      <c r="W42" s="2637"/>
      <c r="X42" s="2634" t="s">
        <v>669</v>
      </c>
      <c r="Y42" s="2645">
        <v>24979</v>
      </c>
      <c r="Z42" s="2635" t="s">
        <v>669</v>
      </c>
      <c r="AA42" s="2637"/>
      <c r="AB42" s="2634" t="s">
        <v>669</v>
      </c>
      <c r="AC42" s="2637">
        <v>19440</v>
      </c>
      <c r="AD42" s="2634" t="s">
        <v>669</v>
      </c>
      <c r="AE42" s="2645">
        <v>20240</v>
      </c>
      <c r="AF42" s="2634" t="s">
        <v>669</v>
      </c>
      <c r="AG42" s="2637"/>
      <c r="AH42" s="2635" t="s">
        <v>669</v>
      </c>
      <c r="AI42" s="2637">
        <v>2500</v>
      </c>
      <c r="AJ42" s="2635" t="s">
        <v>669</v>
      </c>
      <c r="AK42" s="2637">
        <v>2500</v>
      </c>
      <c r="AL42" s="2109" t="s">
        <v>669</v>
      </c>
      <c r="AM42" s="2637"/>
      <c r="AN42" s="2109" t="s">
        <v>669</v>
      </c>
      <c r="AO42" s="2637"/>
      <c r="AP42" s="2038" t="s">
        <v>654</v>
      </c>
      <c r="AQ42" s="2650">
        <f>I42</f>
        <v>19440</v>
      </c>
      <c r="AR42" s="2634" t="s">
        <v>669</v>
      </c>
      <c r="AS42" s="2565"/>
      <c r="AT42" s="2634" t="s">
        <v>669</v>
      </c>
      <c r="AU42" s="2637"/>
      <c r="AV42" s="2038" t="s">
        <v>654</v>
      </c>
      <c r="AW42" s="2650">
        <f>I42</f>
        <v>19440</v>
      </c>
      <c r="AX42" s="2634" t="s">
        <v>669</v>
      </c>
      <c r="AY42" s="2637"/>
      <c r="AZ42" s="2109"/>
      <c r="BA42" s="2637"/>
      <c r="BB42" s="2094"/>
      <c r="BC42" s="2637"/>
      <c r="BD42" s="2109" t="s">
        <v>671</v>
      </c>
      <c r="BE42" s="2637"/>
    </row>
    <row r="43" spans="1:57" s="77" customFormat="1" ht="29" x14ac:dyDescent="0.35">
      <c r="A43" s="2641"/>
      <c r="B43" s="2317" t="s">
        <v>2916</v>
      </c>
      <c r="C43" s="2236"/>
      <c r="D43" s="2212"/>
      <c r="E43" s="2212"/>
      <c r="F43" s="2212"/>
      <c r="G43" s="2211"/>
      <c r="H43" s="2634" t="s">
        <v>669</v>
      </c>
      <c r="I43" s="2651" t="s">
        <v>2917</v>
      </c>
      <c r="J43" s="2635" t="s">
        <v>669</v>
      </c>
      <c r="K43" s="2637"/>
      <c r="L43" s="2635" t="s">
        <v>669</v>
      </c>
      <c r="M43" s="2651"/>
      <c r="N43" s="2635" t="s">
        <v>669</v>
      </c>
      <c r="O43" s="2651"/>
      <c r="P43" s="2634" t="s">
        <v>669</v>
      </c>
      <c r="Q43" s="2626"/>
      <c r="R43" s="2635" t="s">
        <v>669</v>
      </c>
      <c r="S43" s="2637"/>
      <c r="T43" s="2635" t="s">
        <v>669</v>
      </c>
      <c r="U43" s="2651" t="s">
        <v>2917</v>
      </c>
      <c r="V43" s="2634" t="s">
        <v>669</v>
      </c>
      <c r="W43" s="2649" t="s">
        <v>2918</v>
      </c>
      <c r="X43" s="2634" t="s">
        <v>669</v>
      </c>
      <c r="Y43" s="2652" t="s">
        <v>2919</v>
      </c>
      <c r="Z43" s="2635" t="s">
        <v>669</v>
      </c>
      <c r="AA43" s="2637"/>
      <c r="AB43" s="2634" t="s">
        <v>669</v>
      </c>
      <c r="AC43" s="2651" t="s">
        <v>2917</v>
      </c>
      <c r="AD43" s="2634" t="s">
        <v>669</v>
      </c>
      <c r="AE43" s="2626" t="s">
        <v>2920</v>
      </c>
      <c r="AF43" s="2634" t="s">
        <v>669</v>
      </c>
      <c r="AG43" s="2649" t="s">
        <v>2918</v>
      </c>
      <c r="AH43" s="2635" t="s">
        <v>669</v>
      </c>
      <c r="AI43" s="2637"/>
      <c r="AJ43" s="2635" t="s">
        <v>669</v>
      </c>
      <c r="AK43" s="2637"/>
      <c r="AL43" s="2109" t="s">
        <v>669</v>
      </c>
      <c r="AM43" s="2637"/>
      <c r="AN43" s="2109" t="s">
        <v>669</v>
      </c>
      <c r="AO43" s="2637"/>
      <c r="AP43" s="2634" t="s">
        <v>669</v>
      </c>
      <c r="AQ43" s="2637"/>
      <c r="AR43" s="2634" t="s">
        <v>669</v>
      </c>
      <c r="AS43" s="2653"/>
      <c r="AT43" s="2642" t="s">
        <v>671</v>
      </c>
      <c r="AU43" s="2637" t="s">
        <v>2921</v>
      </c>
      <c r="AV43" s="2634" t="s">
        <v>669</v>
      </c>
      <c r="AW43" s="2637"/>
      <c r="AX43" s="2634" t="s">
        <v>669</v>
      </c>
      <c r="AY43" s="2651" t="s">
        <v>2922</v>
      </c>
      <c r="AZ43" s="2109"/>
      <c r="BA43" s="2637"/>
      <c r="BB43" s="2647"/>
      <c r="BC43" s="2637"/>
      <c r="BD43" s="2647" t="s">
        <v>1613</v>
      </c>
      <c r="BE43" s="2637"/>
    </row>
    <row r="44" spans="1:57" s="77" customFormat="1" ht="29" x14ac:dyDescent="0.35">
      <c r="A44" s="2641"/>
      <c r="B44" s="2317" t="s">
        <v>2923</v>
      </c>
      <c r="C44" s="2236"/>
      <c r="D44" s="2212"/>
      <c r="E44" s="2212"/>
      <c r="F44" s="2212"/>
      <c r="G44" s="2211"/>
      <c r="H44" s="2634" t="s">
        <v>669</v>
      </c>
      <c r="I44" s="2651" t="s">
        <v>2917</v>
      </c>
      <c r="J44" s="2635" t="s">
        <v>669</v>
      </c>
      <c r="K44" s="2637"/>
      <c r="L44" s="2635" t="s">
        <v>669</v>
      </c>
      <c r="M44" s="2651"/>
      <c r="N44" s="2635" t="s">
        <v>669</v>
      </c>
      <c r="O44" s="2651"/>
      <c r="P44" s="2634" t="s">
        <v>669</v>
      </c>
      <c r="Q44" s="2626"/>
      <c r="R44" s="2635" t="s">
        <v>669</v>
      </c>
      <c r="S44" s="2637"/>
      <c r="T44" s="2635" t="s">
        <v>669</v>
      </c>
      <c r="U44" s="2651" t="s">
        <v>2917</v>
      </c>
      <c r="V44" s="2634" t="s">
        <v>669</v>
      </c>
      <c r="W44" s="2649" t="s">
        <v>2918</v>
      </c>
      <c r="X44" s="2634" t="s">
        <v>669</v>
      </c>
      <c r="Y44" s="2652" t="s">
        <v>2919</v>
      </c>
      <c r="Z44" s="2635" t="s">
        <v>669</v>
      </c>
      <c r="AA44" s="2637"/>
      <c r="AB44" s="2634" t="s">
        <v>669</v>
      </c>
      <c r="AC44" s="2651" t="s">
        <v>2917</v>
      </c>
      <c r="AD44" s="2634" t="s">
        <v>669</v>
      </c>
      <c r="AE44" s="2626" t="s">
        <v>2920</v>
      </c>
      <c r="AF44" s="2634" t="s">
        <v>669</v>
      </c>
      <c r="AG44" s="2649" t="s">
        <v>2918</v>
      </c>
      <c r="AH44" s="2635" t="s">
        <v>669</v>
      </c>
      <c r="AI44" s="2637"/>
      <c r="AJ44" s="2635" t="s">
        <v>669</v>
      </c>
      <c r="AK44" s="2637"/>
      <c r="AL44" s="2109" t="s">
        <v>669</v>
      </c>
      <c r="AM44" s="2637"/>
      <c r="AN44" s="2109" t="s">
        <v>669</v>
      </c>
      <c r="AO44" s="2637"/>
      <c r="AP44" s="2634" t="s">
        <v>669</v>
      </c>
      <c r="AQ44" s="2637"/>
      <c r="AR44" s="2634" t="s">
        <v>669</v>
      </c>
      <c r="AS44" s="2653"/>
      <c r="AT44" s="2642" t="s">
        <v>671</v>
      </c>
      <c r="AU44" s="2637" t="s">
        <v>2924</v>
      </c>
      <c r="AV44" s="2634" t="s">
        <v>669</v>
      </c>
      <c r="AW44" s="2637"/>
      <c r="AX44" s="2634" t="s">
        <v>669</v>
      </c>
      <c r="AY44" s="2651" t="s">
        <v>2924</v>
      </c>
      <c r="AZ44" s="2109"/>
      <c r="BA44" s="2637"/>
      <c r="BB44" s="2647"/>
      <c r="BC44" s="2637"/>
      <c r="BD44" s="2647" t="s">
        <v>1613</v>
      </c>
      <c r="BE44" s="2637"/>
    </row>
    <row r="45" spans="1:57" s="77" customFormat="1" x14ac:dyDescent="0.35">
      <c r="A45" s="2641" t="s">
        <v>2925</v>
      </c>
      <c r="B45" s="2235" t="s">
        <v>2926</v>
      </c>
      <c r="C45" s="2236"/>
      <c r="D45" s="2212"/>
      <c r="E45" s="2212"/>
      <c r="F45" s="2212"/>
      <c r="G45" s="2211"/>
      <c r="H45" s="2634" t="s">
        <v>669</v>
      </c>
      <c r="I45" s="2637"/>
      <c r="J45" s="2635" t="s">
        <v>669</v>
      </c>
      <c r="K45" s="2637"/>
      <c r="L45" s="2635" t="s">
        <v>669</v>
      </c>
      <c r="M45" s="2651"/>
      <c r="N45" s="2635" t="s">
        <v>669</v>
      </c>
      <c r="O45" s="2651"/>
      <c r="P45" s="2634" t="s">
        <v>669</v>
      </c>
      <c r="Q45" s="2645"/>
      <c r="R45" s="2635" t="s">
        <v>669</v>
      </c>
      <c r="S45" s="2637"/>
      <c r="T45" s="2635" t="s">
        <v>669</v>
      </c>
      <c r="U45" s="2637"/>
      <c r="V45" s="2634" t="s">
        <v>669</v>
      </c>
      <c r="W45" s="2637"/>
      <c r="X45" s="2634" t="s">
        <v>669</v>
      </c>
      <c r="Y45" s="2654"/>
      <c r="Z45" s="2635" t="s">
        <v>669</v>
      </c>
      <c r="AA45" s="2637"/>
      <c r="AB45" s="2634" t="s">
        <v>669</v>
      </c>
      <c r="AC45" s="2655">
        <v>83459</v>
      </c>
      <c r="AD45" s="2634" t="s">
        <v>669</v>
      </c>
      <c r="AE45" s="2645"/>
      <c r="AF45" s="2634" t="s">
        <v>669</v>
      </c>
      <c r="AG45" s="2637"/>
      <c r="AH45" s="2635" t="s">
        <v>669</v>
      </c>
      <c r="AI45" s="2637"/>
      <c r="AJ45" s="2635" t="s">
        <v>669</v>
      </c>
      <c r="AK45" s="2637"/>
      <c r="AL45" s="2109" t="s">
        <v>669</v>
      </c>
      <c r="AM45" s="2637"/>
      <c r="AN45" s="2109" t="s">
        <v>669</v>
      </c>
      <c r="AO45" s="2637"/>
      <c r="AP45" s="2634" t="s">
        <v>669</v>
      </c>
      <c r="AQ45" s="2637"/>
      <c r="AR45" s="2634" t="s">
        <v>669</v>
      </c>
      <c r="AS45" s="2565"/>
      <c r="AT45" s="2634" t="s">
        <v>669</v>
      </c>
      <c r="AU45" s="2637"/>
      <c r="AV45" s="2634" t="s">
        <v>669</v>
      </c>
      <c r="AW45" s="2637"/>
      <c r="AX45" s="2634" t="s">
        <v>669</v>
      </c>
      <c r="AY45" s="2637"/>
      <c r="AZ45" s="2109"/>
      <c r="BA45" s="2637"/>
      <c r="BB45" s="2094"/>
      <c r="BC45" s="2637"/>
      <c r="BD45" s="2109" t="s">
        <v>669</v>
      </c>
      <c r="BE45" s="2637"/>
    </row>
    <row r="46" spans="1:57" s="77" customFormat="1" ht="25" x14ac:dyDescent="0.35">
      <c r="A46" s="2641" t="s">
        <v>2927</v>
      </c>
      <c r="B46" s="2317" t="s">
        <v>2928</v>
      </c>
      <c r="C46" s="2236"/>
      <c r="D46" s="2212"/>
      <c r="E46" s="2450"/>
      <c r="F46" s="2212"/>
      <c r="G46" s="2211"/>
      <c r="H46" s="2634"/>
      <c r="I46" s="2637"/>
      <c r="J46" s="2635" t="s">
        <v>669</v>
      </c>
      <c r="K46" s="2637"/>
      <c r="L46" s="2635" t="s">
        <v>669</v>
      </c>
      <c r="M46" s="2637"/>
      <c r="N46" s="2635" t="s">
        <v>669</v>
      </c>
      <c r="O46" s="2637"/>
      <c r="P46" s="2634" t="s">
        <v>669</v>
      </c>
      <c r="Q46" s="2645"/>
      <c r="R46" s="2635" t="s">
        <v>669</v>
      </c>
      <c r="S46" s="2637"/>
      <c r="T46" s="2635"/>
      <c r="U46" s="2637"/>
      <c r="V46" s="2634" t="s">
        <v>669</v>
      </c>
      <c r="W46" s="2637">
        <f>63602+30599</f>
        <v>94201</v>
      </c>
      <c r="X46" s="2634" t="s">
        <v>669</v>
      </c>
      <c r="Y46" s="2645">
        <v>56471</v>
      </c>
      <c r="Z46" s="2635" t="s">
        <v>669</v>
      </c>
      <c r="AA46" s="2649"/>
      <c r="AB46" s="2634"/>
      <c r="AC46" s="2637"/>
      <c r="AD46" s="2634" t="s">
        <v>669</v>
      </c>
      <c r="AE46" s="2645">
        <f>17090+20330</f>
        <v>37420</v>
      </c>
      <c r="AF46" s="2634" t="s">
        <v>669</v>
      </c>
      <c r="AG46" s="2637">
        <f>35010+70760+30599</f>
        <v>136369</v>
      </c>
      <c r="AH46" s="2635" t="s">
        <v>669</v>
      </c>
      <c r="AI46" s="2637"/>
      <c r="AJ46" s="2635" t="s">
        <v>669</v>
      </c>
      <c r="AK46" s="2637"/>
      <c r="AL46" s="2109" t="s">
        <v>669</v>
      </c>
      <c r="AM46" s="2637">
        <f>14783.43+39570.96</f>
        <v>54354.39</v>
      </c>
      <c r="AN46" s="2109" t="s">
        <v>669</v>
      </c>
      <c r="AO46" s="2637"/>
      <c r="AP46" s="2634" t="s">
        <v>669</v>
      </c>
      <c r="AQ46" s="2637">
        <v>55500</v>
      </c>
      <c r="AR46" s="2634" t="s">
        <v>669</v>
      </c>
      <c r="AS46" s="2565"/>
      <c r="AT46" s="2634" t="s">
        <v>669</v>
      </c>
      <c r="AU46" s="2637"/>
      <c r="AV46" s="2634" t="s">
        <v>669</v>
      </c>
      <c r="AW46" s="2637">
        <f>39580+13220+58940</f>
        <v>111740</v>
      </c>
      <c r="AX46" s="2634" t="s">
        <v>669</v>
      </c>
      <c r="AY46" s="2637">
        <v>96170</v>
      </c>
      <c r="AZ46" s="2109"/>
      <c r="BA46" s="2637"/>
      <c r="BB46" s="2094"/>
      <c r="BC46" s="2637"/>
      <c r="BD46" s="2109" t="s">
        <v>669</v>
      </c>
      <c r="BE46" s="2637"/>
    </row>
    <row r="47" spans="1:57" s="77" customFormat="1" x14ac:dyDescent="0.35">
      <c r="A47" s="2641"/>
      <c r="B47" s="2235" t="s">
        <v>2929</v>
      </c>
      <c r="C47" s="2236"/>
      <c r="D47" s="2212"/>
      <c r="E47" s="2450"/>
      <c r="F47" s="2212"/>
      <c r="G47" s="2211"/>
      <c r="H47" s="2634" t="s">
        <v>669</v>
      </c>
      <c r="I47" s="2637"/>
      <c r="J47" s="2635" t="s">
        <v>669</v>
      </c>
      <c r="K47" s="2637"/>
      <c r="L47" s="2635" t="s">
        <v>669</v>
      </c>
      <c r="M47" s="2637"/>
      <c r="N47" s="2635" t="s">
        <v>669</v>
      </c>
      <c r="O47" s="2637"/>
      <c r="P47" s="2634" t="s">
        <v>669</v>
      </c>
      <c r="Q47" s="2626"/>
      <c r="R47" s="2635" t="s">
        <v>669</v>
      </c>
      <c r="S47" s="2637"/>
      <c r="T47" s="2635" t="s">
        <v>669</v>
      </c>
      <c r="U47" s="2637"/>
      <c r="V47" s="2634" t="s">
        <v>669</v>
      </c>
      <c r="W47" s="2637"/>
      <c r="X47" s="2634" t="s">
        <v>669</v>
      </c>
      <c r="Y47" s="2626"/>
      <c r="Z47" s="2635" t="s">
        <v>669</v>
      </c>
      <c r="AA47" s="2637"/>
      <c r="AB47" s="2634" t="s">
        <v>669</v>
      </c>
      <c r="AC47" s="2637"/>
      <c r="AD47" s="2634" t="s">
        <v>669</v>
      </c>
      <c r="AE47" s="2626"/>
      <c r="AF47" s="2634" t="s">
        <v>669</v>
      </c>
      <c r="AG47" s="2637"/>
      <c r="AH47" s="2635" t="s">
        <v>669</v>
      </c>
      <c r="AI47" s="2637"/>
      <c r="AJ47" s="2635" t="s">
        <v>669</v>
      </c>
      <c r="AK47" s="2637"/>
      <c r="AL47" s="2109" t="s">
        <v>669</v>
      </c>
      <c r="AM47" s="2637"/>
      <c r="AN47" s="2109" t="s">
        <v>669</v>
      </c>
      <c r="AO47" s="2637"/>
      <c r="AP47" s="2635" t="s">
        <v>669</v>
      </c>
      <c r="AQ47" s="2626"/>
      <c r="AR47" s="2634" t="s">
        <v>669</v>
      </c>
      <c r="AS47" s="2565"/>
      <c r="AT47" s="2634" t="s">
        <v>669</v>
      </c>
      <c r="AU47" s="2637"/>
      <c r="AV47" s="2635" t="s">
        <v>669</v>
      </c>
      <c r="AW47" s="2637">
        <f>101900</f>
        <v>101900</v>
      </c>
      <c r="AX47" s="2634" t="s">
        <v>669</v>
      </c>
      <c r="AY47" s="2637"/>
      <c r="AZ47" s="2109"/>
      <c r="BA47" s="2637"/>
      <c r="BB47" s="2094"/>
      <c r="BC47" s="2637"/>
      <c r="BD47" s="2109" t="s">
        <v>1613</v>
      </c>
      <c r="BE47" s="2637"/>
    </row>
    <row r="48" spans="1:57" s="77" customFormat="1" x14ac:dyDescent="0.35">
      <c r="A48" s="2641" t="s">
        <v>2930</v>
      </c>
      <c r="B48" s="2656" t="s">
        <v>2931</v>
      </c>
      <c r="C48" s="2236"/>
      <c r="D48" s="2212"/>
      <c r="E48" s="2450"/>
      <c r="F48" s="2212"/>
      <c r="G48" s="2211"/>
      <c r="H48" s="2634" t="s">
        <v>669</v>
      </c>
      <c r="I48" s="2637"/>
      <c r="J48" s="2635" t="s">
        <v>669</v>
      </c>
      <c r="K48" s="2637"/>
      <c r="L48" s="2635" t="s">
        <v>669</v>
      </c>
      <c r="M48" s="2637"/>
      <c r="N48" s="2635" t="s">
        <v>669</v>
      </c>
      <c r="O48" s="2637"/>
      <c r="P48" s="2634" t="s">
        <v>669</v>
      </c>
      <c r="Q48" s="2626"/>
      <c r="R48" s="2635" t="s">
        <v>669</v>
      </c>
      <c r="S48" s="2657"/>
      <c r="T48" s="2635" t="s">
        <v>669</v>
      </c>
      <c r="U48" s="2637"/>
      <c r="V48" s="2634" t="s">
        <v>669</v>
      </c>
      <c r="W48" s="2657"/>
      <c r="X48" s="2634" t="s">
        <v>669</v>
      </c>
      <c r="Y48" s="2626"/>
      <c r="Z48" s="2635" t="s">
        <v>669</v>
      </c>
      <c r="AA48" s="2657"/>
      <c r="AB48" s="2634" t="s">
        <v>669</v>
      </c>
      <c r="AC48" s="2637"/>
      <c r="AD48" s="2634" t="s">
        <v>669</v>
      </c>
      <c r="AE48" s="2626"/>
      <c r="AF48" s="2634" t="s">
        <v>669</v>
      </c>
      <c r="AG48" s="2657"/>
      <c r="AH48" s="2635" t="s">
        <v>669</v>
      </c>
      <c r="AI48" s="2637"/>
      <c r="AJ48" s="2635" t="s">
        <v>669</v>
      </c>
      <c r="AK48" s="2637"/>
      <c r="AL48" s="2109" t="s">
        <v>669</v>
      </c>
      <c r="AM48" s="2637"/>
      <c r="AN48" s="2109" t="s">
        <v>669</v>
      </c>
      <c r="AO48" s="2637"/>
      <c r="AP48" s="2635" t="s">
        <v>669</v>
      </c>
      <c r="AQ48" s="2626"/>
      <c r="AR48" s="2634" t="s">
        <v>669</v>
      </c>
      <c r="AS48" s="2658"/>
      <c r="AT48" s="2634" t="s">
        <v>669</v>
      </c>
      <c r="AU48" s="2637"/>
      <c r="AV48" s="2635" t="s">
        <v>669</v>
      </c>
      <c r="AW48" s="2659"/>
      <c r="AX48" s="2634" t="s">
        <v>669</v>
      </c>
      <c r="AY48" s="2657"/>
      <c r="AZ48" s="2109"/>
      <c r="BA48" s="2637"/>
      <c r="BB48" s="2094"/>
      <c r="BC48" s="2637"/>
      <c r="BD48" s="2109" t="s">
        <v>669</v>
      </c>
      <c r="BE48" s="2637"/>
    </row>
    <row r="49" spans="1:57" s="77" customFormat="1" x14ac:dyDescent="0.35">
      <c r="A49" s="2641"/>
      <c r="B49" s="2235" t="s">
        <v>2932</v>
      </c>
      <c r="C49" s="2236"/>
      <c r="D49" s="2212"/>
      <c r="E49" s="2450"/>
      <c r="F49" s="2212"/>
      <c r="G49" s="2211"/>
      <c r="H49" s="2634" t="s">
        <v>669</v>
      </c>
      <c r="I49" s="2637"/>
      <c r="J49" s="2635" t="s">
        <v>669</v>
      </c>
      <c r="K49" s="2637"/>
      <c r="L49" s="2635" t="s">
        <v>669</v>
      </c>
      <c r="M49" s="2637"/>
      <c r="N49" s="2635" t="s">
        <v>669</v>
      </c>
      <c r="O49" s="2637"/>
      <c r="P49" s="2634" t="s">
        <v>669</v>
      </c>
      <c r="Q49" s="2626"/>
      <c r="R49" s="2635" t="s">
        <v>669</v>
      </c>
      <c r="S49" s="2637"/>
      <c r="T49" s="2635" t="s">
        <v>669</v>
      </c>
      <c r="U49" s="2637"/>
      <c r="V49" s="2634" t="s">
        <v>669</v>
      </c>
      <c r="W49" s="2637" t="s">
        <v>2933</v>
      </c>
      <c r="X49" s="2634" t="s">
        <v>669</v>
      </c>
      <c r="Y49" s="2626"/>
      <c r="Z49" s="2635" t="s">
        <v>669</v>
      </c>
      <c r="AA49" s="2637"/>
      <c r="AB49" s="2634" t="s">
        <v>669</v>
      </c>
      <c r="AC49" s="2637"/>
      <c r="AD49" s="2634" t="s">
        <v>669</v>
      </c>
      <c r="AE49" s="2626"/>
      <c r="AF49" s="2642" t="s">
        <v>671</v>
      </c>
      <c r="AG49" s="2637" t="s">
        <v>1475</v>
      </c>
      <c r="AH49" s="2635" t="s">
        <v>669</v>
      </c>
      <c r="AI49" s="2637"/>
      <c r="AJ49" s="2635" t="s">
        <v>669</v>
      </c>
      <c r="AK49" s="2637"/>
      <c r="AL49" s="2109" t="s">
        <v>669</v>
      </c>
      <c r="AM49" s="2637"/>
      <c r="AN49" s="2109" t="s">
        <v>669</v>
      </c>
      <c r="AO49" s="2637"/>
      <c r="AP49" s="2109" t="s">
        <v>669</v>
      </c>
      <c r="AQ49" s="2637"/>
      <c r="AR49" s="2634" t="s">
        <v>669</v>
      </c>
      <c r="AS49" s="2565"/>
      <c r="AT49" s="2634" t="s">
        <v>669</v>
      </c>
      <c r="AU49" s="2637"/>
      <c r="AV49" s="2109" t="s">
        <v>669</v>
      </c>
      <c r="AW49" s="2637"/>
      <c r="AX49" s="2634" t="s">
        <v>669</v>
      </c>
      <c r="AY49" s="2637"/>
      <c r="AZ49" s="2109"/>
      <c r="BA49" s="2637"/>
      <c r="BB49" s="2094"/>
      <c r="BC49" s="2637"/>
      <c r="BD49" s="2094" t="s">
        <v>1613</v>
      </c>
      <c r="BE49" s="2637"/>
    </row>
    <row r="50" spans="1:57" s="77" customFormat="1" x14ac:dyDescent="0.35">
      <c r="A50" s="2641"/>
      <c r="B50" s="2235" t="s">
        <v>2934</v>
      </c>
      <c r="C50" s="2236"/>
      <c r="D50" s="2212"/>
      <c r="E50" s="2450"/>
      <c r="F50" s="2212"/>
      <c r="G50" s="2211"/>
      <c r="H50" s="2634" t="s">
        <v>669</v>
      </c>
      <c r="I50" s="2637"/>
      <c r="J50" s="2635" t="s">
        <v>669</v>
      </c>
      <c r="K50" s="2637"/>
      <c r="L50" s="2635" t="s">
        <v>669</v>
      </c>
      <c r="M50" s="2637"/>
      <c r="N50" s="2635" t="s">
        <v>669</v>
      </c>
      <c r="O50" s="2637"/>
      <c r="P50" s="2634" t="s">
        <v>669</v>
      </c>
      <c r="Q50" s="2626"/>
      <c r="R50" s="2635" t="s">
        <v>669</v>
      </c>
      <c r="S50" s="2637"/>
      <c r="T50" s="2635" t="s">
        <v>669</v>
      </c>
      <c r="U50" s="2637"/>
      <c r="V50" s="2634" t="s">
        <v>669</v>
      </c>
      <c r="W50" s="2637"/>
      <c r="X50" s="2634" t="s">
        <v>669</v>
      </c>
      <c r="Y50" s="2626"/>
      <c r="Z50" s="2635" t="s">
        <v>669</v>
      </c>
      <c r="AA50" s="2637"/>
      <c r="AB50" s="2634" t="s">
        <v>669</v>
      </c>
      <c r="AC50" s="2637"/>
      <c r="AD50" s="2634" t="s">
        <v>669</v>
      </c>
      <c r="AE50" s="2626"/>
      <c r="AF50" s="2642" t="s">
        <v>671</v>
      </c>
      <c r="AG50" s="2637"/>
      <c r="AH50" s="2635" t="s">
        <v>669</v>
      </c>
      <c r="AI50" s="2637"/>
      <c r="AJ50" s="2635" t="s">
        <v>669</v>
      </c>
      <c r="AK50" s="2637"/>
      <c r="AL50" s="2109" t="s">
        <v>669</v>
      </c>
      <c r="AM50" s="2637"/>
      <c r="AN50" s="2109" t="s">
        <v>669</v>
      </c>
      <c r="AO50" s="2637"/>
      <c r="AP50" s="2109" t="s">
        <v>669</v>
      </c>
      <c r="AQ50" s="2637"/>
      <c r="AR50" s="2634" t="s">
        <v>669</v>
      </c>
      <c r="AS50" s="2565"/>
      <c r="AT50" s="2634" t="s">
        <v>669</v>
      </c>
      <c r="AU50" s="2637"/>
      <c r="AV50" s="2109" t="s">
        <v>669</v>
      </c>
      <c r="AW50" s="2637"/>
      <c r="AX50" s="2634" t="s">
        <v>669</v>
      </c>
      <c r="AY50" s="2637"/>
      <c r="AZ50" s="2109"/>
      <c r="BA50" s="2637"/>
      <c r="BB50" s="2094"/>
      <c r="BC50" s="2637"/>
      <c r="BD50" s="2094" t="s">
        <v>1613</v>
      </c>
      <c r="BE50" s="2637"/>
    </row>
    <row r="51" spans="1:57" s="77" customFormat="1" ht="38" x14ac:dyDescent="0.35">
      <c r="A51" s="2641"/>
      <c r="B51" s="2317" t="s">
        <v>2935</v>
      </c>
      <c r="C51" s="2236"/>
      <c r="D51" s="2212"/>
      <c r="E51" s="2341"/>
      <c r="F51" s="2342"/>
      <c r="G51" s="2211"/>
      <c r="H51" s="2642" t="s">
        <v>671</v>
      </c>
      <c r="I51" s="2637"/>
      <c r="J51" s="2038" t="s">
        <v>654</v>
      </c>
      <c r="K51" s="2650">
        <f>AC51</f>
        <v>73440</v>
      </c>
      <c r="L51" s="2635" t="s">
        <v>669</v>
      </c>
      <c r="M51" s="2637"/>
      <c r="N51" s="2635" t="s">
        <v>669</v>
      </c>
      <c r="O51" s="2637"/>
      <c r="P51" s="2634" t="s">
        <v>669</v>
      </c>
      <c r="Q51" s="2645">
        <v>107400</v>
      </c>
      <c r="R51" s="2038" t="s">
        <v>654</v>
      </c>
      <c r="S51" s="2650">
        <f>U51</f>
        <v>73440</v>
      </c>
      <c r="T51" s="2660" t="s">
        <v>654</v>
      </c>
      <c r="U51" s="2650">
        <f>K51</f>
        <v>73440</v>
      </c>
      <c r="V51" s="2660" t="s">
        <v>654</v>
      </c>
      <c r="W51" s="2650">
        <f>U51</f>
        <v>73440</v>
      </c>
      <c r="X51" s="2660" t="s">
        <v>654</v>
      </c>
      <c r="Y51" s="2650">
        <f>W51</f>
        <v>73440</v>
      </c>
      <c r="Z51" s="2635" t="s">
        <v>669</v>
      </c>
      <c r="AA51" s="2637"/>
      <c r="AB51" s="2635" t="s">
        <v>669</v>
      </c>
      <c r="AC51" s="2637">
        <f>432*170</f>
        <v>73440</v>
      </c>
      <c r="AD51" s="2634" t="s">
        <v>669</v>
      </c>
      <c r="AE51" s="2645">
        <v>109650</v>
      </c>
      <c r="AF51" s="2642" t="s">
        <v>671</v>
      </c>
      <c r="AG51" s="2637"/>
      <c r="AH51" s="2661" t="s">
        <v>654</v>
      </c>
      <c r="AI51" s="2650">
        <f>M51</f>
        <v>0</v>
      </c>
      <c r="AJ51" s="2661" t="s">
        <v>654</v>
      </c>
      <c r="AK51" s="2650">
        <f>AI51</f>
        <v>0</v>
      </c>
      <c r="AL51" s="2038" t="s">
        <v>654</v>
      </c>
      <c r="AM51" s="2650">
        <f>AY51</f>
        <v>73440</v>
      </c>
      <c r="AN51" s="2038" t="s">
        <v>654</v>
      </c>
      <c r="AO51" s="2650">
        <f>AY51</f>
        <v>73440</v>
      </c>
      <c r="AP51" s="2661" t="s">
        <v>654</v>
      </c>
      <c r="AQ51" s="2650">
        <f>AC51</f>
        <v>73440</v>
      </c>
      <c r="AR51" s="2661" t="s">
        <v>654</v>
      </c>
      <c r="AS51" s="2650">
        <f>AC51</f>
        <v>73440</v>
      </c>
      <c r="AT51" s="2661" t="s">
        <v>654</v>
      </c>
      <c r="AU51" s="2650">
        <f>AS51</f>
        <v>73440</v>
      </c>
      <c r="AV51" s="2661" t="s">
        <v>654</v>
      </c>
      <c r="AW51" s="2650">
        <f>AU51</f>
        <v>73440</v>
      </c>
      <c r="AX51" s="2661" t="s">
        <v>654</v>
      </c>
      <c r="AY51" s="2650">
        <f>AW51</f>
        <v>73440</v>
      </c>
      <c r="AZ51" s="2109"/>
      <c r="BA51" s="2637"/>
      <c r="BB51" s="2647"/>
      <c r="BC51" s="2637"/>
      <c r="BD51" s="2109" t="s">
        <v>671</v>
      </c>
      <c r="BE51" s="2637"/>
    </row>
    <row r="52" spans="1:57" s="77" customFormat="1" x14ac:dyDescent="0.35">
      <c r="A52" s="2641"/>
      <c r="B52" s="2235" t="s">
        <v>2936</v>
      </c>
      <c r="C52" s="2236"/>
      <c r="D52" s="2212"/>
      <c r="E52" s="2341"/>
      <c r="F52" s="2342"/>
      <c r="G52" s="2211"/>
      <c r="H52" s="2634" t="s">
        <v>669</v>
      </c>
      <c r="I52" s="2637">
        <v>19068</v>
      </c>
      <c r="J52" s="2109" t="s">
        <v>669</v>
      </c>
      <c r="K52" s="2637"/>
      <c r="L52" s="2635" t="s">
        <v>669</v>
      </c>
      <c r="M52" s="2637"/>
      <c r="N52" s="2635" t="s">
        <v>669</v>
      </c>
      <c r="O52" s="2637"/>
      <c r="P52" s="2634" t="s">
        <v>669</v>
      </c>
      <c r="Q52" s="2626"/>
      <c r="R52" s="2635" t="s">
        <v>669</v>
      </c>
      <c r="S52" s="2662"/>
      <c r="T52" s="2635" t="s">
        <v>669</v>
      </c>
      <c r="U52" s="2637"/>
      <c r="V52" s="2634" t="s">
        <v>669</v>
      </c>
      <c r="W52" s="2637"/>
      <c r="X52" s="2634" t="s">
        <v>669</v>
      </c>
      <c r="Y52" s="2626"/>
      <c r="Z52" s="2635" t="s">
        <v>669</v>
      </c>
      <c r="AA52" s="2637"/>
      <c r="AB52" s="2634" t="s">
        <v>669</v>
      </c>
      <c r="AC52" s="2637">
        <v>19068</v>
      </c>
      <c r="AD52" s="2634" t="s">
        <v>669</v>
      </c>
      <c r="AE52" s="2626"/>
      <c r="AF52" s="2634" t="s">
        <v>669</v>
      </c>
      <c r="AG52" s="2637"/>
      <c r="AH52" s="2109" t="s">
        <v>669</v>
      </c>
      <c r="AI52" s="2637">
        <v>25000</v>
      </c>
      <c r="AJ52" s="2109" t="s">
        <v>669</v>
      </c>
      <c r="AK52" s="2637">
        <v>25000</v>
      </c>
      <c r="AL52" s="2109" t="s">
        <v>669</v>
      </c>
      <c r="AM52" s="2637">
        <v>63526.41</v>
      </c>
      <c r="AN52" s="2109" t="s">
        <v>671</v>
      </c>
      <c r="AO52" s="2637"/>
      <c r="AP52" s="2642" t="s">
        <v>671</v>
      </c>
      <c r="AQ52" s="2637"/>
      <c r="AR52" s="2634" t="s">
        <v>669</v>
      </c>
      <c r="AS52" s="2565"/>
      <c r="AT52" s="2634" t="s">
        <v>669</v>
      </c>
      <c r="AU52" s="2637"/>
      <c r="AV52" s="2109" t="s">
        <v>669</v>
      </c>
      <c r="AW52" s="2637">
        <v>35760</v>
      </c>
      <c r="AX52" s="2634" t="s">
        <v>669</v>
      </c>
      <c r="AY52" s="2637">
        <v>113838</v>
      </c>
      <c r="AZ52" s="2109"/>
      <c r="BA52" s="2637"/>
      <c r="BB52" s="2088"/>
      <c r="BC52" s="2637"/>
      <c r="BD52" s="2109" t="s">
        <v>671</v>
      </c>
      <c r="BE52" s="2637"/>
    </row>
    <row r="53" spans="1:57" s="77" customFormat="1" x14ac:dyDescent="0.35">
      <c r="A53" s="2641"/>
      <c r="B53" s="2235" t="s">
        <v>2937</v>
      </c>
      <c r="C53" s="2236"/>
      <c r="D53" s="2212"/>
      <c r="E53" s="2341"/>
      <c r="F53" s="2342"/>
      <c r="G53" s="2211"/>
      <c r="H53" s="2634" t="s">
        <v>669</v>
      </c>
      <c r="I53" s="2637">
        <f>15120</f>
        <v>15120</v>
      </c>
      <c r="J53" s="2109" t="s">
        <v>669</v>
      </c>
      <c r="K53" s="2637"/>
      <c r="L53" s="2635" t="s">
        <v>669</v>
      </c>
      <c r="M53" s="2637"/>
      <c r="N53" s="2635" t="s">
        <v>669</v>
      </c>
      <c r="O53" s="2637"/>
      <c r="P53" s="2635" t="s">
        <v>669</v>
      </c>
      <c r="Q53" s="2659"/>
      <c r="R53" s="2635" t="s">
        <v>669</v>
      </c>
      <c r="S53" s="2637"/>
      <c r="T53" s="2635" t="s">
        <v>669</v>
      </c>
      <c r="U53" s="2637">
        <f>15120</f>
        <v>15120</v>
      </c>
      <c r="V53" s="2634" t="s">
        <v>669</v>
      </c>
      <c r="W53" s="2637"/>
      <c r="X53" s="2634" t="s">
        <v>669</v>
      </c>
      <c r="Y53" s="2637">
        <f>8156</f>
        <v>8156</v>
      </c>
      <c r="Z53" s="2635" t="s">
        <v>669</v>
      </c>
      <c r="AA53" s="2637"/>
      <c r="AB53" s="2634" t="s">
        <v>669</v>
      </c>
      <c r="AC53" s="2637">
        <f>15120</f>
        <v>15120</v>
      </c>
      <c r="AD53" s="2635" t="s">
        <v>669</v>
      </c>
      <c r="AE53" s="2659"/>
      <c r="AF53" s="2661" t="s">
        <v>654</v>
      </c>
      <c r="AG53" s="2650">
        <f>I53</f>
        <v>15120</v>
      </c>
      <c r="AH53" s="2109" t="s">
        <v>669</v>
      </c>
      <c r="AI53" s="2637"/>
      <c r="AJ53" s="2109" t="s">
        <v>669</v>
      </c>
      <c r="AK53" s="2637"/>
      <c r="AL53" s="2109" t="s">
        <v>669</v>
      </c>
      <c r="AM53" s="2637">
        <v>11880</v>
      </c>
      <c r="AN53" s="2038" t="s">
        <v>654</v>
      </c>
      <c r="AO53" s="2650">
        <f>AW53</f>
        <v>15120</v>
      </c>
      <c r="AP53" s="2109" t="s">
        <v>669</v>
      </c>
      <c r="AQ53" s="2637"/>
      <c r="AR53" s="2634" t="s">
        <v>669</v>
      </c>
      <c r="AS53" s="2565"/>
      <c r="AT53" s="2109" t="s">
        <v>669</v>
      </c>
      <c r="AU53" s="2637"/>
      <c r="AV53" s="2038" t="s">
        <v>654</v>
      </c>
      <c r="AW53" s="2650">
        <f>AC53</f>
        <v>15120</v>
      </c>
      <c r="AX53" s="2634" t="s">
        <v>669</v>
      </c>
      <c r="AY53" s="2637">
        <v>35300</v>
      </c>
      <c r="AZ53" s="2109"/>
      <c r="BA53" s="2637"/>
      <c r="BB53" s="2088"/>
      <c r="BC53" s="2637"/>
      <c r="BD53" s="2109" t="s">
        <v>671</v>
      </c>
      <c r="BE53" s="2637"/>
    </row>
    <row r="54" spans="1:57" s="77" customFormat="1" x14ac:dyDescent="0.35">
      <c r="A54" s="2641"/>
      <c r="B54" s="2235" t="s">
        <v>2938</v>
      </c>
      <c r="C54" s="2236"/>
      <c r="D54" s="2212"/>
      <c r="E54" s="2341"/>
      <c r="F54" s="2342"/>
      <c r="G54" s="2211"/>
      <c r="H54" s="2634" t="s">
        <v>669</v>
      </c>
      <c r="I54" s="2637">
        <v>14700</v>
      </c>
      <c r="J54" s="2109" t="s">
        <v>669</v>
      </c>
      <c r="K54" s="2637"/>
      <c r="L54" s="2635" t="s">
        <v>669</v>
      </c>
      <c r="M54" s="2637"/>
      <c r="N54" s="2635" t="s">
        <v>669</v>
      </c>
      <c r="O54" s="2637"/>
      <c r="P54" s="2635" t="s">
        <v>669</v>
      </c>
      <c r="Q54" s="2659"/>
      <c r="R54" s="2635" t="s">
        <v>669</v>
      </c>
      <c r="S54" s="2646">
        <v>39536</v>
      </c>
      <c r="T54" s="2635" t="s">
        <v>669</v>
      </c>
      <c r="U54" s="2637">
        <v>24500</v>
      </c>
      <c r="V54" s="2634" t="s">
        <v>669</v>
      </c>
      <c r="W54" s="2637"/>
      <c r="X54" s="2634" t="s">
        <v>669</v>
      </c>
      <c r="Y54" s="2637">
        <v>18450</v>
      </c>
      <c r="Z54" s="2635" t="s">
        <v>669</v>
      </c>
      <c r="AA54" s="2637"/>
      <c r="AB54" s="2634" t="s">
        <v>669</v>
      </c>
      <c r="AC54" s="2637">
        <v>14700</v>
      </c>
      <c r="AD54" s="2635" t="s">
        <v>669</v>
      </c>
      <c r="AE54" s="2659"/>
      <c r="AF54" s="2661" t="s">
        <v>654</v>
      </c>
      <c r="AG54" s="2650">
        <f>I54</f>
        <v>14700</v>
      </c>
      <c r="AH54" s="2109" t="s">
        <v>669</v>
      </c>
      <c r="AI54" s="2637"/>
      <c r="AJ54" s="2109" t="s">
        <v>669</v>
      </c>
      <c r="AK54" s="2637"/>
      <c r="AL54" s="2109" t="s">
        <v>669</v>
      </c>
      <c r="AM54" s="2637">
        <v>8575</v>
      </c>
      <c r="AN54" s="2038" t="s">
        <v>654</v>
      </c>
      <c r="AO54" s="2650">
        <f>AW54</f>
        <v>14700</v>
      </c>
      <c r="AP54" s="2109" t="s">
        <v>669</v>
      </c>
      <c r="AQ54" s="2637"/>
      <c r="AR54" s="2634" t="s">
        <v>669</v>
      </c>
      <c r="AS54" s="2565"/>
      <c r="AT54" s="2109" t="s">
        <v>669</v>
      </c>
      <c r="AU54" s="2637"/>
      <c r="AV54" s="2038" t="s">
        <v>654</v>
      </c>
      <c r="AW54" s="2650">
        <f>AC54</f>
        <v>14700</v>
      </c>
      <c r="AX54" s="2634" t="s">
        <v>669</v>
      </c>
      <c r="AY54" s="2637"/>
      <c r="AZ54" s="2109"/>
      <c r="BA54" s="2637"/>
      <c r="BB54" s="2088"/>
      <c r="BC54" s="2637"/>
      <c r="BD54" s="2109" t="s">
        <v>671</v>
      </c>
      <c r="BE54" s="2637"/>
    </row>
    <row r="55" spans="1:57" s="77" customFormat="1" x14ac:dyDescent="0.35">
      <c r="A55" s="2641"/>
      <c r="B55" s="2235" t="s">
        <v>2939</v>
      </c>
      <c r="C55" s="2236"/>
      <c r="D55" s="2212"/>
      <c r="E55" s="2341"/>
      <c r="F55" s="2342"/>
      <c r="G55" s="2211"/>
      <c r="H55" s="2642" t="s">
        <v>671</v>
      </c>
      <c r="I55" s="2637"/>
      <c r="J55" s="2109" t="s">
        <v>671</v>
      </c>
      <c r="K55" s="2663">
        <v>-56000</v>
      </c>
      <c r="L55" s="2643" t="s">
        <v>671</v>
      </c>
      <c r="M55" s="2637"/>
      <c r="N55" s="2643" t="s">
        <v>671</v>
      </c>
      <c r="O55" s="2637"/>
      <c r="P55" s="2109" t="s">
        <v>671</v>
      </c>
      <c r="Q55" s="2626"/>
      <c r="R55" s="2643" t="s">
        <v>671</v>
      </c>
      <c r="S55" s="2637"/>
      <c r="T55" s="2643" t="s">
        <v>671</v>
      </c>
      <c r="U55" s="2637"/>
      <c r="V55" s="2642" t="s">
        <v>671</v>
      </c>
      <c r="W55" s="2663">
        <v>-45630</v>
      </c>
      <c r="X55" s="2109" t="s">
        <v>671</v>
      </c>
      <c r="Y55" s="2626"/>
      <c r="Z55" s="2109" t="s">
        <v>671</v>
      </c>
      <c r="AA55" s="2637"/>
      <c r="AB55" s="2642" t="s">
        <v>671</v>
      </c>
      <c r="AC55" s="2637"/>
      <c r="AD55" s="2109" t="s">
        <v>671</v>
      </c>
      <c r="AE55" s="2626"/>
      <c r="AF55" s="2642" t="s">
        <v>671</v>
      </c>
      <c r="AG55" s="2637"/>
      <c r="AH55" s="2109" t="s">
        <v>671</v>
      </c>
      <c r="AI55" s="2663">
        <v>-56000</v>
      </c>
      <c r="AJ55" s="2109" t="s">
        <v>671</v>
      </c>
      <c r="AK55" s="2663">
        <v>-56000</v>
      </c>
      <c r="AL55" s="2109" t="s">
        <v>671</v>
      </c>
      <c r="AM55" s="2637"/>
      <c r="AN55" s="2109" t="s">
        <v>671</v>
      </c>
      <c r="AO55" s="2637"/>
      <c r="AP55" s="2642" t="s">
        <v>671</v>
      </c>
      <c r="AQ55" s="2637"/>
      <c r="AR55" s="2109" t="s">
        <v>671</v>
      </c>
      <c r="AS55" s="2565"/>
      <c r="AT55" s="2109" t="s">
        <v>671</v>
      </c>
      <c r="AU55" s="2663">
        <v>-38000</v>
      </c>
      <c r="AV55" s="2642" t="s">
        <v>671</v>
      </c>
      <c r="AW55" s="2637"/>
      <c r="AX55" s="2642" t="s">
        <v>671</v>
      </c>
      <c r="AY55" s="2637"/>
      <c r="AZ55" s="2109"/>
      <c r="BA55" s="2637"/>
      <c r="BB55" s="2088"/>
      <c r="BC55" s="2637"/>
      <c r="BD55" s="2109" t="s">
        <v>671</v>
      </c>
      <c r="BE55" s="2637"/>
    </row>
    <row r="56" spans="1:57" s="77" customFormat="1" x14ac:dyDescent="0.35">
      <c r="A56" s="2641"/>
      <c r="B56" s="2235" t="s">
        <v>2940</v>
      </c>
      <c r="C56" s="2236"/>
      <c r="D56" s="2212"/>
      <c r="E56" s="2341"/>
      <c r="F56" s="2342"/>
      <c r="G56" s="2211"/>
      <c r="H56" s="2642" t="s">
        <v>671</v>
      </c>
      <c r="I56" s="2637"/>
      <c r="J56" s="2109" t="s">
        <v>671</v>
      </c>
      <c r="K56" s="2663">
        <v>-25000</v>
      </c>
      <c r="L56" s="2643" t="s">
        <v>671</v>
      </c>
      <c r="M56" s="2637"/>
      <c r="N56" s="2643" t="s">
        <v>671</v>
      </c>
      <c r="O56" s="2637"/>
      <c r="P56" s="2109" t="s">
        <v>671</v>
      </c>
      <c r="Q56" s="2626"/>
      <c r="R56" s="2643" t="s">
        <v>671</v>
      </c>
      <c r="S56" s="2637"/>
      <c r="T56" s="2643" t="s">
        <v>671</v>
      </c>
      <c r="U56" s="2637"/>
      <c r="V56" s="2642" t="s">
        <v>671</v>
      </c>
      <c r="W56" s="2663">
        <v>-39200</v>
      </c>
      <c r="X56" s="2109" t="s">
        <v>671</v>
      </c>
      <c r="Y56" s="2626"/>
      <c r="Z56" s="2109" t="s">
        <v>671</v>
      </c>
      <c r="AA56" s="2637"/>
      <c r="AB56" s="2642" t="s">
        <v>671</v>
      </c>
      <c r="AC56" s="2637"/>
      <c r="AD56" s="2109" t="s">
        <v>671</v>
      </c>
      <c r="AE56" s="2626"/>
      <c r="AF56" s="2642" t="s">
        <v>671</v>
      </c>
      <c r="AG56" s="2637"/>
      <c r="AH56" s="2109" t="s">
        <v>671</v>
      </c>
      <c r="AI56" s="2663">
        <v>-25000</v>
      </c>
      <c r="AJ56" s="2109" t="s">
        <v>671</v>
      </c>
      <c r="AK56" s="2663">
        <v>-25000</v>
      </c>
      <c r="AL56" s="2109" t="s">
        <v>671</v>
      </c>
      <c r="AM56" s="2637"/>
      <c r="AN56" s="2109" t="s">
        <v>671</v>
      </c>
      <c r="AO56" s="2637"/>
      <c r="AP56" s="2642" t="s">
        <v>671</v>
      </c>
      <c r="AQ56" s="2637"/>
      <c r="AR56" s="2109" t="s">
        <v>671</v>
      </c>
      <c r="AS56" s="2565"/>
      <c r="AT56" s="2109" t="s">
        <v>671</v>
      </c>
      <c r="AU56" s="2663">
        <v>-40000</v>
      </c>
      <c r="AV56" s="2642" t="s">
        <v>671</v>
      </c>
      <c r="AW56" s="2637"/>
      <c r="AX56" s="2642" t="s">
        <v>671</v>
      </c>
      <c r="AY56" s="2637"/>
      <c r="AZ56" s="2109"/>
      <c r="BA56" s="2637"/>
      <c r="BB56" s="2088"/>
      <c r="BC56" s="2637"/>
      <c r="BD56" s="2109" t="s">
        <v>671</v>
      </c>
      <c r="BE56" s="2637"/>
    </row>
    <row r="57" spans="1:57" s="77" customFormat="1" x14ac:dyDescent="0.35">
      <c r="A57" s="2641"/>
      <c r="B57" s="2235"/>
      <c r="C57" s="2236"/>
      <c r="D57" s="2212"/>
      <c r="E57" s="2341"/>
      <c r="F57" s="2342"/>
      <c r="G57" s="2211"/>
      <c r="H57" s="2334"/>
      <c r="I57" s="2637"/>
      <c r="J57" s="2109"/>
      <c r="K57" s="2637"/>
      <c r="L57" s="2637"/>
      <c r="M57" s="2637"/>
      <c r="N57" s="2637"/>
      <c r="O57" s="2637"/>
      <c r="P57" s="2647"/>
      <c r="Q57" s="2645"/>
      <c r="R57" s="2334"/>
      <c r="S57" s="2637"/>
      <c r="T57" s="2334"/>
      <c r="U57" s="2637"/>
      <c r="V57" s="2637"/>
      <c r="W57" s="2637"/>
      <c r="X57" s="2647"/>
      <c r="Y57" s="2645"/>
      <c r="Z57" s="2637"/>
      <c r="AA57" s="2637"/>
      <c r="AB57" s="2334"/>
      <c r="AC57" s="2637"/>
      <c r="AD57" s="2647"/>
      <c r="AE57" s="2645"/>
      <c r="AF57" s="2637"/>
      <c r="AG57" s="2637"/>
      <c r="AH57" s="2109"/>
      <c r="AI57" s="2637"/>
      <c r="AJ57" s="2109"/>
      <c r="AK57" s="2637"/>
      <c r="AL57" s="2088"/>
      <c r="AM57" s="2637"/>
      <c r="AN57" s="2088"/>
      <c r="AO57" s="2637"/>
      <c r="AP57" s="2109"/>
      <c r="AQ57" s="2637"/>
      <c r="AR57" s="2565"/>
      <c r="AS57" s="2565"/>
      <c r="AT57" s="2647"/>
      <c r="AU57" s="2637"/>
      <c r="AV57" s="2637"/>
      <c r="AW57" s="2637"/>
      <c r="AX57" s="2334"/>
      <c r="AY57" s="2637"/>
      <c r="AZ57" s="2109"/>
      <c r="BA57" s="2637"/>
      <c r="BB57" s="2088"/>
      <c r="BC57" s="2637"/>
      <c r="BD57" s="2088"/>
      <c r="BE57" s="2637"/>
    </row>
    <row r="58" spans="1:57" s="77" customFormat="1" x14ac:dyDescent="0.35">
      <c r="A58" s="2648"/>
      <c r="B58" s="2235" t="s">
        <v>2941</v>
      </c>
      <c r="C58" s="2236"/>
      <c r="D58" s="2212"/>
      <c r="E58" s="2341"/>
      <c r="F58" s="2342"/>
      <c r="G58" s="2211"/>
      <c r="H58" s="2634" t="s">
        <v>669</v>
      </c>
      <c r="I58" s="2649">
        <v>134972</v>
      </c>
      <c r="J58" s="2109" t="s">
        <v>671</v>
      </c>
      <c r="K58" s="2637"/>
      <c r="L58" s="2635" t="s">
        <v>669</v>
      </c>
      <c r="M58" s="2637" t="s">
        <v>2942</v>
      </c>
      <c r="N58" s="2635" t="s">
        <v>669</v>
      </c>
      <c r="O58" s="2637" t="s">
        <v>2942</v>
      </c>
      <c r="P58" s="2635" t="s">
        <v>669</v>
      </c>
      <c r="Q58" s="2645"/>
      <c r="R58" s="2109" t="s">
        <v>671</v>
      </c>
      <c r="S58" s="2637"/>
      <c r="T58" s="2635" t="s">
        <v>669</v>
      </c>
      <c r="U58" s="2637"/>
      <c r="V58" s="2642" t="s">
        <v>671</v>
      </c>
      <c r="W58" s="2637"/>
      <c r="X58" s="2634" t="s">
        <v>669</v>
      </c>
      <c r="Y58" s="2645"/>
      <c r="Z58" s="2635" t="s">
        <v>669</v>
      </c>
      <c r="AA58" s="2637"/>
      <c r="AB58" s="2634" t="s">
        <v>669</v>
      </c>
      <c r="AC58" s="2649">
        <v>134972</v>
      </c>
      <c r="AD58" s="2634" t="s">
        <v>669</v>
      </c>
      <c r="AE58" s="2649">
        <v>117874</v>
      </c>
      <c r="AF58" s="2642" t="s">
        <v>671</v>
      </c>
      <c r="AG58" s="2637"/>
      <c r="AH58" s="2109" t="s">
        <v>671</v>
      </c>
      <c r="AI58" s="2649"/>
      <c r="AJ58" s="2109" t="s">
        <v>671</v>
      </c>
      <c r="AK58" s="2649"/>
      <c r="AL58" s="2109" t="s">
        <v>669</v>
      </c>
      <c r="AM58" s="2649"/>
      <c r="AN58" s="2109" t="s">
        <v>669</v>
      </c>
      <c r="AO58" s="2649"/>
      <c r="AP58" s="2109" t="s">
        <v>671</v>
      </c>
      <c r="AQ58" s="2649"/>
      <c r="AR58" s="2634" t="s">
        <v>669</v>
      </c>
      <c r="AS58" s="2565"/>
      <c r="AT58" s="2109" t="s">
        <v>671</v>
      </c>
      <c r="AU58" s="2649"/>
      <c r="AV58" s="2109" t="s">
        <v>671</v>
      </c>
      <c r="AW58" s="2637"/>
      <c r="AX58" s="2109" t="s">
        <v>671</v>
      </c>
      <c r="AY58" s="2649"/>
      <c r="AZ58" s="2109"/>
      <c r="BA58" s="2649"/>
      <c r="BB58" s="2088"/>
      <c r="BC58" s="2649"/>
      <c r="BD58" s="2088" t="s">
        <v>1613</v>
      </c>
      <c r="BE58" s="2649"/>
    </row>
    <row r="59" spans="1:57" s="77" customFormat="1" x14ac:dyDescent="0.35">
      <c r="A59" s="2648"/>
      <c r="B59" s="2235" t="s">
        <v>2943</v>
      </c>
      <c r="C59" s="2236"/>
      <c r="D59" s="2212"/>
      <c r="E59" s="2341"/>
      <c r="F59" s="2342"/>
      <c r="G59" s="2211"/>
      <c r="H59" s="2635" t="s">
        <v>669</v>
      </c>
      <c r="I59" s="2637"/>
      <c r="J59" s="2109" t="s">
        <v>671</v>
      </c>
      <c r="K59" s="2637"/>
      <c r="L59" s="2635" t="s">
        <v>669</v>
      </c>
      <c r="M59" s="2637" t="s">
        <v>2944</v>
      </c>
      <c r="N59" s="2635" t="s">
        <v>669</v>
      </c>
      <c r="O59" s="2637" t="s">
        <v>2944</v>
      </c>
      <c r="P59" s="2635" t="s">
        <v>669</v>
      </c>
      <c r="Q59" s="2645"/>
      <c r="R59" s="2109"/>
      <c r="S59" s="2637"/>
      <c r="T59" s="2635" t="s">
        <v>669</v>
      </c>
      <c r="U59" s="2637"/>
      <c r="V59" s="2642" t="s">
        <v>671</v>
      </c>
      <c r="W59" s="2637"/>
      <c r="X59" s="2635" t="s">
        <v>669</v>
      </c>
      <c r="Y59" s="2645"/>
      <c r="Z59" s="2635" t="s">
        <v>669</v>
      </c>
      <c r="AA59" s="2637"/>
      <c r="AB59" s="2635" t="s">
        <v>669</v>
      </c>
      <c r="AC59" s="2637"/>
      <c r="AD59" s="2634" t="s">
        <v>669</v>
      </c>
      <c r="AE59" s="2637"/>
      <c r="AF59" s="2642" t="s">
        <v>671</v>
      </c>
      <c r="AG59" s="2637"/>
      <c r="AH59" s="2109"/>
      <c r="AI59" s="2637"/>
      <c r="AJ59" s="2109" t="s">
        <v>671</v>
      </c>
      <c r="AK59" s="2637"/>
      <c r="AL59" s="2109" t="s">
        <v>669</v>
      </c>
      <c r="AM59" s="2637"/>
      <c r="AN59" s="2109" t="s">
        <v>669</v>
      </c>
      <c r="AO59" s="2637"/>
      <c r="AP59" s="2109" t="s">
        <v>671</v>
      </c>
      <c r="AQ59" s="2637"/>
      <c r="AR59" s="2634" t="s">
        <v>669</v>
      </c>
      <c r="AS59" s="2655"/>
      <c r="AT59" s="2109"/>
      <c r="AU59" s="2637"/>
      <c r="AV59" s="2109"/>
      <c r="AW59" s="2637"/>
      <c r="AX59" s="2109"/>
      <c r="AY59" s="2637"/>
      <c r="AZ59" s="2109"/>
      <c r="BA59" s="2637"/>
      <c r="BB59" s="2088"/>
      <c r="BC59" s="2637"/>
      <c r="BD59" s="2088" t="s">
        <v>1613</v>
      </c>
      <c r="BE59" s="2637"/>
    </row>
    <row r="60" spans="1:57" s="77" customFormat="1" x14ac:dyDescent="0.35">
      <c r="A60" s="2641"/>
      <c r="B60" s="2235" t="s">
        <v>2945</v>
      </c>
      <c r="C60" s="2236"/>
      <c r="D60" s="2212"/>
      <c r="E60" s="2341"/>
      <c r="F60" s="2342"/>
      <c r="G60" s="2211"/>
      <c r="H60" s="2634" t="s">
        <v>669</v>
      </c>
      <c r="I60" s="2637"/>
      <c r="J60" s="2109" t="s">
        <v>669</v>
      </c>
      <c r="K60" s="2637">
        <f>-623647.49</f>
        <v>-623647.49</v>
      </c>
      <c r="L60" s="2635" t="s">
        <v>669</v>
      </c>
      <c r="M60" s="2637"/>
      <c r="N60" s="2635" t="s">
        <v>669</v>
      </c>
      <c r="O60" s="2637"/>
      <c r="P60" s="2634" t="s">
        <v>669</v>
      </c>
      <c r="Q60" s="2645"/>
      <c r="R60" s="2635" t="s">
        <v>669</v>
      </c>
      <c r="S60" s="2637"/>
      <c r="T60" s="2635" t="s">
        <v>669</v>
      </c>
      <c r="U60" s="2637"/>
      <c r="V60" s="2634" t="s">
        <v>669</v>
      </c>
      <c r="W60" s="2637"/>
      <c r="X60" s="2634" t="s">
        <v>669</v>
      </c>
      <c r="Y60" s="2626"/>
      <c r="Z60" s="2635" t="s">
        <v>669</v>
      </c>
      <c r="AA60" s="2637"/>
      <c r="AB60" s="2634" t="s">
        <v>669</v>
      </c>
      <c r="AC60" s="2637"/>
      <c r="AD60" s="2634" t="s">
        <v>669</v>
      </c>
      <c r="AE60" s="2645"/>
      <c r="AF60" s="2634" t="s">
        <v>669</v>
      </c>
      <c r="AG60" s="2637"/>
      <c r="AH60" s="2109" t="s">
        <v>669</v>
      </c>
      <c r="AI60" s="2637">
        <f>-304095.61</f>
        <v>-304095.61</v>
      </c>
      <c r="AJ60" s="2109" t="s">
        <v>669</v>
      </c>
      <c r="AK60" s="2637">
        <f>-304095.61</f>
        <v>-304095.61</v>
      </c>
      <c r="AL60" s="2109" t="s">
        <v>669</v>
      </c>
      <c r="AM60" s="2637"/>
      <c r="AN60" s="2109" t="s">
        <v>669</v>
      </c>
      <c r="AO60" s="2637"/>
      <c r="AP60" s="2109" t="s">
        <v>669</v>
      </c>
      <c r="AQ60" s="2637"/>
      <c r="AR60" s="2634" t="s">
        <v>669</v>
      </c>
      <c r="AS60" s="2565"/>
      <c r="AT60" s="2634" t="s">
        <v>669</v>
      </c>
      <c r="AU60" s="2637"/>
      <c r="AV60" s="2109" t="s">
        <v>669</v>
      </c>
      <c r="AW60" s="2637"/>
      <c r="AX60" s="2634" t="s">
        <v>669</v>
      </c>
      <c r="AY60" s="2637"/>
      <c r="AZ60" s="2109"/>
      <c r="BA60" s="2637"/>
      <c r="BB60" s="2088"/>
      <c r="BC60" s="2637"/>
      <c r="BD60" s="2088" t="s">
        <v>1613</v>
      </c>
      <c r="BE60" s="2637"/>
    </row>
    <row r="61" spans="1:57" x14ac:dyDescent="0.35">
      <c r="A61" s="14"/>
      <c r="B61" s="15"/>
      <c r="C61" s="16"/>
      <c r="D61" s="16"/>
      <c r="E61" s="17"/>
      <c r="F61" s="18" t="s">
        <v>715</v>
      </c>
      <c r="G61" s="19"/>
      <c r="H61" s="20"/>
      <c r="I61" s="50">
        <f>SUM(I23:I60)</f>
        <v>2503575.87</v>
      </c>
      <c r="J61" s="20"/>
      <c r="K61" s="50">
        <f>SUM(K23:K60)</f>
        <v>2314940</v>
      </c>
      <c r="L61" s="20"/>
      <c r="M61" s="50">
        <f>SUM(M23:M60)</f>
        <v>2512164.4900000002</v>
      </c>
      <c r="N61" s="20"/>
      <c r="O61" s="50">
        <f>SUM(O23:O60)</f>
        <v>2465159.04</v>
      </c>
      <c r="P61" s="20"/>
      <c r="Q61" s="222">
        <f>SUM(Q23:Q60)</f>
        <v>2484440</v>
      </c>
      <c r="R61" s="20"/>
      <c r="S61" s="50">
        <f>SUM(S23:S60)</f>
        <v>2402776</v>
      </c>
      <c r="T61" s="20"/>
      <c r="U61" s="50">
        <f>SUM(U23:U60)</f>
        <v>2577340</v>
      </c>
      <c r="V61" s="20"/>
      <c r="W61" s="222">
        <f>SUM(W23:W60)</f>
        <v>2723222</v>
      </c>
      <c r="X61" s="20"/>
      <c r="Y61" s="222">
        <f>SUM(Y23:Y60)</f>
        <v>2775455</v>
      </c>
      <c r="Z61" s="20"/>
      <c r="AA61" s="222">
        <f>SUM(AA23:AA60)</f>
        <v>2902663</v>
      </c>
      <c r="AB61" s="20"/>
      <c r="AC61" s="50">
        <f>SUM(AC23:AC60)</f>
        <v>2660474.87</v>
      </c>
      <c r="AD61" s="20"/>
      <c r="AE61" s="222">
        <f>SUM(AE23:AE60)</f>
        <v>2949084</v>
      </c>
      <c r="AF61" s="20"/>
      <c r="AG61" s="222">
        <f>SUM(AG23:AG60)</f>
        <v>2849620</v>
      </c>
      <c r="AH61" s="20"/>
      <c r="AI61" s="50">
        <f>SUM(AI23:AI60)</f>
        <v>2946500.0000000005</v>
      </c>
      <c r="AJ61" s="20"/>
      <c r="AK61" s="50">
        <f>SUM(AK23:AK60)</f>
        <v>2586051.8800000004</v>
      </c>
      <c r="AL61" s="20"/>
      <c r="AM61" s="50">
        <f>SUM(AM23:AM60)</f>
        <v>2701723.87</v>
      </c>
      <c r="AN61" s="20"/>
      <c r="AO61" s="50">
        <f>SUM(AO23:AO60)</f>
        <v>2868525</v>
      </c>
      <c r="AP61" s="20"/>
      <c r="AQ61" s="50">
        <f>SUM(AQ23:AQ60)</f>
        <v>3171039</v>
      </c>
      <c r="AR61" s="20"/>
      <c r="AS61" s="222">
        <f>SUM(AS23:AS60)</f>
        <v>3273253</v>
      </c>
      <c r="AT61" s="20"/>
      <c r="AU61" s="50">
        <f>SUM(AU23:AU60)</f>
        <v>3295440</v>
      </c>
      <c r="AV61" s="20"/>
      <c r="AW61" s="50">
        <f>SUM(AW23:AW60)</f>
        <v>3312300</v>
      </c>
      <c r="AX61" s="20"/>
      <c r="AY61" s="50">
        <f>SUM(AY23:AY60)</f>
        <v>3268645</v>
      </c>
      <c r="AZ61" s="20"/>
      <c r="BA61" s="50">
        <f>SUM(BA23:BA60)</f>
        <v>3393121.9</v>
      </c>
      <c r="BB61" s="20"/>
      <c r="BC61" s="50">
        <f>SUM(BC23:BC60)</f>
        <v>2150569.5499999998</v>
      </c>
      <c r="BD61" s="20"/>
      <c r="BE61" s="50">
        <f>SUM(BE23:BE60)</f>
        <v>2235390</v>
      </c>
    </row>
    <row r="62" spans="1:57" x14ac:dyDescent="0.35">
      <c r="A62" s="2239"/>
      <c r="B62" s="2240"/>
      <c r="C62" s="2241"/>
      <c r="D62" s="2241"/>
      <c r="E62" s="2242"/>
      <c r="F62" s="2243" t="s">
        <v>716</v>
      </c>
      <c r="G62" s="2244"/>
      <c r="H62" s="2065">
        <v>0</v>
      </c>
      <c r="I62" s="2064"/>
      <c r="J62" s="2664">
        <v>0.01</v>
      </c>
      <c r="K62" s="2064"/>
      <c r="L62" s="2065">
        <v>0</v>
      </c>
      <c r="M62" s="2064"/>
      <c r="N62" s="2065">
        <v>0</v>
      </c>
      <c r="O62" s="2064"/>
      <c r="P62" s="2065">
        <v>0</v>
      </c>
      <c r="Q62" s="2064"/>
      <c r="R62" s="2664">
        <v>5.0000000000000001E-3</v>
      </c>
      <c r="S62" s="2064"/>
      <c r="T62" s="2664">
        <v>5.0000000000000001E-3</v>
      </c>
      <c r="U62" s="2064"/>
      <c r="V62" s="2065">
        <v>0</v>
      </c>
      <c r="W62" s="2064"/>
      <c r="X62" s="2065">
        <v>0</v>
      </c>
      <c r="Y62" s="2064"/>
      <c r="Z62" s="2065">
        <v>0</v>
      </c>
      <c r="AA62" s="2064"/>
      <c r="AB62" s="2065">
        <v>0</v>
      </c>
      <c r="AC62" s="2064"/>
      <c r="AD62" s="2065">
        <v>0</v>
      </c>
      <c r="AE62" s="2064"/>
      <c r="AF62" s="2065">
        <v>0</v>
      </c>
      <c r="AG62" s="2064"/>
      <c r="AH62" s="2664">
        <v>5.0000000000000001E-3</v>
      </c>
      <c r="AI62" s="2064"/>
      <c r="AJ62" s="2664">
        <v>5.0000000000000001E-3</v>
      </c>
      <c r="AK62" s="2064"/>
      <c r="AL62" s="2664">
        <v>5.0000000000000001E-3</v>
      </c>
      <c r="AM62" s="2064"/>
      <c r="AN62" s="2664">
        <v>5.0000000000000001E-3</v>
      </c>
      <c r="AO62" s="2064"/>
      <c r="AP62" s="2664">
        <v>5.0000000000000001E-3</v>
      </c>
      <c r="AQ62" s="2064"/>
      <c r="AR62" s="2065">
        <v>0</v>
      </c>
      <c r="AS62" s="2064"/>
      <c r="AT62" s="2664">
        <v>5.0000000000000001E-3</v>
      </c>
      <c r="AU62" s="2064"/>
      <c r="AV62" s="2664">
        <v>5.0000000000000001E-3</v>
      </c>
      <c r="AW62" s="2064"/>
      <c r="AX62" s="2664">
        <v>5.0000000000000001E-3</v>
      </c>
      <c r="AY62" s="2064"/>
      <c r="AZ62" s="2664">
        <v>5.0000000000000001E-3</v>
      </c>
      <c r="BA62" s="2064"/>
      <c r="BB62" s="2664">
        <v>5.0000000000000001E-3</v>
      </c>
      <c r="BC62" s="2064"/>
      <c r="BD62" s="2664">
        <v>5.0000000000000001E-3</v>
      </c>
      <c r="BE62" s="2064"/>
    </row>
    <row r="63" spans="1:57" x14ac:dyDescent="0.35">
      <c r="A63" s="2239"/>
      <c r="B63" s="2240"/>
      <c r="C63" s="2241"/>
      <c r="D63" s="2241"/>
      <c r="E63" s="2242"/>
      <c r="F63" s="2243" t="s">
        <v>717</v>
      </c>
      <c r="G63" s="2244"/>
      <c r="H63" s="2066"/>
      <c r="I63" s="2067">
        <f>H62*I61</f>
        <v>0</v>
      </c>
      <c r="J63" s="2066"/>
      <c r="K63" s="2067">
        <f>J62*K61</f>
        <v>23149.4</v>
      </c>
      <c r="L63" s="2066"/>
      <c r="M63" s="2067">
        <f>L62*M61</f>
        <v>0</v>
      </c>
      <c r="N63" s="2066"/>
      <c r="O63" s="2067">
        <f>N62*O61</f>
        <v>0</v>
      </c>
      <c r="P63" s="2066"/>
      <c r="Q63" s="2067">
        <f>P62*Q61</f>
        <v>0</v>
      </c>
      <c r="R63" s="2066"/>
      <c r="S63" s="2067">
        <f>R62*S61</f>
        <v>12013.880000000001</v>
      </c>
      <c r="T63" s="2066"/>
      <c r="U63" s="2067">
        <f>T62*U61</f>
        <v>12886.7</v>
      </c>
      <c r="V63" s="2066"/>
      <c r="W63" s="2067">
        <f>V62*W61</f>
        <v>0</v>
      </c>
      <c r="X63" s="2066"/>
      <c r="Y63" s="2067">
        <f>X62*Y61</f>
        <v>0</v>
      </c>
      <c r="Z63" s="2066"/>
      <c r="AA63" s="2067">
        <f>Z62*AA61</f>
        <v>0</v>
      </c>
      <c r="AB63" s="2066"/>
      <c r="AC63" s="2067">
        <f>AB62*AC61</f>
        <v>0</v>
      </c>
      <c r="AD63" s="2066"/>
      <c r="AE63" s="2067">
        <f>AD62*AE61</f>
        <v>0</v>
      </c>
      <c r="AF63" s="2066"/>
      <c r="AG63" s="2067">
        <f>AF62*AG61</f>
        <v>0</v>
      </c>
      <c r="AH63" s="2066"/>
      <c r="AI63" s="2067">
        <f>AH62*AI61</f>
        <v>14732.500000000002</v>
      </c>
      <c r="AJ63" s="2066"/>
      <c r="AK63" s="2067">
        <f>AJ62*AK61</f>
        <v>12930.259400000003</v>
      </c>
      <c r="AL63" s="2066"/>
      <c r="AM63" s="2067">
        <f>AL62*AM61</f>
        <v>13508.619350000001</v>
      </c>
      <c r="AN63" s="2066"/>
      <c r="AO63" s="2067">
        <f>AN62*AO61</f>
        <v>14342.625</v>
      </c>
      <c r="AP63" s="2066"/>
      <c r="AQ63" s="2067">
        <f>AP62*AQ61</f>
        <v>15855.195</v>
      </c>
      <c r="AR63" s="2066"/>
      <c r="AS63" s="2067">
        <f>AR62*AS61</f>
        <v>0</v>
      </c>
      <c r="AT63" s="2066"/>
      <c r="AU63" s="2067">
        <f>AT62*AU61</f>
        <v>16477.2</v>
      </c>
      <c r="AV63" s="2066"/>
      <c r="AW63" s="2067">
        <f>AV62*AW61</f>
        <v>16561.5</v>
      </c>
      <c r="AX63" s="2066"/>
      <c r="AY63" s="2067">
        <f>AX62*AY61</f>
        <v>16343.225</v>
      </c>
      <c r="AZ63" s="2066"/>
      <c r="BA63" s="2067">
        <f>AZ62*BA61</f>
        <v>16965.609499999999</v>
      </c>
      <c r="BB63" s="2066"/>
      <c r="BC63" s="2067">
        <f>BB62*BC61</f>
        <v>10752.847749999999</v>
      </c>
      <c r="BD63" s="2066"/>
      <c r="BE63" s="2067">
        <f>BD62*BE61</f>
        <v>11176.95</v>
      </c>
    </row>
    <row r="64" spans="1:57" x14ac:dyDescent="0.35">
      <c r="A64" s="2239"/>
      <c r="B64" s="2240"/>
      <c r="C64" s="2241"/>
      <c r="D64" s="2241"/>
      <c r="E64" s="2242"/>
      <c r="F64" s="2243"/>
      <c r="G64" s="2244"/>
      <c r="H64" s="2066"/>
      <c r="I64" s="2068"/>
      <c r="J64" s="2066"/>
      <c r="K64" s="2068"/>
      <c r="L64" s="2066"/>
      <c r="M64" s="2068"/>
      <c r="N64" s="2066"/>
      <c r="O64" s="2068"/>
      <c r="P64" s="2066"/>
      <c r="Q64" s="2068"/>
      <c r="R64" s="2066"/>
      <c r="S64" s="2068"/>
      <c r="T64" s="2066"/>
      <c r="U64" s="2068"/>
      <c r="V64" s="2066"/>
      <c r="W64" s="2068"/>
      <c r="X64" s="2066"/>
      <c r="Y64" s="2068"/>
      <c r="Z64" s="2066"/>
      <c r="AA64" s="2068"/>
      <c r="AB64" s="2066"/>
      <c r="AC64" s="2068"/>
      <c r="AD64" s="2066"/>
      <c r="AE64" s="2068"/>
      <c r="AF64" s="2066"/>
      <c r="AG64" s="2068"/>
      <c r="AH64" s="2066"/>
      <c r="AI64" s="2068"/>
      <c r="AJ64" s="2066"/>
      <c r="AK64" s="2068"/>
      <c r="AL64" s="2066"/>
      <c r="AM64" s="2068"/>
      <c r="AN64" s="2066"/>
      <c r="AO64" s="2068"/>
      <c r="AP64" s="2066"/>
      <c r="AQ64" s="2068"/>
      <c r="AR64" s="2066"/>
      <c r="AS64" s="2068"/>
      <c r="AT64" s="2066"/>
      <c r="AU64" s="2068"/>
      <c r="AV64" s="2066"/>
      <c r="AW64" s="2068"/>
      <c r="AX64" s="2066"/>
      <c r="AY64" s="2068"/>
      <c r="AZ64" s="2066"/>
      <c r="BA64" s="2068"/>
      <c r="BB64" s="2066"/>
      <c r="BC64" s="2068"/>
      <c r="BD64" s="2066"/>
      <c r="BE64" s="2068"/>
    </row>
    <row r="65" spans="1:57" x14ac:dyDescent="0.35">
      <c r="A65" s="2239"/>
      <c r="B65" s="2240"/>
      <c r="C65" s="2241"/>
      <c r="D65" s="2241"/>
      <c r="E65" s="2242"/>
      <c r="F65" s="2243" t="s">
        <v>718</v>
      </c>
      <c r="G65" s="2244"/>
      <c r="H65" s="2069"/>
      <c r="I65" s="2070">
        <f>SUM(I61:I63)</f>
        <v>2503575.87</v>
      </c>
      <c r="J65" s="2069"/>
      <c r="K65" s="2070">
        <f>SUM(K61:K63)</f>
        <v>2338089.4</v>
      </c>
      <c r="L65" s="2069"/>
      <c r="M65" s="2070">
        <f>SUM(M61:M63)</f>
        <v>2512164.4900000002</v>
      </c>
      <c r="N65" s="2069"/>
      <c r="O65" s="2070">
        <f>SUM(O61:O63)</f>
        <v>2465159.04</v>
      </c>
      <c r="P65" s="2069"/>
      <c r="Q65" s="2070">
        <f>SUM(Q61:Q63)</f>
        <v>2484440</v>
      </c>
      <c r="R65" s="2069"/>
      <c r="S65" s="2070">
        <f>SUM(S61:S63)</f>
        <v>2414789.88</v>
      </c>
      <c r="T65" s="2069"/>
      <c r="U65" s="2070">
        <f>SUM(U61:U63)</f>
        <v>2590226.7000000002</v>
      </c>
      <c r="V65" s="2069"/>
      <c r="W65" s="2070">
        <f>SUM(W61:W63)</f>
        <v>2723222</v>
      </c>
      <c r="X65" s="2069"/>
      <c r="Y65" s="2070">
        <f>SUM(Y61:Y63)</f>
        <v>2775455</v>
      </c>
      <c r="Z65" s="2069"/>
      <c r="AA65" s="2070">
        <f>SUM(AA61:AA63)</f>
        <v>2902663</v>
      </c>
      <c r="AB65" s="2069"/>
      <c r="AC65" s="2070">
        <f>SUM(AC61:AC63)</f>
        <v>2660474.87</v>
      </c>
      <c r="AD65" s="2069"/>
      <c r="AE65" s="2070">
        <f>SUM(AE61:AE63)</f>
        <v>2949084</v>
      </c>
      <c r="AF65" s="2069"/>
      <c r="AG65" s="2070">
        <f>SUM(AG61:AG63)</f>
        <v>2849620</v>
      </c>
      <c r="AH65" s="2069"/>
      <c r="AI65" s="2070">
        <f>SUM(AI61:AI63)</f>
        <v>2961232.5000000005</v>
      </c>
      <c r="AJ65" s="2069"/>
      <c r="AK65" s="2070">
        <f>SUM(AK61:AK63)</f>
        <v>2598982.1394000002</v>
      </c>
      <c r="AL65" s="2069"/>
      <c r="AM65" s="2070">
        <f>SUM(AM61:AM63)</f>
        <v>2715232.4893499999</v>
      </c>
      <c r="AN65" s="2069"/>
      <c r="AO65" s="2070">
        <f>SUM(AO61:AO63)</f>
        <v>2882867.625</v>
      </c>
      <c r="AP65" s="2069"/>
      <c r="AQ65" s="2070">
        <f>SUM(AQ61:AQ63)</f>
        <v>3186894.1949999998</v>
      </c>
      <c r="AR65" s="2069"/>
      <c r="AS65" s="2070">
        <f>SUM(AS61:AS63)</f>
        <v>3273253</v>
      </c>
      <c r="AT65" s="2069"/>
      <c r="AU65" s="2070">
        <f>SUM(AU61:AU63)</f>
        <v>3311917.2</v>
      </c>
      <c r="AV65" s="2069"/>
      <c r="AW65" s="2070">
        <f>SUM(AW61:AW63)</f>
        <v>3328861.5</v>
      </c>
      <c r="AX65" s="2069"/>
      <c r="AY65" s="2070">
        <f>SUM(AY61:AY63)</f>
        <v>3284988.2250000001</v>
      </c>
      <c r="AZ65" s="2069"/>
      <c r="BA65" s="2070">
        <f>SUM(BA61:BA63)</f>
        <v>3410087.5094999997</v>
      </c>
      <c r="BB65" s="2069"/>
      <c r="BC65" s="2070">
        <f>SUM(BC61:BC63)</f>
        <v>2161322.39775</v>
      </c>
      <c r="BD65" s="2069"/>
      <c r="BE65" s="2070">
        <f>SUM(BE61:BE63)</f>
        <v>2246566.9500000002</v>
      </c>
    </row>
    <row r="66" spans="1:57" x14ac:dyDescent="0.35">
      <c r="A66" s="2239"/>
      <c r="B66" s="2240"/>
      <c r="C66" s="2241"/>
      <c r="D66" s="2241"/>
      <c r="E66" s="2242"/>
      <c r="F66" s="2255" t="s">
        <v>719</v>
      </c>
      <c r="G66" s="2256"/>
      <c r="H66" s="2073"/>
      <c r="I66" s="2074" t="e">
        <f>I65/#REF!</f>
        <v>#REF!</v>
      </c>
      <c r="J66" s="2073"/>
      <c r="K66" s="2074" t="e">
        <f>K65/#REF!</f>
        <v>#REF!</v>
      </c>
      <c r="L66" s="2073"/>
      <c r="M66" s="2074" t="e">
        <f>M65/#REF!</f>
        <v>#REF!</v>
      </c>
      <c r="N66" s="2073"/>
      <c r="O66" s="2074" t="e">
        <f>O65/#REF!</f>
        <v>#REF!</v>
      </c>
      <c r="P66" s="2073"/>
      <c r="Q66" s="2074" t="e">
        <f>Q65/#REF!</f>
        <v>#REF!</v>
      </c>
      <c r="R66" s="2073"/>
      <c r="S66" s="2074" t="e">
        <f>S65/#REF!</f>
        <v>#REF!</v>
      </c>
      <c r="T66" s="2073"/>
      <c r="U66" s="2074" t="e">
        <f>U65/#REF!</f>
        <v>#REF!</v>
      </c>
      <c r="V66" s="2073"/>
      <c r="W66" s="2074" t="e">
        <f>W65/#REF!</f>
        <v>#REF!</v>
      </c>
      <c r="X66" s="2073"/>
      <c r="Y66" s="2074" t="e">
        <f>Y65/#REF!</f>
        <v>#REF!</v>
      </c>
      <c r="Z66" s="2073"/>
      <c r="AA66" s="2074" t="e">
        <f>AA65/#REF!</f>
        <v>#REF!</v>
      </c>
      <c r="AB66" s="2073"/>
      <c r="AC66" s="2074" t="e">
        <f>AC65/#REF!</f>
        <v>#REF!</v>
      </c>
      <c r="AD66" s="2073"/>
      <c r="AE66" s="2074" t="e">
        <f>AE65/#REF!</f>
        <v>#REF!</v>
      </c>
      <c r="AF66" s="2073"/>
      <c r="AG66" s="2074" t="e">
        <f>AG65/#REF!</f>
        <v>#REF!</v>
      </c>
      <c r="AH66" s="2073"/>
      <c r="AI66" s="2074" t="e">
        <f>AI65/#REF!</f>
        <v>#REF!</v>
      </c>
      <c r="AJ66" s="2073"/>
      <c r="AK66" s="2074" t="e">
        <f>AK65/#REF!</f>
        <v>#REF!</v>
      </c>
      <c r="AL66" s="2073"/>
      <c r="AM66" s="2074" t="e">
        <f>AM65/#REF!</f>
        <v>#REF!</v>
      </c>
      <c r="AN66" s="2073"/>
      <c r="AO66" s="2074" t="e">
        <f>AO65/#REF!</f>
        <v>#REF!</v>
      </c>
      <c r="AP66" s="2073"/>
      <c r="AQ66" s="2074" t="e">
        <f>AQ65/#REF!</f>
        <v>#REF!</v>
      </c>
      <c r="AR66" s="2073"/>
      <c r="AS66" s="2074" t="e">
        <f>AS65/#REF!</f>
        <v>#REF!</v>
      </c>
      <c r="AT66" s="2073"/>
      <c r="AU66" s="2074" t="e">
        <f>AU65/#REF!</f>
        <v>#REF!</v>
      </c>
      <c r="AV66" s="2073"/>
      <c r="AW66" s="2074" t="e">
        <f>AW65/#REF!</f>
        <v>#REF!</v>
      </c>
      <c r="AX66" s="2073"/>
      <c r="AY66" s="2074" t="e">
        <f>AY65/#REF!</f>
        <v>#REF!</v>
      </c>
      <c r="AZ66" s="2073"/>
      <c r="BA66" s="2074" t="e">
        <f>BA65/#REF!</f>
        <v>#REF!</v>
      </c>
      <c r="BB66" s="2073"/>
      <c r="BC66" s="2074" t="e">
        <f>BC65/#REF!</f>
        <v>#REF!</v>
      </c>
      <c r="BD66" s="2073"/>
      <c r="BE66" s="2074" t="e">
        <f>BE65/#REF!</f>
        <v>#REF!</v>
      </c>
    </row>
    <row r="67" spans="1:57" x14ac:dyDescent="0.35">
      <c r="A67" s="2239"/>
      <c r="B67" s="2240"/>
      <c r="C67" s="2241"/>
      <c r="D67" s="2241"/>
      <c r="E67" s="2242"/>
      <c r="F67" s="2255" t="s">
        <v>720</v>
      </c>
      <c r="G67" s="2260"/>
      <c r="H67" s="2073"/>
      <c r="I67" s="2074" t="e">
        <f>I65/#REF!</f>
        <v>#REF!</v>
      </c>
      <c r="J67" s="2073"/>
      <c r="K67" s="2074" t="e">
        <f>K65/#REF!</f>
        <v>#REF!</v>
      </c>
      <c r="L67" s="2073"/>
      <c r="M67" s="2074" t="e">
        <f>M65/#REF!</f>
        <v>#REF!</v>
      </c>
      <c r="N67" s="2073"/>
      <c r="O67" s="2074" t="e">
        <f>O65/#REF!</f>
        <v>#REF!</v>
      </c>
      <c r="P67" s="2073"/>
      <c r="Q67" s="2074" t="e">
        <f>Q65/#REF!</f>
        <v>#REF!</v>
      </c>
      <c r="R67" s="2073"/>
      <c r="S67" s="2074" t="e">
        <f>S65/#REF!</f>
        <v>#REF!</v>
      </c>
      <c r="T67" s="2073"/>
      <c r="U67" s="2074" t="e">
        <f>U65/#REF!</f>
        <v>#REF!</v>
      </c>
      <c r="V67" s="2073"/>
      <c r="W67" s="2074" t="e">
        <f>W65/#REF!</f>
        <v>#REF!</v>
      </c>
      <c r="X67" s="2073"/>
      <c r="Y67" s="2074" t="e">
        <f>Y65/#REF!</f>
        <v>#REF!</v>
      </c>
      <c r="Z67" s="2073"/>
      <c r="AA67" s="2074" t="e">
        <f>AA65/#REF!</f>
        <v>#REF!</v>
      </c>
      <c r="AB67" s="2073"/>
      <c r="AC67" s="2074" t="e">
        <f>AC65/#REF!</f>
        <v>#REF!</v>
      </c>
      <c r="AD67" s="2073"/>
      <c r="AE67" s="2074" t="e">
        <f>AE65/#REF!</f>
        <v>#REF!</v>
      </c>
      <c r="AF67" s="2073"/>
      <c r="AG67" s="2074" t="e">
        <f>AG65/#REF!</f>
        <v>#REF!</v>
      </c>
      <c r="AH67" s="2073"/>
      <c r="AI67" s="2074" t="e">
        <f>AI65/#REF!</f>
        <v>#REF!</v>
      </c>
      <c r="AJ67" s="2073"/>
      <c r="AK67" s="2074" t="e">
        <f>AK65/#REF!</f>
        <v>#REF!</v>
      </c>
      <c r="AL67" s="2073"/>
      <c r="AM67" s="2074" t="e">
        <f>AM65/#REF!</f>
        <v>#REF!</v>
      </c>
      <c r="AN67" s="2073"/>
      <c r="AO67" s="2074" t="e">
        <f>AO65/#REF!</f>
        <v>#REF!</v>
      </c>
      <c r="AP67" s="2073"/>
      <c r="AQ67" s="2074" t="e">
        <f>AQ65/#REF!</f>
        <v>#REF!</v>
      </c>
      <c r="AR67" s="2073"/>
      <c r="AS67" s="2074" t="e">
        <f>AS65/#REF!</f>
        <v>#REF!</v>
      </c>
      <c r="AT67" s="2073"/>
      <c r="AU67" s="2074" t="e">
        <f>AU65/#REF!</f>
        <v>#REF!</v>
      </c>
      <c r="AV67" s="2073"/>
      <c r="AW67" s="2074" t="e">
        <f>AW65/#REF!</f>
        <v>#REF!</v>
      </c>
      <c r="AX67" s="2073"/>
      <c r="AY67" s="2074" t="e">
        <f>AY65/#REF!</f>
        <v>#REF!</v>
      </c>
      <c r="AZ67" s="2073"/>
      <c r="BA67" s="2074" t="e">
        <f>BA65/#REF!</f>
        <v>#REF!</v>
      </c>
      <c r="BB67" s="2073"/>
      <c r="BC67" s="2074" t="e">
        <f>BC65/#REF!</f>
        <v>#REF!</v>
      </c>
      <c r="BD67" s="2073"/>
      <c r="BE67" s="2074" t="e">
        <f>BE65/#REF!</f>
        <v>#REF!</v>
      </c>
    </row>
    <row r="68" spans="1:57" x14ac:dyDescent="0.35">
      <c r="A68" s="2239"/>
      <c r="B68" s="2240"/>
      <c r="C68" s="2241"/>
      <c r="D68" s="2241"/>
      <c r="E68" s="2242"/>
      <c r="F68" s="2243"/>
      <c r="G68" s="2261"/>
      <c r="H68" s="2077"/>
      <c r="I68" s="2078"/>
      <c r="J68" s="2077"/>
      <c r="K68" s="2078"/>
      <c r="L68" s="1285"/>
      <c r="M68" s="1285"/>
      <c r="N68" s="1285"/>
      <c r="O68" s="1285"/>
      <c r="P68" s="2077"/>
      <c r="Q68" s="2078"/>
      <c r="R68" s="1285"/>
      <c r="S68" s="1285"/>
      <c r="T68" s="2077"/>
      <c r="U68" s="2078"/>
      <c r="V68" s="2077"/>
      <c r="W68" s="2078"/>
      <c r="X68" s="2077"/>
      <c r="Y68" s="2078"/>
      <c r="Z68" s="2077"/>
      <c r="AA68" s="2078"/>
      <c r="AB68" s="2077"/>
      <c r="AC68" s="2078"/>
      <c r="AD68" s="2077"/>
      <c r="AE68" s="2078"/>
      <c r="AF68" s="2077"/>
      <c r="AG68" s="2078"/>
      <c r="AH68" s="2077"/>
      <c r="AI68" s="2078"/>
      <c r="AJ68" s="2077"/>
      <c r="AK68" s="2078"/>
      <c r="AL68" s="2077"/>
      <c r="AM68" s="2078"/>
      <c r="AN68" s="2077"/>
      <c r="AO68" s="2078"/>
      <c r="AP68" s="2077"/>
      <c r="AQ68" s="2078"/>
      <c r="AR68" s="2077"/>
      <c r="AS68" s="2078"/>
      <c r="AT68" s="2077"/>
      <c r="AU68" s="2078"/>
      <c r="AV68" s="2077"/>
      <c r="AW68" s="2078"/>
      <c r="AX68" s="1285"/>
      <c r="AY68" s="1285"/>
      <c r="AZ68" s="2077"/>
      <c r="BA68" s="2078"/>
      <c r="BB68" s="2077"/>
      <c r="BC68" s="2078"/>
      <c r="BD68" s="2077"/>
      <c r="BE68" s="2078"/>
    </row>
    <row r="69" spans="1:57" x14ac:dyDescent="0.35">
      <c r="A69" s="3764" t="s">
        <v>721</v>
      </c>
      <c r="B69" s="3765"/>
      <c r="C69" s="12"/>
      <c r="D69" s="12"/>
      <c r="E69" s="12"/>
      <c r="F69" s="12"/>
      <c r="G69" s="13"/>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row>
    <row r="70" spans="1:57" x14ac:dyDescent="0.35">
      <c r="A70" s="2665"/>
      <c r="B70" s="2284" t="s">
        <v>2946</v>
      </c>
      <c r="C70" s="2666"/>
      <c r="D70" s="2666"/>
      <c r="E70" s="2666"/>
      <c r="F70" s="2666"/>
      <c r="G70" s="2667"/>
      <c r="H70" s="2668"/>
      <c r="I70" s="2668"/>
      <c r="J70" s="2668"/>
      <c r="K70" s="2668"/>
      <c r="L70" s="2668"/>
      <c r="M70" s="2668"/>
      <c r="N70" s="2668"/>
      <c r="O70" s="2668"/>
      <c r="P70" s="2668"/>
      <c r="Q70" s="2668"/>
      <c r="R70" s="2668"/>
      <c r="S70" s="2668"/>
      <c r="T70" s="2668"/>
      <c r="U70" s="2668"/>
      <c r="V70" s="2668"/>
      <c r="W70" s="2668"/>
      <c r="X70" s="2668"/>
      <c r="Y70" s="2668"/>
      <c r="Z70" s="2668"/>
      <c r="AA70" s="2668"/>
      <c r="AB70" s="2668"/>
      <c r="AC70" s="2668"/>
      <c r="AD70" s="2668"/>
      <c r="AE70" s="2668"/>
      <c r="AF70" s="2668"/>
      <c r="AG70" s="2668"/>
      <c r="AH70" s="2668"/>
      <c r="AI70" s="2668"/>
      <c r="AJ70" s="2668"/>
      <c r="AK70" s="2668"/>
      <c r="AL70" s="2668"/>
      <c r="AM70" s="2668"/>
      <c r="AN70" s="2668"/>
      <c r="AO70" s="2668"/>
      <c r="AP70" s="2668"/>
      <c r="AQ70" s="2668"/>
      <c r="AR70" s="2668"/>
      <c r="AS70" s="2668"/>
      <c r="AT70" s="2668"/>
      <c r="AU70" s="2668"/>
      <c r="AV70" s="2668"/>
      <c r="AW70" s="2668"/>
      <c r="AX70" s="2668"/>
      <c r="AY70" s="2668"/>
      <c r="AZ70" s="2668"/>
      <c r="BA70" s="2668"/>
      <c r="BB70" s="2668"/>
      <c r="BC70" s="2668"/>
      <c r="BD70" s="2668"/>
      <c r="BE70" s="2668"/>
    </row>
    <row r="71" spans="1:57" s="2" customFormat="1" x14ac:dyDescent="0.35">
      <c r="A71" s="2665"/>
      <c r="B71" s="2284" t="s">
        <v>2947</v>
      </c>
      <c r="C71" s="2666"/>
      <c r="D71" s="2666"/>
      <c r="E71" s="2666"/>
      <c r="F71" s="2666"/>
      <c r="G71" s="2667"/>
      <c r="H71" s="2668"/>
      <c r="I71" s="2668"/>
      <c r="J71" s="2668"/>
      <c r="K71" s="2668"/>
      <c r="L71" s="2668"/>
      <c r="M71" s="2668"/>
      <c r="N71" s="2668"/>
      <c r="O71" s="2668"/>
      <c r="P71" s="2668"/>
      <c r="Q71" s="2668"/>
      <c r="R71" s="2668"/>
      <c r="S71" s="2668"/>
      <c r="T71" s="2668"/>
      <c r="U71" s="2668"/>
      <c r="V71" s="2668"/>
      <c r="W71" s="2668"/>
      <c r="X71" s="2668"/>
      <c r="Y71" s="2668"/>
      <c r="Z71" s="2668"/>
      <c r="AA71" s="2668"/>
      <c r="AB71" s="2668"/>
      <c r="AC71" s="2668"/>
      <c r="AD71" s="2668"/>
      <c r="AE71" s="2668"/>
      <c r="AF71" s="2668"/>
      <c r="AG71" s="2668"/>
      <c r="AH71" s="2668"/>
      <c r="AI71" s="2668"/>
      <c r="AJ71" s="2668"/>
      <c r="AK71" s="2668"/>
      <c r="AL71" s="2668"/>
      <c r="AM71" s="2668"/>
      <c r="AN71" s="2668"/>
      <c r="AO71" s="2668"/>
      <c r="AP71" s="2668"/>
      <c r="AQ71" s="2668"/>
      <c r="AR71" s="2668"/>
      <c r="AS71" s="2668"/>
      <c r="AT71" s="2668"/>
      <c r="AU71" s="2668"/>
      <c r="AV71" s="2668"/>
      <c r="AW71" s="2668"/>
      <c r="AX71" s="2668"/>
      <c r="AY71" s="2668"/>
      <c r="AZ71" s="2668"/>
      <c r="BA71" s="2668"/>
      <c r="BB71" s="2668"/>
      <c r="BC71" s="2668"/>
      <c r="BD71" s="2668"/>
      <c r="BE71" s="2668"/>
    </row>
    <row r="72" spans="1:57" s="2" customFormat="1" x14ac:dyDescent="0.35">
      <c r="A72" s="2665"/>
      <c r="B72" s="2284" t="s">
        <v>2948</v>
      </c>
      <c r="C72" s="2666"/>
      <c r="D72" s="2666"/>
      <c r="E72" s="2666"/>
      <c r="F72" s="2666"/>
      <c r="G72" s="2667"/>
      <c r="H72" s="2668"/>
      <c r="I72" s="2668"/>
      <c r="J72" s="2668"/>
      <c r="K72" s="2668"/>
      <c r="L72" s="2668"/>
      <c r="M72" s="2668"/>
      <c r="N72" s="2668"/>
      <c r="O72" s="2668"/>
      <c r="P72" s="2668"/>
      <c r="Q72" s="2668"/>
      <c r="R72" s="2668"/>
      <c r="S72" s="2668"/>
      <c r="T72" s="2668"/>
      <c r="U72" s="2668"/>
      <c r="V72" s="2668"/>
      <c r="W72" s="2668"/>
      <c r="X72" s="2668"/>
      <c r="Y72" s="2668"/>
      <c r="Z72" s="2668"/>
      <c r="AA72" s="2668"/>
      <c r="AB72" s="2668"/>
      <c r="AC72" s="2668"/>
      <c r="AD72" s="2668"/>
      <c r="AE72" s="2668"/>
      <c r="AF72" s="2668"/>
      <c r="AG72" s="2668"/>
      <c r="AH72" s="2668"/>
      <c r="AI72" s="2668"/>
      <c r="AJ72" s="2668"/>
      <c r="AK72" s="2668"/>
      <c r="AL72" s="2668"/>
      <c r="AM72" s="2668"/>
      <c r="AN72" s="2668"/>
      <c r="AO72" s="2668"/>
      <c r="AP72" s="2668"/>
      <c r="AQ72" s="2668"/>
      <c r="AR72" s="2668"/>
      <c r="AS72" s="2668"/>
      <c r="AT72" s="2668"/>
      <c r="AU72" s="2668"/>
      <c r="AV72" s="2668"/>
      <c r="AW72" s="2668"/>
      <c r="AX72" s="2668"/>
      <c r="AY72" s="2668"/>
      <c r="AZ72" s="2668"/>
      <c r="BA72" s="2668"/>
      <c r="BB72" s="2668"/>
      <c r="BC72" s="2668"/>
      <c r="BD72" s="2668"/>
      <c r="BE72" s="2668"/>
    </row>
    <row r="73" spans="1:57" s="2" customFormat="1" x14ac:dyDescent="0.35">
      <c r="A73" s="2665"/>
      <c r="B73" s="2284" t="s">
        <v>2949</v>
      </c>
      <c r="C73" s="2666"/>
      <c r="D73" s="2666"/>
      <c r="E73" s="2666"/>
      <c r="F73" s="2666"/>
      <c r="G73" s="2667"/>
      <c r="H73" s="2668"/>
      <c r="I73" s="2668"/>
      <c r="J73" s="2668"/>
      <c r="K73" s="2668"/>
      <c r="L73" s="2668"/>
      <c r="M73" s="2668"/>
      <c r="N73" s="2668"/>
      <c r="O73" s="2668"/>
      <c r="P73" s="2668"/>
      <c r="Q73" s="2668"/>
      <c r="R73" s="2668"/>
      <c r="S73" s="2668"/>
      <c r="T73" s="2668"/>
      <c r="U73" s="2668"/>
      <c r="V73" s="2668"/>
      <c r="W73" s="2668"/>
      <c r="X73" s="2668"/>
      <c r="Y73" s="2668"/>
      <c r="Z73" s="2668"/>
      <c r="AA73" s="2668"/>
      <c r="AB73" s="2668"/>
      <c r="AC73" s="2668"/>
      <c r="AD73" s="2668"/>
      <c r="AE73" s="2668"/>
      <c r="AF73" s="2668"/>
      <c r="AG73" s="2668"/>
      <c r="AH73" s="2668"/>
      <c r="AI73" s="2668"/>
      <c r="AJ73" s="2668"/>
      <c r="AK73" s="2668"/>
      <c r="AL73" s="2668"/>
      <c r="AM73" s="2668"/>
      <c r="AN73" s="2668"/>
      <c r="AO73" s="2668"/>
      <c r="AP73" s="2668"/>
      <c r="AQ73" s="2668"/>
      <c r="AR73" s="2668"/>
      <c r="AS73" s="2668"/>
      <c r="AT73" s="2668"/>
      <c r="AU73" s="2668"/>
      <c r="AV73" s="2668"/>
      <c r="AW73" s="2668"/>
      <c r="AX73" s="2668"/>
      <c r="AY73" s="2668"/>
      <c r="AZ73" s="2668"/>
      <c r="BA73" s="2668"/>
      <c r="BB73" s="2668"/>
      <c r="BC73" s="2668"/>
      <c r="BD73" s="2668"/>
      <c r="BE73" s="2668"/>
    </row>
    <row r="74" spans="1:57" x14ac:dyDescent="0.35">
      <c r="A74" s="3764" t="s">
        <v>722</v>
      </c>
      <c r="B74" s="3765"/>
      <c r="C74" s="12"/>
      <c r="D74" s="12"/>
      <c r="E74" s="12"/>
      <c r="F74" s="12"/>
      <c r="G74" s="13"/>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row>
    <row r="75" spans="1:57" s="2" customFormat="1" x14ac:dyDescent="0.35">
      <c r="A75" s="2665"/>
      <c r="B75" s="2284"/>
      <c r="C75" s="2666"/>
      <c r="D75" s="2666"/>
      <c r="E75" s="2666"/>
      <c r="F75" s="2666"/>
      <c r="G75" s="2667"/>
      <c r="H75" s="2668"/>
      <c r="I75" s="2668"/>
      <c r="J75" s="2668"/>
      <c r="K75" s="2668"/>
      <c r="L75" s="2668"/>
      <c r="M75" s="2668"/>
      <c r="N75" s="2668"/>
      <c r="O75" s="2668"/>
      <c r="P75" s="2668"/>
      <c r="Q75" s="2668"/>
      <c r="R75" s="2668"/>
      <c r="S75" s="2668"/>
      <c r="T75" s="2668"/>
      <c r="U75" s="2668"/>
      <c r="V75" s="2668"/>
      <c r="W75" s="2668"/>
      <c r="X75" s="2668"/>
      <c r="Y75" s="2668"/>
      <c r="Z75" s="2668"/>
      <c r="AA75" s="2668"/>
      <c r="AB75" s="2668"/>
      <c r="AC75" s="2668"/>
      <c r="AD75" s="2668"/>
      <c r="AE75" s="2668"/>
      <c r="AF75" s="2668"/>
      <c r="AG75" s="2668"/>
      <c r="AH75" s="2668"/>
      <c r="AI75" s="2668"/>
      <c r="AJ75" s="2668"/>
      <c r="AK75" s="2668"/>
      <c r="AL75" s="2668"/>
      <c r="AM75" s="2668"/>
      <c r="AN75" s="2668"/>
      <c r="AO75" s="2668"/>
      <c r="AP75" s="2668"/>
      <c r="AQ75" s="2668"/>
      <c r="AR75" s="2668"/>
      <c r="AS75" s="2668"/>
      <c r="AT75" s="2668"/>
      <c r="AU75" s="2668"/>
      <c r="AV75" s="2668"/>
      <c r="AW75" s="2668"/>
      <c r="AX75" s="2668"/>
      <c r="AY75" s="2668"/>
      <c r="AZ75" s="2668"/>
      <c r="BA75" s="2668"/>
      <c r="BB75" s="2668"/>
      <c r="BC75" s="2668"/>
      <c r="BD75" s="2668"/>
      <c r="BE75" s="2668"/>
    </row>
    <row r="76" spans="1:57" s="2" customFormat="1" x14ac:dyDescent="0.35">
      <c r="A76" s="2665"/>
      <c r="B76" s="2284"/>
      <c r="C76" s="2666"/>
      <c r="D76" s="2666"/>
      <c r="E76" s="2666"/>
      <c r="F76" s="2666"/>
      <c r="G76" s="2667"/>
      <c r="H76" s="2668"/>
      <c r="I76" s="2668"/>
      <c r="J76" s="2668"/>
      <c r="K76" s="2668"/>
      <c r="L76" s="2668"/>
      <c r="M76" s="2668"/>
      <c r="N76" s="2668"/>
      <c r="O76" s="2668"/>
      <c r="P76" s="2668"/>
      <c r="Q76" s="2668"/>
      <c r="R76" s="2668"/>
      <c r="S76" s="2668"/>
      <c r="T76" s="2668"/>
      <c r="U76" s="2668"/>
      <c r="V76" s="2668"/>
      <c r="W76" s="2668"/>
      <c r="X76" s="2668"/>
      <c r="Y76" s="2668"/>
      <c r="Z76" s="2668"/>
      <c r="AA76" s="2668"/>
      <c r="AB76" s="2668"/>
      <c r="AC76" s="2668"/>
      <c r="AD76" s="2668"/>
      <c r="AE76" s="2668"/>
      <c r="AF76" s="2668"/>
      <c r="AG76" s="2668"/>
      <c r="AH76" s="2668"/>
      <c r="AI76" s="2668"/>
      <c r="AJ76" s="2668"/>
      <c r="AK76" s="2668"/>
      <c r="AL76" s="2668"/>
      <c r="AM76" s="2668"/>
      <c r="AN76" s="2668"/>
      <c r="AO76" s="2668"/>
      <c r="AP76" s="2668"/>
      <c r="AQ76" s="2668"/>
      <c r="AR76" s="2668"/>
      <c r="AS76" s="2668"/>
      <c r="AT76" s="2668"/>
      <c r="AU76" s="2668"/>
      <c r="AV76" s="2668"/>
      <c r="AW76" s="2668"/>
      <c r="AX76" s="2668"/>
      <c r="AY76" s="2668"/>
      <c r="AZ76" s="2668"/>
      <c r="BA76" s="2668"/>
      <c r="BB76" s="2668"/>
      <c r="BC76" s="2668"/>
      <c r="BD76" s="2668"/>
      <c r="BE76" s="2668"/>
    </row>
    <row r="77" spans="1:57" x14ac:dyDescent="0.35">
      <c r="A77" s="2665"/>
      <c r="B77" s="2284"/>
      <c r="C77" s="2666"/>
      <c r="D77" s="2666"/>
      <c r="E77" s="2666"/>
      <c r="F77" s="2666"/>
      <c r="G77" s="2667"/>
      <c r="H77" s="2668"/>
      <c r="I77" s="2668"/>
      <c r="J77" s="2668"/>
      <c r="K77" s="2668"/>
      <c r="L77" s="2668"/>
      <c r="M77" s="2668"/>
      <c r="N77" s="2668"/>
      <c r="O77" s="2668"/>
      <c r="P77" s="2668"/>
      <c r="Q77" s="2668"/>
      <c r="R77" s="2668"/>
      <c r="S77" s="2668"/>
      <c r="T77" s="2668"/>
      <c r="U77" s="2668"/>
      <c r="V77" s="2668"/>
      <c r="W77" s="2668"/>
      <c r="X77" s="2668"/>
      <c r="Y77" s="2668"/>
      <c r="Z77" s="2668"/>
      <c r="AA77" s="2668"/>
      <c r="AB77" s="2668"/>
      <c r="AC77" s="2668"/>
      <c r="AD77" s="2668"/>
      <c r="AE77" s="2668"/>
      <c r="AF77" s="2668"/>
      <c r="AG77" s="2668"/>
      <c r="AH77" s="2668"/>
      <c r="AI77" s="2668"/>
      <c r="AJ77" s="2668"/>
      <c r="AK77" s="2668"/>
      <c r="AL77" s="2668"/>
      <c r="AM77" s="2668"/>
      <c r="AN77" s="2668"/>
      <c r="AO77" s="2668"/>
      <c r="AP77" s="2668"/>
      <c r="AQ77" s="2668"/>
      <c r="AR77" s="2668"/>
      <c r="AS77" s="2668"/>
      <c r="AT77" s="2668"/>
      <c r="AU77" s="2668"/>
      <c r="AV77" s="2668"/>
      <c r="AW77" s="2668"/>
      <c r="AX77" s="2668"/>
      <c r="AY77" s="2668"/>
      <c r="AZ77" s="2668"/>
      <c r="BA77" s="2668"/>
      <c r="BB77" s="2668"/>
      <c r="BC77" s="2668"/>
      <c r="BD77" s="2668"/>
      <c r="BE77" s="2668"/>
    </row>
    <row r="78" spans="1:57" x14ac:dyDescent="0.35">
      <c r="A78" s="3764" t="s">
        <v>723</v>
      </c>
      <c r="B78" s="3765"/>
      <c r="C78" s="12"/>
      <c r="D78" s="12"/>
      <c r="E78" s="12"/>
      <c r="F78" s="12"/>
      <c r="G78" s="13"/>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row>
    <row r="79" spans="1:57" x14ac:dyDescent="0.35">
      <c r="A79" s="2665"/>
      <c r="B79" s="2284"/>
      <c r="C79" s="2666"/>
      <c r="D79" s="2666"/>
      <c r="E79" s="2666"/>
      <c r="F79" s="2666"/>
      <c r="G79" s="2667"/>
      <c r="H79" s="2668"/>
      <c r="I79" s="2668"/>
      <c r="J79" s="2668"/>
      <c r="K79" s="2668"/>
      <c r="L79" s="2635" t="s">
        <v>669</v>
      </c>
      <c r="M79" s="2668">
        <v>340315.37</v>
      </c>
      <c r="N79" s="2635" t="s">
        <v>669</v>
      </c>
      <c r="O79" s="2668">
        <v>340315.37</v>
      </c>
      <c r="P79" s="2109"/>
      <c r="Q79" s="2668"/>
      <c r="R79" s="2668"/>
      <c r="S79" s="2668"/>
      <c r="T79" s="2668"/>
      <c r="U79" s="2668"/>
      <c r="V79" s="2668"/>
      <c r="W79" s="2668"/>
      <c r="X79" s="2109"/>
      <c r="Y79" s="2645"/>
      <c r="Z79" s="2668"/>
      <c r="AA79" s="2668"/>
      <c r="AB79" s="2668"/>
      <c r="AC79" s="2668"/>
      <c r="AD79" s="2109"/>
      <c r="AE79" s="2668"/>
      <c r="AF79" s="2668"/>
      <c r="AG79" s="2668"/>
      <c r="AH79" s="2668"/>
      <c r="AI79" s="2668"/>
      <c r="AJ79" s="2668"/>
      <c r="AK79" s="2668"/>
      <c r="AL79" s="2668"/>
      <c r="AM79" s="2668"/>
      <c r="AN79" s="2668"/>
      <c r="AO79" s="2668"/>
      <c r="AP79" s="2668"/>
      <c r="AQ79" s="2668"/>
      <c r="AR79" s="2668"/>
      <c r="AS79" s="2668"/>
      <c r="AT79" s="2668"/>
      <c r="AU79" s="2668"/>
      <c r="AV79" s="2668"/>
      <c r="AW79" s="2668"/>
      <c r="AX79" s="2668"/>
      <c r="AY79" s="2668"/>
      <c r="AZ79" s="2668"/>
      <c r="BA79" s="2668"/>
      <c r="BB79" s="2668"/>
      <c r="BC79" s="2668"/>
      <c r="BD79" s="2668"/>
      <c r="BE79" s="2668"/>
    </row>
    <row r="80" spans="1:57" x14ac:dyDescent="0.35">
      <c r="A80" s="2665"/>
      <c r="B80" s="2284"/>
      <c r="C80" s="2285"/>
      <c r="D80" s="2285"/>
      <c r="E80" s="2285"/>
      <c r="F80" s="2285"/>
      <c r="G80" s="2198"/>
      <c r="H80" s="2081"/>
      <c r="I80" s="2081"/>
      <c r="J80" s="2081"/>
      <c r="K80" s="2081"/>
      <c r="L80" s="2081"/>
      <c r="M80" s="2081"/>
      <c r="N80" s="2081"/>
      <c r="O80" s="2081"/>
      <c r="P80" s="2109"/>
      <c r="Q80" s="2081"/>
      <c r="R80" s="2081"/>
      <c r="S80" s="2081"/>
      <c r="T80" s="2081"/>
      <c r="U80" s="2081"/>
      <c r="V80" s="2081"/>
      <c r="W80" s="2081"/>
      <c r="X80" s="2109"/>
      <c r="Y80" s="2645"/>
      <c r="Z80" s="2081"/>
      <c r="AA80" s="2081"/>
      <c r="AB80" s="2081"/>
      <c r="AC80" s="2081"/>
      <c r="AD80" s="2109"/>
      <c r="AE80" s="2081"/>
      <c r="AF80" s="2081"/>
      <c r="AG80" s="2081"/>
      <c r="AH80" s="2081"/>
      <c r="AI80" s="2081"/>
      <c r="AJ80" s="2081"/>
      <c r="AK80" s="2081"/>
      <c r="AL80" s="2081"/>
      <c r="AM80" s="2081"/>
      <c r="AN80" s="2081"/>
      <c r="AO80" s="2081"/>
      <c r="AP80" s="2081"/>
      <c r="AQ80" s="2081"/>
      <c r="AR80" s="2081"/>
      <c r="AS80" s="2081"/>
      <c r="AT80" s="2081"/>
      <c r="AU80" s="2081"/>
      <c r="AV80" s="2081"/>
      <c r="AW80" s="2081"/>
      <c r="AX80" s="2081"/>
      <c r="AY80" s="2081"/>
      <c r="AZ80" s="2081"/>
      <c r="BA80" s="2081"/>
      <c r="BB80" s="2081"/>
      <c r="BC80" s="2081"/>
      <c r="BD80" s="2081"/>
      <c r="BE80" s="2081"/>
    </row>
    <row r="81" spans="1:57" x14ac:dyDescent="0.35">
      <c r="A81" s="2269"/>
      <c r="B81" s="2270" t="s">
        <v>2950</v>
      </c>
      <c r="C81" s="2285"/>
      <c r="D81" s="2285"/>
      <c r="E81" s="2285"/>
      <c r="F81" s="2285"/>
      <c r="G81" s="2198"/>
      <c r="H81" s="2084"/>
      <c r="I81" s="2084"/>
      <c r="J81" s="2084"/>
      <c r="K81" s="2084"/>
      <c r="L81" s="2084"/>
      <c r="M81" s="2084"/>
      <c r="N81" s="2084"/>
      <c r="O81" s="2084"/>
      <c r="P81" s="2634" t="s">
        <v>669</v>
      </c>
      <c r="Q81" s="2084">
        <v>32660</v>
      </c>
      <c r="R81" s="2084"/>
      <c r="S81" s="2084"/>
      <c r="T81" s="2084"/>
      <c r="U81" s="2084"/>
      <c r="V81" s="2084"/>
      <c r="W81" s="2084"/>
      <c r="X81" s="2084"/>
      <c r="Y81" s="2084"/>
      <c r="Z81" s="2084"/>
      <c r="AA81" s="2084"/>
      <c r="AB81" s="2084"/>
      <c r="AC81" s="2084"/>
      <c r="AD81" s="2634" t="s">
        <v>669</v>
      </c>
      <c r="AE81" s="2084">
        <v>32660</v>
      </c>
      <c r="AF81" s="2084"/>
      <c r="AG81" s="2084"/>
      <c r="AH81" s="2084"/>
      <c r="AI81" s="2084"/>
      <c r="AJ81" s="2084"/>
      <c r="AK81" s="2084"/>
      <c r="AL81" s="2084"/>
      <c r="AM81" s="2084"/>
      <c r="AN81" s="2084"/>
      <c r="AO81" s="2084"/>
      <c r="AP81" s="2084"/>
      <c r="AQ81" s="2084"/>
      <c r="AR81" s="2084"/>
      <c r="AS81" s="2084"/>
      <c r="AT81" s="2084"/>
      <c r="AU81" s="2084"/>
      <c r="AV81" s="2084"/>
      <c r="AW81" s="2084"/>
      <c r="AX81" s="2084"/>
      <c r="AY81" s="2084"/>
      <c r="AZ81" s="2084"/>
      <c r="BA81" s="2084"/>
      <c r="BB81" s="2084"/>
      <c r="BC81" s="2084"/>
      <c r="BD81" s="2084"/>
      <c r="BE81" s="2084"/>
    </row>
    <row r="82" spans="1:57" x14ac:dyDescent="0.35">
      <c r="A82" s="3764" t="s">
        <v>724</v>
      </c>
      <c r="B82" s="3765"/>
      <c r="C82" s="12"/>
      <c r="D82" s="12"/>
      <c r="E82" s="12"/>
      <c r="F82" s="12"/>
      <c r="G82" s="13"/>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row>
    <row r="83" spans="1:57" x14ac:dyDescent="0.35">
      <c r="A83" s="2269"/>
      <c r="B83" s="2669" t="s">
        <v>2951</v>
      </c>
      <c r="C83" s="2285"/>
      <c r="D83" s="2285"/>
      <c r="E83" s="2285"/>
      <c r="F83" s="2285"/>
      <c r="G83" s="2198"/>
      <c r="H83" s="2087"/>
      <c r="I83" s="2087"/>
      <c r="J83" s="2087"/>
      <c r="K83" s="2087"/>
      <c r="L83" s="2635" t="s">
        <v>669</v>
      </c>
      <c r="M83" s="2087">
        <f>-69670.19</f>
        <v>-69670.19</v>
      </c>
      <c r="N83" s="2635" t="s">
        <v>669</v>
      </c>
      <c r="O83" s="2087">
        <f>-69670.19</f>
        <v>-69670.19</v>
      </c>
      <c r="P83" s="2634" t="s">
        <v>669</v>
      </c>
      <c r="Q83" s="2087"/>
      <c r="R83" s="2087"/>
      <c r="S83" s="2087"/>
      <c r="T83" s="2087"/>
      <c r="U83" s="2087"/>
      <c r="V83" s="2087"/>
      <c r="W83" s="2087"/>
      <c r="X83" s="2634"/>
      <c r="Y83" s="2087"/>
      <c r="Z83" s="2087"/>
      <c r="AA83" s="2087"/>
      <c r="AB83" s="2087"/>
      <c r="AC83" s="2087"/>
      <c r="AD83" s="2647"/>
      <c r="AE83" s="2087"/>
      <c r="AF83" s="2087"/>
      <c r="AG83" s="2087"/>
      <c r="AH83" s="2087"/>
      <c r="AI83" s="2087"/>
      <c r="AJ83" s="2087"/>
      <c r="AK83" s="2087"/>
      <c r="AL83" s="2087"/>
      <c r="AM83" s="2087"/>
      <c r="AN83" s="2087"/>
      <c r="AO83" s="2087"/>
      <c r="AP83" s="2668"/>
      <c r="AQ83" s="2087"/>
      <c r="AR83" s="2087"/>
      <c r="AS83" s="2087"/>
      <c r="AT83" s="2087"/>
      <c r="AU83" s="2087"/>
      <c r="AV83" s="2087"/>
      <c r="AW83" s="2087"/>
      <c r="AX83" s="2087"/>
      <c r="AY83" s="2087"/>
      <c r="AZ83" s="2087"/>
      <c r="BA83" s="2087"/>
      <c r="BB83" s="2087"/>
      <c r="BC83" s="2087"/>
      <c r="BD83" s="2087"/>
      <c r="BE83" s="2087"/>
    </row>
    <row r="84" spans="1:57" x14ac:dyDescent="0.35">
      <c r="A84" s="2269"/>
      <c r="B84" s="2669" t="s">
        <v>2952</v>
      </c>
      <c r="C84" s="2285"/>
      <c r="D84" s="2285"/>
      <c r="E84" s="2285"/>
      <c r="F84" s="2285"/>
      <c r="G84" s="2198"/>
      <c r="H84" s="2087"/>
      <c r="I84" s="2087"/>
      <c r="J84" s="2087"/>
      <c r="K84" s="2087"/>
      <c r="L84" s="2635"/>
      <c r="M84" s="2087"/>
      <c r="N84" s="2635"/>
      <c r="O84" s="2087"/>
      <c r="P84" s="2634" t="s">
        <v>669</v>
      </c>
      <c r="Q84" s="2087"/>
      <c r="R84" s="2087"/>
      <c r="S84" s="2087"/>
      <c r="T84" s="2087"/>
      <c r="U84" s="2087"/>
      <c r="V84" s="2087"/>
      <c r="W84" s="2087"/>
      <c r="X84" s="2634"/>
      <c r="Y84" s="2087"/>
      <c r="Z84" s="2087"/>
      <c r="AA84" s="2087"/>
      <c r="AB84" s="2087"/>
      <c r="AC84" s="2087"/>
      <c r="AD84" s="2647"/>
      <c r="AE84" s="2087"/>
      <c r="AF84" s="2087"/>
      <c r="AG84" s="2087"/>
      <c r="AH84" s="2087"/>
      <c r="AI84" s="2087"/>
      <c r="AJ84" s="2087"/>
      <c r="AK84" s="2087"/>
      <c r="AL84" s="2087"/>
      <c r="AM84" s="2087"/>
      <c r="AN84" s="2087"/>
      <c r="AO84" s="2087"/>
      <c r="AP84" s="2668"/>
      <c r="AQ84" s="2087"/>
      <c r="AR84" s="2087"/>
      <c r="AS84" s="2087"/>
      <c r="AT84" s="2087"/>
      <c r="AU84" s="2087"/>
      <c r="AV84" s="2087"/>
      <c r="AW84" s="2087"/>
      <c r="AX84" s="2087"/>
      <c r="AY84" s="2087"/>
      <c r="AZ84" s="2087"/>
      <c r="BA84" s="2087"/>
      <c r="BB84" s="2087"/>
      <c r="BC84" s="2087"/>
      <c r="BD84" s="2087"/>
      <c r="BE84" s="2087"/>
    </row>
    <row r="85" spans="1:57" x14ac:dyDescent="0.35">
      <c r="A85" s="2269"/>
      <c r="B85" s="2270" t="s">
        <v>2953</v>
      </c>
      <c r="C85" s="2285"/>
      <c r="D85" s="2285"/>
      <c r="E85" s="2285"/>
      <c r="F85" s="2285"/>
      <c r="G85" s="2198"/>
      <c r="H85" s="2087"/>
      <c r="I85" s="2087"/>
      <c r="J85" s="2087"/>
      <c r="K85" s="2087"/>
      <c r="L85" s="2109" t="s">
        <v>671</v>
      </c>
      <c r="M85" s="2087"/>
      <c r="N85" s="2109" t="s">
        <v>671</v>
      </c>
      <c r="O85" s="2087"/>
      <c r="P85" s="2109" t="s">
        <v>671</v>
      </c>
      <c r="Q85" s="2087"/>
      <c r="R85" s="2087"/>
      <c r="S85" s="2087"/>
      <c r="T85" s="2087"/>
      <c r="U85" s="2087"/>
      <c r="V85" s="2087"/>
      <c r="W85" s="2087"/>
      <c r="X85" s="2634" t="s">
        <v>669</v>
      </c>
      <c r="Y85" s="2087">
        <f>-141013</f>
        <v>-141013</v>
      </c>
      <c r="Z85" s="2087"/>
      <c r="AA85" s="2087"/>
      <c r="AB85" s="2087"/>
      <c r="AC85" s="2087"/>
      <c r="AD85" s="2109" t="s">
        <v>671</v>
      </c>
      <c r="AE85" s="2087"/>
      <c r="AF85" s="2087"/>
      <c r="AG85" s="2087"/>
      <c r="AH85" s="2087"/>
      <c r="AI85" s="2087"/>
      <c r="AJ85" s="2087"/>
      <c r="AK85" s="2087"/>
      <c r="AL85" s="2087"/>
      <c r="AM85" s="2087"/>
      <c r="AN85" s="2087"/>
      <c r="AO85" s="2087"/>
      <c r="AP85" s="2647"/>
      <c r="AQ85" s="2087"/>
      <c r="AR85" s="2087"/>
      <c r="AS85" s="2087"/>
      <c r="AT85" s="2087"/>
      <c r="AU85" s="2087"/>
      <c r="AV85" s="2087"/>
      <c r="AW85" s="2087"/>
      <c r="AX85" s="2087"/>
      <c r="AY85" s="2087"/>
      <c r="AZ85" s="2087"/>
      <c r="BA85" s="2087"/>
      <c r="BB85" s="2087"/>
      <c r="BC85" s="2087"/>
      <c r="BD85" s="2087"/>
      <c r="BE85" s="2087"/>
    </row>
    <row r="86" spans="1:57" x14ac:dyDescent="0.35">
      <c r="A86" s="2269"/>
      <c r="B86" s="2270" t="s">
        <v>2954</v>
      </c>
      <c r="C86" s="2285"/>
      <c r="D86" s="2285"/>
      <c r="E86" s="2285"/>
      <c r="F86" s="2285"/>
      <c r="G86" s="2198"/>
      <c r="H86" s="2087"/>
      <c r="I86" s="2087"/>
      <c r="J86" s="2087"/>
      <c r="K86" s="2087"/>
      <c r="L86" s="2635" t="s">
        <v>669</v>
      </c>
      <c r="M86" s="2087">
        <v>-100298</v>
      </c>
      <c r="N86" s="2635" t="s">
        <v>669</v>
      </c>
      <c r="O86" s="2087">
        <v>-100298</v>
      </c>
      <c r="P86" s="2634" t="s">
        <v>669</v>
      </c>
      <c r="Q86" s="2087">
        <f>-Q46</f>
        <v>0</v>
      </c>
      <c r="R86" s="2087"/>
      <c r="S86" s="2087"/>
      <c r="T86" s="2087"/>
      <c r="U86" s="2087"/>
      <c r="V86" s="2087"/>
      <c r="W86" s="2087"/>
      <c r="X86" s="2634" t="s">
        <v>669</v>
      </c>
      <c r="Y86" s="2087">
        <v>-47826</v>
      </c>
      <c r="Z86" s="2087"/>
      <c r="AA86" s="2087"/>
      <c r="AB86" s="2087"/>
      <c r="AC86" s="2087"/>
      <c r="AD86" s="2634" t="s">
        <v>669</v>
      </c>
      <c r="AE86" s="2087">
        <f>-AE46</f>
        <v>-37420</v>
      </c>
      <c r="AF86" s="2087"/>
      <c r="AG86" s="2087"/>
      <c r="AH86" s="2087"/>
      <c r="AI86" s="2087"/>
      <c r="AJ86" s="2087"/>
      <c r="AK86" s="2087"/>
      <c r="AL86" s="2087"/>
      <c r="AM86" s="2087"/>
      <c r="AN86" s="2087"/>
      <c r="AO86" s="2087"/>
      <c r="AP86" s="2668"/>
      <c r="AQ86" s="2087"/>
      <c r="AR86" s="2087"/>
      <c r="AS86" s="2087"/>
      <c r="AT86" s="2087"/>
      <c r="AU86" s="2087"/>
      <c r="AV86" s="2087"/>
      <c r="AW86" s="2087"/>
      <c r="AX86" s="2087"/>
      <c r="AY86" s="2087"/>
      <c r="AZ86" s="2087"/>
      <c r="BA86" s="2087"/>
      <c r="BB86" s="2087"/>
      <c r="BC86" s="2087"/>
      <c r="BD86" s="2087"/>
      <c r="BE86" s="2087"/>
    </row>
    <row r="87" spans="1:57" x14ac:dyDescent="0.35">
      <c r="A87" s="2269"/>
      <c r="B87" s="2270" t="s">
        <v>2955</v>
      </c>
      <c r="C87" s="2285"/>
      <c r="D87" s="2285"/>
      <c r="E87" s="2285"/>
      <c r="F87" s="2285"/>
      <c r="G87" s="2198"/>
      <c r="H87" s="2087"/>
      <c r="I87" s="2087"/>
      <c r="J87" s="2087"/>
      <c r="K87" s="2087"/>
      <c r="L87" s="2635" t="s">
        <v>669</v>
      </c>
      <c r="M87" s="2087">
        <f>-38192</f>
        <v>-38192</v>
      </c>
      <c r="N87" s="2635" t="s">
        <v>669</v>
      </c>
      <c r="O87" s="2087">
        <f>-38192</f>
        <v>-38192</v>
      </c>
      <c r="P87" s="2634" t="s">
        <v>669</v>
      </c>
      <c r="Q87" s="2087"/>
      <c r="R87" s="2087"/>
      <c r="S87" s="2087"/>
      <c r="T87" s="2087"/>
      <c r="U87" s="2087"/>
      <c r="V87" s="2087"/>
      <c r="W87" s="2087"/>
      <c r="X87" s="2635" t="s">
        <v>669</v>
      </c>
      <c r="Y87" s="2087"/>
      <c r="Z87" s="2087"/>
      <c r="AA87" s="2087"/>
      <c r="AB87" s="2087"/>
      <c r="AC87" s="2087"/>
      <c r="AD87" s="2087"/>
      <c r="AE87" s="2087"/>
      <c r="AF87" s="2087"/>
      <c r="AG87" s="2087"/>
      <c r="AH87" s="2087"/>
      <c r="AI87" s="2087"/>
      <c r="AJ87" s="2087"/>
      <c r="AK87" s="2087"/>
      <c r="AL87" s="2087"/>
      <c r="AM87" s="2087"/>
      <c r="AN87" s="2087"/>
      <c r="AO87" s="2087"/>
      <c r="AP87" s="2668"/>
      <c r="AQ87" s="2087"/>
      <c r="AR87" s="2087"/>
      <c r="AS87" s="2087"/>
      <c r="AT87" s="2087"/>
      <c r="AU87" s="2087"/>
      <c r="AV87" s="2087"/>
      <c r="AW87" s="2087"/>
      <c r="AX87" s="2087"/>
      <c r="AY87" s="2087"/>
      <c r="AZ87" s="2087"/>
      <c r="BA87" s="2087"/>
      <c r="BB87" s="2087"/>
      <c r="BC87" s="2087"/>
      <c r="BD87" s="2087"/>
      <c r="BE87" s="2087"/>
    </row>
    <row r="88" spans="1:57" x14ac:dyDescent="0.35">
      <c r="A88" s="2269"/>
      <c r="B88" s="2270"/>
      <c r="C88" s="46"/>
      <c r="D88" s="46"/>
      <c r="E88" s="46"/>
      <c r="F88" s="46"/>
      <c r="G88" s="52"/>
      <c r="H88" s="329"/>
      <c r="I88" s="329"/>
      <c r="J88" s="329"/>
      <c r="K88" s="329"/>
      <c r="L88" s="329"/>
      <c r="M88" s="329"/>
      <c r="N88" s="329"/>
      <c r="O88" s="329"/>
      <c r="P88" s="2087"/>
      <c r="Q88" s="329"/>
      <c r="R88" s="329"/>
      <c r="S88" s="329"/>
      <c r="T88" s="329"/>
      <c r="U88" s="329"/>
      <c r="V88" s="329"/>
      <c r="W88" s="329"/>
      <c r="X88" s="329"/>
      <c r="Y88" s="329"/>
      <c r="Z88" s="329"/>
      <c r="AA88" s="329"/>
      <c r="AB88" s="329"/>
      <c r="AC88" s="329"/>
      <c r="AD88" s="2087"/>
      <c r="AE88" s="329"/>
      <c r="AF88" s="329"/>
      <c r="AG88" s="329"/>
      <c r="AH88" s="329"/>
      <c r="AI88" s="329"/>
      <c r="AJ88" s="329"/>
      <c r="AK88" s="329"/>
      <c r="AL88" s="329"/>
      <c r="AM88" s="329"/>
      <c r="AN88" s="329"/>
      <c r="AO88" s="329"/>
      <c r="AP88" s="329"/>
      <c r="AQ88" s="329"/>
      <c r="AR88" s="329"/>
      <c r="AS88" s="329"/>
      <c r="AT88" s="329"/>
      <c r="AU88" s="329"/>
      <c r="AV88" s="329"/>
      <c r="AW88" s="329"/>
      <c r="AX88" s="329"/>
      <c r="AY88" s="329"/>
      <c r="AZ88" s="329"/>
      <c r="BA88" s="329"/>
      <c r="BB88" s="329"/>
      <c r="BC88" s="329"/>
      <c r="BD88" s="329"/>
      <c r="BE88" s="329"/>
    </row>
    <row r="89" spans="1:57" x14ac:dyDescent="0.35">
      <c r="A89" s="3764" t="s">
        <v>725</v>
      </c>
      <c r="B89" s="3765"/>
      <c r="C89" s="12"/>
      <c r="D89" s="12"/>
      <c r="E89" s="12"/>
      <c r="F89" s="12"/>
      <c r="G89" s="13"/>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row>
    <row r="90" spans="1:57" x14ac:dyDescent="0.35">
      <c r="A90" s="2286"/>
      <c r="B90" s="2284" t="s">
        <v>726</v>
      </c>
      <c r="C90" s="2285"/>
      <c r="D90" s="2285"/>
      <c r="E90" s="2285"/>
      <c r="F90" s="2285"/>
      <c r="G90" s="2198"/>
      <c r="H90" s="2087"/>
      <c r="I90" s="2087"/>
      <c r="J90" s="2087"/>
      <c r="K90" s="2087"/>
      <c r="L90" s="2087"/>
      <c r="M90" s="2087"/>
      <c r="N90" s="2087"/>
      <c r="O90" s="2087"/>
      <c r="P90" s="2087"/>
      <c r="Q90" s="2087"/>
      <c r="R90" s="2087"/>
      <c r="S90" s="2087"/>
      <c r="T90" s="2087"/>
      <c r="U90" s="2087"/>
      <c r="V90" s="2087"/>
      <c r="W90" s="2087"/>
      <c r="X90" s="2087"/>
      <c r="Y90" s="2087"/>
      <c r="Z90" s="2087"/>
      <c r="AA90" s="2087"/>
      <c r="AB90" s="2087"/>
      <c r="AC90" s="2087"/>
      <c r="AD90" s="2087"/>
      <c r="AE90" s="2087"/>
      <c r="AF90" s="2087"/>
      <c r="AG90" s="2087"/>
      <c r="AH90" s="2087"/>
      <c r="AI90" s="2087"/>
      <c r="AJ90" s="2087"/>
      <c r="AK90" s="2087"/>
      <c r="AL90" s="2087"/>
      <c r="AM90" s="2087"/>
      <c r="AN90" s="2087"/>
      <c r="AO90" s="2087"/>
      <c r="AP90" s="2087"/>
      <c r="AQ90" s="2087"/>
      <c r="AR90" s="2087"/>
      <c r="AS90" s="2087"/>
      <c r="AT90" s="2087"/>
      <c r="AU90" s="2087"/>
      <c r="AV90" s="2087"/>
      <c r="AW90" s="2087"/>
      <c r="AX90" s="2087"/>
      <c r="AY90" s="2087"/>
      <c r="AZ90" s="2087"/>
      <c r="BA90" s="2087"/>
      <c r="BB90" s="2087"/>
      <c r="BC90" s="2087"/>
      <c r="BD90" s="2087"/>
      <c r="BE90" s="2087"/>
    </row>
    <row r="91" spans="1:57" x14ac:dyDescent="0.35">
      <c r="A91" s="2286"/>
      <c r="B91" s="2284" t="s">
        <v>727</v>
      </c>
      <c r="C91" s="2285"/>
      <c r="D91" s="2285"/>
      <c r="E91" s="2285"/>
      <c r="F91" s="2285"/>
      <c r="G91" s="2198"/>
      <c r="H91" s="2087"/>
      <c r="I91" s="2087"/>
      <c r="J91" s="2087"/>
      <c r="K91" s="2087"/>
      <c r="L91" s="2087"/>
      <c r="M91" s="2087"/>
      <c r="N91" s="2087"/>
      <c r="O91" s="2087"/>
      <c r="P91" s="2087"/>
      <c r="Q91" s="2087"/>
      <c r="R91" s="2087"/>
      <c r="S91" s="2087"/>
      <c r="T91" s="2087"/>
      <c r="U91" s="2087"/>
      <c r="V91" s="2087"/>
      <c r="W91" s="2087"/>
      <c r="X91" s="2087"/>
      <c r="Y91" s="2087"/>
      <c r="Z91" s="2087"/>
      <c r="AA91" s="2087"/>
      <c r="AB91" s="2087"/>
      <c r="AC91" s="2087"/>
      <c r="AD91" s="2087"/>
      <c r="AE91" s="2087"/>
      <c r="AF91" s="2087"/>
      <c r="AG91" s="2087"/>
      <c r="AH91" s="2087"/>
      <c r="AI91" s="2087"/>
      <c r="AJ91" s="2087"/>
      <c r="AK91" s="2087"/>
      <c r="AL91" s="2087"/>
      <c r="AM91" s="2087"/>
      <c r="AN91" s="2087"/>
      <c r="AO91" s="2087"/>
      <c r="AP91" s="2087"/>
      <c r="AQ91" s="2087"/>
      <c r="AR91" s="2087"/>
      <c r="AS91" s="2087"/>
      <c r="AT91" s="2087"/>
      <c r="AU91" s="2087"/>
      <c r="AV91" s="2087"/>
      <c r="AW91" s="2087"/>
      <c r="AX91" s="2087"/>
      <c r="AY91" s="2087"/>
      <c r="AZ91" s="2087"/>
      <c r="BA91" s="2087"/>
      <c r="BB91" s="2087"/>
      <c r="BC91" s="2087"/>
      <c r="BD91" s="2087"/>
      <c r="BE91" s="2087"/>
    </row>
    <row r="92" spans="1:57" x14ac:dyDescent="0.35">
      <c r="A92" s="2286"/>
      <c r="B92" s="2284" t="s">
        <v>728</v>
      </c>
      <c r="C92" s="2285"/>
      <c r="D92" s="2285"/>
      <c r="E92" s="2285"/>
      <c r="F92" s="2285"/>
      <c r="G92" s="2198"/>
      <c r="H92" s="2087"/>
      <c r="I92" s="2087"/>
      <c r="J92" s="2087"/>
      <c r="K92" s="2087"/>
      <c r="L92" s="2087"/>
      <c r="M92" s="2087"/>
      <c r="N92" s="2087"/>
      <c r="O92" s="2087"/>
      <c r="P92" s="2087"/>
      <c r="Q92" s="2087"/>
      <c r="R92" s="2087"/>
      <c r="S92" s="2087"/>
      <c r="T92" s="2087"/>
      <c r="U92" s="2087"/>
      <c r="V92" s="2087"/>
      <c r="W92" s="2087"/>
      <c r="X92" s="2087"/>
      <c r="Y92" s="2087"/>
      <c r="Z92" s="2087"/>
      <c r="AA92" s="2087"/>
      <c r="AB92" s="2087"/>
      <c r="AC92" s="2087"/>
      <c r="AD92" s="2087"/>
      <c r="AE92" s="2087"/>
      <c r="AF92" s="2087"/>
      <c r="AG92" s="2087"/>
      <c r="AH92" s="2087"/>
      <c r="AI92" s="2087"/>
      <c r="AJ92" s="2087"/>
      <c r="AK92" s="2087"/>
      <c r="AL92" s="2087"/>
      <c r="AM92" s="2087"/>
      <c r="AN92" s="2087"/>
      <c r="AO92" s="2087"/>
      <c r="AP92" s="2087"/>
      <c r="AQ92" s="2087"/>
      <c r="AR92" s="2087"/>
      <c r="AS92" s="2087"/>
      <c r="AT92" s="2087"/>
      <c r="AU92" s="2087"/>
      <c r="AV92" s="2087"/>
      <c r="AW92" s="2087"/>
      <c r="AX92" s="2087"/>
      <c r="AY92" s="2087"/>
      <c r="AZ92" s="2087"/>
      <c r="BA92" s="2087"/>
      <c r="BB92" s="2087"/>
      <c r="BC92" s="2087"/>
      <c r="BD92" s="2087"/>
      <c r="BE92" s="2087"/>
    </row>
    <row r="93" spans="1:57" x14ac:dyDescent="0.35">
      <c r="A93" s="2286"/>
      <c r="B93" s="2284" t="s">
        <v>729</v>
      </c>
      <c r="C93" s="2285"/>
      <c r="D93" s="2285"/>
      <c r="E93" s="2285"/>
      <c r="F93" s="2285"/>
      <c r="G93" s="2198"/>
      <c r="H93" s="2087"/>
      <c r="I93" s="2087"/>
      <c r="J93" s="2087"/>
      <c r="K93" s="2087"/>
      <c r="L93" s="2087"/>
      <c r="M93" s="2087"/>
      <c r="N93" s="2087"/>
      <c r="O93" s="2087"/>
      <c r="P93" s="2087"/>
      <c r="Q93" s="2087"/>
      <c r="R93" s="2087"/>
      <c r="S93" s="2087"/>
      <c r="T93" s="2087"/>
      <c r="U93" s="2087"/>
      <c r="V93" s="2087"/>
      <c r="W93" s="2087"/>
      <c r="X93" s="2087"/>
      <c r="Y93" s="2087"/>
      <c r="Z93" s="2087"/>
      <c r="AA93" s="2087"/>
      <c r="AB93" s="2087"/>
      <c r="AC93" s="2087"/>
      <c r="AD93" s="2087"/>
      <c r="AE93" s="2087"/>
      <c r="AF93" s="2087"/>
      <c r="AG93" s="2087"/>
      <c r="AH93" s="2087"/>
      <c r="AI93" s="2087"/>
      <c r="AJ93" s="2087"/>
      <c r="AK93" s="2087"/>
      <c r="AL93" s="2087"/>
      <c r="AM93" s="2087"/>
      <c r="AN93" s="2087"/>
      <c r="AO93" s="2087"/>
      <c r="AP93" s="2087"/>
      <c r="AQ93" s="2087"/>
      <c r="AR93" s="2087"/>
      <c r="AS93" s="2087"/>
      <c r="AT93" s="2087"/>
      <c r="AU93" s="2087"/>
      <c r="AV93" s="2087"/>
      <c r="AW93" s="2087"/>
      <c r="AX93" s="2087"/>
      <c r="AY93" s="2087"/>
      <c r="AZ93" s="2087"/>
      <c r="BA93" s="2087"/>
      <c r="BB93" s="2087"/>
      <c r="BC93" s="2087"/>
      <c r="BD93" s="2087"/>
      <c r="BE93" s="2087"/>
    </row>
    <row r="94" spans="1:57" x14ac:dyDescent="0.35">
      <c r="A94" s="978"/>
      <c r="B94" s="939"/>
      <c r="C94" s="940"/>
      <c r="D94" s="940"/>
      <c r="E94" s="940"/>
      <c r="F94" s="940"/>
      <c r="G94" s="1039"/>
      <c r="H94" s="981"/>
      <c r="I94" s="981"/>
      <c r="J94" s="981"/>
      <c r="K94" s="981"/>
      <c r="L94" s="981"/>
      <c r="M94" s="981"/>
      <c r="N94" s="981"/>
      <c r="O94" s="981"/>
      <c r="P94" s="981"/>
      <c r="Q94" s="981"/>
      <c r="R94" s="981"/>
      <c r="S94" s="981"/>
      <c r="T94" s="981"/>
      <c r="U94" s="981"/>
      <c r="V94" s="981"/>
      <c r="W94" s="981"/>
      <c r="X94" s="981"/>
      <c r="Y94" s="981"/>
      <c r="Z94" s="981"/>
      <c r="AA94" s="981"/>
      <c r="AB94" s="981"/>
      <c r="AC94" s="981"/>
      <c r="AD94" s="981"/>
      <c r="AE94" s="981"/>
      <c r="AF94" s="981"/>
      <c r="AG94" s="981"/>
      <c r="AH94" s="981"/>
      <c r="AI94" s="981"/>
      <c r="AJ94" s="981"/>
      <c r="AK94" s="981"/>
      <c r="AL94" s="981"/>
      <c r="AM94" s="981"/>
      <c r="AN94" s="981"/>
      <c r="AO94" s="981"/>
      <c r="AP94" s="981"/>
      <c r="AQ94" s="981"/>
      <c r="AR94" s="981"/>
      <c r="AS94" s="981"/>
      <c r="AT94" s="981"/>
      <c r="AU94" s="981"/>
      <c r="AV94" s="981"/>
      <c r="AW94" s="981"/>
      <c r="AX94" s="981"/>
      <c r="AY94" s="981"/>
      <c r="AZ94" s="981"/>
      <c r="BA94" s="981"/>
      <c r="BB94" s="981"/>
      <c r="BC94" s="981"/>
      <c r="BD94" s="981"/>
      <c r="BE94" s="981"/>
    </row>
    <row r="95" spans="1:57" x14ac:dyDescent="0.35">
      <c r="A95" s="7" t="s">
        <v>730</v>
      </c>
      <c r="B95" s="8"/>
      <c r="C95" s="12"/>
      <c r="D95" s="12"/>
      <c r="E95" s="12"/>
      <c r="F95" s="12"/>
      <c r="G95" s="13"/>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row>
    <row r="96" spans="1:57" x14ac:dyDescent="0.35">
      <c r="A96" s="2665"/>
      <c r="B96" s="2670" t="s">
        <v>731</v>
      </c>
      <c r="C96" s="2666"/>
      <c r="D96" s="2666"/>
      <c r="E96" s="2666"/>
      <c r="F96" s="2666"/>
      <c r="G96" s="2667"/>
      <c r="H96" s="2671"/>
      <c r="I96" s="2671"/>
      <c r="J96" s="2671"/>
      <c r="K96" s="2671"/>
      <c r="L96" s="2671"/>
      <c r="M96" s="2671"/>
      <c r="N96" s="2671"/>
      <c r="O96" s="2671"/>
      <c r="P96" s="2671"/>
      <c r="Q96" s="2671"/>
      <c r="R96" s="2671"/>
      <c r="S96" s="2671"/>
      <c r="T96" s="2671"/>
      <c r="U96" s="2671"/>
      <c r="V96" s="2671"/>
      <c r="W96" s="2671"/>
      <c r="X96" s="2671"/>
      <c r="Y96" s="2671"/>
      <c r="Z96" s="2671"/>
      <c r="AA96" s="2671"/>
      <c r="AB96" s="2671"/>
      <c r="AC96" s="2671"/>
      <c r="AD96" s="2671"/>
      <c r="AE96" s="2671"/>
      <c r="AF96" s="2671"/>
      <c r="AG96" s="2671"/>
      <c r="AH96" s="2671"/>
      <c r="AI96" s="2671"/>
      <c r="AJ96" s="2671"/>
      <c r="AK96" s="2671"/>
      <c r="AL96" s="2671"/>
      <c r="AM96" s="2671"/>
      <c r="AN96" s="2671"/>
      <c r="AO96" s="2671"/>
      <c r="AP96" s="2671"/>
      <c r="AQ96" s="2671"/>
      <c r="AR96" s="2671"/>
      <c r="AS96" s="2671"/>
      <c r="AT96" s="2671"/>
      <c r="AU96" s="2671"/>
      <c r="AV96" s="2671"/>
      <c r="AW96" s="2671"/>
      <c r="AX96" s="2671"/>
      <c r="AY96" s="2671"/>
      <c r="AZ96" s="2671"/>
      <c r="BA96" s="2671"/>
      <c r="BB96" s="2671"/>
      <c r="BC96" s="2671"/>
      <c r="BD96" s="2671"/>
      <c r="BE96" s="2671"/>
    </row>
    <row r="97" spans="1:57" x14ac:dyDescent="0.35">
      <c r="A97" s="2286"/>
      <c r="B97" s="2284" t="s">
        <v>732</v>
      </c>
      <c r="C97" s="2285"/>
      <c r="D97" s="2285"/>
      <c r="E97" s="2285"/>
      <c r="F97" s="2285"/>
      <c r="G97" s="2198"/>
      <c r="H97" s="2158"/>
      <c r="I97" s="2158"/>
      <c r="J97" s="2158"/>
      <c r="K97" s="2158"/>
      <c r="L97" s="2158"/>
      <c r="M97" s="2158"/>
      <c r="N97" s="2158"/>
      <c r="O97" s="2158"/>
      <c r="P97" s="2158"/>
      <c r="Q97" s="2158"/>
      <c r="R97" s="2158"/>
      <c r="S97" s="2158"/>
      <c r="T97" s="2158"/>
      <c r="U97" s="2158"/>
      <c r="V97" s="2158"/>
      <c r="W97" s="2158"/>
      <c r="X97" s="2158"/>
      <c r="Y97" s="2158"/>
      <c r="Z97" s="2158"/>
      <c r="AA97" s="2158"/>
      <c r="AB97" s="2158"/>
      <c r="AC97" s="2158"/>
      <c r="AD97" s="2158"/>
      <c r="AE97" s="2158"/>
      <c r="AF97" s="2158"/>
      <c r="AG97" s="2158"/>
      <c r="AH97" s="2158"/>
      <c r="AI97" s="2158"/>
      <c r="AJ97" s="2158"/>
      <c r="AK97" s="2158"/>
      <c r="AL97" s="2158"/>
      <c r="AM97" s="2158"/>
      <c r="AN97" s="2158"/>
      <c r="AO97" s="2158"/>
      <c r="AP97" s="2158"/>
      <c r="AQ97" s="2158"/>
      <c r="AR97" s="2158"/>
      <c r="AS97" s="2158"/>
      <c r="AT97" s="2158"/>
      <c r="AU97" s="2158"/>
      <c r="AV97" s="2158"/>
      <c r="AW97" s="2158"/>
      <c r="AX97" s="2158"/>
      <c r="AY97" s="2158"/>
      <c r="AZ97" s="2158"/>
      <c r="BA97" s="2158"/>
      <c r="BB97" s="2158"/>
      <c r="BC97" s="2158"/>
      <c r="BD97" s="2158"/>
      <c r="BE97" s="2158"/>
    </row>
    <row r="98" spans="1:57" x14ac:dyDescent="0.35">
      <c r="A98" s="2089"/>
      <c r="B98" s="2090" t="s">
        <v>733</v>
      </c>
      <c r="C98" s="2091"/>
      <c r="D98" s="2091"/>
      <c r="E98" s="2091"/>
      <c r="F98" s="2091"/>
      <c r="G98" s="2092"/>
      <c r="H98" s="2093"/>
      <c r="I98" s="2093"/>
      <c r="J98" s="2093"/>
      <c r="K98" s="2093"/>
      <c r="L98" s="2093"/>
      <c r="M98" s="2093"/>
      <c r="N98" s="2093"/>
      <c r="O98" s="2093"/>
      <c r="P98" s="2093"/>
      <c r="Q98" s="2093"/>
      <c r="R98" s="2093"/>
      <c r="S98" s="2093"/>
      <c r="T98" s="2093"/>
      <c r="U98" s="2093"/>
      <c r="V98" s="2093"/>
      <c r="W98" s="2093"/>
      <c r="X98" s="2093"/>
      <c r="Y98" s="2093"/>
      <c r="Z98" s="2093"/>
      <c r="AA98" s="2093"/>
      <c r="AB98" s="2093"/>
      <c r="AC98" s="2093"/>
      <c r="AD98" s="2093"/>
      <c r="AE98" s="2093"/>
      <c r="AF98" s="2093"/>
      <c r="AG98" s="2093"/>
      <c r="AH98" s="2093"/>
      <c r="AI98" s="2093"/>
      <c r="AJ98" s="2093"/>
      <c r="AK98" s="2093"/>
      <c r="AL98" s="2093"/>
      <c r="AM98" s="2093"/>
      <c r="AN98" s="2093"/>
      <c r="AO98" s="2093"/>
      <c r="AP98" s="2093"/>
      <c r="AQ98" s="2093"/>
      <c r="AR98" s="2093"/>
      <c r="AS98" s="2093"/>
      <c r="AT98" s="2093"/>
      <c r="AU98" s="2093"/>
      <c r="AV98" s="2093"/>
      <c r="AW98" s="2093"/>
      <c r="AX98" s="2093"/>
      <c r="AY98" s="2093"/>
      <c r="AZ98" s="2093"/>
      <c r="BA98" s="2093"/>
      <c r="BB98" s="2093"/>
      <c r="BC98" s="2093"/>
      <c r="BD98" s="2093"/>
      <c r="BE98" s="2093"/>
    </row>
    <row r="99" spans="1:57" x14ac:dyDescent="0.35">
      <c r="AL99" s="2"/>
      <c r="AM99" s="2"/>
      <c r="AN99" s="2"/>
      <c r="AO99" s="2"/>
      <c r="BD99" s="2"/>
      <c r="BE99" s="2"/>
    </row>
    <row r="100" spans="1:57" x14ac:dyDescent="0.35">
      <c r="A100" s="78" t="s">
        <v>734</v>
      </c>
      <c r="B100" s="80"/>
      <c r="AL100" s="2"/>
      <c r="AM100" s="2"/>
      <c r="AN100" s="2"/>
      <c r="AO100" s="2"/>
      <c r="BD100" s="2"/>
      <c r="BE100" s="2"/>
    </row>
    <row r="101" spans="1:57" x14ac:dyDescent="0.35">
      <c r="A101" s="79" t="s">
        <v>632</v>
      </c>
      <c r="B101" s="2094" t="str">
        <f>AB4</f>
        <v>National Kitchen</v>
      </c>
      <c r="AL101" s="2"/>
      <c r="AM101" s="2"/>
      <c r="AN101" s="2"/>
      <c r="AO101" s="2"/>
      <c r="BD101" s="2"/>
      <c r="BE101" s="2"/>
    </row>
    <row r="102" spans="1:57" x14ac:dyDescent="0.35">
      <c r="A102" s="2279" t="s">
        <v>636</v>
      </c>
      <c r="B102" s="2094" t="str">
        <f>AB5</f>
        <v xml:space="preserve">Michael Schwartz </v>
      </c>
      <c r="AL102" s="2"/>
      <c r="AM102" s="2"/>
      <c r="AN102" s="2"/>
      <c r="AO102" s="2"/>
      <c r="BD102" s="2"/>
      <c r="BE102" s="2"/>
    </row>
    <row r="103" spans="1:57" x14ac:dyDescent="0.35">
      <c r="A103" s="2096" t="s">
        <v>639</v>
      </c>
      <c r="B103" s="2097" t="str">
        <f>AB6</f>
        <v>954- 294-1821</v>
      </c>
      <c r="AL103" s="2"/>
      <c r="AM103" s="2"/>
      <c r="AN103" s="2"/>
      <c r="AO103" s="2"/>
      <c r="BD103" s="2"/>
      <c r="BE103" s="2"/>
    </row>
    <row r="104" spans="1:57" x14ac:dyDescent="0.35">
      <c r="A104" s="2096" t="s">
        <v>642</v>
      </c>
      <c r="B104" s="2159" t="str">
        <f>AB7</f>
        <v>Michael@nationalkb.com</v>
      </c>
      <c r="AL104" s="2"/>
      <c r="AM104" s="2"/>
      <c r="AN104" s="2"/>
      <c r="AO104" s="2"/>
      <c r="BD104" s="2"/>
      <c r="BE104" s="2"/>
    </row>
    <row r="105" spans="1:57" x14ac:dyDescent="0.35">
      <c r="A105" s="2099" t="s">
        <v>735</v>
      </c>
      <c r="B105" s="2100">
        <f>AB8</f>
        <v>2660474.87</v>
      </c>
      <c r="AL105" s="2"/>
      <c r="AM105" s="2"/>
      <c r="AN105" s="2"/>
      <c r="AO105" s="2"/>
      <c r="BD105" s="2"/>
      <c r="BE105" s="2"/>
    </row>
    <row r="106" spans="1:57" x14ac:dyDescent="0.35">
      <c r="AL106" s="2"/>
      <c r="AM106" s="2"/>
      <c r="AN106" s="2"/>
      <c r="AO106" s="2"/>
      <c r="BD106" s="2"/>
      <c r="BE106" s="2"/>
    </row>
    <row r="107" spans="1:57" x14ac:dyDescent="0.35">
      <c r="A107" s="81"/>
      <c r="B107" s="1" t="s">
        <v>736</v>
      </c>
      <c r="AL107" s="2"/>
      <c r="AM107" s="2"/>
      <c r="AN107" s="2"/>
      <c r="AO107" s="2"/>
      <c r="BD107" s="2"/>
      <c r="BE107" s="2"/>
    </row>
    <row r="108" spans="1:57" x14ac:dyDescent="0.35">
      <c r="A108" s="82"/>
      <c r="B108" s="1" t="s">
        <v>737</v>
      </c>
      <c r="AL108" s="2"/>
      <c r="AM108" s="2"/>
      <c r="AN108" s="2"/>
      <c r="AO108" s="2"/>
      <c r="BD108" s="2"/>
      <c r="BE108" s="2"/>
    </row>
  </sheetData>
  <mergeCells count="194">
    <mergeCell ref="BD8:BE8"/>
    <mergeCell ref="AZ4:BA4"/>
    <mergeCell ref="BB8:BC8"/>
    <mergeCell ref="AT2:AU2"/>
    <mergeCell ref="AT3:AU3"/>
    <mergeCell ref="AT4:AU4"/>
    <mergeCell ref="AT5:AU5"/>
    <mergeCell ref="AT6:AU6"/>
    <mergeCell ref="AT7:AU7"/>
    <mergeCell ref="AT8:AU8"/>
    <mergeCell ref="BB3:BC3"/>
    <mergeCell ref="BB4:BC4"/>
    <mergeCell ref="BB5:BC5"/>
    <mergeCell ref="BB6:BC6"/>
    <mergeCell ref="BB7:BC7"/>
    <mergeCell ref="AX7:AY7"/>
    <mergeCell ref="AV8:AW8"/>
    <mergeCell ref="AX6:AY6"/>
    <mergeCell ref="AV6:AW6"/>
    <mergeCell ref="AX4:AY4"/>
    <mergeCell ref="BB2:BC2"/>
    <mergeCell ref="BD7:BE7"/>
    <mergeCell ref="AZ6:BA6"/>
    <mergeCell ref="AZ2:BA2"/>
    <mergeCell ref="AV7:AW7"/>
    <mergeCell ref="T7:U7"/>
    <mergeCell ref="T4:U4"/>
    <mergeCell ref="AP3:AQ3"/>
    <mergeCell ref="Z6:AA6"/>
    <mergeCell ref="Z7:AA7"/>
    <mergeCell ref="T2:U2"/>
    <mergeCell ref="T3:U3"/>
    <mergeCell ref="AX5:AY5"/>
    <mergeCell ref="AV5:AW5"/>
    <mergeCell ref="AF5:AG5"/>
    <mergeCell ref="AR4:AS4"/>
    <mergeCell ref="AP4:AQ4"/>
    <mergeCell ref="AH4:AI4"/>
    <mergeCell ref="AL4:AM4"/>
    <mergeCell ref="AJ6:AK6"/>
    <mergeCell ref="AJ7:AK7"/>
    <mergeCell ref="AB7:AC7"/>
    <mergeCell ref="V7:W7"/>
    <mergeCell ref="AR6:AS6"/>
    <mergeCell ref="AR5:AS5"/>
    <mergeCell ref="AB2:AC2"/>
    <mergeCell ref="V3:W3"/>
    <mergeCell ref="AR7:AS7"/>
    <mergeCell ref="BD1:BE1"/>
    <mergeCell ref="BD2:BE2"/>
    <mergeCell ref="BD3:BE3"/>
    <mergeCell ref="BD4:BE4"/>
    <mergeCell ref="BD5:BE5"/>
    <mergeCell ref="BD6:BE6"/>
    <mergeCell ref="AP1:AQ1"/>
    <mergeCell ref="BB1:BC1"/>
    <mergeCell ref="R2:S2"/>
    <mergeCell ref="AP5:AQ5"/>
    <mergeCell ref="AZ1:BA1"/>
    <mergeCell ref="AP2:AQ2"/>
    <mergeCell ref="AV3:AW3"/>
    <mergeCell ref="AV4:AW4"/>
    <mergeCell ref="AH5:AI5"/>
    <mergeCell ref="T5:U5"/>
    <mergeCell ref="T6:U6"/>
    <mergeCell ref="AD6:AE6"/>
    <mergeCell ref="AB3:AC3"/>
    <mergeCell ref="V5:W5"/>
    <mergeCell ref="V6:W6"/>
    <mergeCell ref="AJ3:AK3"/>
    <mergeCell ref="AJ4:AK4"/>
    <mergeCell ref="AJ5:AK5"/>
    <mergeCell ref="AZ3:BA3"/>
    <mergeCell ref="AD1:AE1"/>
    <mergeCell ref="AD2:AE2"/>
    <mergeCell ref="AF1:AG1"/>
    <mergeCell ref="AH2:AI2"/>
    <mergeCell ref="AH1:AI1"/>
    <mergeCell ref="AX2:AY2"/>
    <mergeCell ref="AR1:AS1"/>
    <mergeCell ref="AF2:AG2"/>
    <mergeCell ref="AD3:AE3"/>
    <mergeCell ref="AL3:AM3"/>
    <mergeCell ref="AT1:AU1"/>
    <mergeCell ref="AJ2:AK2"/>
    <mergeCell ref="AX3:AY3"/>
    <mergeCell ref="AR3:AS3"/>
    <mergeCell ref="AZ5:BA5"/>
    <mergeCell ref="A89:B89"/>
    <mergeCell ref="AZ8:BA8"/>
    <mergeCell ref="AD7:AE7"/>
    <mergeCell ref="H7:I7"/>
    <mergeCell ref="AP7:AQ7"/>
    <mergeCell ref="AH7:AI7"/>
    <mergeCell ref="AZ7:BA7"/>
    <mergeCell ref="AD8:AE8"/>
    <mergeCell ref="H8:I8"/>
    <mergeCell ref="AP8:AQ8"/>
    <mergeCell ref="AH8:AI8"/>
    <mergeCell ref="X7:Y7"/>
    <mergeCell ref="X8:Y8"/>
    <mergeCell ref="AF7:AG7"/>
    <mergeCell ref="AF8:AG8"/>
    <mergeCell ref="A69:B69"/>
    <mergeCell ref="A74:B74"/>
    <mergeCell ref="A78:B78"/>
    <mergeCell ref="J7:K7"/>
    <mergeCell ref="J8:K8"/>
    <mergeCell ref="AB8:AC8"/>
    <mergeCell ref="R8:S8"/>
    <mergeCell ref="AR8:AS8"/>
    <mergeCell ref="AX8:AY8"/>
    <mergeCell ref="A82:B82"/>
    <mergeCell ref="AJ8:AK8"/>
    <mergeCell ref="V8:W8"/>
    <mergeCell ref="Z2:AA2"/>
    <mergeCell ref="P8:Q8"/>
    <mergeCell ref="AF6:AG6"/>
    <mergeCell ref="AB5:AC5"/>
    <mergeCell ref="AB6:AC6"/>
    <mergeCell ref="Z4:AA4"/>
    <mergeCell ref="Z5:AA5"/>
    <mergeCell ref="P2:Q2"/>
    <mergeCell ref="P3:Q3"/>
    <mergeCell ref="P4:Q4"/>
    <mergeCell ref="X3:Y3"/>
    <mergeCell ref="X4:Y4"/>
    <mergeCell ref="X5:Y5"/>
    <mergeCell ref="X6:Y6"/>
    <mergeCell ref="T8:U8"/>
    <mergeCell ref="AF3:AG3"/>
    <mergeCell ref="AF4:AG4"/>
    <mergeCell ref="H3:I3"/>
    <mergeCell ref="R3:S3"/>
    <mergeCell ref="R4:S4"/>
    <mergeCell ref="H5:I5"/>
    <mergeCell ref="H6:I6"/>
    <mergeCell ref="AP6:AQ6"/>
    <mergeCell ref="AH6:AI6"/>
    <mergeCell ref="AN8:AO8"/>
    <mergeCell ref="AL8:AM8"/>
    <mergeCell ref="J6:K6"/>
    <mergeCell ref="L6:M6"/>
    <mergeCell ref="L7:M7"/>
    <mergeCell ref="L8:M8"/>
    <mergeCell ref="P5:Q5"/>
    <mergeCell ref="P6:Q6"/>
    <mergeCell ref="P7:Q7"/>
    <mergeCell ref="N7:O7"/>
    <mergeCell ref="AL5:AM5"/>
    <mergeCell ref="AL6:AM6"/>
    <mergeCell ref="AL7:AM7"/>
    <mergeCell ref="R7:S7"/>
    <mergeCell ref="N6:O6"/>
    <mergeCell ref="N8:O8"/>
    <mergeCell ref="AN6:AO6"/>
    <mergeCell ref="AN7:AO7"/>
    <mergeCell ref="Z8:AA8"/>
    <mergeCell ref="R6:S6"/>
    <mergeCell ref="H4:I4"/>
    <mergeCell ref="L3:M3"/>
    <mergeCell ref="L2:M2"/>
    <mergeCell ref="N1:O1"/>
    <mergeCell ref="N2:O2"/>
    <mergeCell ref="N3:O3"/>
    <mergeCell ref="J1:K1"/>
    <mergeCell ref="J2:K2"/>
    <mergeCell ref="J3:K3"/>
    <mergeCell ref="L1:M1"/>
    <mergeCell ref="N4:O4"/>
    <mergeCell ref="J4:K4"/>
    <mergeCell ref="J5:K5"/>
    <mergeCell ref="N5:O5"/>
    <mergeCell ref="L4:M4"/>
    <mergeCell ref="L5:M5"/>
    <mergeCell ref="AN1:AO1"/>
    <mergeCell ref="AN2:AO2"/>
    <mergeCell ref="AN3:AO3"/>
    <mergeCell ref="AN4:AO4"/>
    <mergeCell ref="AN5:AO5"/>
    <mergeCell ref="P1:Q1"/>
    <mergeCell ref="R5:S5"/>
    <mergeCell ref="AL1:AM1"/>
    <mergeCell ref="AL2:AM2"/>
    <mergeCell ref="V1:W1"/>
    <mergeCell ref="V2:W2"/>
    <mergeCell ref="AJ1:AK1"/>
    <mergeCell ref="AD4:AE4"/>
    <mergeCell ref="AD5:AE5"/>
    <mergeCell ref="AB4:AC4"/>
    <mergeCell ref="Z3:AA3"/>
    <mergeCell ref="V4:W4"/>
    <mergeCell ref="AH3:AI3"/>
    <mergeCell ref="Z1:AA1"/>
  </mergeCells>
  <conditionalFormatting sqref="H20:H22 H32">
    <cfRule type="cellIs" dxfId="977" priority="279" operator="equal">
      <formula>"X"</formula>
    </cfRule>
    <cfRule type="cellIs" dxfId="976" priority="280" operator="equal">
      <formula>"I"</formula>
    </cfRule>
  </conditionalFormatting>
  <conditionalFormatting sqref="H25">
    <cfRule type="cellIs" dxfId="975" priority="255" operator="equal">
      <formula>"X"</formula>
    </cfRule>
    <cfRule type="cellIs" dxfId="974" priority="256" operator="equal">
      <formula>"I"</formula>
    </cfRule>
  </conditionalFormatting>
  <conditionalFormatting sqref="H41">
    <cfRule type="cellIs" dxfId="973" priority="239" operator="equal">
      <formula>"X"</formula>
    </cfRule>
    <cfRule type="cellIs" dxfId="972" priority="240" operator="equal">
      <formula>"I"</formula>
    </cfRule>
  </conditionalFormatting>
  <conditionalFormatting sqref="J20:J22">
    <cfRule type="cellIs" dxfId="971" priority="83" operator="equal">
      <formula>"X"</formula>
    </cfRule>
    <cfRule type="cellIs" dxfId="970" priority="84" operator="equal">
      <formula>"I"</formula>
    </cfRule>
  </conditionalFormatting>
  <conditionalFormatting sqref="J25">
    <cfRule type="cellIs" dxfId="969" priority="81" operator="equal">
      <formula>"X"</formula>
    </cfRule>
    <cfRule type="cellIs" dxfId="968" priority="82" operator="equal">
      <formula>"I"</formula>
    </cfRule>
  </conditionalFormatting>
  <conditionalFormatting sqref="J29:J32">
    <cfRule type="cellIs" dxfId="967" priority="79" operator="equal">
      <formula>"X"</formula>
    </cfRule>
    <cfRule type="cellIs" dxfId="966" priority="80" operator="equal">
      <formula>"I"</formula>
    </cfRule>
  </conditionalFormatting>
  <conditionalFormatting sqref="J34 J37:J40 J51:J60">
    <cfRule type="cellIs" dxfId="965" priority="85" operator="equal">
      <formula>"X"</formula>
    </cfRule>
    <cfRule type="cellIs" dxfId="964" priority="86" operator="equal">
      <formula>"I"</formula>
    </cfRule>
  </conditionalFormatting>
  <conditionalFormatting sqref="L25">
    <cfRule type="cellIs" dxfId="963" priority="133" operator="equal">
      <formula>"X"</formula>
    </cfRule>
    <cfRule type="cellIs" dxfId="962" priority="134" operator="equal">
      <formula>"I"</formula>
    </cfRule>
  </conditionalFormatting>
  <conditionalFormatting sqref="L85">
    <cfRule type="cellIs" dxfId="961" priority="131" operator="equal">
      <formula>"X"</formula>
    </cfRule>
    <cfRule type="cellIs" dxfId="960" priority="132" operator="equal">
      <formula>"I"</formula>
    </cfRule>
  </conditionalFormatting>
  <conditionalFormatting sqref="N25">
    <cfRule type="cellIs" dxfId="959" priority="41" operator="equal">
      <formula>"X"</formula>
    </cfRule>
    <cfRule type="cellIs" dxfId="958" priority="42" operator="equal">
      <formula>"I"</formula>
    </cfRule>
  </conditionalFormatting>
  <conditionalFormatting sqref="N85">
    <cfRule type="cellIs" dxfId="957" priority="39" operator="equal">
      <formula>"X"</formula>
    </cfRule>
    <cfRule type="cellIs" dxfId="956" priority="40" operator="equal">
      <formula>"I"</formula>
    </cfRule>
  </conditionalFormatting>
  <conditionalFormatting sqref="P20:P22 P32">
    <cfRule type="cellIs" dxfId="955" priority="67" operator="equal">
      <formula>"X"</formula>
    </cfRule>
    <cfRule type="cellIs" dxfId="954" priority="68" operator="equal">
      <formula>"I"</formula>
    </cfRule>
  </conditionalFormatting>
  <conditionalFormatting sqref="P25">
    <cfRule type="cellIs" dxfId="953" priority="65" operator="equal">
      <formula>"X"</formula>
    </cfRule>
    <cfRule type="cellIs" dxfId="952" priority="66" operator="equal">
      <formula>"I"</formula>
    </cfRule>
  </conditionalFormatting>
  <conditionalFormatting sqref="P55:P56">
    <cfRule type="cellIs" dxfId="951" priority="63" operator="equal">
      <formula>"X"</formula>
    </cfRule>
    <cfRule type="cellIs" dxfId="950" priority="64" operator="equal">
      <formula>"I"</formula>
    </cfRule>
  </conditionalFormatting>
  <conditionalFormatting sqref="P79:P80">
    <cfRule type="cellIs" dxfId="949" priority="59" operator="equal">
      <formula>"X"</formula>
    </cfRule>
    <cfRule type="cellIs" dxfId="948" priority="60" operator="equal">
      <formula>"I"</formula>
    </cfRule>
  </conditionalFormatting>
  <conditionalFormatting sqref="P85">
    <cfRule type="cellIs" dxfId="947" priority="61" operator="equal">
      <formula>"X"</formula>
    </cfRule>
    <cfRule type="cellIs" dxfId="946" priority="62" operator="equal">
      <formula>"I"</formula>
    </cfRule>
  </conditionalFormatting>
  <conditionalFormatting sqref="R20:R22">
    <cfRule type="cellIs" dxfId="945" priority="51" operator="equal">
      <formula>"X"</formula>
    </cfRule>
    <cfRule type="cellIs" dxfId="944" priority="52" operator="equal">
      <formula>"I"</formula>
    </cfRule>
  </conditionalFormatting>
  <conditionalFormatting sqref="R25">
    <cfRule type="cellIs" dxfId="943" priority="49" operator="equal">
      <formula>"X"</formula>
    </cfRule>
    <cfRule type="cellIs" dxfId="942" priority="50" operator="equal">
      <formula>"I"</formula>
    </cfRule>
  </conditionalFormatting>
  <conditionalFormatting sqref="R29:R32">
    <cfRule type="cellIs" dxfId="941" priority="47" operator="equal">
      <formula>"X"</formula>
    </cfRule>
    <cfRule type="cellIs" dxfId="940" priority="48" operator="equal">
      <formula>"I"</formula>
    </cfRule>
  </conditionalFormatting>
  <conditionalFormatting sqref="R51">
    <cfRule type="cellIs" dxfId="939" priority="43" operator="equal">
      <formula>"X"</formula>
    </cfRule>
    <cfRule type="cellIs" dxfId="938" priority="44" operator="equal">
      <formula>"I"</formula>
    </cfRule>
  </conditionalFormatting>
  <conditionalFormatting sqref="R58:R59">
    <cfRule type="cellIs" dxfId="937" priority="45" operator="equal">
      <formula>"X"</formula>
    </cfRule>
    <cfRule type="cellIs" dxfId="936" priority="46" operator="equal">
      <formula>"I"</formula>
    </cfRule>
  </conditionalFormatting>
  <conditionalFormatting sqref="T25">
    <cfRule type="cellIs" dxfId="935" priority="37" operator="equal">
      <formula>"X"</formula>
    </cfRule>
    <cfRule type="cellIs" dxfId="934" priority="38" operator="equal">
      <formula>"I"</formula>
    </cfRule>
  </conditionalFormatting>
  <conditionalFormatting sqref="T41">
    <cfRule type="cellIs" dxfId="933" priority="35" operator="equal">
      <formula>"X"</formula>
    </cfRule>
    <cfRule type="cellIs" dxfId="932" priority="36" operator="equal">
      <formula>"I"</formula>
    </cfRule>
  </conditionalFormatting>
  <conditionalFormatting sqref="V23">
    <cfRule type="cellIs" dxfId="931" priority="97" operator="equal">
      <formula>"X"</formula>
    </cfRule>
    <cfRule type="cellIs" dxfId="930" priority="98" operator="equal">
      <formula>"I"</formula>
    </cfRule>
  </conditionalFormatting>
  <conditionalFormatting sqref="V25">
    <cfRule type="cellIs" dxfId="929" priority="101" operator="equal">
      <formula>"X"</formula>
    </cfRule>
    <cfRule type="cellIs" dxfId="928" priority="102" operator="equal">
      <formula>"I"</formula>
    </cfRule>
  </conditionalFormatting>
  <conditionalFormatting sqref="V29:V31">
    <cfRule type="cellIs" dxfId="927" priority="99" operator="equal">
      <formula>"X"</formula>
    </cfRule>
    <cfRule type="cellIs" dxfId="926" priority="100" operator="equal">
      <formula>"I"</formula>
    </cfRule>
  </conditionalFormatting>
  <conditionalFormatting sqref="X25">
    <cfRule type="cellIs" dxfId="925" priority="233" operator="equal">
      <formula>"X"</formula>
    </cfRule>
    <cfRule type="cellIs" dxfId="924" priority="234" operator="equal">
      <formula>"I"</formula>
    </cfRule>
  </conditionalFormatting>
  <conditionalFormatting sqref="X32">
    <cfRule type="cellIs" dxfId="923" priority="175" operator="equal">
      <formula>"X"</formula>
    </cfRule>
    <cfRule type="cellIs" dxfId="922" priority="176" operator="equal">
      <formula>"I"</formula>
    </cfRule>
  </conditionalFormatting>
  <conditionalFormatting sqref="X55:X56">
    <cfRule type="cellIs" dxfId="921" priority="177" operator="equal">
      <formula>"X"</formula>
    </cfRule>
    <cfRule type="cellIs" dxfId="920" priority="178" operator="equal">
      <formula>"I"</formula>
    </cfRule>
  </conditionalFormatting>
  <conditionalFormatting sqref="X79:X80">
    <cfRule type="cellIs" dxfId="919" priority="129" operator="equal">
      <formula>"X"</formula>
    </cfRule>
    <cfRule type="cellIs" dxfId="918" priority="130" operator="equal">
      <formula>"I"</formula>
    </cfRule>
  </conditionalFormatting>
  <conditionalFormatting sqref="Z25">
    <cfRule type="cellIs" dxfId="917" priority="57" operator="equal">
      <formula>"X"</formula>
    </cfRule>
    <cfRule type="cellIs" dxfId="916" priority="58" operator="equal">
      <formula>"I"</formula>
    </cfRule>
  </conditionalFormatting>
  <conditionalFormatting sqref="Z55:Z56">
    <cfRule type="cellIs" dxfId="915" priority="53" operator="equal">
      <formula>"X"</formula>
    </cfRule>
    <cfRule type="cellIs" dxfId="914" priority="54" operator="equal">
      <formula>"I"</formula>
    </cfRule>
  </conditionalFormatting>
  <conditionalFormatting sqref="AB25">
    <cfRule type="cellIs" dxfId="913" priority="157" operator="equal">
      <formula>"X"</formula>
    </cfRule>
    <cfRule type="cellIs" dxfId="912" priority="158" operator="equal">
      <formula>"I"</formula>
    </cfRule>
  </conditionalFormatting>
  <conditionalFormatting sqref="AB41">
    <cfRule type="cellIs" dxfId="911" priority="155" operator="equal">
      <formula>"X"</formula>
    </cfRule>
    <cfRule type="cellIs" dxfId="910" priority="156" operator="equal">
      <formula>"I"</formula>
    </cfRule>
  </conditionalFormatting>
  <conditionalFormatting sqref="AD20:AD22 AZ20:AZ22 AD32 AH34 AP34 AZ34:AZ60 AH37:AH40 AP37:AP42 AP49:AP50 AH52:AH60 AP57:AP60">
    <cfRule type="cellIs" dxfId="909" priority="281" operator="equal">
      <formula>"X"</formula>
    </cfRule>
    <cfRule type="cellIs" dxfId="908" priority="282" operator="equal">
      <formula>"I"</formula>
    </cfRule>
  </conditionalFormatting>
  <conditionalFormatting sqref="AD25">
    <cfRule type="cellIs" dxfId="907" priority="259" operator="equal">
      <formula>"X"</formula>
    </cfRule>
    <cfRule type="cellIs" dxfId="906" priority="260" operator="equal">
      <formula>"I"</formula>
    </cfRule>
  </conditionalFormatting>
  <conditionalFormatting sqref="AD55:AD56">
    <cfRule type="cellIs" dxfId="905" priority="231" operator="equal">
      <formula>"X"</formula>
    </cfRule>
    <cfRule type="cellIs" dxfId="904" priority="232" operator="equal">
      <formula>"I"</formula>
    </cfRule>
  </conditionalFormatting>
  <conditionalFormatting sqref="AD79:AD80">
    <cfRule type="cellIs" dxfId="903" priority="227" operator="equal">
      <formula>"X"</formula>
    </cfRule>
    <cfRule type="cellIs" dxfId="902" priority="228" operator="equal">
      <formula>"I"</formula>
    </cfRule>
  </conditionalFormatting>
  <conditionalFormatting sqref="AD85">
    <cfRule type="cellIs" dxfId="901" priority="229" operator="equal">
      <formula>"X"</formula>
    </cfRule>
    <cfRule type="cellIs" dxfId="900" priority="230" operator="equal">
      <formula>"I"</formula>
    </cfRule>
  </conditionalFormatting>
  <conditionalFormatting sqref="AF23">
    <cfRule type="cellIs" dxfId="899" priority="95" operator="equal">
      <formula>"X"</formula>
    </cfRule>
    <cfRule type="cellIs" dxfId="898" priority="96" operator="equal">
      <formula>"I"</formula>
    </cfRule>
  </conditionalFormatting>
  <conditionalFormatting sqref="AF25">
    <cfRule type="cellIs" dxfId="897" priority="207" operator="equal">
      <formula>"X"</formula>
    </cfRule>
    <cfRule type="cellIs" dxfId="896" priority="208" operator="equal">
      <formula>"I"</formula>
    </cfRule>
  </conditionalFormatting>
  <conditionalFormatting sqref="AF29:AF31">
    <cfRule type="cellIs" dxfId="895" priority="205" operator="equal">
      <formula>"X"</formula>
    </cfRule>
    <cfRule type="cellIs" dxfId="894" priority="206" operator="equal">
      <formula>"I"</formula>
    </cfRule>
  </conditionalFormatting>
  <conditionalFormatting sqref="AH20:AH22">
    <cfRule type="cellIs" dxfId="893" priority="275" operator="equal">
      <formula>"X"</formula>
    </cfRule>
    <cfRule type="cellIs" dxfId="892" priority="276" operator="equal">
      <formula>"I"</formula>
    </cfRule>
  </conditionalFormatting>
  <conditionalFormatting sqref="AH25">
    <cfRule type="cellIs" dxfId="891" priority="243" operator="equal">
      <formula>"X"</formula>
    </cfRule>
    <cfRule type="cellIs" dxfId="890" priority="244" operator="equal">
      <formula>"I"</formula>
    </cfRule>
  </conditionalFormatting>
  <conditionalFormatting sqref="AH29:AH32">
    <cfRule type="cellIs" dxfId="889" priority="241" operator="equal">
      <formula>"X"</formula>
    </cfRule>
    <cfRule type="cellIs" dxfId="888" priority="242" operator="equal">
      <formula>"I"</formula>
    </cfRule>
  </conditionalFormatting>
  <conditionalFormatting sqref="AJ20:AJ22">
    <cfRule type="cellIs" dxfId="887" priority="91" operator="equal">
      <formula>"X"</formula>
    </cfRule>
    <cfRule type="cellIs" dxfId="886" priority="92" operator="equal">
      <formula>"I"</formula>
    </cfRule>
  </conditionalFormatting>
  <conditionalFormatting sqref="AJ25">
    <cfRule type="cellIs" dxfId="885" priority="89" operator="equal">
      <formula>"X"</formula>
    </cfRule>
    <cfRule type="cellIs" dxfId="884" priority="90" operator="equal">
      <formula>"I"</formula>
    </cfRule>
  </conditionalFormatting>
  <conditionalFormatting sqref="AJ29:AJ32">
    <cfRule type="cellIs" dxfId="883" priority="87" operator="equal">
      <formula>"X"</formula>
    </cfRule>
    <cfRule type="cellIs" dxfId="882" priority="88" operator="equal">
      <formula>"I"</formula>
    </cfRule>
  </conditionalFormatting>
  <conditionalFormatting sqref="AJ34 AJ37:AJ40 AJ52:AJ60">
    <cfRule type="cellIs" dxfId="881" priority="93" operator="equal">
      <formula>"X"</formula>
    </cfRule>
    <cfRule type="cellIs" dxfId="880" priority="94" operator="equal">
      <formula>"I"</formula>
    </cfRule>
  </conditionalFormatting>
  <conditionalFormatting sqref="AL20:AL22">
    <cfRule type="cellIs" dxfId="879" priority="15" operator="equal">
      <formula>"X"</formula>
    </cfRule>
    <cfRule type="cellIs" dxfId="878" priority="16" operator="equal">
      <formula>"I"</formula>
    </cfRule>
  </conditionalFormatting>
  <conditionalFormatting sqref="AL25">
    <cfRule type="cellIs" dxfId="877" priority="13" operator="equal">
      <formula>"X"</formula>
    </cfRule>
    <cfRule type="cellIs" dxfId="876" priority="14" operator="equal">
      <formula>"I"</formula>
    </cfRule>
  </conditionalFormatting>
  <conditionalFormatting sqref="AL29:AL32">
    <cfRule type="cellIs" dxfId="875" priority="11" operator="equal">
      <formula>"X"</formula>
    </cfRule>
    <cfRule type="cellIs" dxfId="874" priority="12" operator="equal">
      <formula>"I"</formula>
    </cfRule>
  </conditionalFormatting>
  <conditionalFormatting sqref="AL34">
    <cfRule type="cellIs" dxfId="873" priority="17" operator="equal">
      <formula>"X"</formula>
    </cfRule>
    <cfRule type="cellIs" dxfId="872" priority="18" operator="equal">
      <formula>"I"</formula>
    </cfRule>
  </conditionalFormatting>
  <conditionalFormatting sqref="AL37:AL60">
    <cfRule type="cellIs" dxfId="871" priority="1" operator="equal">
      <formula>"X"</formula>
    </cfRule>
    <cfRule type="cellIs" dxfId="870" priority="2" operator="equal">
      <formula>"I"</formula>
    </cfRule>
  </conditionalFormatting>
  <conditionalFormatting sqref="AN20:AN22">
    <cfRule type="cellIs" dxfId="869" priority="31" operator="equal">
      <formula>"X"</formula>
    </cfRule>
    <cfRule type="cellIs" dxfId="868" priority="32" operator="equal">
      <formula>"I"</formula>
    </cfRule>
  </conditionalFormatting>
  <conditionalFormatting sqref="AN25">
    <cfRule type="cellIs" dxfId="867" priority="29" operator="equal">
      <formula>"X"</formula>
    </cfRule>
    <cfRule type="cellIs" dxfId="866" priority="30" operator="equal">
      <formula>"I"</formula>
    </cfRule>
  </conditionalFormatting>
  <conditionalFormatting sqref="AN29:AN32">
    <cfRule type="cellIs" dxfId="865" priority="27" operator="equal">
      <formula>"X"</formula>
    </cfRule>
    <cfRule type="cellIs" dxfId="864" priority="28" operator="equal">
      <formula>"I"</formula>
    </cfRule>
  </conditionalFormatting>
  <conditionalFormatting sqref="AN34">
    <cfRule type="cellIs" dxfId="863" priority="33" operator="equal">
      <formula>"X"</formula>
    </cfRule>
    <cfRule type="cellIs" dxfId="862" priority="34" operator="equal">
      <formula>"I"</formula>
    </cfRule>
  </conditionalFormatting>
  <conditionalFormatting sqref="AN37:AN60">
    <cfRule type="cellIs" dxfId="861" priority="19" operator="equal">
      <formula>"X"</formula>
    </cfRule>
    <cfRule type="cellIs" dxfId="860" priority="20" operator="equal">
      <formula>"I"</formula>
    </cfRule>
  </conditionalFormatting>
  <conditionalFormatting sqref="AP20:AP22">
    <cfRule type="cellIs" dxfId="859" priority="277" operator="equal">
      <formula>"X"</formula>
    </cfRule>
    <cfRule type="cellIs" dxfId="858" priority="278" operator="equal">
      <formula>"I"</formula>
    </cfRule>
  </conditionalFormatting>
  <conditionalFormatting sqref="AP25">
    <cfRule type="cellIs" dxfId="857" priority="251" operator="equal">
      <formula>"X"</formula>
    </cfRule>
    <cfRule type="cellIs" dxfId="856" priority="252" operator="equal">
      <formula>"I"</formula>
    </cfRule>
  </conditionalFormatting>
  <conditionalFormatting sqref="AP29:AP32">
    <cfRule type="cellIs" dxfId="855" priority="249" operator="equal">
      <formula>"X"</formula>
    </cfRule>
    <cfRule type="cellIs" dxfId="854" priority="250" operator="equal">
      <formula>"I"</formula>
    </cfRule>
  </conditionalFormatting>
  <conditionalFormatting sqref="AP53:AP54">
    <cfRule type="cellIs" dxfId="853" priority="169" operator="equal">
      <formula>"X"</formula>
    </cfRule>
    <cfRule type="cellIs" dxfId="852" priority="170" operator="equal">
      <formula>"I"</formula>
    </cfRule>
  </conditionalFormatting>
  <conditionalFormatting sqref="AR25">
    <cfRule type="cellIs" dxfId="851" priority="143" operator="equal">
      <formula>"X"</formula>
    </cfRule>
    <cfRule type="cellIs" dxfId="850" priority="144" operator="equal">
      <formula>"I"</formula>
    </cfRule>
  </conditionalFormatting>
  <conditionalFormatting sqref="AR29:AR31">
    <cfRule type="cellIs" dxfId="849" priority="141" operator="equal">
      <formula>"X"</formula>
    </cfRule>
    <cfRule type="cellIs" dxfId="848" priority="142" operator="equal">
      <formula>"I"</formula>
    </cfRule>
  </conditionalFormatting>
  <conditionalFormatting sqref="AR55:AR56">
    <cfRule type="cellIs" dxfId="847" priority="139" operator="equal">
      <formula>"X"</formula>
    </cfRule>
    <cfRule type="cellIs" dxfId="846" priority="140" operator="equal">
      <formula>"I"</formula>
    </cfRule>
  </conditionalFormatting>
  <conditionalFormatting sqref="AT20:AT22">
    <cfRule type="cellIs" dxfId="845" priority="187" operator="equal">
      <formula>"X"</formula>
    </cfRule>
    <cfRule type="cellIs" dxfId="844" priority="188" operator="equal">
      <formula>"I"</formula>
    </cfRule>
  </conditionalFormatting>
  <conditionalFormatting sqref="AT25">
    <cfRule type="cellIs" dxfId="843" priority="185" operator="equal">
      <formula>"X"</formula>
    </cfRule>
    <cfRule type="cellIs" dxfId="842" priority="186" operator="equal">
      <formula>"I"</formula>
    </cfRule>
  </conditionalFormatting>
  <conditionalFormatting sqref="AT29:AT32">
    <cfRule type="cellIs" dxfId="841" priority="183" operator="equal">
      <formula>"X"</formula>
    </cfRule>
    <cfRule type="cellIs" dxfId="840" priority="184" operator="equal">
      <formula>"I"</formula>
    </cfRule>
  </conditionalFormatting>
  <conditionalFormatting sqref="AT34">
    <cfRule type="cellIs" dxfId="839" priority="189" operator="equal">
      <formula>"X"</formula>
    </cfRule>
    <cfRule type="cellIs" dxfId="838" priority="190" operator="equal">
      <formula>"I"</formula>
    </cfRule>
  </conditionalFormatting>
  <conditionalFormatting sqref="AT37:AT40">
    <cfRule type="cellIs" dxfId="837" priority="181" operator="equal">
      <formula>"X"</formula>
    </cfRule>
    <cfRule type="cellIs" dxfId="836" priority="182" operator="equal">
      <formula>"I"</formula>
    </cfRule>
  </conditionalFormatting>
  <conditionalFormatting sqref="AT53:AT56">
    <cfRule type="cellIs" dxfId="835" priority="135" operator="equal">
      <formula>"X"</formula>
    </cfRule>
    <cfRule type="cellIs" dxfId="834" priority="136" operator="equal">
      <formula>"I"</formula>
    </cfRule>
  </conditionalFormatting>
  <conditionalFormatting sqref="AT58:AT59">
    <cfRule type="cellIs" dxfId="833" priority="173" operator="equal">
      <formula>"X"</formula>
    </cfRule>
    <cfRule type="cellIs" dxfId="832" priority="174" operator="equal">
      <formula>"I"</formula>
    </cfRule>
  </conditionalFormatting>
  <conditionalFormatting sqref="AV25">
    <cfRule type="cellIs" dxfId="831" priority="163" operator="equal">
      <formula>"X"</formula>
    </cfRule>
    <cfRule type="cellIs" dxfId="830" priority="164" operator="equal">
      <formula>"I"</formula>
    </cfRule>
  </conditionalFormatting>
  <conditionalFormatting sqref="AV29:AV31">
    <cfRule type="cellIs" dxfId="829" priority="161" operator="equal">
      <formula>"X"</formula>
    </cfRule>
    <cfRule type="cellIs" dxfId="828" priority="162" operator="equal">
      <formula>"I"</formula>
    </cfRule>
  </conditionalFormatting>
  <conditionalFormatting sqref="AV38:AV39">
    <cfRule type="cellIs" dxfId="827" priority="159" operator="equal">
      <formula>"X"</formula>
    </cfRule>
    <cfRule type="cellIs" dxfId="826" priority="160" operator="equal">
      <formula>"I"</formula>
    </cfRule>
  </conditionalFormatting>
  <conditionalFormatting sqref="AV42">
    <cfRule type="cellIs" dxfId="825" priority="145" operator="equal">
      <formula>"X"</formula>
    </cfRule>
    <cfRule type="cellIs" dxfId="824" priority="146" operator="equal">
      <formula>"I"</formula>
    </cfRule>
  </conditionalFormatting>
  <conditionalFormatting sqref="AV49:AV50">
    <cfRule type="cellIs" dxfId="823" priority="153" operator="equal">
      <formula>"X"</formula>
    </cfRule>
    <cfRule type="cellIs" dxfId="822" priority="154" operator="equal">
      <formula>"I"</formula>
    </cfRule>
  </conditionalFormatting>
  <conditionalFormatting sqref="AV52:AV54">
    <cfRule type="cellIs" dxfId="821" priority="149" operator="equal">
      <formula>"X"</formula>
    </cfRule>
    <cfRule type="cellIs" dxfId="820" priority="150" operator="equal">
      <formula>"I"</formula>
    </cfRule>
  </conditionalFormatting>
  <conditionalFormatting sqref="AV58:AV60">
    <cfRule type="cellIs" dxfId="819" priority="147" operator="equal">
      <formula>"X"</formula>
    </cfRule>
    <cfRule type="cellIs" dxfId="818" priority="148" operator="equal">
      <formula>"I"</formula>
    </cfRule>
  </conditionalFormatting>
  <conditionalFormatting sqref="AX20:AX22">
    <cfRule type="cellIs" dxfId="817" priority="219" operator="equal">
      <formula>"X"</formula>
    </cfRule>
    <cfRule type="cellIs" dxfId="816" priority="220" operator="equal">
      <formula>"I"</formula>
    </cfRule>
  </conditionalFormatting>
  <conditionalFormatting sqref="AX25">
    <cfRule type="cellIs" dxfId="815" priority="211" operator="equal">
      <formula>"X"</formula>
    </cfRule>
    <cfRule type="cellIs" dxfId="814" priority="212" operator="equal">
      <formula>"I"</formula>
    </cfRule>
  </conditionalFormatting>
  <conditionalFormatting sqref="AX29:AX32">
    <cfRule type="cellIs" dxfId="813" priority="209" operator="equal">
      <formula>"X"</formula>
    </cfRule>
    <cfRule type="cellIs" dxfId="812" priority="210" operator="equal">
      <formula>"I"</formula>
    </cfRule>
  </conditionalFormatting>
  <conditionalFormatting sqref="AX58:AX59">
    <cfRule type="cellIs" dxfId="811" priority="167" operator="equal">
      <formula>"X"</formula>
    </cfRule>
    <cfRule type="cellIs" dxfId="810" priority="168" operator="equal">
      <formula>"I"</formula>
    </cfRule>
  </conditionalFormatting>
  <conditionalFormatting sqref="AZ25">
    <cfRule type="cellIs" dxfId="809" priority="203" operator="equal">
      <formula>"X"</formula>
    </cfRule>
    <cfRule type="cellIs" dxfId="808" priority="204" operator="equal">
      <formula>"I"</formula>
    </cfRule>
  </conditionalFormatting>
  <conditionalFormatting sqref="AZ29:AZ32">
    <cfRule type="cellIs" dxfId="807" priority="201" operator="equal">
      <formula>"X"</formula>
    </cfRule>
    <cfRule type="cellIs" dxfId="806" priority="202" operator="equal">
      <formula>"I"</formula>
    </cfRule>
  </conditionalFormatting>
  <conditionalFormatting sqref="BB20:BB22">
    <cfRule type="cellIs" dxfId="805" priority="197" operator="equal">
      <formula>"X"</formula>
    </cfRule>
    <cfRule type="cellIs" dxfId="804" priority="198" operator="equal">
      <formula>"I"</formula>
    </cfRule>
  </conditionalFormatting>
  <conditionalFormatting sqref="BB25">
    <cfRule type="cellIs" dxfId="803" priority="195" operator="equal">
      <formula>"X"</formula>
    </cfRule>
    <cfRule type="cellIs" dxfId="802" priority="196" operator="equal">
      <formula>"I"</formula>
    </cfRule>
  </conditionalFormatting>
  <conditionalFormatting sqref="BB29:BB32">
    <cfRule type="cellIs" dxfId="801" priority="193" operator="equal">
      <formula>"X"</formula>
    </cfRule>
    <cfRule type="cellIs" dxfId="800" priority="194" operator="equal">
      <formula>"I"</formula>
    </cfRule>
  </conditionalFormatting>
  <conditionalFormatting sqref="BB34 BB40 BB52:BB60">
    <cfRule type="cellIs" dxfId="799" priority="199" operator="equal">
      <formula>"X"</formula>
    </cfRule>
    <cfRule type="cellIs" dxfId="798" priority="200" operator="equal">
      <formula>"I"</formula>
    </cfRule>
  </conditionalFormatting>
  <conditionalFormatting sqref="BB37:BB38">
    <cfRule type="cellIs" dxfId="797" priority="191" operator="equal">
      <formula>"X"</formula>
    </cfRule>
    <cfRule type="cellIs" dxfId="796" priority="192" operator="equal">
      <formula>"I"</formula>
    </cfRule>
  </conditionalFormatting>
  <conditionalFormatting sqref="BD20:BD22">
    <cfRule type="cellIs" dxfId="795" priority="125" operator="equal">
      <formula>"X"</formula>
    </cfRule>
    <cfRule type="cellIs" dxfId="794" priority="126" operator="equal">
      <formula>"I"</formula>
    </cfRule>
  </conditionalFormatting>
  <conditionalFormatting sqref="BD25">
    <cfRule type="cellIs" dxfId="793" priority="123" operator="equal">
      <formula>"X"</formula>
    </cfRule>
    <cfRule type="cellIs" dxfId="792" priority="124" operator="equal">
      <formula>"I"</formula>
    </cfRule>
  </conditionalFormatting>
  <conditionalFormatting sqref="BD29:BD32">
    <cfRule type="cellIs" dxfId="791" priority="121" operator="equal">
      <formula>"X"</formula>
    </cfRule>
    <cfRule type="cellIs" dxfId="790" priority="122" operator="equal">
      <formula>"I"</formula>
    </cfRule>
  </conditionalFormatting>
  <conditionalFormatting sqref="BD34">
    <cfRule type="cellIs" dxfId="789" priority="127" operator="equal">
      <formula>"X"</formula>
    </cfRule>
    <cfRule type="cellIs" dxfId="788" priority="128" operator="equal">
      <formula>"I"</formula>
    </cfRule>
  </conditionalFormatting>
  <conditionalFormatting sqref="BD37:BD42">
    <cfRule type="cellIs" dxfId="787" priority="115" operator="equal">
      <formula>"X"</formula>
    </cfRule>
    <cfRule type="cellIs" dxfId="786" priority="116" operator="equal">
      <formula>"I"</formula>
    </cfRule>
  </conditionalFormatting>
  <conditionalFormatting sqref="BD45:BD48">
    <cfRule type="cellIs" dxfId="785" priority="113" operator="equal">
      <formula>"X"</formula>
    </cfRule>
    <cfRule type="cellIs" dxfId="784" priority="114" operator="equal">
      <formula>"I"</formula>
    </cfRule>
  </conditionalFormatting>
  <conditionalFormatting sqref="BD51:BD60">
    <cfRule type="cellIs" dxfId="783" priority="103" operator="equal">
      <formula>"X"</formula>
    </cfRule>
    <cfRule type="cellIs" dxfId="782" priority="104" operator="equal">
      <formula>"I"</formula>
    </cfRule>
  </conditionalFormatting>
  <hyperlinks>
    <hyperlink ref="B3" location="'Cost Summary'!A1" display="BACK TO SUMMARY SHEET" xr:uid="{C7294189-D7DB-4446-8896-B3D6C620582A}"/>
    <hyperlink ref="H7:I7" r:id="rId1" display="Michael@nationalkb.com" xr:uid="{5498E3F4-EE16-458E-9520-F64AB1707C55}"/>
    <hyperlink ref="AP7:AQ7" r:id="rId2" display="alans@alliedinteriorsolutions.com " xr:uid="{720D5535-D76A-4D3D-991B-7D5091FFD7FE}"/>
    <hyperlink ref="AH7:AI7" r:id="rId3" display="francisco@aprocg.com" xr:uid="{B727900F-4794-4133-9B0F-483D6C23F3EB}"/>
    <hyperlink ref="X7:Y7" r:id="rId4" display="treynolds@spragginsinc.com" xr:uid="{8D76151B-AF1C-401D-9771-AB45F56818C7}"/>
    <hyperlink ref="AX7:AY7" r:id="rId5" display="gibb.verjee@cosmocabinets.com" xr:uid="{DA2A77F0-905C-4D15-98A6-99ACDA2BFBE9}"/>
    <hyperlink ref="AF7:AG7" r:id="rId6" display="&lt;billr@regentcabinetsolutions.com&gt;" xr:uid="{A94BEDA8-F4E2-4C8F-9E95-7BCE90846B1E}"/>
    <hyperlink ref="BB7:BC7" r:id="rId7" display="mhalvorsen@leedo.com" xr:uid="{15BDEB97-ABE7-4BF0-BBFA-4C0BC7AE0F48}"/>
    <hyperlink ref="AT7:AU7" r:id="rId8" display="mhalvorsen@leedo.com" xr:uid="{8AD52D54-91E5-4DB3-85D0-9B5C1EE54448}"/>
    <hyperlink ref="AV7:AW7" r:id="rId9" display="hanna@asterakb.com" xr:uid="{444ED881-44B6-4FB1-8C00-9F46CCFEDB15}"/>
    <hyperlink ref="AB7:AC7" r:id="rId10" display="Michael@nationalkb.com" xr:uid="{57487E9F-287B-48FF-9EBD-613EA467EDB6}"/>
    <hyperlink ref="L7:M7" r:id="rId11" display="Michael@nationalkb.com" xr:uid="{12268F56-2700-47D8-A8AA-1CD1A9406682}"/>
    <hyperlink ref="V7:W7" r:id="rId12" display="&lt;billr@regentcabinetsolutions.com&gt;" xr:uid="{D716DDDC-301B-4CF1-95BF-1614FD4FB798}"/>
    <hyperlink ref="AJ7:AK7" r:id="rId13" display="francisco@aprocg.com" xr:uid="{9AA624EA-65E6-4127-9265-9D0B71B42BD1}"/>
    <hyperlink ref="J7:K7" r:id="rId14" display="francisco@aprocg.com" xr:uid="{7F100062-172F-4DD1-A0B5-15994A310098}"/>
    <hyperlink ref="R7:S7" r:id="rId15" display="gibb.verjee@cosmocabinets.com" xr:uid="{5CB51D3C-D27C-45CF-9D7C-5869ECE35B15}"/>
    <hyperlink ref="N7:O7" r:id="rId16" display="Michael@nationalkb.com" xr:uid="{96A0A3E4-1B9A-4AEE-8C50-176894884D8F}"/>
    <hyperlink ref="T7:U7" r:id="rId17" display="Michael@nationalkb.com" xr:uid="{4614B5A0-8A3A-4D32-B151-25FAEAFE9CF1}"/>
    <hyperlink ref="AL7:AM7" r:id="rId18" display="ealegre@heronstone.com" xr:uid="{BCE95127-FF24-44AB-8ECE-7CBFFD78FEE2}"/>
  </hyperlinks>
  <pageMargins left="0.7" right="0.7" top="0.75" bottom="0.75" header="0.3" footer="0.3"/>
  <pageSetup scale="71" orientation="portrait" horizontalDpi="1200" verticalDpi="1200" r:id="rId19"/>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FC71-CEC9-44C8-AC7A-559180208957}">
  <sheetPr>
    <tabColor rgb="FF92D050"/>
  </sheetPr>
  <dimension ref="A1:W98"/>
  <sheetViews>
    <sheetView zoomScale="85" zoomScaleNormal="85" workbookViewId="0">
      <pane xSplit="2" ySplit="9" topLeftCell="C29" activePane="bottomRight" state="frozen"/>
      <selection pane="topRight" activeCell="C1" sqref="C1"/>
      <selection pane="bottomLeft" activeCell="A10" sqref="A10"/>
      <selection pane="bottomRight" activeCell="I51" sqref="I51"/>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s>
  <sheetData>
    <row r="1" spans="1:23" x14ac:dyDescent="0.35">
      <c r="E1" s="152"/>
      <c r="F1" s="125"/>
      <c r="G1" s="123" t="s">
        <v>621</v>
      </c>
    </row>
    <row r="2" spans="1:23" ht="15" thickBot="1" x14ac:dyDescent="0.4">
      <c r="E2" s="152"/>
      <c r="F2" s="122" t="s">
        <v>622</v>
      </c>
      <c r="G2" s="123" t="s">
        <v>451</v>
      </c>
      <c r="H2" s="3751">
        <v>9546757011</v>
      </c>
      <c r="I2" s="3751"/>
      <c r="J2" s="3866">
        <v>2392930803</v>
      </c>
      <c r="K2" s="3866"/>
      <c r="L2" s="3866">
        <v>2392930803</v>
      </c>
      <c r="M2" s="3866"/>
      <c r="N2" s="3866"/>
      <c r="O2" s="3866"/>
      <c r="P2" s="3751"/>
      <c r="Q2" s="3751"/>
      <c r="R2" s="3751"/>
      <c r="S2" s="3751"/>
      <c r="T2" s="3751"/>
      <c r="U2" s="3751"/>
      <c r="V2" s="3751"/>
      <c r="W2" s="3751"/>
    </row>
    <row r="3" spans="1:23" ht="20" thickBot="1" x14ac:dyDescent="0.4">
      <c r="B3" s="137" t="s">
        <v>623</v>
      </c>
      <c r="E3" s="152"/>
      <c r="F3" s="124" t="s">
        <v>624</v>
      </c>
      <c r="G3" s="123" t="s">
        <v>557</v>
      </c>
      <c r="H3" s="3772" t="s">
        <v>871</v>
      </c>
      <c r="I3" s="3773"/>
      <c r="J3" s="3754" t="s">
        <v>626</v>
      </c>
      <c r="K3" s="3755"/>
      <c r="L3" s="3754" t="s">
        <v>626</v>
      </c>
      <c r="M3" s="3755"/>
      <c r="N3" s="3754" t="s">
        <v>627</v>
      </c>
      <c r="O3" s="3755"/>
      <c r="P3" s="3754" t="s">
        <v>628</v>
      </c>
      <c r="Q3" s="3755"/>
      <c r="R3" s="3754" t="s">
        <v>772</v>
      </c>
      <c r="S3" s="3755"/>
      <c r="T3" s="3754" t="s">
        <v>773</v>
      </c>
      <c r="U3" s="3755"/>
      <c r="V3" s="3754" t="s">
        <v>630</v>
      </c>
      <c r="W3" s="3755"/>
    </row>
    <row r="4" spans="1:23" ht="15.75" customHeight="1" thickTop="1" x14ac:dyDescent="0.35">
      <c r="A4" s="3" t="s">
        <v>631</v>
      </c>
      <c r="B4" s="4" t="e">
        <f>#REF!</f>
        <v>#REF!</v>
      </c>
      <c r="C4" s="5"/>
      <c r="D4" s="5"/>
      <c r="E4" s="5"/>
      <c r="F4" s="5"/>
      <c r="G4" s="6" t="s">
        <v>632</v>
      </c>
      <c r="H4" s="3898" t="s">
        <v>2956</v>
      </c>
      <c r="I4" s="3898"/>
      <c r="J4" s="3898" t="s">
        <v>4332</v>
      </c>
      <c r="K4" s="3898"/>
      <c r="L4" s="3898" t="s">
        <v>2957</v>
      </c>
      <c r="M4" s="3898"/>
      <c r="N4" s="3898" t="s">
        <v>2958</v>
      </c>
      <c r="O4" s="3898"/>
      <c r="P4" s="3898" t="s">
        <v>2959</v>
      </c>
      <c r="Q4" s="3898"/>
      <c r="R4" s="3898" t="s">
        <v>2960</v>
      </c>
      <c r="S4" s="3898"/>
      <c r="T4" s="3898" t="s">
        <v>2961</v>
      </c>
      <c r="U4" s="3898"/>
      <c r="V4" s="3796" t="s">
        <v>2962</v>
      </c>
      <c r="W4" s="3753"/>
    </row>
    <row r="5" spans="1:23" x14ac:dyDescent="0.35">
      <c r="A5" s="2283" t="s">
        <v>634</v>
      </c>
      <c r="B5" s="2284" t="s">
        <v>2963</v>
      </c>
      <c r="C5" s="2285"/>
      <c r="D5" s="2285"/>
      <c r="E5" s="2285"/>
      <c r="F5" s="2285"/>
      <c r="G5" s="2194" t="s">
        <v>636</v>
      </c>
      <c r="H5" s="3950" t="s">
        <v>2964</v>
      </c>
      <c r="I5" s="3950"/>
      <c r="J5" s="3950" t="s">
        <v>2965</v>
      </c>
      <c r="K5" s="3950"/>
      <c r="L5" s="3950" t="s">
        <v>2966</v>
      </c>
      <c r="M5" s="3950"/>
      <c r="N5" s="3950" t="s">
        <v>2967</v>
      </c>
      <c r="O5" s="3950"/>
      <c r="P5" s="3950" t="s">
        <v>2968</v>
      </c>
      <c r="Q5" s="3950"/>
      <c r="R5" s="3950" t="s">
        <v>2969</v>
      </c>
      <c r="S5" s="3950"/>
      <c r="T5" s="3950" t="s">
        <v>2970</v>
      </c>
      <c r="U5" s="3950"/>
      <c r="V5" s="3933" t="s">
        <v>2971</v>
      </c>
      <c r="W5" s="3932"/>
    </row>
    <row r="6" spans="1:23" x14ac:dyDescent="0.35">
      <c r="A6" s="2283" t="s">
        <v>638</v>
      </c>
      <c r="B6" s="2195" t="s">
        <v>532</v>
      </c>
      <c r="C6" s="2285"/>
      <c r="D6" s="2285"/>
      <c r="E6" s="2285"/>
      <c r="F6" s="2285"/>
      <c r="G6" s="2194" t="s">
        <v>639</v>
      </c>
      <c r="H6" s="3949">
        <v>9545871000</v>
      </c>
      <c r="I6" s="3949"/>
      <c r="J6" s="3949">
        <v>2399929096</v>
      </c>
      <c r="K6" s="3949"/>
      <c r="L6" s="3949">
        <v>2396590940</v>
      </c>
      <c r="M6" s="3949"/>
      <c r="N6" s="3949">
        <v>9549700297</v>
      </c>
      <c r="O6" s="3949"/>
      <c r="P6" s="3949">
        <v>2083712968</v>
      </c>
      <c r="Q6" s="3949"/>
      <c r="R6" s="3949"/>
      <c r="S6" s="3949"/>
      <c r="T6" s="3949">
        <v>5615821830</v>
      </c>
      <c r="U6" s="3949"/>
      <c r="V6" s="3939">
        <v>9549310980</v>
      </c>
      <c r="W6" s="3938"/>
    </row>
    <row r="7" spans="1:23" x14ac:dyDescent="0.35">
      <c r="A7" s="2283" t="s">
        <v>641</v>
      </c>
      <c r="B7" s="2196"/>
      <c r="C7" s="2285"/>
      <c r="D7" s="2285"/>
      <c r="E7" s="2285"/>
      <c r="F7" s="2285"/>
      <c r="G7" s="2194" t="s">
        <v>642</v>
      </c>
      <c r="H7" s="3951" t="s">
        <v>2972</v>
      </c>
      <c r="I7" s="3951"/>
      <c r="J7" s="3951" t="s">
        <v>2973</v>
      </c>
      <c r="K7" s="3951"/>
      <c r="L7" s="3951" t="s">
        <v>2974</v>
      </c>
      <c r="M7" s="3951"/>
      <c r="N7" s="3951" t="s">
        <v>2975</v>
      </c>
      <c r="O7" s="3951"/>
      <c r="P7" s="3951" t="s">
        <v>2976</v>
      </c>
      <c r="Q7" s="3951"/>
      <c r="R7" s="3951" t="s">
        <v>2977</v>
      </c>
      <c r="S7" s="3951"/>
      <c r="T7" s="3951" t="s">
        <v>2978</v>
      </c>
      <c r="U7" s="3951"/>
      <c r="V7" s="3936" t="s">
        <v>2979</v>
      </c>
      <c r="W7" s="3935"/>
    </row>
    <row r="8" spans="1:23" ht="15" thickBot="1" x14ac:dyDescent="0.4">
      <c r="A8" s="938" t="s">
        <v>644</v>
      </c>
      <c r="B8" s="939"/>
      <c r="C8" s="940"/>
      <c r="D8" s="940"/>
      <c r="E8" s="940"/>
      <c r="F8" s="940"/>
      <c r="G8" s="1024" t="s">
        <v>644</v>
      </c>
      <c r="H8" s="3945">
        <f>I59</f>
        <v>365890</v>
      </c>
      <c r="I8" s="3944"/>
      <c r="J8" s="3945">
        <f>K59</f>
        <v>396419</v>
      </c>
      <c r="K8" s="3944"/>
      <c r="L8" s="3945">
        <f>M59</f>
        <v>405000</v>
      </c>
      <c r="M8" s="3944"/>
      <c r="N8" s="3945">
        <f>O59</f>
        <v>510950</v>
      </c>
      <c r="O8" s="3944"/>
      <c r="P8" s="3945">
        <f>Q59</f>
        <v>589350</v>
      </c>
      <c r="Q8" s="3944"/>
      <c r="R8" s="3945">
        <f>S59</f>
        <v>575850</v>
      </c>
      <c r="S8" s="3944"/>
      <c r="T8" s="3945">
        <f>U59</f>
        <v>700000</v>
      </c>
      <c r="U8" s="3944"/>
      <c r="V8" s="3945">
        <f>W59</f>
        <v>813083</v>
      </c>
      <c r="W8" s="3944"/>
    </row>
    <row r="9" spans="1:23"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row>
    <row r="10" spans="1:23" ht="15" hidden="1" thickTop="1" x14ac:dyDescent="0.35">
      <c r="A10" s="2286"/>
      <c r="B10" s="2672"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row>
    <row r="11" spans="1:23" ht="15" hidden="1" thickTop="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row>
    <row r="12" spans="1:23" ht="15" hidden="1" thickTop="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row>
    <row r="13" spans="1:23" ht="15" hidden="1" thickTop="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row>
    <row r="14" spans="1:23" ht="15" hidden="1" thickTop="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row>
    <row r="15" spans="1:23" ht="15" hidden="1" thickTop="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row>
    <row r="16" spans="1:23" ht="15" hidden="1" thickTop="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row>
    <row r="17" spans="1:23" ht="15" hidden="1" thickTop="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row>
    <row r="18" spans="1:23" ht="15" hidden="1" thickTop="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row>
    <row r="19" spans="1:23" ht="15" hidden="1" thickTop="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row>
    <row r="20" spans="1:23" ht="15" thickTop="1" x14ac:dyDescent="0.35">
      <c r="A20" s="2286"/>
      <c r="B20" s="2284"/>
      <c r="C20" s="2201"/>
      <c r="D20" s="2285"/>
      <c r="E20" s="2285"/>
      <c r="F20" s="2285"/>
      <c r="G20" s="2198"/>
      <c r="H20" s="2109"/>
      <c r="I20" s="2107"/>
      <c r="J20" s="2109"/>
      <c r="K20" s="2107"/>
      <c r="L20" s="2109"/>
      <c r="M20" s="2107"/>
      <c r="N20" s="2109"/>
      <c r="O20" s="2107"/>
      <c r="P20" s="2109"/>
      <c r="Q20" s="2107"/>
      <c r="R20" s="2109"/>
      <c r="S20" s="2107"/>
      <c r="T20" s="2109"/>
      <c r="U20" s="2107"/>
      <c r="V20" s="2109"/>
      <c r="W20" s="2107"/>
    </row>
    <row r="21" spans="1:23" ht="15" thickBot="1" x14ac:dyDescent="0.4">
      <c r="A21" s="2286"/>
      <c r="B21" s="2203" t="s">
        <v>2963</v>
      </c>
      <c r="C21" s="2201"/>
      <c r="D21" s="2285"/>
      <c r="E21" s="2285"/>
      <c r="F21" s="2285"/>
      <c r="G21" s="2198"/>
      <c r="H21" s="2109"/>
      <c r="I21" s="2107"/>
      <c r="J21" s="2109"/>
      <c r="K21" s="2107"/>
      <c r="L21" s="2109"/>
      <c r="M21" s="2107"/>
      <c r="N21" s="2109"/>
      <c r="O21" s="2107"/>
      <c r="P21" s="2109"/>
      <c r="Q21" s="2107"/>
      <c r="R21" s="2109"/>
      <c r="S21" s="2107"/>
      <c r="T21" s="2109"/>
      <c r="U21" s="2107"/>
      <c r="V21" s="2109"/>
      <c r="W21" s="2107"/>
    </row>
    <row r="22" spans="1:23" x14ac:dyDescent="0.35">
      <c r="A22" s="2673"/>
      <c r="B22" s="606" t="s">
        <v>657</v>
      </c>
      <c r="C22" s="2201"/>
      <c r="D22" s="2285"/>
      <c r="E22" s="2285"/>
      <c r="F22" s="2285"/>
      <c r="G22" s="2198"/>
      <c r="H22" s="2109"/>
      <c r="I22" s="2674"/>
      <c r="J22" s="2109"/>
      <c r="K22" s="2674"/>
      <c r="L22" s="2109"/>
      <c r="M22" s="2674"/>
      <c r="N22" s="2109"/>
      <c r="O22" s="2674"/>
      <c r="P22" s="2109"/>
      <c r="Q22" s="2674"/>
      <c r="R22" s="2109"/>
      <c r="S22" s="2674"/>
      <c r="T22" s="2109"/>
      <c r="U22" s="2674"/>
      <c r="V22" s="2109"/>
      <c r="W22" s="2674"/>
    </row>
    <row r="23" spans="1:23" x14ac:dyDescent="0.35">
      <c r="A23" s="2673"/>
      <c r="B23" s="2552" t="s">
        <v>658</v>
      </c>
      <c r="C23" s="2201"/>
      <c r="D23" s="2285"/>
      <c r="E23" s="2285"/>
      <c r="F23" s="2285"/>
      <c r="G23" s="2198"/>
      <c r="H23" s="2109"/>
      <c r="I23" s="2674"/>
      <c r="J23" s="2109" t="s">
        <v>669</v>
      </c>
      <c r="K23" s="2659"/>
      <c r="L23" s="2109" t="s">
        <v>669</v>
      </c>
      <c r="M23" s="2659"/>
      <c r="N23" s="2109" t="s">
        <v>669</v>
      </c>
      <c r="O23" s="2659"/>
      <c r="P23" s="2109" t="s">
        <v>669</v>
      </c>
      <c r="Q23" s="2674"/>
      <c r="R23" s="2109" t="s">
        <v>669</v>
      </c>
      <c r="S23" s="2659"/>
      <c r="T23" s="2109" t="s">
        <v>669</v>
      </c>
      <c r="U23" s="2659"/>
      <c r="V23" s="2109"/>
      <c r="W23" s="2674"/>
    </row>
    <row r="24" spans="1:23" x14ac:dyDescent="0.35">
      <c r="A24" s="2673"/>
      <c r="B24" s="2552" t="s">
        <v>659</v>
      </c>
      <c r="C24" s="2208"/>
      <c r="D24" s="2285"/>
      <c r="E24" s="2285"/>
      <c r="F24" s="2285"/>
      <c r="G24" s="2198"/>
      <c r="H24" s="2109"/>
      <c r="I24" s="2674"/>
      <c r="J24" s="2109" t="s">
        <v>669</v>
      </c>
      <c r="K24" s="2659"/>
      <c r="L24" s="2109" t="s">
        <v>669</v>
      </c>
      <c r="M24" s="2659"/>
      <c r="N24" s="2109" t="s">
        <v>669</v>
      </c>
      <c r="O24" s="2659"/>
      <c r="P24" s="2109" t="s">
        <v>669</v>
      </c>
      <c r="Q24" s="2674"/>
      <c r="R24" s="2109" t="s">
        <v>669</v>
      </c>
      <c r="S24" s="2659"/>
      <c r="T24" s="2109" t="s">
        <v>669</v>
      </c>
      <c r="U24" s="2659"/>
      <c r="V24" s="2109"/>
      <c r="W24" s="2674"/>
    </row>
    <row r="25" spans="1:23" x14ac:dyDescent="0.35">
      <c r="A25" s="2673"/>
      <c r="B25" s="2553" t="s">
        <v>660</v>
      </c>
      <c r="C25" s="2208"/>
      <c r="D25" s="2285"/>
      <c r="E25" s="2285"/>
      <c r="F25" s="2285"/>
      <c r="G25" s="2198"/>
      <c r="H25" s="2109"/>
      <c r="I25" s="2674"/>
      <c r="J25" s="2109" t="s">
        <v>671</v>
      </c>
      <c r="K25" s="2659"/>
      <c r="L25" s="2109" t="s">
        <v>671</v>
      </c>
      <c r="M25" s="2659"/>
      <c r="N25" s="2109" t="s">
        <v>671</v>
      </c>
      <c r="O25" s="2659"/>
      <c r="P25" s="2109" t="s">
        <v>671</v>
      </c>
      <c r="Q25" s="2674"/>
      <c r="R25" s="2109" t="s">
        <v>671</v>
      </c>
      <c r="S25" s="2659"/>
      <c r="T25" s="2109" t="s">
        <v>671</v>
      </c>
      <c r="U25" s="2659"/>
      <c r="V25" s="2109"/>
      <c r="W25" s="2674"/>
    </row>
    <row r="26" spans="1:23" s="77" customFormat="1" x14ac:dyDescent="0.35">
      <c r="A26" s="2624"/>
      <c r="B26" s="2553" t="s">
        <v>661</v>
      </c>
      <c r="C26" s="2211"/>
      <c r="D26" s="2212"/>
      <c r="E26" s="2212"/>
      <c r="F26" s="2212"/>
      <c r="G26" s="2211"/>
      <c r="H26" s="2109"/>
      <c r="I26" s="2637"/>
      <c r="J26" s="2109" t="s">
        <v>669</v>
      </c>
      <c r="K26" s="2659"/>
      <c r="L26" s="2109" t="s">
        <v>669</v>
      </c>
      <c r="M26" s="2659"/>
      <c r="N26" s="2109" t="s">
        <v>669</v>
      </c>
      <c r="O26" s="2659"/>
      <c r="P26" s="2109" t="s">
        <v>669</v>
      </c>
      <c r="Q26" s="2637"/>
      <c r="R26" s="2109" t="s">
        <v>669</v>
      </c>
      <c r="S26" s="2659"/>
      <c r="T26" s="2109" t="s">
        <v>669</v>
      </c>
      <c r="U26" s="2659"/>
      <c r="V26" s="2109"/>
      <c r="W26" s="2637"/>
    </row>
    <row r="27" spans="1:23" s="77" customFormat="1" x14ac:dyDescent="0.35">
      <c r="A27" s="2624"/>
      <c r="B27" s="2553" t="s">
        <v>662</v>
      </c>
      <c r="C27" s="2211"/>
      <c r="D27" s="2212"/>
      <c r="E27" s="2212"/>
      <c r="F27" s="2212"/>
      <c r="G27" s="2211"/>
      <c r="H27" s="2109"/>
      <c r="I27" s="2637"/>
      <c r="J27" s="2109" t="s">
        <v>669</v>
      </c>
      <c r="K27" s="2659"/>
      <c r="L27" s="2109" t="s">
        <v>669</v>
      </c>
      <c r="M27" s="2659"/>
      <c r="N27" s="2109" t="s">
        <v>669</v>
      </c>
      <c r="O27" s="2659"/>
      <c r="P27" s="2109" t="s">
        <v>669</v>
      </c>
      <c r="Q27" s="2637"/>
      <c r="R27" s="2109" t="s">
        <v>669</v>
      </c>
      <c r="S27" s="2659"/>
      <c r="T27" s="2109" t="s">
        <v>669</v>
      </c>
      <c r="U27" s="2659"/>
      <c r="V27" s="2109"/>
      <c r="W27" s="2637"/>
    </row>
    <row r="28" spans="1:23" s="77" customFormat="1" x14ac:dyDescent="0.35">
      <c r="A28" s="2624"/>
      <c r="B28" s="2553" t="s">
        <v>663</v>
      </c>
      <c r="C28" s="2211"/>
      <c r="D28" s="2212"/>
      <c r="E28" s="2212"/>
      <c r="F28" s="2212"/>
      <c r="G28" s="2211"/>
      <c r="H28" s="2109"/>
      <c r="I28" s="2637"/>
      <c r="J28" s="2109" t="s">
        <v>669</v>
      </c>
      <c r="K28" s="2659"/>
      <c r="L28" s="2109" t="s">
        <v>669</v>
      </c>
      <c r="M28" s="2659"/>
      <c r="N28" s="2109" t="s">
        <v>669</v>
      </c>
      <c r="O28" s="2659"/>
      <c r="P28" s="2109" t="s">
        <v>669</v>
      </c>
      <c r="Q28" s="2637"/>
      <c r="R28" s="2109" t="s">
        <v>669</v>
      </c>
      <c r="S28" s="2659"/>
      <c r="T28" s="2109" t="s">
        <v>669</v>
      </c>
      <c r="U28" s="2659"/>
      <c r="V28" s="2109"/>
      <c r="W28" s="2637"/>
    </row>
    <row r="29" spans="1:23" s="77" customFormat="1" x14ac:dyDescent="0.35">
      <c r="A29" s="2624"/>
      <c r="B29" s="2553" t="s">
        <v>789</v>
      </c>
      <c r="C29" s="2211"/>
      <c r="D29" s="2212"/>
      <c r="E29" s="2212"/>
      <c r="F29" s="2212"/>
      <c r="G29" s="2211"/>
      <c r="H29" s="2109"/>
      <c r="I29" s="2637"/>
      <c r="J29" s="2109" t="s">
        <v>671</v>
      </c>
      <c r="K29" s="2659" t="s">
        <v>2980</v>
      </c>
      <c r="L29" s="2109" t="s">
        <v>671</v>
      </c>
      <c r="M29" s="2659" t="s">
        <v>2980</v>
      </c>
      <c r="N29" s="2109" t="s">
        <v>671</v>
      </c>
      <c r="O29" s="2659" t="s">
        <v>2980</v>
      </c>
      <c r="P29" s="2109" t="s">
        <v>671</v>
      </c>
      <c r="Q29" s="2659" t="s">
        <v>2981</v>
      </c>
      <c r="R29" s="2109" t="s">
        <v>671</v>
      </c>
      <c r="S29" s="2659" t="s">
        <v>2982</v>
      </c>
      <c r="T29" s="2109" t="s">
        <v>671</v>
      </c>
      <c r="U29" s="2659" t="s">
        <v>2983</v>
      </c>
      <c r="V29" s="2109"/>
      <c r="W29" s="2637"/>
    </row>
    <row r="30" spans="1:23" s="77" customFormat="1" x14ac:dyDescent="0.35">
      <c r="A30" s="2624"/>
      <c r="B30" s="2553" t="s">
        <v>790</v>
      </c>
      <c r="C30" s="2211"/>
      <c r="D30" s="2212"/>
      <c r="E30" s="2212"/>
      <c r="F30" s="2212"/>
      <c r="G30" s="2211"/>
      <c r="H30" s="2109"/>
      <c r="I30" s="2637"/>
      <c r="J30" s="2109"/>
      <c r="K30" s="2659"/>
      <c r="L30" s="2109"/>
      <c r="M30" s="2659"/>
      <c r="N30" s="2109"/>
      <c r="O30" s="2659"/>
      <c r="P30" s="2109"/>
      <c r="Q30" s="2659"/>
      <c r="R30" s="2109"/>
      <c r="S30" s="2659"/>
      <c r="T30" s="2109"/>
      <c r="U30" s="2659"/>
      <c r="V30" s="2109"/>
      <c r="W30" s="2637"/>
    </row>
    <row r="31" spans="1:23" s="77" customFormat="1" x14ac:dyDescent="0.35">
      <c r="A31" s="2624"/>
      <c r="B31" s="2553" t="s">
        <v>791</v>
      </c>
      <c r="C31" s="2211"/>
      <c r="D31" s="2212"/>
      <c r="E31" s="2212"/>
      <c r="F31" s="2212"/>
      <c r="G31" s="2211"/>
      <c r="H31" s="2109"/>
      <c r="I31" s="2637"/>
      <c r="J31" s="2109"/>
      <c r="K31" s="2659"/>
      <c r="L31" s="2109"/>
      <c r="M31" s="2659"/>
      <c r="N31" s="2109"/>
      <c r="O31" s="2659"/>
      <c r="P31" s="2109"/>
      <c r="Q31" s="2659"/>
      <c r="R31" s="2109"/>
      <c r="S31" s="2659"/>
      <c r="T31" s="2109"/>
      <c r="U31" s="2659"/>
      <c r="V31" s="2109"/>
      <c r="W31" s="2637"/>
    </row>
    <row r="32" spans="1:23" s="77" customFormat="1" x14ac:dyDescent="0.35">
      <c r="A32" s="2624"/>
      <c r="B32" s="2675" t="s">
        <v>664</v>
      </c>
      <c r="C32" s="2211"/>
      <c r="D32" s="2212"/>
      <c r="E32" s="2212"/>
      <c r="F32" s="2212"/>
      <c r="G32" s="2211"/>
      <c r="H32" s="2109"/>
      <c r="I32" s="2637"/>
      <c r="J32" s="2109"/>
      <c r="K32" s="2659"/>
      <c r="L32" s="2109"/>
      <c r="M32" s="2659"/>
      <c r="N32" s="2109"/>
      <c r="O32" s="2659"/>
      <c r="P32" s="2109"/>
      <c r="Q32" s="2637"/>
      <c r="R32" s="2109"/>
      <c r="S32" s="2637"/>
      <c r="T32" s="2109"/>
      <c r="U32" s="2637"/>
      <c r="V32" s="2109"/>
      <c r="W32" s="2637"/>
    </row>
    <row r="33" spans="1:23" s="77" customFormat="1" x14ac:dyDescent="0.35">
      <c r="A33" s="2624"/>
      <c r="B33" s="2676" t="s">
        <v>665</v>
      </c>
      <c r="C33" s="2216"/>
      <c r="D33" s="2217"/>
      <c r="E33" s="2217"/>
      <c r="F33" s="2217"/>
      <c r="G33" s="2216"/>
      <c r="H33" s="2677"/>
      <c r="I33" s="2678">
        <v>328290</v>
      </c>
      <c r="J33" s="2288"/>
      <c r="K33" s="2678">
        <f>390960-12900</f>
        <v>378060</v>
      </c>
      <c r="L33" s="2288"/>
      <c r="M33" s="2678">
        <v>395000</v>
      </c>
      <c r="N33" s="2288"/>
      <c r="O33" s="2678">
        <v>500950</v>
      </c>
      <c r="P33" s="2677"/>
      <c r="Q33" s="2678">
        <v>589350</v>
      </c>
      <c r="R33" s="2289"/>
      <c r="S33" s="2678">
        <v>575850</v>
      </c>
      <c r="T33" s="2289"/>
      <c r="U33" s="2679">
        <v>695000</v>
      </c>
      <c r="V33" s="2677"/>
      <c r="W33" s="2677">
        <v>813083</v>
      </c>
    </row>
    <row r="34" spans="1:23" s="77" customFormat="1" x14ac:dyDescent="0.35">
      <c r="A34" s="2624"/>
      <c r="B34" s="127"/>
      <c r="C34" s="2211"/>
      <c r="D34" s="2212"/>
      <c r="E34" s="2212"/>
      <c r="F34" s="2212"/>
      <c r="G34" s="2211"/>
      <c r="H34" s="2109"/>
      <c r="I34" s="2637"/>
      <c r="J34" s="2331"/>
      <c r="K34" s="2659"/>
      <c r="L34" s="2331"/>
      <c r="M34" s="2659"/>
      <c r="N34" s="2331"/>
      <c r="O34" s="2659"/>
      <c r="P34" s="2109"/>
      <c r="Q34" s="2637"/>
      <c r="R34" s="2109"/>
      <c r="S34" s="2637"/>
      <c r="T34" s="2334"/>
      <c r="U34" s="2680"/>
      <c r="V34" s="2109"/>
      <c r="W34" s="2637"/>
    </row>
    <row r="35" spans="1:23" s="77" customFormat="1" x14ac:dyDescent="0.35">
      <c r="A35" s="2612"/>
      <c r="B35" s="2234" t="s">
        <v>2984</v>
      </c>
      <c r="C35" s="2236"/>
      <c r="D35" s="2212"/>
      <c r="E35" s="2212"/>
      <c r="F35" s="2212"/>
      <c r="G35" s="2211"/>
      <c r="H35" s="2109"/>
      <c r="I35" s="2637"/>
      <c r="J35" s="2681" t="s">
        <v>669</v>
      </c>
      <c r="K35" s="2659"/>
      <c r="L35" s="2681" t="s">
        <v>669</v>
      </c>
      <c r="M35" s="2659"/>
      <c r="N35" s="2681" t="s">
        <v>669</v>
      </c>
      <c r="O35" s="2659"/>
      <c r="P35" s="2109"/>
      <c r="Q35" s="2637"/>
      <c r="R35" s="2681" t="s">
        <v>669</v>
      </c>
      <c r="S35" s="2637"/>
      <c r="T35" s="2681" t="s">
        <v>669</v>
      </c>
      <c r="U35" s="2637"/>
      <c r="V35" s="2681" t="s">
        <v>669</v>
      </c>
      <c r="W35" s="2637"/>
    </row>
    <row r="36" spans="1:23" s="77" customFormat="1" x14ac:dyDescent="0.35">
      <c r="A36" s="2612"/>
      <c r="B36" s="2235" t="s">
        <v>2985</v>
      </c>
      <c r="C36" s="2236" t="s">
        <v>2986</v>
      </c>
      <c r="D36" s="2212"/>
      <c r="E36" s="2212"/>
      <c r="F36" s="2212"/>
      <c r="G36" s="2211"/>
      <c r="H36" s="2109" t="s">
        <v>669</v>
      </c>
      <c r="I36" s="2637"/>
      <c r="J36" s="2681" t="s">
        <v>669</v>
      </c>
      <c r="K36" s="2659"/>
      <c r="L36" s="2681" t="s">
        <v>669</v>
      </c>
      <c r="M36" s="2659"/>
      <c r="N36" s="2681" t="s">
        <v>669</v>
      </c>
      <c r="O36" s="2659"/>
      <c r="P36" s="2681" t="s">
        <v>669</v>
      </c>
      <c r="Q36" s="2637"/>
      <c r="R36" s="2681" t="s">
        <v>669</v>
      </c>
      <c r="S36" s="2637"/>
      <c r="T36" s="2681" t="s">
        <v>669</v>
      </c>
      <c r="U36" s="2637" t="s">
        <v>2987</v>
      </c>
      <c r="V36" s="2681" t="s">
        <v>669</v>
      </c>
      <c r="W36" s="2637"/>
    </row>
    <row r="37" spans="1:23" s="77" customFormat="1" x14ac:dyDescent="0.35">
      <c r="A37" s="2612"/>
      <c r="B37" s="2235" t="s">
        <v>2988</v>
      </c>
      <c r="C37" s="2236"/>
      <c r="D37" s="2212"/>
      <c r="E37" s="2212"/>
      <c r="F37" s="2212"/>
      <c r="G37" s="2211"/>
      <c r="H37" s="2109" t="s">
        <v>669</v>
      </c>
      <c r="I37" s="2637"/>
      <c r="J37" s="2681" t="s">
        <v>669</v>
      </c>
      <c r="K37" s="2659"/>
      <c r="L37" s="2681" t="s">
        <v>669</v>
      </c>
      <c r="M37" s="2659"/>
      <c r="N37" s="2681" t="s">
        <v>669</v>
      </c>
      <c r="O37" s="2659"/>
      <c r="P37" s="2681" t="s">
        <v>669</v>
      </c>
      <c r="Q37" s="2637"/>
      <c r="R37" s="2681" t="s">
        <v>669</v>
      </c>
      <c r="S37" s="2637"/>
      <c r="T37" s="2681" t="s">
        <v>669</v>
      </c>
      <c r="U37" s="2637"/>
      <c r="V37" s="2681" t="s">
        <v>669</v>
      </c>
      <c r="W37" s="2637"/>
    </row>
    <row r="38" spans="1:23" s="77" customFormat="1" x14ac:dyDescent="0.35">
      <c r="A38" s="2612"/>
      <c r="B38" s="2235" t="s">
        <v>2989</v>
      </c>
      <c r="C38" s="2236"/>
      <c r="D38" s="2212"/>
      <c r="E38" s="2341"/>
      <c r="F38" s="2342"/>
      <c r="G38" s="2211"/>
      <c r="H38" s="2109" t="s">
        <v>669</v>
      </c>
      <c r="I38" s="2637"/>
      <c r="J38" s="2681" t="s">
        <v>669</v>
      </c>
      <c r="K38" s="2659"/>
      <c r="L38" s="2681" t="s">
        <v>669</v>
      </c>
      <c r="M38" s="2659"/>
      <c r="N38" s="2681" t="s">
        <v>669</v>
      </c>
      <c r="O38" s="2659"/>
      <c r="P38" s="2681" t="s">
        <v>669</v>
      </c>
      <c r="Q38" s="2637"/>
      <c r="R38" s="2681" t="s">
        <v>669</v>
      </c>
      <c r="S38" s="2637"/>
      <c r="T38" s="2681" t="s">
        <v>669</v>
      </c>
      <c r="U38" s="2637"/>
      <c r="V38" s="2681" t="s">
        <v>669</v>
      </c>
      <c r="W38" s="2637"/>
    </row>
    <row r="39" spans="1:23" s="77" customFormat="1" x14ac:dyDescent="0.35">
      <c r="A39" s="2612"/>
      <c r="B39" s="2235" t="s">
        <v>2990</v>
      </c>
      <c r="C39" s="2236"/>
      <c r="D39" s="2212"/>
      <c r="E39" s="2341"/>
      <c r="F39" s="2342"/>
      <c r="G39" s="2211"/>
      <c r="H39" s="2109" t="s">
        <v>669</v>
      </c>
      <c r="I39" s="2637"/>
      <c r="J39" s="2681" t="s">
        <v>669</v>
      </c>
      <c r="K39" s="2659"/>
      <c r="L39" s="2681" t="s">
        <v>669</v>
      </c>
      <c r="M39" s="2659"/>
      <c r="N39" s="2681" t="s">
        <v>669</v>
      </c>
      <c r="O39" s="2659"/>
      <c r="P39" s="2681" t="s">
        <v>669</v>
      </c>
      <c r="Q39" s="2637"/>
      <c r="R39" s="2681" t="s">
        <v>669</v>
      </c>
      <c r="S39" s="2637"/>
      <c r="T39" s="2681" t="s">
        <v>669</v>
      </c>
      <c r="U39" s="2637"/>
      <c r="V39" s="2681" t="s">
        <v>669</v>
      </c>
      <c r="W39" s="2637"/>
    </row>
    <row r="40" spans="1:23" s="77" customFormat="1" x14ac:dyDescent="0.35">
      <c r="A40" s="2612"/>
      <c r="B40" s="2682" t="s">
        <v>2991</v>
      </c>
      <c r="C40" s="2236"/>
      <c r="D40" s="2212"/>
      <c r="E40" s="2341"/>
      <c r="F40" s="2342"/>
      <c r="G40" s="2211"/>
      <c r="H40" s="2109" t="s">
        <v>669</v>
      </c>
      <c r="I40" s="2637"/>
      <c r="J40" s="2681" t="s">
        <v>669</v>
      </c>
      <c r="K40" s="2659"/>
      <c r="L40" s="2681" t="s">
        <v>669</v>
      </c>
      <c r="M40" s="2659"/>
      <c r="N40" s="2681" t="s">
        <v>669</v>
      </c>
      <c r="O40" s="2659"/>
      <c r="P40" s="2681" t="s">
        <v>669</v>
      </c>
      <c r="Q40" s="2637"/>
      <c r="R40" s="2681" t="s">
        <v>669</v>
      </c>
      <c r="S40" s="2637"/>
      <c r="T40" s="2681" t="s">
        <v>669</v>
      </c>
      <c r="U40" s="2637"/>
      <c r="V40" s="2681" t="s">
        <v>669</v>
      </c>
      <c r="W40" s="2637"/>
    </row>
    <row r="41" spans="1:23" s="77" customFormat="1" x14ac:dyDescent="0.35">
      <c r="A41" s="2612"/>
      <c r="B41" s="2682" t="s">
        <v>2992</v>
      </c>
      <c r="C41" s="2236"/>
      <c r="D41" s="2212"/>
      <c r="E41" s="2341"/>
      <c r="F41" s="2342"/>
      <c r="G41" s="2211"/>
      <c r="H41" s="2109" t="s">
        <v>669</v>
      </c>
      <c r="I41" s="2637"/>
      <c r="J41" s="2681" t="s">
        <v>669</v>
      </c>
      <c r="K41" s="2659"/>
      <c r="L41" s="2681" t="s">
        <v>669</v>
      </c>
      <c r="M41" s="2659"/>
      <c r="N41" s="2681" t="s">
        <v>669</v>
      </c>
      <c r="O41" s="2659"/>
      <c r="P41" s="2681" t="s">
        <v>669</v>
      </c>
      <c r="Q41" s="2637"/>
      <c r="R41" s="2681" t="s">
        <v>669</v>
      </c>
      <c r="S41" s="2637"/>
      <c r="T41" s="2681" t="s">
        <v>669</v>
      </c>
      <c r="U41" s="2637"/>
      <c r="V41" s="2681" t="s">
        <v>669</v>
      </c>
      <c r="W41" s="2637"/>
    </row>
    <row r="42" spans="1:23" s="77" customFormat="1" x14ac:dyDescent="0.35">
      <c r="A42" s="2612"/>
      <c r="B42" s="121" t="s">
        <v>2993</v>
      </c>
      <c r="C42" s="2236"/>
      <c r="D42" s="2212"/>
      <c r="E42" s="2341"/>
      <c r="F42" s="2342"/>
      <c r="G42" s="2211"/>
      <c r="H42" s="2109" t="s">
        <v>669</v>
      </c>
      <c r="I42" s="2637"/>
      <c r="J42" s="2681" t="s">
        <v>669</v>
      </c>
      <c r="K42" s="2659"/>
      <c r="L42" s="2681" t="s">
        <v>669</v>
      </c>
      <c r="M42" s="2659"/>
      <c r="N42" s="2681" t="s">
        <v>669</v>
      </c>
      <c r="O42" s="2659"/>
      <c r="P42" s="2681" t="s">
        <v>669</v>
      </c>
      <c r="Q42" s="2637"/>
      <c r="R42" s="2681" t="s">
        <v>669</v>
      </c>
      <c r="S42" s="2637"/>
      <c r="T42" s="2681" t="s">
        <v>669</v>
      </c>
      <c r="U42" s="2637"/>
      <c r="V42" s="2681" t="s">
        <v>669</v>
      </c>
      <c r="W42" s="2637"/>
    </row>
    <row r="43" spans="1:23" s="77" customFormat="1" x14ac:dyDescent="0.35">
      <c r="A43" s="2612"/>
      <c r="B43" s="2340" t="s">
        <v>2994</v>
      </c>
      <c r="C43" s="2236"/>
      <c r="D43" s="2212"/>
      <c r="E43" s="2341"/>
      <c r="F43" s="2342"/>
      <c r="G43" s="2211"/>
      <c r="H43" s="2109" t="s">
        <v>669</v>
      </c>
      <c r="I43" s="2637"/>
      <c r="J43" s="2681" t="s">
        <v>669</v>
      </c>
      <c r="K43" s="2659"/>
      <c r="L43" s="2681" t="s">
        <v>669</v>
      </c>
      <c r="M43" s="2659"/>
      <c r="N43" s="2681" t="s">
        <v>669</v>
      </c>
      <c r="O43" s="2659"/>
      <c r="P43" s="2681" t="s">
        <v>669</v>
      </c>
      <c r="Q43" s="2637"/>
      <c r="R43" s="2681" t="s">
        <v>669</v>
      </c>
      <c r="S43" s="2637"/>
      <c r="T43" s="2681" t="s">
        <v>669</v>
      </c>
      <c r="U43" s="2637"/>
      <c r="V43" s="2681" t="s">
        <v>669</v>
      </c>
      <c r="W43" s="2637"/>
    </row>
    <row r="44" spans="1:23" s="77" customFormat="1" x14ac:dyDescent="0.35">
      <c r="A44" s="2612"/>
      <c r="B44" s="2340" t="s">
        <v>2995</v>
      </c>
      <c r="C44" s="2236"/>
      <c r="D44" s="2212"/>
      <c r="E44" s="2341"/>
      <c r="F44" s="2342"/>
      <c r="G44" s="2211"/>
      <c r="H44" s="2109" t="s">
        <v>669</v>
      </c>
      <c r="I44" s="2637">
        <v>27600</v>
      </c>
      <c r="J44" s="2681" t="s">
        <v>669</v>
      </c>
      <c r="K44" s="2659"/>
      <c r="L44" s="2681" t="s">
        <v>669</v>
      </c>
      <c r="M44" s="2659"/>
      <c r="N44" s="2681" t="s">
        <v>669</v>
      </c>
      <c r="O44" s="2659"/>
      <c r="P44" s="2681"/>
      <c r="Q44" s="2637"/>
      <c r="R44" s="2681"/>
      <c r="S44" s="2637"/>
      <c r="T44" s="2681" t="s">
        <v>669</v>
      </c>
      <c r="U44" s="2637"/>
      <c r="V44" s="2681" t="s">
        <v>669</v>
      </c>
      <c r="W44" s="2637"/>
    </row>
    <row r="45" spans="1:23" s="77" customFormat="1" x14ac:dyDescent="0.35">
      <c r="A45" s="2612"/>
      <c r="B45" s="2340" t="s">
        <v>2996</v>
      </c>
      <c r="C45" s="2236"/>
      <c r="D45" s="2212"/>
      <c r="E45" s="2341"/>
      <c r="F45" s="2342"/>
      <c r="G45" s="2211"/>
      <c r="H45" s="2109" t="s">
        <v>669</v>
      </c>
      <c r="I45" s="2637"/>
      <c r="J45" s="2681" t="s">
        <v>669</v>
      </c>
      <c r="K45" s="2659"/>
      <c r="L45" s="2681" t="s">
        <v>669</v>
      </c>
      <c r="M45" s="2659"/>
      <c r="N45" s="2681" t="s">
        <v>669</v>
      </c>
      <c r="O45" s="2659"/>
      <c r="P45" s="2681" t="s">
        <v>669</v>
      </c>
      <c r="Q45" s="2637"/>
      <c r="R45" s="2681" t="s">
        <v>669</v>
      </c>
      <c r="S45" s="2637"/>
      <c r="T45" s="2681" t="s">
        <v>669</v>
      </c>
      <c r="U45" s="2637"/>
      <c r="V45" s="2681" t="s">
        <v>669</v>
      </c>
      <c r="W45" s="2637"/>
    </row>
    <row r="46" spans="1:23" s="77" customFormat="1" x14ac:dyDescent="0.35">
      <c r="A46" s="2612"/>
      <c r="B46" s="2340" t="s">
        <v>2997</v>
      </c>
      <c r="C46" s="2236"/>
      <c r="D46" s="2212"/>
      <c r="E46" s="2341"/>
      <c r="F46" s="2342"/>
      <c r="G46" s="2211"/>
      <c r="H46" s="2109" t="s">
        <v>669</v>
      </c>
      <c r="I46" s="2637"/>
      <c r="J46" s="2681" t="s">
        <v>669</v>
      </c>
      <c r="K46" s="2659"/>
      <c r="L46" s="2681" t="s">
        <v>669</v>
      </c>
      <c r="M46" s="2659"/>
      <c r="N46" s="2681" t="s">
        <v>669</v>
      </c>
      <c r="O46" s="2659"/>
      <c r="P46" s="2681" t="s">
        <v>669</v>
      </c>
      <c r="Q46" s="2637"/>
      <c r="R46" s="2681" t="s">
        <v>669</v>
      </c>
      <c r="S46" s="2637"/>
      <c r="T46" s="2681" t="s">
        <v>669</v>
      </c>
      <c r="U46" s="2637"/>
      <c r="V46" s="2681" t="s">
        <v>669</v>
      </c>
      <c r="W46" s="2637"/>
    </row>
    <row r="47" spans="1:23" s="77" customFormat="1" x14ac:dyDescent="0.35">
      <c r="A47" s="2612"/>
      <c r="B47" s="2340" t="s">
        <v>1788</v>
      </c>
      <c r="C47" s="2236"/>
      <c r="D47" s="2212"/>
      <c r="E47" s="2341"/>
      <c r="F47" s="2342"/>
      <c r="G47" s="2211"/>
      <c r="H47" s="2109" t="s">
        <v>669</v>
      </c>
      <c r="I47" s="2637" t="s">
        <v>2998</v>
      </c>
      <c r="J47" s="2681" t="s">
        <v>669</v>
      </c>
      <c r="K47" s="2659"/>
      <c r="L47" s="2681" t="s">
        <v>669</v>
      </c>
      <c r="M47" s="2659"/>
      <c r="N47" s="2681" t="s">
        <v>669</v>
      </c>
      <c r="O47" s="2659"/>
      <c r="P47" s="2681" t="s">
        <v>669</v>
      </c>
      <c r="Q47" s="2637"/>
      <c r="R47" s="2681" t="s">
        <v>669</v>
      </c>
      <c r="S47" s="2637"/>
      <c r="T47" s="2683"/>
      <c r="U47" s="2637">
        <v>5000</v>
      </c>
      <c r="V47" s="2683" t="s">
        <v>669</v>
      </c>
      <c r="W47" s="2637"/>
    </row>
    <row r="48" spans="1:23" s="77" customFormat="1" x14ac:dyDescent="0.35">
      <c r="A48" s="2612"/>
      <c r="B48" s="2340" t="s">
        <v>2999</v>
      </c>
      <c r="C48" s="2236"/>
      <c r="D48" s="2212"/>
      <c r="E48" s="2341"/>
      <c r="F48" s="2342"/>
      <c r="G48" s="2211"/>
      <c r="H48" s="2038" t="s">
        <v>1659</v>
      </c>
      <c r="I48" s="2637">
        <v>10000</v>
      </c>
      <c r="J48" s="2681" t="s">
        <v>669</v>
      </c>
      <c r="K48" s="2659">
        <f>12900+5459</f>
        <v>18359</v>
      </c>
      <c r="L48" s="2038" t="s">
        <v>1659</v>
      </c>
      <c r="M48" s="2637">
        <v>10000</v>
      </c>
      <c r="N48" s="2681" t="s">
        <v>669</v>
      </c>
      <c r="O48" s="2659">
        <v>10000</v>
      </c>
      <c r="P48" s="2681"/>
      <c r="Q48" s="2637"/>
      <c r="R48" s="2109"/>
      <c r="S48" s="2637"/>
      <c r="T48" s="2334"/>
      <c r="U48" s="2637"/>
      <c r="V48" s="2109"/>
      <c r="W48" s="2637"/>
    </row>
    <row r="49" spans="1:23" s="77" customFormat="1" x14ac:dyDescent="0.35">
      <c r="A49" s="2612"/>
      <c r="B49" s="2340" t="s">
        <v>3000</v>
      </c>
      <c r="C49" s="2236"/>
      <c r="D49" s="2212"/>
      <c r="E49" s="2341"/>
      <c r="F49" s="2342"/>
      <c r="G49" s="2211"/>
      <c r="H49" s="2109"/>
      <c r="I49" s="2637"/>
      <c r="J49" s="2331"/>
      <c r="K49" s="2659"/>
      <c r="L49" s="2331"/>
      <c r="M49" s="2659"/>
      <c r="N49" s="2331"/>
      <c r="O49" s="2659"/>
      <c r="P49" s="2681"/>
      <c r="Q49" s="2637"/>
      <c r="R49" s="2109"/>
      <c r="S49" s="2637"/>
      <c r="T49" s="2334"/>
      <c r="U49" s="2637"/>
      <c r="V49" s="2109"/>
      <c r="W49" s="2637"/>
    </row>
    <row r="50" spans="1:23" s="77" customFormat="1" x14ac:dyDescent="0.35">
      <c r="A50" s="2612"/>
      <c r="B50" s="2340"/>
      <c r="C50" s="2236"/>
      <c r="D50" s="2212"/>
      <c r="E50" s="2341"/>
      <c r="F50" s="2342"/>
      <c r="G50" s="2211"/>
      <c r="H50" s="2109"/>
      <c r="I50" s="2637"/>
      <c r="J50" s="2331"/>
      <c r="K50" s="2659"/>
      <c r="L50" s="2331"/>
      <c r="M50" s="2659"/>
      <c r="N50" s="2331"/>
      <c r="O50" s="2659"/>
      <c r="P50" s="2109"/>
      <c r="Q50" s="2637"/>
      <c r="R50" s="2109"/>
      <c r="S50" s="2637"/>
      <c r="T50" s="2334"/>
      <c r="U50" s="2637"/>
      <c r="V50" s="2109"/>
      <c r="W50" s="2637"/>
    </row>
    <row r="51" spans="1:23" s="77" customFormat="1" x14ac:dyDescent="0.35">
      <c r="A51" s="2612"/>
      <c r="B51" s="2340"/>
      <c r="C51" s="2236"/>
      <c r="D51" s="2212"/>
      <c r="E51" s="2341"/>
      <c r="F51" s="2342"/>
      <c r="G51" s="2211"/>
      <c r="H51" s="2109"/>
      <c r="I51" s="2637"/>
      <c r="J51" s="2331"/>
      <c r="K51" s="2659"/>
      <c r="L51" s="2331"/>
      <c r="M51" s="2659"/>
      <c r="N51" s="2331"/>
      <c r="O51" s="2659"/>
      <c r="P51" s="2109"/>
      <c r="Q51" s="2637"/>
      <c r="R51" s="2109"/>
      <c r="S51" s="2637"/>
      <c r="T51" s="2334"/>
      <c r="U51" s="2637"/>
      <c r="V51" s="2109"/>
      <c r="W51" s="2637"/>
    </row>
    <row r="52" spans="1:23" s="77" customFormat="1" x14ac:dyDescent="0.35">
      <c r="A52" s="2612"/>
      <c r="B52" s="2340"/>
      <c r="C52" s="2236"/>
      <c r="D52" s="2212"/>
      <c r="E52" s="2341"/>
      <c r="F52" s="2342"/>
      <c r="G52" s="2211"/>
      <c r="H52" s="2109"/>
      <c r="I52" s="2637"/>
      <c r="J52" s="2331"/>
      <c r="K52" s="2659"/>
      <c r="L52" s="2331"/>
      <c r="M52" s="2659"/>
      <c r="N52" s="2331"/>
      <c r="O52" s="2659"/>
      <c r="P52" s="2109"/>
      <c r="Q52" s="2637"/>
      <c r="R52" s="2109"/>
      <c r="S52" s="2637"/>
      <c r="T52" s="2334"/>
      <c r="U52" s="2637"/>
      <c r="V52" s="2109"/>
      <c r="W52" s="2637"/>
    </row>
    <row r="53" spans="1:23" s="77" customFormat="1" ht="16.5" customHeight="1" x14ac:dyDescent="0.35">
      <c r="A53" s="2612"/>
      <c r="B53" s="2340"/>
      <c r="C53" s="2236"/>
      <c r="D53" s="2212"/>
      <c r="E53" s="2341"/>
      <c r="F53" s="2342"/>
      <c r="G53" s="2211"/>
      <c r="H53" s="2109"/>
      <c r="I53" s="2637"/>
      <c r="J53" s="2331"/>
      <c r="K53" s="2659"/>
      <c r="L53" s="2331"/>
      <c r="M53" s="2659"/>
      <c r="N53" s="2331"/>
      <c r="O53" s="2659"/>
      <c r="P53" s="2109"/>
      <c r="Q53" s="2637"/>
      <c r="R53" s="2109"/>
      <c r="S53" s="2637"/>
      <c r="T53" s="2334"/>
      <c r="U53" s="2637"/>
      <c r="V53" s="2109"/>
      <c r="W53" s="2637"/>
    </row>
    <row r="54" spans="1:23" ht="15" thickBot="1" x14ac:dyDescent="0.4">
      <c r="A54" s="2542"/>
      <c r="B54" s="2543"/>
      <c r="C54" s="2201"/>
      <c r="D54" s="2285"/>
      <c r="E54" s="2285"/>
      <c r="F54" s="2285"/>
      <c r="G54" s="2198"/>
      <c r="H54" s="2109"/>
      <c r="I54" s="2674"/>
      <c r="J54" s="2671"/>
      <c r="K54" s="2674"/>
      <c r="L54" s="2671"/>
      <c r="M54" s="2674"/>
      <c r="N54" s="2671"/>
      <c r="O54" s="2674"/>
      <c r="P54" s="2109"/>
      <c r="Q54" s="2674"/>
      <c r="R54" s="2109"/>
      <c r="S54" s="2674"/>
      <c r="T54" s="2674"/>
      <c r="U54" s="2674"/>
      <c r="V54" s="2109"/>
      <c r="W54" s="2674"/>
    </row>
    <row r="55" spans="1:23" ht="15" thickTop="1" x14ac:dyDescent="0.35">
      <c r="A55" s="14"/>
      <c r="B55" s="15"/>
      <c r="C55" s="16"/>
      <c r="D55" s="16"/>
      <c r="E55" s="17"/>
      <c r="F55" s="18" t="s">
        <v>715</v>
      </c>
      <c r="G55" s="19"/>
      <c r="H55" s="20"/>
      <c r="I55" s="50">
        <f>SUM(I23:I54)</f>
        <v>365890</v>
      </c>
      <c r="J55" s="20"/>
      <c r="K55" s="50">
        <f>SUM(K23:K54)</f>
        <v>396419</v>
      </c>
      <c r="L55" s="20"/>
      <c r="M55" s="50">
        <f>SUM(M23:M54)</f>
        <v>405000</v>
      </c>
      <c r="N55" s="20"/>
      <c r="O55" s="50">
        <f>SUM(O23:O54)</f>
        <v>510950</v>
      </c>
      <c r="P55" s="20"/>
      <c r="Q55" s="50">
        <f>SUM(Q23:Q54)</f>
        <v>589350</v>
      </c>
      <c r="R55" s="20"/>
      <c r="S55" s="50">
        <f>SUM(S23:S54)</f>
        <v>575850</v>
      </c>
      <c r="T55" s="20"/>
      <c r="U55" s="50">
        <f>SUM(U23:U54)</f>
        <v>700000</v>
      </c>
      <c r="V55" s="20"/>
      <c r="W55" s="50">
        <f>SUM(W23:W54)</f>
        <v>813083</v>
      </c>
    </row>
    <row r="56" spans="1:23" x14ac:dyDescent="0.35">
      <c r="A56" s="2239"/>
      <c r="B56" s="2240"/>
      <c r="C56" s="2241"/>
      <c r="D56" s="2241"/>
      <c r="E56" s="2242"/>
      <c r="F56" s="2243" t="s">
        <v>716</v>
      </c>
      <c r="G56" s="2244"/>
      <c r="H56" s="2065">
        <v>0</v>
      </c>
      <c r="I56" s="2064"/>
      <c r="J56" s="2065">
        <v>0</v>
      </c>
      <c r="K56" s="2064"/>
      <c r="L56" s="2065">
        <v>0</v>
      </c>
      <c r="M56" s="2064"/>
      <c r="N56" s="2065">
        <v>0</v>
      </c>
      <c r="O56" s="2064"/>
      <c r="P56" s="2065">
        <v>0</v>
      </c>
      <c r="Q56" s="2064"/>
      <c r="R56" s="2065">
        <v>0</v>
      </c>
      <c r="S56" s="2064"/>
      <c r="T56" s="2065">
        <v>0</v>
      </c>
      <c r="U56" s="2064"/>
      <c r="V56" s="2065">
        <v>0</v>
      </c>
      <c r="W56" s="2064"/>
    </row>
    <row r="57" spans="1:23" x14ac:dyDescent="0.35">
      <c r="A57" s="2239"/>
      <c r="B57" s="2240"/>
      <c r="C57" s="2241"/>
      <c r="D57" s="2241"/>
      <c r="E57" s="2242"/>
      <c r="F57" s="2243" t="s">
        <v>717</v>
      </c>
      <c r="G57" s="2244"/>
      <c r="H57" s="2066"/>
      <c r="I57" s="2067">
        <f>H56*I55</f>
        <v>0</v>
      </c>
      <c r="J57" s="2066"/>
      <c r="K57" s="2067">
        <f>J56*K55</f>
        <v>0</v>
      </c>
      <c r="L57" s="2066"/>
      <c r="M57" s="2067">
        <f>L56*M55</f>
        <v>0</v>
      </c>
      <c r="N57" s="2066"/>
      <c r="O57" s="2067">
        <f>N56*O55</f>
        <v>0</v>
      </c>
      <c r="P57" s="2066"/>
      <c r="Q57" s="2067">
        <f>P56*Q55</f>
        <v>0</v>
      </c>
      <c r="R57" s="2066"/>
      <c r="S57" s="2067">
        <f>R56*S55</f>
        <v>0</v>
      </c>
      <c r="T57" s="2066"/>
      <c r="U57" s="2067">
        <f>T56*U55</f>
        <v>0</v>
      </c>
      <c r="V57" s="2066"/>
      <c r="W57" s="2067">
        <f>V56*W55</f>
        <v>0</v>
      </c>
    </row>
    <row r="58" spans="1:23" x14ac:dyDescent="0.35">
      <c r="A58" s="2239"/>
      <c r="B58" s="2240"/>
      <c r="C58" s="2241"/>
      <c r="D58" s="2241"/>
      <c r="E58" s="2242"/>
      <c r="F58" s="2243"/>
      <c r="G58" s="2244"/>
      <c r="H58" s="2066"/>
      <c r="I58" s="2068"/>
      <c r="J58" s="2066"/>
      <c r="K58" s="2068"/>
      <c r="L58" s="2066"/>
      <c r="M58" s="2068"/>
      <c r="N58" s="2066"/>
      <c r="O58" s="2068"/>
      <c r="P58" s="2066"/>
      <c r="Q58" s="2068"/>
      <c r="R58" s="2066"/>
      <c r="S58" s="2068"/>
      <c r="T58" s="2066"/>
      <c r="U58" s="2068"/>
      <c r="V58" s="2066"/>
      <c r="W58" s="2068"/>
    </row>
    <row r="59" spans="1:23" x14ac:dyDescent="0.35">
      <c r="A59" s="2239"/>
      <c r="B59" s="2240"/>
      <c r="C59" s="2241"/>
      <c r="D59" s="2241"/>
      <c r="E59" s="2242"/>
      <c r="F59" s="2243" t="s">
        <v>718</v>
      </c>
      <c r="G59" s="2244"/>
      <c r="H59" s="2069"/>
      <c r="I59" s="2070">
        <f>SUM(I55:I57)</f>
        <v>365890</v>
      </c>
      <c r="J59" s="2069"/>
      <c r="K59" s="2070">
        <f>SUM(K55:K57)</f>
        <v>396419</v>
      </c>
      <c r="L59" s="2069"/>
      <c r="M59" s="2070">
        <f>SUM(M55:M57)</f>
        <v>405000</v>
      </c>
      <c r="N59" s="2069"/>
      <c r="O59" s="2070">
        <f>SUM(O55:O57)</f>
        <v>510950</v>
      </c>
      <c r="P59" s="2069"/>
      <c r="Q59" s="2070">
        <f>SUM(Q55:Q57)</f>
        <v>589350</v>
      </c>
      <c r="R59" s="2069"/>
      <c r="S59" s="2070">
        <f>SUM(S55:S57)</f>
        <v>575850</v>
      </c>
      <c r="T59" s="2069"/>
      <c r="U59" s="2070">
        <f>SUM(U55:U57)</f>
        <v>700000</v>
      </c>
      <c r="V59" s="2069"/>
      <c r="W59" s="2070">
        <f>SUM(W55:W57)</f>
        <v>813083</v>
      </c>
    </row>
    <row r="60" spans="1:23" x14ac:dyDescent="0.35">
      <c r="A60" s="2239"/>
      <c r="B60" s="2240"/>
      <c r="C60" s="2241"/>
      <c r="D60" s="2241"/>
      <c r="E60" s="2242"/>
      <c r="F60" s="2255" t="s">
        <v>719</v>
      </c>
      <c r="G60" s="2256"/>
      <c r="H60" s="2073"/>
      <c r="I60" s="2074" t="e">
        <f>I59/#REF!</f>
        <v>#REF!</v>
      </c>
      <c r="J60" s="2073"/>
      <c r="K60" s="2074" t="e">
        <f>K59/#REF!</f>
        <v>#REF!</v>
      </c>
      <c r="L60" s="2073"/>
      <c r="M60" s="2074" t="e">
        <f>M59/#REF!</f>
        <v>#REF!</v>
      </c>
      <c r="N60" s="2073"/>
      <c r="O60" s="2074" t="e">
        <f>O59/#REF!</f>
        <v>#REF!</v>
      </c>
      <c r="P60" s="2073"/>
      <c r="Q60" s="2074" t="e">
        <f>Q59/#REF!</f>
        <v>#REF!</v>
      </c>
      <c r="R60" s="2073"/>
      <c r="S60" s="2074" t="e">
        <f>S59/#REF!</f>
        <v>#REF!</v>
      </c>
      <c r="T60" s="2073"/>
      <c r="U60" s="2074" t="e">
        <f>U59/#REF!</f>
        <v>#REF!</v>
      </c>
      <c r="V60" s="2073"/>
      <c r="W60" s="2074" t="e">
        <f>W59/#REF!</f>
        <v>#REF!</v>
      </c>
    </row>
    <row r="61" spans="1:23" x14ac:dyDescent="0.35">
      <c r="A61" s="2239"/>
      <c r="B61" s="2240"/>
      <c r="C61" s="2241"/>
      <c r="D61" s="2241"/>
      <c r="E61" s="2242"/>
      <c r="F61" s="2255" t="s">
        <v>720</v>
      </c>
      <c r="G61" s="2260"/>
      <c r="H61" s="2073"/>
      <c r="I61" s="2074" t="e">
        <f>I59/#REF!</f>
        <v>#REF!</v>
      </c>
      <c r="J61" s="2073"/>
      <c r="K61" s="2074" t="e">
        <f>K59/#REF!</f>
        <v>#REF!</v>
      </c>
      <c r="L61" s="2073"/>
      <c r="M61" s="2074" t="e">
        <f>M59/#REF!</f>
        <v>#REF!</v>
      </c>
      <c r="N61" s="2073"/>
      <c r="O61" s="2074" t="e">
        <f>O59/#REF!</f>
        <v>#REF!</v>
      </c>
      <c r="P61" s="2073"/>
      <c r="Q61" s="2074" t="e">
        <f>Q59/#REF!</f>
        <v>#REF!</v>
      </c>
      <c r="R61" s="2073"/>
      <c r="S61" s="2074" t="e">
        <f>S59/#REF!</f>
        <v>#REF!</v>
      </c>
      <c r="T61" s="2073"/>
      <c r="U61" s="2074" t="e">
        <f>U59/#REF!</f>
        <v>#REF!</v>
      </c>
      <c r="V61" s="2073"/>
      <c r="W61" s="2074" t="e">
        <f>W59/#REF!</f>
        <v>#REF!</v>
      </c>
    </row>
    <row r="62" spans="1:23" ht="15" thickBot="1" x14ac:dyDescent="0.4">
      <c r="A62" s="2239"/>
      <c r="B62" s="2240"/>
      <c r="C62" s="2241"/>
      <c r="D62" s="2241"/>
      <c r="E62" s="2242"/>
      <c r="F62" s="2243"/>
      <c r="G62" s="2261"/>
      <c r="H62" s="2077"/>
      <c r="I62" s="2078"/>
      <c r="J62" s="2077"/>
      <c r="K62" s="2078"/>
      <c r="L62" s="2077"/>
      <c r="M62" s="2078"/>
      <c r="N62" s="2077"/>
      <c r="O62" s="2078"/>
      <c r="P62" s="2077"/>
      <c r="Q62" s="2078"/>
      <c r="R62" s="2077"/>
      <c r="S62" s="2078"/>
      <c r="T62" s="2077"/>
      <c r="U62" s="2078"/>
      <c r="V62" s="2077"/>
      <c r="W62" s="2078"/>
    </row>
    <row r="63" spans="1:23" ht="15.5" thickTop="1" thickBot="1" x14ac:dyDescent="0.4">
      <c r="A63" s="3764" t="s">
        <v>721</v>
      </c>
      <c r="B63" s="3765"/>
      <c r="C63" s="12"/>
      <c r="D63" s="12"/>
      <c r="E63" s="12"/>
      <c r="F63" s="12"/>
      <c r="G63" s="13"/>
      <c r="H63" s="21"/>
      <c r="I63" s="21"/>
      <c r="J63" s="21"/>
      <c r="K63" s="21"/>
      <c r="L63" s="21"/>
      <c r="M63" s="21"/>
      <c r="N63" s="21"/>
      <c r="O63" s="21"/>
      <c r="P63" s="21"/>
      <c r="Q63" s="21"/>
      <c r="R63" s="21"/>
      <c r="S63" s="21"/>
      <c r="T63" s="21"/>
      <c r="U63" s="21"/>
      <c r="V63" s="21"/>
      <c r="W63" s="21"/>
    </row>
    <row r="64" spans="1:23" ht="15" thickTop="1" x14ac:dyDescent="0.35">
      <c r="A64" s="2665"/>
      <c r="B64" s="2284"/>
      <c r="C64" s="2666"/>
      <c r="D64" s="2666"/>
      <c r="E64" s="2666"/>
      <c r="F64" s="2666"/>
      <c r="G64" s="2618"/>
      <c r="H64" s="2668"/>
      <c r="I64" s="2668"/>
      <c r="J64" s="2668"/>
      <c r="K64" s="2668"/>
      <c r="L64" s="2668"/>
      <c r="M64" s="2668"/>
      <c r="N64" s="2668"/>
      <c r="O64" s="2668"/>
      <c r="P64" s="2668"/>
      <c r="Q64" s="2668"/>
      <c r="R64" s="2668"/>
      <c r="S64" s="2668"/>
      <c r="T64" s="2668"/>
      <c r="U64" s="2668"/>
      <c r="V64" s="2668"/>
      <c r="W64" s="2668"/>
    </row>
    <row r="65" spans="1:23" s="2" customFormat="1" x14ac:dyDescent="0.35">
      <c r="A65" s="2665"/>
      <c r="B65" s="2284"/>
      <c r="C65" s="2666"/>
      <c r="D65" s="2666"/>
      <c r="E65" s="2666"/>
      <c r="F65" s="2666"/>
      <c r="G65" s="2618"/>
      <c r="H65" s="2668"/>
      <c r="I65" s="2668"/>
      <c r="J65" s="2668"/>
      <c r="K65" s="2668"/>
      <c r="L65" s="2668"/>
      <c r="M65" s="2668"/>
      <c r="N65" s="2668"/>
      <c r="O65" s="2668"/>
      <c r="P65" s="2668"/>
      <c r="Q65" s="2668"/>
      <c r="R65" s="2668"/>
      <c r="S65" s="2668"/>
      <c r="T65" s="2668"/>
      <c r="U65" s="2668"/>
      <c r="V65" s="2668"/>
      <c r="W65" s="2668"/>
    </row>
    <row r="66" spans="1:23" s="2" customFormat="1" ht="15" thickBot="1" x14ac:dyDescent="0.4">
      <c r="A66" s="2665"/>
      <c r="B66" s="2284"/>
      <c r="C66" s="2666"/>
      <c r="D66" s="2666"/>
      <c r="E66" s="2666"/>
      <c r="F66" s="2666"/>
      <c r="G66" s="2618"/>
      <c r="H66" s="2668"/>
      <c r="I66" s="2668"/>
      <c r="J66" s="2668"/>
      <c r="K66" s="2668"/>
      <c r="L66" s="2668"/>
      <c r="M66" s="2668"/>
      <c r="N66" s="2668"/>
      <c r="O66" s="2668"/>
      <c r="P66" s="2668"/>
      <c r="Q66" s="2668"/>
      <c r="R66" s="2668"/>
      <c r="S66" s="2668"/>
      <c r="T66" s="2668"/>
      <c r="U66" s="2668"/>
      <c r="V66" s="2668"/>
      <c r="W66" s="2668"/>
    </row>
    <row r="67" spans="1:23" ht="15.5" thickTop="1" thickBot="1" x14ac:dyDescent="0.4">
      <c r="A67" s="3764" t="s">
        <v>722</v>
      </c>
      <c r="B67" s="3765"/>
      <c r="C67" s="12"/>
      <c r="D67" s="12"/>
      <c r="E67" s="12"/>
      <c r="F67" s="12"/>
      <c r="G67" s="13"/>
      <c r="H67" s="21"/>
      <c r="I67" s="21"/>
      <c r="J67" s="21"/>
      <c r="K67" s="21"/>
      <c r="L67" s="21"/>
      <c r="M67" s="21"/>
      <c r="N67" s="21"/>
      <c r="O67" s="21"/>
      <c r="P67" s="21"/>
      <c r="Q67" s="21"/>
      <c r="R67" s="21"/>
      <c r="S67" s="21"/>
      <c r="T67" s="21"/>
      <c r="U67" s="21"/>
      <c r="V67" s="21"/>
      <c r="W67" s="21"/>
    </row>
    <row r="68" spans="1:23" s="2" customFormat="1" ht="15" thickTop="1" x14ac:dyDescent="0.35">
      <c r="A68" s="2665"/>
      <c r="B68" s="2284"/>
      <c r="C68" s="2666"/>
      <c r="D68" s="2666"/>
      <c r="E68" s="2666"/>
      <c r="F68" s="2666"/>
      <c r="G68" s="2618"/>
      <c r="H68" s="2668"/>
      <c r="I68" s="2668"/>
      <c r="J68" s="2668"/>
      <c r="K68" s="2668"/>
      <c r="L68" s="2668"/>
      <c r="M68" s="2668"/>
      <c r="N68" s="2668"/>
      <c r="O68" s="2668"/>
      <c r="P68" s="2668"/>
      <c r="Q68" s="2668"/>
      <c r="R68" s="2668"/>
      <c r="S68" s="2668"/>
      <c r="T68" s="2668"/>
      <c r="U68" s="2668"/>
      <c r="V68" s="2668"/>
      <c r="W68" s="2668"/>
    </row>
    <row r="69" spans="1:23" s="2" customFormat="1" x14ac:dyDescent="0.35">
      <c r="A69" s="2665"/>
      <c r="B69" s="2284"/>
      <c r="C69" s="2666"/>
      <c r="D69" s="2666"/>
      <c r="E69" s="2666"/>
      <c r="F69" s="2666"/>
      <c r="G69" s="2618"/>
      <c r="H69" s="2668"/>
      <c r="I69" s="2668"/>
      <c r="J69" s="2668"/>
      <c r="K69" s="2668"/>
      <c r="L69" s="2668"/>
      <c r="M69" s="2668"/>
      <c r="N69" s="2668"/>
      <c r="O69" s="2668"/>
      <c r="P69" s="2668"/>
      <c r="Q69" s="2668"/>
      <c r="R69" s="2668"/>
      <c r="S69" s="2668"/>
      <c r="T69" s="2668"/>
      <c r="U69" s="2668"/>
      <c r="V69" s="2668"/>
      <c r="W69" s="2668"/>
    </row>
    <row r="70" spans="1:23" ht="15" thickBot="1" x14ac:dyDescent="0.4">
      <c r="A70" s="2665"/>
      <c r="B70" s="2284"/>
      <c r="C70" s="2666"/>
      <c r="D70" s="2666"/>
      <c r="E70" s="2666"/>
      <c r="F70" s="2666"/>
      <c r="G70" s="2618"/>
      <c r="H70" s="2668"/>
      <c r="I70" s="2668"/>
      <c r="J70" s="2668"/>
      <c r="K70" s="2668"/>
      <c r="L70" s="2668"/>
      <c r="M70" s="2668"/>
      <c r="N70" s="2668"/>
      <c r="O70" s="2668"/>
      <c r="P70" s="2668"/>
      <c r="Q70" s="2668"/>
      <c r="R70" s="2668"/>
      <c r="S70" s="2668"/>
      <c r="T70" s="2668"/>
      <c r="U70" s="2668"/>
      <c r="V70" s="2668"/>
      <c r="W70" s="2668"/>
    </row>
    <row r="71" spans="1:23" ht="15.5" thickTop="1" thickBot="1" x14ac:dyDescent="0.4">
      <c r="A71" s="3764" t="s">
        <v>723</v>
      </c>
      <c r="B71" s="3765"/>
      <c r="C71" s="12"/>
      <c r="D71" s="12"/>
      <c r="E71" s="12"/>
      <c r="F71" s="12"/>
      <c r="G71" s="13"/>
      <c r="H71" s="21"/>
      <c r="I71" s="21"/>
      <c r="J71" s="21"/>
      <c r="K71" s="21"/>
      <c r="L71" s="21"/>
      <c r="M71" s="21"/>
      <c r="N71" s="21"/>
      <c r="O71" s="21"/>
      <c r="P71" s="21"/>
      <c r="Q71" s="21"/>
      <c r="R71" s="21"/>
      <c r="S71" s="21"/>
      <c r="T71" s="21"/>
      <c r="U71" s="21"/>
      <c r="V71" s="21"/>
      <c r="W71" s="21"/>
    </row>
    <row r="72" spans="1:23" ht="15" thickTop="1" x14ac:dyDescent="0.35">
      <c r="A72" s="2665"/>
      <c r="B72" s="2284" t="s">
        <v>3001</v>
      </c>
      <c r="C72" s="2666"/>
      <c r="D72" s="2666"/>
      <c r="E72" s="2666"/>
      <c r="F72" s="2666"/>
      <c r="G72" s="2618"/>
      <c r="H72" s="2668"/>
      <c r="I72" s="2668">
        <v>1600</v>
      </c>
      <c r="J72" s="2668"/>
      <c r="K72" s="2668"/>
      <c r="L72" s="2668"/>
      <c r="M72" s="2668"/>
      <c r="N72" s="2668"/>
      <c r="O72" s="2668"/>
      <c r="P72" s="2668"/>
      <c r="Q72" s="2668"/>
      <c r="R72" s="2668"/>
      <c r="S72" s="2668"/>
      <c r="T72" s="2668"/>
      <c r="U72" s="2668"/>
      <c r="V72" s="2668"/>
      <c r="W72" s="2668"/>
    </row>
    <row r="73" spans="1:23" x14ac:dyDescent="0.35">
      <c r="A73" s="2286"/>
      <c r="B73" s="2284"/>
      <c r="C73" s="2285"/>
      <c r="D73" s="2285"/>
      <c r="E73" s="2285"/>
      <c r="F73" s="2285"/>
      <c r="G73" s="2198"/>
      <c r="H73" s="2081"/>
      <c r="I73" s="2081"/>
      <c r="J73" s="2081"/>
      <c r="K73" s="2081"/>
      <c r="L73" s="2081"/>
      <c r="M73" s="2081"/>
      <c r="N73" s="2081"/>
      <c r="O73" s="2081"/>
      <c r="P73" s="2081"/>
      <c r="Q73" s="2081"/>
      <c r="R73" s="2081"/>
      <c r="S73" s="2081"/>
      <c r="T73" s="2081"/>
      <c r="U73" s="2081"/>
      <c r="V73" s="2081"/>
      <c r="W73" s="2081"/>
    </row>
    <row r="74" spans="1:23" ht="15" thickBot="1" x14ac:dyDescent="0.4">
      <c r="A74" s="2269"/>
      <c r="B74" s="2270"/>
      <c r="C74" s="2285"/>
      <c r="D74" s="2285"/>
      <c r="E74" s="2285"/>
      <c r="F74" s="2285"/>
      <c r="G74" s="2198"/>
      <c r="H74" s="2084"/>
      <c r="I74" s="2084"/>
      <c r="J74" s="2084"/>
      <c r="K74" s="2084"/>
      <c r="L74" s="2084"/>
      <c r="M74" s="2084"/>
      <c r="N74" s="2084"/>
      <c r="O74" s="2084"/>
      <c r="P74" s="2084"/>
      <c r="Q74" s="2084"/>
      <c r="R74" s="2084"/>
      <c r="S74" s="2084"/>
      <c r="T74" s="2084"/>
      <c r="U74" s="2084"/>
      <c r="V74" s="2084"/>
      <c r="W74" s="2084"/>
    </row>
    <row r="75" spans="1:23" ht="15.5" thickTop="1" thickBot="1" x14ac:dyDescent="0.4">
      <c r="A75" s="3764" t="s">
        <v>724</v>
      </c>
      <c r="B75" s="3765"/>
      <c r="C75" s="12"/>
      <c r="D75" s="12"/>
      <c r="E75" s="12"/>
      <c r="F75" s="12"/>
      <c r="G75" s="13"/>
      <c r="H75" s="21"/>
      <c r="I75" s="21"/>
      <c r="J75" s="21"/>
      <c r="K75" s="21"/>
      <c r="L75" s="21"/>
      <c r="M75" s="21"/>
      <c r="N75" s="21"/>
      <c r="O75" s="21"/>
      <c r="P75" s="21"/>
      <c r="Q75" s="21"/>
      <c r="R75" s="21"/>
      <c r="S75" s="21"/>
      <c r="T75" s="21"/>
      <c r="U75" s="21"/>
      <c r="V75" s="21"/>
      <c r="W75" s="21"/>
    </row>
    <row r="76" spans="1:23" ht="15" thickTop="1" x14ac:dyDescent="0.35">
      <c r="A76" s="2684"/>
      <c r="B76" s="2669"/>
      <c r="C76" s="2666"/>
      <c r="D76" s="2666"/>
      <c r="E76" s="2666"/>
      <c r="F76" s="2666"/>
      <c r="G76" s="2618"/>
      <c r="H76" s="2668"/>
      <c r="I76" s="2668"/>
      <c r="J76" s="2668"/>
      <c r="K76" s="2668"/>
      <c r="L76" s="2668"/>
      <c r="M76" s="2668"/>
      <c r="N76" s="2668"/>
      <c r="O76" s="2668"/>
      <c r="P76" s="2668"/>
      <c r="Q76" s="2668"/>
      <c r="R76" s="2668"/>
      <c r="S76" s="2668"/>
      <c r="T76" s="2668"/>
      <c r="U76" s="2668"/>
      <c r="V76" s="2668"/>
      <c r="W76" s="2668"/>
    </row>
    <row r="77" spans="1:23" x14ac:dyDescent="0.35">
      <c r="A77" s="2269"/>
      <c r="B77" s="2270"/>
      <c r="C77" s="2285"/>
      <c r="D77" s="2285"/>
      <c r="E77" s="2285"/>
      <c r="F77" s="2285"/>
      <c r="G77" s="2198"/>
      <c r="H77" s="2087"/>
      <c r="I77" s="2087"/>
      <c r="J77" s="2087"/>
      <c r="K77" s="2087"/>
      <c r="L77" s="2087"/>
      <c r="M77" s="2087"/>
      <c r="N77" s="2087"/>
      <c r="O77" s="2087"/>
      <c r="P77" s="2087"/>
      <c r="Q77" s="2087"/>
      <c r="R77" s="2087"/>
      <c r="S77" s="2087"/>
      <c r="T77" s="2087"/>
      <c r="U77" s="2087"/>
      <c r="V77" s="2087"/>
      <c r="W77" s="2087"/>
    </row>
    <row r="78" spans="1:23" ht="15" thickBot="1" x14ac:dyDescent="0.4">
      <c r="A78" s="2269"/>
      <c r="B78" s="2270"/>
      <c r="C78" s="2285"/>
      <c r="D78" s="2285"/>
      <c r="E78" s="2285"/>
      <c r="F78" s="2285"/>
      <c r="G78" s="2198"/>
      <c r="H78" s="2087"/>
      <c r="I78" s="2087"/>
      <c r="J78" s="2087"/>
      <c r="K78" s="2087"/>
      <c r="L78" s="2087"/>
      <c r="M78" s="2087"/>
      <c r="N78" s="2087"/>
      <c r="O78" s="2087"/>
      <c r="P78" s="2087"/>
      <c r="Q78" s="2087"/>
      <c r="R78" s="2087"/>
      <c r="S78" s="2087"/>
      <c r="T78" s="2087"/>
      <c r="U78" s="2087"/>
      <c r="V78" s="2087"/>
      <c r="W78" s="2087"/>
    </row>
    <row r="79" spans="1:23" ht="15.5" thickTop="1" thickBot="1" x14ac:dyDescent="0.4">
      <c r="A79" s="3764" t="s">
        <v>725</v>
      </c>
      <c r="B79" s="3765"/>
      <c r="C79" s="12"/>
      <c r="D79" s="12"/>
      <c r="E79" s="12"/>
      <c r="F79" s="12"/>
      <c r="G79" s="13"/>
      <c r="H79" s="21"/>
      <c r="I79" s="21"/>
      <c r="J79" s="21"/>
      <c r="K79" s="21"/>
      <c r="L79" s="21"/>
      <c r="M79" s="21"/>
      <c r="N79" s="21"/>
      <c r="O79" s="21"/>
      <c r="P79" s="21"/>
      <c r="Q79" s="21"/>
      <c r="R79" s="21"/>
      <c r="S79" s="21"/>
      <c r="T79" s="21"/>
      <c r="U79" s="21"/>
      <c r="V79" s="21"/>
      <c r="W79" s="21"/>
    </row>
    <row r="80" spans="1:23" ht="15" thickTop="1" x14ac:dyDescent="0.35">
      <c r="A80" s="2286"/>
      <c r="B80" s="2284" t="s">
        <v>726</v>
      </c>
      <c r="C80" s="2285"/>
      <c r="D80" s="2285"/>
      <c r="E80" s="2285"/>
      <c r="F80" s="2285"/>
      <c r="G80" s="2198"/>
      <c r="H80" s="2087"/>
      <c r="I80" s="2087"/>
      <c r="J80" s="2087"/>
      <c r="K80" s="2087"/>
      <c r="L80" s="2087"/>
      <c r="M80" s="2087"/>
      <c r="N80" s="2087"/>
      <c r="O80" s="2087"/>
      <c r="P80" s="2087"/>
      <c r="Q80" s="2087"/>
      <c r="R80" s="2087"/>
      <c r="S80" s="2087"/>
      <c r="T80" s="2087"/>
      <c r="U80" s="2087"/>
      <c r="V80" s="2087"/>
      <c r="W80" s="2087"/>
    </row>
    <row r="81" spans="1:23" x14ac:dyDescent="0.35">
      <c r="A81" s="2286"/>
      <c r="B81" s="2284" t="s">
        <v>727</v>
      </c>
      <c r="C81" s="2285"/>
      <c r="D81" s="2285"/>
      <c r="E81" s="2285"/>
      <c r="F81" s="2285"/>
      <c r="G81" s="2198"/>
      <c r="H81" s="2087"/>
      <c r="I81" s="2087"/>
      <c r="J81" s="2087"/>
      <c r="K81" s="2087"/>
      <c r="L81" s="2087"/>
      <c r="M81" s="2087"/>
      <c r="N81" s="2087"/>
      <c r="O81" s="2087"/>
      <c r="P81" s="2087"/>
      <c r="Q81" s="2087"/>
      <c r="R81" s="2087"/>
      <c r="S81" s="2087"/>
      <c r="T81" s="2087"/>
      <c r="U81" s="2087"/>
      <c r="V81" s="2087"/>
      <c r="W81" s="2087"/>
    </row>
    <row r="82" spans="1:23" x14ac:dyDescent="0.35">
      <c r="A82" s="2286"/>
      <c r="B82" s="2284" t="s">
        <v>728</v>
      </c>
      <c r="C82" s="2285"/>
      <c r="D82" s="2285"/>
      <c r="E82" s="2285"/>
      <c r="F82" s="2285"/>
      <c r="G82" s="2198"/>
      <c r="H82" s="2087"/>
      <c r="I82" s="2087"/>
      <c r="J82" s="2087"/>
      <c r="K82" s="2087"/>
      <c r="L82" s="2087"/>
      <c r="M82" s="2087"/>
      <c r="N82" s="2087"/>
      <c r="O82" s="2087"/>
      <c r="P82" s="2087"/>
      <c r="Q82" s="2087"/>
      <c r="R82" s="2087"/>
      <c r="S82" s="2087"/>
      <c r="T82" s="2087"/>
      <c r="U82" s="2087"/>
      <c r="V82" s="2087"/>
      <c r="W82" s="2087"/>
    </row>
    <row r="83" spans="1:23" x14ac:dyDescent="0.35">
      <c r="A83" s="2286"/>
      <c r="B83" s="2284" t="s">
        <v>729</v>
      </c>
      <c r="C83" s="2285"/>
      <c r="D83" s="2285"/>
      <c r="E83" s="2285"/>
      <c r="F83" s="2285"/>
      <c r="G83" s="2198"/>
      <c r="H83" s="2087"/>
      <c r="I83" s="2087"/>
      <c r="J83" s="2087"/>
      <c r="K83" s="2087"/>
      <c r="L83" s="2087"/>
      <c r="M83" s="2087"/>
      <c r="N83" s="2087"/>
      <c r="O83" s="2087"/>
      <c r="P83" s="2087"/>
      <c r="Q83" s="2087"/>
      <c r="R83" s="2087"/>
      <c r="S83" s="2087"/>
      <c r="T83" s="2087"/>
      <c r="U83" s="2087"/>
      <c r="V83" s="2087"/>
      <c r="W83" s="2087"/>
    </row>
    <row r="84" spans="1:23" ht="15" thickBot="1" x14ac:dyDescent="0.4">
      <c r="A84" s="978"/>
      <c r="B84" s="939"/>
      <c r="C84" s="940"/>
      <c r="D84" s="940"/>
      <c r="E84" s="940"/>
      <c r="F84" s="940"/>
      <c r="G84" s="1039"/>
      <c r="H84" s="981"/>
      <c r="I84" s="981"/>
      <c r="J84" s="981"/>
      <c r="K84" s="981"/>
      <c r="L84" s="981"/>
      <c r="M84" s="981"/>
      <c r="N84" s="981"/>
      <c r="O84" s="981"/>
      <c r="P84" s="981"/>
      <c r="Q84" s="981"/>
      <c r="R84" s="981"/>
      <c r="S84" s="981"/>
      <c r="T84" s="981"/>
      <c r="U84" s="981"/>
      <c r="V84" s="981"/>
      <c r="W84" s="981"/>
    </row>
    <row r="85" spans="1:23" ht="15.5" thickTop="1" thickBot="1" x14ac:dyDescent="0.4">
      <c r="A85" s="7" t="s">
        <v>730</v>
      </c>
      <c r="B85" s="8"/>
      <c r="C85" s="12"/>
      <c r="D85" s="12"/>
      <c r="E85" s="12"/>
      <c r="F85" s="12"/>
      <c r="G85" s="13"/>
      <c r="H85" s="21"/>
      <c r="I85" s="21"/>
      <c r="J85" s="21"/>
      <c r="K85" s="21"/>
      <c r="L85" s="21"/>
      <c r="M85" s="21"/>
      <c r="N85" s="21"/>
      <c r="O85" s="21"/>
      <c r="P85" s="21"/>
      <c r="Q85" s="21"/>
      <c r="R85" s="21"/>
      <c r="S85" s="21"/>
      <c r="T85" s="21"/>
      <c r="U85" s="21"/>
      <c r="V85" s="21"/>
      <c r="W85" s="21"/>
    </row>
    <row r="86" spans="1:23" ht="15" thickTop="1" x14ac:dyDescent="0.35">
      <c r="A86" s="2665"/>
      <c r="B86" s="2670" t="s">
        <v>731</v>
      </c>
      <c r="C86" s="2666"/>
      <c r="D86" s="2666"/>
      <c r="E86" s="2666"/>
      <c r="F86" s="2666"/>
      <c r="G86" s="2618"/>
      <c r="H86" s="2671"/>
      <c r="I86" s="2671"/>
      <c r="J86" s="2671"/>
      <c r="K86" s="2671"/>
      <c r="L86" s="2671"/>
      <c r="M86" s="2671"/>
      <c r="N86" s="2671"/>
      <c r="O86" s="2671"/>
      <c r="P86" s="2671"/>
      <c r="Q86" s="2671"/>
      <c r="R86" s="2671"/>
      <c r="S86" s="2671"/>
      <c r="T86" s="2671"/>
      <c r="U86" s="2671"/>
      <c r="V86" s="2671"/>
      <c r="W86" s="2671"/>
    </row>
    <row r="87" spans="1:23" x14ac:dyDescent="0.35">
      <c r="A87" s="2286"/>
      <c r="B87" s="2284" t="s">
        <v>732</v>
      </c>
      <c r="C87" s="2285"/>
      <c r="D87" s="2285"/>
      <c r="E87" s="2285"/>
      <c r="F87" s="2285"/>
      <c r="G87" s="2198"/>
      <c r="H87" s="2158"/>
      <c r="I87" s="2158"/>
      <c r="J87" s="2158"/>
      <c r="K87" s="2158"/>
      <c r="L87" s="2158"/>
      <c r="M87" s="2158"/>
      <c r="N87" s="2158"/>
      <c r="O87" s="2158"/>
      <c r="P87" s="2158"/>
      <c r="Q87" s="2158"/>
      <c r="R87" s="2158"/>
      <c r="S87" s="2158"/>
      <c r="T87" s="2158"/>
      <c r="U87" s="2158"/>
      <c r="V87" s="2158"/>
      <c r="W87" s="2158"/>
    </row>
    <row r="88" spans="1:23" ht="15" thickBot="1" x14ac:dyDescent="0.4">
      <c r="A88" s="2089"/>
      <c r="B88" s="2090" t="s">
        <v>733</v>
      </c>
      <c r="C88" s="2091"/>
      <c r="D88" s="2091"/>
      <c r="E88" s="2091"/>
      <c r="F88" s="2091"/>
      <c r="G88" s="2092"/>
      <c r="H88" s="2093"/>
      <c r="I88" s="2093"/>
      <c r="J88" s="2093"/>
      <c r="K88" s="2093"/>
      <c r="L88" s="2093"/>
      <c r="M88" s="2093"/>
      <c r="N88" s="2093"/>
      <c r="O88" s="2093"/>
      <c r="P88" s="2093"/>
      <c r="Q88" s="2093"/>
      <c r="R88" s="2093"/>
      <c r="S88" s="2093"/>
      <c r="T88" s="2093"/>
      <c r="U88" s="2093"/>
      <c r="V88" s="2093"/>
      <c r="W88" s="2093"/>
    </row>
    <row r="89" spans="1:23" ht="15.5" thickTop="1" thickBot="1" x14ac:dyDescent="0.4"/>
    <row r="90" spans="1:23" ht="15.5" thickTop="1" thickBot="1" x14ac:dyDescent="0.4">
      <c r="A90" s="78" t="s">
        <v>734</v>
      </c>
      <c r="B90" s="80"/>
    </row>
    <row r="91" spans="1:23" ht="15" thickTop="1" x14ac:dyDescent="0.35">
      <c r="A91" s="79" t="s">
        <v>632</v>
      </c>
      <c r="B91" s="2094" t="str">
        <f>H4</f>
        <v>La Gasse Pools</v>
      </c>
    </row>
    <row r="92" spans="1:23" x14ac:dyDescent="0.35">
      <c r="A92" s="2279" t="s">
        <v>636</v>
      </c>
      <c r="B92" s="2094" t="str">
        <f>H5</f>
        <v>Kaylen Rasua</v>
      </c>
    </row>
    <row r="93" spans="1:23" x14ac:dyDescent="0.35">
      <c r="A93" s="2096" t="s">
        <v>639</v>
      </c>
      <c r="B93" s="2097">
        <f>H6</f>
        <v>9545871000</v>
      </c>
    </row>
    <row r="94" spans="1:23" x14ac:dyDescent="0.35">
      <c r="A94" s="2096" t="s">
        <v>642</v>
      </c>
      <c r="B94" s="2159" t="str">
        <f>H7</f>
        <v>krasua@lagassepools.com</v>
      </c>
    </row>
    <row r="95" spans="1:23" ht="15" thickBot="1" x14ac:dyDescent="0.4">
      <c r="A95" s="2099" t="s">
        <v>735</v>
      </c>
      <c r="B95" s="2100">
        <f>H8</f>
        <v>365890</v>
      </c>
    </row>
    <row r="96" spans="1:23" ht="15" thickTop="1" x14ac:dyDescent="0.35"/>
    <row r="97" spans="1:2" x14ac:dyDescent="0.35">
      <c r="A97" s="81"/>
      <c r="B97" s="1" t="s">
        <v>736</v>
      </c>
    </row>
    <row r="98" spans="1:2" x14ac:dyDescent="0.35">
      <c r="A98" s="82"/>
      <c r="B98" s="1" t="s">
        <v>737</v>
      </c>
    </row>
  </sheetData>
  <mergeCells count="61">
    <mergeCell ref="A63:B63"/>
    <mergeCell ref="A67:B67"/>
    <mergeCell ref="A71:B71"/>
    <mergeCell ref="A75:B75"/>
    <mergeCell ref="A79:B79"/>
    <mergeCell ref="V4:W4"/>
    <mergeCell ref="V5:W5"/>
    <mergeCell ref="V6:W6"/>
    <mergeCell ref="V7:W7"/>
    <mergeCell ref="V8:W8"/>
    <mergeCell ref="H5:I5"/>
    <mergeCell ref="H6:I6"/>
    <mergeCell ref="H7:I7"/>
    <mergeCell ref="H8:I8"/>
    <mergeCell ref="P4:Q4"/>
    <mergeCell ref="P5:Q5"/>
    <mergeCell ref="P6:Q6"/>
    <mergeCell ref="P7:Q7"/>
    <mergeCell ref="P8:Q8"/>
    <mergeCell ref="H4:I4"/>
    <mergeCell ref="N5:O5"/>
    <mergeCell ref="N6:O6"/>
    <mergeCell ref="N7:O7"/>
    <mergeCell ref="N8:O8"/>
    <mergeCell ref="J4:K4"/>
    <mergeCell ref="J5:K5"/>
    <mergeCell ref="T8:U8"/>
    <mergeCell ref="T4:U4"/>
    <mergeCell ref="L4:M4"/>
    <mergeCell ref="L5:M5"/>
    <mergeCell ref="L6:M6"/>
    <mergeCell ref="L7:M7"/>
    <mergeCell ref="L8:M8"/>
    <mergeCell ref="R4:S4"/>
    <mergeCell ref="R5:S5"/>
    <mergeCell ref="R6:S6"/>
    <mergeCell ref="R7:S7"/>
    <mergeCell ref="R8:S8"/>
    <mergeCell ref="T5:U5"/>
    <mergeCell ref="N4:O4"/>
    <mergeCell ref="J3:K3"/>
    <mergeCell ref="T6:U6"/>
    <mergeCell ref="T7:U7"/>
    <mergeCell ref="J6:K6"/>
    <mergeCell ref="J7:K7"/>
    <mergeCell ref="J8:K8"/>
    <mergeCell ref="H2:I2"/>
    <mergeCell ref="V2:W2"/>
    <mergeCell ref="L3:M3"/>
    <mergeCell ref="T3:U3"/>
    <mergeCell ref="R3:S3"/>
    <mergeCell ref="P3:Q3"/>
    <mergeCell ref="H3:I3"/>
    <mergeCell ref="V3:W3"/>
    <mergeCell ref="L2:M2"/>
    <mergeCell ref="T2:U2"/>
    <mergeCell ref="R2:S2"/>
    <mergeCell ref="P2:Q2"/>
    <mergeCell ref="N2:O2"/>
    <mergeCell ref="N3:O3"/>
    <mergeCell ref="J2:K2"/>
  </mergeCells>
  <conditionalFormatting sqref="H20:H32">
    <cfRule type="cellIs" dxfId="781" priority="31" operator="equal">
      <formula>"X"</formula>
    </cfRule>
    <cfRule type="cellIs" dxfId="780" priority="32" operator="equal">
      <formula>"I"</formula>
    </cfRule>
  </conditionalFormatting>
  <conditionalFormatting sqref="J20:J32 J35:J48">
    <cfRule type="cellIs" dxfId="779" priority="1" operator="equal">
      <formula>"X"</formula>
    </cfRule>
    <cfRule type="cellIs" dxfId="778" priority="2" operator="equal">
      <formula>"I"</formula>
    </cfRule>
  </conditionalFormatting>
  <conditionalFormatting sqref="L20:L32 H34:H54 P34:P54 R34:R54 V34:V54 T35:T47 L35:L48">
    <cfRule type="cellIs" dxfId="777" priority="11" operator="equal">
      <formula>"X"</formula>
    </cfRule>
    <cfRule type="cellIs" dxfId="776" priority="12" operator="equal">
      <formula>"I"</formula>
    </cfRule>
  </conditionalFormatting>
  <conditionalFormatting sqref="N20:N32 N35:N48">
    <cfRule type="cellIs" dxfId="775" priority="3" operator="equal">
      <formula>"X"</formula>
    </cfRule>
    <cfRule type="cellIs" dxfId="774" priority="4" operator="equal">
      <formula>"I"</formula>
    </cfRule>
  </conditionalFormatting>
  <conditionalFormatting sqref="P20:P32">
    <cfRule type="cellIs" dxfId="773" priority="5" operator="equal">
      <formula>"X"</formula>
    </cfRule>
    <cfRule type="cellIs" dxfId="772" priority="6" operator="equal">
      <formula>"I"</formula>
    </cfRule>
  </conditionalFormatting>
  <conditionalFormatting sqref="R20:R32">
    <cfRule type="cellIs" dxfId="771" priority="7" operator="equal">
      <formula>"X"</formula>
    </cfRule>
    <cfRule type="cellIs" dxfId="770" priority="8" operator="equal">
      <formula>"I"</formula>
    </cfRule>
  </conditionalFormatting>
  <conditionalFormatting sqref="T20:T32">
    <cfRule type="cellIs" dxfId="769" priority="9" operator="equal">
      <formula>"X"</formula>
    </cfRule>
    <cfRule type="cellIs" dxfId="768" priority="10" operator="equal">
      <formula>"I"</formula>
    </cfRule>
  </conditionalFormatting>
  <conditionalFormatting sqref="V20:V32">
    <cfRule type="cellIs" dxfId="767" priority="29" operator="equal">
      <formula>"X"</formula>
    </cfRule>
    <cfRule type="cellIs" dxfId="766" priority="30" operator="equal">
      <formula>"I"</formula>
    </cfRule>
  </conditionalFormatting>
  <hyperlinks>
    <hyperlink ref="B3" location="'Cost Summary'!A1" display="BACK TO SUMMARY SHEET" xr:uid="{FA75D889-9E9A-41EE-802B-A14C998433A8}"/>
    <hyperlink ref="L7" r:id="rId1" xr:uid="{8CA9C9CD-B17A-4514-B40A-79797EDB0454}"/>
    <hyperlink ref="R7:S7" r:id="rId2" display="Geoff@pughspools.com" xr:uid="{26361040-0EF1-4ED7-9FB7-6F8D5926ED7F}"/>
    <hyperlink ref="P7:Q7" r:id="rId3" display="estimating@apexpavers.com" xr:uid="{4CA57E2D-9DC4-435F-9E09-961D009BC088}"/>
    <hyperlink ref="H7" r:id="rId4" xr:uid="{5D8D742E-A784-4362-835F-0042AEFF8FAE}"/>
    <hyperlink ref="T7" r:id="rId5" xr:uid="{DAE36B2D-1454-4BFC-8756-8976BCD97A68}"/>
    <hyperlink ref="V7" r:id="rId6" xr:uid="{D51C9E74-7493-469C-9492-343B6EF692E1}"/>
    <hyperlink ref="N7" r:id="rId7" xr:uid="{6CF22F59-B520-4D35-842B-6AE0886682F9}"/>
    <hyperlink ref="J7" r:id="rId8" xr:uid="{EDD4F4BF-C0F3-4D82-9B2B-A4950203604B}"/>
  </hyperlinks>
  <pageMargins left="0.7" right="0.7" top="0.75" bottom="0.75" header="0.3" footer="0.3"/>
  <pageSetup scale="71" orientation="portrait" horizontalDpi="1200" verticalDpi="1200" r:id="rId9"/>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23BD-2B9D-4967-890C-E60C7A66C8FA}">
  <sheetPr>
    <tabColor rgb="FFFFC000"/>
  </sheetPr>
  <dimension ref="A1:AJ130"/>
  <sheetViews>
    <sheetView zoomScale="85" zoomScaleNormal="85" workbookViewId="0">
      <pane xSplit="2" ySplit="11" topLeftCell="E78" activePane="bottomRight" state="frozen"/>
      <selection pane="topRight" activeCell="C1" sqref="C1"/>
      <selection pane="bottomLeft" activeCell="A10" sqref="A10"/>
      <selection pane="bottomRight" activeCell="H25" sqref="H25:H30"/>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1.81640625" style="2" customWidth="1"/>
    <col min="7" max="7" width="19.72656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hidden="1" customWidth="1"/>
    <col min="23" max="23" width="14.81640625" style="2" hidden="1" customWidth="1"/>
    <col min="24" max="24" width="7.453125" style="2" bestFit="1" customWidth="1"/>
    <col min="25" max="25" width="14.81640625" style="2" customWidth="1"/>
    <col min="26" max="26" width="7.453125" style="2" bestFit="1" customWidth="1"/>
    <col min="27" max="27" width="14.81640625" style="2" customWidth="1"/>
    <col min="32" max="32" width="35.26953125" style="1" customWidth="1"/>
    <col min="34" max="34" width="3.26953125" bestFit="1" customWidth="1"/>
    <col min="35" max="35" width="3.453125" bestFit="1" customWidth="1"/>
  </cols>
  <sheetData>
    <row r="1" spans="1:27" ht="23.25" customHeight="1" x14ac:dyDescent="0.35">
      <c r="E1" s="152"/>
      <c r="F1" s="125"/>
      <c r="G1" s="123" t="s">
        <v>621</v>
      </c>
      <c r="H1" s="3784"/>
      <c r="I1" s="3784"/>
      <c r="J1" s="3965"/>
      <c r="K1" s="3784"/>
      <c r="L1" s="3964" t="s">
        <v>770</v>
      </c>
      <c r="M1" s="3785"/>
      <c r="N1" s="3807"/>
      <c r="O1" s="3807"/>
      <c r="P1" s="3964" t="s">
        <v>770</v>
      </c>
      <c r="Q1" s="3785"/>
    </row>
    <row r="2" spans="1:27" x14ac:dyDescent="0.35">
      <c r="E2" s="152"/>
      <c r="F2" s="122" t="s">
        <v>622</v>
      </c>
      <c r="G2" s="123" t="s">
        <v>451</v>
      </c>
      <c r="H2" s="3776"/>
      <c r="I2" s="3776"/>
      <c r="J2" s="3776"/>
      <c r="K2" s="3776"/>
      <c r="L2" s="3751" t="s">
        <v>1062</v>
      </c>
      <c r="M2" s="3751"/>
      <c r="N2" s="3808"/>
      <c r="O2" s="3808"/>
      <c r="P2" s="3751" t="s">
        <v>1174</v>
      </c>
      <c r="Q2" s="3751"/>
      <c r="R2" s="3751"/>
      <c r="S2" s="3751"/>
      <c r="T2" s="3751"/>
      <c r="U2" s="3751"/>
      <c r="V2" s="3751"/>
      <c r="W2" s="3751"/>
      <c r="X2" s="3751" t="s">
        <v>1173</v>
      </c>
      <c r="Y2" s="3751"/>
      <c r="Z2" s="3751"/>
      <c r="AA2" s="3751"/>
    </row>
    <row r="3" spans="1:27" ht="19.5" x14ac:dyDescent="0.35">
      <c r="B3" s="137" t="s">
        <v>623</v>
      </c>
      <c r="E3" s="152"/>
      <c r="F3" s="124" t="s">
        <v>624</v>
      </c>
      <c r="G3" s="123" t="s">
        <v>557</v>
      </c>
      <c r="H3" s="3754" t="s">
        <v>625</v>
      </c>
      <c r="I3" s="3755"/>
      <c r="J3" s="3772" t="s">
        <v>626</v>
      </c>
      <c r="K3" s="3773"/>
      <c r="L3" s="3778" t="s">
        <v>626</v>
      </c>
      <c r="M3" s="3779"/>
      <c r="N3" s="3754" t="s">
        <v>627</v>
      </c>
      <c r="O3" s="3755"/>
      <c r="P3" s="3778" t="s">
        <v>627</v>
      </c>
      <c r="Q3" s="3779"/>
      <c r="R3" s="3754" t="s">
        <v>772</v>
      </c>
      <c r="S3" s="3755"/>
      <c r="T3" s="3754" t="s">
        <v>628</v>
      </c>
      <c r="U3" s="3755"/>
      <c r="V3" s="3754" t="s">
        <v>628</v>
      </c>
      <c r="W3" s="3755"/>
      <c r="X3" s="3754" t="s">
        <v>772</v>
      </c>
      <c r="Y3" s="3755"/>
      <c r="Z3" s="3754" t="s">
        <v>773</v>
      </c>
      <c r="AA3" s="3755"/>
    </row>
    <row r="4" spans="1:27" x14ac:dyDescent="0.35">
      <c r="A4" s="3" t="s">
        <v>631</v>
      </c>
      <c r="B4" s="4" t="str">
        <f>'AREA CALC''s'!B4</f>
        <v>Alton Hilltop Gardens</v>
      </c>
      <c r="C4" s="5"/>
      <c r="D4" s="5"/>
      <c r="E4" s="5"/>
      <c r="F4" s="5"/>
      <c r="G4" s="6" t="s">
        <v>632</v>
      </c>
      <c r="H4" s="3752" t="s">
        <v>1071</v>
      </c>
      <c r="I4" s="3753"/>
      <c r="J4" s="3752" t="s">
        <v>1066</v>
      </c>
      <c r="K4" s="3753"/>
      <c r="L4" s="3752" t="s">
        <v>1066</v>
      </c>
      <c r="M4" s="3753"/>
      <c r="N4" s="3898" t="s">
        <v>1184</v>
      </c>
      <c r="O4" s="3898"/>
      <c r="P4" s="3898" t="s">
        <v>1184</v>
      </c>
      <c r="Q4" s="3898"/>
      <c r="R4" s="3752" t="s">
        <v>1069</v>
      </c>
      <c r="S4" s="3753"/>
      <c r="T4" s="3752" t="s">
        <v>1068</v>
      </c>
      <c r="U4" s="3753"/>
      <c r="V4" s="3752" t="s">
        <v>1070</v>
      </c>
      <c r="W4" s="3753"/>
      <c r="X4" s="3752" t="s">
        <v>3002</v>
      </c>
      <c r="Y4" s="3753"/>
      <c r="Z4" s="3796" t="s">
        <v>1072</v>
      </c>
      <c r="AA4" s="3753"/>
    </row>
    <row r="5" spans="1:27" x14ac:dyDescent="0.35">
      <c r="A5" s="2283" t="s">
        <v>634</v>
      </c>
      <c r="B5" s="2284" t="s">
        <v>3003</v>
      </c>
      <c r="C5" s="2285"/>
      <c r="D5" s="2285"/>
      <c r="E5" s="2285"/>
      <c r="F5" s="2285"/>
      <c r="G5" s="2194" t="s">
        <v>636</v>
      </c>
      <c r="H5" s="3966" t="s">
        <v>1078</v>
      </c>
      <c r="I5" s="3967"/>
      <c r="J5" s="3966" t="s">
        <v>1073</v>
      </c>
      <c r="K5" s="3967"/>
      <c r="L5" s="3966" t="s">
        <v>1073</v>
      </c>
      <c r="M5" s="3967"/>
      <c r="N5" s="3950" t="s">
        <v>3004</v>
      </c>
      <c r="O5" s="3950"/>
      <c r="P5" s="3950" t="s">
        <v>3004</v>
      </c>
      <c r="Q5" s="3950"/>
      <c r="R5" s="3931" t="s">
        <v>1076</v>
      </c>
      <c r="S5" s="3932"/>
      <c r="T5" s="3966" t="s">
        <v>1075</v>
      </c>
      <c r="U5" s="3967"/>
      <c r="V5" s="3966" t="s">
        <v>1077</v>
      </c>
      <c r="W5" s="3967"/>
      <c r="X5" s="3966" t="s">
        <v>1077</v>
      </c>
      <c r="Y5" s="3967"/>
      <c r="Z5" s="3933"/>
      <c r="AA5" s="3932"/>
    </row>
    <row r="6" spans="1:27" x14ac:dyDescent="0.35">
      <c r="A6" s="2283" t="s">
        <v>638</v>
      </c>
      <c r="B6" s="2195" t="s">
        <v>534</v>
      </c>
      <c r="C6" s="2285"/>
      <c r="D6" s="2285"/>
      <c r="E6" s="2285"/>
      <c r="F6" s="2285"/>
      <c r="G6" s="2194" t="s">
        <v>639</v>
      </c>
      <c r="H6" s="3937" t="s">
        <v>1084</v>
      </c>
      <c r="I6" s="3938"/>
      <c r="J6" s="3937" t="s">
        <v>1079</v>
      </c>
      <c r="K6" s="3938"/>
      <c r="L6" s="3937" t="s">
        <v>1079</v>
      </c>
      <c r="M6" s="3938"/>
      <c r="N6" s="3949" t="s">
        <v>3005</v>
      </c>
      <c r="O6" s="3949"/>
      <c r="P6" s="3949" t="s">
        <v>3005</v>
      </c>
      <c r="Q6" s="3949"/>
      <c r="R6" s="3937" t="s">
        <v>1082</v>
      </c>
      <c r="S6" s="3938"/>
      <c r="T6" s="3966" t="s">
        <v>1081</v>
      </c>
      <c r="U6" s="3967"/>
      <c r="V6" s="3937" t="s">
        <v>1083</v>
      </c>
      <c r="W6" s="3938"/>
      <c r="X6" s="3937" t="s">
        <v>1083</v>
      </c>
      <c r="Y6" s="3938"/>
      <c r="Z6" s="3939"/>
      <c r="AA6" s="3938"/>
    </row>
    <row r="7" spans="1:27" x14ac:dyDescent="0.35">
      <c r="A7" s="2283" t="s">
        <v>641</v>
      </c>
      <c r="B7" s="2196"/>
      <c r="C7" s="2285"/>
      <c r="D7" s="2285"/>
      <c r="E7" s="2285"/>
      <c r="F7" s="2285"/>
      <c r="G7" s="2194" t="s">
        <v>642</v>
      </c>
      <c r="H7" s="3790" t="s">
        <v>1090</v>
      </c>
      <c r="I7" s="3792"/>
      <c r="J7" s="3790" t="s">
        <v>1085</v>
      </c>
      <c r="K7" s="3792"/>
      <c r="L7" s="3790" t="s">
        <v>1085</v>
      </c>
      <c r="M7" s="3792"/>
      <c r="N7" s="3951" t="s">
        <v>3006</v>
      </c>
      <c r="O7" s="3951"/>
      <c r="P7" s="3951" t="s">
        <v>3006</v>
      </c>
      <c r="Q7" s="3951"/>
      <c r="R7" s="3934" t="s">
        <v>1088</v>
      </c>
      <c r="S7" s="3935"/>
      <c r="T7" s="3790" t="s">
        <v>1087</v>
      </c>
      <c r="U7" s="3792"/>
      <c r="V7" s="3790" t="s">
        <v>1089</v>
      </c>
      <c r="W7" s="3792"/>
      <c r="X7" s="3790" t="s">
        <v>1089</v>
      </c>
      <c r="Y7" s="3792"/>
      <c r="Z7" s="3936"/>
      <c r="AA7" s="3935"/>
    </row>
    <row r="8" spans="1:27" x14ac:dyDescent="0.35">
      <c r="A8" s="938" t="s">
        <v>644</v>
      </c>
      <c r="B8" s="939"/>
      <c r="C8" s="940"/>
      <c r="D8" s="940"/>
      <c r="E8" s="940"/>
      <c r="F8" s="940"/>
      <c r="G8" s="1024" t="s">
        <v>644</v>
      </c>
      <c r="H8" s="3945">
        <f>I91</f>
        <v>1023772.5</v>
      </c>
      <c r="I8" s="3944"/>
      <c r="J8" s="3945">
        <f>K91</f>
        <v>1038214.35</v>
      </c>
      <c r="K8" s="3944"/>
      <c r="L8" s="3945">
        <f>M91</f>
        <v>913200.57499999995</v>
      </c>
      <c r="M8" s="3944"/>
      <c r="N8" s="3945">
        <f>O91</f>
        <v>1122540</v>
      </c>
      <c r="O8" s="3944"/>
      <c r="P8" s="3945">
        <f>Q91</f>
        <v>982290</v>
      </c>
      <c r="Q8" s="3944"/>
      <c r="R8" s="3945">
        <f>S91</f>
        <v>2125000</v>
      </c>
      <c r="S8" s="3944"/>
      <c r="T8" s="3945">
        <f>U91</f>
        <v>1153400.31</v>
      </c>
      <c r="U8" s="3944"/>
      <c r="V8" s="3945">
        <f>W91</f>
        <v>1616805</v>
      </c>
      <c r="W8" s="3944"/>
      <c r="X8" s="3945">
        <f>Y91</f>
        <v>1955430</v>
      </c>
      <c r="Y8" s="3944"/>
      <c r="Z8" s="3945">
        <f>AA91</f>
        <v>0</v>
      </c>
      <c r="AA8" s="3944"/>
    </row>
    <row r="9" spans="1:27" ht="15" hidden="1" customHeight="1" x14ac:dyDescent="0.35">
      <c r="A9" s="938"/>
      <c r="B9" s="939"/>
      <c r="C9" s="940"/>
      <c r="D9" s="940"/>
      <c r="E9" s="940"/>
      <c r="F9" s="940"/>
      <c r="G9" s="1024" t="s">
        <v>3007</v>
      </c>
      <c r="H9" s="3945" t="s">
        <v>3008</v>
      </c>
      <c r="I9" s="3944"/>
      <c r="J9" s="3945">
        <f>'05F Brackets &amp; Rafter Tails'!L8</f>
        <v>412837.5</v>
      </c>
      <c r="K9" s="3944"/>
      <c r="L9" s="3945">
        <f>'05F Brackets &amp; Rafter Tails'!N8</f>
        <v>438146.25</v>
      </c>
      <c r="M9" s="3944"/>
      <c r="N9" s="3945">
        <f>'05F Brackets &amp; Rafter Tails'!P8</f>
        <v>480360</v>
      </c>
      <c r="O9" s="3944"/>
      <c r="P9" s="3945">
        <f>'05F Brackets &amp; Rafter Tails'!R8</f>
        <v>427150</v>
      </c>
      <c r="Q9" s="3944"/>
      <c r="R9" s="3945" t="s">
        <v>1094</v>
      </c>
      <c r="S9" s="3944"/>
      <c r="T9" s="3945">
        <f>'05F Brackets &amp; Rafter Tails'!V8</f>
        <v>493453</v>
      </c>
      <c r="U9" s="3944"/>
      <c r="V9" s="3945"/>
      <c r="W9" s="3944"/>
      <c r="X9" s="3945" t="s">
        <v>1094</v>
      </c>
      <c r="Y9" s="3944"/>
      <c r="Z9" s="3945"/>
      <c r="AA9" s="3944"/>
    </row>
    <row r="10" spans="1:27" ht="15" hidden="1" customHeight="1" x14ac:dyDescent="0.35">
      <c r="A10" s="938"/>
      <c r="B10" s="939"/>
      <c r="C10" s="940"/>
      <c r="D10" s="940"/>
      <c r="E10" s="940"/>
      <c r="F10" s="940"/>
      <c r="G10" s="1024" t="s">
        <v>5</v>
      </c>
      <c r="H10" s="3945">
        <f>SUM(H8:I9)</f>
        <v>1023772.5</v>
      </c>
      <c r="I10" s="3944"/>
      <c r="J10" s="3945">
        <f>SUM(J8:K9)</f>
        <v>1451051.85</v>
      </c>
      <c r="K10" s="3944"/>
      <c r="L10" s="3945">
        <f>SUM(L8:M9)</f>
        <v>1351346.825</v>
      </c>
      <c r="M10" s="3944"/>
      <c r="N10" s="3945">
        <f>SUM(N8:O9)</f>
        <v>1602900</v>
      </c>
      <c r="O10" s="3944"/>
      <c r="P10" s="3945">
        <f>SUM(P8:Q9)</f>
        <v>1409440</v>
      </c>
      <c r="Q10" s="3944"/>
      <c r="R10" s="3945">
        <f>SUM(R8:S9)</f>
        <v>2125000</v>
      </c>
      <c r="S10" s="3944"/>
      <c r="T10" s="3945">
        <f>SUM(T8:U9)</f>
        <v>1646853.31</v>
      </c>
      <c r="U10" s="3944"/>
      <c r="V10" s="3945"/>
      <c r="W10" s="3944"/>
      <c r="X10" s="3945">
        <f>SUM(X8:Y9)</f>
        <v>1955430</v>
      </c>
      <c r="Y10" s="3944"/>
      <c r="Z10" s="3945"/>
      <c r="AA10" s="3944"/>
    </row>
    <row r="11" spans="1:27" ht="29" x14ac:dyDescent="0.35">
      <c r="A11" s="7" t="s">
        <v>645</v>
      </c>
      <c r="B11" s="8"/>
      <c r="C11" s="9" t="s">
        <v>646</v>
      </c>
      <c r="D11" s="9" t="s">
        <v>647</v>
      </c>
      <c r="E11" s="9" t="s">
        <v>648</v>
      </c>
      <c r="F11" s="9" t="s">
        <v>649</v>
      </c>
      <c r="G11" s="10" t="s">
        <v>650</v>
      </c>
      <c r="H11" s="11" t="s">
        <v>651</v>
      </c>
      <c r="I11" s="11" t="s">
        <v>652</v>
      </c>
      <c r="J11" s="11" t="s">
        <v>651</v>
      </c>
      <c r="K11" s="11" t="s">
        <v>652</v>
      </c>
      <c r="L11" s="11" t="s">
        <v>651</v>
      </c>
      <c r="M11" s="11" t="s">
        <v>652</v>
      </c>
      <c r="N11" s="11" t="s">
        <v>651</v>
      </c>
      <c r="O11" s="11" t="s">
        <v>652</v>
      </c>
      <c r="P11" s="11" t="s">
        <v>651</v>
      </c>
      <c r="Q11" s="11" t="s">
        <v>652</v>
      </c>
      <c r="R11" s="11" t="s">
        <v>651</v>
      </c>
      <c r="S11" s="11" t="s">
        <v>652</v>
      </c>
      <c r="T11" s="11" t="s">
        <v>651</v>
      </c>
      <c r="U11" s="11" t="s">
        <v>652</v>
      </c>
      <c r="V11" s="11" t="s">
        <v>651</v>
      </c>
      <c r="W11" s="11" t="s">
        <v>652</v>
      </c>
      <c r="X11" s="11" t="s">
        <v>651</v>
      </c>
      <c r="Y11" s="11" t="s">
        <v>652</v>
      </c>
      <c r="Z11" s="11" t="s">
        <v>651</v>
      </c>
      <c r="AA11" s="11" t="s">
        <v>652</v>
      </c>
    </row>
    <row r="12" spans="1:27" hidden="1" x14ac:dyDescent="0.35">
      <c r="A12" s="2286"/>
      <c r="B12" s="2672" t="s">
        <v>653</v>
      </c>
      <c r="C12" s="2285"/>
      <c r="D12" s="2285"/>
      <c r="E12" s="2285"/>
      <c r="F12" s="2285"/>
      <c r="G12" s="2198"/>
      <c r="H12" s="2107"/>
      <c r="I12" s="2107"/>
      <c r="J12" s="2107"/>
      <c r="K12" s="2107"/>
      <c r="L12" s="2107"/>
      <c r="M12" s="2107"/>
      <c r="N12" s="2107"/>
      <c r="O12" s="2107"/>
      <c r="P12" s="2107"/>
      <c r="Q12" s="2107"/>
      <c r="R12" s="2107"/>
      <c r="S12" s="2107"/>
      <c r="T12" s="2107"/>
      <c r="U12" s="2107"/>
      <c r="V12" s="2107"/>
      <c r="W12" s="2107"/>
      <c r="X12" s="2107"/>
      <c r="Y12" s="2107"/>
      <c r="Z12" s="2107"/>
      <c r="AA12" s="2107"/>
    </row>
    <row r="13" spans="1:27"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2107"/>
      <c r="Y13" s="2107"/>
      <c r="Z13" s="2107"/>
      <c r="AA13" s="2107"/>
    </row>
    <row r="14" spans="1:27"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2107"/>
      <c r="Y14" s="2107"/>
      <c r="Z14" s="2107"/>
      <c r="AA14" s="2107"/>
    </row>
    <row r="15" spans="1:27"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2107"/>
      <c r="Y15" s="2107"/>
      <c r="Z15" s="2107"/>
      <c r="AA15" s="2107"/>
    </row>
    <row r="16" spans="1:27"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2107"/>
      <c r="Y16" s="2107"/>
      <c r="Z16" s="2107"/>
      <c r="AA16" s="2107"/>
    </row>
    <row r="17" spans="1:32"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2107"/>
      <c r="Y17" s="2107"/>
      <c r="Z17" s="2107"/>
      <c r="AA17" s="2107"/>
    </row>
    <row r="18" spans="1:32"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2107"/>
      <c r="Y18" s="2107"/>
      <c r="Z18" s="2107"/>
      <c r="AA18" s="2107"/>
    </row>
    <row r="19" spans="1:32"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2107"/>
      <c r="Y19" s="2107"/>
      <c r="Z19" s="2107"/>
      <c r="AA19" s="2107"/>
    </row>
    <row r="20" spans="1:32" hidden="1" x14ac:dyDescent="0.35">
      <c r="A20" s="2286"/>
      <c r="B20" s="2284" t="e">
        <f>#REF!</f>
        <v>#REF!</v>
      </c>
      <c r="C20" s="2201" t="s">
        <v>654</v>
      </c>
      <c r="D20" s="2285"/>
      <c r="E20" s="2285"/>
      <c r="F20" s="2285"/>
      <c r="G20" s="2198"/>
      <c r="H20" s="2107"/>
      <c r="I20" s="2107"/>
      <c r="J20" s="2107"/>
      <c r="K20" s="2107"/>
      <c r="L20" s="2107"/>
      <c r="M20" s="2107"/>
      <c r="N20" s="2107"/>
      <c r="O20" s="2107"/>
      <c r="P20" s="2107"/>
      <c r="Q20" s="2107"/>
      <c r="R20" s="2107"/>
      <c r="S20" s="2107"/>
      <c r="T20" s="2107"/>
      <c r="U20" s="2107"/>
      <c r="V20" s="2107"/>
      <c r="W20" s="2107"/>
      <c r="X20" s="2107"/>
      <c r="Y20" s="2107"/>
      <c r="Z20" s="2107"/>
      <c r="AA20" s="2107"/>
    </row>
    <row r="21" spans="1:32" hidden="1" x14ac:dyDescent="0.35">
      <c r="A21" s="2286"/>
      <c r="B21" s="2284" t="e">
        <f>#REF!</f>
        <v>#REF!</v>
      </c>
      <c r="C21" s="2201" t="s">
        <v>654</v>
      </c>
      <c r="D21" s="2285"/>
      <c r="E21" s="2285"/>
      <c r="F21" s="2285"/>
      <c r="G21" s="2198"/>
      <c r="H21" s="2107"/>
      <c r="I21" s="2107"/>
      <c r="J21" s="2107"/>
      <c r="K21" s="2107"/>
      <c r="L21" s="2107"/>
      <c r="M21" s="2107"/>
      <c r="N21" s="2107"/>
      <c r="O21" s="2107"/>
      <c r="P21" s="2107"/>
      <c r="Q21" s="2107"/>
      <c r="R21" s="2107"/>
      <c r="S21" s="2107"/>
      <c r="T21" s="2107"/>
      <c r="U21" s="2107"/>
      <c r="V21" s="2107"/>
      <c r="W21" s="2107"/>
      <c r="X21" s="2107"/>
      <c r="Y21" s="2107"/>
      <c r="Z21" s="2107"/>
      <c r="AA21" s="2107"/>
    </row>
    <row r="22" spans="1:32" x14ac:dyDescent="0.35">
      <c r="A22" s="2286"/>
      <c r="B22" s="2284"/>
      <c r="C22" s="2201"/>
      <c r="D22" s="2285"/>
      <c r="E22" s="2285"/>
      <c r="F22" s="2285"/>
      <c r="G22" s="2198"/>
      <c r="H22" s="2109"/>
      <c r="I22" s="2107"/>
      <c r="J22" s="2109"/>
      <c r="K22" s="2107"/>
      <c r="L22" s="2109"/>
      <c r="M22" s="2107"/>
      <c r="N22" s="2109"/>
      <c r="O22" s="2107"/>
      <c r="P22" s="2109"/>
      <c r="Q22" s="2107"/>
      <c r="R22" s="2109"/>
      <c r="S22" s="2107"/>
      <c r="T22" s="2109"/>
      <c r="U22" s="2107"/>
      <c r="V22" s="2109"/>
      <c r="W22" s="2107"/>
      <c r="X22" s="2109"/>
      <c r="Y22" s="2107"/>
      <c r="Z22" s="2109"/>
      <c r="AA22" s="2107"/>
    </row>
    <row r="23" spans="1:32" x14ac:dyDescent="0.35">
      <c r="A23" s="2286"/>
      <c r="B23" s="2203" t="s">
        <v>3003</v>
      </c>
      <c r="C23" s="2201"/>
      <c r="D23" s="2285"/>
      <c r="E23" s="2285"/>
      <c r="F23" s="2285"/>
      <c r="G23" s="2198"/>
      <c r="H23" s="2109"/>
      <c r="I23" s="2107"/>
      <c r="J23" s="2109"/>
      <c r="K23" s="2107"/>
      <c r="L23" s="2109"/>
      <c r="M23" s="2107"/>
      <c r="N23" s="2109"/>
      <c r="O23" s="2107"/>
      <c r="P23" s="2109"/>
      <c r="Q23" s="2107"/>
      <c r="R23" s="2109"/>
      <c r="S23" s="2107"/>
      <c r="T23" s="2109"/>
      <c r="U23" s="2107"/>
      <c r="V23" s="2109"/>
      <c r="W23" s="2107"/>
      <c r="X23" s="2109"/>
      <c r="Y23" s="2107"/>
      <c r="Z23" s="2109"/>
      <c r="AA23" s="2107"/>
    </row>
    <row r="24" spans="1:32" x14ac:dyDescent="0.35">
      <c r="A24" s="2673"/>
      <c r="B24" s="606" t="s">
        <v>657</v>
      </c>
      <c r="C24" s="2201"/>
      <c r="D24" s="2285"/>
      <c r="E24" s="2285"/>
      <c r="F24" s="2285"/>
      <c r="G24" s="2198"/>
      <c r="H24" s="2109"/>
      <c r="I24" s="2625"/>
      <c r="J24" s="2109"/>
      <c r="K24" s="2625"/>
      <c r="L24" s="2109"/>
      <c r="M24" s="2625"/>
      <c r="N24" s="2109"/>
      <c r="O24" s="2625"/>
      <c r="P24" s="2109"/>
      <c r="Q24" s="2625"/>
      <c r="R24" s="2109"/>
      <c r="S24" s="2625"/>
      <c r="T24" s="2109"/>
      <c r="U24" s="2625"/>
      <c r="V24" s="2109"/>
      <c r="W24" s="2625"/>
      <c r="X24" s="2109"/>
      <c r="Y24" s="2625"/>
      <c r="Z24" s="2109"/>
      <c r="AA24" s="2625"/>
    </row>
    <row r="25" spans="1:32" x14ac:dyDescent="0.35">
      <c r="A25" s="2673"/>
      <c r="B25" s="2627" t="s">
        <v>658</v>
      </c>
      <c r="C25" s="2201"/>
      <c r="D25" s="2285"/>
      <c r="E25" s="2285"/>
      <c r="F25" s="2285"/>
      <c r="G25" s="2198"/>
      <c r="H25" s="2109" t="s">
        <v>669</v>
      </c>
      <c r="I25" s="2625"/>
      <c r="J25" s="2109" t="s">
        <v>669</v>
      </c>
      <c r="K25" s="2625"/>
      <c r="L25" s="2109" t="s">
        <v>669</v>
      </c>
      <c r="M25" s="2625"/>
      <c r="N25" s="2109" t="s">
        <v>669</v>
      </c>
      <c r="O25" s="2625"/>
      <c r="P25" s="2109" t="s">
        <v>669</v>
      </c>
      <c r="Q25" s="2625"/>
      <c r="R25" s="2109" t="s">
        <v>669</v>
      </c>
      <c r="S25" s="2625"/>
      <c r="T25" s="2109" t="s">
        <v>669</v>
      </c>
      <c r="U25" s="2625"/>
      <c r="V25" s="2109" t="s">
        <v>669</v>
      </c>
      <c r="W25" s="2625"/>
      <c r="X25" s="2109" t="s">
        <v>669</v>
      </c>
      <c r="Y25" s="2625"/>
      <c r="Z25" s="2109"/>
      <c r="AA25" s="2625"/>
    </row>
    <row r="26" spans="1:32" x14ac:dyDescent="0.35">
      <c r="A26" s="2673"/>
      <c r="B26" s="2627" t="s">
        <v>659</v>
      </c>
      <c r="C26" s="2208"/>
      <c r="D26" s="2285"/>
      <c r="E26" s="2285"/>
      <c r="F26" s="2285"/>
      <c r="G26" s="2198"/>
      <c r="H26" s="2109" t="s">
        <v>669</v>
      </c>
      <c r="I26" s="2625"/>
      <c r="J26" s="2109" t="s">
        <v>669</v>
      </c>
      <c r="K26" s="2626"/>
      <c r="L26" s="2109" t="s">
        <v>669</v>
      </c>
      <c r="M26" s="2626"/>
      <c r="N26" s="2109" t="s">
        <v>669</v>
      </c>
      <c r="O26" s="2625"/>
      <c r="P26" s="2109" t="s">
        <v>669</v>
      </c>
      <c r="Q26" s="2625"/>
      <c r="R26" s="2109" t="s">
        <v>669</v>
      </c>
      <c r="S26" s="2625"/>
      <c r="T26" s="2109" t="s">
        <v>669</v>
      </c>
      <c r="U26" s="2625"/>
      <c r="V26" s="2109" t="s">
        <v>669</v>
      </c>
      <c r="W26" s="2625"/>
      <c r="X26" s="2109" t="s">
        <v>669</v>
      </c>
      <c r="Y26" s="2625"/>
      <c r="Z26" s="2109"/>
      <c r="AA26" s="2625"/>
    </row>
    <row r="27" spans="1:32" x14ac:dyDescent="0.35">
      <c r="A27" s="2673"/>
      <c r="B27" s="2636" t="s">
        <v>660</v>
      </c>
      <c r="C27" s="2208"/>
      <c r="D27" s="2285"/>
      <c r="E27" s="2285"/>
      <c r="F27" s="2285"/>
      <c r="G27" s="2198"/>
      <c r="H27" s="2109" t="s">
        <v>671</v>
      </c>
      <c r="I27" s="2626"/>
      <c r="J27" s="2109" t="s">
        <v>671</v>
      </c>
      <c r="K27" s="2626"/>
      <c r="L27" s="2109" t="s">
        <v>671</v>
      </c>
      <c r="M27" s="2626"/>
      <c r="N27" s="2109" t="s">
        <v>671</v>
      </c>
      <c r="O27" s="2625"/>
      <c r="P27" s="2109" t="s">
        <v>671</v>
      </c>
      <c r="Q27" s="2625"/>
      <c r="R27" s="2109" t="s">
        <v>671</v>
      </c>
      <c r="S27" s="2625"/>
      <c r="T27" s="2109" t="s">
        <v>671</v>
      </c>
      <c r="U27" s="2625"/>
      <c r="V27" s="2109" t="s">
        <v>671</v>
      </c>
      <c r="W27" s="2625"/>
      <c r="X27" s="2109" t="s">
        <v>671</v>
      </c>
      <c r="Y27" s="2625"/>
      <c r="Z27" s="2109"/>
      <c r="AA27" s="2625"/>
    </row>
    <row r="28" spans="1:32" s="77" customFormat="1" x14ac:dyDescent="0.35">
      <c r="A28" s="2685"/>
      <c r="B28" s="2636" t="s">
        <v>661</v>
      </c>
      <c r="C28" s="2211"/>
      <c r="D28" s="2212"/>
      <c r="E28" s="2212"/>
      <c r="F28" s="2212"/>
      <c r="G28" s="2211"/>
      <c r="H28" s="2109" t="s">
        <v>669</v>
      </c>
      <c r="I28" s="2626"/>
      <c r="J28" s="2109" t="s">
        <v>669</v>
      </c>
      <c r="K28" s="2626"/>
      <c r="L28" s="2109" t="s">
        <v>669</v>
      </c>
      <c r="M28" s="2626"/>
      <c r="N28" s="2109" t="s">
        <v>669</v>
      </c>
      <c r="O28" s="2686"/>
      <c r="P28" s="2109" t="s">
        <v>669</v>
      </c>
      <c r="Q28" s="2686"/>
      <c r="R28" s="2109" t="s">
        <v>669</v>
      </c>
      <c r="S28" s="2686"/>
      <c r="T28" s="2109" t="s">
        <v>669</v>
      </c>
      <c r="U28" s="2686"/>
      <c r="V28" s="2109" t="s">
        <v>669</v>
      </c>
      <c r="W28" s="2686"/>
      <c r="X28" s="2109" t="s">
        <v>669</v>
      </c>
      <c r="Y28" s="2686"/>
      <c r="Z28" s="2109"/>
      <c r="AA28" s="2686"/>
      <c r="AF28" s="534"/>
    </row>
    <row r="29" spans="1:32" s="77" customFormat="1" x14ac:dyDescent="0.35">
      <c r="A29" s="2685"/>
      <c r="B29" s="2636" t="s">
        <v>662</v>
      </c>
      <c r="C29" s="2211"/>
      <c r="D29" s="2212"/>
      <c r="E29" s="2212"/>
      <c r="F29" s="2212"/>
      <c r="G29" s="2211"/>
      <c r="H29" s="2109" t="s">
        <v>669</v>
      </c>
      <c r="I29" s="2626"/>
      <c r="J29" s="2109" t="s">
        <v>669</v>
      </c>
      <c r="K29" s="2626"/>
      <c r="L29" s="2109" t="s">
        <v>669</v>
      </c>
      <c r="M29" s="2626"/>
      <c r="N29" s="2109" t="s">
        <v>669</v>
      </c>
      <c r="O29" s="2686"/>
      <c r="P29" s="2109" t="s">
        <v>669</v>
      </c>
      <c r="Q29" s="2686"/>
      <c r="R29" s="2109" t="s">
        <v>669</v>
      </c>
      <c r="S29" s="2686"/>
      <c r="T29" s="2109" t="s">
        <v>669</v>
      </c>
      <c r="U29" s="2686"/>
      <c r="V29" s="2109" t="s">
        <v>669</v>
      </c>
      <c r="W29" s="2686"/>
      <c r="X29" s="2109" t="s">
        <v>669</v>
      </c>
      <c r="Y29" s="2686"/>
      <c r="Z29" s="2109"/>
      <c r="AA29" s="2686"/>
      <c r="AF29" s="534"/>
    </row>
    <row r="30" spans="1:32" s="77" customFormat="1" x14ac:dyDescent="0.35">
      <c r="A30" s="2685"/>
      <c r="B30" s="2636" t="s">
        <v>663</v>
      </c>
      <c r="C30" s="2211"/>
      <c r="D30" s="2212"/>
      <c r="E30" s="2212"/>
      <c r="F30" s="2212"/>
      <c r="G30" s="2211"/>
      <c r="H30" s="2109" t="s">
        <v>669</v>
      </c>
      <c r="I30" s="2626"/>
      <c r="J30" s="2109" t="s">
        <v>669</v>
      </c>
      <c r="K30" s="2626"/>
      <c r="L30" s="2109" t="s">
        <v>669</v>
      </c>
      <c r="M30" s="2626"/>
      <c r="N30" s="2109" t="s">
        <v>669</v>
      </c>
      <c r="O30" s="2686"/>
      <c r="P30" s="2109" t="s">
        <v>669</v>
      </c>
      <c r="Q30" s="2686"/>
      <c r="R30" s="2109" t="s">
        <v>669</v>
      </c>
      <c r="S30" s="2686"/>
      <c r="T30" s="2109" t="s">
        <v>669</v>
      </c>
      <c r="U30" s="2686"/>
      <c r="V30" s="2109" t="s">
        <v>669</v>
      </c>
      <c r="W30" s="2686"/>
      <c r="X30" s="2109" t="s">
        <v>669</v>
      </c>
      <c r="Y30" s="2686"/>
      <c r="Z30" s="2109"/>
      <c r="AA30" s="2686"/>
      <c r="AF30" s="534"/>
    </row>
    <row r="31" spans="1:32" s="77" customFormat="1" x14ac:dyDescent="0.35">
      <c r="A31" s="2685"/>
      <c r="B31" s="2636" t="s">
        <v>789</v>
      </c>
      <c r="C31" s="2211"/>
      <c r="D31" s="2212"/>
      <c r="E31" s="2212"/>
      <c r="F31" s="2212"/>
      <c r="G31" s="2211"/>
      <c r="H31" s="2109" t="s">
        <v>669</v>
      </c>
      <c r="I31" s="2626" t="s">
        <v>1099</v>
      </c>
      <c r="J31" s="2109" t="s">
        <v>671</v>
      </c>
      <c r="K31" s="2626" t="s">
        <v>1008</v>
      </c>
      <c r="L31" s="2109" t="s">
        <v>671</v>
      </c>
      <c r="M31" s="2626" t="s">
        <v>1008</v>
      </c>
      <c r="N31" s="2109" t="s">
        <v>669</v>
      </c>
      <c r="O31" s="2626" t="s">
        <v>1210</v>
      </c>
      <c r="P31" s="2109" t="s">
        <v>669</v>
      </c>
      <c r="Q31" s="2626" t="s">
        <v>1210</v>
      </c>
      <c r="R31" s="2109" t="s">
        <v>671</v>
      </c>
      <c r="S31" s="2686"/>
      <c r="T31" s="2109" t="s">
        <v>671</v>
      </c>
      <c r="U31" s="2686"/>
      <c r="V31" s="2109" t="s">
        <v>671</v>
      </c>
      <c r="W31" s="2686"/>
      <c r="X31" s="2109" t="s">
        <v>671</v>
      </c>
      <c r="Y31" s="2686"/>
      <c r="Z31" s="2109"/>
      <c r="AA31" s="2686"/>
      <c r="AF31" s="534"/>
    </row>
    <row r="32" spans="1:32" s="77" customFormat="1" x14ac:dyDescent="0.35">
      <c r="A32" s="2685"/>
      <c r="B32" s="2636" t="s">
        <v>790</v>
      </c>
      <c r="C32" s="2211"/>
      <c r="D32" s="2212"/>
      <c r="E32" s="2212"/>
      <c r="F32" s="2212"/>
      <c r="G32" s="2211"/>
      <c r="H32" s="2109" t="s">
        <v>669</v>
      </c>
      <c r="I32" s="2626" t="s">
        <v>1100</v>
      </c>
      <c r="J32" s="2109" t="s">
        <v>671</v>
      </c>
      <c r="K32" s="2626" t="s">
        <v>1100</v>
      </c>
      <c r="L32" s="2109" t="s">
        <v>671</v>
      </c>
      <c r="M32" s="2626" t="s">
        <v>1100</v>
      </c>
      <c r="N32" s="2109" t="s">
        <v>669</v>
      </c>
      <c r="O32" s="2686" t="s">
        <v>968</v>
      </c>
      <c r="P32" s="2109" t="s">
        <v>669</v>
      </c>
      <c r="Q32" s="2686" t="s">
        <v>968</v>
      </c>
      <c r="R32" s="2109" t="s">
        <v>671</v>
      </c>
      <c r="S32" s="2686"/>
      <c r="T32" s="2109" t="s">
        <v>671</v>
      </c>
      <c r="U32" s="2686"/>
      <c r="V32" s="2109" t="s">
        <v>671</v>
      </c>
      <c r="W32" s="2686"/>
      <c r="X32" s="2109" t="s">
        <v>671</v>
      </c>
      <c r="Y32" s="2686"/>
      <c r="Z32" s="2109"/>
      <c r="AA32" s="2686"/>
      <c r="AF32" s="534"/>
    </row>
    <row r="33" spans="1:36" s="77" customFormat="1" x14ac:dyDescent="0.35">
      <c r="A33" s="2685"/>
      <c r="B33" s="2636" t="s">
        <v>791</v>
      </c>
      <c r="C33" s="2211"/>
      <c r="D33" s="2212"/>
      <c r="E33" s="2212"/>
      <c r="F33" s="2212"/>
      <c r="G33" s="2211"/>
      <c r="H33" s="2109" t="s">
        <v>669</v>
      </c>
      <c r="I33" s="2626" t="s">
        <v>1102</v>
      </c>
      <c r="J33" s="2109" t="s">
        <v>671</v>
      </c>
      <c r="K33" s="2626"/>
      <c r="L33" s="2109" t="s">
        <v>671</v>
      </c>
      <c r="M33" s="2626"/>
      <c r="N33" s="2109" t="s">
        <v>669</v>
      </c>
      <c r="O33" s="2686" t="s">
        <v>1211</v>
      </c>
      <c r="P33" s="2109" t="s">
        <v>669</v>
      </c>
      <c r="Q33" s="2686" t="s">
        <v>1211</v>
      </c>
      <c r="R33" s="2109" t="s">
        <v>671</v>
      </c>
      <c r="S33" s="2686"/>
      <c r="T33" s="2109" t="s">
        <v>671</v>
      </c>
      <c r="U33" s="2686"/>
      <c r="V33" s="2109" t="s">
        <v>671</v>
      </c>
      <c r="W33" s="2686"/>
      <c r="X33" s="2109" t="s">
        <v>671</v>
      </c>
      <c r="Y33" s="2686"/>
      <c r="Z33" s="2109"/>
      <c r="AA33" s="2686"/>
      <c r="AF33" s="534"/>
    </row>
    <row r="34" spans="1:36" s="77" customFormat="1" x14ac:dyDescent="0.35">
      <c r="A34" s="2685"/>
      <c r="B34" s="2687" t="s">
        <v>664</v>
      </c>
      <c r="C34" s="2211"/>
      <c r="D34" s="2212"/>
      <c r="E34" s="2212"/>
      <c r="F34" s="2212"/>
      <c r="G34" s="2211"/>
      <c r="H34" s="2109"/>
      <c r="I34" s="2686"/>
      <c r="J34" s="2109"/>
      <c r="K34" s="2626"/>
      <c r="L34" s="2109"/>
      <c r="M34" s="2626"/>
      <c r="N34" s="2109"/>
      <c r="O34" s="2686"/>
      <c r="P34" s="2109"/>
      <c r="Q34" s="2686"/>
      <c r="R34" s="2109"/>
      <c r="S34" s="2686"/>
      <c r="T34" s="2109"/>
      <c r="U34" s="2686"/>
      <c r="V34" s="2109"/>
      <c r="W34" s="2686"/>
      <c r="X34" s="2109"/>
      <c r="Y34" s="2686"/>
      <c r="Z34" s="2109"/>
      <c r="AA34" s="2686"/>
      <c r="AF34" s="534"/>
    </row>
    <row r="35" spans="1:36" s="77" customFormat="1" x14ac:dyDescent="0.35">
      <c r="A35" s="2685"/>
      <c r="B35" s="2688" t="s">
        <v>665</v>
      </c>
      <c r="C35" s="2216"/>
      <c r="D35" s="2217"/>
      <c r="E35" s="2217"/>
      <c r="F35" s="2217"/>
      <c r="G35" s="2216"/>
      <c r="H35" s="2289"/>
      <c r="I35" s="2689">
        <v>1023772.5</v>
      </c>
      <c r="J35" s="2288"/>
      <c r="K35" s="2690"/>
      <c r="L35" s="2288"/>
      <c r="M35" s="2689">
        <v>899705</v>
      </c>
      <c r="N35" s="2689"/>
      <c r="O35" s="2689"/>
      <c r="P35" s="2689"/>
      <c r="Q35" s="2691">
        <f>1409440-'05F Brackets &amp; Rafter Tails'!R8</f>
        <v>982290</v>
      </c>
      <c r="R35" s="2289"/>
      <c r="S35" s="2689">
        <v>2125000</v>
      </c>
      <c r="T35" s="2689"/>
      <c r="U35" s="2689"/>
      <c r="V35" s="2289"/>
      <c r="W35" s="2689"/>
      <c r="X35" s="2289"/>
      <c r="Y35" s="2689"/>
      <c r="Z35" s="2689"/>
      <c r="AA35" s="2689"/>
      <c r="AF35" s="534"/>
    </row>
    <row r="36" spans="1:36" s="77" customFormat="1" x14ac:dyDescent="0.35">
      <c r="A36" s="2692"/>
      <c r="B36" s="2693"/>
      <c r="C36" s="2236"/>
      <c r="D36" s="2212"/>
      <c r="E36" s="2212"/>
      <c r="F36" s="2212"/>
      <c r="G36" s="2211"/>
      <c r="H36" s="2109"/>
      <c r="I36" s="2686"/>
      <c r="J36" s="2331"/>
      <c r="K36" s="2626"/>
      <c r="L36" s="2331"/>
      <c r="M36" s="2626"/>
      <c r="N36" s="2109"/>
      <c r="O36" s="2686"/>
      <c r="P36" s="2109"/>
      <c r="Q36" s="2686"/>
      <c r="R36" s="2334"/>
      <c r="S36" s="2686"/>
      <c r="T36" s="2109"/>
      <c r="U36" s="2686"/>
      <c r="V36" s="2334"/>
      <c r="W36" s="2686"/>
      <c r="X36" s="2334"/>
      <c r="Y36" s="2686"/>
      <c r="Z36" s="2109"/>
      <c r="AA36" s="2686"/>
      <c r="AF36" s="534"/>
    </row>
    <row r="37" spans="1:36" s="77" customFormat="1" x14ac:dyDescent="0.35">
      <c r="A37" s="2692"/>
      <c r="B37" s="2693" t="s">
        <v>1103</v>
      </c>
      <c r="C37" s="2236"/>
      <c r="D37" s="2212"/>
      <c r="E37" s="2212"/>
      <c r="F37" s="2212"/>
      <c r="G37" s="2211"/>
      <c r="H37" s="2109" t="s">
        <v>671</v>
      </c>
      <c r="I37" s="2686"/>
      <c r="J37" s="2109" t="s">
        <v>669</v>
      </c>
      <c r="K37" s="2626"/>
      <c r="L37" s="2109" t="s">
        <v>669</v>
      </c>
      <c r="M37" s="2626"/>
      <c r="N37" s="2109" t="s">
        <v>671</v>
      </c>
      <c r="O37" s="2686"/>
      <c r="P37" s="2109" t="s">
        <v>671</v>
      </c>
      <c r="Q37" s="2686"/>
      <c r="R37" s="2109" t="s">
        <v>669</v>
      </c>
      <c r="S37" s="2686"/>
      <c r="T37" s="2109" t="s">
        <v>671</v>
      </c>
      <c r="U37" s="2686"/>
      <c r="V37" s="2109" t="s">
        <v>671</v>
      </c>
      <c r="W37" s="2686"/>
      <c r="X37" s="2109" t="s">
        <v>671</v>
      </c>
      <c r="Y37" s="2686"/>
      <c r="Z37" s="2109"/>
      <c r="AA37" s="2686"/>
      <c r="AF37" s="1"/>
      <c r="AG37"/>
      <c r="AH37"/>
      <c r="AI37"/>
      <c r="AJ37"/>
    </row>
    <row r="38" spans="1:36" s="77" customFormat="1" x14ac:dyDescent="0.35">
      <c r="A38" s="2692"/>
      <c r="B38" s="2693" t="s">
        <v>1104</v>
      </c>
      <c r="C38" s="2236"/>
      <c r="D38" s="2212"/>
      <c r="E38" s="2212"/>
      <c r="F38" s="2212"/>
      <c r="G38" s="2211"/>
      <c r="H38" s="2109" t="s">
        <v>671</v>
      </c>
      <c r="I38" s="2686"/>
      <c r="J38" s="2109" t="s">
        <v>669</v>
      </c>
      <c r="K38" s="2626"/>
      <c r="L38" s="2109" t="s">
        <v>669</v>
      </c>
      <c r="M38" s="2626"/>
      <c r="N38" s="2109" t="s">
        <v>671</v>
      </c>
      <c r="O38" s="2686"/>
      <c r="P38" s="2109" t="s">
        <v>671</v>
      </c>
      <c r="Q38" s="2686"/>
      <c r="R38" s="2109" t="s">
        <v>669</v>
      </c>
      <c r="S38" s="2686"/>
      <c r="T38" s="2109" t="s">
        <v>671</v>
      </c>
      <c r="U38" s="2686"/>
      <c r="V38" s="2109" t="s">
        <v>671</v>
      </c>
      <c r="W38" s="2686"/>
      <c r="X38" s="2109" t="s">
        <v>671</v>
      </c>
      <c r="Y38" s="2686"/>
      <c r="Z38" s="2109"/>
      <c r="AA38" s="2686"/>
      <c r="AF38" s="536" t="s">
        <v>80</v>
      </c>
      <c r="AG38" s="2236"/>
      <c r="AH38" s="2212"/>
      <c r="AI38" s="2341"/>
      <c r="AJ38"/>
    </row>
    <row r="39" spans="1:36" s="77" customFormat="1" x14ac:dyDescent="0.35">
      <c r="A39" s="2692"/>
      <c r="B39" s="2234"/>
      <c r="C39" s="2236"/>
      <c r="D39" s="2212"/>
      <c r="E39" s="2212"/>
      <c r="F39" s="2212"/>
      <c r="G39" s="2211"/>
      <c r="H39" s="2109"/>
      <c r="I39" s="2686"/>
      <c r="J39" s="2331"/>
      <c r="K39" s="2626"/>
      <c r="L39" s="2331"/>
      <c r="M39" s="2626"/>
      <c r="N39" s="2334"/>
      <c r="O39" s="2686"/>
      <c r="P39" s="2334"/>
      <c r="Q39" s="2686"/>
      <c r="R39" s="2334"/>
      <c r="S39" s="2686"/>
      <c r="T39" s="2109"/>
      <c r="U39" s="2686"/>
      <c r="V39" s="2334"/>
      <c r="W39" s="2686"/>
      <c r="X39" s="2334"/>
      <c r="Y39" s="2686"/>
      <c r="Z39" s="2109"/>
      <c r="AA39" s="2686"/>
      <c r="AF39" s="2694" t="s">
        <v>3009</v>
      </c>
      <c r="AG39" s="2695"/>
      <c r="AH39" s="2695">
        <v>22</v>
      </c>
      <c r="AI39" s="2285" t="s">
        <v>666</v>
      </c>
      <c r="AJ39"/>
    </row>
    <row r="40" spans="1:36" s="77" customFormat="1" x14ac:dyDescent="0.35">
      <c r="A40" s="2692"/>
      <c r="B40" s="2693" t="s">
        <v>3010</v>
      </c>
      <c r="C40" s="2236"/>
      <c r="D40" s="2212"/>
      <c r="E40" s="2212"/>
      <c r="F40" s="2212"/>
      <c r="G40" s="2211"/>
      <c r="H40" s="2109" t="s">
        <v>669</v>
      </c>
      <c r="I40" s="2686"/>
      <c r="J40" s="2109" t="s">
        <v>669</v>
      </c>
      <c r="K40" s="2686">
        <f>164000+95040+290580+24000+49140+49200</f>
        <v>671960</v>
      </c>
      <c r="L40" s="2109" t="s">
        <v>669</v>
      </c>
      <c r="M40" s="2686"/>
      <c r="N40" s="2109" t="s">
        <v>669</v>
      </c>
      <c r="O40" s="2686">
        <f>7700+91700+8000+35700+9600+10100+12100+90020+39100+11200+10100+8900+90020+39100+11200+25500+9100+104100+9100+4600+35900+165900+5100+22800+11100+25500+9100+104100+9100+4600</f>
        <v>1020140</v>
      </c>
      <c r="P40" s="2109" t="s">
        <v>669</v>
      </c>
      <c r="Q40" s="2686"/>
      <c r="R40" s="2109" t="s">
        <v>669</v>
      </c>
      <c r="S40" s="2686"/>
      <c r="T40" s="2109" t="s">
        <v>669</v>
      </c>
      <c r="U40" s="2686">
        <f>1283353-'05F Brackets &amp; Rafter Tails'!W41-'05F Brackets &amp; Rafter Tails'!W46-'05F Brackets &amp; Rafter Tails'!W52-'05F Brackets &amp; Rafter Tails'!W58-'05F Brackets &amp; Rafter Tails'!W64-'05F Brackets &amp; Rafter Tails'!W70</f>
        <v>936567</v>
      </c>
      <c r="V40" s="2109" t="s">
        <v>669</v>
      </c>
      <c r="W40" s="2686">
        <v>1616805</v>
      </c>
      <c r="X40" s="2109" t="s">
        <v>669</v>
      </c>
      <c r="Y40" s="2686">
        <f>223500+223500+323940+285165+311060+306490</f>
        <v>1673655</v>
      </c>
      <c r="Z40" s="2109"/>
      <c r="AA40" s="2686"/>
      <c r="AF40" s="2694" t="s">
        <v>3011</v>
      </c>
      <c r="AG40" s="2695"/>
      <c r="AH40" s="2695">
        <v>6</v>
      </c>
      <c r="AI40" s="2285" t="s">
        <v>666</v>
      </c>
      <c r="AJ40"/>
    </row>
    <row r="41" spans="1:36" s="77" customFormat="1" ht="25" x14ac:dyDescent="0.35">
      <c r="A41" s="2673"/>
      <c r="B41" s="2694" t="s">
        <v>3012</v>
      </c>
      <c r="C41" s="2695"/>
      <c r="D41" s="2695"/>
      <c r="E41" s="2285"/>
      <c r="F41" s="2285"/>
      <c r="G41" s="2233"/>
      <c r="H41" s="2109" t="s">
        <v>669</v>
      </c>
      <c r="I41" s="2626"/>
      <c r="J41" s="2109" t="s">
        <v>669</v>
      </c>
      <c r="K41" s="2626"/>
      <c r="L41" s="2109" t="s">
        <v>669</v>
      </c>
      <c r="M41" s="2626"/>
      <c r="N41" s="2109" t="s">
        <v>669</v>
      </c>
      <c r="O41" s="2625"/>
      <c r="P41" s="2109" t="s">
        <v>669</v>
      </c>
      <c r="Q41" s="2625"/>
      <c r="R41" s="2109" t="s">
        <v>669</v>
      </c>
      <c r="S41" s="2626"/>
      <c r="T41" s="2109" t="s">
        <v>669</v>
      </c>
      <c r="U41" s="2626"/>
      <c r="V41" s="2109" t="s">
        <v>669</v>
      </c>
      <c r="W41" s="2626"/>
      <c r="X41" s="2109" t="s">
        <v>669</v>
      </c>
      <c r="Y41" s="2626"/>
      <c r="Z41" s="2109"/>
      <c r="AA41" s="2625"/>
      <c r="AF41" s="2694" t="s">
        <v>3013</v>
      </c>
      <c r="AG41" s="2695"/>
      <c r="AH41" s="2695">
        <v>2</v>
      </c>
      <c r="AI41" s="2285" t="s">
        <v>666</v>
      </c>
      <c r="AJ41"/>
    </row>
    <row r="42" spans="1:36" s="77" customFormat="1" ht="25" x14ac:dyDescent="0.35">
      <c r="A42" s="2673"/>
      <c r="B42" s="2694" t="s">
        <v>3014</v>
      </c>
      <c r="C42" s="2695"/>
      <c r="D42" s="2695"/>
      <c r="E42" s="2285"/>
      <c r="F42" s="2285"/>
      <c r="G42" s="2233"/>
      <c r="H42" s="2109" t="s">
        <v>669</v>
      </c>
      <c r="I42" s="2626"/>
      <c r="J42" s="2109" t="s">
        <v>669</v>
      </c>
      <c r="K42" s="2626"/>
      <c r="L42" s="2109" t="s">
        <v>669</v>
      </c>
      <c r="M42" s="2626"/>
      <c r="N42" s="2109" t="s">
        <v>669</v>
      </c>
      <c r="O42" s="2625"/>
      <c r="P42" s="2109" t="s">
        <v>669</v>
      </c>
      <c r="Q42" s="2625"/>
      <c r="R42" s="2109" t="s">
        <v>669</v>
      </c>
      <c r="S42" s="2626"/>
      <c r="T42" s="2109" t="s">
        <v>669</v>
      </c>
      <c r="U42" s="2626"/>
      <c r="V42" s="2109" t="s">
        <v>669</v>
      </c>
      <c r="W42" s="2626"/>
      <c r="X42" s="2109" t="s">
        <v>669</v>
      </c>
      <c r="Y42" s="2626"/>
      <c r="Z42" s="2109"/>
      <c r="AA42" s="2625"/>
      <c r="AF42" s="2694" t="s">
        <v>3015</v>
      </c>
      <c r="AG42" s="2695"/>
      <c r="AH42" s="2695">
        <v>2</v>
      </c>
      <c r="AI42" s="2285" t="s">
        <v>666</v>
      </c>
      <c r="AJ42"/>
    </row>
    <row r="43" spans="1:36" s="77" customFormat="1" x14ac:dyDescent="0.35">
      <c r="A43" s="2673"/>
      <c r="B43" s="2694" t="s">
        <v>3016</v>
      </c>
      <c r="C43" s="2695"/>
      <c r="D43" s="2695"/>
      <c r="E43" s="2285"/>
      <c r="F43" s="2285"/>
      <c r="G43" s="2233"/>
      <c r="H43" s="2109" t="s">
        <v>669</v>
      </c>
      <c r="I43" s="2626"/>
      <c r="J43" s="2109" t="s">
        <v>669</v>
      </c>
      <c r="K43" s="2626"/>
      <c r="L43" s="2109" t="s">
        <v>669</v>
      </c>
      <c r="M43" s="2626"/>
      <c r="N43" s="2109" t="s">
        <v>669</v>
      </c>
      <c r="O43" s="2625"/>
      <c r="P43" s="2109" t="s">
        <v>669</v>
      </c>
      <c r="Q43" s="2625"/>
      <c r="R43" s="2109" t="s">
        <v>669</v>
      </c>
      <c r="S43" s="2626"/>
      <c r="T43" s="2109" t="s">
        <v>669</v>
      </c>
      <c r="U43" s="2626"/>
      <c r="V43" s="2109" t="s">
        <v>669</v>
      </c>
      <c r="W43" s="2626"/>
      <c r="X43" s="2109" t="s">
        <v>669</v>
      </c>
      <c r="Y43" s="2626"/>
      <c r="Z43" s="2109"/>
      <c r="AA43" s="2625"/>
      <c r="AF43" s="2694" t="s">
        <v>3017</v>
      </c>
      <c r="AG43" s="2695"/>
      <c r="AH43" s="2695">
        <v>2</v>
      </c>
      <c r="AI43" s="2285" t="s">
        <v>666</v>
      </c>
      <c r="AJ43"/>
    </row>
    <row r="44" spans="1:36" s="77" customFormat="1" x14ac:dyDescent="0.35">
      <c r="A44" s="2673"/>
      <c r="B44" s="2694" t="s">
        <v>3018</v>
      </c>
      <c r="C44" s="2695"/>
      <c r="D44" s="2695"/>
      <c r="E44" s="2285"/>
      <c r="F44" s="2285"/>
      <c r="G44" s="2233"/>
      <c r="H44" s="2109" t="s">
        <v>669</v>
      </c>
      <c r="I44" s="2626"/>
      <c r="J44" s="2109" t="s">
        <v>669</v>
      </c>
      <c r="K44" s="2626"/>
      <c r="L44" s="2109" t="s">
        <v>669</v>
      </c>
      <c r="M44" s="2626"/>
      <c r="N44" s="2109" t="s">
        <v>669</v>
      </c>
      <c r="O44" s="2625"/>
      <c r="P44" s="2109" t="s">
        <v>669</v>
      </c>
      <c r="Q44" s="2625"/>
      <c r="R44" s="2109" t="s">
        <v>669</v>
      </c>
      <c r="S44" s="2626"/>
      <c r="T44" s="2109" t="s">
        <v>669</v>
      </c>
      <c r="U44" s="2626"/>
      <c r="V44" s="2109" t="s">
        <v>669</v>
      </c>
      <c r="W44" s="2626"/>
      <c r="X44" s="2109" t="s">
        <v>669</v>
      </c>
      <c r="Y44" s="2626"/>
      <c r="Z44" s="2109"/>
      <c r="AA44" s="2625"/>
      <c r="AF44" s="2694" t="s">
        <v>3019</v>
      </c>
      <c r="AG44" s="2695"/>
      <c r="AH44" s="2695">
        <v>4</v>
      </c>
      <c r="AI44" s="2285" t="s">
        <v>666</v>
      </c>
      <c r="AJ44"/>
    </row>
    <row r="45" spans="1:36" s="77" customFormat="1" ht="25" x14ac:dyDescent="0.35">
      <c r="A45" s="2673"/>
      <c r="B45" s="2694" t="s">
        <v>3020</v>
      </c>
      <c r="C45" s="2695"/>
      <c r="D45" s="2695"/>
      <c r="E45" s="2285"/>
      <c r="F45" s="2285"/>
      <c r="G45" s="2233"/>
      <c r="H45" s="2109" t="s">
        <v>669</v>
      </c>
      <c r="I45" s="2626"/>
      <c r="J45" s="2109" t="s">
        <v>669</v>
      </c>
      <c r="K45" s="2626"/>
      <c r="L45" s="2109" t="s">
        <v>669</v>
      </c>
      <c r="M45" s="2626"/>
      <c r="N45" s="2109" t="s">
        <v>669</v>
      </c>
      <c r="O45" s="2625"/>
      <c r="P45" s="2109" t="s">
        <v>669</v>
      </c>
      <c r="Q45" s="2625"/>
      <c r="R45" s="2109" t="s">
        <v>669</v>
      </c>
      <c r="S45" s="2626"/>
      <c r="T45" s="2109" t="s">
        <v>669</v>
      </c>
      <c r="U45" s="2626"/>
      <c r="V45" s="2109" t="s">
        <v>669</v>
      </c>
      <c r="W45" s="2626"/>
      <c r="X45" s="2109" t="s">
        <v>669</v>
      </c>
      <c r="Y45" s="2626"/>
      <c r="Z45" s="2109"/>
      <c r="AA45" s="2696"/>
      <c r="AF45" s="2694" t="s">
        <v>3021</v>
      </c>
      <c r="AG45" s="2695"/>
      <c r="AH45" s="2695">
        <v>3</v>
      </c>
      <c r="AI45" s="2285" t="s">
        <v>666</v>
      </c>
      <c r="AJ45"/>
    </row>
    <row r="46" spans="1:36" s="77" customFormat="1" x14ac:dyDescent="0.35">
      <c r="A46" s="2673"/>
      <c r="B46" s="2694" t="s">
        <v>3022</v>
      </c>
      <c r="C46" s="2695"/>
      <c r="D46" s="2695"/>
      <c r="E46" s="2285"/>
      <c r="F46" s="2285"/>
      <c r="G46" s="2233"/>
      <c r="H46" s="2109" t="s">
        <v>669</v>
      </c>
      <c r="I46" s="2626"/>
      <c r="J46" s="2109" t="s">
        <v>669</v>
      </c>
      <c r="K46" s="2626"/>
      <c r="L46" s="2109" t="s">
        <v>669</v>
      </c>
      <c r="M46" s="2626"/>
      <c r="N46" s="2109" t="s">
        <v>669</v>
      </c>
      <c r="O46" s="2625"/>
      <c r="P46" s="2109" t="s">
        <v>669</v>
      </c>
      <c r="Q46" s="2625"/>
      <c r="R46" s="2109" t="s">
        <v>669</v>
      </c>
      <c r="S46" s="2626"/>
      <c r="T46" s="2109" t="s">
        <v>669</v>
      </c>
      <c r="U46" s="2626"/>
      <c r="V46" s="2109" t="s">
        <v>669</v>
      </c>
      <c r="W46" s="2626"/>
      <c r="X46" s="2109" t="s">
        <v>669</v>
      </c>
      <c r="Y46" s="2626"/>
      <c r="Z46" s="2109"/>
      <c r="AA46" s="2696"/>
      <c r="AF46" s="2694" t="s">
        <v>3023</v>
      </c>
      <c r="AG46" s="2695"/>
      <c r="AH46" s="2695">
        <v>1</v>
      </c>
      <c r="AI46" s="2285" t="s">
        <v>666</v>
      </c>
      <c r="AJ46"/>
    </row>
    <row r="47" spans="1:36" s="77" customFormat="1" x14ac:dyDescent="0.35">
      <c r="A47" s="2673"/>
      <c r="B47" s="2694" t="s">
        <v>3024</v>
      </c>
      <c r="C47" s="2695"/>
      <c r="D47" s="2695"/>
      <c r="E47" s="2285"/>
      <c r="F47" s="2285"/>
      <c r="G47" s="2233"/>
      <c r="H47" s="2109" t="s">
        <v>669</v>
      </c>
      <c r="I47" s="2626"/>
      <c r="J47" s="2109" t="s">
        <v>669</v>
      </c>
      <c r="K47" s="2626"/>
      <c r="L47" s="2109" t="s">
        <v>669</v>
      </c>
      <c r="M47" s="2626"/>
      <c r="N47" s="2109" t="s">
        <v>669</v>
      </c>
      <c r="O47" s="2625"/>
      <c r="P47" s="2109" t="s">
        <v>669</v>
      </c>
      <c r="Q47" s="2625"/>
      <c r="R47" s="2109" t="s">
        <v>669</v>
      </c>
      <c r="S47" s="2626"/>
      <c r="T47" s="2109" t="s">
        <v>669</v>
      </c>
      <c r="U47" s="2626"/>
      <c r="V47" s="2109" t="s">
        <v>669</v>
      </c>
      <c r="W47" s="2626"/>
      <c r="X47" s="2109" t="s">
        <v>669</v>
      </c>
      <c r="Y47" s="2626"/>
      <c r="Z47" s="2109"/>
      <c r="AA47" s="2625"/>
      <c r="AF47" s="2694"/>
      <c r="AG47" s="2695"/>
      <c r="AH47" s="2695"/>
      <c r="AI47" s="2285"/>
      <c r="AJ47"/>
    </row>
    <row r="48" spans="1:36" s="77" customFormat="1" x14ac:dyDescent="0.35">
      <c r="A48" s="2673"/>
      <c r="B48" s="2694" t="s">
        <v>3025</v>
      </c>
      <c r="C48" s="2695"/>
      <c r="D48" s="2695"/>
      <c r="E48" s="2285"/>
      <c r="F48" s="2285"/>
      <c r="G48" s="2233"/>
      <c r="H48" s="2109" t="s">
        <v>669</v>
      </c>
      <c r="I48" s="2626"/>
      <c r="J48" s="2109" t="s">
        <v>669</v>
      </c>
      <c r="K48" s="2626"/>
      <c r="L48" s="2109" t="s">
        <v>669</v>
      </c>
      <c r="M48" s="2626"/>
      <c r="N48" s="2109" t="s">
        <v>669</v>
      </c>
      <c r="O48" s="2625"/>
      <c r="P48" s="2109" t="s">
        <v>669</v>
      </c>
      <c r="Q48" s="2625"/>
      <c r="R48" s="2109" t="s">
        <v>669</v>
      </c>
      <c r="S48" s="2626"/>
      <c r="T48" s="2109" t="s">
        <v>669</v>
      </c>
      <c r="U48" s="2626"/>
      <c r="V48" s="2109" t="s">
        <v>669</v>
      </c>
      <c r="W48" s="2626"/>
      <c r="X48" s="2109" t="s">
        <v>669</v>
      </c>
      <c r="Y48" s="2626"/>
      <c r="Z48" s="2109"/>
      <c r="AA48" s="2625"/>
      <c r="AF48" s="2693" t="s">
        <v>796</v>
      </c>
      <c r="AG48" s="2695"/>
      <c r="AH48" s="2695"/>
      <c r="AI48" s="2285"/>
      <c r="AJ48"/>
    </row>
    <row r="49" spans="1:36" s="77" customFormat="1" ht="25" x14ac:dyDescent="0.35">
      <c r="A49" s="2673"/>
      <c r="B49" s="2694" t="s">
        <v>3026</v>
      </c>
      <c r="C49" s="2695"/>
      <c r="D49" s="2695"/>
      <c r="E49" s="2285"/>
      <c r="F49" s="2285"/>
      <c r="G49" s="2233"/>
      <c r="H49" s="2109" t="s">
        <v>669</v>
      </c>
      <c r="I49" s="2626"/>
      <c r="J49" s="2109" t="s">
        <v>669</v>
      </c>
      <c r="K49" s="2626"/>
      <c r="L49" s="2109" t="s">
        <v>669</v>
      </c>
      <c r="M49" s="2626"/>
      <c r="N49" s="2109" t="s">
        <v>669</v>
      </c>
      <c r="O49" s="2625"/>
      <c r="P49" s="2109" t="s">
        <v>669</v>
      </c>
      <c r="Q49" s="2625"/>
      <c r="R49" s="2109" t="s">
        <v>669</v>
      </c>
      <c r="S49" s="2626"/>
      <c r="T49" s="2109" t="s">
        <v>669</v>
      </c>
      <c r="U49" s="2626"/>
      <c r="V49" s="2109" t="s">
        <v>669</v>
      </c>
      <c r="W49" s="2626"/>
      <c r="X49" s="2109" t="s">
        <v>669</v>
      </c>
      <c r="Y49" s="2626"/>
      <c r="Z49" s="2109"/>
      <c r="AA49" s="2625"/>
      <c r="AF49" s="2694" t="s">
        <v>3027</v>
      </c>
      <c r="AG49" s="2695"/>
      <c r="AH49" s="2695">
        <v>8</v>
      </c>
      <c r="AI49" s="2285" t="s">
        <v>666</v>
      </c>
      <c r="AJ49"/>
    </row>
    <row r="50" spans="1:36" s="77" customFormat="1" x14ac:dyDescent="0.35">
      <c r="A50" s="2673"/>
      <c r="B50" s="2694" t="s">
        <v>3028</v>
      </c>
      <c r="C50" s="2695"/>
      <c r="D50" s="2695"/>
      <c r="E50" s="2285"/>
      <c r="F50" s="2285"/>
      <c r="G50" s="2233"/>
      <c r="H50" s="2109" t="s">
        <v>669</v>
      </c>
      <c r="I50" s="2626"/>
      <c r="J50" s="2109" t="s">
        <v>669</v>
      </c>
      <c r="K50" s="2626"/>
      <c r="L50" s="2109" t="s">
        <v>669</v>
      </c>
      <c r="M50" s="2626"/>
      <c r="N50" s="2109" t="s">
        <v>669</v>
      </c>
      <c r="O50" s="2625"/>
      <c r="P50" s="2109" t="s">
        <v>669</v>
      </c>
      <c r="Q50" s="2625"/>
      <c r="R50" s="2109" t="s">
        <v>669</v>
      </c>
      <c r="S50" s="2626"/>
      <c r="T50" s="2109" t="s">
        <v>669</v>
      </c>
      <c r="U50" s="2626"/>
      <c r="V50" s="2109" t="s">
        <v>669</v>
      </c>
      <c r="W50" s="2626"/>
      <c r="X50" s="2109" t="s">
        <v>669</v>
      </c>
      <c r="Y50" s="2626"/>
      <c r="Z50" s="2109"/>
      <c r="AA50" s="2625"/>
      <c r="AF50" s="2694" t="s">
        <v>3029</v>
      </c>
      <c r="AG50" s="2695"/>
      <c r="AH50" s="2695">
        <v>2</v>
      </c>
      <c r="AI50" s="2285" t="s">
        <v>666</v>
      </c>
      <c r="AJ50"/>
    </row>
    <row r="51" spans="1:36" s="77" customFormat="1" x14ac:dyDescent="0.35">
      <c r="A51" s="2673"/>
      <c r="B51" s="2694" t="s">
        <v>3030</v>
      </c>
      <c r="C51" s="2695"/>
      <c r="D51" s="2695"/>
      <c r="E51" s="2285"/>
      <c r="F51" s="2285"/>
      <c r="G51" s="2233"/>
      <c r="H51" s="2109" t="s">
        <v>671</v>
      </c>
      <c r="I51" s="2626"/>
      <c r="J51" s="2109" t="s">
        <v>669</v>
      </c>
      <c r="K51" s="2626"/>
      <c r="L51" s="2109" t="s">
        <v>669</v>
      </c>
      <c r="M51" s="2626"/>
      <c r="N51" s="2109" t="s">
        <v>671</v>
      </c>
      <c r="O51" s="2625"/>
      <c r="P51" s="2109" t="s">
        <v>671</v>
      </c>
      <c r="Q51" s="2625"/>
      <c r="R51" s="2109" t="s">
        <v>671</v>
      </c>
      <c r="S51" s="2626"/>
      <c r="T51" s="2109" t="s">
        <v>669</v>
      </c>
      <c r="U51" s="2626"/>
      <c r="V51" s="2109" t="s">
        <v>671</v>
      </c>
      <c r="W51" s="2626"/>
      <c r="X51" s="2109" t="s">
        <v>671</v>
      </c>
      <c r="Y51" s="2626"/>
      <c r="Z51" s="2109"/>
      <c r="AA51" s="2625"/>
      <c r="AF51" s="2694" t="s">
        <v>3031</v>
      </c>
      <c r="AG51" s="2695"/>
      <c r="AH51" s="2695">
        <v>2</v>
      </c>
      <c r="AI51" s="2285" t="s">
        <v>666</v>
      </c>
      <c r="AJ51"/>
    </row>
    <row r="52" spans="1:36" s="77" customFormat="1" ht="26.5" x14ac:dyDescent="0.35">
      <c r="A52" s="2697"/>
      <c r="B52" s="2694"/>
      <c r="C52" s="2698"/>
      <c r="D52" s="2695"/>
      <c r="E52" s="2695"/>
      <c r="F52" s="2285"/>
      <c r="G52" s="2233"/>
      <c r="H52" s="2109"/>
      <c r="I52" s="2626"/>
      <c r="J52" s="2109"/>
      <c r="K52" s="2626"/>
      <c r="L52" s="2109"/>
      <c r="M52" s="2626"/>
      <c r="N52" s="2109"/>
      <c r="O52" s="2625"/>
      <c r="P52" s="2109"/>
      <c r="Q52" s="2625"/>
      <c r="R52" s="2109"/>
      <c r="S52" s="2626"/>
      <c r="T52" s="2109"/>
      <c r="U52" s="2626"/>
      <c r="V52" s="2109"/>
      <c r="W52" s="2626"/>
      <c r="X52" s="2109"/>
      <c r="Y52" s="2626"/>
      <c r="Z52" s="2109"/>
      <c r="AA52" s="2625"/>
      <c r="AF52" s="2694" t="s">
        <v>3032</v>
      </c>
      <c r="AG52" s="2699" t="s">
        <v>3033</v>
      </c>
      <c r="AH52" s="2695"/>
      <c r="AI52" s="2285"/>
      <c r="AJ52"/>
    </row>
    <row r="53" spans="1:36" s="77" customFormat="1" x14ac:dyDescent="0.35">
      <c r="A53" s="2692"/>
      <c r="B53" s="2693" t="s">
        <v>80</v>
      </c>
      <c r="C53" s="2236"/>
      <c r="D53" s="2212"/>
      <c r="E53" s="2341"/>
      <c r="F53" s="2342"/>
      <c r="G53" s="2211"/>
      <c r="H53" s="2109" t="s">
        <v>669</v>
      </c>
      <c r="I53" s="2686"/>
      <c r="J53" s="2109" t="s">
        <v>669</v>
      </c>
      <c r="K53" s="2686">
        <f>18915+9000+15600</f>
        <v>43515</v>
      </c>
      <c r="L53" s="2109" t="s">
        <v>669</v>
      </c>
      <c r="M53" s="2686"/>
      <c r="N53" s="2109" t="s">
        <v>669</v>
      </c>
      <c r="O53" s="2686">
        <f>10100+11900+21200+10500+10000+11900</f>
        <v>75600</v>
      </c>
      <c r="P53" s="2109" t="s">
        <v>669</v>
      </c>
      <c r="Q53" s="2686"/>
      <c r="R53" s="2109" t="s">
        <v>669</v>
      </c>
      <c r="S53" s="2686"/>
      <c r="T53" s="2109" t="s">
        <v>669</v>
      </c>
      <c r="U53" s="2686">
        <f>200028-'05F Brackets &amp; Rafter Tails'!W76</f>
        <v>151030</v>
      </c>
      <c r="V53" s="2109" t="s">
        <v>669</v>
      </c>
      <c r="W53" s="2686"/>
      <c r="X53" s="2109" t="s">
        <v>669</v>
      </c>
      <c r="Y53" s="2686">
        <f>118990</f>
        <v>118990</v>
      </c>
      <c r="Z53" s="2109"/>
      <c r="AA53" s="2686"/>
      <c r="AF53" s="2694"/>
      <c r="AG53" s="2695"/>
      <c r="AH53" s="2695"/>
      <c r="AI53" s="2285"/>
      <c r="AJ53"/>
    </row>
    <row r="54" spans="1:36" s="77" customFormat="1" x14ac:dyDescent="0.35">
      <c r="A54" s="2673"/>
      <c r="B54" s="2694" t="s">
        <v>3009</v>
      </c>
      <c r="C54" s="2695"/>
      <c r="D54" s="2695">
        <v>22</v>
      </c>
      <c r="E54" s="2285" t="s">
        <v>666</v>
      </c>
      <c r="F54" s="2285"/>
      <c r="G54" s="2233"/>
      <c r="H54" s="2109" t="s">
        <v>669</v>
      </c>
      <c r="I54" s="2626"/>
      <c r="J54" s="2109" t="s">
        <v>669</v>
      </c>
      <c r="K54" s="2626"/>
      <c r="L54" s="2109" t="s">
        <v>669</v>
      </c>
      <c r="M54" s="2626"/>
      <c r="N54" s="2109" t="s">
        <v>669</v>
      </c>
      <c r="O54" s="2625"/>
      <c r="P54" s="2109" t="s">
        <v>669</v>
      </c>
      <c r="Q54" s="2625"/>
      <c r="R54" s="2109" t="s">
        <v>669</v>
      </c>
      <c r="S54" s="2626"/>
      <c r="T54" s="2109" t="s">
        <v>669</v>
      </c>
      <c r="U54" s="2626"/>
      <c r="V54" s="2109" t="s">
        <v>669</v>
      </c>
      <c r="W54" s="2626"/>
      <c r="X54" s="2109" t="s">
        <v>669</v>
      </c>
      <c r="Y54" s="2626"/>
      <c r="Z54" s="2109"/>
      <c r="AA54" s="2625"/>
      <c r="AF54" s="2693" t="s">
        <v>1155</v>
      </c>
      <c r="AG54" s="2695"/>
      <c r="AH54" s="2695"/>
      <c r="AI54" s="2285"/>
      <c r="AJ54"/>
    </row>
    <row r="55" spans="1:36" s="77" customFormat="1" ht="25" x14ac:dyDescent="0.35">
      <c r="A55" s="2673"/>
      <c r="B55" s="2694" t="s">
        <v>3011</v>
      </c>
      <c r="C55" s="2695"/>
      <c r="D55" s="2695">
        <v>6</v>
      </c>
      <c r="E55" s="2285" t="s">
        <v>666</v>
      </c>
      <c r="F55" s="2285"/>
      <c r="G55" s="2233"/>
      <c r="H55" s="2109" t="s">
        <v>669</v>
      </c>
      <c r="I55" s="2626"/>
      <c r="J55" s="2109" t="s">
        <v>669</v>
      </c>
      <c r="K55" s="2626"/>
      <c r="L55" s="2109" t="s">
        <v>669</v>
      </c>
      <c r="M55" s="2626"/>
      <c r="N55" s="2109" t="s">
        <v>669</v>
      </c>
      <c r="O55" s="2625"/>
      <c r="P55" s="2109" t="s">
        <v>669</v>
      </c>
      <c r="Q55" s="2625"/>
      <c r="R55" s="2109" t="s">
        <v>669</v>
      </c>
      <c r="S55" s="2626"/>
      <c r="T55" s="2109" t="s">
        <v>669</v>
      </c>
      <c r="U55" s="2626"/>
      <c r="V55" s="2109" t="s">
        <v>669</v>
      </c>
      <c r="W55" s="2626"/>
      <c r="X55" s="2109" t="s">
        <v>669</v>
      </c>
      <c r="Y55" s="2626"/>
      <c r="Z55" s="2109"/>
      <c r="AA55" s="2625"/>
      <c r="AF55" s="2694" t="s">
        <v>3034</v>
      </c>
      <c r="AG55" s="2695"/>
      <c r="AH55" s="2695">
        <v>4</v>
      </c>
      <c r="AI55" s="2285" t="s">
        <v>666</v>
      </c>
      <c r="AJ55"/>
    </row>
    <row r="56" spans="1:36" s="77" customFormat="1" x14ac:dyDescent="0.35">
      <c r="A56" s="2673"/>
      <c r="B56" s="2694" t="s">
        <v>3013</v>
      </c>
      <c r="C56" s="2695"/>
      <c r="D56" s="2695">
        <v>2</v>
      </c>
      <c r="E56" s="2285" t="s">
        <v>666</v>
      </c>
      <c r="F56" s="2285"/>
      <c r="G56" s="2233"/>
      <c r="H56" s="2109" t="s">
        <v>669</v>
      </c>
      <c r="I56" s="2626"/>
      <c r="J56" s="2109" t="s">
        <v>669</v>
      </c>
      <c r="K56" s="2686"/>
      <c r="L56" s="2109" t="s">
        <v>669</v>
      </c>
      <c r="M56" s="2686"/>
      <c r="N56" s="2109" t="s">
        <v>669</v>
      </c>
      <c r="O56" s="2625"/>
      <c r="P56" s="2109" t="s">
        <v>669</v>
      </c>
      <c r="Q56" s="2625"/>
      <c r="R56" s="2109" t="s">
        <v>669</v>
      </c>
      <c r="S56" s="2626"/>
      <c r="T56" s="2109" t="s">
        <v>669</v>
      </c>
      <c r="U56" s="2626"/>
      <c r="V56" s="2109" t="s">
        <v>669</v>
      </c>
      <c r="W56" s="2626"/>
      <c r="X56" s="2109" t="s">
        <v>669</v>
      </c>
      <c r="Y56" s="2626"/>
      <c r="Z56" s="2109"/>
      <c r="AA56" s="2625"/>
      <c r="AF56" s="2693"/>
      <c r="AG56" s="2695"/>
      <c r="AH56" s="2695"/>
      <c r="AI56" s="2285"/>
      <c r="AJ56"/>
    </row>
    <row r="57" spans="1:36" s="77" customFormat="1" x14ac:dyDescent="0.35">
      <c r="A57" s="2673"/>
      <c r="B57" s="2694" t="s">
        <v>3015</v>
      </c>
      <c r="C57" s="2695"/>
      <c r="D57" s="2695">
        <v>2</v>
      </c>
      <c r="E57" s="2285" t="s">
        <v>666</v>
      </c>
      <c r="F57" s="2285"/>
      <c r="G57" s="2233"/>
      <c r="H57" s="2109" t="s">
        <v>669</v>
      </c>
      <c r="I57" s="2626"/>
      <c r="J57" s="2109" t="s">
        <v>669</v>
      </c>
      <c r="K57" s="2626"/>
      <c r="L57" s="2109" t="s">
        <v>669</v>
      </c>
      <c r="M57" s="2626"/>
      <c r="N57" s="2109" t="s">
        <v>669</v>
      </c>
      <c r="O57" s="2625"/>
      <c r="P57" s="2109" t="s">
        <v>669</v>
      </c>
      <c r="Q57" s="2625"/>
      <c r="R57" s="2109" t="s">
        <v>669</v>
      </c>
      <c r="S57" s="2626"/>
      <c r="T57" s="2109" t="s">
        <v>669</v>
      </c>
      <c r="U57" s="2626"/>
      <c r="V57" s="2109" t="s">
        <v>669</v>
      </c>
      <c r="W57" s="2626"/>
      <c r="X57" s="2109" t="s">
        <v>669</v>
      </c>
      <c r="Y57" s="2626"/>
      <c r="Z57" s="2109"/>
      <c r="AA57" s="2625"/>
      <c r="AF57" s="2693" t="s">
        <v>1157</v>
      </c>
      <c r="AG57" s="2695"/>
      <c r="AH57" s="2695"/>
      <c r="AI57" s="2285"/>
      <c r="AJ57"/>
    </row>
    <row r="58" spans="1:36" s="77" customFormat="1" ht="25" x14ac:dyDescent="0.35">
      <c r="A58" s="2673"/>
      <c r="B58" s="2694" t="s">
        <v>3017</v>
      </c>
      <c r="C58" s="2695"/>
      <c r="D58" s="2695">
        <v>2</v>
      </c>
      <c r="E58" s="2285" t="s">
        <v>666</v>
      </c>
      <c r="F58" s="2285"/>
      <c r="G58" s="2233"/>
      <c r="H58" s="2109" t="s">
        <v>669</v>
      </c>
      <c r="I58" s="2626"/>
      <c r="J58" s="2109" t="s">
        <v>669</v>
      </c>
      <c r="K58" s="2626"/>
      <c r="L58" s="2109" t="s">
        <v>669</v>
      </c>
      <c r="M58" s="2626"/>
      <c r="N58" s="2109" t="s">
        <v>669</v>
      </c>
      <c r="O58" s="2625"/>
      <c r="P58" s="2109" t="s">
        <v>669</v>
      </c>
      <c r="Q58" s="2625"/>
      <c r="R58" s="2109" t="s">
        <v>669</v>
      </c>
      <c r="S58" s="2626"/>
      <c r="T58" s="2109" t="s">
        <v>669</v>
      </c>
      <c r="U58" s="2626"/>
      <c r="V58" s="2109" t="s">
        <v>669</v>
      </c>
      <c r="W58" s="2626"/>
      <c r="X58" s="2109" t="s">
        <v>669</v>
      </c>
      <c r="Y58" s="2626"/>
      <c r="Z58" s="2109"/>
      <c r="AA58" s="2625"/>
      <c r="AF58" s="2694" t="s">
        <v>3035</v>
      </c>
      <c r="AG58" s="2695"/>
      <c r="AH58" s="2695">
        <v>8</v>
      </c>
      <c r="AI58" s="2285" t="s">
        <v>666</v>
      </c>
      <c r="AJ58"/>
    </row>
    <row r="59" spans="1:36" s="77" customFormat="1" x14ac:dyDescent="0.35">
      <c r="A59" s="2673"/>
      <c r="B59" s="2694" t="s">
        <v>3019</v>
      </c>
      <c r="C59" s="2695"/>
      <c r="D59" s="2695">
        <v>4</v>
      </c>
      <c r="E59" s="2285" t="s">
        <v>666</v>
      </c>
      <c r="F59" s="2285"/>
      <c r="G59" s="2233"/>
      <c r="H59" s="2109" t="s">
        <v>669</v>
      </c>
      <c r="I59" s="2626"/>
      <c r="J59" s="2109" t="s">
        <v>669</v>
      </c>
      <c r="K59" s="2626"/>
      <c r="L59" s="2109" t="s">
        <v>669</v>
      </c>
      <c r="M59" s="2626"/>
      <c r="N59" s="2109" t="s">
        <v>669</v>
      </c>
      <c r="O59" s="2625"/>
      <c r="P59" s="2109" t="s">
        <v>669</v>
      </c>
      <c r="Q59" s="2625"/>
      <c r="R59" s="2109" t="s">
        <v>669</v>
      </c>
      <c r="S59" s="2626"/>
      <c r="T59" s="2109" t="s">
        <v>669</v>
      </c>
      <c r="U59" s="2626"/>
      <c r="V59" s="2109" t="s">
        <v>669</v>
      </c>
      <c r="W59" s="2626"/>
      <c r="X59" s="2109" t="s">
        <v>669</v>
      </c>
      <c r="Y59" s="2626"/>
      <c r="Z59" s="2109"/>
      <c r="AA59" s="2625"/>
      <c r="AF59" s="2693"/>
      <c r="AG59" s="2695"/>
      <c r="AH59" s="2695"/>
      <c r="AI59" s="2285"/>
      <c r="AJ59"/>
    </row>
    <row r="60" spans="1:36" s="77" customFormat="1" x14ac:dyDescent="0.35">
      <c r="A60" s="2673"/>
      <c r="B60" s="2694" t="s">
        <v>3021</v>
      </c>
      <c r="C60" s="2695"/>
      <c r="D60" s="2695">
        <v>3</v>
      </c>
      <c r="E60" s="2285" t="s">
        <v>666</v>
      </c>
      <c r="F60" s="2285"/>
      <c r="G60" s="2233"/>
      <c r="H60" s="2109" t="s">
        <v>669</v>
      </c>
      <c r="I60" s="2626"/>
      <c r="J60" s="2109" t="s">
        <v>669</v>
      </c>
      <c r="K60" s="2626"/>
      <c r="L60" s="2109" t="s">
        <v>669</v>
      </c>
      <c r="M60" s="2626"/>
      <c r="N60" s="2109" t="s">
        <v>669</v>
      </c>
      <c r="O60" s="2625"/>
      <c r="P60" s="2109" t="s">
        <v>669</v>
      </c>
      <c r="Q60" s="2625"/>
      <c r="R60" s="2109" t="s">
        <v>669</v>
      </c>
      <c r="S60" s="2626"/>
      <c r="T60" s="2109" t="s">
        <v>669</v>
      </c>
      <c r="U60" s="2626"/>
      <c r="V60" s="2109" t="s">
        <v>669</v>
      </c>
      <c r="W60" s="2626"/>
      <c r="X60" s="2109" t="s">
        <v>669</v>
      </c>
      <c r="Y60" s="2626"/>
      <c r="Z60" s="2109"/>
      <c r="AA60" s="2625"/>
      <c r="AF60" s="2693" t="s">
        <v>1158</v>
      </c>
      <c r="AG60" s="2695"/>
      <c r="AH60" s="2695"/>
      <c r="AI60" s="2285"/>
      <c r="AJ60"/>
    </row>
    <row r="61" spans="1:36" s="77" customFormat="1" ht="25" x14ac:dyDescent="0.35">
      <c r="A61" s="2673"/>
      <c r="B61" s="2694" t="s">
        <v>3023</v>
      </c>
      <c r="C61" s="2695"/>
      <c r="D61" s="2695">
        <v>1</v>
      </c>
      <c r="E61" s="2285" t="s">
        <v>666</v>
      </c>
      <c r="F61" s="2285"/>
      <c r="G61" s="2233"/>
      <c r="H61" s="2109" t="s">
        <v>669</v>
      </c>
      <c r="I61" s="2626"/>
      <c r="J61" s="2109" t="s">
        <v>669</v>
      </c>
      <c r="K61" s="2626"/>
      <c r="L61" s="2109" t="s">
        <v>669</v>
      </c>
      <c r="M61" s="2626"/>
      <c r="N61" s="2109" t="s">
        <v>669</v>
      </c>
      <c r="O61" s="2625"/>
      <c r="P61" s="2109" t="s">
        <v>669</v>
      </c>
      <c r="Q61" s="2625"/>
      <c r="R61" s="2109" t="s">
        <v>669</v>
      </c>
      <c r="S61" s="2626"/>
      <c r="T61" s="2109" t="s">
        <v>669</v>
      </c>
      <c r="U61" s="2626"/>
      <c r="V61" s="2109" t="s">
        <v>669</v>
      </c>
      <c r="W61" s="2626"/>
      <c r="X61" s="2109" t="s">
        <v>669</v>
      </c>
      <c r="Y61" s="2626"/>
      <c r="Z61" s="2109"/>
      <c r="AA61" s="2625"/>
      <c r="AF61" s="2694" t="s">
        <v>3035</v>
      </c>
      <c r="AG61" s="2695"/>
      <c r="AH61" s="2695">
        <v>8</v>
      </c>
      <c r="AI61" s="2285" t="s">
        <v>666</v>
      </c>
      <c r="AJ61"/>
    </row>
    <row r="62" spans="1:36" s="77" customFormat="1" ht="16.5" customHeight="1" x14ac:dyDescent="0.35">
      <c r="A62" s="2673"/>
      <c r="B62" s="2694"/>
      <c r="C62" s="2695"/>
      <c r="D62" s="2695"/>
      <c r="E62" s="2285"/>
      <c r="F62" s="2285"/>
      <c r="G62" s="2233"/>
      <c r="H62" s="2109"/>
      <c r="I62" s="2626"/>
      <c r="J62" s="2109"/>
      <c r="K62" s="2626"/>
      <c r="L62" s="2109"/>
      <c r="M62" s="2626"/>
      <c r="N62" s="2109"/>
      <c r="O62" s="2625"/>
      <c r="P62" s="2109"/>
      <c r="Q62" s="2625"/>
      <c r="R62" s="2109"/>
      <c r="S62" s="2626"/>
      <c r="T62" s="2109"/>
      <c r="U62" s="2626"/>
      <c r="V62" s="2109"/>
      <c r="W62" s="2626"/>
      <c r="X62" s="2109"/>
      <c r="Y62" s="2626"/>
      <c r="Z62" s="2109"/>
      <c r="AA62" s="2625"/>
      <c r="AF62" s="2694"/>
      <c r="AG62" s="2695"/>
      <c r="AH62" s="2695"/>
      <c r="AI62" s="2285"/>
      <c r="AJ62"/>
    </row>
    <row r="63" spans="1:36" s="77" customFormat="1" ht="16.5" customHeight="1" x14ac:dyDescent="0.35">
      <c r="A63" s="2673"/>
      <c r="B63" s="2693" t="s">
        <v>796</v>
      </c>
      <c r="C63" s="2695"/>
      <c r="D63" s="2695"/>
      <c r="E63" s="2285"/>
      <c r="F63" s="2285"/>
      <c r="G63" s="2233"/>
      <c r="H63" s="2109" t="s">
        <v>669</v>
      </c>
      <c r="I63" s="2700"/>
      <c r="J63" s="2109" t="s">
        <v>669</v>
      </c>
      <c r="K63" s="2686">
        <f>20800+1200</f>
        <v>22000</v>
      </c>
      <c r="L63" s="2109" t="s">
        <v>669</v>
      </c>
      <c r="M63" s="2686"/>
      <c r="N63" s="2109" t="s">
        <v>669</v>
      </c>
      <c r="O63" s="2625"/>
      <c r="P63" s="2109" t="s">
        <v>669</v>
      </c>
      <c r="Q63" s="2625"/>
      <c r="R63" s="2109" t="s">
        <v>669</v>
      </c>
      <c r="S63" s="2686"/>
      <c r="T63" s="2109" t="s">
        <v>669</v>
      </c>
      <c r="U63" s="2700">
        <f>45269-'05F Brackets &amp; Rafter Tails'!W79</f>
        <v>27445</v>
      </c>
      <c r="V63" s="2109" t="s">
        <v>669</v>
      </c>
      <c r="W63" s="2686"/>
      <c r="X63" s="2109" t="s">
        <v>669</v>
      </c>
      <c r="Y63" s="2686">
        <f>61380</f>
        <v>61380</v>
      </c>
      <c r="Z63" s="2109"/>
      <c r="AA63" s="2625"/>
      <c r="AF63" s="2693" t="s">
        <v>795</v>
      </c>
      <c r="AG63" s="2695"/>
      <c r="AH63" s="2695"/>
      <c r="AI63" s="2285"/>
      <c r="AJ63" s="2"/>
    </row>
    <row r="64" spans="1:36" ht="25" x14ac:dyDescent="0.35">
      <c r="A64" s="2673"/>
      <c r="B64" s="2694" t="s">
        <v>3027</v>
      </c>
      <c r="C64" s="2695"/>
      <c r="D64" s="2695">
        <v>8</v>
      </c>
      <c r="E64" s="2285" t="s">
        <v>666</v>
      </c>
      <c r="F64" s="2285"/>
      <c r="G64" s="2233"/>
      <c r="H64" s="2109" t="s">
        <v>669</v>
      </c>
      <c r="I64" s="2626"/>
      <c r="J64" s="2109" t="s">
        <v>669</v>
      </c>
      <c r="K64" s="2626"/>
      <c r="L64" s="2109" t="s">
        <v>669</v>
      </c>
      <c r="M64" s="2626"/>
      <c r="N64" s="2109" t="s">
        <v>669</v>
      </c>
      <c r="O64" s="2625"/>
      <c r="P64" s="2109" t="s">
        <v>669</v>
      </c>
      <c r="Q64" s="2625"/>
      <c r="R64" s="2109" t="s">
        <v>669</v>
      </c>
      <c r="S64" s="2626"/>
      <c r="T64" s="2109" t="s">
        <v>669</v>
      </c>
      <c r="U64" s="2626"/>
      <c r="V64" s="2109" t="s">
        <v>669</v>
      </c>
      <c r="W64" s="2626"/>
      <c r="X64" s="2109" t="s">
        <v>669</v>
      </c>
      <c r="Y64" s="2626"/>
      <c r="Z64" s="2109"/>
      <c r="AA64" s="2625"/>
      <c r="AF64" s="2694" t="s">
        <v>3036</v>
      </c>
      <c r="AG64" s="2695"/>
      <c r="AH64" s="2695">
        <v>6</v>
      </c>
      <c r="AI64" s="2285" t="s">
        <v>666</v>
      </c>
      <c r="AJ64" s="2"/>
    </row>
    <row r="65" spans="1:35" ht="25" x14ac:dyDescent="0.35">
      <c r="A65" s="2673"/>
      <c r="B65" s="2694" t="s">
        <v>3029</v>
      </c>
      <c r="C65" s="2695"/>
      <c r="D65" s="2695">
        <v>2</v>
      </c>
      <c r="E65" s="2285" t="s">
        <v>666</v>
      </c>
      <c r="F65" s="2285"/>
      <c r="G65" s="2233"/>
      <c r="H65" s="2109" t="s">
        <v>669</v>
      </c>
      <c r="I65" s="2626"/>
      <c r="J65" s="2109" t="s">
        <v>669</v>
      </c>
      <c r="K65" s="2626"/>
      <c r="L65" s="2109" t="s">
        <v>669</v>
      </c>
      <c r="M65" s="2626"/>
      <c r="N65" s="2109" t="s">
        <v>669</v>
      </c>
      <c r="O65" s="2625"/>
      <c r="P65" s="2109" t="s">
        <v>669</v>
      </c>
      <c r="Q65" s="2625"/>
      <c r="R65" s="2109" t="s">
        <v>669</v>
      </c>
      <c r="S65" s="2626"/>
      <c r="T65" s="2109" t="s">
        <v>669</v>
      </c>
      <c r="U65" s="2626"/>
      <c r="V65" s="2109" t="s">
        <v>669</v>
      </c>
      <c r="W65" s="2626"/>
      <c r="X65" s="2109" t="s">
        <v>669</v>
      </c>
      <c r="Y65" s="2626"/>
      <c r="Z65" s="2109"/>
      <c r="AA65" s="2625"/>
      <c r="AF65" s="2694" t="s">
        <v>3037</v>
      </c>
      <c r="AG65" s="2695"/>
      <c r="AH65" s="2695">
        <v>8</v>
      </c>
      <c r="AI65" s="2285" t="s">
        <v>666</v>
      </c>
    </row>
    <row r="66" spans="1:35" x14ac:dyDescent="0.35">
      <c r="A66" s="2673"/>
      <c r="B66" s="2694" t="s">
        <v>3031</v>
      </c>
      <c r="C66" s="2695"/>
      <c r="D66" s="2695">
        <v>2</v>
      </c>
      <c r="E66" s="2285" t="s">
        <v>666</v>
      </c>
      <c r="F66" s="2285"/>
      <c r="G66" s="2233"/>
      <c r="H66" s="2109" t="s">
        <v>669</v>
      </c>
      <c r="I66" s="2700"/>
      <c r="J66" s="2109" t="s">
        <v>669</v>
      </c>
      <c r="K66" s="2626"/>
      <c r="L66" s="2109" t="s">
        <v>669</v>
      </c>
      <c r="M66" s="2626"/>
      <c r="N66" s="2109" t="s">
        <v>669</v>
      </c>
      <c r="O66" s="2625"/>
      <c r="P66" s="2109" t="s">
        <v>669</v>
      </c>
      <c r="Q66" s="2625"/>
      <c r="R66" s="2109" t="s">
        <v>669</v>
      </c>
      <c r="S66" s="2626"/>
      <c r="T66" s="2109" t="s">
        <v>669</v>
      </c>
      <c r="U66" s="2626"/>
      <c r="V66" s="2109" t="s">
        <v>669</v>
      </c>
      <c r="W66" s="2626"/>
      <c r="X66" s="2109" t="s">
        <v>669</v>
      </c>
      <c r="Y66" s="2626"/>
      <c r="Z66" s="2109"/>
      <c r="AA66" s="2625"/>
    </row>
    <row r="67" spans="1:35" s="77" customFormat="1" ht="27.75" customHeight="1" x14ac:dyDescent="0.35">
      <c r="A67" s="2673"/>
      <c r="B67" s="2694" t="s">
        <v>3038</v>
      </c>
      <c r="C67" s="2699" t="s">
        <v>3033</v>
      </c>
      <c r="D67" s="2695"/>
      <c r="E67" s="2285"/>
      <c r="F67" s="2285"/>
      <c r="G67" s="2233"/>
      <c r="H67" s="2109" t="s">
        <v>671</v>
      </c>
      <c r="I67" s="2700"/>
      <c r="J67" s="2109" t="s">
        <v>669</v>
      </c>
      <c r="K67" s="2626"/>
      <c r="L67" s="2109" t="s">
        <v>669</v>
      </c>
      <c r="M67" s="2626"/>
      <c r="N67" s="2109" t="s">
        <v>671</v>
      </c>
      <c r="O67" s="2625"/>
      <c r="P67" s="2109" t="s">
        <v>671</v>
      </c>
      <c r="Q67" s="2625"/>
      <c r="R67" s="2109" t="s">
        <v>671</v>
      </c>
      <c r="S67" s="2626"/>
      <c r="T67" s="2109" t="s">
        <v>669</v>
      </c>
      <c r="U67" s="2626"/>
      <c r="V67" s="2109" t="s">
        <v>671</v>
      </c>
      <c r="W67" s="2626"/>
      <c r="X67" s="2109" t="s">
        <v>671</v>
      </c>
      <c r="Y67" s="2626"/>
      <c r="Z67" s="2109"/>
      <c r="AA67" s="2625"/>
      <c r="AF67" s="534"/>
    </row>
    <row r="68" spans="1:35" s="77" customFormat="1" ht="16.5" customHeight="1" x14ac:dyDescent="0.35">
      <c r="A68" s="2673"/>
      <c r="B68" s="2694"/>
      <c r="C68" s="2695"/>
      <c r="D68" s="2695"/>
      <c r="E68" s="2285"/>
      <c r="F68" s="2285"/>
      <c r="G68" s="2233"/>
      <c r="H68" s="2109"/>
      <c r="I68" s="2700"/>
      <c r="J68" s="2109"/>
      <c r="K68" s="2626"/>
      <c r="L68" s="2109"/>
      <c r="M68" s="2626"/>
      <c r="N68" s="2109"/>
      <c r="O68" s="2625"/>
      <c r="P68" s="2109"/>
      <c r="Q68" s="2625"/>
      <c r="R68" s="2109"/>
      <c r="S68" s="2626"/>
      <c r="T68" s="2109"/>
      <c r="U68" s="2626"/>
      <c r="V68" s="2109"/>
      <c r="W68" s="2626"/>
      <c r="X68" s="2109"/>
      <c r="Y68" s="2626"/>
      <c r="Z68" s="2109"/>
      <c r="AA68" s="2625"/>
      <c r="AF68" s="534"/>
    </row>
    <row r="69" spans="1:35" x14ac:dyDescent="0.35">
      <c r="A69" s="2673"/>
      <c r="B69" s="2693" t="s">
        <v>1155</v>
      </c>
      <c r="C69" s="2695"/>
      <c r="D69" s="2695"/>
      <c r="E69" s="2285"/>
      <c r="F69" s="2285"/>
      <c r="G69" s="2233"/>
      <c r="H69" s="2109" t="s">
        <v>669</v>
      </c>
      <c r="I69" s="2700"/>
      <c r="J69" s="2109" t="s">
        <v>669</v>
      </c>
      <c r="K69" s="2700">
        <v>7020</v>
      </c>
      <c r="L69" s="2109" t="s">
        <v>669</v>
      </c>
      <c r="M69" s="2700"/>
      <c r="N69" s="2109" t="s">
        <v>669</v>
      </c>
      <c r="O69" s="2700">
        <v>2600</v>
      </c>
      <c r="P69" s="2109" t="s">
        <v>669</v>
      </c>
      <c r="Q69" s="2700"/>
      <c r="R69" s="2109" t="s">
        <v>669</v>
      </c>
      <c r="S69" s="2700"/>
      <c r="T69" s="2109" t="s">
        <v>669</v>
      </c>
      <c r="U69" s="2700">
        <f>80938-'05F Brackets &amp; Rafter Tails'!W83</f>
        <v>13120</v>
      </c>
      <c r="V69" s="2109" t="s">
        <v>669</v>
      </c>
      <c r="W69" s="2700"/>
      <c r="X69" s="2109" t="s">
        <v>669</v>
      </c>
      <c r="Y69" s="2700">
        <f>71935</f>
        <v>71935</v>
      </c>
      <c r="Z69" s="2109"/>
      <c r="AA69" s="2625"/>
    </row>
    <row r="70" spans="1:35" x14ac:dyDescent="0.35">
      <c r="A70" s="2673"/>
      <c r="B70" s="2694" t="s">
        <v>3034</v>
      </c>
      <c r="C70" s="2695"/>
      <c r="D70" s="2695">
        <v>4</v>
      </c>
      <c r="E70" s="2285" t="s">
        <v>666</v>
      </c>
      <c r="F70" s="2701">
        <v>700</v>
      </c>
      <c r="G70" s="2233">
        <f t="shared" ref="G70" si="0">F70*D70</f>
        <v>2800</v>
      </c>
      <c r="H70" s="2109" t="s">
        <v>669</v>
      </c>
      <c r="I70" s="2700"/>
      <c r="J70" s="2109" t="s">
        <v>669</v>
      </c>
      <c r="K70" s="2626"/>
      <c r="L70" s="2109" t="s">
        <v>669</v>
      </c>
      <c r="M70" s="2626"/>
      <c r="N70" s="2109" t="s">
        <v>669</v>
      </c>
      <c r="O70" s="2625"/>
      <c r="P70" s="2109" t="s">
        <v>669</v>
      </c>
      <c r="Q70" s="2625"/>
      <c r="R70" s="2109" t="s">
        <v>669</v>
      </c>
      <c r="S70" s="2626"/>
      <c r="T70" s="2109" t="s">
        <v>669</v>
      </c>
      <c r="U70" s="2626"/>
      <c r="V70" s="2109" t="s">
        <v>669</v>
      </c>
      <c r="W70" s="2626"/>
      <c r="X70" s="2109" t="s">
        <v>669</v>
      </c>
      <c r="Y70" s="2626"/>
      <c r="Z70" s="2109"/>
      <c r="AA70" s="2625"/>
    </row>
    <row r="71" spans="1:35" x14ac:dyDescent="0.35">
      <c r="A71" s="2673"/>
      <c r="B71" s="2693"/>
      <c r="C71" s="2695"/>
      <c r="D71" s="2695"/>
      <c r="E71" s="2285"/>
      <c r="F71" s="2701"/>
      <c r="G71" s="2233"/>
      <c r="H71" s="2109"/>
      <c r="I71" s="2700"/>
      <c r="J71" s="2109"/>
      <c r="K71" s="2626"/>
      <c r="L71" s="2109"/>
      <c r="M71" s="2626"/>
      <c r="N71" s="2109"/>
      <c r="O71" s="2625"/>
      <c r="P71" s="2109"/>
      <c r="Q71" s="2625"/>
      <c r="R71" s="2109"/>
      <c r="S71" s="2626"/>
      <c r="T71" s="2109"/>
      <c r="U71" s="2626"/>
      <c r="V71" s="2109"/>
      <c r="W71" s="2626"/>
      <c r="X71" s="2109"/>
      <c r="Y71" s="2626"/>
      <c r="Z71" s="2109"/>
      <c r="AA71" s="2625"/>
    </row>
    <row r="72" spans="1:35" x14ac:dyDescent="0.35">
      <c r="A72" s="2673"/>
      <c r="B72" s="2693" t="s">
        <v>1157</v>
      </c>
      <c r="C72" s="2695"/>
      <c r="D72" s="2695"/>
      <c r="E72" s="2285"/>
      <c r="F72" s="2701"/>
      <c r="G72" s="2233"/>
      <c r="H72" s="2109" t="s">
        <v>669</v>
      </c>
      <c r="I72" s="2700"/>
      <c r="J72" s="2109" t="s">
        <v>669</v>
      </c>
      <c r="K72" s="2626"/>
      <c r="L72" s="2109" t="s">
        <v>669</v>
      </c>
      <c r="M72" s="2626"/>
      <c r="N72" s="2109" t="s">
        <v>669</v>
      </c>
      <c r="O72" s="2700">
        <v>5200</v>
      </c>
      <c r="P72" s="2109" t="s">
        <v>669</v>
      </c>
      <c r="Q72" s="2700"/>
      <c r="R72" s="2109" t="s">
        <v>669</v>
      </c>
      <c r="S72" s="2626"/>
      <c r="T72" s="2109" t="s">
        <v>669</v>
      </c>
      <c r="U72" s="2626"/>
      <c r="V72" s="2109" t="s">
        <v>669</v>
      </c>
      <c r="W72" s="2626"/>
      <c r="X72" s="2109" t="s">
        <v>669</v>
      </c>
      <c r="Y72" s="2626"/>
      <c r="Z72" s="2109"/>
      <c r="AA72" s="2625"/>
    </row>
    <row r="73" spans="1:35" x14ac:dyDescent="0.35">
      <c r="A73" s="2673"/>
      <c r="B73" s="2694" t="s">
        <v>3035</v>
      </c>
      <c r="C73" s="2695"/>
      <c r="D73" s="2695">
        <v>8</v>
      </c>
      <c r="E73" s="2285" t="s">
        <v>666</v>
      </c>
      <c r="F73" s="2701">
        <v>700</v>
      </c>
      <c r="G73" s="2233">
        <f t="shared" ref="G73" si="1">F73*D73</f>
        <v>5600</v>
      </c>
      <c r="H73" s="2109" t="s">
        <v>669</v>
      </c>
      <c r="I73" s="2700"/>
      <c r="J73" s="2109" t="s">
        <v>669</v>
      </c>
      <c r="K73" s="2626"/>
      <c r="L73" s="2109" t="s">
        <v>669</v>
      </c>
      <c r="M73" s="2626"/>
      <c r="N73" s="2109" t="s">
        <v>669</v>
      </c>
      <c r="O73" s="2625"/>
      <c r="P73" s="2109" t="s">
        <v>669</v>
      </c>
      <c r="Q73" s="2625"/>
      <c r="R73" s="2109" t="s">
        <v>669</v>
      </c>
      <c r="S73" s="2626"/>
      <c r="T73" s="2109" t="s">
        <v>669</v>
      </c>
      <c r="U73" s="2626"/>
      <c r="V73" s="2109" t="s">
        <v>669</v>
      </c>
      <c r="W73" s="2626"/>
      <c r="X73" s="2109" t="s">
        <v>669</v>
      </c>
      <c r="Y73" s="2626"/>
      <c r="Z73" s="2109"/>
      <c r="AA73" s="2625"/>
    </row>
    <row r="74" spans="1:35" x14ac:dyDescent="0.35">
      <c r="A74" s="2673"/>
      <c r="B74" s="2693"/>
      <c r="C74" s="2695"/>
      <c r="D74" s="2695"/>
      <c r="E74" s="2285"/>
      <c r="F74" s="2701"/>
      <c r="G74" s="2233"/>
      <c r="H74" s="2109"/>
      <c r="I74" s="2700"/>
      <c r="J74" s="2109"/>
      <c r="K74" s="2626"/>
      <c r="L74" s="2109"/>
      <c r="M74" s="2626"/>
      <c r="N74" s="2109"/>
      <c r="O74" s="2625"/>
      <c r="P74" s="2109"/>
      <c r="Q74" s="2625"/>
      <c r="R74" s="2109"/>
      <c r="S74" s="2626"/>
      <c r="T74" s="2109"/>
      <c r="U74" s="2626"/>
      <c r="V74" s="2109"/>
      <c r="W74" s="2626"/>
      <c r="X74" s="2109"/>
      <c r="Y74" s="2626"/>
      <c r="Z74" s="2109"/>
      <c r="AA74" s="2625"/>
    </row>
    <row r="75" spans="1:35" x14ac:dyDescent="0.35">
      <c r="A75" s="2673"/>
      <c r="B75" s="2693" t="s">
        <v>1158</v>
      </c>
      <c r="C75" s="2695"/>
      <c r="D75" s="2695"/>
      <c r="E75" s="2285"/>
      <c r="F75" s="2701"/>
      <c r="G75" s="2233"/>
      <c r="H75" s="2109" t="s">
        <v>669</v>
      </c>
      <c r="I75" s="2700"/>
      <c r="J75" s="2109" t="s">
        <v>669</v>
      </c>
      <c r="K75" s="2626"/>
      <c r="L75" s="2109" t="s">
        <v>669</v>
      </c>
      <c r="M75" s="2626"/>
      <c r="N75" s="2109" t="s">
        <v>669</v>
      </c>
      <c r="O75" s="2700">
        <v>5200</v>
      </c>
      <c r="P75" s="2109" t="s">
        <v>669</v>
      </c>
      <c r="Q75" s="2700"/>
      <c r="R75" s="2109" t="s">
        <v>669</v>
      </c>
      <c r="S75" s="2626"/>
      <c r="T75" s="2109" t="s">
        <v>669</v>
      </c>
      <c r="U75" s="2626"/>
      <c r="V75" s="2109" t="s">
        <v>669</v>
      </c>
      <c r="W75" s="2626"/>
      <c r="X75" s="2109" t="s">
        <v>669</v>
      </c>
      <c r="Y75" s="2626"/>
      <c r="Z75" s="2109"/>
      <c r="AA75" s="2625"/>
    </row>
    <row r="76" spans="1:35" x14ac:dyDescent="0.35">
      <c r="A76" s="2673"/>
      <c r="B76" s="2694" t="s">
        <v>3035</v>
      </c>
      <c r="C76" s="2695"/>
      <c r="D76" s="2695">
        <v>8</v>
      </c>
      <c r="E76" s="2285" t="s">
        <v>666</v>
      </c>
      <c r="F76" s="2701">
        <v>700</v>
      </c>
      <c r="G76" s="2233">
        <f t="shared" ref="G76" si="2">F76*D76</f>
        <v>5600</v>
      </c>
      <c r="H76" s="2109" t="s">
        <v>669</v>
      </c>
      <c r="I76" s="2700"/>
      <c r="J76" s="2109" t="s">
        <v>669</v>
      </c>
      <c r="K76" s="2626"/>
      <c r="L76" s="2109" t="s">
        <v>669</v>
      </c>
      <c r="M76" s="2626"/>
      <c r="N76" s="2109" t="s">
        <v>669</v>
      </c>
      <c r="O76" s="2625"/>
      <c r="P76" s="2109" t="s">
        <v>669</v>
      </c>
      <c r="Q76" s="2625"/>
      <c r="R76" s="2109" t="s">
        <v>669</v>
      </c>
      <c r="S76" s="2626"/>
      <c r="T76" s="2109" t="s">
        <v>669</v>
      </c>
      <c r="U76" s="2626"/>
      <c r="V76" s="2109" t="s">
        <v>669</v>
      </c>
      <c r="W76" s="2626"/>
      <c r="X76" s="2109" t="s">
        <v>669</v>
      </c>
      <c r="Y76" s="2626"/>
      <c r="Z76" s="2109"/>
      <c r="AA76" s="2625"/>
    </row>
    <row r="77" spans="1:35" x14ac:dyDescent="0.35">
      <c r="A77" s="2673"/>
      <c r="B77" s="2694"/>
      <c r="C77" s="2695"/>
      <c r="D77" s="2695"/>
      <c r="E77" s="2285"/>
      <c r="F77" s="2701"/>
      <c r="G77" s="2233"/>
      <c r="H77" s="2109"/>
      <c r="I77" s="2700"/>
      <c r="J77" s="2109"/>
      <c r="K77" s="2626"/>
      <c r="L77" s="2109"/>
      <c r="M77" s="2626"/>
      <c r="N77" s="2109"/>
      <c r="O77" s="2625"/>
      <c r="P77" s="2109"/>
      <c r="Q77" s="2625"/>
      <c r="R77" s="2109"/>
      <c r="S77" s="2626"/>
      <c r="T77" s="2109"/>
      <c r="U77" s="2626"/>
      <c r="V77" s="2109"/>
      <c r="W77" s="2626"/>
      <c r="X77" s="2109"/>
      <c r="Y77" s="2626"/>
      <c r="Z77" s="2109"/>
      <c r="AA77" s="2625"/>
    </row>
    <row r="78" spans="1:35" x14ac:dyDescent="0.35">
      <c r="A78" s="2673"/>
      <c r="B78" s="2693" t="s">
        <v>795</v>
      </c>
      <c r="C78" s="2695"/>
      <c r="D78" s="2695"/>
      <c r="E78" s="2285"/>
      <c r="F78" s="2285"/>
      <c r="G78" s="2233"/>
      <c r="H78" s="2109" t="s">
        <v>669</v>
      </c>
      <c r="I78" s="2700"/>
      <c r="J78" s="2109" t="s">
        <v>669</v>
      </c>
      <c r="K78" s="2700">
        <f>2340+2100</f>
        <v>4440</v>
      </c>
      <c r="L78" s="2109" t="s">
        <v>669</v>
      </c>
      <c r="M78" s="2700"/>
      <c r="N78" s="2109" t="s">
        <v>669</v>
      </c>
      <c r="O78" s="2700">
        <v>4600</v>
      </c>
      <c r="P78" s="2109" t="s">
        <v>669</v>
      </c>
      <c r="Q78" s="2700"/>
      <c r="R78" s="2109" t="s">
        <v>669</v>
      </c>
      <c r="S78" s="2700"/>
      <c r="T78" s="2109" t="s">
        <v>669</v>
      </c>
      <c r="U78" s="2626"/>
      <c r="V78" s="2109" t="s">
        <v>669</v>
      </c>
      <c r="W78" s="2700"/>
      <c r="X78" s="2109" t="s">
        <v>669</v>
      </c>
      <c r="Y78" s="2700">
        <f>29470</f>
        <v>29470</v>
      </c>
      <c r="Z78" s="2109"/>
      <c r="AA78" s="2625"/>
    </row>
    <row r="79" spans="1:35" x14ac:dyDescent="0.35">
      <c r="A79" s="2673"/>
      <c r="B79" s="2694" t="s">
        <v>3036</v>
      </c>
      <c r="C79" s="2695"/>
      <c r="D79" s="2695">
        <v>6</v>
      </c>
      <c r="E79" s="2285" t="s">
        <v>666</v>
      </c>
      <c r="F79" s="2701">
        <v>700</v>
      </c>
      <c r="G79" s="2233">
        <f t="shared" ref="G79:G80" si="3">F79*D79</f>
        <v>4200</v>
      </c>
      <c r="H79" s="2109" t="s">
        <v>669</v>
      </c>
      <c r="I79" s="2626"/>
      <c r="J79" s="2109" t="s">
        <v>669</v>
      </c>
      <c r="K79" s="2626"/>
      <c r="L79" s="2109" t="s">
        <v>669</v>
      </c>
      <c r="M79" s="2626"/>
      <c r="N79" s="2109" t="s">
        <v>669</v>
      </c>
      <c r="O79" s="2625"/>
      <c r="P79" s="2109" t="s">
        <v>669</v>
      </c>
      <c r="Q79" s="2625"/>
      <c r="R79" s="2109" t="s">
        <v>669</v>
      </c>
      <c r="S79" s="2700"/>
      <c r="T79" s="2109" t="s">
        <v>669</v>
      </c>
      <c r="U79" s="2626"/>
      <c r="V79" s="2109" t="s">
        <v>669</v>
      </c>
      <c r="W79" s="2700"/>
      <c r="X79" s="2109" t="s">
        <v>669</v>
      </c>
      <c r="Y79" s="2700"/>
      <c r="Z79" s="2109"/>
      <c r="AA79" s="2625"/>
    </row>
    <row r="80" spans="1:35" x14ac:dyDescent="0.35">
      <c r="A80" s="2673"/>
      <c r="B80" s="2694" t="s">
        <v>3037</v>
      </c>
      <c r="C80" s="2695"/>
      <c r="D80" s="2695">
        <v>8</v>
      </c>
      <c r="E80" s="2285" t="s">
        <v>666</v>
      </c>
      <c r="F80" s="2701">
        <v>500</v>
      </c>
      <c r="G80" s="2233">
        <f t="shared" si="3"/>
        <v>4000</v>
      </c>
      <c r="H80" s="2109" t="s">
        <v>669</v>
      </c>
      <c r="I80" s="2626"/>
      <c r="J80" s="2109" t="s">
        <v>669</v>
      </c>
      <c r="K80" s="2626"/>
      <c r="L80" s="2109" t="s">
        <v>669</v>
      </c>
      <c r="M80" s="2626"/>
      <c r="N80" s="2109" t="s">
        <v>669</v>
      </c>
      <c r="O80" s="2625"/>
      <c r="P80" s="2109" t="s">
        <v>669</v>
      </c>
      <c r="Q80" s="2625"/>
      <c r="R80" s="2109" t="s">
        <v>669</v>
      </c>
      <c r="S80" s="2626"/>
      <c r="T80" s="2109" t="s">
        <v>669</v>
      </c>
      <c r="U80" s="2626"/>
      <c r="V80" s="2109" t="s">
        <v>669</v>
      </c>
      <c r="W80" s="2626"/>
      <c r="X80" s="2109" t="s">
        <v>669</v>
      </c>
      <c r="Y80" s="2626"/>
      <c r="Z80" s="2109"/>
      <c r="AA80" s="2625"/>
    </row>
    <row r="81" spans="1:27" x14ac:dyDescent="0.35">
      <c r="A81" s="2673"/>
      <c r="B81" s="2694"/>
      <c r="C81" s="2695"/>
      <c r="D81" s="2695"/>
      <c r="E81" s="2285"/>
      <c r="F81" s="2701"/>
      <c r="G81" s="2233"/>
      <c r="H81" s="2109"/>
      <c r="I81" s="2626"/>
      <c r="J81" s="2109"/>
      <c r="K81" s="2626"/>
      <c r="L81" s="2109"/>
      <c r="M81" s="2626"/>
      <c r="N81" s="2109"/>
      <c r="O81" s="2625"/>
      <c r="P81" s="2109"/>
      <c r="Q81" s="2625"/>
      <c r="R81" s="2702"/>
      <c r="S81" s="2626"/>
      <c r="T81" s="2109"/>
      <c r="U81" s="2626"/>
      <c r="V81" s="2702"/>
      <c r="W81" s="2626"/>
      <c r="X81" s="2702"/>
      <c r="Y81" s="2626"/>
      <c r="Z81" s="2109"/>
      <c r="AA81" s="2625"/>
    </row>
    <row r="82" spans="1:27" x14ac:dyDescent="0.35">
      <c r="A82" s="2673"/>
      <c r="B82" s="2693" t="s">
        <v>746</v>
      </c>
      <c r="C82" s="2695"/>
      <c r="D82" s="2695"/>
      <c r="E82" s="2285"/>
      <c r="F82" s="2285"/>
      <c r="G82" s="2233"/>
      <c r="H82" s="2109" t="s">
        <v>671</v>
      </c>
      <c r="I82" s="2626" t="s">
        <v>1475</v>
      </c>
      <c r="J82" s="2109" t="s">
        <v>669</v>
      </c>
      <c r="K82" s="2700">
        <f>75000</f>
        <v>75000</v>
      </c>
      <c r="L82" s="2109" t="s">
        <v>669</v>
      </c>
      <c r="M82" s="2700"/>
      <c r="N82" s="2109" t="s">
        <v>669</v>
      </c>
      <c r="O82" s="2625"/>
      <c r="P82" s="2109" t="s">
        <v>669</v>
      </c>
      <c r="Q82" s="2625"/>
      <c r="R82" s="2109" t="s">
        <v>671</v>
      </c>
      <c r="S82" s="2626"/>
      <c r="T82" s="2109" t="s">
        <v>669</v>
      </c>
      <c r="U82" s="2626"/>
      <c r="V82" s="2109" t="s">
        <v>669</v>
      </c>
      <c r="W82" s="2626"/>
      <c r="X82" s="2109" t="s">
        <v>669</v>
      </c>
      <c r="Y82" s="2626"/>
      <c r="Z82" s="2109"/>
      <c r="AA82" s="2625"/>
    </row>
    <row r="83" spans="1:27" ht="36" x14ac:dyDescent="0.35">
      <c r="A83" s="2673"/>
      <c r="B83" s="2694" t="s">
        <v>3039</v>
      </c>
      <c r="C83" s="2703" t="s">
        <v>3040</v>
      </c>
      <c r="D83" s="2285">
        <v>1</v>
      </c>
      <c r="E83" s="2285" t="s">
        <v>666</v>
      </c>
      <c r="F83" s="2232"/>
      <c r="G83" s="2233"/>
      <c r="H83" s="2109" t="s">
        <v>671</v>
      </c>
      <c r="I83" s="2626" t="s">
        <v>1475</v>
      </c>
      <c r="J83" s="2109" t="s">
        <v>669</v>
      </c>
      <c r="K83" s="2700">
        <v>4000</v>
      </c>
      <c r="L83" s="2109" t="s">
        <v>669</v>
      </c>
      <c r="M83" s="2700"/>
      <c r="N83" s="2109" t="s">
        <v>669</v>
      </c>
      <c r="O83" s="2700">
        <v>9200</v>
      </c>
      <c r="P83" s="2109" t="s">
        <v>669</v>
      </c>
      <c r="Q83" s="2700"/>
      <c r="R83" s="2109" t="s">
        <v>671</v>
      </c>
      <c r="S83" s="2700"/>
      <c r="T83" s="2109" t="s">
        <v>669</v>
      </c>
      <c r="U83" s="2700">
        <v>19500</v>
      </c>
      <c r="V83" s="2109" t="s">
        <v>669</v>
      </c>
      <c r="W83" s="2700"/>
      <c r="X83" s="2109" t="s">
        <v>669</v>
      </c>
      <c r="Y83" s="2700"/>
      <c r="Z83" s="2109"/>
      <c r="AA83" s="2625"/>
    </row>
    <row r="84" spans="1:27" x14ac:dyDescent="0.35">
      <c r="A84" s="2673"/>
      <c r="B84" s="2694" t="s">
        <v>3041</v>
      </c>
      <c r="C84" s="2703"/>
      <c r="D84" s="2285">
        <v>1</v>
      </c>
      <c r="E84" s="2285" t="s">
        <v>755</v>
      </c>
      <c r="F84" s="2232">
        <v>200000</v>
      </c>
      <c r="G84" s="2233">
        <f>F84*D84</f>
        <v>200000</v>
      </c>
      <c r="H84" s="2109" t="s">
        <v>671</v>
      </c>
      <c r="I84" s="2626" t="s">
        <v>1475</v>
      </c>
      <c r="J84" s="2038" t="s">
        <v>654</v>
      </c>
      <c r="K84" s="2704">
        <f>G84</f>
        <v>200000</v>
      </c>
      <c r="L84" s="2109" t="s">
        <v>669</v>
      </c>
      <c r="M84" s="2700"/>
      <c r="N84" s="2109" t="s">
        <v>669</v>
      </c>
      <c r="O84" s="2625" t="s">
        <v>3042</v>
      </c>
      <c r="P84" s="2109" t="s">
        <v>669</v>
      </c>
      <c r="Q84" s="2625"/>
      <c r="R84" s="2109" t="s">
        <v>669</v>
      </c>
      <c r="S84" s="2700"/>
      <c r="T84" s="2109" t="s">
        <v>669</v>
      </c>
      <c r="U84" s="2700"/>
      <c r="V84" s="2109" t="s">
        <v>669</v>
      </c>
      <c r="W84" s="2700"/>
      <c r="X84" s="2109" t="s">
        <v>669</v>
      </c>
      <c r="Y84" s="2700"/>
      <c r="Z84" s="2109"/>
      <c r="AA84" s="2625"/>
    </row>
    <row r="85" spans="1:27" x14ac:dyDescent="0.35">
      <c r="A85" s="2673"/>
      <c r="B85" s="2694"/>
      <c r="C85" s="2703"/>
      <c r="D85" s="2285"/>
      <c r="E85" s="2285"/>
      <c r="F85" s="2232"/>
      <c r="G85" s="2233"/>
      <c r="H85" s="2109"/>
      <c r="I85" s="2626"/>
      <c r="J85" s="2109"/>
      <c r="K85" s="2700"/>
      <c r="L85" s="2109"/>
      <c r="M85" s="2700"/>
      <c r="N85" s="2109"/>
      <c r="O85" s="2700"/>
      <c r="P85" s="2109"/>
      <c r="Q85" s="2700"/>
      <c r="R85" s="2109"/>
      <c r="S85" s="2700"/>
      <c r="T85" s="2109"/>
      <c r="U85" s="2700"/>
      <c r="V85" s="2109"/>
      <c r="W85" s="2700"/>
      <c r="X85" s="2109"/>
      <c r="Y85" s="2700"/>
      <c r="Z85" s="2109"/>
      <c r="AA85" s="2625"/>
    </row>
    <row r="86" spans="1:27" x14ac:dyDescent="0.35">
      <c r="A86" s="2542"/>
      <c r="B86" s="2543"/>
      <c r="C86" s="2201"/>
      <c r="D86" s="2285"/>
      <c r="E86" s="2285"/>
      <c r="F86" s="2285"/>
      <c r="G86" s="2198"/>
      <c r="H86" s="2109"/>
      <c r="I86" s="2625"/>
      <c r="J86" s="2671"/>
      <c r="K86" s="2625"/>
      <c r="L86" s="2671"/>
      <c r="M86" s="2625"/>
      <c r="N86" s="2109"/>
      <c r="O86" s="2625"/>
      <c r="P86" s="2109"/>
      <c r="Q86" s="2625"/>
      <c r="R86" s="2625"/>
      <c r="S86" s="2625"/>
      <c r="T86" s="2109"/>
      <c r="U86" s="2625"/>
      <c r="V86" s="2625"/>
      <c r="W86" s="2625"/>
      <c r="X86" s="2625"/>
      <c r="Y86" s="2625"/>
      <c r="Z86" s="2109"/>
      <c r="AA86" s="2625"/>
    </row>
    <row r="87" spans="1:27" x14ac:dyDescent="0.35">
      <c r="A87" s="14"/>
      <c r="B87" s="15"/>
      <c r="C87" s="16"/>
      <c r="D87" s="16"/>
      <c r="E87" s="17"/>
      <c r="F87" s="18" t="s">
        <v>715</v>
      </c>
      <c r="G87" s="19"/>
      <c r="H87" s="20"/>
      <c r="I87" s="50">
        <f>SUM(I25:I86)</f>
        <v>1023772.5</v>
      </c>
      <c r="J87" s="20"/>
      <c r="K87" s="50">
        <f>SUM(K25:K86)</f>
        <v>1027935</v>
      </c>
      <c r="L87" s="20"/>
      <c r="M87" s="50">
        <f>SUM(M25:M86)</f>
        <v>899705</v>
      </c>
      <c r="N87" s="20"/>
      <c r="O87" s="50">
        <f>SUM(O25:O86)</f>
        <v>1122540</v>
      </c>
      <c r="P87" s="20"/>
      <c r="Q87" s="50">
        <f>SUM(Q25:Q86)</f>
        <v>982290</v>
      </c>
      <c r="R87" s="20"/>
      <c r="S87" s="50">
        <f>SUM(S25:S86)</f>
        <v>2125000</v>
      </c>
      <c r="T87" s="20"/>
      <c r="U87" s="50">
        <f>SUM(U25:U86)</f>
        <v>1147662</v>
      </c>
      <c r="V87" s="20"/>
      <c r="W87" s="331">
        <f>SUM(W36:W86)</f>
        <v>1616805</v>
      </c>
      <c r="X87" s="20"/>
      <c r="Y87" s="50">
        <f>SUM(Y25:Y86)</f>
        <v>1955430</v>
      </c>
      <c r="Z87" s="20"/>
      <c r="AA87" s="50">
        <f>SUM(AA25:AA86)</f>
        <v>0</v>
      </c>
    </row>
    <row r="88" spans="1:27" x14ac:dyDescent="0.35">
      <c r="A88" s="2239"/>
      <c r="B88" s="2240"/>
      <c r="C88" s="2241"/>
      <c r="D88" s="2241"/>
      <c r="E88" s="2242"/>
      <c r="F88" s="2243" t="s">
        <v>716</v>
      </c>
      <c r="G88" s="2244"/>
      <c r="H88" s="2065">
        <v>0</v>
      </c>
      <c r="I88" s="2064"/>
      <c r="J88" s="2065">
        <v>0.01</v>
      </c>
      <c r="K88" s="2064"/>
      <c r="L88" s="2664">
        <v>1.4999999999999999E-2</v>
      </c>
      <c r="M88" s="2064"/>
      <c r="N88" s="2065">
        <v>0</v>
      </c>
      <c r="O88" s="2064"/>
      <c r="P88" s="2065">
        <v>0</v>
      </c>
      <c r="Q88" s="2064"/>
      <c r="R88" s="2065">
        <v>0</v>
      </c>
      <c r="S88" s="2064"/>
      <c r="T88" s="2664">
        <v>5.0000000000000001E-3</v>
      </c>
      <c r="U88" s="2064"/>
      <c r="V88" s="2065">
        <v>0</v>
      </c>
      <c r="W88" s="2064"/>
      <c r="X88" s="2065">
        <v>0</v>
      </c>
      <c r="Y88" s="2064"/>
      <c r="Z88" s="2065">
        <v>0</v>
      </c>
      <c r="AA88" s="2064"/>
    </row>
    <row r="89" spans="1:27" x14ac:dyDescent="0.35">
      <c r="A89" s="2239"/>
      <c r="B89" s="2240"/>
      <c r="C89" s="2241"/>
      <c r="D89" s="2241"/>
      <c r="E89" s="2242"/>
      <c r="F89" s="2243" t="s">
        <v>717</v>
      </c>
      <c r="G89" s="2244"/>
      <c r="H89" s="2066"/>
      <c r="I89" s="2067">
        <f>H88*I87</f>
        <v>0</v>
      </c>
      <c r="J89" s="2066"/>
      <c r="K89" s="2067">
        <f>J88*K87</f>
        <v>10279.35</v>
      </c>
      <c r="L89" s="2066"/>
      <c r="M89" s="2067">
        <f>L88*M87</f>
        <v>13495.574999999999</v>
      </c>
      <c r="N89" s="2066"/>
      <c r="O89" s="2067">
        <f>N88*O87</f>
        <v>0</v>
      </c>
      <c r="P89" s="2066"/>
      <c r="Q89" s="2067">
        <f>P88*Q87</f>
        <v>0</v>
      </c>
      <c r="R89" s="2066"/>
      <c r="S89" s="2067">
        <f>R88*S87</f>
        <v>0</v>
      </c>
      <c r="T89" s="2066"/>
      <c r="U89" s="2067">
        <f>T88*U87</f>
        <v>5738.31</v>
      </c>
      <c r="V89" s="2066"/>
      <c r="W89" s="2067">
        <f>V88*W87</f>
        <v>0</v>
      </c>
      <c r="X89" s="2066"/>
      <c r="Y89" s="2067">
        <f>X88*Y87</f>
        <v>0</v>
      </c>
      <c r="Z89" s="2066"/>
      <c r="AA89" s="2067">
        <f>Z88*AA87</f>
        <v>0</v>
      </c>
    </row>
    <row r="90" spans="1:27" x14ac:dyDescent="0.35">
      <c r="A90" s="2239"/>
      <c r="B90" s="2240"/>
      <c r="C90" s="2241"/>
      <c r="D90" s="2241"/>
      <c r="E90" s="2242"/>
      <c r="F90" s="2243"/>
      <c r="G90" s="2244"/>
      <c r="H90" s="2066"/>
      <c r="I90" s="2068"/>
      <c r="J90" s="2066"/>
      <c r="K90" s="2068"/>
      <c r="L90" s="2066"/>
      <c r="M90" s="2068"/>
      <c r="N90" s="2066"/>
      <c r="O90" s="2068"/>
      <c r="P90" s="2066"/>
      <c r="Q90" s="2068"/>
      <c r="R90" s="2066"/>
      <c r="S90" s="2068"/>
      <c r="T90" s="2066"/>
      <c r="U90" s="2068"/>
      <c r="V90" s="2066"/>
      <c r="W90" s="2068"/>
      <c r="X90" s="2066"/>
      <c r="Y90" s="2068"/>
      <c r="Z90" s="2066"/>
      <c r="AA90" s="2068"/>
    </row>
    <row r="91" spans="1:27" x14ac:dyDescent="0.35">
      <c r="A91" s="2239"/>
      <c r="B91" s="2240"/>
      <c r="C91" s="2241"/>
      <c r="D91" s="2241"/>
      <c r="E91" s="2242"/>
      <c r="F91" s="2243" t="s">
        <v>718</v>
      </c>
      <c r="G91" s="2244"/>
      <c r="H91" s="2069"/>
      <c r="I91" s="2070">
        <f>SUM(I87:I89)</f>
        <v>1023772.5</v>
      </c>
      <c r="J91" s="2069"/>
      <c r="K91" s="2070">
        <f>SUM(K87:K89)</f>
        <v>1038214.35</v>
      </c>
      <c r="L91" s="2069"/>
      <c r="M91" s="2070">
        <f>SUM(M87:M89)</f>
        <v>913200.57499999995</v>
      </c>
      <c r="N91" s="2069"/>
      <c r="O91" s="2070">
        <f>SUM(O87:O89)</f>
        <v>1122540</v>
      </c>
      <c r="P91" s="2069"/>
      <c r="Q91" s="2070">
        <f>SUM(Q87:Q89)</f>
        <v>982290</v>
      </c>
      <c r="R91" s="2069"/>
      <c r="S91" s="2070">
        <f>SUM(S87:S89)</f>
        <v>2125000</v>
      </c>
      <c r="T91" s="2069"/>
      <c r="U91" s="2070">
        <f>SUM(U87:U89)</f>
        <v>1153400.31</v>
      </c>
      <c r="V91" s="2069"/>
      <c r="W91" s="2070">
        <f>SUM(W87:W89)</f>
        <v>1616805</v>
      </c>
      <c r="X91" s="2069"/>
      <c r="Y91" s="2070">
        <f>SUM(Y87:Y89)</f>
        <v>1955430</v>
      </c>
      <c r="Z91" s="2069"/>
      <c r="AA91" s="2070">
        <f>SUM(AA87:AA89)</f>
        <v>0</v>
      </c>
    </row>
    <row r="92" spans="1:27" x14ac:dyDescent="0.35">
      <c r="A92" s="2239"/>
      <c r="B92" s="2240"/>
      <c r="C92" s="2241"/>
      <c r="D92" s="2241"/>
      <c r="E92" s="2242"/>
      <c r="F92" s="2255" t="s">
        <v>719</v>
      </c>
      <c r="G92" s="2256"/>
      <c r="H92" s="2073"/>
      <c r="I92" s="2074" t="e">
        <f>I91/#REF!</f>
        <v>#REF!</v>
      </c>
      <c r="J92" s="2073"/>
      <c r="K92" s="2074" t="e">
        <f>K91/#REF!</f>
        <v>#REF!</v>
      </c>
      <c r="L92" s="2073"/>
      <c r="M92" s="2074" t="e">
        <f>M91/#REF!</f>
        <v>#REF!</v>
      </c>
      <c r="N92" s="2073"/>
      <c r="O92" s="2074" t="e">
        <f>O91/#REF!</f>
        <v>#REF!</v>
      </c>
      <c r="P92" s="2073"/>
      <c r="Q92" s="2074" t="e">
        <f>Q91/#REF!</f>
        <v>#REF!</v>
      </c>
      <c r="R92" s="2073"/>
      <c r="S92" s="2074" t="e">
        <f>S91/#REF!</f>
        <v>#REF!</v>
      </c>
      <c r="T92" s="2073"/>
      <c r="U92" s="2074" t="e">
        <f>U91/#REF!</f>
        <v>#REF!</v>
      </c>
      <c r="V92" s="2073"/>
      <c r="W92" s="2074" t="e">
        <f>W91/#REF!</f>
        <v>#REF!</v>
      </c>
      <c r="X92" s="2073"/>
      <c r="Y92" s="2074" t="e">
        <f>Y91/#REF!</f>
        <v>#REF!</v>
      </c>
      <c r="Z92" s="2073"/>
      <c r="AA92" s="2074" t="e">
        <f>AA91/#REF!</f>
        <v>#REF!</v>
      </c>
    </row>
    <row r="93" spans="1:27" x14ac:dyDescent="0.35">
      <c r="A93" s="2239"/>
      <c r="B93" s="2240"/>
      <c r="C93" s="2241"/>
      <c r="D93" s="2241"/>
      <c r="E93" s="2242"/>
      <c r="F93" s="2255" t="s">
        <v>720</v>
      </c>
      <c r="G93" s="2260"/>
      <c r="H93" s="2073"/>
      <c r="I93" s="2074" t="e">
        <f>I91/#REF!</f>
        <v>#REF!</v>
      </c>
      <c r="J93" s="2073"/>
      <c r="K93" s="2074" t="e">
        <f>K91/#REF!</f>
        <v>#REF!</v>
      </c>
      <c r="L93" s="2073"/>
      <c r="M93" s="2074" t="e">
        <f>M91/#REF!</f>
        <v>#REF!</v>
      </c>
      <c r="N93" s="2073"/>
      <c r="O93" s="2074" t="e">
        <f>O91/#REF!</f>
        <v>#REF!</v>
      </c>
      <c r="P93" s="2073"/>
      <c r="Q93" s="2074" t="e">
        <f>Q91/#REF!</f>
        <v>#REF!</v>
      </c>
      <c r="R93" s="2073"/>
      <c r="S93" s="2074" t="e">
        <f>S91/#REF!</f>
        <v>#REF!</v>
      </c>
      <c r="T93" s="2073"/>
      <c r="U93" s="2074" t="e">
        <f>U91/#REF!</f>
        <v>#REF!</v>
      </c>
      <c r="V93" s="2073"/>
      <c r="W93" s="2074" t="e">
        <f>W91/#REF!</f>
        <v>#REF!</v>
      </c>
      <c r="X93" s="2073"/>
      <c r="Y93" s="2074" t="e">
        <f>Y91/#REF!</f>
        <v>#REF!</v>
      </c>
      <c r="Z93" s="2073"/>
      <c r="AA93" s="2074" t="e">
        <f>AA91/#REF!</f>
        <v>#REF!</v>
      </c>
    </row>
    <row r="94" spans="1:27" x14ac:dyDescent="0.35">
      <c r="A94" s="2239"/>
      <c r="B94" s="2240"/>
      <c r="C94" s="2241"/>
      <c r="D94" s="2241"/>
      <c r="E94" s="2242"/>
      <c r="F94" s="2243"/>
      <c r="G94" s="2261"/>
      <c r="H94" s="2077"/>
      <c r="I94" s="2078"/>
      <c r="J94" s="2077"/>
      <c r="K94" s="2078"/>
      <c r="L94" s="2077"/>
      <c r="M94" s="2078"/>
      <c r="N94" s="2077"/>
      <c r="O94" s="2078"/>
      <c r="P94" s="2077"/>
      <c r="Q94" s="2078"/>
      <c r="R94" s="2077"/>
      <c r="S94" s="2078"/>
      <c r="T94" s="2077"/>
      <c r="U94" s="2078"/>
      <c r="V94" s="2077"/>
      <c r="W94" s="2078"/>
      <c r="X94" s="2077"/>
      <c r="Y94" s="2078"/>
      <c r="Z94" s="2077"/>
      <c r="AA94" s="2078"/>
    </row>
    <row r="95" spans="1:27" x14ac:dyDescent="0.35">
      <c r="A95" s="3764" t="s">
        <v>721</v>
      </c>
      <c r="B95" s="3765"/>
      <c r="C95" s="12"/>
      <c r="D95" s="12"/>
      <c r="E95" s="12"/>
      <c r="F95" s="12"/>
      <c r="G95" s="13"/>
      <c r="H95" s="21"/>
      <c r="I95" s="21"/>
      <c r="J95" s="21"/>
      <c r="K95" s="21"/>
      <c r="L95" s="21"/>
      <c r="M95" s="21"/>
      <c r="N95" s="21"/>
      <c r="O95" s="21"/>
      <c r="P95" s="21"/>
      <c r="Q95" s="21"/>
      <c r="R95" s="21"/>
      <c r="S95" s="21"/>
      <c r="T95" s="21"/>
      <c r="U95" s="21"/>
      <c r="V95" s="21"/>
      <c r="W95" s="21"/>
      <c r="X95" s="21"/>
      <c r="Y95" s="21"/>
      <c r="Z95" s="21"/>
      <c r="AA95" s="21"/>
    </row>
    <row r="96" spans="1:27" x14ac:dyDescent="0.35">
      <c r="A96" s="2665"/>
      <c r="B96" s="2284"/>
      <c r="C96" s="2666"/>
      <c r="D96" s="2666"/>
      <c r="E96" s="2666"/>
      <c r="F96" s="2666"/>
      <c r="G96" s="2618"/>
      <c r="H96" s="2668"/>
      <c r="I96" s="2668"/>
      <c r="J96" s="2668"/>
      <c r="K96" s="2668"/>
      <c r="L96" s="2668"/>
      <c r="M96" s="2668"/>
      <c r="N96" s="2668"/>
      <c r="O96" s="2668"/>
      <c r="P96" s="2668"/>
      <c r="Q96" s="2668"/>
      <c r="R96" s="2668"/>
      <c r="S96" s="2668"/>
      <c r="T96" s="2668"/>
      <c r="U96" s="2668"/>
      <c r="V96" s="2668"/>
      <c r="W96" s="2668"/>
      <c r="X96" s="2668"/>
      <c r="Y96" s="2668"/>
      <c r="Z96" s="2668"/>
      <c r="AA96" s="2668"/>
    </row>
    <row r="97" spans="1:32" s="2" customFormat="1" x14ac:dyDescent="0.35">
      <c r="A97" s="2665"/>
      <c r="B97" s="2284"/>
      <c r="C97" s="2666"/>
      <c r="D97" s="2666"/>
      <c r="E97" s="2666"/>
      <c r="F97" s="2666"/>
      <c r="G97" s="2618"/>
      <c r="H97" s="2668"/>
      <c r="I97" s="2668"/>
      <c r="J97" s="2668"/>
      <c r="K97" s="2668"/>
      <c r="L97" s="2668"/>
      <c r="M97" s="2668"/>
      <c r="N97" s="2668"/>
      <c r="O97" s="2668"/>
      <c r="P97" s="2668"/>
      <c r="Q97" s="2668"/>
      <c r="R97" s="2668"/>
      <c r="S97" s="2668"/>
      <c r="T97" s="2668"/>
      <c r="U97" s="2668"/>
      <c r="V97" s="2668"/>
      <c r="W97" s="2668"/>
      <c r="X97" s="2668"/>
      <c r="Y97" s="2668"/>
      <c r="Z97" s="2668"/>
      <c r="AA97" s="2668"/>
    </row>
    <row r="98" spans="1:32" s="2" customFormat="1" x14ac:dyDescent="0.35">
      <c r="A98" s="2665"/>
      <c r="B98" s="2284"/>
      <c r="C98" s="2666"/>
      <c r="D98" s="2666"/>
      <c r="E98" s="2666"/>
      <c r="F98" s="2666"/>
      <c r="G98" s="2618"/>
      <c r="H98" s="2668"/>
      <c r="I98" s="2668"/>
      <c r="J98" s="2668"/>
      <c r="K98" s="2668"/>
      <c r="L98" s="2668"/>
      <c r="M98" s="2668"/>
      <c r="N98" s="2668"/>
      <c r="O98" s="2668"/>
      <c r="P98" s="2668"/>
      <c r="Q98" s="2668"/>
      <c r="R98" s="2668"/>
      <c r="S98" s="2668"/>
      <c r="T98" s="2668"/>
      <c r="U98" s="2668"/>
      <c r="V98" s="2668"/>
      <c r="W98" s="2668"/>
      <c r="X98" s="2668"/>
      <c r="Y98" s="2668"/>
      <c r="Z98" s="2668"/>
      <c r="AA98" s="2668"/>
    </row>
    <row r="99" spans="1:32" x14ac:dyDescent="0.35">
      <c r="A99" s="3764" t="s">
        <v>722</v>
      </c>
      <c r="B99" s="3765"/>
      <c r="C99" s="12"/>
      <c r="D99" s="12"/>
      <c r="E99" s="12"/>
      <c r="F99" s="12"/>
      <c r="G99" s="13"/>
      <c r="H99" s="21"/>
      <c r="I99" s="21"/>
      <c r="J99" s="21"/>
      <c r="K99" s="21"/>
      <c r="L99" s="21"/>
      <c r="M99" s="21"/>
      <c r="N99" s="21"/>
      <c r="O99" s="21"/>
      <c r="P99" s="21"/>
      <c r="Q99" s="21"/>
      <c r="R99" s="21"/>
      <c r="S99" s="21"/>
      <c r="T99" s="21"/>
      <c r="U99" s="21"/>
      <c r="V99" s="21"/>
      <c r="W99" s="21"/>
      <c r="X99" s="21"/>
      <c r="Y99" s="21"/>
      <c r="Z99" s="21"/>
      <c r="AA99" s="21"/>
    </row>
    <row r="100" spans="1:32" s="2" customFormat="1" x14ac:dyDescent="0.35">
      <c r="A100" s="2665"/>
      <c r="B100" s="2284"/>
      <c r="C100" s="2666"/>
      <c r="D100" s="2666"/>
      <c r="E100" s="2666"/>
      <c r="F100" s="2666"/>
      <c r="G100" s="2618"/>
      <c r="H100" s="2668"/>
      <c r="I100" s="2668"/>
      <c r="J100" s="2668"/>
      <c r="K100" s="2668"/>
      <c r="L100" s="2668"/>
      <c r="M100" s="2668"/>
      <c r="N100" s="2668"/>
      <c r="O100" s="2668"/>
      <c r="P100" s="2668"/>
      <c r="Q100" s="2668"/>
      <c r="R100" s="2668"/>
      <c r="S100" s="2668"/>
      <c r="T100" s="2668"/>
      <c r="U100" s="2668"/>
      <c r="V100" s="2668"/>
      <c r="W100" s="2668"/>
      <c r="X100" s="2668"/>
      <c r="Y100" s="2668"/>
      <c r="Z100" s="2668"/>
      <c r="AA100" s="2668"/>
      <c r="AF100" s="535"/>
    </row>
    <row r="101" spans="1:32" s="2" customFormat="1" x14ac:dyDescent="0.35">
      <c r="A101" s="2665"/>
      <c r="B101" s="2284"/>
      <c r="C101" s="2666"/>
      <c r="D101" s="2666"/>
      <c r="E101" s="2666"/>
      <c r="F101" s="2666"/>
      <c r="G101" s="2618"/>
      <c r="H101" s="2668"/>
      <c r="I101" s="2668"/>
      <c r="J101" s="2668"/>
      <c r="K101" s="2668"/>
      <c r="L101" s="2668"/>
      <c r="M101" s="2668"/>
      <c r="N101" s="2668"/>
      <c r="O101" s="2668"/>
      <c r="P101" s="2668"/>
      <c r="Q101" s="2668"/>
      <c r="R101" s="2668"/>
      <c r="S101" s="2668"/>
      <c r="T101" s="2668"/>
      <c r="U101" s="2668"/>
      <c r="V101" s="2668"/>
      <c r="W101" s="2668"/>
      <c r="X101" s="2668"/>
      <c r="Y101" s="2668"/>
      <c r="Z101" s="2668"/>
      <c r="AA101" s="2668"/>
      <c r="AF101" s="535"/>
    </row>
    <row r="102" spans="1:32" x14ac:dyDescent="0.35">
      <c r="A102" s="2665"/>
      <c r="B102" s="2284"/>
      <c r="C102" s="2666"/>
      <c r="D102" s="2666"/>
      <c r="E102" s="2666"/>
      <c r="F102" s="2666"/>
      <c r="G102" s="2618"/>
      <c r="H102" s="2668"/>
      <c r="I102" s="2668"/>
      <c r="J102" s="2668"/>
      <c r="K102" s="2668"/>
      <c r="L102" s="2668"/>
      <c r="M102" s="2668"/>
      <c r="N102" s="2668"/>
      <c r="O102" s="2668"/>
      <c r="P102" s="2668"/>
      <c r="Q102" s="2668"/>
      <c r="R102" s="2668"/>
      <c r="S102" s="2668"/>
      <c r="T102" s="2668"/>
      <c r="U102" s="2668"/>
      <c r="V102" s="2668"/>
      <c r="W102" s="2668"/>
      <c r="X102" s="2668"/>
      <c r="Y102" s="2668"/>
      <c r="Z102" s="2668"/>
      <c r="AA102" s="2668"/>
    </row>
    <row r="103" spans="1:32" x14ac:dyDescent="0.35">
      <c r="A103" s="3764" t="s">
        <v>723</v>
      </c>
      <c r="B103" s="3765"/>
      <c r="C103" s="12"/>
      <c r="D103" s="12"/>
      <c r="E103" s="12"/>
      <c r="F103" s="12"/>
      <c r="G103" s="13"/>
      <c r="H103" s="21"/>
      <c r="I103" s="21"/>
      <c r="J103" s="21"/>
      <c r="K103" s="21"/>
      <c r="L103" s="21"/>
      <c r="M103" s="21"/>
      <c r="N103" s="21"/>
      <c r="O103" s="21"/>
      <c r="P103" s="21"/>
      <c r="Q103" s="21"/>
      <c r="R103" s="21"/>
      <c r="S103" s="21"/>
      <c r="T103" s="21"/>
      <c r="U103" s="21"/>
      <c r="V103" s="21"/>
      <c r="W103" s="21"/>
      <c r="X103" s="21"/>
      <c r="Y103" s="21"/>
      <c r="Z103" s="21"/>
      <c r="AA103" s="21"/>
    </row>
    <row r="104" spans="1:32" x14ac:dyDescent="0.35">
      <c r="A104" s="2665"/>
      <c r="B104" s="2284"/>
      <c r="C104" s="2666"/>
      <c r="D104" s="2666"/>
      <c r="E104" s="2666"/>
      <c r="F104" s="2666"/>
      <c r="G104" s="2618"/>
      <c r="H104" s="2668"/>
      <c r="I104" s="2668"/>
      <c r="J104" s="2668"/>
      <c r="K104" s="2668"/>
      <c r="L104" s="2668"/>
      <c r="M104" s="2668"/>
      <c r="N104" s="2668"/>
      <c r="O104" s="2668"/>
      <c r="P104" s="2668"/>
      <c r="Q104" s="2668"/>
      <c r="R104" s="2668"/>
      <c r="S104" s="2668"/>
      <c r="T104" s="2668"/>
      <c r="U104" s="2668"/>
      <c r="V104" s="2668"/>
      <c r="W104" s="2668"/>
      <c r="X104" s="2668"/>
      <c r="Y104" s="2668"/>
      <c r="Z104" s="2668"/>
      <c r="AA104" s="2668"/>
    </row>
    <row r="105" spans="1:32" x14ac:dyDescent="0.35">
      <c r="A105" s="2286"/>
      <c r="B105" s="2284"/>
      <c r="C105" s="2285"/>
      <c r="D105" s="2285"/>
      <c r="E105" s="2285"/>
      <c r="F105" s="2285"/>
      <c r="G105" s="2198"/>
      <c r="H105" s="2081"/>
      <c r="I105" s="2081"/>
      <c r="J105" s="2081"/>
      <c r="K105" s="2081"/>
      <c r="L105" s="2081"/>
      <c r="M105" s="2081"/>
      <c r="N105" s="2081"/>
      <c r="O105" s="2081"/>
      <c r="P105" s="2081"/>
      <c r="Q105" s="2081"/>
      <c r="R105" s="2081"/>
      <c r="S105" s="2081"/>
      <c r="T105" s="2081"/>
      <c r="U105" s="2081"/>
      <c r="V105" s="2081"/>
      <c r="W105" s="2081"/>
      <c r="X105" s="2081"/>
      <c r="Y105" s="2081"/>
      <c r="Z105" s="2081"/>
      <c r="AA105" s="2081"/>
    </row>
    <row r="106" spans="1:32" x14ac:dyDescent="0.35">
      <c r="A106" s="2269"/>
      <c r="B106" s="2270"/>
      <c r="C106" s="2285"/>
      <c r="D106" s="2285"/>
      <c r="E106" s="2285"/>
      <c r="F106" s="2285"/>
      <c r="G106" s="2198"/>
      <c r="H106" s="2084"/>
      <c r="I106" s="2084"/>
      <c r="J106" s="2084"/>
      <c r="K106" s="2084"/>
      <c r="L106" s="2084"/>
      <c r="M106" s="2084"/>
      <c r="N106" s="2084"/>
      <c r="O106" s="2084"/>
      <c r="P106" s="2084"/>
      <c r="Q106" s="2084"/>
      <c r="R106" s="2084"/>
      <c r="S106" s="2084"/>
      <c r="T106" s="2084"/>
      <c r="U106" s="2084"/>
      <c r="V106" s="2084"/>
      <c r="W106" s="2084"/>
      <c r="X106" s="2084"/>
      <c r="Y106" s="2084"/>
      <c r="Z106" s="2084"/>
      <c r="AA106" s="2084"/>
    </row>
    <row r="107" spans="1:32" x14ac:dyDescent="0.35">
      <c r="A107" s="3764" t="s">
        <v>724</v>
      </c>
      <c r="B107" s="3765"/>
      <c r="C107" s="12"/>
      <c r="D107" s="12"/>
      <c r="E107" s="12"/>
      <c r="F107" s="12"/>
      <c r="G107" s="13"/>
      <c r="H107" s="21"/>
      <c r="I107" s="21"/>
      <c r="J107" s="21"/>
      <c r="K107" s="21"/>
      <c r="L107" s="21"/>
      <c r="M107" s="21"/>
      <c r="N107" s="21"/>
      <c r="O107" s="21"/>
      <c r="P107" s="21"/>
      <c r="Q107" s="21"/>
      <c r="R107" s="21"/>
      <c r="S107" s="21"/>
      <c r="T107" s="21"/>
      <c r="U107" s="21"/>
      <c r="V107" s="21"/>
      <c r="W107" s="21"/>
      <c r="X107" s="21"/>
      <c r="Y107" s="21"/>
      <c r="Z107" s="21"/>
      <c r="AA107" s="21"/>
    </row>
    <row r="108" spans="1:32" x14ac:dyDescent="0.35">
      <c r="A108" s="2684"/>
      <c r="B108" s="2669"/>
      <c r="C108" s="2666"/>
      <c r="D108" s="2666"/>
      <c r="E108" s="2666"/>
      <c r="F108" s="2666"/>
      <c r="G108" s="2618"/>
      <c r="H108" s="2668"/>
      <c r="I108" s="2668"/>
      <c r="J108" s="2668"/>
      <c r="K108" s="2668"/>
      <c r="L108" s="2668"/>
      <c r="M108" s="2668"/>
      <c r="N108" s="2668"/>
      <c r="O108" s="2668"/>
      <c r="P108" s="2668"/>
      <c r="Q108" s="2668"/>
      <c r="R108" s="2668"/>
      <c r="S108" s="2668"/>
      <c r="T108" s="2668"/>
      <c r="U108" s="2668"/>
      <c r="V108" s="2668"/>
      <c r="W108" s="2668"/>
      <c r="X108" s="2668"/>
      <c r="Y108" s="2668"/>
      <c r="Z108" s="2668"/>
      <c r="AA108" s="2668"/>
    </row>
    <row r="109" spans="1:32" x14ac:dyDescent="0.35">
      <c r="A109" s="2269"/>
      <c r="B109" s="2270"/>
      <c r="C109" s="2285"/>
      <c r="D109" s="2285"/>
      <c r="E109" s="2285"/>
      <c r="F109" s="2285"/>
      <c r="G109" s="2198"/>
      <c r="H109" s="2087"/>
      <c r="I109" s="2087"/>
      <c r="J109" s="2087"/>
      <c r="K109" s="2087"/>
      <c r="L109" s="2087"/>
      <c r="M109" s="2087"/>
      <c r="N109" s="2087"/>
      <c r="O109" s="2087"/>
      <c r="P109" s="2087"/>
      <c r="Q109" s="2087"/>
      <c r="R109" s="2087"/>
      <c r="S109" s="2087"/>
      <c r="T109" s="2087"/>
      <c r="U109" s="2087"/>
      <c r="V109" s="2087"/>
      <c r="W109" s="2087"/>
      <c r="X109" s="2087"/>
      <c r="Y109" s="2087"/>
      <c r="Z109" s="2087"/>
      <c r="AA109" s="2087"/>
    </row>
    <row r="110" spans="1:32" x14ac:dyDescent="0.35">
      <c r="A110" s="2269"/>
      <c r="B110" s="2270"/>
      <c r="C110" s="2285"/>
      <c r="D110" s="2285"/>
      <c r="E110" s="2285"/>
      <c r="F110" s="2285"/>
      <c r="G110" s="2198"/>
      <c r="H110" s="2087"/>
      <c r="I110" s="2087"/>
      <c r="J110" s="2087"/>
      <c r="K110" s="2087"/>
      <c r="L110" s="2087"/>
      <c r="M110" s="2087"/>
      <c r="N110" s="2087"/>
      <c r="O110" s="2087"/>
      <c r="P110" s="2087"/>
      <c r="Q110" s="2087"/>
      <c r="R110" s="2087"/>
      <c r="S110" s="2087"/>
      <c r="T110" s="2087"/>
      <c r="U110" s="2087"/>
      <c r="V110" s="2087"/>
      <c r="W110" s="2087"/>
      <c r="X110" s="2087"/>
      <c r="Y110" s="2087"/>
      <c r="Z110" s="2087"/>
      <c r="AA110" s="2087"/>
    </row>
    <row r="111" spans="1:32" x14ac:dyDescent="0.35">
      <c r="A111" s="3764" t="s">
        <v>725</v>
      </c>
      <c r="B111" s="3765"/>
      <c r="C111" s="12"/>
      <c r="D111" s="12"/>
      <c r="E111" s="12"/>
      <c r="F111" s="12"/>
      <c r="G111" s="13"/>
      <c r="H111" s="21"/>
      <c r="I111" s="21"/>
      <c r="J111" s="21"/>
      <c r="K111" s="21"/>
      <c r="L111" s="21"/>
      <c r="M111" s="21"/>
      <c r="N111" s="21"/>
      <c r="O111" s="21"/>
      <c r="P111" s="21"/>
      <c r="Q111" s="21"/>
      <c r="R111" s="21"/>
      <c r="S111" s="21"/>
      <c r="T111" s="21"/>
      <c r="U111" s="21"/>
      <c r="V111" s="21"/>
      <c r="W111" s="21"/>
      <c r="X111" s="21"/>
      <c r="Y111" s="21"/>
      <c r="Z111" s="21"/>
      <c r="AA111" s="21"/>
    </row>
    <row r="112" spans="1:32" x14ac:dyDescent="0.35">
      <c r="A112" s="2286"/>
      <c r="B112" s="2284" t="s">
        <v>726</v>
      </c>
      <c r="C112" s="2285"/>
      <c r="D112" s="2285"/>
      <c r="E112" s="2285"/>
      <c r="F112" s="2285"/>
      <c r="G112" s="2198"/>
      <c r="H112" s="2087"/>
      <c r="I112" s="2087"/>
      <c r="J112" s="2087"/>
      <c r="K112" s="2087"/>
      <c r="L112" s="2087"/>
      <c r="M112" s="2087"/>
      <c r="N112" s="2087"/>
      <c r="O112" s="2087"/>
      <c r="P112" s="2087"/>
      <c r="Q112" s="2087"/>
      <c r="R112" s="2087"/>
      <c r="S112" s="2087"/>
      <c r="T112" s="2087"/>
      <c r="U112" s="2087"/>
      <c r="V112" s="2087"/>
      <c r="W112" s="2087"/>
      <c r="X112" s="2087"/>
      <c r="Y112" s="2087"/>
      <c r="Z112" s="2087"/>
      <c r="AA112" s="2087"/>
    </row>
    <row r="113" spans="1:27" x14ac:dyDescent="0.35">
      <c r="A113" s="2286"/>
      <c r="B113" s="2284" t="s">
        <v>727</v>
      </c>
      <c r="C113" s="2285"/>
      <c r="D113" s="2285"/>
      <c r="E113" s="2285"/>
      <c r="F113" s="2285"/>
      <c r="G113" s="2198"/>
      <c r="H113" s="2087"/>
      <c r="I113" s="2087"/>
      <c r="J113" s="2087"/>
      <c r="K113" s="2087"/>
      <c r="L113" s="2087"/>
      <c r="M113" s="2087"/>
      <c r="N113" s="2087"/>
      <c r="O113" s="2087"/>
      <c r="P113" s="2087"/>
      <c r="Q113" s="2087"/>
      <c r="R113" s="2087"/>
      <c r="S113" s="2087"/>
      <c r="T113" s="2087"/>
      <c r="U113" s="2087"/>
      <c r="V113" s="2087"/>
      <c r="W113" s="2087"/>
      <c r="X113" s="2087"/>
      <c r="Y113" s="2087"/>
      <c r="Z113" s="2087"/>
      <c r="AA113" s="2087"/>
    </row>
    <row r="114" spans="1:27" x14ac:dyDescent="0.35">
      <c r="A114" s="2286"/>
      <c r="B114" s="2284" t="s">
        <v>728</v>
      </c>
      <c r="C114" s="2285"/>
      <c r="D114" s="2285"/>
      <c r="E114" s="2285"/>
      <c r="F114" s="2285"/>
      <c r="G114" s="2198"/>
      <c r="H114" s="2087"/>
      <c r="I114" s="2087"/>
      <c r="J114" s="2087"/>
      <c r="K114" s="2087"/>
      <c r="L114" s="2087"/>
      <c r="M114" s="2087"/>
      <c r="N114" s="2087"/>
      <c r="O114" s="2087"/>
      <c r="P114" s="2087"/>
      <c r="Q114" s="2087"/>
      <c r="R114" s="2087"/>
      <c r="S114" s="2087"/>
      <c r="T114" s="2087"/>
      <c r="U114" s="2087"/>
      <c r="V114" s="2087"/>
      <c r="W114" s="2087"/>
      <c r="X114" s="2087"/>
      <c r="Y114" s="2087"/>
      <c r="Z114" s="2087"/>
      <c r="AA114" s="2087"/>
    </row>
    <row r="115" spans="1:27" x14ac:dyDescent="0.35">
      <c r="A115" s="2286"/>
      <c r="B115" s="2284" t="s">
        <v>729</v>
      </c>
      <c r="C115" s="2285"/>
      <c r="D115" s="2285"/>
      <c r="E115" s="2285"/>
      <c r="F115" s="2285"/>
      <c r="G115" s="2198"/>
      <c r="H115" s="2087"/>
      <c r="I115" s="2087"/>
      <c r="J115" s="2087"/>
      <c r="K115" s="2087"/>
      <c r="L115" s="2087"/>
      <c r="M115" s="2087"/>
      <c r="N115" s="2087"/>
      <c r="O115" s="2087"/>
      <c r="P115" s="2087"/>
      <c r="Q115" s="2087"/>
      <c r="R115" s="2087"/>
      <c r="S115" s="2087"/>
      <c r="T115" s="2087"/>
      <c r="U115" s="2087"/>
      <c r="V115" s="2087"/>
      <c r="W115" s="2087"/>
      <c r="X115" s="2087"/>
      <c r="Y115" s="2087"/>
      <c r="Z115" s="2087"/>
      <c r="AA115" s="2087"/>
    </row>
    <row r="116" spans="1:27" x14ac:dyDescent="0.35">
      <c r="A116" s="978"/>
      <c r="B116" s="939"/>
      <c r="C116" s="940"/>
      <c r="D116" s="940"/>
      <c r="E116" s="940"/>
      <c r="F116" s="940"/>
      <c r="G116" s="1039"/>
      <c r="H116" s="981"/>
      <c r="I116" s="981"/>
      <c r="J116" s="981"/>
      <c r="K116" s="981"/>
      <c r="L116" s="981"/>
      <c r="M116" s="981"/>
      <c r="N116" s="981"/>
      <c r="O116" s="981"/>
      <c r="P116" s="981"/>
      <c r="Q116" s="981"/>
      <c r="R116" s="981"/>
      <c r="S116" s="981"/>
      <c r="T116" s="981"/>
      <c r="U116" s="981"/>
      <c r="V116" s="981"/>
      <c r="W116" s="981"/>
      <c r="X116" s="981"/>
      <c r="Y116" s="981"/>
      <c r="Z116" s="981"/>
      <c r="AA116" s="981"/>
    </row>
    <row r="117" spans="1:27" x14ac:dyDescent="0.35">
      <c r="A117" s="7" t="s">
        <v>730</v>
      </c>
      <c r="B117" s="8"/>
      <c r="C117" s="12"/>
      <c r="D117" s="12"/>
      <c r="E117" s="12"/>
      <c r="F117" s="12"/>
      <c r="G117" s="13"/>
      <c r="H117" s="21"/>
      <c r="I117" s="21"/>
      <c r="J117" s="21"/>
      <c r="K117" s="21"/>
      <c r="L117" s="21"/>
      <c r="M117" s="21"/>
      <c r="N117" s="21"/>
      <c r="O117" s="21"/>
      <c r="P117" s="21"/>
      <c r="Q117" s="21"/>
      <c r="R117" s="21"/>
      <c r="S117" s="21"/>
      <c r="T117" s="21"/>
      <c r="U117" s="21"/>
      <c r="V117" s="21"/>
      <c r="W117" s="21"/>
      <c r="X117" s="21"/>
      <c r="Y117" s="21"/>
      <c r="Z117" s="21"/>
      <c r="AA117" s="21"/>
    </row>
    <row r="118" spans="1:27" x14ac:dyDescent="0.35">
      <c r="A118" s="2665"/>
      <c r="B118" s="2670" t="s">
        <v>731</v>
      </c>
      <c r="C118" s="2666"/>
      <c r="D118" s="2666"/>
      <c r="E118" s="2666"/>
      <c r="F118" s="2666"/>
      <c r="G118" s="2618"/>
      <c r="H118" s="2671"/>
      <c r="I118" s="2671"/>
      <c r="J118" s="2671"/>
      <c r="K118" s="2671"/>
      <c r="L118" s="2671"/>
      <c r="M118" s="2671"/>
      <c r="N118" s="2671"/>
      <c r="O118" s="2671"/>
      <c r="P118" s="2671"/>
      <c r="Q118" s="2671"/>
      <c r="R118" s="2671"/>
      <c r="S118" s="2671"/>
      <c r="T118" s="2671"/>
      <c r="U118" s="2671"/>
      <c r="V118" s="2671"/>
      <c r="W118" s="2671"/>
      <c r="X118" s="2671"/>
      <c r="Y118" s="2671"/>
      <c r="Z118" s="2671"/>
      <c r="AA118" s="2671"/>
    </row>
    <row r="119" spans="1:27" x14ac:dyDescent="0.35">
      <c r="A119" s="2286"/>
      <c r="B119" s="2284" t="s">
        <v>732</v>
      </c>
      <c r="C119" s="2285"/>
      <c r="D119" s="2285"/>
      <c r="E119" s="2285"/>
      <c r="F119" s="2285"/>
      <c r="G119" s="2198"/>
      <c r="H119" s="2158"/>
      <c r="I119" s="2158"/>
      <c r="J119" s="2158"/>
      <c r="K119" s="2158"/>
      <c r="L119" s="2158"/>
      <c r="M119" s="2158"/>
      <c r="N119" s="2158"/>
      <c r="O119" s="2158"/>
      <c r="P119" s="2158"/>
      <c r="Q119" s="2158"/>
      <c r="R119" s="2158"/>
      <c r="S119" s="2158"/>
      <c r="T119" s="2158"/>
      <c r="U119" s="2158"/>
      <c r="V119" s="2158"/>
      <c r="W119" s="2158"/>
      <c r="X119" s="2158"/>
      <c r="Y119" s="2158"/>
      <c r="Z119" s="2158"/>
      <c r="AA119" s="2158"/>
    </row>
    <row r="120" spans="1:27" x14ac:dyDescent="0.35">
      <c r="A120" s="2089"/>
      <c r="B120" s="2090" t="s">
        <v>733</v>
      </c>
      <c r="C120" s="2091"/>
      <c r="D120" s="2091"/>
      <c r="E120" s="2091"/>
      <c r="F120" s="2091"/>
      <c r="G120" s="2092"/>
      <c r="H120" s="2093"/>
      <c r="I120" s="2093"/>
      <c r="J120" s="2093"/>
      <c r="K120" s="2093"/>
      <c r="L120" s="2093"/>
      <c r="M120" s="2093"/>
      <c r="N120" s="2093"/>
      <c r="O120" s="2093"/>
      <c r="P120" s="2093"/>
      <c r="Q120" s="2093"/>
      <c r="R120" s="2093"/>
      <c r="S120" s="2093"/>
      <c r="T120" s="2093"/>
      <c r="U120" s="2093"/>
      <c r="V120" s="2093"/>
      <c r="W120" s="2093"/>
      <c r="X120" s="2093"/>
      <c r="Y120" s="2093"/>
      <c r="Z120" s="2093"/>
      <c r="AA120" s="2093"/>
    </row>
    <row r="122" spans="1:27" x14ac:dyDescent="0.35">
      <c r="A122" s="78" t="s">
        <v>734</v>
      </c>
      <c r="B122" s="80"/>
    </row>
    <row r="123" spans="1:27" x14ac:dyDescent="0.35">
      <c r="A123" s="79" t="s">
        <v>632</v>
      </c>
      <c r="B123" s="2094" t="str">
        <f>J4</f>
        <v>Pilar Welding</v>
      </c>
    </row>
    <row r="124" spans="1:27" x14ac:dyDescent="0.35">
      <c r="A124" s="2279" t="s">
        <v>636</v>
      </c>
      <c r="B124" s="2094" t="str">
        <f>J5</f>
        <v>Sarai Campos</v>
      </c>
    </row>
    <row r="125" spans="1:27" x14ac:dyDescent="0.35">
      <c r="A125" s="2096" t="s">
        <v>639</v>
      </c>
      <c r="B125" s="2097" t="str">
        <f>J6</f>
        <v>561-524-9246</v>
      </c>
    </row>
    <row r="126" spans="1:27" x14ac:dyDescent="0.35">
      <c r="A126" s="2096" t="s">
        <v>642</v>
      </c>
      <c r="B126" s="2159" t="str">
        <f>J7</f>
        <v xml:space="preserve"> &lt;sara@pilarwelding.com&gt;</v>
      </c>
    </row>
    <row r="127" spans="1:27" x14ac:dyDescent="0.35">
      <c r="A127" s="2099" t="s">
        <v>735</v>
      </c>
      <c r="B127" s="2100">
        <f>J8</f>
        <v>1038214.35</v>
      </c>
    </row>
    <row r="129" spans="1:2" x14ac:dyDescent="0.35">
      <c r="A129" s="81"/>
      <c r="B129" s="1" t="s">
        <v>736</v>
      </c>
    </row>
    <row r="130" spans="1:2" x14ac:dyDescent="0.35">
      <c r="A130" s="82"/>
      <c r="B130" s="1" t="s">
        <v>737</v>
      </c>
    </row>
  </sheetData>
  <mergeCells count="100">
    <mergeCell ref="L10:M10"/>
    <mergeCell ref="V10:W10"/>
    <mergeCell ref="X10:Y10"/>
    <mergeCell ref="Z10:AA10"/>
    <mergeCell ref="X9:Y9"/>
    <mergeCell ref="R10:S10"/>
    <mergeCell ref="T9:U9"/>
    <mergeCell ref="V9:W9"/>
    <mergeCell ref="H1:I1"/>
    <mergeCell ref="A95:B95"/>
    <mergeCell ref="A99:B99"/>
    <mergeCell ref="A103:B103"/>
    <mergeCell ref="H9:I9"/>
    <mergeCell ref="H10:I10"/>
    <mergeCell ref="H6:I6"/>
    <mergeCell ref="H3:I3"/>
    <mergeCell ref="H2:I2"/>
    <mergeCell ref="J1:K1"/>
    <mergeCell ref="R7:S7"/>
    <mergeCell ref="R8:S8"/>
    <mergeCell ref="R9:S9"/>
    <mergeCell ref="L1:M1"/>
    <mergeCell ref="L7:M7"/>
    <mergeCell ref="J9:K9"/>
    <mergeCell ref="N9:O9"/>
    <mergeCell ref="N5:O5"/>
    <mergeCell ref="N6:O6"/>
    <mergeCell ref="L8:M8"/>
    <mergeCell ref="L9:M9"/>
    <mergeCell ref="P1:Q1"/>
    <mergeCell ref="P3:Q3"/>
    <mergeCell ref="P4:Q4"/>
    <mergeCell ref="P5:Q5"/>
    <mergeCell ref="A107:B107"/>
    <mergeCell ref="A111:B111"/>
    <mergeCell ref="Z8:AA8"/>
    <mergeCell ref="J7:K7"/>
    <mergeCell ref="X7:Y7"/>
    <mergeCell ref="H7:I7"/>
    <mergeCell ref="T7:U7"/>
    <mergeCell ref="N7:O7"/>
    <mergeCell ref="Z7:AA7"/>
    <mergeCell ref="J8:K8"/>
    <mergeCell ref="X8:Y8"/>
    <mergeCell ref="H8:I8"/>
    <mergeCell ref="T8:U8"/>
    <mergeCell ref="N8:O8"/>
    <mergeCell ref="V7:W7"/>
    <mergeCell ref="V8:W8"/>
    <mergeCell ref="T6:U6"/>
    <mergeCell ref="Z6:AA6"/>
    <mergeCell ref="J5:K5"/>
    <mergeCell ref="X5:Y5"/>
    <mergeCell ref="H5:I5"/>
    <mergeCell ref="T5:U5"/>
    <mergeCell ref="V5:W5"/>
    <mergeCell ref="V6:W6"/>
    <mergeCell ref="R5:S5"/>
    <mergeCell ref="R6:S6"/>
    <mergeCell ref="L5:M5"/>
    <mergeCell ref="L6:M6"/>
    <mergeCell ref="T3:U3"/>
    <mergeCell ref="Z3:AA3"/>
    <mergeCell ref="J4:K4"/>
    <mergeCell ref="X4:Y4"/>
    <mergeCell ref="H4:I4"/>
    <mergeCell ref="T4:U4"/>
    <mergeCell ref="V3:W3"/>
    <mergeCell ref="V4:W4"/>
    <mergeCell ref="R3:S3"/>
    <mergeCell ref="R4:S4"/>
    <mergeCell ref="L3:M3"/>
    <mergeCell ref="L4:M4"/>
    <mergeCell ref="T2:U2"/>
    <mergeCell ref="V2:W2"/>
    <mergeCell ref="R2:S2"/>
    <mergeCell ref="L2:M2"/>
    <mergeCell ref="N2:O2"/>
    <mergeCell ref="P2:Q2"/>
    <mergeCell ref="P8:Q8"/>
    <mergeCell ref="P9:Q9"/>
    <mergeCell ref="P10:Q10"/>
    <mergeCell ref="Z2:AA2"/>
    <mergeCell ref="J2:K2"/>
    <mergeCell ref="X2:Y2"/>
    <mergeCell ref="Z4:AA4"/>
    <mergeCell ref="J3:K3"/>
    <mergeCell ref="X3:Y3"/>
    <mergeCell ref="Z5:AA5"/>
    <mergeCell ref="J6:K6"/>
    <mergeCell ref="X6:Y6"/>
    <mergeCell ref="Z9:AA9"/>
    <mergeCell ref="J10:K10"/>
    <mergeCell ref="N10:O10"/>
    <mergeCell ref="T10:U10"/>
    <mergeCell ref="N1:O1"/>
    <mergeCell ref="N3:O3"/>
    <mergeCell ref="N4:O4"/>
    <mergeCell ref="P6:Q6"/>
    <mergeCell ref="P7:Q7"/>
  </mergeCells>
  <conditionalFormatting sqref="H22:H34">
    <cfRule type="cellIs" dxfId="765" priority="143" operator="equal">
      <formula>"X"</formula>
    </cfRule>
    <cfRule type="cellIs" dxfId="764" priority="144" operator="equal">
      <formula>"I"</formula>
    </cfRule>
  </conditionalFormatting>
  <conditionalFormatting sqref="H36:H86">
    <cfRule type="cellIs" dxfId="763" priority="133" operator="equal">
      <formula>"X"</formula>
    </cfRule>
    <cfRule type="cellIs" dxfId="762" priority="134" operator="equal">
      <formula>"I"</formula>
    </cfRule>
  </conditionalFormatting>
  <conditionalFormatting sqref="J22:J34">
    <cfRule type="cellIs" dxfId="761" priority="131" operator="equal">
      <formula>"X"</formula>
    </cfRule>
    <cfRule type="cellIs" dxfId="760" priority="132" operator="equal">
      <formula>"I"</formula>
    </cfRule>
  </conditionalFormatting>
  <conditionalFormatting sqref="J37:J38">
    <cfRule type="cellIs" dxfId="759" priority="61" operator="equal">
      <formula>"X"</formula>
    </cfRule>
    <cfRule type="cellIs" dxfId="758" priority="62" operator="equal">
      <formula>"I"</formula>
    </cfRule>
  </conditionalFormatting>
  <conditionalFormatting sqref="J40:J85">
    <cfRule type="cellIs" dxfId="757" priority="123" operator="equal">
      <formula>"X"</formula>
    </cfRule>
    <cfRule type="cellIs" dxfId="756" priority="124" operator="equal">
      <formula>"I"</formula>
    </cfRule>
  </conditionalFormatting>
  <conditionalFormatting sqref="L22:L34">
    <cfRule type="cellIs" dxfId="755" priority="11" operator="equal">
      <formula>"X"</formula>
    </cfRule>
    <cfRule type="cellIs" dxfId="754" priority="12" operator="equal">
      <formula>"I"</formula>
    </cfRule>
  </conditionalFormatting>
  <conditionalFormatting sqref="L37:L38">
    <cfRule type="cellIs" dxfId="753" priority="7" operator="equal">
      <formula>"X"</formula>
    </cfRule>
    <cfRule type="cellIs" dxfId="752" priority="8" operator="equal">
      <formula>"I"</formula>
    </cfRule>
  </conditionalFormatting>
  <conditionalFormatting sqref="L40:L85">
    <cfRule type="cellIs" dxfId="751" priority="9" operator="equal">
      <formula>"X"</formula>
    </cfRule>
    <cfRule type="cellIs" dxfId="750" priority="10" operator="equal">
      <formula>"I"</formula>
    </cfRule>
  </conditionalFormatting>
  <conditionalFormatting sqref="N22:N34">
    <cfRule type="cellIs" dxfId="749" priority="99" operator="equal">
      <formula>"X"</formula>
    </cfRule>
    <cfRule type="cellIs" dxfId="748" priority="100" operator="equal">
      <formula>"I"</formula>
    </cfRule>
  </conditionalFormatting>
  <conditionalFormatting sqref="N36:N38">
    <cfRule type="cellIs" dxfId="747" priority="97" operator="equal">
      <formula>"X"</formula>
    </cfRule>
    <cfRule type="cellIs" dxfId="746" priority="98" operator="equal">
      <formula>"I"</formula>
    </cfRule>
  </conditionalFormatting>
  <conditionalFormatting sqref="N40:N86">
    <cfRule type="cellIs" dxfId="745" priority="79" operator="equal">
      <formula>"X"</formula>
    </cfRule>
    <cfRule type="cellIs" dxfId="744" priority="80" operator="equal">
      <formula>"I"</formula>
    </cfRule>
  </conditionalFormatting>
  <conditionalFormatting sqref="P22:P34">
    <cfRule type="cellIs" dxfId="743" priority="5" operator="equal">
      <formula>"X"</formula>
    </cfRule>
    <cfRule type="cellIs" dxfId="742" priority="6" operator="equal">
      <formula>"I"</formula>
    </cfRule>
  </conditionalFormatting>
  <conditionalFormatting sqref="P36:P38">
    <cfRule type="cellIs" dxfId="741" priority="3" operator="equal">
      <formula>"X"</formula>
    </cfRule>
    <cfRule type="cellIs" dxfId="740" priority="4" operator="equal">
      <formula>"I"</formula>
    </cfRule>
  </conditionalFormatting>
  <conditionalFormatting sqref="P40:P86">
    <cfRule type="cellIs" dxfId="739" priority="1" operator="equal">
      <formula>"X"</formula>
    </cfRule>
    <cfRule type="cellIs" dxfId="738" priority="2" operator="equal">
      <formula>"I"</formula>
    </cfRule>
  </conditionalFormatting>
  <conditionalFormatting sqref="R22:R34">
    <cfRule type="cellIs" dxfId="737" priority="65" operator="equal">
      <formula>"X"</formula>
    </cfRule>
    <cfRule type="cellIs" dxfId="736" priority="66" operator="equal">
      <formula>"I"</formula>
    </cfRule>
  </conditionalFormatting>
  <conditionalFormatting sqref="R37:R38">
    <cfRule type="cellIs" dxfId="735" priority="63" operator="equal">
      <formula>"X"</formula>
    </cfRule>
    <cfRule type="cellIs" dxfId="734" priority="64" operator="equal">
      <formula>"I"</formula>
    </cfRule>
  </conditionalFormatting>
  <conditionalFormatting sqref="R40:R85">
    <cfRule type="cellIs" dxfId="733" priority="13" operator="equal">
      <formula>"X"</formula>
    </cfRule>
    <cfRule type="cellIs" dxfId="732" priority="14" operator="equal">
      <formula>"I"</formula>
    </cfRule>
  </conditionalFormatting>
  <conditionalFormatting sqref="T22:T34">
    <cfRule type="cellIs" dxfId="731" priority="111" operator="equal">
      <formula>"X"</formula>
    </cfRule>
    <cfRule type="cellIs" dxfId="730" priority="112" operator="equal">
      <formula>"I"</formula>
    </cfRule>
  </conditionalFormatting>
  <conditionalFormatting sqref="T36:T86">
    <cfRule type="cellIs" dxfId="729" priority="71" operator="equal">
      <formula>"X"</formula>
    </cfRule>
    <cfRule type="cellIs" dxfId="728" priority="72" operator="equal">
      <formula>"I"</formula>
    </cfRule>
  </conditionalFormatting>
  <conditionalFormatting sqref="V22:V34">
    <cfRule type="cellIs" dxfId="727" priority="73" operator="equal">
      <formula>"X"</formula>
    </cfRule>
    <cfRule type="cellIs" dxfId="726" priority="74" operator="equal">
      <formula>"I"</formula>
    </cfRule>
  </conditionalFormatting>
  <conditionalFormatting sqref="V37:V38">
    <cfRule type="cellIs" dxfId="725" priority="77" operator="equal">
      <formula>"X"</formula>
    </cfRule>
    <cfRule type="cellIs" dxfId="724" priority="78" operator="equal">
      <formula>"I"</formula>
    </cfRule>
  </conditionalFormatting>
  <conditionalFormatting sqref="V40:V85">
    <cfRule type="cellIs" dxfId="723" priority="75" operator="equal">
      <formula>"X"</formula>
    </cfRule>
    <cfRule type="cellIs" dxfId="722" priority="76" operator="equal">
      <formula>"I"</formula>
    </cfRule>
  </conditionalFormatting>
  <conditionalFormatting sqref="X22:X34">
    <cfRule type="cellIs" dxfId="721" priority="113" operator="equal">
      <formula>"X"</formula>
    </cfRule>
    <cfRule type="cellIs" dxfId="720" priority="114" operator="equal">
      <formula>"I"</formula>
    </cfRule>
  </conditionalFormatting>
  <conditionalFormatting sqref="X37:X38">
    <cfRule type="cellIs" dxfId="719" priority="117" operator="equal">
      <formula>"X"</formula>
    </cfRule>
    <cfRule type="cellIs" dxfId="718" priority="118" operator="equal">
      <formula>"I"</formula>
    </cfRule>
  </conditionalFormatting>
  <conditionalFormatting sqref="X40:X85">
    <cfRule type="cellIs" dxfId="717" priority="115" operator="equal">
      <formula>"X"</formula>
    </cfRule>
    <cfRule type="cellIs" dxfId="716" priority="116" operator="equal">
      <formula>"I"</formula>
    </cfRule>
  </conditionalFormatting>
  <conditionalFormatting sqref="Z22:Z34">
    <cfRule type="cellIs" dxfId="715" priority="209" operator="equal">
      <formula>"X"</formula>
    </cfRule>
    <cfRule type="cellIs" dxfId="714" priority="210" operator="equal">
      <formula>"I"</formula>
    </cfRule>
  </conditionalFormatting>
  <conditionalFormatting sqref="Z36:Z86">
    <cfRule type="cellIs" dxfId="713" priority="81" operator="equal">
      <formula>"X"</formula>
    </cfRule>
    <cfRule type="cellIs" dxfId="712" priority="82" operator="equal">
      <formula>"I"</formula>
    </cfRule>
  </conditionalFormatting>
  <hyperlinks>
    <hyperlink ref="B3" location="'Cost Summary'!A1" display="BACK TO SUMMARY SHEET" xr:uid="{7335676E-F27E-44AE-95DE-A0E0D29C3A86}"/>
    <hyperlink ref="X7:Y7" r:id="rId1" display="drodriguez@biwiron.com" xr:uid="{917FD7BF-0C61-4AFA-8D96-FB24724664D5}"/>
    <hyperlink ref="H7:I7" r:id="rId2" display="chris@cacocf.com" xr:uid="{5DA2D744-BCB3-4976-AAD4-69E8C067273B}"/>
    <hyperlink ref="T7:U7" r:id="rId3" display="lmontes@coastalmetal.biz" xr:uid="{4AD7C1F7-4960-46FF-B0DF-2C7DCD66D431}"/>
    <hyperlink ref="V7:W7" r:id="rId4" display="drodriguez@biwiron.com" xr:uid="{CDC93D58-25F0-41A6-A33A-453BE18421E0}"/>
    <hyperlink ref="N7:O7" r:id="rId5" display="&lt;estimatingai@theawningfactory.com&gt;" xr:uid="{D6AC699A-8530-4AFA-90AF-A8B7F2C9500F}"/>
    <hyperlink ref="R7:S7" r:id="rId6" display="vfernandez@aawimpact.com&gt;" xr:uid="{C667AC58-3C99-4BE3-A186-D3A9F39552C3}"/>
    <hyperlink ref="P7:Q7" r:id="rId7" display="&lt;estimatingai@theawningfactory.com&gt;" xr:uid="{D11FB156-551D-48EB-AE9E-9A0B20D38394}"/>
  </hyperlinks>
  <pageMargins left="0.7" right="0.7" top="0.75" bottom="0.75" header="0.3" footer="0.3"/>
  <pageSetup scale="71" orientation="portrait" horizontalDpi="1200" verticalDpi="1200" r:id="rId8"/>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D45-DC80-4EE5-93C3-DC41FFD74E3A}">
  <sheetPr>
    <tabColor rgb="FF92D050"/>
  </sheetPr>
  <dimension ref="A1:S99"/>
  <sheetViews>
    <sheetView zoomScale="85" zoomScaleNormal="85" workbookViewId="0">
      <pane xSplit="2" ySplit="9" topLeftCell="C20" activePane="bottomRight" state="frozen"/>
      <selection pane="topRight" activeCell="C1" sqref="C1"/>
      <selection pane="bottomLeft" activeCell="A10" sqref="A10"/>
      <selection pane="bottomRight" activeCell="F29" sqref="F2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3043</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3044</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45">
        <f>I60</f>
        <v>0</v>
      </c>
      <c r="I8" s="3944"/>
      <c r="J8" s="3945">
        <f>K60</f>
        <v>0</v>
      </c>
      <c r="K8" s="3944"/>
      <c r="L8" s="3945">
        <f>M60</f>
        <v>0</v>
      </c>
      <c r="M8" s="3944"/>
      <c r="N8" s="3945">
        <f>O60</f>
        <v>0</v>
      </c>
      <c r="O8" s="3944"/>
      <c r="P8" s="3945">
        <f>Q60</f>
        <v>0</v>
      </c>
      <c r="Q8" s="3944"/>
      <c r="R8" s="3945">
        <f>S60</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672"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286"/>
      <c r="B21" s="2203" t="s">
        <v>3043</v>
      </c>
      <c r="C21" s="2201"/>
      <c r="D21" s="2285"/>
      <c r="E21" s="2285"/>
      <c r="F21" s="2285"/>
      <c r="G21" s="2198"/>
      <c r="H21" s="2109"/>
      <c r="I21" s="2107"/>
      <c r="J21" s="2109"/>
      <c r="K21" s="2107"/>
      <c r="L21" s="2109"/>
      <c r="M21" s="2107"/>
      <c r="N21" s="2109"/>
      <c r="O21" s="2107"/>
      <c r="P21" s="2109"/>
      <c r="Q21" s="2107"/>
      <c r="R21" s="2109"/>
      <c r="S21" s="2107"/>
    </row>
    <row r="22" spans="1:19" x14ac:dyDescent="0.35">
      <c r="A22" s="2673"/>
      <c r="B22" s="606" t="s">
        <v>657</v>
      </c>
      <c r="C22" s="2201"/>
      <c r="D22" s="2285"/>
      <c r="E22" s="2285"/>
      <c r="F22" s="2285"/>
      <c r="G22" s="2198"/>
      <c r="H22" s="2109"/>
      <c r="I22" s="2625"/>
      <c r="J22" s="2109"/>
      <c r="K22" s="2625"/>
      <c r="L22" s="2109"/>
      <c r="M22" s="2625"/>
      <c r="N22" s="2109"/>
      <c r="O22" s="2625"/>
      <c r="P22" s="2109"/>
      <c r="Q22" s="2625"/>
      <c r="R22" s="2109"/>
      <c r="S22" s="2625"/>
    </row>
    <row r="23" spans="1:19" x14ac:dyDescent="0.35">
      <c r="A23" s="2673"/>
      <c r="B23" s="2627" t="s">
        <v>658</v>
      </c>
      <c r="C23" s="2201"/>
      <c r="D23" s="2285"/>
      <c r="E23" s="2285"/>
      <c r="F23" s="2285"/>
      <c r="G23" s="2198"/>
      <c r="H23" s="2109"/>
      <c r="I23" s="2626"/>
      <c r="J23" s="2109"/>
      <c r="K23" s="2625"/>
      <c r="L23" s="2109"/>
      <c r="M23" s="2625"/>
      <c r="N23" s="2109"/>
      <c r="O23" s="2625"/>
      <c r="P23" s="2109"/>
      <c r="Q23" s="2625"/>
      <c r="R23" s="2109"/>
      <c r="S23" s="2625"/>
    </row>
    <row r="24" spans="1:19" x14ac:dyDescent="0.35">
      <c r="A24" s="2673"/>
      <c r="B24" s="2627" t="s">
        <v>659</v>
      </c>
      <c r="C24" s="2208"/>
      <c r="D24" s="2285"/>
      <c r="E24" s="2285"/>
      <c r="F24" s="2285"/>
      <c r="G24" s="2198"/>
      <c r="H24" s="2109"/>
      <c r="I24" s="2626"/>
      <c r="J24" s="2109"/>
      <c r="K24" s="2625"/>
      <c r="L24" s="2109"/>
      <c r="M24" s="2625"/>
      <c r="N24" s="2109"/>
      <c r="O24" s="2625"/>
      <c r="P24" s="2109"/>
      <c r="Q24" s="2625"/>
      <c r="R24" s="2109"/>
      <c r="S24" s="2625"/>
    </row>
    <row r="25" spans="1:19" x14ac:dyDescent="0.35">
      <c r="A25" s="2673"/>
      <c r="B25" s="2636" t="s">
        <v>660</v>
      </c>
      <c r="C25" s="2208"/>
      <c r="D25" s="2285"/>
      <c r="E25" s="2285"/>
      <c r="F25" s="2285"/>
      <c r="G25" s="2198"/>
      <c r="H25" s="2109"/>
      <c r="I25" s="2626"/>
      <c r="J25" s="2109"/>
      <c r="K25" s="2625"/>
      <c r="L25" s="2109"/>
      <c r="M25" s="2625"/>
      <c r="N25" s="2109"/>
      <c r="O25" s="2625"/>
      <c r="P25" s="2109"/>
      <c r="Q25" s="2625"/>
      <c r="R25" s="2109"/>
      <c r="S25" s="2625"/>
    </row>
    <row r="26" spans="1:19" s="77" customFormat="1" x14ac:dyDescent="0.35">
      <c r="A26" s="2685"/>
      <c r="B26" s="2636" t="s">
        <v>661</v>
      </c>
      <c r="C26" s="2211"/>
      <c r="D26" s="2212"/>
      <c r="E26" s="2212"/>
      <c r="F26" s="2212"/>
      <c r="G26" s="2211"/>
      <c r="H26" s="2109"/>
      <c r="I26" s="2626"/>
      <c r="J26" s="2109"/>
      <c r="K26" s="2637"/>
      <c r="L26" s="2109"/>
      <c r="M26" s="2637"/>
      <c r="N26" s="2109"/>
      <c r="O26" s="2637"/>
      <c r="P26" s="2109"/>
      <c r="Q26" s="2637"/>
      <c r="R26" s="2109"/>
      <c r="S26" s="2637"/>
    </row>
    <row r="27" spans="1:19" s="77" customFormat="1" x14ac:dyDescent="0.35">
      <c r="A27" s="2685"/>
      <c r="B27" s="2636" t="s">
        <v>662</v>
      </c>
      <c r="C27" s="2211"/>
      <c r="D27" s="2212"/>
      <c r="E27" s="2212"/>
      <c r="F27" s="2212"/>
      <c r="G27" s="2211"/>
      <c r="H27" s="2109"/>
      <c r="I27" s="2626"/>
      <c r="J27" s="2109"/>
      <c r="K27" s="2637"/>
      <c r="L27" s="2109"/>
      <c r="M27" s="2637"/>
      <c r="N27" s="2109"/>
      <c r="O27" s="2637"/>
      <c r="P27" s="2109"/>
      <c r="Q27" s="2637"/>
      <c r="R27" s="2109"/>
      <c r="S27" s="2637"/>
    </row>
    <row r="28" spans="1:19" s="77" customFormat="1" x14ac:dyDescent="0.35">
      <c r="A28" s="2685"/>
      <c r="B28" s="2636" t="s">
        <v>663</v>
      </c>
      <c r="C28" s="2211"/>
      <c r="D28" s="2212"/>
      <c r="E28" s="2212"/>
      <c r="F28" s="2212"/>
      <c r="G28" s="2211"/>
      <c r="H28" s="2109"/>
      <c r="I28" s="2626"/>
      <c r="J28" s="2109"/>
      <c r="K28" s="2637"/>
      <c r="L28" s="2109"/>
      <c r="M28" s="2637"/>
      <c r="N28" s="2109"/>
      <c r="O28" s="2637"/>
      <c r="P28" s="2109"/>
      <c r="Q28" s="2637"/>
      <c r="R28" s="2109"/>
      <c r="S28" s="2637"/>
    </row>
    <row r="29" spans="1:19" s="77" customFormat="1" x14ac:dyDescent="0.35">
      <c r="A29" s="2685"/>
      <c r="B29" s="2636" t="s">
        <v>742</v>
      </c>
      <c r="C29" s="2211"/>
      <c r="D29" s="2212"/>
      <c r="E29" s="2212"/>
      <c r="F29" s="2212"/>
      <c r="G29" s="2211"/>
      <c r="H29" s="2109"/>
      <c r="I29" s="2626"/>
      <c r="J29" s="2109"/>
      <c r="K29" s="2637"/>
      <c r="L29" s="2109"/>
      <c r="M29" s="2637"/>
      <c r="N29" s="2109"/>
      <c r="O29" s="2637"/>
      <c r="P29" s="2109"/>
      <c r="Q29" s="2637"/>
      <c r="R29" s="2109"/>
      <c r="S29" s="2637"/>
    </row>
    <row r="30" spans="1:19" s="77" customFormat="1" x14ac:dyDescent="0.35">
      <c r="A30" s="2685"/>
      <c r="B30" s="2675" t="s">
        <v>664</v>
      </c>
      <c r="C30" s="2211"/>
      <c r="D30" s="2212"/>
      <c r="E30" s="2212"/>
      <c r="F30" s="2212"/>
      <c r="G30" s="2211"/>
      <c r="H30" s="2109"/>
      <c r="I30" s="2626"/>
      <c r="J30" s="2109"/>
      <c r="K30" s="2637"/>
      <c r="L30" s="2109"/>
      <c r="M30" s="2637"/>
      <c r="N30" s="2109"/>
      <c r="O30" s="2637"/>
      <c r="P30" s="2109"/>
      <c r="Q30" s="2637"/>
      <c r="R30" s="2109"/>
      <c r="S30" s="2637"/>
    </row>
    <row r="31" spans="1:19" s="77" customFormat="1" x14ac:dyDescent="0.35">
      <c r="A31" s="2685"/>
      <c r="B31" s="2676" t="s">
        <v>665</v>
      </c>
      <c r="C31" s="2216"/>
      <c r="D31" s="2217"/>
      <c r="E31" s="2217"/>
      <c r="F31" s="2217"/>
      <c r="G31" s="2216"/>
      <c r="H31" s="2288"/>
      <c r="I31" s="2678"/>
      <c r="J31" s="2289"/>
      <c r="K31" s="2677"/>
      <c r="L31" s="2289"/>
      <c r="M31" s="2677"/>
      <c r="N31" s="2677"/>
      <c r="O31" s="2677"/>
      <c r="P31" s="2677"/>
      <c r="Q31" s="2677"/>
      <c r="R31" s="2677"/>
      <c r="S31" s="2677"/>
    </row>
    <row r="32" spans="1:19" s="77" customFormat="1" x14ac:dyDescent="0.35">
      <c r="A32" s="2685"/>
      <c r="B32" s="127"/>
      <c r="C32" s="2211"/>
      <c r="D32" s="2212"/>
      <c r="E32" s="2212"/>
      <c r="F32" s="2212"/>
      <c r="G32" s="2211"/>
      <c r="H32" s="2331"/>
      <c r="I32" s="2626"/>
      <c r="J32" s="2334"/>
      <c r="K32" s="2637"/>
      <c r="L32" s="2109"/>
      <c r="M32" s="2637"/>
      <c r="N32" s="2109"/>
      <c r="O32" s="2637"/>
      <c r="P32" s="2109"/>
      <c r="Q32" s="2637"/>
      <c r="R32" s="2109"/>
      <c r="S32" s="2637"/>
    </row>
    <row r="33" spans="1:19" s="77" customFormat="1" x14ac:dyDescent="0.35">
      <c r="A33" s="2692"/>
      <c r="B33" s="2234"/>
      <c r="C33" s="2236"/>
      <c r="D33" s="2212"/>
      <c r="E33" s="2212"/>
      <c r="F33" s="2212"/>
      <c r="G33" s="2211"/>
      <c r="H33" s="2331"/>
      <c r="I33" s="2626"/>
      <c r="J33" s="2334"/>
      <c r="K33" s="2637"/>
      <c r="L33" s="2109"/>
      <c r="M33" s="2637"/>
      <c r="N33" s="2109"/>
      <c r="O33" s="2637"/>
      <c r="P33" s="2109"/>
      <c r="Q33" s="2637"/>
      <c r="R33" s="2109"/>
      <c r="S33" s="2637"/>
    </row>
    <row r="34" spans="1:19" s="77" customFormat="1" x14ac:dyDescent="0.35">
      <c r="A34" s="2692"/>
      <c r="B34" s="2235"/>
      <c r="C34" s="2236"/>
      <c r="D34" s="2212"/>
      <c r="E34" s="2212"/>
      <c r="F34" s="2212"/>
      <c r="G34" s="2211"/>
      <c r="H34" s="2331"/>
      <c r="I34" s="2626"/>
      <c r="J34" s="2334"/>
      <c r="K34" s="2637"/>
      <c r="L34" s="2109"/>
      <c r="M34" s="2637"/>
      <c r="N34" s="2109"/>
      <c r="O34" s="2637"/>
      <c r="P34" s="2109" t="s">
        <v>669</v>
      </c>
      <c r="Q34" s="2637"/>
      <c r="R34" s="2109"/>
      <c r="S34" s="2637"/>
    </row>
    <row r="35" spans="1:19" s="77" customFormat="1" x14ac:dyDescent="0.35">
      <c r="A35" s="2692"/>
      <c r="B35" s="2235"/>
      <c r="C35" s="2236"/>
      <c r="D35" s="2212"/>
      <c r="E35" s="2212"/>
      <c r="F35" s="2212"/>
      <c r="G35" s="2211"/>
      <c r="H35" s="2331"/>
      <c r="I35" s="2626"/>
      <c r="J35" s="2334"/>
      <c r="K35" s="2637"/>
      <c r="L35" s="2109"/>
      <c r="M35" s="2637"/>
      <c r="N35" s="2109"/>
      <c r="O35" s="2637"/>
      <c r="P35" s="2109"/>
      <c r="Q35" s="2637"/>
      <c r="R35" s="2109"/>
      <c r="S35" s="2637"/>
    </row>
    <row r="36" spans="1:19" s="77" customFormat="1" x14ac:dyDescent="0.35">
      <c r="A36" s="2692"/>
      <c r="B36" s="2317"/>
      <c r="C36" s="2236"/>
      <c r="D36" s="2212"/>
      <c r="E36" s="2212"/>
      <c r="F36" s="2212"/>
      <c r="G36" s="2211"/>
      <c r="H36" s="2331"/>
      <c r="I36" s="2626"/>
      <c r="J36" s="2334"/>
      <c r="K36" s="2637"/>
      <c r="L36" s="2109"/>
      <c r="M36" s="2637"/>
      <c r="N36" s="2109"/>
      <c r="O36" s="2637"/>
      <c r="P36" s="2109"/>
      <c r="Q36" s="2637"/>
      <c r="R36" s="2109"/>
      <c r="S36" s="2637"/>
    </row>
    <row r="37" spans="1:19" s="77" customFormat="1" x14ac:dyDescent="0.35">
      <c r="A37" s="2692"/>
      <c r="B37" s="2235"/>
      <c r="C37" s="2236"/>
      <c r="D37" s="2212"/>
      <c r="E37" s="2212"/>
      <c r="F37" s="2212"/>
      <c r="G37" s="2211"/>
      <c r="H37" s="2331"/>
      <c r="I37" s="2626"/>
      <c r="J37" s="2334"/>
      <c r="K37" s="2637"/>
      <c r="L37" s="2109"/>
      <c r="M37" s="2637"/>
      <c r="N37" s="2109"/>
      <c r="O37" s="2637"/>
      <c r="P37" s="2109"/>
      <c r="Q37" s="2637"/>
      <c r="R37" s="2109"/>
      <c r="S37" s="2637"/>
    </row>
    <row r="38" spans="1:19" s="77" customFormat="1" x14ac:dyDescent="0.35">
      <c r="A38" s="2692"/>
      <c r="B38" s="2235"/>
      <c r="C38" s="2236"/>
      <c r="D38" s="2212"/>
      <c r="E38" s="2341"/>
      <c r="F38" s="2342"/>
      <c r="G38" s="2211"/>
      <c r="H38" s="2331"/>
      <c r="I38" s="2626"/>
      <c r="J38" s="2334"/>
      <c r="K38" s="2637"/>
      <c r="L38" s="2109"/>
      <c r="M38" s="2637"/>
      <c r="N38" s="2109"/>
      <c r="O38" s="2637"/>
      <c r="P38" s="2109"/>
      <c r="Q38" s="2637"/>
      <c r="R38" s="2109"/>
      <c r="S38" s="2637"/>
    </row>
    <row r="39" spans="1:19" s="77" customFormat="1" x14ac:dyDescent="0.35">
      <c r="A39" s="2692"/>
      <c r="B39" s="2235"/>
      <c r="C39" s="2236"/>
      <c r="D39" s="2212"/>
      <c r="E39" s="2341"/>
      <c r="F39" s="2342"/>
      <c r="G39" s="2211"/>
      <c r="H39" s="2331"/>
      <c r="I39" s="2626"/>
      <c r="J39" s="2334"/>
      <c r="K39" s="2637"/>
      <c r="L39" s="2109"/>
      <c r="M39" s="2637"/>
      <c r="N39" s="2109"/>
      <c r="O39" s="2637"/>
      <c r="P39" s="2109"/>
      <c r="Q39" s="2637"/>
      <c r="R39" s="2109"/>
      <c r="S39" s="2637"/>
    </row>
    <row r="40" spans="1:19" s="77" customFormat="1" x14ac:dyDescent="0.35">
      <c r="A40" s="2692"/>
      <c r="B40" s="2235"/>
      <c r="C40" s="2236"/>
      <c r="D40" s="2212"/>
      <c r="E40" s="2341"/>
      <c r="F40" s="2342"/>
      <c r="G40" s="2211"/>
      <c r="H40" s="2331"/>
      <c r="I40" s="2626"/>
      <c r="J40" s="2334"/>
      <c r="K40" s="2637"/>
      <c r="L40" s="2109"/>
      <c r="M40" s="2637"/>
      <c r="N40" s="2109"/>
      <c r="O40" s="2637"/>
      <c r="P40" s="2109"/>
      <c r="Q40" s="2637"/>
      <c r="R40" s="2109"/>
      <c r="S40" s="2637"/>
    </row>
    <row r="41" spans="1:19" s="77" customFormat="1" x14ac:dyDescent="0.35">
      <c r="A41" s="2692"/>
      <c r="B41" s="2705"/>
      <c r="C41" s="2236"/>
      <c r="D41" s="2212"/>
      <c r="E41" s="2341"/>
      <c r="F41" s="2342"/>
      <c r="G41" s="2211"/>
      <c r="H41" s="2331"/>
      <c r="I41" s="2626"/>
      <c r="J41" s="2334"/>
      <c r="K41" s="2637"/>
      <c r="L41" s="2109"/>
      <c r="M41" s="2637"/>
      <c r="N41" s="2109"/>
      <c r="O41" s="2637"/>
      <c r="P41" s="2109"/>
      <c r="Q41" s="2637"/>
      <c r="R41" s="2109"/>
      <c r="S41" s="2637"/>
    </row>
    <row r="42" spans="1:19" s="77" customFormat="1" x14ac:dyDescent="0.35">
      <c r="A42" s="2692"/>
      <c r="B42" s="2706"/>
      <c r="C42" s="2236"/>
      <c r="D42" s="2212"/>
      <c r="E42" s="2341"/>
      <c r="F42" s="2342"/>
      <c r="G42" s="2211"/>
      <c r="H42" s="2331"/>
      <c r="I42" s="2626"/>
      <c r="J42" s="2334"/>
      <c r="K42" s="2637"/>
      <c r="L42" s="2109"/>
      <c r="M42" s="2637"/>
      <c r="N42" s="2109"/>
      <c r="O42" s="2637"/>
      <c r="P42" s="2109"/>
      <c r="Q42" s="2637"/>
      <c r="R42" s="2109"/>
      <c r="S42" s="2637"/>
    </row>
    <row r="43" spans="1:19" s="77" customFormat="1" x14ac:dyDescent="0.35">
      <c r="A43" s="2692"/>
      <c r="B43" s="128"/>
      <c r="C43" s="2236"/>
      <c r="D43" s="2212"/>
      <c r="E43" s="2341"/>
      <c r="F43" s="2342"/>
      <c r="G43" s="2211"/>
      <c r="H43" s="2331"/>
      <c r="I43" s="2626"/>
      <c r="J43" s="2334"/>
      <c r="K43" s="2637"/>
      <c r="L43" s="2109"/>
      <c r="M43" s="2637"/>
      <c r="N43" s="2109"/>
      <c r="O43" s="2637"/>
      <c r="P43" s="2109"/>
      <c r="Q43" s="2637"/>
      <c r="R43" s="2109"/>
      <c r="S43" s="2637"/>
    </row>
    <row r="44" spans="1:19" s="77" customFormat="1" x14ac:dyDescent="0.35">
      <c r="A44" s="2692"/>
      <c r="B44" s="2340"/>
      <c r="C44" s="2236"/>
      <c r="D44" s="2212"/>
      <c r="E44" s="2341"/>
      <c r="F44" s="2342"/>
      <c r="G44" s="2211"/>
      <c r="H44" s="2331"/>
      <c r="I44" s="2626"/>
      <c r="J44" s="2334"/>
      <c r="K44" s="2637"/>
      <c r="L44" s="2109"/>
      <c r="M44" s="2637"/>
      <c r="N44" s="2109"/>
      <c r="O44" s="2637"/>
      <c r="P44" s="2109"/>
      <c r="Q44" s="2637"/>
      <c r="R44" s="2109"/>
      <c r="S44" s="2637"/>
    </row>
    <row r="45" spans="1:19" s="77" customFormat="1" x14ac:dyDescent="0.35">
      <c r="A45" s="2692"/>
      <c r="B45" s="2340"/>
      <c r="C45" s="2236"/>
      <c r="D45" s="2212"/>
      <c r="E45" s="2341"/>
      <c r="F45" s="2342"/>
      <c r="G45" s="2211"/>
      <c r="H45" s="2331"/>
      <c r="I45" s="2626"/>
      <c r="J45" s="2334"/>
      <c r="K45" s="2637"/>
      <c r="L45" s="2109"/>
      <c r="M45" s="2637"/>
      <c r="N45" s="2109"/>
      <c r="O45" s="2637"/>
      <c r="P45" s="2109"/>
      <c r="Q45" s="2637"/>
      <c r="R45" s="2109"/>
      <c r="S45" s="2637"/>
    </row>
    <row r="46" spans="1:19" s="77" customFormat="1" x14ac:dyDescent="0.35">
      <c r="A46" s="2692"/>
      <c r="B46" s="2340"/>
      <c r="C46" s="2236"/>
      <c r="D46" s="2212"/>
      <c r="E46" s="2341"/>
      <c r="F46" s="2342"/>
      <c r="G46" s="2211"/>
      <c r="H46" s="2331"/>
      <c r="I46" s="2626"/>
      <c r="J46" s="2334"/>
      <c r="K46" s="2637"/>
      <c r="L46" s="2109"/>
      <c r="M46" s="2637"/>
      <c r="N46" s="2109"/>
      <c r="O46" s="2637"/>
      <c r="P46" s="2109"/>
      <c r="Q46" s="2637"/>
      <c r="R46" s="2109"/>
      <c r="S46" s="2637"/>
    </row>
    <row r="47" spans="1:19" s="77" customFormat="1" x14ac:dyDescent="0.35">
      <c r="A47" s="2692"/>
      <c r="B47" s="2340"/>
      <c r="C47" s="2236"/>
      <c r="D47" s="2212"/>
      <c r="E47" s="2341"/>
      <c r="F47" s="2342"/>
      <c r="G47" s="2211"/>
      <c r="H47" s="2331"/>
      <c r="I47" s="2626"/>
      <c r="J47" s="2334"/>
      <c r="K47" s="2637"/>
      <c r="L47" s="2109"/>
      <c r="M47" s="2637"/>
      <c r="N47" s="2109"/>
      <c r="O47" s="2637"/>
      <c r="P47" s="2109"/>
      <c r="Q47" s="2637"/>
      <c r="R47" s="2109"/>
      <c r="S47" s="2637"/>
    </row>
    <row r="48" spans="1:19" s="77" customFormat="1" x14ac:dyDescent="0.35">
      <c r="A48" s="2692"/>
      <c r="B48" s="2340"/>
      <c r="C48" s="2236"/>
      <c r="D48" s="2212"/>
      <c r="E48" s="2341"/>
      <c r="F48" s="2342"/>
      <c r="G48" s="2211"/>
      <c r="H48" s="2331"/>
      <c r="I48" s="2626"/>
      <c r="J48" s="2334"/>
      <c r="K48" s="2637"/>
      <c r="L48" s="2109"/>
      <c r="M48" s="2637"/>
      <c r="N48" s="2109"/>
      <c r="O48" s="2637"/>
      <c r="P48" s="2109"/>
      <c r="Q48" s="2637"/>
      <c r="R48" s="2109"/>
      <c r="S48" s="2637"/>
    </row>
    <row r="49" spans="1:19" s="77" customFormat="1" x14ac:dyDescent="0.35">
      <c r="A49" s="2692"/>
      <c r="B49" s="2340"/>
      <c r="C49" s="2236"/>
      <c r="D49" s="2212"/>
      <c r="E49" s="2341"/>
      <c r="F49" s="2342"/>
      <c r="G49" s="2211"/>
      <c r="H49" s="2331"/>
      <c r="I49" s="2626"/>
      <c r="J49" s="2334"/>
      <c r="K49" s="2637"/>
      <c r="L49" s="2109"/>
      <c r="M49" s="2637"/>
      <c r="N49" s="2109"/>
      <c r="O49" s="2637"/>
      <c r="P49" s="2109"/>
      <c r="Q49" s="2637"/>
      <c r="R49" s="2109"/>
      <c r="S49" s="2637"/>
    </row>
    <row r="50" spans="1:19" s="77" customFormat="1" x14ac:dyDescent="0.35">
      <c r="A50" s="2692"/>
      <c r="B50" s="2340"/>
      <c r="C50" s="2236"/>
      <c r="D50" s="2212"/>
      <c r="E50" s="2341"/>
      <c r="F50" s="2342"/>
      <c r="G50" s="2211"/>
      <c r="H50" s="2331"/>
      <c r="I50" s="2626"/>
      <c r="J50" s="2334"/>
      <c r="K50" s="2637"/>
      <c r="L50" s="2109"/>
      <c r="M50" s="2637"/>
      <c r="N50" s="2109"/>
      <c r="O50" s="2637"/>
      <c r="P50" s="2109"/>
      <c r="Q50" s="2637"/>
      <c r="R50" s="2109"/>
      <c r="S50" s="2637"/>
    </row>
    <row r="51" spans="1:19" s="77" customFormat="1" x14ac:dyDescent="0.35">
      <c r="A51" s="2692"/>
      <c r="B51" s="2340"/>
      <c r="C51" s="2236"/>
      <c r="D51" s="2212"/>
      <c r="E51" s="2341"/>
      <c r="F51" s="2342"/>
      <c r="G51" s="2211"/>
      <c r="H51" s="2331"/>
      <c r="I51" s="2626"/>
      <c r="J51" s="2334"/>
      <c r="K51" s="2637"/>
      <c r="L51" s="2109"/>
      <c r="M51" s="2637"/>
      <c r="N51" s="2109"/>
      <c r="O51" s="2637"/>
      <c r="P51" s="2109"/>
      <c r="Q51" s="2637"/>
      <c r="R51" s="2109"/>
      <c r="S51" s="2637"/>
    </row>
    <row r="52" spans="1:19" s="77" customFormat="1" x14ac:dyDescent="0.35">
      <c r="A52" s="2692"/>
      <c r="B52" s="2340"/>
      <c r="C52" s="2236"/>
      <c r="D52" s="2212"/>
      <c r="E52" s="2341"/>
      <c r="F52" s="2342"/>
      <c r="G52" s="2211"/>
      <c r="H52" s="2331"/>
      <c r="I52" s="2626"/>
      <c r="J52" s="2334"/>
      <c r="K52" s="2637"/>
      <c r="L52" s="2109"/>
      <c r="M52" s="2637"/>
      <c r="N52" s="2109"/>
      <c r="O52" s="2637"/>
      <c r="P52" s="2109"/>
      <c r="Q52" s="2637"/>
      <c r="R52" s="2109"/>
      <c r="S52" s="2637"/>
    </row>
    <row r="53" spans="1:19" s="77" customFormat="1" x14ac:dyDescent="0.35">
      <c r="A53" s="2692"/>
      <c r="B53" s="2340"/>
      <c r="C53" s="2236"/>
      <c r="D53" s="2212"/>
      <c r="E53" s="2341"/>
      <c r="F53" s="2342"/>
      <c r="G53" s="2211"/>
      <c r="H53" s="2331"/>
      <c r="I53" s="2626"/>
      <c r="J53" s="2334"/>
      <c r="K53" s="2637"/>
      <c r="L53" s="2109"/>
      <c r="M53" s="2637"/>
      <c r="N53" s="2109"/>
      <c r="O53" s="2637"/>
      <c r="P53" s="2109"/>
      <c r="Q53" s="2637"/>
      <c r="R53" s="2109"/>
      <c r="S53" s="2637"/>
    </row>
    <row r="54" spans="1:19" s="77" customFormat="1" ht="16.5" customHeight="1" x14ac:dyDescent="0.35">
      <c r="A54" s="2692"/>
      <c r="B54" s="2340"/>
      <c r="C54" s="2236"/>
      <c r="D54" s="2212"/>
      <c r="E54" s="2341"/>
      <c r="F54" s="2342"/>
      <c r="G54" s="2211"/>
      <c r="H54" s="2331"/>
      <c r="I54" s="2626"/>
      <c r="J54" s="2334"/>
      <c r="K54" s="2637"/>
      <c r="L54" s="2109"/>
      <c r="M54" s="2637"/>
      <c r="N54" s="2109"/>
      <c r="O54" s="2637"/>
      <c r="P54" s="2109"/>
      <c r="Q54" s="2637"/>
      <c r="R54" s="2109"/>
      <c r="S54" s="2637"/>
    </row>
    <row r="55" spans="1:19" x14ac:dyDescent="0.35">
      <c r="A55" s="2542"/>
      <c r="B55" s="2543"/>
      <c r="C55" s="2201"/>
      <c r="D55" s="2285"/>
      <c r="E55" s="2285"/>
      <c r="F55" s="2285"/>
      <c r="G55" s="2198"/>
      <c r="H55" s="2707"/>
      <c r="I55" s="2625"/>
      <c r="J55" s="2625"/>
      <c r="K55" s="2625"/>
      <c r="L55" s="2109"/>
      <c r="M55" s="2625"/>
      <c r="N55" s="2109"/>
      <c r="O55" s="2625"/>
      <c r="P55" s="2109"/>
      <c r="Q55" s="2625"/>
      <c r="R55" s="2109"/>
      <c r="S55" s="2625"/>
    </row>
    <row r="56" spans="1:19" x14ac:dyDescent="0.35">
      <c r="A56" s="14"/>
      <c r="B56" s="15"/>
      <c r="C56" s="16"/>
      <c r="D56" s="16"/>
      <c r="E56" s="17"/>
      <c r="F56" s="18" t="s">
        <v>715</v>
      </c>
      <c r="G56" s="19"/>
      <c r="H56" s="20"/>
      <c r="I56" s="50">
        <f>SUM(I23:I55)</f>
        <v>0</v>
      </c>
      <c r="J56" s="20"/>
      <c r="K56" s="50">
        <f>SUM(K23:K55)</f>
        <v>0</v>
      </c>
      <c r="L56" s="20"/>
      <c r="M56" s="50">
        <f>SUM(M23:M55)</f>
        <v>0</v>
      </c>
      <c r="N56" s="20"/>
      <c r="O56" s="50">
        <f>SUM(O23:O55)</f>
        <v>0</v>
      </c>
      <c r="P56" s="20"/>
      <c r="Q56" s="50">
        <f>SUM(Q23:Q55)</f>
        <v>0</v>
      </c>
      <c r="R56" s="20"/>
      <c r="S56" s="50">
        <f>SUM(S23:S55)</f>
        <v>0</v>
      </c>
    </row>
    <row r="57" spans="1:19" x14ac:dyDescent="0.35">
      <c r="A57" s="2239"/>
      <c r="B57" s="2240"/>
      <c r="C57" s="2241"/>
      <c r="D57" s="2241"/>
      <c r="E57" s="2242"/>
      <c r="F57" s="2243" t="s">
        <v>716</v>
      </c>
      <c r="G57" s="2244"/>
      <c r="H57" s="2065">
        <v>0</v>
      </c>
      <c r="I57" s="2064"/>
      <c r="J57" s="2065">
        <v>0</v>
      </c>
      <c r="K57" s="2064"/>
      <c r="L57" s="2065">
        <v>0</v>
      </c>
      <c r="M57" s="2064"/>
      <c r="N57" s="2065">
        <v>0</v>
      </c>
      <c r="O57" s="2064"/>
      <c r="P57" s="2065">
        <v>0</v>
      </c>
      <c r="Q57" s="2064"/>
      <c r="R57" s="2065">
        <v>0</v>
      </c>
      <c r="S57" s="2064"/>
    </row>
    <row r="58" spans="1:19" x14ac:dyDescent="0.35">
      <c r="A58" s="2239"/>
      <c r="B58" s="2240"/>
      <c r="C58" s="2241"/>
      <c r="D58" s="2241"/>
      <c r="E58" s="2242"/>
      <c r="F58" s="2243" t="s">
        <v>717</v>
      </c>
      <c r="G58" s="2244"/>
      <c r="H58" s="2066"/>
      <c r="I58" s="2067">
        <f>H57*I56</f>
        <v>0</v>
      </c>
      <c r="J58" s="2066"/>
      <c r="K58" s="2067">
        <f>J57*K56</f>
        <v>0</v>
      </c>
      <c r="L58" s="2066"/>
      <c r="M58" s="2067">
        <f>L57*M56</f>
        <v>0</v>
      </c>
      <c r="N58" s="2066"/>
      <c r="O58" s="2067">
        <f>N57*O56</f>
        <v>0</v>
      </c>
      <c r="P58" s="2066"/>
      <c r="Q58" s="2067">
        <f>P57*Q56</f>
        <v>0</v>
      </c>
      <c r="R58" s="2066"/>
      <c r="S58" s="2067">
        <f>R57*S56</f>
        <v>0</v>
      </c>
    </row>
    <row r="59" spans="1:19" x14ac:dyDescent="0.35">
      <c r="A59" s="2239"/>
      <c r="B59" s="2240"/>
      <c r="C59" s="2241"/>
      <c r="D59" s="2241"/>
      <c r="E59" s="2242"/>
      <c r="F59" s="2243"/>
      <c r="G59" s="2244"/>
      <c r="H59" s="2066"/>
      <c r="I59" s="2068"/>
      <c r="J59" s="2066"/>
      <c r="K59" s="2068"/>
      <c r="L59" s="2066"/>
      <c r="M59" s="2068"/>
      <c r="N59" s="2066"/>
      <c r="O59" s="2068"/>
      <c r="P59" s="2066"/>
      <c r="Q59" s="2068"/>
      <c r="R59" s="2066"/>
      <c r="S59" s="2068"/>
    </row>
    <row r="60" spans="1:19" x14ac:dyDescent="0.35">
      <c r="A60" s="2239"/>
      <c r="B60" s="2240"/>
      <c r="C60" s="2241"/>
      <c r="D60" s="2241"/>
      <c r="E60" s="2242"/>
      <c r="F60" s="2243" t="s">
        <v>718</v>
      </c>
      <c r="G60" s="2244"/>
      <c r="H60" s="2069"/>
      <c r="I60" s="2070">
        <f>SUM(I56:I58)</f>
        <v>0</v>
      </c>
      <c r="J60" s="2069"/>
      <c r="K60" s="2070">
        <f>SUM(K56:K58)</f>
        <v>0</v>
      </c>
      <c r="L60" s="2069"/>
      <c r="M60" s="2070">
        <f>SUM(M56:M58)</f>
        <v>0</v>
      </c>
      <c r="N60" s="2069"/>
      <c r="O60" s="2070">
        <f>SUM(O56:O58)</f>
        <v>0</v>
      </c>
      <c r="P60" s="2069"/>
      <c r="Q60" s="2070">
        <f>SUM(Q56:Q58)</f>
        <v>0</v>
      </c>
      <c r="R60" s="2069"/>
      <c r="S60" s="2070">
        <f>SUM(S56:S58)</f>
        <v>0</v>
      </c>
    </row>
    <row r="61" spans="1:19" x14ac:dyDescent="0.35">
      <c r="A61" s="2239"/>
      <c r="B61" s="2240"/>
      <c r="C61" s="2241"/>
      <c r="D61" s="2241"/>
      <c r="E61" s="2242"/>
      <c r="F61" s="2255" t="s">
        <v>719</v>
      </c>
      <c r="G61" s="2256"/>
      <c r="H61" s="2073"/>
      <c r="I61" s="2074" t="e">
        <f>I60/#REF!</f>
        <v>#REF!</v>
      </c>
      <c r="J61" s="2073"/>
      <c r="K61" s="2074" t="e">
        <f>K60/#REF!</f>
        <v>#REF!</v>
      </c>
      <c r="L61" s="2073"/>
      <c r="M61" s="2074" t="e">
        <f>M60/#REF!</f>
        <v>#REF!</v>
      </c>
      <c r="N61" s="2073"/>
      <c r="O61" s="2074" t="e">
        <f>O60/#REF!</f>
        <v>#REF!</v>
      </c>
      <c r="P61" s="2073"/>
      <c r="Q61" s="2074" t="e">
        <f>Q60/#REF!</f>
        <v>#REF!</v>
      </c>
      <c r="R61" s="2073"/>
      <c r="S61" s="2074" t="e">
        <f>S60/#REF!</f>
        <v>#REF!</v>
      </c>
    </row>
    <row r="62" spans="1:19" x14ac:dyDescent="0.35">
      <c r="A62" s="2239"/>
      <c r="B62" s="2240"/>
      <c r="C62" s="2241"/>
      <c r="D62" s="2241"/>
      <c r="E62" s="2242"/>
      <c r="F62" s="2255" t="s">
        <v>720</v>
      </c>
      <c r="G62" s="2260"/>
      <c r="H62" s="2073"/>
      <c r="I62" s="2074" t="e">
        <f>I60/#REF!</f>
        <v>#REF!</v>
      </c>
      <c r="J62" s="2073"/>
      <c r="K62" s="2074" t="e">
        <f>K60/#REF!</f>
        <v>#REF!</v>
      </c>
      <c r="L62" s="2073"/>
      <c r="M62" s="2074" t="e">
        <f>M60/#REF!</f>
        <v>#REF!</v>
      </c>
      <c r="N62" s="2073"/>
      <c r="O62" s="2074" t="e">
        <f>O60/#REF!</f>
        <v>#REF!</v>
      </c>
      <c r="P62" s="2073"/>
      <c r="Q62" s="2074" t="e">
        <f>Q60/#REF!</f>
        <v>#REF!</v>
      </c>
      <c r="R62" s="2073"/>
      <c r="S62" s="2074" t="e">
        <f>S60/#REF!</f>
        <v>#REF!</v>
      </c>
    </row>
    <row r="63" spans="1:19" x14ac:dyDescent="0.35">
      <c r="A63" s="2239"/>
      <c r="B63" s="2240"/>
      <c r="C63" s="2241"/>
      <c r="D63" s="2241"/>
      <c r="E63" s="2242"/>
      <c r="F63" s="2243"/>
      <c r="G63" s="2261"/>
      <c r="H63" s="2077"/>
      <c r="I63" s="2078"/>
      <c r="J63" s="2077"/>
      <c r="K63" s="2078"/>
      <c r="L63" s="2077"/>
      <c r="M63" s="2078"/>
      <c r="N63" s="2077"/>
      <c r="O63" s="2078"/>
      <c r="P63" s="2077"/>
      <c r="Q63" s="2078"/>
      <c r="R63" s="2077"/>
      <c r="S63" s="2078"/>
    </row>
    <row r="64" spans="1:19" x14ac:dyDescent="0.35">
      <c r="A64" s="3764" t="s">
        <v>721</v>
      </c>
      <c r="B64" s="3765"/>
      <c r="C64" s="12"/>
      <c r="D64" s="12"/>
      <c r="E64" s="12"/>
      <c r="F64" s="12"/>
      <c r="G64" s="13"/>
      <c r="H64" s="21"/>
      <c r="I64" s="21"/>
      <c r="J64" s="21"/>
      <c r="K64" s="21"/>
      <c r="L64" s="21"/>
      <c r="M64" s="21"/>
      <c r="N64" s="21"/>
      <c r="O64" s="21"/>
      <c r="P64" s="21"/>
      <c r="Q64" s="21"/>
      <c r="R64" s="21"/>
      <c r="S64" s="21"/>
    </row>
    <row r="65" spans="1:19" x14ac:dyDescent="0.35">
      <c r="A65" s="2708"/>
      <c r="B65" s="2284"/>
      <c r="C65" s="2709"/>
      <c r="D65" s="2709"/>
      <c r="E65" s="2709"/>
      <c r="F65" s="2709"/>
      <c r="G65" s="2710"/>
      <c r="H65" s="2711"/>
      <c r="I65" s="2711"/>
      <c r="J65" s="2711"/>
      <c r="K65" s="2711"/>
      <c r="L65" s="2711"/>
      <c r="M65" s="2711"/>
      <c r="N65" s="2711"/>
      <c r="O65" s="2711"/>
      <c r="P65" s="2711"/>
      <c r="Q65" s="2711"/>
      <c r="R65" s="2711"/>
      <c r="S65" s="2711"/>
    </row>
    <row r="66" spans="1:19" s="2" customFormat="1" x14ac:dyDescent="0.35">
      <c r="A66" s="2708"/>
      <c r="B66" s="2284"/>
      <c r="C66" s="2709"/>
      <c r="D66" s="2709"/>
      <c r="E66" s="2709"/>
      <c r="F66" s="2709"/>
      <c r="G66" s="2710"/>
      <c r="H66" s="2711"/>
      <c r="I66" s="2711"/>
      <c r="J66" s="2711"/>
      <c r="K66" s="2711"/>
      <c r="L66" s="2711"/>
      <c r="M66" s="2711"/>
      <c r="N66" s="2711"/>
      <c r="O66" s="2711"/>
      <c r="P66" s="2711"/>
      <c r="Q66" s="2711"/>
      <c r="R66" s="2711"/>
      <c r="S66" s="2711"/>
    </row>
    <row r="67" spans="1:19" s="2" customFormat="1" x14ac:dyDescent="0.35">
      <c r="A67" s="2708"/>
      <c r="B67" s="2284"/>
      <c r="C67" s="2709"/>
      <c r="D67" s="2709"/>
      <c r="E67" s="2709"/>
      <c r="F67" s="2709"/>
      <c r="G67" s="2710"/>
      <c r="H67" s="2711"/>
      <c r="I67" s="2711"/>
      <c r="J67" s="2711"/>
      <c r="K67" s="2711"/>
      <c r="L67" s="2711"/>
      <c r="M67" s="2711"/>
      <c r="N67" s="2711"/>
      <c r="O67" s="2711"/>
      <c r="P67" s="2711"/>
      <c r="Q67" s="2711"/>
      <c r="R67" s="2711"/>
      <c r="S67" s="2711"/>
    </row>
    <row r="68" spans="1:19" x14ac:dyDescent="0.35">
      <c r="A68" s="3764" t="s">
        <v>722</v>
      </c>
      <c r="B68" s="3765"/>
      <c r="C68" s="12"/>
      <c r="D68" s="12"/>
      <c r="E68" s="12"/>
      <c r="F68" s="12"/>
      <c r="G68" s="13"/>
      <c r="H68" s="21"/>
      <c r="I68" s="21"/>
      <c r="J68" s="21"/>
      <c r="K68" s="21"/>
      <c r="L68" s="21"/>
      <c r="M68" s="21"/>
      <c r="N68" s="21"/>
      <c r="O68" s="21"/>
      <c r="P68" s="21"/>
      <c r="Q68" s="21"/>
      <c r="R68" s="21"/>
      <c r="S68" s="21"/>
    </row>
    <row r="69" spans="1:19" s="2" customFormat="1" x14ac:dyDescent="0.35">
      <c r="A69" s="2708"/>
      <c r="B69" s="2284"/>
      <c r="C69" s="2709"/>
      <c r="D69" s="2709"/>
      <c r="E69" s="2709"/>
      <c r="F69" s="2709"/>
      <c r="G69" s="2710"/>
      <c r="H69" s="2711"/>
      <c r="I69" s="2711"/>
      <c r="J69" s="2711"/>
      <c r="K69" s="2711"/>
      <c r="L69" s="2711"/>
      <c r="M69" s="2711"/>
      <c r="N69" s="2711"/>
      <c r="O69" s="2711"/>
      <c r="P69" s="2711"/>
      <c r="Q69" s="2711"/>
      <c r="R69" s="2711"/>
      <c r="S69" s="2711"/>
    </row>
    <row r="70" spans="1:19" s="2" customFormat="1" x14ac:dyDescent="0.35">
      <c r="A70" s="2708"/>
      <c r="B70" s="2284"/>
      <c r="C70" s="2709"/>
      <c r="D70" s="2709"/>
      <c r="E70" s="2709"/>
      <c r="F70" s="2709"/>
      <c r="G70" s="2710"/>
      <c r="H70" s="2711"/>
      <c r="I70" s="2711"/>
      <c r="J70" s="2711"/>
      <c r="K70" s="2711"/>
      <c r="L70" s="2711"/>
      <c r="M70" s="2711"/>
      <c r="N70" s="2711"/>
      <c r="O70" s="2711"/>
      <c r="P70" s="2711"/>
      <c r="Q70" s="2711"/>
      <c r="R70" s="2711"/>
      <c r="S70" s="2711"/>
    </row>
    <row r="71" spans="1:19" x14ac:dyDescent="0.35">
      <c r="A71" s="2708"/>
      <c r="B71" s="2284"/>
      <c r="C71" s="2709"/>
      <c r="D71" s="2709"/>
      <c r="E71" s="2709"/>
      <c r="F71" s="2709"/>
      <c r="G71" s="2710"/>
      <c r="H71" s="2711"/>
      <c r="I71" s="2711"/>
      <c r="J71" s="2711"/>
      <c r="K71" s="2711"/>
      <c r="L71" s="2711"/>
      <c r="M71" s="2711"/>
      <c r="N71" s="2711"/>
      <c r="O71" s="2711"/>
      <c r="P71" s="2711"/>
      <c r="Q71" s="2711"/>
      <c r="R71" s="2711"/>
      <c r="S71" s="2711"/>
    </row>
    <row r="72" spans="1:19" x14ac:dyDescent="0.35">
      <c r="A72" s="3764" t="s">
        <v>723</v>
      </c>
      <c r="B72" s="3765"/>
      <c r="C72" s="12"/>
      <c r="D72" s="12"/>
      <c r="E72" s="12"/>
      <c r="F72" s="12"/>
      <c r="G72" s="13"/>
      <c r="H72" s="21"/>
      <c r="I72" s="21"/>
      <c r="J72" s="21"/>
      <c r="K72" s="21"/>
      <c r="L72" s="21"/>
      <c r="M72" s="21"/>
      <c r="N72" s="21"/>
      <c r="O72" s="21"/>
      <c r="P72" s="21"/>
      <c r="Q72" s="21"/>
      <c r="R72" s="21"/>
      <c r="S72" s="21"/>
    </row>
    <row r="73" spans="1:19" x14ac:dyDescent="0.35">
      <c r="A73" s="2708"/>
      <c r="B73" s="2284"/>
      <c r="C73" s="2709"/>
      <c r="D73" s="2709"/>
      <c r="E73" s="2709"/>
      <c r="F73" s="2709"/>
      <c r="G73" s="2710"/>
      <c r="H73" s="2711"/>
      <c r="I73" s="2711"/>
      <c r="J73" s="2711"/>
      <c r="K73" s="2711"/>
      <c r="L73" s="2711"/>
      <c r="M73" s="2711"/>
      <c r="N73" s="2711"/>
      <c r="O73" s="2711"/>
      <c r="P73" s="2711"/>
      <c r="Q73" s="2711"/>
      <c r="R73" s="2711"/>
      <c r="S73" s="2711"/>
    </row>
    <row r="74" spans="1:19" x14ac:dyDescent="0.35">
      <c r="A74" s="2286"/>
      <c r="B74" s="2284"/>
      <c r="C74" s="2285"/>
      <c r="D74" s="2285"/>
      <c r="E74" s="2285"/>
      <c r="F74" s="2285"/>
      <c r="G74" s="2198"/>
      <c r="H74" s="2081"/>
      <c r="I74" s="2081"/>
      <c r="J74" s="2081"/>
      <c r="K74" s="2081"/>
      <c r="L74" s="2081"/>
      <c r="M74" s="2081"/>
      <c r="N74" s="2081"/>
      <c r="O74" s="2081"/>
      <c r="P74" s="2081"/>
      <c r="Q74" s="2081"/>
      <c r="R74" s="2081"/>
      <c r="S74" s="2081"/>
    </row>
    <row r="75" spans="1:19" x14ac:dyDescent="0.35">
      <c r="A75" s="2269"/>
      <c r="B75" s="2270"/>
      <c r="C75" s="2285"/>
      <c r="D75" s="2285"/>
      <c r="E75" s="2285"/>
      <c r="F75" s="2285"/>
      <c r="G75" s="2198"/>
      <c r="H75" s="2084"/>
      <c r="I75" s="2084"/>
      <c r="J75" s="2084"/>
      <c r="K75" s="2084"/>
      <c r="L75" s="2084"/>
      <c r="M75" s="2084"/>
      <c r="N75" s="2084"/>
      <c r="O75" s="2084"/>
      <c r="P75" s="2084"/>
      <c r="Q75" s="2084"/>
      <c r="R75" s="2084"/>
      <c r="S75" s="2084"/>
    </row>
    <row r="76" spans="1:19" x14ac:dyDescent="0.35">
      <c r="A76" s="3764" t="s">
        <v>724</v>
      </c>
      <c r="B76" s="3765"/>
      <c r="C76" s="12"/>
      <c r="D76" s="12"/>
      <c r="E76" s="12"/>
      <c r="F76" s="12"/>
      <c r="G76" s="13"/>
      <c r="H76" s="21"/>
      <c r="I76" s="21"/>
      <c r="J76" s="21"/>
      <c r="K76" s="21"/>
      <c r="L76" s="21"/>
      <c r="M76" s="21"/>
      <c r="N76" s="21"/>
      <c r="O76" s="21"/>
      <c r="P76" s="21"/>
      <c r="Q76" s="21"/>
      <c r="R76" s="21"/>
      <c r="S76" s="21"/>
    </row>
    <row r="77" spans="1:19" x14ac:dyDescent="0.35">
      <c r="A77" s="2712"/>
      <c r="B77" s="2713"/>
      <c r="C77" s="2709"/>
      <c r="D77" s="2709"/>
      <c r="E77" s="2709"/>
      <c r="F77" s="2709"/>
      <c r="G77" s="2710"/>
      <c r="H77" s="2711"/>
      <c r="I77" s="2711"/>
      <c r="J77" s="2711"/>
      <c r="K77" s="2711"/>
      <c r="L77" s="2711"/>
      <c r="M77" s="2711"/>
      <c r="N77" s="2711"/>
      <c r="O77" s="2711"/>
      <c r="P77" s="2711"/>
      <c r="Q77" s="2711"/>
      <c r="R77" s="2711"/>
      <c r="S77" s="2711"/>
    </row>
    <row r="78" spans="1:19" x14ac:dyDescent="0.35">
      <c r="A78" s="2269"/>
      <c r="B78" s="2270"/>
      <c r="C78" s="2285"/>
      <c r="D78" s="2285"/>
      <c r="E78" s="2285"/>
      <c r="F78" s="2285"/>
      <c r="G78" s="2198"/>
      <c r="H78" s="2087"/>
      <c r="I78" s="2087"/>
      <c r="J78" s="2087"/>
      <c r="K78" s="2087"/>
      <c r="L78" s="2087"/>
      <c r="M78" s="2087"/>
      <c r="N78" s="2087"/>
      <c r="O78" s="2087"/>
      <c r="P78" s="2087"/>
      <c r="Q78" s="2087"/>
      <c r="R78" s="2087"/>
      <c r="S78" s="2087"/>
    </row>
    <row r="79" spans="1:19" x14ac:dyDescent="0.35">
      <c r="A79" s="2269"/>
      <c r="B79" s="2270"/>
      <c r="C79" s="2285"/>
      <c r="D79" s="2285"/>
      <c r="E79" s="2285"/>
      <c r="F79" s="2285"/>
      <c r="G79" s="2198"/>
      <c r="H79" s="2087"/>
      <c r="I79" s="2087"/>
      <c r="J79" s="2087"/>
      <c r="K79" s="2087"/>
      <c r="L79" s="2087"/>
      <c r="M79" s="2087"/>
      <c r="N79" s="2087"/>
      <c r="O79" s="2087"/>
      <c r="P79" s="2087"/>
      <c r="Q79" s="2087"/>
      <c r="R79" s="2087"/>
      <c r="S79" s="2087"/>
    </row>
    <row r="80" spans="1:19" x14ac:dyDescent="0.35">
      <c r="A80" s="3764" t="s">
        <v>725</v>
      </c>
      <c r="B80" s="3765"/>
      <c r="C80" s="12"/>
      <c r="D80" s="12"/>
      <c r="E80" s="12"/>
      <c r="F80" s="12"/>
      <c r="G80" s="13"/>
      <c r="H80" s="21"/>
      <c r="I80" s="21"/>
      <c r="J80" s="21"/>
      <c r="K80" s="21"/>
      <c r="L80" s="21"/>
      <c r="M80" s="21"/>
      <c r="N80" s="21"/>
      <c r="O80" s="21"/>
      <c r="P80" s="21"/>
      <c r="Q80" s="21"/>
      <c r="R80" s="21"/>
      <c r="S80" s="21"/>
    </row>
    <row r="81" spans="1:19" x14ac:dyDescent="0.35">
      <c r="A81" s="2286"/>
      <c r="B81" s="2284" t="s">
        <v>726</v>
      </c>
      <c r="C81" s="2285"/>
      <c r="D81" s="2285"/>
      <c r="E81" s="2285"/>
      <c r="F81" s="2285"/>
      <c r="G81" s="2198"/>
      <c r="H81" s="2087"/>
      <c r="I81" s="2087"/>
      <c r="J81" s="2087"/>
      <c r="K81" s="2087"/>
      <c r="L81" s="2087"/>
      <c r="M81" s="2087"/>
      <c r="N81" s="2087"/>
      <c r="O81" s="2087"/>
      <c r="P81" s="2087"/>
      <c r="Q81" s="2087"/>
      <c r="R81" s="2087"/>
      <c r="S81" s="2087"/>
    </row>
    <row r="82" spans="1:19" x14ac:dyDescent="0.35">
      <c r="A82" s="2286"/>
      <c r="B82" s="2284" t="s">
        <v>727</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728</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729</v>
      </c>
      <c r="C84" s="2285"/>
      <c r="D84" s="2285"/>
      <c r="E84" s="2285"/>
      <c r="F84" s="2285"/>
      <c r="G84" s="2198"/>
      <c r="H84" s="2087"/>
      <c r="I84" s="2087"/>
      <c r="J84" s="2087"/>
      <c r="K84" s="2087"/>
      <c r="L84" s="2087"/>
      <c r="M84" s="2087"/>
      <c r="N84" s="2087"/>
      <c r="O84" s="2087"/>
      <c r="P84" s="2087"/>
      <c r="Q84" s="2087"/>
      <c r="R84" s="2087"/>
      <c r="S84" s="2087"/>
    </row>
    <row r="85" spans="1:19" x14ac:dyDescent="0.35">
      <c r="A85" s="978"/>
      <c r="B85" s="939"/>
      <c r="C85" s="940"/>
      <c r="D85" s="940"/>
      <c r="E85" s="940"/>
      <c r="F85" s="940"/>
      <c r="G85" s="1039"/>
      <c r="H85" s="981"/>
      <c r="I85" s="981"/>
      <c r="J85" s="981"/>
      <c r="K85" s="981"/>
      <c r="L85" s="981"/>
      <c r="M85" s="981"/>
      <c r="N85" s="981"/>
      <c r="O85" s="981"/>
      <c r="P85" s="981"/>
      <c r="Q85" s="981"/>
      <c r="R85" s="981"/>
      <c r="S85" s="981"/>
    </row>
    <row r="86" spans="1:19" x14ac:dyDescent="0.35">
      <c r="A86" s="7" t="s">
        <v>730</v>
      </c>
      <c r="B86" s="8"/>
      <c r="C86" s="12"/>
      <c r="D86" s="12"/>
      <c r="E86" s="12"/>
      <c r="F86" s="12"/>
      <c r="G86" s="13"/>
      <c r="H86" s="21"/>
      <c r="I86" s="21"/>
      <c r="J86" s="21"/>
      <c r="K86" s="21"/>
      <c r="L86" s="21"/>
      <c r="M86" s="21"/>
      <c r="N86" s="21"/>
      <c r="O86" s="21"/>
      <c r="P86" s="21"/>
      <c r="Q86" s="21"/>
      <c r="R86" s="21"/>
      <c r="S86" s="21"/>
    </row>
    <row r="87" spans="1:19" x14ac:dyDescent="0.35">
      <c r="A87" s="2708"/>
      <c r="B87" s="2714" t="s">
        <v>731</v>
      </c>
      <c r="C87" s="2709"/>
      <c r="D87" s="2709"/>
      <c r="E87" s="2709"/>
      <c r="F87" s="2709"/>
      <c r="G87" s="2710"/>
      <c r="H87" s="2707"/>
      <c r="I87" s="2707"/>
      <c r="J87" s="2707"/>
      <c r="K87" s="2707"/>
      <c r="L87" s="2707"/>
      <c r="M87" s="2707"/>
      <c r="N87" s="2707"/>
      <c r="O87" s="2707"/>
      <c r="P87" s="2707"/>
      <c r="Q87" s="2707"/>
      <c r="R87" s="2707"/>
      <c r="S87" s="2707"/>
    </row>
    <row r="88" spans="1:19" x14ac:dyDescent="0.35">
      <c r="A88" s="2286"/>
      <c r="B88" s="2284" t="s">
        <v>732</v>
      </c>
      <c r="C88" s="2285"/>
      <c r="D88" s="2285"/>
      <c r="E88" s="2285"/>
      <c r="F88" s="2285"/>
      <c r="G88" s="2198"/>
      <c r="H88" s="2158"/>
      <c r="I88" s="2158"/>
      <c r="J88" s="2158"/>
      <c r="K88" s="2158"/>
      <c r="L88" s="2158"/>
      <c r="M88" s="2158"/>
      <c r="N88" s="2158"/>
      <c r="O88" s="2158"/>
      <c r="P88" s="2158"/>
      <c r="Q88" s="2158"/>
      <c r="R88" s="2158"/>
      <c r="S88" s="2158"/>
    </row>
    <row r="89" spans="1:19" x14ac:dyDescent="0.35">
      <c r="A89" s="2089"/>
      <c r="B89" s="2090" t="s">
        <v>733</v>
      </c>
      <c r="C89" s="2091"/>
      <c r="D89" s="2091"/>
      <c r="E89" s="2091"/>
      <c r="F89" s="2091"/>
      <c r="G89" s="2092"/>
      <c r="H89" s="2093"/>
      <c r="I89" s="2093"/>
      <c r="J89" s="2093"/>
      <c r="K89" s="2093"/>
      <c r="L89" s="2093"/>
      <c r="M89" s="2093"/>
      <c r="N89" s="2093"/>
      <c r="O89" s="2093"/>
      <c r="P89" s="2093"/>
      <c r="Q89" s="2093"/>
      <c r="R89" s="2093"/>
      <c r="S89" s="2093"/>
    </row>
    <row r="91" spans="1:19" x14ac:dyDescent="0.35">
      <c r="A91" s="78" t="s">
        <v>734</v>
      </c>
      <c r="B91" s="80"/>
    </row>
    <row r="92" spans="1:19" x14ac:dyDescent="0.35">
      <c r="A92" s="79" t="s">
        <v>632</v>
      </c>
      <c r="B92" s="2094"/>
    </row>
    <row r="93" spans="1:19" x14ac:dyDescent="0.35">
      <c r="A93" s="2279" t="s">
        <v>636</v>
      </c>
      <c r="B93" s="2094"/>
    </row>
    <row r="94" spans="1:19" x14ac:dyDescent="0.35">
      <c r="A94" s="2096" t="s">
        <v>639</v>
      </c>
      <c r="B94" s="2097"/>
    </row>
    <row r="95" spans="1:19" x14ac:dyDescent="0.35">
      <c r="A95" s="2096" t="s">
        <v>642</v>
      </c>
      <c r="B95" s="2159"/>
    </row>
    <row r="96" spans="1:19" x14ac:dyDescent="0.35">
      <c r="A96" s="2099" t="s">
        <v>735</v>
      </c>
      <c r="B96" s="2100"/>
    </row>
    <row r="98" spans="1:2" x14ac:dyDescent="0.35">
      <c r="A98" s="81"/>
      <c r="B98" s="1" t="s">
        <v>736</v>
      </c>
    </row>
    <row r="99" spans="1:2" x14ac:dyDescent="0.35">
      <c r="A99" s="82"/>
      <c r="B99" s="1" t="s">
        <v>737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11" priority="19" operator="equal">
      <formula>"X"</formula>
    </cfRule>
    <cfRule type="cellIs" dxfId="710" priority="20" operator="equal">
      <formula>"I"</formula>
    </cfRule>
  </conditionalFormatting>
  <conditionalFormatting sqref="J20:J30">
    <cfRule type="cellIs" dxfId="709" priority="17" operator="equal">
      <formula>"X"</formula>
    </cfRule>
    <cfRule type="cellIs" dxfId="708" priority="18" operator="equal">
      <formula>"I"</formula>
    </cfRule>
  </conditionalFormatting>
  <conditionalFormatting sqref="L20:L30">
    <cfRule type="cellIs" dxfId="707" priority="15" operator="equal">
      <formula>"X"</formula>
    </cfRule>
    <cfRule type="cellIs" dxfId="706" priority="16" operator="equal">
      <formula>"I"</formula>
    </cfRule>
  </conditionalFormatting>
  <conditionalFormatting sqref="L32:L55">
    <cfRule type="cellIs" dxfId="705" priority="1" operator="equal">
      <formula>"X"</formula>
    </cfRule>
    <cfRule type="cellIs" dxfId="704" priority="2" operator="equal">
      <formula>"I"</formula>
    </cfRule>
  </conditionalFormatting>
  <conditionalFormatting sqref="N20:N30">
    <cfRule type="cellIs" dxfId="703" priority="13" operator="equal">
      <formula>"X"</formula>
    </cfRule>
    <cfRule type="cellIs" dxfId="702" priority="14" operator="equal">
      <formula>"I"</formula>
    </cfRule>
  </conditionalFormatting>
  <conditionalFormatting sqref="N32:N55">
    <cfRule type="cellIs" dxfId="701" priority="3" operator="equal">
      <formula>"X"</formula>
    </cfRule>
    <cfRule type="cellIs" dxfId="700" priority="4" operator="equal">
      <formula>"I"</formula>
    </cfRule>
  </conditionalFormatting>
  <conditionalFormatting sqref="P20:P30">
    <cfRule type="cellIs" dxfId="699" priority="11" operator="equal">
      <formula>"X"</formula>
    </cfRule>
    <cfRule type="cellIs" dxfId="698" priority="12" operator="equal">
      <formula>"I"</formula>
    </cfRule>
  </conditionalFormatting>
  <conditionalFormatting sqref="P32:P55">
    <cfRule type="cellIs" dxfId="697" priority="5" operator="equal">
      <formula>"X"</formula>
    </cfRule>
    <cfRule type="cellIs" dxfId="696" priority="6" operator="equal">
      <formula>"I"</formula>
    </cfRule>
  </conditionalFormatting>
  <conditionalFormatting sqref="R20:R30">
    <cfRule type="cellIs" dxfId="695" priority="9" operator="equal">
      <formula>"X"</formula>
    </cfRule>
    <cfRule type="cellIs" dxfId="694" priority="10" operator="equal">
      <formula>"I"</formula>
    </cfRule>
  </conditionalFormatting>
  <conditionalFormatting sqref="R32:R55">
    <cfRule type="cellIs" dxfId="693" priority="7" operator="equal">
      <formula>"X"</formula>
    </cfRule>
    <cfRule type="cellIs" dxfId="692" priority="8" operator="equal">
      <formula>"I"</formula>
    </cfRule>
  </conditionalFormatting>
  <hyperlinks>
    <hyperlink ref="B3" location="'Cost Summary'!A1" display="BACK TO SUMMARY SHEET" xr:uid="{5E96F35D-4FFD-4B5F-9C0E-1A7B2EFF1283}"/>
  </hyperlinks>
  <pageMargins left="0.7" right="0.7" top="0.75" bottom="0.75" header="0.3" footer="0.3"/>
  <pageSetup scale="71" orientation="portrait" horizontalDpi="1200" verticalDpi="120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675D-FF95-4F39-B36A-4703129CB838}">
  <sheetPr>
    <tabColor rgb="FF92D050"/>
  </sheetPr>
  <dimension ref="A1:S99"/>
  <sheetViews>
    <sheetView zoomScale="85" zoomScaleNormal="85" workbookViewId="0">
      <pane xSplit="2" ySplit="9" topLeftCell="C35" activePane="bottomRight" state="frozen"/>
      <selection pane="topRight" activeCell="C1" sqref="C1"/>
      <selection pane="bottomLeft" activeCell="A10" sqref="A10"/>
      <selection pane="bottomRight" activeCell="B35" sqref="B35"/>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3045</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3046</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45">
        <f>I60</f>
        <v>0</v>
      </c>
      <c r="I8" s="3944"/>
      <c r="J8" s="3945">
        <f>K60</f>
        <v>0</v>
      </c>
      <c r="K8" s="3944"/>
      <c r="L8" s="3945">
        <f>M60</f>
        <v>0</v>
      </c>
      <c r="M8" s="3944"/>
      <c r="N8" s="3945">
        <f>O60</f>
        <v>0</v>
      </c>
      <c r="O8" s="3944"/>
      <c r="P8" s="3945">
        <f>Q60</f>
        <v>0</v>
      </c>
      <c r="Q8" s="3944"/>
      <c r="R8" s="3945">
        <f>S60</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715"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286"/>
      <c r="B21" s="2203" t="s">
        <v>3045</v>
      </c>
      <c r="C21" s="2201"/>
      <c r="D21" s="2285"/>
      <c r="E21" s="2285"/>
      <c r="F21" s="2285"/>
      <c r="G21" s="2198"/>
      <c r="H21" s="2109"/>
      <c r="I21" s="2107"/>
      <c r="J21" s="2109"/>
      <c r="K21" s="2107"/>
      <c r="L21" s="2109"/>
      <c r="M21" s="2107"/>
      <c r="N21" s="2109"/>
      <c r="O21" s="2107"/>
      <c r="P21" s="2109"/>
      <c r="Q21" s="2107"/>
      <c r="R21" s="2109"/>
      <c r="S21" s="2107"/>
    </row>
    <row r="22" spans="1:19" x14ac:dyDescent="0.35">
      <c r="A22" s="2716"/>
      <c r="B22" s="606" t="s">
        <v>657</v>
      </c>
      <c r="C22" s="2201"/>
      <c r="D22" s="2285"/>
      <c r="E22" s="2285"/>
      <c r="F22" s="2285"/>
      <c r="G22" s="2198"/>
      <c r="H22" s="2109"/>
      <c r="I22" s="2717"/>
      <c r="J22" s="2109"/>
      <c r="K22" s="2717"/>
      <c r="L22" s="2109"/>
      <c r="M22" s="2717"/>
      <c r="N22" s="2109"/>
      <c r="O22" s="2717"/>
      <c r="P22" s="2109"/>
      <c r="Q22" s="2717"/>
      <c r="R22" s="2109"/>
      <c r="S22" s="2717"/>
    </row>
    <row r="23" spans="1:19" x14ac:dyDescent="0.35">
      <c r="A23" s="2716"/>
      <c r="B23" s="2718" t="s">
        <v>658</v>
      </c>
      <c r="C23" s="2201"/>
      <c r="D23" s="2285"/>
      <c r="E23" s="2285"/>
      <c r="F23" s="2285"/>
      <c r="G23" s="2198"/>
      <c r="H23" s="2109"/>
      <c r="I23" s="2719"/>
      <c r="J23" s="2109"/>
      <c r="K23" s="2717"/>
      <c r="L23" s="2109"/>
      <c r="M23" s="2717"/>
      <c r="N23" s="2109"/>
      <c r="O23" s="2717"/>
      <c r="P23" s="2109"/>
      <c r="Q23" s="2717"/>
      <c r="R23" s="2109"/>
      <c r="S23" s="2717"/>
    </row>
    <row r="24" spans="1:19" x14ac:dyDescent="0.35">
      <c r="A24" s="2716"/>
      <c r="B24" s="2718" t="s">
        <v>659</v>
      </c>
      <c r="C24" s="2208"/>
      <c r="D24" s="2285"/>
      <c r="E24" s="2285"/>
      <c r="F24" s="2285"/>
      <c r="G24" s="2198"/>
      <c r="H24" s="2109"/>
      <c r="I24" s="2719"/>
      <c r="J24" s="2109"/>
      <c r="K24" s="2717"/>
      <c r="L24" s="2109"/>
      <c r="M24" s="2717"/>
      <c r="N24" s="2109"/>
      <c r="O24" s="2717"/>
      <c r="P24" s="2109"/>
      <c r="Q24" s="2717"/>
      <c r="R24" s="2109"/>
      <c r="S24" s="2717"/>
    </row>
    <row r="25" spans="1:19" x14ac:dyDescent="0.35">
      <c r="A25" s="2716"/>
      <c r="B25" s="2720" t="s">
        <v>660</v>
      </c>
      <c r="C25" s="2208"/>
      <c r="D25" s="2285"/>
      <c r="E25" s="2285"/>
      <c r="F25" s="2285"/>
      <c r="G25" s="2198"/>
      <c r="H25" s="2109"/>
      <c r="I25" s="2719"/>
      <c r="J25" s="2109"/>
      <c r="K25" s="2717"/>
      <c r="L25" s="2109"/>
      <c r="M25" s="2717"/>
      <c r="N25" s="2109"/>
      <c r="O25" s="2717"/>
      <c r="P25" s="2109"/>
      <c r="Q25" s="2717"/>
      <c r="R25" s="2109"/>
      <c r="S25" s="2717"/>
    </row>
    <row r="26" spans="1:19" s="77" customFormat="1" x14ac:dyDescent="0.35">
      <c r="A26" s="2721"/>
      <c r="B26" s="2720" t="s">
        <v>661</v>
      </c>
      <c r="C26" s="2211"/>
      <c r="D26" s="2212"/>
      <c r="E26" s="2212"/>
      <c r="F26" s="2212"/>
      <c r="G26" s="2211"/>
      <c r="H26" s="2109"/>
      <c r="I26" s="2719"/>
      <c r="J26" s="2109"/>
      <c r="K26" s="2722"/>
      <c r="L26" s="2109"/>
      <c r="M26" s="2722"/>
      <c r="N26" s="2109"/>
      <c r="O26" s="2722"/>
      <c r="P26" s="2109"/>
      <c r="Q26" s="2722"/>
      <c r="R26" s="2109"/>
      <c r="S26" s="2722"/>
    </row>
    <row r="27" spans="1:19" s="77" customFormat="1" x14ac:dyDescent="0.35">
      <c r="A27" s="2721"/>
      <c r="B27" s="2720" t="s">
        <v>662</v>
      </c>
      <c r="C27" s="2211"/>
      <c r="D27" s="2212"/>
      <c r="E27" s="2212"/>
      <c r="F27" s="2212"/>
      <c r="G27" s="2211"/>
      <c r="H27" s="2109"/>
      <c r="I27" s="2719"/>
      <c r="J27" s="2109"/>
      <c r="K27" s="2722"/>
      <c r="L27" s="2109"/>
      <c r="M27" s="2722"/>
      <c r="N27" s="2109"/>
      <c r="O27" s="2722"/>
      <c r="P27" s="2109"/>
      <c r="Q27" s="2722"/>
      <c r="R27" s="2109"/>
      <c r="S27" s="2722"/>
    </row>
    <row r="28" spans="1:19" s="77" customFormat="1" x14ac:dyDescent="0.35">
      <c r="A28" s="2721"/>
      <c r="B28" s="2720" t="s">
        <v>663</v>
      </c>
      <c r="C28" s="2211"/>
      <c r="D28" s="2212"/>
      <c r="E28" s="2212"/>
      <c r="F28" s="2212"/>
      <c r="G28" s="2211"/>
      <c r="H28" s="2109"/>
      <c r="I28" s="2719"/>
      <c r="J28" s="2109"/>
      <c r="K28" s="2722"/>
      <c r="L28" s="2109"/>
      <c r="M28" s="2722"/>
      <c r="N28" s="2109"/>
      <c r="O28" s="2722"/>
      <c r="P28" s="2109"/>
      <c r="Q28" s="2722"/>
      <c r="R28" s="2109"/>
      <c r="S28" s="2722"/>
    </row>
    <row r="29" spans="1:19" s="77" customFormat="1" x14ac:dyDescent="0.35">
      <c r="A29" s="2721"/>
      <c r="B29" s="2720" t="s">
        <v>742</v>
      </c>
      <c r="C29" s="2211"/>
      <c r="D29" s="2212"/>
      <c r="E29" s="2212"/>
      <c r="F29" s="2212"/>
      <c r="G29" s="2211"/>
      <c r="H29" s="2109"/>
      <c r="I29" s="2719"/>
      <c r="J29" s="2109"/>
      <c r="K29" s="2722"/>
      <c r="L29" s="2109"/>
      <c r="M29" s="2722"/>
      <c r="N29" s="2109"/>
      <c r="O29" s="2722"/>
      <c r="P29" s="2109"/>
      <c r="Q29" s="2722"/>
      <c r="R29" s="2109"/>
      <c r="S29" s="2722"/>
    </row>
    <row r="30" spans="1:19" s="77" customFormat="1" x14ac:dyDescent="0.35">
      <c r="A30" s="2721"/>
      <c r="B30" s="2723" t="s">
        <v>664</v>
      </c>
      <c r="C30" s="2211"/>
      <c r="D30" s="2212"/>
      <c r="E30" s="2212"/>
      <c r="F30" s="2212"/>
      <c r="G30" s="2211"/>
      <c r="H30" s="2109"/>
      <c r="I30" s="2719"/>
      <c r="J30" s="2109"/>
      <c r="K30" s="2722"/>
      <c r="L30" s="2109"/>
      <c r="M30" s="2722"/>
      <c r="N30" s="2109"/>
      <c r="O30" s="2722"/>
      <c r="P30" s="2109"/>
      <c r="Q30" s="2722"/>
      <c r="R30" s="2109"/>
      <c r="S30" s="2722"/>
    </row>
    <row r="31" spans="1:19" s="77" customFormat="1" x14ac:dyDescent="0.35">
      <c r="A31" s="2721"/>
      <c r="B31" s="2724" t="s">
        <v>665</v>
      </c>
      <c r="C31" s="2216"/>
      <c r="D31" s="2217"/>
      <c r="E31" s="2217"/>
      <c r="F31" s="2217"/>
      <c r="G31" s="2216"/>
      <c r="H31" s="2288"/>
      <c r="I31" s="2725"/>
      <c r="J31" s="2289"/>
      <c r="K31" s="2726"/>
      <c r="L31" s="2289"/>
      <c r="M31" s="2726"/>
      <c r="N31" s="2726"/>
      <c r="O31" s="2726"/>
      <c r="P31" s="2726"/>
      <c r="Q31" s="2726"/>
      <c r="R31" s="2726"/>
      <c r="S31" s="2726"/>
    </row>
    <row r="32" spans="1:19" s="77" customFormat="1" x14ac:dyDescent="0.35">
      <c r="A32" s="2721"/>
      <c r="B32" s="127"/>
      <c r="C32" s="2211"/>
      <c r="D32" s="2212"/>
      <c r="E32" s="2212"/>
      <c r="F32" s="2212"/>
      <c r="G32" s="2211"/>
      <c r="H32" s="2331"/>
      <c r="I32" s="2719"/>
      <c r="J32" s="2334"/>
      <c r="K32" s="2722"/>
      <c r="L32" s="2109"/>
      <c r="M32" s="2722"/>
      <c r="N32" s="2109"/>
      <c r="O32" s="2722"/>
      <c r="P32" s="2109"/>
      <c r="Q32" s="2722"/>
      <c r="R32" s="2109"/>
      <c r="S32" s="2722"/>
    </row>
    <row r="33" spans="1:19" s="77" customFormat="1" x14ac:dyDescent="0.35">
      <c r="A33" s="2727"/>
      <c r="B33" s="2234"/>
      <c r="C33" s="2236"/>
      <c r="D33" s="2212"/>
      <c r="E33" s="2212"/>
      <c r="F33" s="2212"/>
      <c r="G33" s="2211"/>
      <c r="H33" s="2331"/>
      <c r="I33" s="2719"/>
      <c r="J33" s="2334"/>
      <c r="K33" s="2722"/>
      <c r="L33" s="2109"/>
      <c r="M33" s="2722"/>
      <c r="N33" s="2109"/>
      <c r="O33" s="2722"/>
      <c r="P33" s="2109"/>
      <c r="Q33" s="2722"/>
      <c r="R33" s="2109"/>
      <c r="S33" s="2722"/>
    </row>
    <row r="34" spans="1:19" s="77" customFormat="1" x14ac:dyDescent="0.35">
      <c r="A34" s="2727"/>
      <c r="B34" s="2235"/>
      <c r="C34" s="2236"/>
      <c r="D34" s="2212"/>
      <c r="E34" s="2212"/>
      <c r="F34" s="2212"/>
      <c r="G34" s="2211"/>
      <c r="H34" s="2331"/>
      <c r="I34" s="2719"/>
      <c r="J34" s="2334"/>
      <c r="K34" s="2722"/>
      <c r="L34" s="2109"/>
      <c r="M34" s="2722"/>
      <c r="N34" s="2109"/>
      <c r="O34" s="2722"/>
      <c r="P34" s="2109" t="s">
        <v>669</v>
      </c>
      <c r="Q34" s="2722"/>
      <c r="R34" s="2109"/>
      <c r="S34" s="2722"/>
    </row>
    <row r="35" spans="1:19" s="77" customFormat="1" x14ac:dyDescent="0.35">
      <c r="A35" s="2727"/>
      <c r="B35" s="2235"/>
      <c r="C35" s="2236"/>
      <c r="D35" s="2212"/>
      <c r="E35" s="2212"/>
      <c r="F35" s="2212"/>
      <c r="G35" s="2211"/>
      <c r="H35" s="2331"/>
      <c r="I35" s="2719"/>
      <c r="J35" s="2334"/>
      <c r="K35" s="2722"/>
      <c r="L35" s="2109"/>
      <c r="M35" s="2722"/>
      <c r="N35" s="2109"/>
      <c r="O35" s="2722"/>
      <c r="P35" s="2109"/>
      <c r="Q35" s="2722"/>
      <c r="R35" s="2109"/>
      <c r="S35" s="2722"/>
    </row>
    <row r="36" spans="1:19" s="77" customFormat="1" x14ac:dyDescent="0.35">
      <c r="A36" s="2727"/>
      <c r="B36" s="2317"/>
      <c r="C36" s="2236"/>
      <c r="D36" s="2212"/>
      <c r="E36" s="2212"/>
      <c r="F36" s="2212"/>
      <c r="G36" s="2211"/>
      <c r="H36" s="2331"/>
      <c r="I36" s="2719"/>
      <c r="J36" s="2334"/>
      <c r="K36" s="2722"/>
      <c r="L36" s="2109"/>
      <c r="M36" s="2722"/>
      <c r="N36" s="2109"/>
      <c r="O36" s="2722"/>
      <c r="P36" s="2109"/>
      <c r="Q36" s="2722"/>
      <c r="R36" s="2109"/>
      <c r="S36" s="2722"/>
    </row>
    <row r="37" spans="1:19" s="77" customFormat="1" x14ac:dyDescent="0.35">
      <c r="A37" s="2727"/>
      <c r="B37" s="2235"/>
      <c r="C37" s="2236"/>
      <c r="D37" s="2212"/>
      <c r="E37" s="2212"/>
      <c r="F37" s="2212"/>
      <c r="G37" s="2211"/>
      <c r="H37" s="2331"/>
      <c r="I37" s="2719"/>
      <c r="J37" s="2334"/>
      <c r="K37" s="2722"/>
      <c r="L37" s="2109"/>
      <c r="M37" s="2722"/>
      <c r="N37" s="2109"/>
      <c r="O37" s="2722"/>
      <c r="P37" s="2109"/>
      <c r="Q37" s="2722"/>
      <c r="R37" s="2109"/>
      <c r="S37" s="2722"/>
    </row>
    <row r="38" spans="1:19" s="77" customFormat="1" x14ac:dyDescent="0.35">
      <c r="A38" s="2727"/>
      <c r="B38" s="2235"/>
      <c r="C38" s="2236"/>
      <c r="D38" s="2212"/>
      <c r="E38" s="2341"/>
      <c r="F38" s="2342"/>
      <c r="G38" s="2211"/>
      <c r="H38" s="2331"/>
      <c r="I38" s="2719"/>
      <c r="J38" s="2334"/>
      <c r="K38" s="2722"/>
      <c r="L38" s="2109"/>
      <c r="M38" s="2722"/>
      <c r="N38" s="2109"/>
      <c r="O38" s="2722"/>
      <c r="P38" s="2109"/>
      <c r="Q38" s="2722"/>
      <c r="R38" s="2109"/>
      <c r="S38" s="2722"/>
    </row>
    <row r="39" spans="1:19" s="77" customFormat="1" x14ac:dyDescent="0.35">
      <c r="A39" s="2727"/>
      <c r="B39" s="2235"/>
      <c r="C39" s="2236"/>
      <c r="D39" s="2212"/>
      <c r="E39" s="2341"/>
      <c r="F39" s="2342"/>
      <c r="G39" s="2211"/>
      <c r="H39" s="2331"/>
      <c r="I39" s="2719"/>
      <c r="J39" s="2334"/>
      <c r="K39" s="2722"/>
      <c r="L39" s="2109"/>
      <c r="M39" s="2722"/>
      <c r="N39" s="2109"/>
      <c r="O39" s="2722"/>
      <c r="P39" s="2109"/>
      <c r="Q39" s="2722"/>
      <c r="R39" s="2109"/>
      <c r="S39" s="2722"/>
    </row>
    <row r="40" spans="1:19" s="77" customFormat="1" x14ac:dyDescent="0.35">
      <c r="A40" s="2727"/>
      <c r="B40" s="2235"/>
      <c r="C40" s="2236"/>
      <c r="D40" s="2212"/>
      <c r="E40" s="2341"/>
      <c r="F40" s="2342"/>
      <c r="G40" s="2211"/>
      <c r="H40" s="2331"/>
      <c r="I40" s="2719"/>
      <c r="J40" s="2334"/>
      <c r="K40" s="2722"/>
      <c r="L40" s="2109"/>
      <c r="M40" s="2722"/>
      <c r="N40" s="2109"/>
      <c r="O40" s="2722"/>
      <c r="P40" s="2109"/>
      <c r="Q40" s="2722"/>
      <c r="R40" s="2109"/>
      <c r="S40" s="2722"/>
    </row>
    <row r="41" spans="1:19" s="77" customFormat="1" x14ac:dyDescent="0.35">
      <c r="A41" s="2727"/>
      <c r="B41" s="2728"/>
      <c r="C41" s="2236"/>
      <c r="D41" s="2212"/>
      <c r="E41" s="2341"/>
      <c r="F41" s="2342"/>
      <c r="G41" s="2211"/>
      <c r="H41" s="2331"/>
      <c r="I41" s="2719"/>
      <c r="J41" s="2334"/>
      <c r="K41" s="2722"/>
      <c r="L41" s="2109"/>
      <c r="M41" s="2722"/>
      <c r="N41" s="2109"/>
      <c r="O41" s="2722"/>
      <c r="P41" s="2109"/>
      <c r="Q41" s="2722"/>
      <c r="R41" s="2109"/>
      <c r="S41" s="2722"/>
    </row>
    <row r="42" spans="1:19" s="77" customFormat="1" x14ac:dyDescent="0.35">
      <c r="A42" s="2727"/>
      <c r="B42" s="2729"/>
      <c r="C42" s="2236"/>
      <c r="D42" s="2212"/>
      <c r="E42" s="2341"/>
      <c r="F42" s="2342"/>
      <c r="G42" s="2211"/>
      <c r="H42" s="2331"/>
      <c r="I42" s="2719"/>
      <c r="J42" s="2334"/>
      <c r="K42" s="2722"/>
      <c r="L42" s="2109"/>
      <c r="M42" s="2722"/>
      <c r="N42" s="2109"/>
      <c r="O42" s="2722"/>
      <c r="P42" s="2109"/>
      <c r="Q42" s="2722"/>
      <c r="R42" s="2109"/>
      <c r="S42" s="2722"/>
    </row>
    <row r="43" spans="1:19" s="77" customFormat="1" x14ac:dyDescent="0.35">
      <c r="A43" s="2727"/>
      <c r="B43" s="128"/>
      <c r="C43" s="2236"/>
      <c r="D43" s="2212"/>
      <c r="E43" s="2341"/>
      <c r="F43" s="2342"/>
      <c r="G43" s="2211"/>
      <c r="H43" s="2331"/>
      <c r="I43" s="2719"/>
      <c r="J43" s="2334"/>
      <c r="K43" s="2722"/>
      <c r="L43" s="2109"/>
      <c r="M43" s="2722"/>
      <c r="N43" s="2109"/>
      <c r="O43" s="2722"/>
      <c r="P43" s="2109"/>
      <c r="Q43" s="2722"/>
      <c r="R43" s="2109"/>
      <c r="S43" s="2722"/>
    </row>
    <row r="44" spans="1:19" s="77" customFormat="1" x14ac:dyDescent="0.35">
      <c r="A44" s="2727"/>
      <c r="B44" s="2340"/>
      <c r="C44" s="2236"/>
      <c r="D44" s="2212"/>
      <c r="E44" s="2341"/>
      <c r="F44" s="2342"/>
      <c r="G44" s="2211"/>
      <c r="H44" s="2331"/>
      <c r="I44" s="2719"/>
      <c r="J44" s="2334"/>
      <c r="K44" s="2722"/>
      <c r="L44" s="2109"/>
      <c r="M44" s="2722"/>
      <c r="N44" s="2109"/>
      <c r="O44" s="2722"/>
      <c r="P44" s="2109"/>
      <c r="Q44" s="2722"/>
      <c r="R44" s="2109"/>
      <c r="S44" s="2722"/>
    </row>
    <row r="45" spans="1:19" s="77" customFormat="1" x14ac:dyDescent="0.35">
      <c r="A45" s="2727"/>
      <c r="B45" s="2340"/>
      <c r="C45" s="2236"/>
      <c r="D45" s="2212"/>
      <c r="E45" s="2341"/>
      <c r="F45" s="2342"/>
      <c r="G45" s="2211"/>
      <c r="H45" s="2331"/>
      <c r="I45" s="2719"/>
      <c r="J45" s="2334"/>
      <c r="K45" s="2722"/>
      <c r="L45" s="2109"/>
      <c r="M45" s="2722"/>
      <c r="N45" s="2109"/>
      <c r="O45" s="2722"/>
      <c r="P45" s="2109"/>
      <c r="Q45" s="2722"/>
      <c r="R45" s="2109"/>
      <c r="S45" s="2722"/>
    </row>
    <row r="46" spans="1:19" s="77" customFormat="1" x14ac:dyDescent="0.35">
      <c r="A46" s="2727"/>
      <c r="B46" s="2340"/>
      <c r="C46" s="2236"/>
      <c r="D46" s="2212"/>
      <c r="E46" s="2341"/>
      <c r="F46" s="2342"/>
      <c r="G46" s="2211"/>
      <c r="H46" s="2331"/>
      <c r="I46" s="2719"/>
      <c r="J46" s="2334"/>
      <c r="K46" s="2722"/>
      <c r="L46" s="2109"/>
      <c r="M46" s="2722"/>
      <c r="N46" s="2109"/>
      <c r="O46" s="2722"/>
      <c r="P46" s="2109"/>
      <c r="Q46" s="2722"/>
      <c r="R46" s="2109"/>
      <c r="S46" s="2722"/>
    </row>
    <row r="47" spans="1:19" s="77" customFormat="1" x14ac:dyDescent="0.35">
      <c r="A47" s="2727"/>
      <c r="B47" s="2340"/>
      <c r="C47" s="2236"/>
      <c r="D47" s="2212"/>
      <c r="E47" s="2341"/>
      <c r="F47" s="2342"/>
      <c r="G47" s="2211"/>
      <c r="H47" s="2331"/>
      <c r="I47" s="2719"/>
      <c r="J47" s="2334"/>
      <c r="K47" s="2722"/>
      <c r="L47" s="2109"/>
      <c r="M47" s="2722"/>
      <c r="N47" s="2109"/>
      <c r="O47" s="2722"/>
      <c r="P47" s="2109"/>
      <c r="Q47" s="2722"/>
      <c r="R47" s="2109"/>
      <c r="S47" s="2722"/>
    </row>
    <row r="48" spans="1:19" s="77" customFormat="1" x14ac:dyDescent="0.35">
      <c r="A48" s="2727"/>
      <c r="B48" s="2340"/>
      <c r="C48" s="2236"/>
      <c r="D48" s="2212"/>
      <c r="E48" s="2341"/>
      <c r="F48" s="2342"/>
      <c r="G48" s="2211"/>
      <c r="H48" s="2331"/>
      <c r="I48" s="2719"/>
      <c r="J48" s="2334"/>
      <c r="K48" s="2722"/>
      <c r="L48" s="2109"/>
      <c r="M48" s="2722"/>
      <c r="N48" s="2109"/>
      <c r="O48" s="2722"/>
      <c r="P48" s="2109"/>
      <c r="Q48" s="2722"/>
      <c r="R48" s="2109"/>
      <c r="S48" s="2722"/>
    </row>
    <row r="49" spans="1:19" s="77" customFormat="1" x14ac:dyDescent="0.35">
      <c r="A49" s="2727"/>
      <c r="B49" s="2340"/>
      <c r="C49" s="2236"/>
      <c r="D49" s="2212"/>
      <c r="E49" s="2341"/>
      <c r="F49" s="2342"/>
      <c r="G49" s="2211"/>
      <c r="H49" s="2331"/>
      <c r="I49" s="2719"/>
      <c r="J49" s="2334"/>
      <c r="K49" s="2722"/>
      <c r="L49" s="2109"/>
      <c r="M49" s="2722"/>
      <c r="N49" s="2109"/>
      <c r="O49" s="2722"/>
      <c r="P49" s="2109"/>
      <c r="Q49" s="2722"/>
      <c r="R49" s="2109"/>
      <c r="S49" s="2722"/>
    </row>
    <row r="50" spans="1:19" s="77" customFormat="1" x14ac:dyDescent="0.35">
      <c r="A50" s="2727"/>
      <c r="B50" s="2340"/>
      <c r="C50" s="2236"/>
      <c r="D50" s="2212"/>
      <c r="E50" s="2341"/>
      <c r="F50" s="2342"/>
      <c r="G50" s="2211"/>
      <c r="H50" s="2331"/>
      <c r="I50" s="2719"/>
      <c r="J50" s="2334"/>
      <c r="K50" s="2722"/>
      <c r="L50" s="2109"/>
      <c r="M50" s="2722"/>
      <c r="N50" s="2109"/>
      <c r="O50" s="2722"/>
      <c r="P50" s="2109"/>
      <c r="Q50" s="2722"/>
      <c r="R50" s="2109"/>
      <c r="S50" s="2722"/>
    </row>
    <row r="51" spans="1:19" s="77" customFormat="1" x14ac:dyDescent="0.35">
      <c r="A51" s="2727"/>
      <c r="B51" s="2340"/>
      <c r="C51" s="2236"/>
      <c r="D51" s="2212"/>
      <c r="E51" s="2341"/>
      <c r="F51" s="2342"/>
      <c r="G51" s="2211"/>
      <c r="H51" s="2331"/>
      <c r="I51" s="2719"/>
      <c r="J51" s="2334"/>
      <c r="K51" s="2722"/>
      <c r="L51" s="2109"/>
      <c r="M51" s="2722"/>
      <c r="N51" s="2109"/>
      <c r="O51" s="2722"/>
      <c r="P51" s="2109"/>
      <c r="Q51" s="2722"/>
      <c r="R51" s="2109"/>
      <c r="S51" s="2722"/>
    </row>
    <row r="52" spans="1:19" s="77" customFormat="1" x14ac:dyDescent="0.35">
      <c r="A52" s="2727"/>
      <c r="B52" s="2340"/>
      <c r="C52" s="2236"/>
      <c r="D52" s="2212"/>
      <c r="E52" s="2341"/>
      <c r="F52" s="2342"/>
      <c r="G52" s="2211"/>
      <c r="H52" s="2331"/>
      <c r="I52" s="2719"/>
      <c r="J52" s="2334"/>
      <c r="K52" s="2722"/>
      <c r="L52" s="2109"/>
      <c r="M52" s="2722"/>
      <c r="N52" s="2109"/>
      <c r="O52" s="2722"/>
      <c r="P52" s="2109"/>
      <c r="Q52" s="2722"/>
      <c r="R52" s="2109"/>
      <c r="S52" s="2722"/>
    </row>
    <row r="53" spans="1:19" s="77" customFormat="1" x14ac:dyDescent="0.35">
      <c r="A53" s="2727"/>
      <c r="B53" s="2340"/>
      <c r="C53" s="2236"/>
      <c r="D53" s="2212"/>
      <c r="E53" s="2341"/>
      <c r="F53" s="2342"/>
      <c r="G53" s="2211"/>
      <c r="H53" s="2331"/>
      <c r="I53" s="2719"/>
      <c r="J53" s="2334"/>
      <c r="K53" s="2722"/>
      <c r="L53" s="2109"/>
      <c r="M53" s="2722"/>
      <c r="N53" s="2109"/>
      <c r="O53" s="2722"/>
      <c r="P53" s="2109"/>
      <c r="Q53" s="2722"/>
      <c r="R53" s="2109"/>
      <c r="S53" s="2722"/>
    </row>
    <row r="54" spans="1:19" s="77" customFormat="1" ht="16.5" customHeight="1" x14ac:dyDescent="0.35">
      <c r="A54" s="2727"/>
      <c r="B54" s="2340"/>
      <c r="C54" s="2236"/>
      <c r="D54" s="2212"/>
      <c r="E54" s="2341"/>
      <c r="F54" s="2342"/>
      <c r="G54" s="2211"/>
      <c r="H54" s="2331"/>
      <c r="I54" s="2719"/>
      <c r="J54" s="2334"/>
      <c r="K54" s="2722"/>
      <c r="L54" s="2109"/>
      <c r="M54" s="2722"/>
      <c r="N54" s="2109"/>
      <c r="O54" s="2722"/>
      <c r="P54" s="2109"/>
      <c r="Q54" s="2722"/>
      <c r="R54" s="2109"/>
      <c r="S54" s="2722"/>
    </row>
    <row r="55" spans="1:19" x14ac:dyDescent="0.35">
      <c r="A55" s="2542"/>
      <c r="B55" s="2543"/>
      <c r="C55" s="2201"/>
      <c r="D55" s="2285"/>
      <c r="E55" s="2285"/>
      <c r="F55" s="2285"/>
      <c r="G55" s="2198"/>
      <c r="H55" s="2730"/>
      <c r="I55" s="2717"/>
      <c r="J55" s="2717"/>
      <c r="K55" s="2717"/>
      <c r="L55" s="2109"/>
      <c r="M55" s="2717"/>
      <c r="N55" s="2109"/>
      <c r="O55" s="2717"/>
      <c r="P55" s="2109"/>
      <c r="Q55" s="2717"/>
      <c r="R55" s="2109"/>
      <c r="S55" s="2717"/>
    </row>
    <row r="56" spans="1:19" x14ac:dyDescent="0.35">
      <c r="A56" s="14"/>
      <c r="B56" s="15"/>
      <c r="C56" s="16"/>
      <c r="D56" s="16"/>
      <c r="E56" s="17"/>
      <c r="F56" s="18" t="s">
        <v>715</v>
      </c>
      <c r="G56" s="19"/>
      <c r="H56" s="20"/>
      <c r="I56" s="50">
        <f>SUM(I23:I55)</f>
        <v>0</v>
      </c>
      <c r="J56" s="20"/>
      <c r="K56" s="50">
        <f>SUM(K23:K55)</f>
        <v>0</v>
      </c>
      <c r="L56" s="20"/>
      <c r="M56" s="50">
        <f>SUM(M23:M55)</f>
        <v>0</v>
      </c>
      <c r="N56" s="20"/>
      <c r="O56" s="50">
        <f>SUM(O23:O55)</f>
        <v>0</v>
      </c>
      <c r="P56" s="20"/>
      <c r="Q56" s="50">
        <f>SUM(Q23:Q55)</f>
        <v>0</v>
      </c>
      <c r="R56" s="20"/>
      <c r="S56" s="50">
        <f>SUM(S23:S55)</f>
        <v>0</v>
      </c>
    </row>
    <row r="57" spans="1:19" x14ac:dyDescent="0.35">
      <c r="A57" s="2239"/>
      <c r="B57" s="2240"/>
      <c r="C57" s="2241"/>
      <c r="D57" s="2241"/>
      <c r="E57" s="2242"/>
      <c r="F57" s="2243" t="s">
        <v>716</v>
      </c>
      <c r="G57" s="2244"/>
      <c r="H57" s="2065">
        <v>0</v>
      </c>
      <c r="I57" s="2064"/>
      <c r="J57" s="2065">
        <v>0</v>
      </c>
      <c r="K57" s="2064"/>
      <c r="L57" s="2065">
        <v>0</v>
      </c>
      <c r="M57" s="2064"/>
      <c r="N57" s="2065">
        <v>0</v>
      </c>
      <c r="O57" s="2064"/>
      <c r="P57" s="2065">
        <v>0</v>
      </c>
      <c r="Q57" s="2064"/>
      <c r="R57" s="2065">
        <v>0</v>
      </c>
      <c r="S57" s="2064"/>
    </row>
    <row r="58" spans="1:19" x14ac:dyDescent="0.35">
      <c r="A58" s="2239"/>
      <c r="B58" s="2240"/>
      <c r="C58" s="2241"/>
      <c r="D58" s="2241"/>
      <c r="E58" s="2242"/>
      <c r="F58" s="2243" t="s">
        <v>717</v>
      </c>
      <c r="G58" s="2244"/>
      <c r="H58" s="2066"/>
      <c r="I58" s="2067">
        <f>H57*I56</f>
        <v>0</v>
      </c>
      <c r="J58" s="2066"/>
      <c r="K58" s="2067">
        <f>J57*K56</f>
        <v>0</v>
      </c>
      <c r="L58" s="2066"/>
      <c r="M58" s="2067">
        <f>L57*M56</f>
        <v>0</v>
      </c>
      <c r="N58" s="2066"/>
      <c r="O58" s="2067">
        <f>N57*O56</f>
        <v>0</v>
      </c>
      <c r="P58" s="2066"/>
      <c r="Q58" s="2067">
        <f>P57*Q56</f>
        <v>0</v>
      </c>
      <c r="R58" s="2066"/>
      <c r="S58" s="2067">
        <f>R57*S56</f>
        <v>0</v>
      </c>
    </row>
    <row r="59" spans="1:19" x14ac:dyDescent="0.35">
      <c r="A59" s="2239"/>
      <c r="B59" s="2240"/>
      <c r="C59" s="2241"/>
      <c r="D59" s="2241"/>
      <c r="E59" s="2242"/>
      <c r="F59" s="2243"/>
      <c r="G59" s="2244"/>
      <c r="H59" s="2066"/>
      <c r="I59" s="2068"/>
      <c r="J59" s="2066"/>
      <c r="K59" s="2068"/>
      <c r="L59" s="2066"/>
      <c r="M59" s="2068"/>
      <c r="N59" s="2066"/>
      <c r="O59" s="2068"/>
      <c r="P59" s="2066"/>
      <c r="Q59" s="2068"/>
      <c r="R59" s="2066"/>
      <c r="S59" s="2068"/>
    </row>
    <row r="60" spans="1:19" x14ac:dyDescent="0.35">
      <c r="A60" s="2239"/>
      <c r="B60" s="2240"/>
      <c r="C60" s="2241"/>
      <c r="D60" s="2241"/>
      <c r="E60" s="2242"/>
      <c r="F60" s="2243" t="s">
        <v>718</v>
      </c>
      <c r="G60" s="2244"/>
      <c r="H60" s="2069"/>
      <c r="I60" s="2070">
        <f>SUM(I56:I58)</f>
        <v>0</v>
      </c>
      <c r="J60" s="2069"/>
      <c r="K60" s="2070">
        <f>SUM(K56:K58)</f>
        <v>0</v>
      </c>
      <c r="L60" s="2069"/>
      <c r="M60" s="2070">
        <f>SUM(M56:M58)</f>
        <v>0</v>
      </c>
      <c r="N60" s="2069"/>
      <c r="O60" s="2070">
        <f>SUM(O56:O58)</f>
        <v>0</v>
      </c>
      <c r="P60" s="2069"/>
      <c r="Q60" s="2070">
        <f>SUM(Q56:Q58)</f>
        <v>0</v>
      </c>
      <c r="R60" s="2069"/>
      <c r="S60" s="2070">
        <f>SUM(S56:S58)</f>
        <v>0</v>
      </c>
    </row>
    <row r="61" spans="1:19" x14ac:dyDescent="0.35">
      <c r="A61" s="2239"/>
      <c r="B61" s="2240"/>
      <c r="C61" s="2241"/>
      <c r="D61" s="2241"/>
      <c r="E61" s="2242"/>
      <c r="F61" s="2255" t="s">
        <v>719</v>
      </c>
      <c r="G61" s="2256"/>
      <c r="H61" s="2073"/>
      <c r="I61" s="2074" t="e">
        <f>I60/#REF!</f>
        <v>#REF!</v>
      </c>
      <c r="J61" s="2073"/>
      <c r="K61" s="2074" t="e">
        <f>K60/#REF!</f>
        <v>#REF!</v>
      </c>
      <c r="L61" s="2073"/>
      <c r="M61" s="2074" t="e">
        <f>M60/#REF!</f>
        <v>#REF!</v>
      </c>
      <c r="N61" s="2073"/>
      <c r="O61" s="2074" t="e">
        <f>O60/#REF!</f>
        <v>#REF!</v>
      </c>
      <c r="P61" s="2073"/>
      <c r="Q61" s="2074" t="e">
        <f>Q60/#REF!</f>
        <v>#REF!</v>
      </c>
      <c r="R61" s="2073"/>
      <c r="S61" s="2074" t="e">
        <f>S60/#REF!</f>
        <v>#REF!</v>
      </c>
    </row>
    <row r="62" spans="1:19" x14ac:dyDescent="0.35">
      <c r="A62" s="2239"/>
      <c r="B62" s="2240"/>
      <c r="C62" s="2241"/>
      <c r="D62" s="2241"/>
      <c r="E62" s="2242"/>
      <c r="F62" s="2255" t="s">
        <v>720</v>
      </c>
      <c r="G62" s="2260"/>
      <c r="H62" s="2073"/>
      <c r="I62" s="2074" t="e">
        <f>I60/#REF!</f>
        <v>#REF!</v>
      </c>
      <c r="J62" s="2073"/>
      <c r="K62" s="2074" t="e">
        <f>K60/#REF!</f>
        <v>#REF!</v>
      </c>
      <c r="L62" s="2073"/>
      <c r="M62" s="2074" t="e">
        <f>M60/#REF!</f>
        <v>#REF!</v>
      </c>
      <c r="N62" s="2073"/>
      <c r="O62" s="2074" t="e">
        <f>O60/#REF!</f>
        <v>#REF!</v>
      </c>
      <c r="P62" s="2073"/>
      <c r="Q62" s="2074" t="e">
        <f>Q60/#REF!</f>
        <v>#REF!</v>
      </c>
      <c r="R62" s="2073"/>
      <c r="S62" s="2074" t="e">
        <f>S60/#REF!</f>
        <v>#REF!</v>
      </c>
    </row>
    <row r="63" spans="1:19" x14ac:dyDescent="0.35">
      <c r="A63" s="2239"/>
      <c r="B63" s="2240"/>
      <c r="C63" s="2241"/>
      <c r="D63" s="2241"/>
      <c r="E63" s="2242"/>
      <c r="F63" s="2243"/>
      <c r="G63" s="2261"/>
      <c r="H63" s="2077"/>
      <c r="I63" s="2078"/>
      <c r="J63" s="2077"/>
      <c r="K63" s="2078"/>
      <c r="L63" s="2077"/>
      <c r="M63" s="2078"/>
      <c r="N63" s="2077"/>
      <c r="O63" s="2078"/>
      <c r="P63" s="2077"/>
      <c r="Q63" s="2078"/>
      <c r="R63" s="2077"/>
      <c r="S63" s="2078"/>
    </row>
    <row r="64" spans="1:19" x14ac:dyDescent="0.35">
      <c r="A64" s="3764" t="s">
        <v>721</v>
      </c>
      <c r="B64" s="3765"/>
      <c r="C64" s="12"/>
      <c r="D64" s="12"/>
      <c r="E64" s="12"/>
      <c r="F64" s="12"/>
      <c r="G64" s="13"/>
      <c r="H64" s="21"/>
      <c r="I64" s="21"/>
      <c r="J64" s="21"/>
      <c r="K64" s="21"/>
      <c r="L64" s="21"/>
      <c r="M64" s="21"/>
      <c r="N64" s="21"/>
      <c r="O64" s="21"/>
      <c r="P64" s="21"/>
      <c r="Q64" s="21"/>
      <c r="R64" s="21"/>
      <c r="S64" s="21"/>
    </row>
    <row r="65" spans="1:19" x14ac:dyDescent="0.35">
      <c r="A65" s="2731"/>
      <c r="B65" s="2284"/>
      <c r="C65" s="2732"/>
      <c r="D65" s="2732"/>
      <c r="E65" s="2732"/>
      <c r="F65" s="2732"/>
      <c r="G65" s="2733"/>
      <c r="H65" s="2734"/>
      <c r="I65" s="2734"/>
      <c r="J65" s="2734"/>
      <c r="K65" s="2734"/>
      <c r="L65" s="2734"/>
      <c r="M65" s="2734"/>
      <c r="N65" s="2734"/>
      <c r="O65" s="2734"/>
      <c r="P65" s="2734"/>
      <c r="Q65" s="2734"/>
      <c r="R65" s="2734"/>
      <c r="S65" s="2734"/>
    </row>
    <row r="66" spans="1:19" s="2" customFormat="1" x14ac:dyDescent="0.35">
      <c r="A66" s="2731"/>
      <c r="B66" s="2284"/>
      <c r="C66" s="2732"/>
      <c r="D66" s="2732"/>
      <c r="E66" s="2732"/>
      <c r="F66" s="2732"/>
      <c r="G66" s="2733"/>
      <c r="H66" s="2734"/>
      <c r="I66" s="2734"/>
      <c r="J66" s="2734"/>
      <c r="K66" s="2734"/>
      <c r="L66" s="2734"/>
      <c r="M66" s="2734"/>
      <c r="N66" s="2734"/>
      <c r="O66" s="2734"/>
      <c r="P66" s="2734"/>
      <c r="Q66" s="2734"/>
      <c r="R66" s="2734"/>
      <c r="S66" s="2734"/>
    </row>
    <row r="67" spans="1:19" s="2" customFormat="1" x14ac:dyDescent="0.35">
      <c r="A67" s="2731"/>
      <c r="B67" s="2284"/>
      <c r="C67" s="2732"/>
      <c r="D67" s="2732"/>
      <c r="E67" s="2732"/>
      <c r="F67" s="2732"/>
      <c r="G67" s="2733"/>
      <c r="H67" s="2734"/>
      <c r="I67" s="2734"/>
      <c r="J67" s="2734"/>
      <c r="K67" s="2734"/>
      <c r="L67" s="2734"/>
      <c r="M67" s="2734"/>
      <c r="N67" s="2734"/>
      <c r="O67" s="2734"/>
      <c r="P67" s="2734"/>
      <c r="Q67" s="2734"/>
      <c r="R67" s="2734"/>
      <c r="S67" s="2734"/>
    </row>
    <row r="68" spans="1:19" x14ac:dyDescent="0.35">
      <c r="A68" s="3764" t="s">
        <v>722</v>
      </c>
      <c r="B68" s="3765"/>
      <c r="C68" s="12"/>
      <c r="D68" s="12"/>
      <c r="E68" s="12"/>
      <c r="F68" s="12"/>
      <c r="G68" s="13"/>
      <c r="H68" s="21"/>
      <c r="I68" s="21"/>
      <c r="J68" s="21"/>
      <c r="K68" s="21"/>
      <c r="L68" s="21"/>
      <c r="M68" s="21"/>
      <c r="N68" s="21"/>
      <c r="O68" s="21"/>
      <c r="P68" s="21"/>
      <c r="Q68" s="21"/>
      <c r="R68" s="21"/>
      <c r="S68" s="21"/>
    </row>
    <row r="69" spans="1:19" s="2" customFormat="1" x14ac:dyDescent="0.35">
      <c r="A69" s="2731"/>
      <c r="B69" s="2284"/>
      <c r="C69" s="2732"/>
      <c r="D69" s="2732"/>
      <c r="E69" s="2732"/>
      <c r="F69" s="2732"/>
      <c r="G69" s="2733"/>
      <c r="H69" s="2734"/>
      <c r="I69" s="2734"/>
      <c r="J69" s="2734"/>
      <c r="K69" s="2734"/>
      <c r="L69" s="2734"/>
      <c r="M69" s="2734"/>
      <c r="N69" s="2734"/>
      <c r="O69" s="2734"/>
      <c r="P69" s="2734"/>
      <c r="Q69" s="2734"/>
      <c r="R69" s="2734"/>
      <c r="S69" s="2734"/>
    </row>
    <row r="70" spans="1:19" s="2" customFormat="1" x14ac:dyDescent="0.35">
      <c r="A70" s="2731"/>
      <c r="B70" s="2284"/>
      <c r="C70" s="2732"/>
      <c r="D70" s="2732"/>
      <c r="E70" s="2732"/>
      <c r="F70" s="2732"/>
      <c r="G70" s="2733"/>
      <c r="H70" s="2734"/>
      <c r="I70" s="2734"/>
      <c r="J70" s="2734"/>
      <c r="K70" s="2734"/>
      <c r="L70" s="2734"/>
      <c r="M70" s="2734"/>
      <c r="N70" s="2734"/>
      <c r="O70" s="2734"/>
      <c r="P70" s="2734"/>
      <c r="Q70" s="2734"/>
      <c r="R70" s="2734"/>
      <c r="S70" s="2734"/>
    </row>
    <row r="71" spans="1:19" x14ac:dyDescent="0.35">
      <c r="A71" s="2731"/>
      <c r="B71" s="2284"/>
      <c r="C71" s="2732"/>
      <c r="D71" s="2732"/>
      <c r="E71" s="2732"/>
      <c r="F71" s="2732"/>
      <c r="G71" s="2733"/>
      <c r="H71" s="2734"/>
      <c r="I71" s="2734"/>
      <c r="J71" s="2734"/>
      <c r="K71" s="2734"/>
      <c r="L71" s="2734"/>
      <c r="M71" s="2734"/>
      <c r="N71" s="2734"/>
      <c r="O71" s="2734"/>
      <c r="P71" s="2734"/>
      <c r="Q71" s="2734"/>
      <c r="R71" s="2734"/>
      <c r="S71" s="2734"/>
    </row>
    <row r="72" spans="1:19" x14ac:dyDescent="0.35">
      <c r="A72" s="3764" t="s">
        <v>723</v>
      </c>
      <c r="B72" s="3765"/>
      <c r="C72" s="12"/>
      <c r="D72" s="12"/>
      <c r="E72" s="12"/>
      <c r="F72" s="12"/>
      <c r="G72" s="13"/>
      <c r="H72" s="21"/>
      <c r="I72" s="21"/>
      <c r="J72" s="21"/>
      <c r="K72" s="21"/>
      <c r="L72" s="21"/>
      <c r="M72" s="21"/>
      <c r="N72" s="21"/>
      <c r="O72" s="21"/>
      <c r="P72" s="21"/>
      <c r="Q72" s="21"/>
      <c r="R72" s="21"/>
      <c r="S72" s="21"/>
    </row>
    <row r="73" spans="1:19" x14ac:dyDescent="0.35">
      <c r="A73" s="2731"/>
      <c r="B73" s="2284"/>
      <c r="C73" s="2732"/>
      <c r="D73" s="2732"/>
      <c r="E73" s="2732"/>
      <c r="F73" s="2732"/>
      <c r="G73" s="2733"/>
      <c r="H73" s="2734"/>
      <c r="I73" s="2734"/>
      <c r="J73" s="2734"/>
      <c r="K73" s="2734"/>
      <c r="L73" s="2734"/>
      <c r="M73" s="2734"/>
      <c r="N73" s="2734"/>
      <c r="O73" s="2734"/>
      <c r="P73" s="2734"/>
      <c r="Q73" s="2734"/>
      <c r="R73" s="2734"/>
      <c r="S73" s="2734"/>
    </row>
    <row r="74" spans="1:19" x14ac:dyDescent="0.35">
      <c r="A74" s="2286"/>
      <c r="B74" s="2284"/>
      <c r="C74" s="2285"/>
      <c r="D74" s="2285"/>
      <c r="E74" s="2285"/>
      <c r="F74" s="2285"/>
      <c r="G74" s="2198"/>
      <c r="H74" s="2081"/>
      <c r="I74" s="2081"/>
      <c r="J74" s="2081"/>
      <c r="K74" s="2081"/>
      <c r="L74" s="2081"/>
      <c r="M74" s="2081"/>
      <c r="N74" s="2081"/>
      <c r="O74" s="2081"/>
      <c r="P74" s="2081"/>
      <c r="Q74" s="2081"/>
      <c r="R74" s="2081"/>
      <c r="S74" s="2081"/>
    </row>
    <row r="75" spans="1:19" x14ac:dyDescent="0.35">
      <c r="A75" s="2269"/>
      <c r="B75" s="2270"/>
      <c r="C75" s="2285"/>
      <c r="D75" s="2285"/>
      <c r="E75" s="2285"/>
      <c r="F75" s="2285"/>
      <c r="G75" s="2198"/>
      <c r="H75" s="2084"/>
      <c r="I75" s="2084"/>
      <c r="J75" s="2084"/>
      <c r="K75" s="2084"/>
      <c r="L75" s="2084"/>
      <c r="M75" s="2084"/>
      <c r="N75" s="2084"/>
      <c r="O75" s="2084"/>
      <c r="P75" s="2084"/>
      <c r="Q75" s="2084"/>
      <c r="R75" s="2084"/>
      <c r="S75" s="2084"/>
    </row>
    <row r="76" spans="1:19" x14ac:dyDescent="0.35">
      <c r="A76" s="3764" t="s">
        <v>724</v>
      </c>
      <c r="B76" s="3765"/>
      <c r="C76" s="12"/>
      <c r="D76" s="12"/>
      <c r="E76" s="12"/>
      <c r="F76" s="12"/>
      <c r="G76" s="13"/>
      <c r="H76" s="21"/>
      <c r="I76" s="21"/>
      <c r="J76" s="21"/>
      <c r="K76" s="21"/>
      <c r="L76" s="21"/>
      <c r="M76" s="21"/>
      <c r="N76" s="21"/>
      <c r="O76" s="21"/>
      <c r="P76" s="21"/>
      <c r="Q76" s="21"/>
      <c r="R76" s="21"/>
      <c r="S76" s="21"/>
    </row>
    <row r="77" spans="1:19" x14ac:dyDescent="0.35">
      <c r="A77" s="2735"/>
      <c r="B77" s="2736"/>
      <c r="C77" s="2732"/>
      <c r="D77" s="2732"/>
      <c r="E77" s="2732"/>
      <c r="F77" s="2732"/>
      <c r="G77" s="2733"/>
      <c r="H77" s="2734"/>
      <c r="I77" s="2734"/>
      <c r="J77" s="2734"/>
      <c r="K77" s="2734"/>
      <c r="L77" s="2734"/>
      <c r="M77" s="2734"/>
      <c r="N77" s="2734"/>
      <c r="O77" s="2734"/>
      <c r="P77" s="2734"/>
      <c r="Q77" s="2734"/>
      <c r="R77" s="2734"/>
      <c r="S77" s="2734"/>
    </row>
    <row r="78" spans="1:19" x14ac:dyDescent="0.35">
      <c r="A78" s="2269"/>
      <c r="B78" s="2270"/>
      <c r="C78" s="2285"/>
      <c r="D78" s="2285"/>
      <c r="E78" s="2285"/>
      <c r="F78" s="2285"/>
      <c r="G78" s="2198"/>
      <c r="H78" s="2087"/>
      <c r="I78" s="2087"/>
      <c r="J78" s="2087"/>
      <c r="K78" s="2087"/>
      <c r="L78" s="2087"/>
      <c r="M78" s="2087"/>
      <c r="N78" s="2087"/>
      <c r="O78" s="2087"/>
      <c r="P78" s="2087"/>
      <c r="Q78" s="2087"/>
      <c r="R78" s="2087"/>
      <c r="S78" s="2087"/>
    </row>
    <row r="79" spans="1:19" x14ac:dyDescent="0.35">
      <c r="A79" s="2269"/>
      <c r="B79" s="2270"/>
      <c r="C79" s="2285"/>
      <c r="D79" s="2285"/>
      <c r="E79" s="2285"/>
      <c r="F79" s="2285"/>
      <c r="G79" s="2198"/>
      <c r="H79" s="2087"/>
      <c r="I79" s="2087"/>
      <c r="J79" s="2087"/>
      <c r="K79" s="2087"/>
      <c r="L79" s="2087"/>
      <c r="M79" s="2087"/>
      <c r="N79" s="2087"/>
      <c r="O79" s="2087"/>
      <c r="P79" s="2087"/>
      <c r="Q79" s="2087"/>
      <c r="R79" s="2087"/>
      <c r="S79" s="2087"/>
    </row>
    <row r="80" spans="1:19" x14ac:dyDescent="0.35">
      <c r="A80" s="3764" t="s">
        <v>725</v>
      </c>
      <c r="B80" s="3765"/>
      <c r="C80" s="12"/>
      <c r="D80" s="12"/>
      <c r="E80" s="12"/>
      <c r="F80" s="12"/>
      <c r="G80" s="13"/>
      <c r="H80" s="21"/>
      <c r="I80" s="21"/>
      <c r="J80" s="21"/>
      <c r="K80" s="21"/>
      <c r="L80" s="21"/>
      <c r="M80" s="21"/>
      <c r="N80" s="21"/>
      <c r="O80" s="21"/>
      <c r="P80" s="21"/>
      <c r="Q80" s="21"/>
      <c r="R80" s="21"/>
      <c r="S80" s="21"/>
    </row>
    <row r="81" spans="1:19" x14ac:dyDescent="0.35">
      <c r="A81" s="2286"/>
      <c r="B81" s="2284" t="s">
        <v>726</v>
      </c>
      <c r="C81" s="2285"/>
      <c r="D81" s="2285"/>
      <c r="E81" s="2285"/>
      <c r="F81" s="2285"/>
      <c r="G81" s="2198"/>
      <c r="H81" s="2087"/>
      <c r="I81" s="2087"/>
      <c r="J81" s="2087"/>
      <c r="K81" s="2087"/>
      <c r="L81" s="2087"/>
      <c r="M81" s="2087"/>
      <c r="N81" s="2087"/>
      <c r="O81" s="2087"/>
      <c r="P81" s="2087"/>
      <c r="Q81" s="2087"/>
      <c r="R81" s="2087"/>
      <c r="S81" s="2087"/>
    </row>
    <row r="82" spans="1:19" x14ac:dyDescent="0.35">
      <c r="A82" s="2286"/>
      <c r="B82" s="2284" t="s">
        <v>727</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728</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729</v>
      </c>
      <c r="C84" s="2285"/>
      <c r="D84" s="2285"/>
      <c r="E84" s="2285"/>
      <c r="F84" s="2285"/>
      <c r="G84" s="2198"/>
      <c r="H84" s="2087"/>
      <c r="I84" s="2087"/>
      <c r="J84" s="2087"/>
      <c r="K84" s="2087"/>
      <c r="L84" s="2087"/>
      <c r="M84" s="2087"/>
      <c r="N84" s="2087"/>
      <c r="O84" s="2087"/>
      <c r="P84" s="2087"/>
      <c r="Q84" s="2087"/>
      <c r="R84" s="2087"/>
      <c r="S84" s="2087"/>
    </row>
    <row r="85" spans="1:19" x14ac:dyDescent="0.35">
      <c r="A85" s="978"/>
      <c r="B85" s="939"/>
      <c r="C85" s="940"/>
      <c r="D85" s="940"/>
      <c r="E85" s="940"/>
      <c r="F85" s="940"/>
      <c r="G85" s="1039"/>
      <c r="H85" s="981"/>
      <c r="I85" s="981"/>
      <c r="J85" s="981"/>
      <c r="K85" s="981"/>
      <c r="L85" s="981"/>
      <c r="M85" s="981"/>
      <c r="N85" s="981"/>
      <c r="O85" s="981"/>
      <c r="P85" s="981"/>
      <c r="Q85" s="981"/>
      <c r="R85" s="981"/>
      <c r="S85" s="981"/>
    </row>
    <row r="86" spans="1:19" x14ac:dyDescent="0.35">
      <c r="A86" s="7" t="s">
        <v>730</v>
      </c>
      <c r="B86" s="8"/>
      <c r="C86" s="12"/>
      <c r="D86" s="12"/>
      <c r="E86" s="12"/>
      <c r="F86" s="12"/>
      <c r="G86" s="13"/>
      <c r="H86" s="21"/>
      <c r="I86" s="21"/>
      <c r="J86" s="21"/>
      <c r="K86" s="21"/>
      <c r="L86" s="21"/>
      <c r="M86" s="21"/>
      <c r="N86" s="21"/>
      <c r="O86" s="21"/>
      <c r="P86" s="21"/>
      <c r="Q86" s="21"/>
      <c r="R86" s="21"/>
      <c r="S86" s="21"/>
    </row>
    <row r="87" spans="1:19" x14ac:dyDescent="0.35">
      <c r="A87" s="2731"/>
      <c r="B87" s="2737" t="s">
        <v>731</v>
      </c>
      <c r="C87" s="2732"/>
      <c r="D87" s="2732"/>
      <c r="E87" s="2732"/>
      <c r="F87" s="2732"/>
      <c r="G87" s="2733"/>
      <c r="H87" s="2730"/>
      <c r="I87" s="2730"/>
      <c r="J87" s="2730"/>
      <c r="K87" s="2730"/>
      <c r="L87" s="2730"/>
      <c r="M87" s="2730"/>
      <c r="N87" s="2730"/>
      <c r="O87" s="2730"/>
      <c r="P87" s="2730"/>
      <c r="Q87" s="2730"/>
      <c r="R87" s="2730"/>
      <c r="S87" s="2730"/>
    </row>
    <row r="88" spans="1:19" x14ac:dyDescent="0.35">
      <c r="A88" s="2286"/>
      <c r="B88" s="2284" t="s">
        <v>732</v>
      </c>
      <c r="C88" s="2285"/>
      <c r="D88" s="2285"/>
      <c r="E88" s="2285"/>
      <c r="F88" s="2285"/>
      <c r="G88" s="2198"/>
      <c r="H88" s="2158"/>
      <c r="I88" s="2158"/>
      <c r="J88" s="2158"/>
      <c r="K88" s="2158"/>
      <c r="L88" s="2158"/>
      <c r="M88" s="2158"/>
      <c r="N88" s="2158"/>
      <c r="O88" s="2158"/>
      <c r="P88" s="2158"/>
      <c r="Q88" s="2158"/>
      <c r="R88" s="2158"/>
      <c r="S88" s="2158"/>
    </row>
    <row r="89" spans="1:19" x14ac:dyDescent="0.35">
      <c r="A89" s="2089"/>
      <c r="B89" s="2090" t="s">
        <v>733</v>
      </c>
      <c r="C89" s="2091"/>
      <c r="D89" s="2091"/>
      <c r="E89" s="2091"/>
      <c r="F89" s="2091"/>
      <c r="G89" s="2092"/>
      <c r="H89" s="2093"/>
      <c r="I89" s="2093"/>
      <c r="J89" s="2093"/>
      <c r="K89" s="2093"/>
      <c r="L89" s="2093"/>
      <c r="M89" s="2093"/>
      <c r="N89" s="2093"/>
      <c r="O89" s="2093"/>
      <c r="P89" s="2093"/>
      <c r="Q89" s="2093"/>
      <c r="R89" s="2093"/>
      <c r="S89" s="2093"/>
    </row>
    <row r="91" spans="1:19" x14ac:dyDescent="0.35">
      <c r="A91" s="78" t="s">
        <v>734</v>
      </c>
      <c r="B91" s="80"/>
    </row>
    <row r="92" spans="1:19" x14ac:dyDescent="0.35">
      <c r="A92" s="79" t="s">
        <v>632</v>
      </c>
      <c r="B92" s="2094"/>
    </row>
    <row r="93" spans="1:19" x14ac:dyDescent="0.35">
      <c r="A93" s="2279" t="s">
        <v>636</v>
      </c>
      <c r="B93" s="2094"/>
    </row>
    <row r="94" spans="1:19" x14ac:dyDescent="0.35">
      <c r="A94" s="2096" t="s">
        <v>639</v>
      </c>
      <c r="B94" s="2097"/>
    </row>
    <row r="95" spans="1:19" x14ac:dyDescent="0.35">
      <c r="A95" s="2096" t="s">
        <v>642</v>
      </c>
      <c r="B95" s="2159"/>
    </row>
    <row r="96" spans="1:19" x14ac:dyDescent="0.35">
      <c r="A96" s="2099" t="s">
        <v>735</v>
      </c>
      <c r="B96" s="2100"/>
    </row>
    <row r="98" spans="1:2" x14ac:dyDescent="0.35">
      <c r="A98" s="81"/>
      <c r="B98" s="1" t="s">
        <v>736</v>
      </c>
    </row>
    <row r="99" spans="1:2" x14ac:dyDescent="0.35">
      <c r="A99" s="82"/>
      <c r="B99" s="1" t="s">
        <v>737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91" priority="19" operator="equal">
      <formula>"X"</formula>
    </cfRule>
    <cfRule type="cellIs" dxfId="690" priority="20" operator="equal">
      <formula>"I"</formula>
    </cfRule>
  </conditionalFormatting>
  <conditionalFormatting sqref="J20:J30">
    <cfRule type="cellIs" dxfId="689" priority="17" operator="equal">
      <formula>"X"</formula>
    </cfRule>
    <cfRule type="cellIs" dxfId="688" priority="18" operator="equal">
      <formula>"I"</formula>
    </cfRule>
  </conditionalFormatting>
  <conditionalFormatting sqref="L20:L30">
    <cfRule type="cellIs" dxfId="687" priority="15" operator="equal">
      <formula>"X"</formula>
    </cfRule>
    <cfRule type="cellIs" dxfId="686" priority="16" operator="equal">
      <formula>"I"</formula>
    </cfRule>
  </conditionalFormatting>
  <conditionalFormatting sqref="L32:L55">
    <cfRule type="cellIs" dxfId="685" priority="1" operator="equal">
      <formula>"X"</formula>
    </cfRule>
    <cfRule type="cellIs" dxfId="684" priority="2" operator="equal">
      <formula>"I"</formula>
    </cfRule>
  </conditionalFormatting>
  <conditionalFormatting sqref="N20:N30">
    <cfRule type="cellIs" dxfId="683" priority="13" operator="equal">
      <formula>"X"</formula>
    </cfRule>
    <cfRule type="cellIs" dxfId="682" priority="14" operator="equal">
      <formula>"I"</formula>
    </cfRule>
  </conditionalFormatting>
  <conditionalFormatting sqref="N32:N55">
    <cfRule type="cellIs" dxfId="681" priority="3" operator="equal">
      <formula>"X"</formula>
    </cfRule>
    <cfRule type="cellIs" dxfId="680" priority="4" operator="equal">
      <formula>"I"</formula>
    </cfRule>
  </conditionalFormatting>
  <conditionalFormatting sqref="P20:P30">
    <cfRule type="cellIs" dxfId="679" priority="11" operator="equal">
      <formula>"X"</formula>
    </cfRule>
    <cfRule type="cellIs" dxfId="678" priority="12" operator="equal">
      <formula>"I"</formula>
    </cfRule>
  </conditionalFormatting>
  <conditionalFormatting sqref="P32:P55">
    <cfRule type="cellIs" dxfId="677" priority="5" operator="equal">
      <formula>"X"</formula>
    </cfRule>
    <cfRule type="cellIs" dxfId="676" priority="6" operator="equal">
      <formula>"I"</formula>
    </cfRule>
  </conditionalFormatting>
  <conditionalFormatting sqref="R20:R30">
    <cfRule type="cellIs" dxfId="675" priority="9" operator="equal">
      <formula>"X"</formula>
    </cfRule>
    <cfRule type="cellIs" dxfId="674" priority="10" operator="equal">
      <formula>"I"</formula>
    </cfRule>
  </conditionalFormatting>
  <conditionalFormatting sqref="R32:R55">
    <cfRule type="cellIs" dxfId="673" priority="7" operator="equal">
      <formula>"X"</formula>
    </cfRule>
    <cfRule type="cellIs" dxfId="672" priority="8" operator="equal">
      <formula>"I"</formula>
    </cfRule>
  </conditionalFormatting>
  <hyperlinks>
    <hyperlink ref="B3" location="'Cost Summary'!A1" display="BACK TO SUMMARY SHEET" xr:uid="{A69B2A35-2F06-40E8-9354-5C8A416668AA}"/>
  </hyperlinks>
  <pageMargins left="0.7" right="0.7" top="0.75" bottom="0.75" header="0.3" footer="0.3"/>
  <pageSetup scale="71" orientation="portrait" horizontalDpi="1200" verticalDpi="120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84B4-0FF2-4BA8-8A92-4E8F7B7B61B8}">
  <sheetPr>
    <tabColor rgb="FF92D050"/>
  </sheetPr>
  <dimension ref="A1:S98"/>
  <sheetViews>
    <sheetView zoomScale="85" zoomScaleNormal="85" workbookViewId="0">
      <pane xSplit="2" ySplit="9" topLeftCell="C20" activePane="bottomRight" state="frozen"/>
      <selection pane="topRight" activeCell="C1" sqref="C1"/>
      <selection pane="bottomLeft" activeCell="A10" sqref="A10"/>
      <selection pane="bottomRight"/>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898"/>
      <c r="I4" s="3898"/>
      <c r="J4" s="3898"/>
      <c r="K4" s="3898"/>
      <c r="L4" s="3898"/>
      <c r="M4" s="3898"/>
      <c r="N4" s="3898"/>
      <c r="O4" s="3898"/>
      <c r="P4" s="3898"/>
      <c r="Q4" s="3898"/>
      <c r="R4" s="3796"/>
      <c r="S4" s="3753"/>
    </row>
    <row r="5" spans="1:19" x14ac:dyDescent="0.35">
      <c r="A5" s="2283" t="s">
        <v>634</v>
      </c>
      <c r="B5" s="2284" t="s">
        <v>3047</v>
      </c>
      <c r="C5" s="2285"/>
      <c r="D5" s="2285"/>
      <c r="E5" s="2285"/>
      <c r="F5" s="2285"/>
      <c r="G5" s="2194" t="s">
        <v>636</v>
      </c>
      <c r="H5" s="3950"/>
      <c r="I5" s="3950"/>
      <c r="J5" s="3950"/>
      <c r="K5" s="3950"/>
      <c r="L5" s="3950"/>
      <c r="M5" s="3950"/>
      <c r="N5" s="3950"/>
      <c r="O5" s="3950"/>
      <c r="P5" s="3950"/>
      <c r="Q5" s="3950"/>
      <c r="R5" s="3933"/>
      <c r="S5" s="3932"/>
    </row>
    <row r="6" spans="1:19" x14ac:dyDescent="0.35">
      <c r="A6" s="2283" t="s">
        <v>638</v>
      </c>
      <c r="B6" s="2195" t="s">
        <v>3048</v>
      </c>
      <c r="C6" s="2285"/>
      <c r="D6" s="2285"/>
      <c r="E6" s="2285"/>
      <c r="F6" s="2285"/>
      <c r="G6" s="2194" t="s">
        <v>639</v>
      </c>
      <c r="H6" s="3949"/>
      <c r="I6" s="3949"/>
      <c r="J6" s="3949"/>
      <c r="K6" s="3949"/>
      <c r="L6" s="3949"/>
      <c r="M6" s="3949"/>
      <c r="N6" s="3949"/>
      <c r="O6" s="3949"/>
      <c r="P6" s="3949"/>
      <c r="Q6" s="3949"/>
      <c r="R6" s="3939"/>
      <c r="S6" s="3938"/>
    </row>
    <row r="7" spans="1:19" x14ac:dyDescent="0.35">
      <c r="A7" s="2283" t="s">
        <v>641</v>
      </c>
      <c r="B7" s="2196"/>
      <c r="C7" s="2285"/>
      <c r="D7" s="2285"/>
      <c r="E7" s="2285"/>
      <c r="F7" s="2285"/>
      <c r="G7" s="2194" t="s">
        <v>642</v>
      </c>
      <c r="H7" s="3951"/>
      <c r="I7" s="3951"/>
      <c r="J7" s="3951"/>
      <c r="K7" s="3951"/>
      <c r="L7" s="3951"/>
      <c r="M7" s="3951"/>
      <c r="N7" s="3951"/>
      <c r="O7" s="3951"/>
      <c r="P7" s="3951"/>
      <c r="Q7" s="3951"/>
      <c r="R7" s="3936"/>
      <c r="S7" s="3935"/>
    </row>
    <row r="8" spans="1:19" x14ac:dyDescent="0.35">
      <c r="A8" s="938" t="s">
        <v>644</v>
      </c>
      <c r="B8" s="939"/>
      <c r="C8" s="940"/>
      <c r="D8" s="940"/>
      <c r="E8" s="940"/>
      <c r="F8" s="940"/>
      <c r="G8" s="1024" t="s">
        <v>644</v>
      </c>
      <c r="H8" s="3945">
        <f>I59</f>
        <v>0</v>
      </c>
      <c r="I8" s="3944"/>
      <c r="J8" s="3945">
        <f>K59</f>
        <v>0</v>
      </c>
      <c r="K8" s="3944"/>
      <c r="L8" s="3945">
        <f>M59</f>
        <v>0</v>
      </c>
      <c r="M8" s="3944"/>
      <c r="N8" s="3945">
        <f>O59</f>
        <v>0</v>
      </c>
      <c r="O8" s="3944"/>
      <c r="P8" s="3945">
        <f>Q59</f>
        <v>0</v>
      </c>
      <c r="Q8" s="3944"/>
      <c r="R8" s="3945">
        <f>S59</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738"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286"/>
      <c r="B21" s="2203" t="s">
        <v>3047</v>
      </c>
      <c r="C21" s="2201"/>
      <c r="D21" s="2285"/>
      <c r="E21" s="2285"/>
      <c r="F21" s="2285"/>
      <c r="G21" s="2198"/>
      <c r="H21" s="2109"/>
      <c r="I21" s="2107"/>
      <c r="J21" s="2109"/>
      <c r="K21" s="2107"/>
      <c r="L21" s="2109"/>
      <c r="M21" s="2107"/>
      <c r="N21" s="2109"/>
      <c r="O21" s="2107"/>
      <c r="P21" s="2109"/>
      <c r="Q21" s="2107"/>
      <c r="R21" s="2109"/>
      <c r="S21" s="2107"/>
    </row>
    <row r="22" spans="1:19" x14ac:dyDescent="0.35">
      <c r="A22" s="2739"/>
      <c r="B22" s="606" t="s">
        <v>657</v>
      </c>
      <c r="C22" s="2201"/>
      <c r="D22" s="2285"/>
      <c r="E22" s="2285"/>
      <c r="F22" s="2285"/>
      <c r="G22" s="2198"/>
      <c r="H22" s="2109"/>
      <c r="I22" s="2740"/>
      <c r="J22" s="2109"/>
      <c r="K22" s="2740"/>
      <c r="L22" s="2109"/>
      <c r="M22" s="2740"/>
      <c r="N22" s="2109"/>
      <c r="O22" s="2740"/>
      <c r="P22" s="2109"/>
      <c r="Q22" s="2740"/>
      <c r="R22" s="2109"/>
      <c r="S22" s="2740"/>
    </row>
    <row r="23" spans="1:19" x14ac:dyDescent="0.35">
      <c r="A23" s="2739"/>
      <c r="B23" s="2741" t="s">
        <v>658</v>
      </c>
      <c r="C23" s="2201"/>
      <c r="D23" s="2285"/>
      <c r="E23" s="2285"/>
      <c r="F23" s="2285"/>
      <c r="G23" s="2198"/>
      <c r="H23" s="2109"/>
      <c r="I23" s="2742"/>
      <c r="J23" s="2109"/>
      <c r="K23" s="2740"/>
      <c r="L23" s="2109"/>
      <c r="M23" s="2740"/>
      <c r="N23" s="2109"/>
      <c r="O23" s="2740"/>
      <c r="P23" s="2109"/>
      <c r="Q23" s="2740"/>
      <c r="R23" s="2109"/>
      <c r="S23" s="2740"/>
    </row>
    <row r="24" spans="1:19" x14ac:dyDescent="0.35">
      <c r="A24" s="2739"/>
      <c r="B24" s="2741" t="s">
        <v>659</v>
      </c>
      <c r="C24" s="2208"/>
      <c r="D24" s="2285"/>
      <c r="E24" s="2285"/>
      <c r="F24" s="2285"/>
      <c r="G24" s="2198"/>
      <c r="H24" s="2109"/>
      <c r="I24" s="2742"/>
      <c r="J24" s="2109"/>
      <c r="K24" s="2740"/>
      <c r="L24" s="2109"/>
      <c r="M24" s="2740"/>
      <c r="N24" s="2109"/>
      <c r="O24" s="2740"/>
      <c r="P24" s="2109"/>
      <c r="Q24" s="2740"/>
      <c r="R24" s="2109"/>
      <c r="S24" s="2740"/>
    </row>
    <row r="25" spans="1:19" x14ac:dyDescent="0.35">
      <c r="A25" s="2739"/>
      <c r="B25" s="2743" t="s">
        <v>660</v>
      </c>
      <c r="C25" s="2208"/>
      <c r="D25" s="2285"/>
      <c r="E25" s="2285"/>
      <c r="F25" s="2285"/>
      <c r="G25" s="2198"/>
      <c r="H25" s="2109"/>
      <c r="I25" s="2742"/>
      <c r="J25" s="2109"/>
      <c r="K25" s="2740"/>
      <c r="L25" s="2109"/>
      <c r="M25" s="2740"/>
      <c r="N25" s="2109"/>
      <c r="O25" s="2740"/>
      <c r="P25" s="2109"/>
      <c r="Q25" s="2740"/>
      <c r="R25" s="2109"/>
      <c r="S25" s="2740"/>
    </row>
    <row r="26" spans="1:19" s="77" customFormat="1" x14ac:dyDescent="0.35">
      <c r="A26" s="2744"/>
      <c r="B26" s="2743" t="s">
        <v>661</v>
      </c>
      <c r="C26" s="2211"/>
      <c r="D26" s="2212"/>
      <c r="E26" s="2212"/>
      <c r="F26" s="2212"/>
      <c r="G26" s="2211"/>
      <c r="H26" s="2109"/>
      <c r="I26" s="2742"/>
      <c r="J26" s="2109"/>
      <c r="K26" s="2745"/>
      <c r="L26" s="2109"/>
      <c r="M26" s="2745"/>
      <c r="N26" s="2109"/>
      <c r="O26" s="2745"/>
      <c r="P26" s="2109"/>
      <c r="Q26" s="2745"/>
      <c r="R26" s="2109"/>
      <c r="S26" s="2745"/>
    </row>
    <row r="27" spans="1:19" s="77" customFormat="1" x14ac:dyDescent="0.35">
      <c r="A27" s="2744"/>
      <c r="B27" s="2743" t="s">
        <v>662</v>
      </c>
      <c r="C27" s="2211"/>
      <c r="D27" s="2212"/>
      <c r="E27" s="2212"/>
      <c r="F27" s="2212"/>
      <c r="G27" s="2211"/>
      <c r="H27" s="2109"/>
      <c r="I27" s="2742"/>
      <c r="J27" s="2109"/>
      <c r="K27" s="2745"/>
      <c r="L27" s="2109"/>
      <c r="M27" s="2745"/>
      <c r="N27" s="2109"/>
      <c r="O27" s="2745"/>
      <c r="P27" s="2109"/>
      <c r="Q27" s="2745"/>
      <c r="R27" s="2109"/>
      <c r="S27" s="2745"/>
    </row>
    <row r="28" spans="1:19" s="77" customFormat="1" x14ac:dyDescent="0.35">
      <c r="A28" s="2744"/>
      <c r="B28" s="2743" t="s">
        <v>663</v>
      </c>
      <c r="C28" s="2211"/>
      <c r="D28" s="2212"/>
      <c r="E28" s="2212"/>
      <c r="F28" s="2212"/>
      <c r="G28" s="2211"/>
      <c r="H28" s="2109"/>
      <c r="I28" s="2742"/>
      <c r="J28" s="2109"/>
      <c r="K28" s="2745"/>
      <c r="L28" s="2109"/>
      <c r="M28" s="2745"/>
      <c r="N28" s="2109"/>
      <c r="O28" s="2745"/>
      <c r="P28" s="2109"/>
      <c r="Q28" s="2745"/>
      <c r="R28" s="2109"/>
      <c r="S28" s="2745"/>
    </row>
    <row r="29" spans="1:19" s="77" customFormat="1" x14ac:dyDescent="0.35">
      <c r="A29" s="2744"/>
      <c r="B29" s="2746" t="s">
        <v>664</v>
      </c>
      <c r="C29" s="2211"/>
      <c r="D29" s="2212"/>
      <c r="E29" s="2212"/>
      <c r="F29" s="2212"/>
      <c r="G29" s="2211"/>
      <c r="H29" s="2109"/>
      <c r="I29" s="2742"/>
      <c r="J29" s="2109"/>
      <c r="K29" s="2745"/>
      <c r="L29" s="2109"/>
      <c r="M29" s="2745"/>
      <c r="N29" s="2109"/>
      <c r="O29" s="2745"/>
      <c r="P29" s="2109"/>
      <c r="Q29" s="2745"/>
      <c r="R29" s="2109"/>
      <c r="S29" s="2745"/>
    </row>
    <row r="30" spans="1:19" s="77" customFormat="1" x14ac:dyDescent="0.35">
      <c r="A30" s="2744"/>
      <c r="B30" s="2747" t="s">
        <v>665</v>
      </c>
      <c r="C30" s="2216"/>
      <c r="D30" s="2217"/>
      <c r="E30" s="2217"/>
      <c r="F30" s="2217"/>
      <c r="G30" s="2216"/>
      <c r="H30" s="2288"/>
      <c r="I30" s="2748"/>
      <c r="J30" s="2289"/>
      <c r="K30" s="2749"/>
      <c r="L30" s="2289"/>
      <c r="M30" s="2749"/>
      <c r="N30" s="2749"/>
      <c r="O30" s="2749"/>
      <c r="P30" s="2749"/>
      <c r="Q30" s="2749"/>
      <c r="R30" s="2749"/>
      <c r="S30" s="2749"/>
    </row>
    <row r="31" spans="1:19" s="77" customFormat="1" x14ac:dyDescent="0.35">
      <c r="A31" s="2744"/>
      <c r="B31" s="127"/>
      <c r="C31" s="2211"/>
      <c r="D31" s="2212"/>
      <c r="E31" s="2212"/>
      <c r="F31" s="2212"/>
      <c r="G31" s="2211"/>
      <c r="H31" s="2331"/>
      <c r="I31" s="2742"/>
      <c r="J31" s="2334"/>
      <c r="K31" s="2745"/>
      <c r="L31" s="2109"/>
      <c r="M31" s="2745"/>
      <c r="N31" s="2109"/>
      <c r="O31" s="2745"/>
      <c r="P31" s="2109"/>
      <c r="Q31" s="2745"/>
      <c r="R31" s="2109"/>
      <c r="S31" s="2745"/>
    </row>
    <row r="32" spans="1:19" s="77" customFormat="1" x14ac:dyDescent="0.35">
      <c r="A32" s="2750"/>
      <c r="B32" s="2234"/>
      <c r="C32" s="2236"/>
      <c r="D32" s="2212"/>
      <c r="E32" s="2212"/>
      <c r="F32" s="2212"/>
      <c r="G32" s="2211"/>
      <c r="H32" s="2331"/>
      <c r="I32" s="2742"/>
      <c r="J32" s="2334"/>
      <c r="K32" s="2745"/>
      <c r="L32" s="2109"/>
      <c r="M32" s="2745"/>
      <c r="N32" s="2109"/>
      <c r="O32" s="2745"/>
      <c r="P32" s="2109"/>
      <c r="Q32" s="2745"/>
      <c r="R32" s="2109"/>
      <c r="S32" s="2745"/>
    </row>
    <row r="33" spans="1:19" s="77" customFormat="1" x14ac:dyDescent="0.35">
      <c r="A33" s="2750"/>
      <c r="B33" s="2235"/>
      <c r="C33" s="2236"/>
      <c r="D33" s="2212"/>
      <c r="E33" s="2212"/>
      <c r="F33" s="2212"/>
      <c r="G33" s="2211"/>
      <c r="H33" s="2331"/>
      <c r="I33" s="2742"/>
      <c r="J33" s="2334"/>
      <c r="K33" s="2745"/>
      <c r="L33" s="2109"/>
      <c r="M33" s="2745"/>
      <c r="N33" s="2109"/>
      <c r="O33" s="2745"/>
      <c r="P33" s="2109" t="s">
        <v>669</v>
      </c>
      <c r="Q33" s="2745"/>
      <c r="R33" s="2109"/>
      <c r="S33" s="2745"/>
    </row>
    <row r="34" spans="1:19" s="77" customFormat="1" x14ac:dyDescent="0.35">
      <c r="A34" s="2750"/>
      <c r="B34" s="2235"/>
      <c r="C34" s="2236"/>
      <c r="D34" s="2212"/>
      <c r="E34" s="2212"/>
      <c r="F34" s="2212"/>
      <c r="G34" s="2211"/>
      <c r="H34" s="2331"/>
      <c r="I34" s="2742"/>
      <c r="J34" s="2334"/>
      <c r="K34" s="2745"/>
      <c r="L34" s="2109"/>
      <c r="M34" s="2745"/>
      <c r="N34" s="2109"/>
      <c r="O34" s="2745"/>
      <c r="P34" s="2109"/>
      <c r="Q34" s="2745"/>
      <c r="R34" s="2109"/>
      <c r="S34" s="2745"/>
    </row>
    <row r="35" spans="1:19" s="77" customFormat="1" x14ac:dyDescent="0.35">
      <c r="A35" s="2750"/>
      <c r="B35" s="2317"/>
      <c r="C35" s="2236"/>
      <c r="D35" s="2212"/>
      <c r="E35" s="2212"/>
      <c r="F35" s="2212"/>
      <c r="G35" s="2211"/>
      <c r="H35" s="2331"/>
      <c r="I35" s="2742"/>
      <c r="J35" s="2334"/>
      <c r="K35" s="2745"/>
      <c r="L35" s="2109"/>
      <c r="M35" s="2745"/>
      <c r="N35" s="2109"/>
      <c r="O35" s="2745"/>
      <c r="P35" s="2109"/>
      <c r="Q35" s="2745"/>
      <c r="R35" s="2109"/>
      <c r="S35" s="2745"/>
    </row>
    <row r="36" spans="1:19" s="77" customFormat="1" x14ac:dyDescent="0.35">
      <c r="A36" s="2750"/>
      <c r="B36" s="2235"/>
      <c r="C36" s="2236"/>
      <c r="D36" s="2212"/>
      <c r="E36" s="2212"/>
      <c r="F36" s="2212"/>
      <c r="G36" s="2211"/>
      <c r="H36" s="2331"/>
      <c r="I36" s="2742"/>
      <c r="J36" s="2334"/>
      <c r="K36" s="2745"/>
      <c r="L36" s="2109"/>
      <c r="M36" s="2745"/>
      <c r="N36" s="2109"/>
      <c r="O36" s="2745"/>
      <c r="P36" s="2109"/>
      <c r="Q36" s="2745"/>
      <c r="R36" s="2109"/>
      <c r="S36" s="2745"/>
    </row>
    <row r="37" spans="1:19" s="77" customFormat="1" x14ac:dyDescent="0.35">
      <c r="A37" s="2750"/>
      <c r="B37" s="2235"/>
      <c r="C37" s="2236"/>
      <c r="D37" s="2212"/>
      <c r="E37" s="2341"/>
      <c r="F37" s="2342"/>
      <c r="G37" s="2211"/>
      <c r="H37" s="2331"/>
      <c r="I37" s="2742"/>
      <c r="J37" s="2334"/>
      <c r="K37" s="2745"/>
      <c r="L37" s="2109"/>
      <c r="M37" s="2745"/>
      <c r="N37" s="2109"/>
      <c r="O37" s="2745"/>
      <c r="P37" s="2109"/>
      <c r="Q37" s="2745"/>
      <c r="R37" s="2109"/>
      <c r="S37" s="2745"/>
    </row>
    <row r="38" spans="1:19" s="77" customFormat="1" x14ac:dyDescent="0.35">
      <c r="A38" s="2750"/>
      <c r="B38" s="2235"/>
      <c r="C38" s="2236"/>
      <c r="D38" s="2212"/>
      <c r="E38" s="2341"/>
      <c r="F38" s="2342"/>
      <c r="G38" s="2211"/>
      <c r="H38" s="2331"/>
      <c r="I38" s="2742"/>
      <c r="J38" s="2334"/>
      <c r="K38" s="2745"/>
      <c r="L38" s="2109"/>
      <c r="M38" s="2745"/>
      <c r="N38" s="2109"/>
      <c r="O38" s="2745"/>
      <c r="P38" s="2109"/>
      <c r="Q38" s="2745"/>
      <c r="R38" s="2109"/>
      <c r="S38" s="2745"/>
    </row>
    <row r="39" spans="1:19" s="77" customFormat="1" x14ac:dyDescent="0.35">
      <c r="A39" s="2750"/>
      <c r="B39" s="2235"/>
      <c r="C39" s="2236"/>
      <c r="D39" s="2212"/>
      <c r="E39" s="2341"/>
      <c r="F39" s="2342"/>
      <c r="G39" s="2211"/>
      <c r="H39" s="2331"/>
      <c r="I39" s="2742"/>
      <c r="J39" s="2334"/>
      <c r="K39" s="2745"/>
      <c r="L39" s="2109"/>
      <c r="M39" s="2745"/>
      <c r="N39" s="2109"/>
      <c r="O39" s="2745"/>
      <c r="P39" s="2109"/>
      <c r="Q39" s="2745"/>
      <c r="R39" s="2109"/>
      <c r="S39" s="2745"/>
    </row>
    <row r="40" spans="1:19" s="77" customFormat="1" x14ac:dyDescent="0.35">
      <c r="A40" s="2750"/>
      <c r="B40" s="2751"/>
      <c r="C40" s="2236"/>
      <c r="D40" s="2212"/>
      <c r="E40" s="2341"/>
      <c r="F40" s="2342"/>
      <c r="G40" s="2211"/>
      <c r="H40" s="2331"/>
      <c r="I40" s="2742"/>
      <c r="J40" s="2334"/>
      <c r="K40" s="2745"/>
      <c r="L40" s="2109"/>
      <c r="M40" s="2745"/>
      <c r="N40" s="2109"/>
      <c r="O40" s="2745"/>
      <c r="P40" s="2109"/>
      <c r="Q40" s="2745"/>
      <c r="R40" s="2109"/>
      <c r="S40" s="2745"/>
    </row>
    <row r="41" spans="1:19" s="77" customFormat="1" x14ac:dyDescent="0.35">
      <c r="A41" s="2750"/>
      <c r="B41" s="2752"/>
      <c r="C41" s="2236"/>
      <c r="D41" s="2212"/>
      <c r="E41" s="2341"/>
      <c r="F41" s="2342"/>
      <c r="G41" s="2211"/>
      <c r="H41" s="2331"/>
      <c r="I41" s="2742"/>
      <c r="J41" s="2334"/>
      <c r="K41" s="2745"/>
      <c r="L41" s="2109"/>
      <c r="M41" s="2745"/>
      <c r="N41" s="2109"/>
      <c r="O41" s="2745"/>
      <c r="P41" s="2109"/>
      <c r="Q41" s="2745"/>
      <c r="R41" s="2109"/>
      <c r="S41" s="2745"/>
    </row>
    <row r="42" spans="1:19" s="77" customFormat="1" x14ac:dyDescent="0.35">
      <c r="A42" s="2750"/>
      <c r="B42" s="128"/>
      <c r="C42" s="2236"/>
      <c r="D42" s="2212"/>
      <c r="E42" s="2341"/>
      <c r="F42" s="2342"/>
      <c r="G42" s="2211"/>
      <c r="H42" s="2331"/>
      <c r="I42" s="2742"/>
      <c r="J42" s="2334"/>
      <c r="K42" s="2745"/>
      <c r="L42" s="2109"/>
      <c r="M42" s="2745"/>
      <c r="N42" s="2109"/>
      <c r="O42" s="2745"/>
      <c r="P42" s="2109"/>
      <c r="Q42" s="2745"/>
      <c r="R42" s="2109"/>
      <c r="S42" s="2745"/>
    </row>
    <row r="43" spans="1:19" s="77" customFormat="1" x14ac:dyDescent="0.35">
      <c r="A43" s="2750"/>
      <c r="B43" s="2340"/>
      <c r="C43" s="2236"/>
      <c r="D43" s="2212"/>
      <c r="E43" s="2341"/>
      <c r="F43" s="2342"/>
      <c r="G43" s="2211"/>
      <c r="H43" s="2331"/>
      <c r="I43" s="2742"/>
      <c r="J43" s="2334"/>
      <c r="K43" s="2745"/>
      <c r="L43" s="2109"/>
      <c r="M43" s="2745"/>
      <c r="N43" s="2109"/>
      <c r="O43" s="2745"/>
      <c r="P43" s="2109"/>
      <c r="Q43" s="2745"/>
      <c r="R43" s="2109"/>
      <c r="S43" s="2745"/>
    </row>
    <row r="44" spans="1:19" s="77" customFormat="1" x14ac:dyDescent="0.35">
      <c r="A44" s="2750"/>
      <c r="B44" s="2340"/>
      <c r="C44" s="2236"/>
      <c r="D44" s="2212"/>
      <c r="E44" s="2341"/>
      <c r="F44" s="2342"/>
      <c r="G44" s="2211"/>
      <c r="H44" s="2331"/>
      <c r="I44" s="2742"/>
      <c r="J44" s="2334"/>
      <c r="K44" s="2745"/>
      <c r="L44" s="2109"/>
      <c r="M44" s="2745"/>
      <c r="N44" s="2109"/>
      <c r="O44" s="2745"/>
      <c r="P44" s="2109"/>
      <c r="Q44" s="2745"/>
      <c r="R44" s="2109"/>
      <c r="S44" s="2745"/>
    </row>
    <row r="45" spans="1:19" s="77" customFormat="1" x14ac:dyDescent="0.35">
      <c r="A45" s="2750"/>
      <c r="B45" s="2340"/>
      <c r="C45" s="2236"/>
      <c r="D45" s="2212"/>
      <c r="E45" s="2341"/>
      <c r="F45" s="2342"/>
      <c r="G45" s="2211"/>
      <c r="H45" s="2331"/>
      <c r="I45" s="2742"/>
      <c r="J45" s="2334"/>
      <c r="K45" s="2745"/>
      <c r="L45" s="2109"/>
      <c r="M45" s="2745"/>
      <c r="N45" s="2109"/>
      <c r="O45" s="2745"/>
      <c r="P45" s="2109"/>
      <c r="Q45" s="2745"/>
      <c r="R45" s="2109"/>
      <c r="S45" s="2745"/>
    </row>
    <row r="46" spans="1:19" s="77" customFormat="1" x14ac:dyDescent="0.35">
      <c r="A46" s="2750"/>
      <c r="B46" s="2340"/>
      <c r="C46" s="2236"/>
      <c r="D46" s="2212"/>
      <c r="E46" s="2341"/>
      <c r="F46" s="2342"/>
      <c r="G46" s="2211"/>
      <c r="H46" s="2331"/>
      <c r="I46" s="2742"/>
      <c r="J46" s="2334"/>
      <c r="K46" s="2745"/>
      <c r="L46" s="2109"/>
      <c r="M46" s="2745"/>
      <c r="N46" s="2109"/>
      <c r="O46" s="2745"/>
      <c r="P46" s="2109"/>
      <c r="Q46" s="2745"/>
      <c r="R46" s="2109"/>
      <c r="S46" s="2745"/>
    </row>
    <row r="47" spans="1:19" s="77" customFormat="1" x14ac:dyDescent="0.35">
      <c r="A47" s="2750"/>
      <c r="B47" s="2340"/>
      <c r="C47" s="2236"/>
      <c r="D47" s="2212"/>
      <c r="E47" s="2341"/>
      <c r="F47" s="2342"/>
      <c r="G47" s="2211"/>
      <c r="H47" s="2331"/>
      <c r="I47" s="2742"/>
      <c r="J47" s="2334"/>
      <c r="K47" s="2745"/>
      <c r="L47" s="2109"/>
      <c r="M47" s="2745"/>
      <c r="N47" s="2109"/>
      <c r="O47" s="2745"/>
      <c r="P47" s="2109"/>
      <c r="Q47" s="2745"/>
      <c r="R47" s="2109"/>
      <c r="S47" s="2745"/>
    </row>
    <row r="48" spans="1:19" s="77" customFormat="1" x14ac:dyDescent="0.35">
      <c r="A48" s="2750"/>
      <c r="B48" s="2340"/>
      <c r="C48" s="2236"/>
      <c r="D48" s="2212"/>
      <c r="E48" s="2341"/>
      <c r="F48" s="2342"/>
      <c r="G48" s="2211"/>
      <c r="H48" s="2331"/>
      <c r="I48" s="2742"/>
      <c r="J48" s="2334"/>
      <c r="K48" s="2745"/>
      <c r="L48" s="2109"/>
      <c r="M48" s="2745"/>
      <c r="N48" s="2109"/>
      <c r="O48" s="2745"/>
      <c r="P48" s="2109"/>
      <c r="Q48" s="2745"/>
      <c r="R48" s="2109"/>
      <c r="S48" s="2745"/>
    </row>
    <row r="49" spans="1:19" s="77" customFormat="1" x14ac:dyDescent="0.35">
      <c r="A49" s="2750"/>
      <c r="B49" s="2340"/>
      <c r="C49" s="2236"/>
      <c r="D49" s="2212"/>
      <c r="E49" s="2341"/>
      <c r="F49" s="2342"/>
      <c r="G49" s="2211"/>
      <c r="H49" s="2331"/>
      <c r="I49" s="2742"/>
      <c r="J49" s="2334"/>
      <c r="K49" s="2745"/>
      <c r="L49" s="2109"/>
      <c r="M49" s="2745"/>
      <c r="N49" s="2109"/>
      <c r="O49" s="2745"/>
      <c r="P49" s="2109"/>
      <c r="Q49" s="2745"/>
      <c r="R49" s="2109"/>
      <c r="S49" s="2745"/>
    </row>
    <row r="50" spans="1:19" s="77" customFormat="1" x14ac:dyDescent="0.35">
      <c r="A50" s="2750"/>
      <c r="B50" s="2340"/>
      <c r="C50" s="2236"/>
      <c r="D50" s="2212"/>
      <c r="E50" s="2341"/>
      <c r="F50" s="2342"/>
      <c r="G50" s="2211"/>
      <c r="H50" s="2331"/>
      <c r="I50" s="2742"/>
      <c r="J50" s="2334"/>
      <c r="K50" s="2745"/>
      <c r="L50" s="2109"/>
      <c r="M50" s="2745"/>
      <c r="N50" s="2109"/>
      <c r="O50" s="2745"/>
      <c r="P50" s="2109"/>
      <c r="Q50" s="2745"/>
      <c r="R50" s="2109"/>
      <c r="S50" s="2745"/>
    </row>
    <row r="51" spans="1:19" s="77" customFormat="1" x14ac:dyDescent="0.35">
      <c r="A51" s="2750"/>
      <c r="B51" s="2340"/>
      <c r="C51" s="2236"/>
      <c r="D51" s="2212"/>
      <c r="E51" s="2341"/>
      <c r="F51" s="2342"/>
      <c r="G51" s="2211"/>
      <c r="H51" s="2331"/>
      <c r="I51" s="2742"/>
      <c r="J51" s="2334"/>
      <c r="K51" s="2745"/>
      <c r="L51" s="2109"/>
      <c r="M51" s="2745"/>
      <c r="N51" s="2109"/>
      <c r="O51" s="2745"/>
      <c r="P51" s="2109"/>
      <c r="Q51" s="2745"/>
      <c r="R51" s="2109"/>
      <c r="S51" s="2745"/>
    </row>
    <row r="52" spans="1:19" s="77" customFormat="1" x14ac:dyDescent="0.35">
      <c r="A52" s="2750"/>
      <c r="B52" s="2340"/>
      <c r="C52" s="2236"/>
      <c r="D52" s="2212"/>
      <c r="E52" s="2341"/>
      <c r="F52" s="2342"/>
      <c r="G52" s="2211"/>
      <c r="H52" s="2331"/>
      <c r="I52" s="2742"/>
      <c r="J52" s="2334"/>
      <c r="K52" s="2745"/>
      <c r="L52" s="2109"/>
      <c r="M52" s="2745"/>
      <c r="N52" s="2109"/>
      <c r="O52" s="2745"/>
      <c r="P52" s="2109"/>
      <c r="Q52" s="2745"/>
      <c r="R52" s="2109"/>
      <c r="S52" s="2745"/>
    </row>
    <row r="53" spans="1:19" s="77" customFormat="1" ht="16.5" customHeight="1" x14ac:dyDescent="0.35">
      <c r="A53" s="2750"/>
      <c r="B53" s="2340"/>
      <c r="C53" s="2236"/>
      <c r="D53" s="2212"/>
      <c r="E53" s="2341"/>
      <c r="F53" s="2342"/>
      <c r="G53" s="2211"/>
      <c r="H53" s="2331"/>
      <c r="I53" s="2742"/>
      <c r="J53" s="2334"/>
      <c r="K53" s="2745"/>
      <c r="L53" s="2109"/>
      <c r="M53" s="2745"/>
      <c r="N53" s="2109"/>
      <c r="O53" s="2745"/>
      <c r="P53" s="2109"/>
      <c r="Q53" s="2745"/>
      <c r="R53" s="2109"/>
      <c r="S53" s="2745"/>
    </row>
    <row r="54" spans="1:19" x14ac:dyDescent="0.35">
      <c r="A54" s="2542"/>
      <c r="B54" s="2543"/>
      <c r="C54" s="2201"/>
      <c r="D54" s="2285"/>
      <c r="E54" s="2285"/>
      <c r="F54" s="2285"/>
      <c r="G54" s="2198"/>
      <c r="H54" s="2753"/>
      <c r="I54" s="2740"/>
      <c r="J54" s="2740"/>
      <c r="K54" s="2740"/>
      <c r="L54" s="2109"/>
      <c r="M54" s="2740"/>
      <c r="N54" s="2109"/>
      <c r="O54" s="2740"/>
      <c r="P54" s="2109"/>
      <c r="Q54" s="2740"/>
      <c r="R54" s="2109"/>
      <c r="S54" s="2740"/>
    </row>
    <row r="55" spans="1:19" x14ac:dyDescent="0.35">
      <c r="A55" s="14"/>
      <c r="B55" s="15"/>
      <c r="C55" s="16"/>
      <c r="D55" s="16"/>
      <c r="E55" s="17"/>
      <c r="F55" s="18" t="s">
        <v>715</v>
      </c>
      <c r="G55" s="19"/>
      <c r="H55" s="20"/>
      <c r="I55" s="50">
        <f>SUM(I23:I54)</f>
        <v>0</v>
      </c>
      <c r="J55" s="20"/>
      <c r="K55" s="50">
        <f>SUM(K23:K54)</f>
        <v>0</v>
      </c>
      <c r="L55" s="20"/>
      <c r="M55" s="50">
        <f>SUM(M23:M54)</f>
        <v>0</v>
      </c>
      <c r="N55" s="20"/>
      <c r="O55" s="50">
        <f>SUM(O23:O54)</f>
        <v>0</v>
      </c>
      <c r="P55" s="20"/>
      <c r="Q55" s="50">
        <f>SUM(Q23:Q54)</f>
        <v>0</v>
      </c>
      <c r="R55" s="20"/>
      <c r="S55" s="50">
        <f>SUM(S23:S54)</f>
        <v>0</v>
      </c>
    </row>
    <row r="56" spans="1:19" x14ac:dyDescent="0.35">
      <c r="A56" s="2239"/>
      <c r="B56" s="2240"/>
      <c r="C56" s="2241"/>
      <c r="D56" s="2241"/>
      <c r="E56" s="2242"/>
      <c r="F56" s="2243" t="s">
        <v>716</v>
      </c>
      <c r="G56" s="2244"/>
      <c r="H56" s="2065">
        <v>0</v>
      </c>
      <c r="I56" s="2064"/>
      <c r="J56" s="2065">
        <v>0</v>
      </c>
      <c r="K56" s="2064"/>
      <c r="L56" s="2065">
        <v>0</v>
      </c>
      <c r="M56" s="2064"/>
      <c r="N56" s="2065">
        <v>0</v>
      </c>
      <c r="O56" s="2064"/>
      <c r="P56" s="2065">
        <v>0</v>
      </c>
      <c r="Q56" s="2064"/>
      <c r="R56" s="2065">
        <v>0</v>
      </c>
      <c r="S56" s="2064"/>
    </row>
    <row r="57" spans="1:19" x14ac:dyDescent="0.35">
      <c r="A57" s="2239"/>
      <c r="B57" s="2240"/>
      <c r="C57" s="2241"/>
      <c r="D57" s="2241"/>
      <c r="E57" s="2242"/>
      <c r="F57" s="2243" t="s">
        <v>717</v>
      </c>
      <c r="G57" s="2244"/>
      <c r="H57" s="2066"/>
      <c r="I57" s="2067">
        <f>H56*I55</f>
        <v>0</v>
      </c>
      <c r="J57" s="2066"/>
      <c r="K57" s="2067">
        <f>J56*K55</f>
        <v>0</v>
      </c>
      <c r="L57" s="2066"/>
      <c r="M57" s="2067">
        <f>L56*M55</f>
        <v>0</v>
      </c>
      <c r="N57" s="2066"/>
      <c r="O57" s="2067">
        <f>N56*O55</f>
        <v>0</v>
      </c>
      <c r="P57" s="2066"/>
      <c r="Q57" s="2067">
        <f>P56*Q55</f>
        <v>0</v>
      </c>
      <c r="R57" s="2066"/>
      <c r="S57" s="2067">
        <f>R56*S55</f>
        <v>0</v>
      </c>
    </row>
    <row r="58" spans="1:19" x14ac:dyDescent="0.35">
      <c r="A58" s="2239"/>
      <c r="B58" s="2240"/>
      <c r="C58" s="2241"/>
      <c r="D58" s="2241"/>
      <c r="E58" s="2242"/>
      <c r="F58" s="2243"/>
      <c r="G58" s="2244"/>
      <c r="H58" s="2066"/>
      <c r="I58" s="2068"/>
      <c r="J58" s="2066"/>
      <c r="K58" s="2068"/>
      <c r="L58" s="2066"/>
      <c r="M58" s="2068"/>
      <c r="N58" s="2066"/>
      <c r="O58" s="2068"/>
      <c r="P58" s="2066"/>
      <c r="Q58" s="2068"/>
      <c r="R58" s="2066"/>
      <c r="S58" s="2068"/>
    </row>
    <row r="59" spans="1:19" x14ac:dyDescent="0.35">
      <c r="A59" s="2239"/>
      <c r="B59" s="2240"/>
      <c r="C59" s="2241"/>
      <c r="D59" s="2241"/>
      <c r="E59" s="2242"/>
      <c r="F59" s="2243" t="s">
        <v>718</v>
      </c>
      <c r="G59" s="2244"/>
      <c r="H59" s="2069"/>
      <c r="I59" s="2070">
        <f>SUM(I55:I57)</f>
        <v>0</v>
      </c>
      <c r="J59" s="2069"/>
      <c r="K59" s="2070">
        <f>SUM(K55:K57)</f>
        <v>0</v>
      </c>
      <c r="L59" s="2069"/>
      <c r="M59" s="2070">
        <f>SUM(M55:M57)</f>
        <v>0</v>
      </c>
      <c r="N59" s="2069"/>
      <c r="O59" s="2070">
        <f>SUM(O55:O57)</f>
        <v>0</v>
      </c>
      <c r="P59" s="2069"/>
      <c r="Q59" s="2070">
        <f>SUM(Q55:Q57)</f>
        <v>0</v>
      </c>
      <c r="R59" s="2069"/>
      <c r="S59" s="2070">
        <f>SUM(S55:S57)</f>
        <v>0</v>
      </c>
    </row>
    <row r="60" spans="1:19" x14ac:dyDescent="0.35">
      <c r="A60" s="2239"/>
      <c r="B60" s="2240"/>
      <c r="C60" s="2241"/>
      <c r="D60" s="2241"/>
      <c r="E60" s="2242"/>
      <c r="F60" s="2255" t="s">
        <v>719</v>
      </c>
      <c r="G60" s="2256"/>
      <c r="H60" s="2073"/>
      <c r="I60" s="2074" t="e">
        <f>I59/#REF!</f>
        <v>#REF!</v>
      </c>
      <c r="J60" s="2073"/>
      <c r="K60" s="2074" t="e">
        <f>K59/#REF!</f>
        <v>#REF!</v>
      </c>
      <c r="L60" s="2073"/>
      <c r="M60" s="2074" t="e">
        <f>M59/#REF!</f>
        <v>#REF!</v>
      </c>
      <c r="N60" s="2073"/>
      <c r="O60" s="2074" t="e">
        <f>O59/#REF!</f>
        <v>#REF!</v>
      </c>
      <c r="P60" s="2073"/>
      <c r="Q60" s="2074" t="e">
        <f>Q59/#REF!</f>
        <v>#REF!</v>
      </c>
      <c r="R60" s="2073"/>
      <c r="S60" s="2074" t="e">
        <f>S59/#REF!</f>
        <v>#REF!</v>
      </c>
    </row>
    <row r="61" spans="1:19" x14ac:dyDescent="0.35">
      <c r="A61" s="2239"/>
      <c r="B61" s="2240"/>
      <c r="C61" s="2241"/>
      <c r="D61" s="2241"/>
      <c r="E61" s="2242"/>
      <c r="F61" s="2255" t="s">
        <v>720</v>
      </c>
      <c r="G61" s="2260"/>
      <c r="H61" s="2073"/>
      <c r="I61" s="2074" t="e">
        <f>I59/#REF!</f>
        <v>#REF!</v>
      </c>
      <c r="J61" s="2073"/>
      <c r="K61" s="2074" t="e">
        <f>K59/#REF!</f>
        <v>#REF!</v>
      </c>
      <c r="L61" s="2073"/>
      <c r="M61" s="2074" t="e">
        <f>M59/#REF!</f>
        <v>#REF!</v>
      </c>
      <c r="N61" s="2073"/>
      <c r="O61" s="2074" t="e">
        <f>O59/#REF!</f>
        <v>#REF!</v>
      </c>
      <c r="P61" s="2073"/>
      <c r="Q61" s="2074" t="e">
        <f>Q59/#REF!</f>
        <v>#REF!</v>
      </c>
      <c r="R61" s="2073"/>
      <c r="S61" s="2074" t="e">
        <f>S59/#REF!</f>
        <v>#REF!</v>
      </c>
    </row>
    <row r="62" spans="1:19" x14ac:dyDescent="0.35">
      <c r="A62" s="2239"/>
      <c r="B62" s="2240"/>
      <c r="C62" s="2241"/>
      <c r="D62" s="2241"/>
      <c r="E62" s="2242"/>
      <c r="F62" s="2243"/>
      <c r="G62" s="2261"/>
      <c r="H62" s="2077"/>
      <c r="I62" s="2078"/>
      <c r="J62" s="2077"/>
      <c r="K62" s="2078"/>
      <c r="L62" s="2077"/>
      <c r="M62" s="2078"/>
      <c r="N62" s="2077"/>
      <c r="O62" s="2078"/>
      <c r="P62" s="2077"/>
      <c r="Q62" s="2078"/>
      <c r="R62" s="2077"/>
      <c r="S62" s="2078"/>
    </row>
    <row r="63" spans="1:19" x14ac:dyDescent="0.35">
      <c r="A63" s="3764" t="s">
        <v>721</v>
      </c>
      <c r="B63" s="3765"/>
      <c r="C63" s="12"/>
      <c r="D63" s="12"/>
      <c r="E63" s="12"/>
      <c r="F63" s="12"/>
      <c r="G63" s="13"/>
      <c r="H63" s="21"/>
      <c r="I63" s="21"/>
      <c r="J63" s="21"/>
      <c r="K63" s="21"/>
      <c r="L63" s="21"/>
      <c r="M63" s="21"/>
      <c r="N63" s="21"/>
      <c r="O63" s="21"/>
      <c r="P63" s="21"/>
      <c r="Q63" s="21"/>
      <c r="R63" s="21"/>
      <c r="S63" s="21"/>
    </row>
    <row r="64" spans="1:19" x14ac:dyDescent="0.35">
      <c r="A64" s="2754"/>
      <c r="B64" s="2284"/>
      <c r="C64" s="2755"/>
      <c r="D64" s="2755"/>
      <c r="E64" s="2755"/>
      <c r="F64" s="2755"/>
      <c r="G64" s="2756"/>
      <c r="H64" s="2757"/>
      <c r="I64" s="2757"/>
      <c r="J64" s="2757"/>
      <c r="K64" s="2757"/>
      <c r="L64" s="2757"/>
      <c r="M64" s="2757"/>
      <c r="N64" s="2757"/>
      <c r="O64" s="2757"/>
      <c r="P64" s="2757"/>
      <c r="Q64" s="2757"/>
      <c r="R64" s="2757"/>
      <c r="S64" s="2757"/>
    </row>
    <row r="65" spans="1:19" s="2" customFormat="1" x14ac:dyDescent="0.35">
      <c r="A65" s="2754"/>
      <c r="B65" s="2284"/>
      <c r="C65" s="2755"/>
      <c r="D65" s="2755"/>
      <c r="E65" s="2755"/>
      <c r="F65" s="2755"/>
      <c r="G65" s="2756"/>
      <c r="H65" s="2757"/>
      <c r="I65" s="2757"/>
      <c r="J65" s="2757"/>
      <c r="K65" s="2757"/>
      <c r="L65" s="2757"/>
      <c r="M65" s="2757"/>
      <c r="N65" s="2757"/>
      <c r="O65" s="2757"/>
      <c r="P65" s="2757"/>
      <c r="Q65" s="2757"/>
      <c r="R65" s="2757"/>
      <c r="S65" s="2757"/>
    </row>
    <row r="66" spans="1:19" s="2" customFormat="1" x14ac:dyDescent="0.35">
      <c r="A66" s="2754"/>
      <c r="B66" s="2284"/>
      <c r="C66" s="2755"/>
      <c r="D66" s="2755"/>
      <c r="E66" s="2755"/>
      <c r="F66" s="2755"/>
      <c r="G66" s="2756"/>
      <c r="H66" s="2757"/>
      <c r="I66" s="2757"/>
      <c r="J66" s="2757"/>
      <c r="K66" s="2757"/>
      <c r="L66" s="2757"/>
      <c r="M66" s="2757"/>
      <c r="N66" s="2757"/>
      <c r="O66" s="2757"/>
      <c r="P66" s="2757"/>
      <c r="Q66" s="2757"/>
      <c r="R66" s="2757"/>
      <c r="S66" s="2757"/>
    </row>
    <row r="67" spans="1:19" x14ac:dyDescent="0.35">
      <c r="A67" s="3764" t="s">
        <v>722</v>
      </c>
      <c r="B67" s="3765"/>
      <c r="C67" s="12"/>
      <c r="D67" s="12"/>
      <c r="E67" s="12"/>
      <c r="F67" s="12"/>
      <c r="G67" s="13"/>
      <c r="H67" s="21"/>
      <c r="I67" s="21"/>
      <c r="J67" s="21"/>
      <c r="K67" s="21"/>
      <c r="L67" s="21"/>
      <c r="M67" s="21"/>
      <c r="N67" s="21"/>
      <c r="O67" s="21"/>
      <c r="P67" s="21"/>
      <c r="Q67" s="21"/>
      <c r="R67" s="21"/>
      <c r="S67" s="21"/>
    </row>
    <row r="68" spans="1:19" s="2" customFormat="1" x14ac:dyDescent="0.35">
      <c r="A68" s="2754"/>
      <c r="B68" s="2284"/>
      <c r="C68" s="2755"/>
      <c r="D68" s="2755"/>
      <c r="E68" s="2755"/>
      <c r="F68" s="2755"/>
      <c r="G68" s="2756"/>
      <c r="H68" s="2757"/>
      <c r="I68" s="2757"/>
      <c r="J68" s="2757"/>
      <c r="K68" s="2757"/>
      <c r="L68" s="2757"/>
      <c r="M68" s="2757"/>
      <c r="N68" s="2757"/>
      <c r="O68" s="2757"/>
      <c r="P68" s="2757"/>
      <c r="Q68" s="2757"/>
      <c r="R68" s="2757"/>
      <c r="S68" s="2757"/>
    </row>
    <row r="69" spans="1:19" s="2" customFormat="1" x14ac:dyDescent="0.35">
      <c r="A69" s="2754"/>
      <c r="B69" s="2284"/>
      <c r="C69" s="2755"/>
      <c r="D69" s="2755"/>
      <c r="E69" s="2755"/>
      <c r="F69" s="2755"/>
      <c r="G69" s="2756"/>
      <c r="H69" s="2757"/>
      <c r="I69" s="2757"/>
      <c r="J69" s="2757"/>
      <c r="K69" s="2757"/>
      <c r="L69" s="2757"/>
      <c r="M69" s="2757"/>
      <c r="N69" s="2757"/>
      <c r="O69" s="2757"/>
      <c r="P69" s="2757"/>
      <c r="Q69" s="2757"/>
      <c r="R69" s="2757"/>
      <c r="S69" s="2757"/>
    </row>
    <row r="70" spans="1:19" x14ac:dyDescent="0.35">
      <c r="A70" s="2754"/>
      <c r="B70" s="2284"/>
      <c r="C70" s="2755"/>
      <c r="D70" s="2755"/>
      <c r="E70" s="2755"/>
      <c r="F70" s="2755"/>
      <c r="G70" s="2756"/>
      <c r="H70" s="2757"/>
      <c r="I70" s="2757"/>
      <c r="J70" s="2757"/>
      <c r="K70" s="2757"/>
      <c r="L70" s="2757"/>
      <c r="M70" s="2757"/>
      <c r="N70" s="2757"/>
      <c r="O70" s="2757"/>
      <c r="P70" s="2757"/>
      <c r="Q70" s="2757"/>
      <c r="R70" s="2757"/>
      <c r="S70" s="2757"/>
    </row>
    <row r="71" spans="1:19" x14ac:dyDescent="0.35">
      <c r="A71" s="3764" t="s">
        <v>723</v>
      </c>
      <c r="B71" s="3765"/>
      <c r="C71" s="12"/>
      <c r="D71" s="12"/>
      <c r="E71" s="12"/>
      <c r="F71" s="12"/>
      <c r="G71" s="13"/>
      <c r="H71" s="21"/>
      <c r="I71" s="21"/>
      <c r="J71" s="21"/>
      <c r="K71" s="21"/>
      <c r="L71" s="21"/>
      <c r="M71" s="21"/>
      <c r="N71" s="21"/>
      <c r="O71" s="21"/>
      <c r="P71" s="21"/>
      <c r="Q71" s="21"/>
      <c r="R71" s="21"/>
      <c r="S71" s="21"/>
    </row>
    <row r="72" spans="1:19" x14ac:dyDescent="0.35">
      <c r="A72" s="2754"/>
      <c r="B72" s="2284"/>
      <c r="C72" s="2755"/>
      <c r="D72" s="2755"/>
      <c r="E72" s="2755"/>
      <c r="F72" s="2755"/>
      <c r="G72" s="2756"/>
      <c r="H72" s="2757"/>
      <c r="I72" s="2757"/>
      <c r="J72" s="2757"/>
      <c r="K72" s="2757"/>
      <c r="L72" s="2757"/>
      <c r="M72" s="2757"/>
      <c r="N72" s="2757"/>
      <c r="O72" s="2757"/>
      <c r="P72" s="2757"/>
      <c r="Q72" s="2757"/>
      <c r="R72" s="2757"/>
      <c r="S72" s="2757"/>
    </row>
    <row r="73" spans="1:19" x14ac:dyDescent="0.35">
      <c r="A73" s="2286"/>
      <c r="B73" s="2284"/>
      <c r="C73" s="2285"/>
      <c r="D73" s="2285"/>
      <c r="E73" s="2285"/>
      <c r="F73" s="2285"/>
      <c r="G73" s="2198"/>
      <c r="H73" s="2081"/>
      <c r="I73" s="2081"/>
      <c r="J73" s="2081"/>
      <c r="K73" s="2081"/>
      <c r="L73" s="2081"/>
      <c r="M73" s="2081"/>
      <c r="N73" s="2081"/>
      <c r="O73" s="2081"/>
      <c r="P73" s="2081"/>
      <c r="Q73" s="2081"/>
      <c r="R73" s="2081"/>
      <c r="S73" s="2081"/>
    </row>
    <row r="74" spans="1:19" x14ac:dyDescent="0.35">
      <c r="A74" s="2269"/>
      <c r="B74" s="2270"/>
      <c r="C74" s="2285"/>
      <c r="D74" s="2285"/>
      <c r="E74" s="2285"/>
      <c r="F74" s="2285"/>
      <c r="G74" s="2198"/>
      <c r="H74" s="2084"/>
      <c r="I74" s="2084"/>
      <c r="J74" s="2084"/>
      <c r="K74" s="2084"/>
      <c r="L74" s="2084"/>
      <c r="M74" s="2084"/>
      <c r="N74" s="2084"/>
      <c r="O74" s="2084"/>
      <c r="P74" s="2084"/>
      <c r="Q74" s="2084"/>
      <c r="R74" s="2084"/>
      <c r="S74" s="2084"/>
    </row>
    <row r="75" spans="1:19" x14ac:dyDescent="0.35">
      <c r="A75" s="3764" t="s">
        <v>724</v>
      </c>
      <c r="B75" s="3765"/>
      <c r="C75" s="12"/>
      <c r="D75" s="12"/>
      <c r="E75" s="12"/>
      <c r="F75" s="12"/>
      <c r="G75" s="13"/>
      <c r="H75" s="21"/>
      <c r="I75" s="21"/>
      <c r="J75" s="21"/>
      <c r="K75" s="21"/>
      <c r="L75" s="21"/>
      <c r="M75" s="21"/>
      <c r="N75" s="21"/>
      <c r="O75" s="21"/>
      <c r="P75" s="21"/>
      <c r="Q75" s="21"/>
      <c r="R75" s="21"/>
      <c r="S75" s="21"/>
    </row>
    <row r="76" spans="1:19" x14ac:dyDescent="0.35">
      <c r="A76" s="2758"/>
      <c r="B76" s="2759"/>
      <c r="C76" s="2755"/>
      <c r="D76" s="2755"/>
      <c r="E76" s="2755"/>
      <c r="F76" s="2755"/>
      <c r="G76" s="2756"/>
      <c r="H76" s="2757"/>
      <c r="I76" s="2757"/>
      <c r="J76" s="2757"/>
      <c r="K76" s="2757"/>
      <c r="L76" s="2757"/>
      <c r="M76" s="2757"/>
      <c r="N76" s="2757"/>
      <c r="O76" s="2757"/>
      <c r="P76" s="2757"/>
      <c r="Q76" s="2757"/>
      <c r="R76" s="2757"/>
      <c r="S76" s="2757"/>
    </row>
    <row r="77" spans="1:19" x14ac:dyDescent="0.35">
      <c r="A77" s="2269"/>
      <c r="B77" s="2270"/>
      <c r="C77" s="2285"/>
      <c r="D77" s="2285"/>
      <c r="E77" s="2285"/>
      <c r="F77" s="2285"/>
      <c r="G77" s="2198"/>
      <c r="H77" s="2087"/>
      <c r="I77" s="2087"/>
      <c r="J77" s="2087"/>
      <c r="K77" s="2087"/>
      <c r="L77" s="2087"/>
      <c r="M77" s="2087"/>
      <c r="N77" s="2087"/>
      <c r="O77" s="2087"/>
      <c r="P77" s="2087"/>
      <c r="Q77" s="2087"/>
      <c r="R77" s="2087"/>
      <c r="S77" s="2087"/>
    </row>
    <row r="78" spans="1:19" x14ac:dyDescent="0.35">
      <c r="A78" s="2269"/>
      <c r="B78" s="2270"/>
      <c r="C78" s="2285"/>
      <c r="D78" s="2285"/>
      <c r="E78" s="2285"/>
      <c r="F78" s="2285"/>
      <c r="G78" s="2198"/>
      <c r="H78" s="2087"/>
      <c r="I78" s="2087"/>
      <c r="J78" s="2087"/>
      <c r="K78" s="2087"/>
      <c r="L78" s="2087"/>
      <c r="M78" s="2087"/>
      <c r="N78" s="2087"/>
      <c r="O78" s="2087"/>
      <c r="P78" s="2087"/>
      <c r="Q78" s="2087"/>
      <c r="R78" s="2087"/>
      <c r="S78" s="2087"/>
    </row>
    <row r="79" spans="1:19" x14ac:dyDescent="0.35">
      <c r="A79" s="3764" t="s">
        <v>725</v>
      </c>
      <c r="B79" s="3765"/>
      <c r="C79" s="12"/>
      <c r="D79" s="12"/>
      <c r="E79" s="12"/>
      <c r="F79" s="12"/>
      <c r="G79" s="13"/>
      <c r="H79" s="21"/>
      <c r="I79" s="21"/>
      <c r="J79" s="21"/>
      <c r="K79" s="21"/>
      <c r="L79" s="21"/>
      <c r="M79" s="21"/>
      <c r="N79" s="21"/>
      <c r="O79" s="21"/>
      <c r="P79" s="21"/>
      <c r="Q79" s="21"/>
      <c r="R79" s="21"/>
      <c r="S79" s="21"/>
    </row>
    <row r="80" spans="1:19" x14ac:dyDescent="0.35">
      <c r="A80" s="2286"/>
      <c r="B80" s="2284" t="s">
        <v>726</v>
      </c>
      <c r="C80" s="2285"/>
      <c r="D80" s="2285"/>
      <c r="E80" s="2285"/>
      <c r="F80" s="2285"/>
      <c r="G80" s="2198"/>
      <c r="H80" s="2087"/>
      <c r="I80" s="2087"/>
      <c r="J80" s="2087"/>
      <c r="K80" s="2087"/>
      <c r="L80" s="2087"/>
      <c r="M80" s="2087"/>
      <c r="N80" s="2087"/>
      <c r="O80" s="2087"/>
      <c r="P80" s="2087"/>
      <c r="Q80" s="2087"/>
      <c r="R80" s="2087"/>
      <c r="S80" s="2087"/>
    </row>
    <row r="81" spans="1:19" x14ac:dyDescent="0.35">
      <c r="A81" s="2286"/>
      <c r="B81" s="2284" t="s">
        <v>727</v>
      </c>
      <c r="C81" s="2285"/>
      <c r="D81" s="2285"/>
      <c r="E81" s="2285"/>
      <c r="F81" s="2285"/>
      <c r="G81" s="2198"/>
      <c r="H81" s="2087"/>
      <c r="I81" s="2087"/>
      <c r="J81" s="2087"/>
      <c r="K81" s="2087"/>
      <c r="L81" s="2087"/>
      <c r="M81" s="2087"/>
      <c r="N81" s="2087"/>
      <c r="O81" s="2087"/>
      <c r="P81" s="2087"/>
      <c r="Q81" s="2087"/>
      <c r="R81" s="2087"/>
      <c r="S81" s="2087"/>
    </row>
    <row r="82" spans="1:19" x14ac:dyDescent="0.35">
      <c r="A82" s="2286"/>
      <c r="B82" s="2284" t="s">
        <v>728</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729</v>
      </c>
      <c r="C83" s="2285"/>
      <c r="D83" s="2285"/>
      <c r="E83" s="2285"/>
      <c r="F83" s="2285"/>
      <c r="G83" s="2198"/>
      <c r="H83" s="2087"/>
      <c r="I83" s="2087"/>
      <c r="J83" s="2087"/>
      <c r="K83" s="2087"/>
      <c r="L83" s="2087"/>
      <c r="M83" s="2087"/>
      <c r="N83" s="2087"/>
      <c r="O83" s="2087"/>
      <c r="P83" s="2087"/>
      <c r="Q83" s="2087"/>
      <c r="R83" s="2087"/>
      <c r="S83" s="2087"/>
    </row>
    <row r="84" spans="1:19" x14ac:dyDescent="0.35">
      <c r="A84" s="978"/>
      <c r="B84" s="939"/>
      <c r="C84" s="940"/>
      <c r="D84" s="940"/>
      <c r="E84" s="940"/>
      <c r="F84" s="940"/>
      <c r="G84" s="1039"/>
      <c r="H84" s="981"/>
      <c r="I84" s="981"/>
      <c r="J84" s="981"/>
      <c r="K84" s="981"/>
      <c r="L84" s="981"/>
      <c r="M84" s="981"/>
      <c r="N84" s="981"/>
      <c r="O84" s="981"/>
      <c r="P84" s="981"/>
      <c r="Q84" s="981"/>
      <c r="R84" s="981"/>
      <c r="S84" s="981"/>
    </row>
    <row r="85" spans="1:19" x14ac:dyDescent="0.35">
      <c r="A85" s="7" t="s">
        <v>730</v>
      </c>
      <c r="B85" s="8"/>
      <c r="C85" s="12"/>
      <c r="D85" s="12"/>
      <c r="E85" s="12"/>
      <c r="F85" s="12"/>
      <c r="G85" s="13"/>
      <c r="H85" s="21"/>
      <c r="I85" s="21"/>
      <c r="J85" s="21"/>
      <c r="K85" s="21"/>
      <c r="L85" s="21"/>
      <c r="M85" s="21"/>
      <c r="N85" s="21"/>
      <c r="O85" s="21"/>
      <c r="P85" s="21"/>
      <c r="Q85" s="21"/>
      <c r="R85" s="21"/>
      <c r="S85" s="21"/>
    </row>
    <row r="86" spans="1:19" x14ac:dyDescent="0.35">
      <c r="A86" s="2754"/>
      <c r="B86" s="2760" t="s">
        <v>731</v>
      </c>
      <c r="C86" s="2755"/>
      <c r="D86" s="2755"/>
      <c r="E86" s="2755"/>
      <c r="F86" s="2755"/>
      <c r="G86" s="2756"/>
      <c r="H86" s="2753"/>
      <c r="I86" s="2753"/>
      <c r="J86" s="2753"/>
      <c r="K86" s="2753"/>
      <c r="L86" s="2753"/>
      <c r="M86" s="2753"/>
      <c r="N86" s="2753"/>
      <c r="O86" s="2753"/>
      <c r="P86" s="2753"/>
      <c r="Q86" s="2753"/>
      <c r="R86" s="2753"/>
      <c r="S86" s="2753"/>
    </row>
    <row r="87" spans="1:19" x14ac:dyDescent="0.35">
      <c r="A87" s="2286"/>
      <c r="B87" s="2284" t="s">
        <v>732</v>
      </c>
      <c r="C87" s="2285"/>
      <c r="D87" s="2285"/>
      <c r="E87" s="2285"/>
      <c r="F87" s="2285"/>
      <c r="G87" s="2198"/>
      <c r="H87" s="2158"/>
      <c r="I87" s="2158"/>
      <c r="J87" s="2158"/>
      <c r="K87" s="2158"/>
      <c r="L87" s="2158"/>
      <c r="M87" s="2158"/>
      <c r="N87" s="2158"/>
      <c r="O87" s="2158"/>
      <c r="P87" s="2158"/>
      <c r="Q87" s="2158"/>
      <c r="R87" s="2158"/>
      <c r="S87" s="2158"/>
    </row>
    <row r="88" spans="1:19" x14ac:dyDescent="0.35">
      <c r="A88" s="2089"/>
      <c r="B88" s="2090" t="s">
        <v>733</v>
      </c>
      <c r="C88" s="2091"/>
      <c r="D88" s="2091"/>
      <c r="E88" s="2091"/>
      <c r="F88" s="2091"/>
      <c r="G88" s="2092"/>
      <c r="H88" s="2093"/>
      <c r="I88" s="2093"/>
      <c r="J88" s="2093"/>
      <c r="K88" s="2093"/>
      <c r="L88" s="2093"/>
      <c r="M88" s="2093"/>
      <c r="N88" s="2093"/>
      <c r="O88" s="2093"/>
      <c r="P88" s="2093"/>
      <c r="Q88" s="2093"/>
      <c r="R88" s="2093"/>
      <c r="S88" s="2093"/>
    </row>
    <row r="90" spans="1:19" x14ac:dyDescent="0.35">
      <c r="A90" s="78" t="s">
        <v>734</v>
      </c>
      <c r="B90" s="80"/>
    </row>
    <row r="91" spans="1:19" x14ac:dyDescent="0.35">
      <c r="A91" s="79" t="s">
        <v>632</v>
      </c>
      <c r="B91" s="2094"/>
    </row>
    <row r="92" spans="1:19" x14ac:dyDescent="0.35">
      <c r="A92" s="2279" t="s">
        <v>636</v>
      </c>
      <c r="B92" s="2094"/>
    </row>
    <row r="93" spans="1:19" x14ac:dyDescent="0.35">
      <c r="A93" s="2096" t="s">
        <v>639</v>
      </c>
      <c r="B93" s="2097"/>
    </row>
    <row r="94" spans="1:19" x14ac:dyDescent="0.35">
      <c r="A94" s="2096" t="s">
        <v>642</v>
      </c>
      <c r="B94" s="2159"/>
    </row>
    <row r="95" spans="1:19" x14ac:dyDescent="0.35">
      <c r="A95" s="2099" t="s">
        <v>735</v>
      </c>
      <c r="B95" s="2100"/>
    </row>
    <row r="97" spans="1:2" x14ac:dyDescent="0.35">
      <c r="A97" s="81"/>
      <c r="B97" s="1" t="s">
        <v>736</v>
      </c>
    </row>
    <row r="98" spans="1:2" x14ac:dyDescent="0.35">
      <c r="A98" s="82"/>
      <c r="B98" s="1" t="s">
        <v>737</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671" priority="19" operator="equal">
      <formula>"X"</formula>
    </cfRule>
    <cfRule type="cellIs" dxfId="670" priority="20" operator="equal">
      <formula>"I"</formula>
    </cfRule>
  </conditionalFormatting>
  <conditionalFormatting sqref="J20:J29">
    <cfRule type="cellIs" dxfId="669" priority="17" operator="equal">
      <formula>"X"</formula>
    </cfRule>
    <cfRule type="cellIs" dxfId="668" priority="18" operator="equal">
      <formula>"I"</formula>
    </cfRule>
  </conditionalFormatting>
  <conditionalFormatting sqref="L20:L29">
    <cfRule type="cellIs" dxfId="667" priority="15" operator="equal">
      <formula>"X"</formula>
    </cfRule>
    <cfRule type="cellIs" dxfId="666" priority="16" operator="equal">
      <formula>"I"</formula>
    </cfRule>
  </conditionalFormatting>
  <conditionalFormatting sqref="L31:L54">
    <cfRule type="cellIs" dxfId="665" priority="1" operator="equal">
      <formula>"X"</formula>
    </cfRule>
    <cfRule type="cellIs" dxfId="664" priority="2" operator="equal">
      <formula>"I"</formula>
    </cfRule>
  </conditionalFormatting>
  <conditionalFormatting sqref="N20:N29">
    <cfRule type="cellIs" dxfId="663" priority="13" operator="equal">
      <formula>"X"</formula>
    </cfRule>
    <cfRule type="cellIs" dxfId="662" priority="14" operator="equal">
      <formula>"I"</formula>
    </cfRule>
  </conditionalFormatting>
  <conditionalFormatting sqref="N31:N54">
    <cfRule type="cellIs" dxfId="661" priority="3" operator="equal">
      <formula>"X"</formula>
    </cfRule>
    <cfRule type="cellIs" dxfId="660" priority="4" operator="equal">
      <formula>"I"</formula>
    </cfRule>
  </conditionalFormatting>
  <conditionalFormatting sqref="P20:P29">
    <cfRule type="cellIs" dxfId="659" priority="11" operator="equal">
      <formula>"X"</formula>
    </cfRule>
    <cfRule type="cellIs" dxfId="658" priority="12" operator="equal">
      <formula>"I"</formula>
    </cfRule>
  </conditionalFormatting>
  <conditionalFormatting sqref="P31:P54">
    <cfRule type="cellIs" dxfId="657" priority="5" operator="equal">
      <formula>"X"</formula>
    </cfRule>
    <cfRule type="cellIs" dxfId="656" priority="6" operator="equal">
      <formula>"I"</formula>
    </cfRule>
  </conditionalFormatting>
  <conditionalFormatting sqref="R20:R29">
    <cfRule type="cellIs" dxfId="655" priority="9" operator="equal">
      <formula>"X"</formula>
    </cfRule>
    <cfRule type="cellIs" dxfId="654" priority="10" operator="equal">
      <formula>"I"</formula>
    </cfRule>
  </conditionalFormatting>
  <conditionalFormatting sqref="R31:R54">
    <cfRule type="cellIs" dxfId="653" priority="7" operator="equal">
      <formula>"X"</formula>
    </cfRule>
    <cfRule type="cellIs" dxfId="652" priority="8" operator="equal">
      <formula>"I"</formula>
    </cfRule>
  </conditionalFormatting>
  <hyperlinks>
    <hyperlink ref="B3" location="'Cost Summary'!A1" display="BACK TO SUMMARY SHEET" xr:uid="{2D057D92-5257-4D5A-A1A9-168B42AE436E}"/>
  </hyperlinks>
  <pageMargins left="0.7" right="0.7" top="0.75" bottom="0.75" header="0.3" footer="0.3"/>
  <pageSetup scale="71" orientation="portrait" horizontalDpi="1200" verticalDpi="120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C26A-5DC3-42E3-B675-FEB8894DF7E9}">
  <sheetPr>
    <tabColor rgb="FF92D050"/>
  </sheetPr>
  <dimension ref="A1:AA120"/>
  <sheetViews>
    <sheetView workbookViewId="0">
      <pane xSplit="2" ySplit="9" topLeftCell="G30" activePane="bottomRight" state="frozen"/>
      <selection pane="topRight" activeCell="C1" sqref="C1"/>
      <selection pane="bottomLeft" activeCell="A11" sqref="A11"/>
      <selection pane="bottomRight" activeCell="R23" sqref="R23"/>
    </sheetView>
  </sheetViews>
  <sheetFormatPr defaultRowHeight="14.5" x14ac:dyDescent="0.35"/>
  <cols>
    <col min="1" max="1" width="11" customWidth="1"/>
    <col min="2" max="2" width="70.7265625" style="1" customWidth="1"/>
    <col min="3" max="3" width="13" style="2" bestFit="1" customWidth="1"/>
    <col min="4" max="5" width="7.54296875" style="2" customWidth="1"/>
    <col min="6" max="6" width="16.453125" style="2" bestFit="1" customWidth="1"/>
    <col min="7" max="7" width="13.54296875" style="2" bestFit="1"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 min="24" max="24" width="7.453125" style="2" bestFit="1" customWidth="1"/>
    <col min="25" max="25" width="14.81640625" style="2" customWidth="1"/>
    <col min="26" max="26" width="7.453125" style="2" bestFit="1" customWidth="1"/>
    <col min="27" max="27" width="14.81640625" style="2" customWidth="1"/>
  </cols>
  <sheetData>
    <row r="1" spans="1:27" x14ac:dyDescent="0.35">
      <c r="E1" s="152"/>
      <c r="F1" s="125"/>
      <c r="G1" s="123" t="s">
        <v>621</v>
      </c>
      <c r="K1" s="2" t="s">
        <v>440</v>
      </c>
      <c r="M1" s="2" t="s">
        <v>3049</v>
      </c>
      <c r="Q1" s="2" t="s">
        <v>440</v>
      </c>
    </row>
    <row r="2" spans="1:27" ht="15.75" customHeight="1" x14ac:dyDescent="0.35">
      <c r="E2" s="152"/>
      <c r="F2" s="122" t="s">
        <v>622</v>
      </c>
      <c r="G2" s="123" t="s">
        <v>451</v>
      </c>
      <c r="H2" s="3866"/>
      <c r="I2" s="3866"/>
      <c r="J2" s="3866"/>
      <c r="K2" s="3866"/>
      <c r="L2" s="3866"/>
      <c r="M2" s="3866"/>
      <c r="N2" s="3751"/>
      <c r="O2" s="3751"/>
      <c r="P2" s="3751"/>
      <c r="Q2" s="3751"/>
      <c r="R2" s="3751"/>
      <c r="S2" s="3751"/>
      <c r="T2" s="3751"/>
      <c r="U2" s="3751"/>
      <c r="V2" s="3751"/>
      <c r="W2" s="3751"/>
      <c r="X2" s="3751"/>
      <c r="Y2" s="3751"/>
      <c r="Z2" s="3751"/>
      <c r="AA2" s="3751"/>
    </row>
    <row r="3" spans="1:27" ht="21" customHeight="1" x14ac:dyDescent="0.35">
      <c r="B3" s="137" t="s">
        <v>623</v>
      </c>
      <c r="E3" s="152"/>
      <c r="F3" s="124" t="s">
        <v>624</v>
      </c>
      <c r="G3" s="123" t="s">
        <v>557</v>
      </c>
      <c r="H3" s="3772" t="s">
        <v>625</v>
      </c>
      <c r="I3" s="3773"/>
      <c r="J3" s="3772" t="s">
        <v>625</v>
      </c>
      <c r="K3" s="3773"/>
      <c r="L3" s="3772" t="s">
        <v>625</v>
      </c>
      <c r="M3" s="3773"/>
      <c r="N3" s="3754" t="s">
        <v>627</v>
      </c>
      <c r="O3" s="3755"/>
      <c r="P3" s="3754" t="s">
        <v>627</v>
      </c>
      <c r="Q3" s="3755"/>
      <c r="R3" s="3891" t="s">
        <v>626</v>
      </c>
      <c r="S3" s="3892"/>
      <c r="T3" s="3754" t="s">
        <v>626</v>
      </c>
      <c r="U3" s="3755"/>
      <c r="V3" s="3754" t="s">
        <v>628</v>
      </c>
      <c r="W3" s="3755"/>
      <c r="X3" s="3754" t="s">
        <v>629</v>
      </c>
      <c r="Y3" s="3755"/>
      <c r="Z3" s="3754" t="s">
        <v>630</v>
      </c>
      <c r="AA3" s="3755"/>
    </row>
    <row r="4" spans="1:27" ht="15.75" customHeight="1" x14ac:dyDescent="0.35">
      <c r="A4" s="3" t="s">
        <v>631</v>
      </c>
      <c r="B4" s="4" t="str">
        <f>'AREA CALC''s'!B4</f>
        <v>Alton Hilltop Gardens</v>
      </c>
      <c r="C4" s="5"/>
      <c r="D4" s="5"/>
      <c r="E4" s="5"/>
      <c r="F4" s="5"/>
      <c r="G4" s="6" t="s">
        <v>632</v>
      </c>
      <c r="H4" s="3752" t="s">
        <v>3050</v>
      </c>
      <c r="I4" s="3753"/>
      <c r="J4" s="3752" t="s">
        <v>3051</v>
      </c>
      <c r="K4" s="3753"/>
      <c r="L4" s="3752" t="s">
        <v>3052</v>
      </c>
      <c r="M4" s="3753"/>
      <c r="N4" s="3752" t="s">
        <v>3053</v>
      </c>
      <c r="O4" s="3753"/>
      <c r="P4" s="3752" t="s">
        <v>3053</v>
      </c>
      <c r="Q4" s="3753"/>
      <c r="R4" s="3752" t="s">
        <v>3054</v>
      </c>
      <c r="S4" s="3753"/>
      <c r="T4" s="3752" t="s">
        <v>3055</v>
      </c>
      <c r="U4" s="3753"/>
      <c r="V4" s="3752"/>
      <c r="W4" s="3753"/>
      <c r="X4" s="3752"/>
      <c r="Y4" s="3753"/>
      <c r="Z4" s="3952"/>
      <c r="AA4" s="3753"/>
    </row>
    <row r="5" spans="1:27" x14ac:dyDescent="0.35">
      <c r="A5" s="2283" t="s">
        <v>634</v>
      </c>
      <c r="B5" s="2284" t="s">
        <v>537</v>
      </c>
      <c r="C5" s="2285"/>
      <c r="D5" s="2285"/>
      <c r="E5" s="2285"/>
      <c r="F5" s="2285"/>
      <c r="G5" s="2194" t="s">
        <v>636</v>
      </c>
      <c r="H5" s="3931" t="s">
        <v>3056</v>
      </c>
      <c r="I5" s="3932"/>
      <c r="J5" s="3931" t="s">
        <v>3056</v>
      </c>
      <c r="K5" s="3932"/>
      <c r="L5" s="3931" t="s">
        <v>3056</v>
      </c>
      <c r="M5" s="3932"/>
      <c r="N5" s="3931" t="s">
        <v>3057</v>
      </c>
      <c r="O5" s="3932"/>
      <c r="P5" s="3931" t="s">
        <v>3057</v>
      </c>
      <c r="Q5" s="3932"/>
      <c r="R5" s="3931" t="s">
        <v>3058</v>
      </c>
      <c r="S5" s="3932"/>
      <c r="T5" s="3931" t="s">
        <v>3058</v>
      </c>
      <c r="U5" s="3932"/>
      <c r="V5" s="3931"/>
      <c r="W5" s="3932"/>
      <c r="X5" s="3931"/>
      <c r="Y5" s="3932"/>
      <c r="Z5" s="3954"/>
      <c r="AA5" s="3932"/>
    </row>
    <row r="6" spans="1:27" x14ac:dyDescent="0.35">
      <c r="A6" s="2283" t="s">
        <v>638</v>
      </c>
      <c r="B6" s="2195" t="s">
        <v>536</v>
      </c>
      <c r="C6" s="2285"/>
      <c r="D6" s="2285"/>
      <c r="E6" s="2285"/>
      <c r="F6" s="2285"/>
      <c r="G6" s="2194" t="s">
        <v>639</v>
      </c>
      <c r="H6" s="3937">
        <v>7866062111</v>
      </c>
      <c r="I6" s="3938"/>
      <c r="J6" s="3937">
        <v>7866062111</v>
      </c>
      <c r="K6" s="3938"/>
      <c r="L6" s="3937">
        <v>7866062111</v>
      </c>
      <c r="M6" s="3938"/>
      <c r="N6" s="3937" t="s">
        <v>3059</v>
      </c>
      <c r="O6" s="3938"/>
      <c r="P6" s="3937" t="s">
        <v>3059</v>
      </c>
      <c r="Q6" s="3938"/>
      <c r="R6" s="3937">
        <v>9548823863</v>
      </c>
      <c r="S6" s="3938"/>
      <c r="T6" s="3937">
        <v>9548823863</v>
      </c>
      <c r="U6" s="3938"/>
      <c r="V6" s="3937"/>
      <c r="W6" s="3938"/>
      <c r="X6" s="3937"/>
      <c r="Y6" s="3938"/>
      <c r="Z6" s="3953"/>
      <c r="AA6" s="3938"/>
    </row>
    <row r="7" spans="1:27" x14ac:dyDescent="0.35">
      <c r="A7" s="2283" t="s">
        <v>641</v>
      </c>
      <c r="B7" s="2196"/>
      <c r="C7" s="2285"/>
      <c r="D7" s="2285"/>
      <c r="E7" s="2285"/>
      <c r="F7" s="2285"/>
      <c r="G7" s="2194" t="s">
        <v>642</v>
      </c>
      <c r="H7" s="3934" t="s">
        <v>3060</v>
      </c>
      <c r="I7" s="3935"/>
      <c r="J7" s="3934" t="s">
        <v>3060</v>
      </c>
      <c r="K7" s="3935"/>
      <c r="L7" s="3934" t="s">
        <v>3060</v>
      </c>
      <c r="M7" s="3935"/>
      <c r="N7" s="3968" t="s">
        <v>3061</v>
      </c>
      <c r="O7" s="3969"/>
      <c r="P7" s="3968" t="s">
        <v>3061</v>
      </c>
      <c r="Q7" s="3969"/>
      <c r="R7" s="3968" t="s">
        <v>3062</v>
      </c>
      <c r="S7" s="3938"/>
      <c r="T7" s="3968" t="s">
        <v>3062</v>
      </c>
      <c r="U7" s="3938"/>
      <c r="V7" s="3934"/>
      <c r="W7" s="3935"/>
      <c r="X7" s="3934"/>
      <c r="Y7" s="3935"/>
      <c r="Z7" s="3955"/>
      <c r="AA7" s="3935"/>
    </row>
    <row r="8" spans="1:27" x14ac:dyDescent="0.35">
      <c r="A8" s="938" t="s">
        <v>644</v>
      </c>
      <c r="B8" s="939"/>
      <c r="C8" s="940"/>
      <c r="D8" s="940"/>
      <c r="E8" s="940"/>
      <c r="F8" s="940"/>
      <c r="G8" s="1024" t="s">
        <v>644</v>
      </c>
      <c r="H8" s="3945">
        <f>I81</f>
        <v>1384500</v>
      </c>
      <c r="I8" s="3944"/>
      <c r="J8" s="3945">
        <f>K81</f>
        <v>1274050</v>
      </c>
      <c r="K8" s="3944"/>
      <c r="L8" s="3945">
        <f>M81</f>
        <v>1351300</v>
      </c>
      <c r="M8" s="3944"/>
      <c r="N8" s="3945">
        <f>O81</f>
        <v>1310000</v>
      </c>
      <c r="O8" s="3944"/>
      <c r="P8" s="3945">
        <f>Q81</f>
        <v>1319800</v>
      </c>
      <c r="Q8" s="3944"/>
      <c r="R8" s="3945">
        <f>S81</f>
        <v>1887200</v>
      </c>
      <c r="S8" s="3944"/>
      <c r="T8" s="3945">
        <f>U81</f>
        <v>1902349</v>
      </c>
      <c r="U8" s="3944"/>
      <c r="V8" s="3945">
        <f>W81</f>
        <v>0</v>
      </c>
      <c r="W8" s="3944"/>
      <c r="X8" s="3945">
        <f>Y81</f>
        <v>0</v>
      </c>
      <c r="Y8" s="3944"/>
      <c r="Z8" s="3945">
        <f>AA81</f>
        <v>0</v>
      </c>
      <c r="AA8" s="3944"/>
    </row>
    <row r="9" spans="1:27"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row>
    <row r="10" spans="1:27" hidden="1" x14ac:dyDescent="0.35">
      <c r="A10" s="2286"/>
      <c r="B10" s="2761"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c r="X10" s="2107"/>
      <c r="Y10" s="2107"/>
      <c r="Z10" s="2107"/>
      <c r="AA10" s="2107"/>
    </row>
    <row r="11" spans="1:27"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c r="X11" s="2107"/>
      <c r="Y11" s="2107"/>
      <c r="Z11" s="2107"/>
      <c r="AA11" s="2107"/>
    </row>
    <row r="12" spans="1:27"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c r="X12" s="2107"/>
      <c r="Y12" s="2107"/>
      <c r="Z12" s="2107"/>
      <c r="AA12" s="2107"/>
    </row>
    <row r="13" spans="1:27"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2107"/>
      <c r="Y13" s="2107"/>
      <c r="Z13" s="2107"/>
      <c r="AA13" s="2107"/>
    </row>
    <row r="14" spans="1:27"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2107"/>
      <c r="Y14" s="2107"/>
      <c r="Z14" s="2107"/>
      <c r="AA14" s="2107"/>
    </row>
    <row r="15" spans="1:27"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2107"/>
      <c r="Y15" s="2107"/>
      <c r="Z15" s="2107"/>
      <c r="AA15" s="2107"/>
    </row>
    <row r="16" spans="1:27"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2107"/>
      <c r="Y16" s="2107"/>
      <c r="Z16" s="2107"/>
      <c r="AA16" s="2107"/>
    </row>
    <row r="17" spans="1:27"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2107"/>
      <c r="Y17" s="2107"/>
      <c r="Z17" s="2107"/>
      <c r="AA17" s="2107"/>
    </row>
    <row r="18" spans="1:27"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2107"/>
      <c r="Y18" s="2107"/>
      <c r="Z18" s="2107"/>
      <c r="AA18" s="2107"/>
    </row>
    <row r="19" spans="1:27"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2107"/>
      <c r="Y19" s="2107"/>
      <c r="Z19" s="2107"/>
      <c r="AA19" s="2107"/>
    </row>
    <row r="20" spans="1:27" x14ac:dyDescent="0.35">
      <c r="A20" s="2286"/>
      <c r="B20" s="2284"/>
      <c r="C20" s="2201"/>
      <c r="D20" s="2285"/>
      <c r="E20" s="2285"/>
      <c r="F20" s="2285"/>
      <c r="G20" s="2198"/>
      <c r="H20" s="2109"/>
      <c r="I20" s="2107"/>
      <c r="J20" s="2109"/>
      <c r="K20" s="2107"/>
      <c r="L20" s="2109"/>
      <c r="M20" s="2107"/>
      <c r="N20" s="2109"/>
      <c r="O20" s="2107"/>
      <c r="P20" s="2109"/>
      <c r="Q20" s="2107"/>
      <c r="R20" s="2109"/>
      <c r="S20" s="2107"/>
      <c r="T20" s="2109"/>
      <c r="U20" s="2107"/>
      <c r="V20" s="2109"/>
      <c r="W20" s="2107"/>
      <c r="X20" s="2109"/>
      <c r="Y20" s="2107"/>
      <c r="Z20" s="2109"/>
      <c r="AA20" s="2107"/>
    </row>
    <row r="21" spans="1:27" x14ac:dyDescent="0.35">
      <c r="A21" s="2286"/>
      <c r="B21" s="2203" t="s">
        <v>537</v>
      </c>
      <c r="C21" s="2201"/>
      <c r="D21" s="2285"/>
      <c r="E21" s="2285"/>
      <c r="F21" s="2285"/>
      <c r="G21" s="2198"/>
      <c r="H21" s="2109"/>
      <c r="I21" s="2107"/>
      <c r="J21" s="2109"/>
      <c r="K21" s="2107"/>
      <c r="L21" s="2109"/>
      <c r="M21" s="2107"/>
      <c r="N21" s="2109"/>
      <c r="O21" s="2107"/>
      <c r="P21" s="2109"/>
      <c r="Q21" s="2107"/>
      <c r="R21" s="2109"/>
      <c r="S21" s="2107"/>
      <c r="T21" s="2109"/>
      <c r="U21" s="2107"/>
      <c r="V21" s="2109"/>
      <c r="W21" s="2107"/>
      <c r="X21" s="2109"/>
      <c r="Y21" s="2107"/>
      <c r="Z21" s="2109"/>
      <c r="AA21" s="2107"/>
    </row>
    <row r="22" spans="1:27" x14ac:dyDescent="0.35">
      <c r="A22" s="2762"/>
      <c r="B22" s="606" t="s">
        <v>657</v>
      </c>
      <c r="C22" s="2201"/>
      <c r="D22" s="2285"/>
      <c r="E22" s="2285"/>
      <c r="F22" s="2285"/>
      <c r="G22" s="2198"/>
      <c r="H22" s="2109"/>
      <c r="I22" s="2763"/>
      <c r="J22" s="2109"/>
      <c r="K22" s="2763"/>
      <c r="L22" s="2109"/>
      <c r="M22" s="2763"/>
      <c r="N22" s="2109"/>
      <c r="O22" s="2763"/>
      <c r="P22" s="2109"/>
      <c r="Q22" s="2763"/>
      <c r="R22" s="2109"/>
      <c r="S22" s="2763"/>
      <c r="T22" s="2109"/>
      <c r="U22" s="2763"/>
      <c r="V22" s="2109"/>
      <c r="W22" s="2763"/>
      <c r="X22" s="2109"/>
      <c r="Y22" s="2763"/>
      <c r="Z22" s="2109"/>
      <c r="AA22" s="2763"/>
    </row>
    <row r="23" spans="1:27" x14ac:dyDescent="0.35">
      <c r="A23" s="2762"/>
      <c r="B23" s="2764" t="s">
        <v>658</v>
      </c>
      <c r="C23" s="2201"/>
      <c r="D23" s="2285"/>
      <c r="E23" s="2285"/>
      <c r="F23" s="2285"/>
      <c r="G23" s="2198"/>
      <c r="H23" s="2109" t="s">
        <v>669</v>
      </c>
      <c r="I23" s="2765"/>
      <c r="J23" s="2109" t="s">
        <v>669</v>
      </c>
      <c r="K23" s="2765"/>
      <c r="L23" s="2109" t="s">
        <v>669</v>
      </c>
      <c r="M23" s="2765"/>
      <c r="N23" s="2109" t="s">
        <v>669</v>
      </c>
      <c r="O23" s="2763"/>
      <c r="P23" s="2109" t="s">
        <v>669</v>
      </c>
      <c r="Q23" s="2763"/>
      <c r="R23" s="2109" t="s">
        <v>669</v>
      </c>
      <c r="S23" s="2763"/>
      <c r="T23" s="2109" t="s">
        <v>669</v>
      </c>
      <c r="U23" s="2763"/>
      <c r="V23" s="2109"/>
      <c r="W23" s="2763"/>
      <c r="X23" s="2109"/>
      <c r="Y23" s="2763"/>
      <c r="Z23" s="2109"/>
      <c r="AA23" s="2763"/>
    </row>
    <row r="24" spans="1:27" x14ac:dyDescent="0.35">
      <c r="A24" s="2762"/>
      <c r="B24" s="2764" t="s">
        <v>659</v>
      </c>
      <c r="C24" s="2208"/>
      <c r="D24" s="2285"/>
      <c r="E24" s="2285"/>
      <c r="F24" s="2285"/>
      <c r="G24" s="2198"/>
      <c r="H24" s="2109" t="s">
        <v>669</v>
      </c>
      <c r="I24" s="2765"/>
      <c r="J24" s="2109" t="s">
        <v>669</v>
      </c>
      <c r="K24" s="2765"/>
      <c r="L24" s="2109" t="s">
        <v>669</v>
      </c>
      <c r="M24" s="2765"/>
      <c r="N24" s="2109" t="s">
        <v>669</v>
      </c>
      <c r="O24" s="2763"/>
      <c r="P24" s="2109" t="s">
        <v>669</v>
      </c>
      <c r="Q24" s="2763"/>
      <c r="R24" s="2109" t="s">
        <v>669</v>
      </c>
      <c r="S24" s="2763"/>
      <c r="T24" s="2109" t="s">
        <v>669</v>
      </c>
      <c r="U24" s="2763"/>
      <c r="V24" s="2109"/>
      <c r="W24" s="2763"/>
      <c r="X24" s="2109"/>
      <c r="Y24" s="2763"/>
      <c r="Z24" s="2109"/>
      <c r="AA24" s="2763"/>
    </row>
    <row r="25" spans="1:27" x14ac:dyDescent="0.35">
      <c r="A25" s="2762"/>
      <c r="B25" s="2743" t="s">
        <v>660</v>
      </c>
      <c r="C25" s="2208"/>
      <c r="D25" s="2285"/>
      <c r="E25" s="2285"/>
      <c r="F25" s="2285"/>
      <c r="G25" s="2198"/>
      <c r="H25" s="2109" t="s">
        <v>671</v>
      </c>
      <c r="I25" s="2765"/>
      <c r="J25" s="2109" t="s">
        <v>671</v>
      </c>
      <c r="K25" s="2765"/>
      <c r="L25" s="2109" t="s">
        <v>671</v>
      </c>
      <c r="M25" s="2765"/>
      <c r="N25" s="2109" t="s">
        <v>671</v>
      </c>
      <c r="O25" s="2763"/>
      <c r="P25" s="2109" t="s">
        <v>671</v>
      </c>
      <c r="Q25" s="2763"/>
      <c r="R25" s="2109" t="s">
        <v>671</v>
      </c>
      <c r="S25" s="2763"/>
      <c r="T25" s="2109" t="s">
        <v>671</v>
      </c>
      <c r="U25" s="2763"/>
      <c r="V25" s="2109"/>
      <c r="W25" s="2763"/>
      <c r="X25" s="2109"/>
      <c r="Y25" s="2763"/>
      <c r="Z25" s="2109"/>
      <c r="AA25" s="2763"/>
    </row>
    <row r="26" spans="1:27" s="77" customFormat="1" x14ac:dyDescent="0.35">
      <c r="A26" s="2744"/>
      <c r="B26" s="2743" t="s">
        <v>661</v>
      </c>
      <c r="C26" s="2211"/>
      <c r="D26" s="2212"/>
      <c r="E26" s="2212"/>
      <c r="F26" s="2212"/>
      <c r="G26" s="2211"/>
      <c r="H26" s="2109" t="s">
        <v>669</v>
      </c>
      <c r="I26" s="2765"/>
      <c r="J26" s="2109" t="s">
        <v>669</v>
      </c>
      <c r="K26" s="2765"/>
      <c r="L26" s="2109" t="s">
        <v>669</v>
      </c>
      <c r="M26" s="2765"/>
      <c r="N26" s="2109" t="s">
        <v>669</v>
      </c>
      <c r="O26" s="2722"/>
      <c r="P26" s="2109" t="s">
        <v>669</v>
      </c>
      <c r="Q26" s="2722"/>
      <c r="R26" s="2109" t="s">
        <v>669</v>
      </c>
      <c r="S26" s="2722"/>
      <c r="T26" s="2109" t="s">
        <v>669</v>
      </c>
      <c r="U26" s="2722"/>
      <c r="V26" s="2109"/>
      <c r="W26" s="2722"/>
      <c r="X26" s="2109"/>
      <c r="Y26" s="2722"/>
      <c r="Z26" s="2109"/>
      <c r="AA26" s="2722"/>
    </row>
    <row r="27" spans="1:27" s="77" customFormat="1" x14ac:dyDescent="0.35">
      <c r="A27" s="2744"/>
      <c r="B27" s="2743" t="s">
        <v>662</v>
      </c>
      <c r="C27" s="2211"/>
      <c r="D27" s="2212"/>
      <c r="E27" s="2212"/>
      <c r="F27" s="2212"/>
      <c r="G27" s="2211"/>
      <c r="H27" s="2109" t="s">
        <v>669</v>
      </c>
      <c r="I27" s="2765"/>
      <c r="J27" s="2109" t="s">
        <v>669</v>
      </c>
      <c r="K27" s="2765"/>
      <c r="L27" s="2109" t="s">
        <v>669</v>
      </c>
      <c r="M27" s="2765"/>
      <c r="N27" s="2109" t="s">
        <v>669</v>
      </c>
      <c r="O27" s="2722"/>
      <c r="P27" s="2109" t="s">
        <v>669</v>
      </c>
      <c r="Q27" s="2722"/>
      <c r="R27" s="2109" t="s">
        <v>669</v>
      </c>
      <c r="S27" s="2722"/>
      <c r="T27" s="2109" t="s">
        <v>669</v>
      </c>
      <c r="U27" s="2722"/>
      <c r="V27" s="2109"/>
      <c r="W27" s="2722"/>
      <c r="X27" s="2109"/>
      <c r="Y27" s="2722"/>
      <c r="Z27" s="2109"/>
      <c r="AA27" s="2722"/>
    </row>
    <row r="28" spans="1:27" s="77" customFormat="1" x14ac:dyDescent="0.35">
      <c r="A28" s="2744"/>
      <c r="B28" s="2743" t="s">
        <v>663</v>
      </c>
      <c r="C28" s="2211"/>
      <c r="D28" s="2212"/>
      <c r="E28" s="2212"/>
      <c r="F28" s="2212"/>
      <c r="G28" s="2211"/>
      <c r="H28" s="2109" t="s">
        <v>669</v>
      </c>
      <c r="I28" s="2765"/>
      <c r="J28" s="2109" t="s">
        <v>669</v>
      </c>
      <c r="K28" s="2765"/>
      <c r="L28" s="2109" t="s">
        <v>669</v>
      </c>
      <c r="M28" s="2765"/>
      <c r="N28" s="2109" t="s">
        <v>669</v>
      </c>
      <c r="O28" s="2722"/>
      <c r="P28" s="2109" t="s">
        <v>669</v>
      </c>
      <c r="Q28" s="2722"/>
      <c r="R28" s="2109" t="s">
        <v>669</v>
      </c>
      <c r="S28" s="2722"/>
      <c r="T28" s="2109" t="s">
        <v>669</v>
      </c>
      <c r="U28" s="2722"/>
      <c r="V28" s="2109"/>
      <c r="W28" s="2722"/>
      <c r="X28" s="2109"/>
      <c r="Y28" s="2722"/>
      <c r="Z28" s="2109"/>
      <c r="AA28" s="2722"/>
    </row>
    <row r="29" spans="1:27" s="77" customFormat="1" x14ac:dyDescent="0.35">
      <c r="A29" s="2744"/>
      <c r="B29" s="2743" t="s">
        <v>789</v>
      </c>
      <c r="C29" s="2211"/>
      <c r="D29" s="2212"/>
      <c r="E29" s="2212"/>
      <c r="F29" s="2212"/>
      <c r="G29" s="2211"/>
      <c r="H29" s="2109" t="s">
        <v>669</v>
      </c>
      <c r="I29" s="2765" t="s">
        <v>1099</v>
      </c>
      <c r="J29" s="2109" t="s">
        <v>669</v>
      </c>
      <c r="K29" s="2765" t="s">
        <v>1099</v>
      </c>
      <c r="L29" s="2109" t="s">
        <v>669</v>
      </c>
      <c r="M29" s="2765" t="s">
        <v>1099</v>
      </c>
      <c r="N29" s="2109" t="s">
        <v>671</v>
      </c>
      <c r="O29" s="2765" t="s">
        <v>1008</v>
      </c>
      <c r="P29" s="2109" t="s">
        <v>671</v>
      </c>
      <c r="Q29" s="2765" t="s">
        <v>1008</v>
      </c>
      <c r="R29" s="2109" t="s">
        <v>669</v>
      </c>
      <c r="S29" s="2765" t="s">
        <v>1099</v>
      </c>
      <c r="T29" s="2109" t="s">
        <v>669</v>
      </c>
      <c r="U29" s="2765" t="s">
        <v>1099</v>
      </c>
      <c r="V29" s="2109"/>
      <c r="W29" s="2722"/>
      <c r="X29" s="2109"/>
      <c r="Y29" s="2722"/>
      <c r="Z29" s="2109"/>
      <c r="AA29" s="2722"/>
    </row>
    <row r="30" spans="1:27" s="77" customFormat="1" x14ac:dyDescent="0.35">
      <c r="A30" s="2744"/>
      <c r="B30" s="2743" t="s">
        <v>790</v>
      </c>
      <c r="C30" s="2211"/>
      <c r="D30" s="2212"/>
      <c r="E30" s="2212"/>
      <c r="F30" s="2212"/>
      <c r="G30" s="2211"/>
      <c r="H30" s="2109" t="s">
        <v>669</v>
      </c>
      <c r="I30" s="2765" t="s">
        <v>968</v>
      </c>
      <c r="J30" s="2109" t="s">
        <v>669</v>
      </c>
      <c r="K30" s="2765" t="s">
        <v>968</v>
      </c>
      <c r="L30" s="2109" t="s">
        <v>669</v>
      </c>
      <c r="M30" s="2765" t="s">
        <v>968</v>
      </c>
      <c r="N30" s="2109" t="s">
        <v>671</v>
      </c>
      <c r="O30" s="2765" t="s">
        <v>968</v>
      </c>
      <c r="P30" s="2109" t="s">
        <v>671</v>
      </c>
      <c r="Q30" s="2765" t="s">
        <v>968</v>
      </c>
      <c r="R30" s="2109" t="s">
        <v>669</v>
      </c>
      <c r="S30" s="2765" t="s">
        <v>1393</v>
      </c>
      <c r="T30" s="2109" t="s">
        <v>669</v>
      </c>
      <c r="U30" s="2765" t="s">
        <v>1393</v>
      </c>
      <c r="V30" s="2109"/>
      <c r="W30" s="2722"/>
      <c r="X30" s="2109"/>
      <c r="Y30" s="2722"/>
      <c r="Z30" s="2109"/>
      <c r="AA30" s="2722"/>
    </row>
    <row r="31" spans="1:27" s="77" customFormat="1" x14ac:dyDescent="0.35">
      <c r="A31" s="2744"/>
      <c r="B31" s="2743" t="s">
        <v>791</v>
      </c>
      <c r="C31" s="2211"/>
      <c r="D31" s="2212"/>
      <c r="E31" s="2212"/>
      <c r="F31" s="2212"/>
      <c r="G31" s="2211"/>
      <c r="H31" s="2109" t="s">
        <v>669</v>
      </c>
      <c r="I31" s="2765" t="s">
        <v>3063</v>
      </c>
      <c r="J31" s="2109" t="s">
        <v>669</v>
      </c>
      <c r="K31" s="2765" t="s">
        <v>3063</v>
      </c>
      <c r="L31" s="2109" t="s">
        <v>669</v>
      </c>
      <c r="M31" s="2765" t="s">
        <v>3063</v>
      </c>
      <c r="N31" s="2109" t="s">
        <v>671</v>
      </c>
      <c r="O31" s="2722"/>
      <c r="P31" s="2109" t="s">
        <v>671</v>
      </c>
      <c r="Q31" s="2722"/>
      <c r="R31" s="2109" t="s">
        <v>669</v>
      </c>
      <c r="S31" s="2765" t="s">
        <v>3064</v>
      </c>
      <c r="T31" s="2109" t="s">
        <v>669</v>
      </c>
      <c r="U31" s="2765" t="s">
        <v>3064</v>
      </c>
      <c r="V31" s="2109"/>
      <c r="W31" s="2722"/>
      <c r="X31" s="2109"/>
      <c r="Y31" s="2722"/>
      <c r="Z31" s="2109"/>
      <c r="AA31" s="2722"/>
    </row>
    <row r="32" spans="1:27" s="77" customFormat="1" x14ac:dyDescent="0.35">
      <c r="A32" s="2744"/>
      <c r="B32" s="2723" t="s">
        <v>664</v>
      </c>
      <c r="C32" s="2211"/>
      <c r="D32" s="2212"/>
      <c r="E32" s="2212"/>
      <c r="F32" s="2212"/>
      <c r="G32" s="2211"/>
      <c r="H32" s="2109"/>
      <c r="I32" s="2765"/>
      <c r="J32" s="2109"/>
      <c r="K32" s="2765"/>
      <c r="L32" s="2109"/>
      <c r="M32" s="2765"/>
      <c r="N32" s="2109"/>
      <c r="O32" s="2722"/>
      <c r="P32" s="2109"/>
      <c r="Q32" s="2722"/>
      <c r="R32" s="2109"/>
      <c r="S32" s="2722"/>
      <c r="T32" s="2109"/>
      <c r="U32" s="2722"/>
      <c r="V32" s="2109"/>
      <c r="W32" s="2722"/>
      <c r="X32" s="2109"/>
      <c r="Y32" s="2722"/>
      <c r="Z32" s="2109"/>
      <c r="AA32" s="2722"/>
    </row>
    <row r="33" spans="1:27" s="77" customFormat="1" x14ac:dyDescent="0.35">
      <c r="A33" s="2744"/>
      <c r="B33" s="2724" t="s">
        <v>665</v>
      </c>
      <c r="C33" s="2216"/>
      <c r="D33" s="2766"/>
      <c r="E33" s="2217"/>
      <c r="F33" s="2767"/>
      <c r="G33" s="2768"/>
      <c r="H33" s="2288"/>
      <c r="I33" s="2725">
        <v>1214500</v>
      </c>
      <c r="J33" s="2288"/>
      <c r="K33" s="2725">
        <v>1070000</v>
      </c>
      <c r="L33" s="2288"/>
      <c r="M33" s="2725">
        <v>1160000</v>
      </c>
      <c r="N33" s="2289"/>
      <c r="O33" s="2725">
        <v>1272109</v>
      </c>
      <c r="P33" s="2289"/>
      <c r="Q33" s="2725">
        <v>1125000</v>
      </c>
      <c r="R33" s="2289"/>
      <c r="S33" s="2726"/>
      <c r="T33" s="2289"/>
      <c r="U33" s="2726"/>
      <c r="V33" s="2726"/>
      <c r="W33" s="2726"/>
      <c r="X33" s="2726"/>
      <c r="Y33" s="2726"/>
      <c r="Z33" s="2726"/>
      <c r="AA33" s="2726"/>
    </row>
    <row r="34" spans="1:27" s="77" customFormat="1" x14ac:dyDescent="0.35">
      <c r="A34" s="2744"/>
      <c r="B34" s="127" t="s">
        <v>874</v>
      </c>
      <c r="C34" s="2211"/>
      <c r="D34" s="2357"/>
      <c r="E34" s="2212"/>
      <c r="F34" s="2769"/>
      <c r="G34" s="2770"/>
      <c r="H34" s="2109"/>
      <c r="I34" s="2765"/>
      <c r="J34" s="2109"/>
      <c r="K34" s="2765"/>
      <c r="L34" s="2109"/>
      <c r="M34" s="2765"/>
      <c r="N34" s="2109"/>
      <c r="O34" s="2722"/>
      <c r="P34" s="2109"/>
      <c r="Q34" s="2722"/>
      <c r="R34" s="2109"/>
      <c r="S34" s="2722"/>
      <c r="T34" s="2109"/>
      <c r="U34" s="2722"/>
      <c r="V34" s="2109"/>
      <c r="W34" s="2722"/>
      <c r="X34" s="2109"/>
      <c r="Y34" s="2722"/>
      <c r="Z34" s="2109"/>
      <c r="AA34" s="2722"/>
    </row>
    <row r="35" spans="1:27" s="77" customFormat="1" x14ac:dyDescent="0.35">
      <c r="A35" s="2727"/>
      <c r="B35" s="127"/>
      <c r="C35" s="2236"/>
      <c r="D35" s="2357"/>
      <c r="E35" s="2212"/>
      <c r="F35" s="2769"/>
      <c r="G35" s="2770"/>
      <c r="H35" s="2109"/>
      <c r="I35" s="2765"/>
      <c r="J35" s="2109"/>
      <c r="K35" s="2765"/>
      <c r="L35" s="2109"/>
      <c r="M35" s="2765"/>
      <c r="N35" s="2109"/>
      <c r="O35" s="2722"/>
      <c r="P35" s="2109"/>
      <c r="Q35" s="2722"/>
      <c r="R35" s="2109"/>
      <c r="S35" s="2722"/>
      <c r="T35" s="2109"/>
      <c r="U35" s="2722"/>
      <c r="V35" s="2109"/>
      <c r="W35" s="2722"/>
      <c r="X35" s="2109"/>
      <c r="Y35" s="2722"/>
      <c r="Z35" s="2109"/>
      <c r="AA35" s="2722"/>
    </row>
    <row r="36" spans="1:27" s="77" customFormat="1" x14ac:dyDescent="0.35">
      <c r="A36" s="2727"/>
      <c r="B36" s="2771" t="s">
        <v>3065</v>
      </c>
      <c r="C36" s="2236"/>
      <c r="D36" s="2357"/>
      <c r="E36" s="2212"/>
      <c r="F36" s="2769"/>
      <c r="G36" s="2770"/>
      <c r="H36" s="2109" t="s">
        <v>669</v>
      </c>
      <c r="I36" s="2765"/>
      <c r="J36" s="2109" t="s">
        <v>669</v>
      </c>
      <c r="K36" s="2765"/>
      <c r="L36" s="2109" t="s">
        <v>669</v>
      </c>
      <c r="M36" s="2765"/>
      <c r="N36" s="2109" t="s">
        <v>671</v>
      </c>
      <c r="O36" s="2722"/>
      <c r="P36" s="2109" t="s">
        <v>671</v>
      </c>
      <c r="Q36" s="2722"/>
      <c r="R36" s="2109" t="s">
        <v>671</v>
      </c>
      <c r="S36" s="2722"/>
      <c r="T36" s="2109" t="s">
        <v>671</v>
      </c>
      <c r="U36" s="2722"/>
      <c r="V36" s="2109"/>
      <c r="W36" s="2722"/>
      <c r="X36" s="2109"/>
      <c r="Y36" s="2722"/>
      <c r="Z36" s="2109"/>
      <c r="AA36" s="2722"/>
    </row>
    <row r="37" spans="1:27" s="77" customFormat="1" x14ac:dyDescent="0.35">
      <c r="A37" s="2727"/>
      <c r="B37" s="2772" t="s">
        <v>3066</v>
      </c>
      <c r="C37" s="2236"/>
      <c r="D37" s="2357"/>
      <c r="E37" s="2212"/>
      <c r="F37" s="2769"/>
      <c r="G37" s="2770"/>
      <c r="H37" s="2109" t="s">
        <v>671</v>
      </c>
      <c r="I37" s="2765"/>
      <c r="J37" s="2109" t="s">
        <v>671</v>
      </c>
      <c r="K37" s="2765"/>
      <c r="L37" s="2109" t="s">
        <v>671</v>
      </c>
      <c r="M37" s="2765"/>
      <c r="N37" s="2109" t="s">
        <v>671</v>
      </c>
      <c r="O37" s="2722"/>
      <c r="P37" s="2109" t="s">
        <v>671</v>
      </c>
      <c r="Q37" s="2722"/>
      <c r="R37" s="2109" t="s">
        <v>669</v>
      </c>
      <c r="S37" s="2722"/>
      <c r="T37" s="2109" t="s">
        <v>669</v>
      </c>
      <c r="U37" s="2722"/>
      <c r="V37" s="2109"/>
      <c r="W37" s="2722"/>
      <c r="X37" s="2109"/>
      <c r="Y37" s="2722"/>
      <c r="Z37" s="2109"/>
      <c r="AA37" s="2722"/>
    </row>
    <row r="38" spans="1:27" s="77" customFormat="1" x14ac:dyDescent="0.35">
      <c r="A38" s="2727"/>
      <c r="B38" s="2772" t="s">
        <v>3067</v>
      </c>
      <c r="C38" s="2236"/>
      <c r="D38" s="2357"/>
      <c r="E38" s="2212"/>
      <c r="F38" s="2769"/>
      <c r="G38" s="2770"/>
      <c r="H38" s="2109" t="s">
        <v>671</v>
      </c>
      <c r="I38" s="2765"/>
      <c r="J38" s="2109" t="s">
        <v>671</v>
      </c>
      <c r="K38" s="2765"/>
      <c r="L38" s="2109" t="s">
        <v>671</v>
      </c>
      <c r="M38" s="2765"/>
      <c r="N38" s="2109" t="s">
        <v>669</v>
      </c>
      <c r="O38" s="2722"/>
      <c r="P38" s="2109" t="s">
        <v>669</v>
      </c>
      <c r="Q38" s="2722"/>
      <c r="R38" s="2109"/>
      <c r="S38" s="2722"/>
      <c r="T38" s="2109" t="s">
        <v>671</v>
      </c>
      <c r="U38" s="2722"/>
      <c r="V38" s="2109"/>
      <c r="W38" s="2722"/>
      <c r="X38" s="2109"/>
      <c r="Y38" s="2722"/>
      <c r="Z38" s="2109"/>
      <c r="AA38" s="2722"/>
    </row>
    <row r="39" spans="1:27" s="77" customFormat="1" x14ac:dyDescent="0.35">
      <c r="A39" s="2727"/>
      <c r="B39" s="2772"/>
      <c r="C39" s="2236"/>
      <c r="D39" s="2357"/>
      <c r="E39" s="2212"/>
      <c r="F39" s="2769"/>
      <c r="G39" s="2770"/>
      <c r="H39" s="2109"/>
      <c r="I39" s="2765"/>
      <c r="J39" s="2109"/>
      <c r="K39" s="2765"/>
      <c r="L39" s="2109"/>
      <c r="M39" s="2765"/>
      <c r="N39" s="2109"/>
      <c r="O39" s="2722"/>
      <c r="P39" s="2109"/>
      <c r="Q39" s="2722"/>
      <c r="R39" s="2109"/>
      <c r="S39" s="2722"/>
      <c r="T39" s="2109"/>
      <c r="U39" s="2722"/>
      <c r="V39" s="2109"/>
      <c r="W39" s="2722"/>
      <c r="X39" s="2109"/>
      <c r="Y39" s="2722"/>
      <c r="Z39" s="2109"/>
      <c r="AA39" s="2722"/>
    </row>
    <row r="40" spans="1:27" s="77" customFormat="1" x14ac:dyDescent="0.35">
      <c r="A40" s="2727"/>
      <c r="B40" s="2772" t="s">
        <v>3068</v>
      </c>
      <c r="C40" s="2236"/>
      <c r="D40" s="2357"/>
      <c r="E40" s="2212"/>
      <c r="F40" s="2769"/>
      <c r="G40" s="2770"/>
      <c r="H40" s="2109" t="s">
        <v>669</v>
      </c>
      <c r="I40" s="2765"/>
      <c r="J40" s="2109" t="s">
        <v>669</v>
      </c>
      <c r="K40" s="2765"/>
      <c r="L40" s="2109" t="s">
        <v>669</v>
      </c>
      <c r="M40" s="2765"/>
      <c r="N40" s="2109" t="s">
        <v>669</v>
      </c>
      <c r="O40" s="2722"/>
      <c r="P40" s="2109" t="s">
        <v>669</v>
      </c>
      <c r="Q40" s="2722"/>
      <c r="R40" s="2109" t="s">
        <v>669</v>
      </c>
      <c r="S40" s="2722"/>
      <c r="T40" s="2109" t="s">
        <v>669</v>
      </c>
      <c r="U40" s="2722"/>
      <c r="V40" s="2109"/>
      <c r="W40" s="2722"/>
      <c r="X40" s="2109"/>
      <c r="Y40" s="2722"/>
      <c r="Z40" s="2109"/>
      <c r="AA40" s="2722"/>
    </row>
    <row r="41" spans="1:27" s="77" customFormat="1" x14ac:dyDescent="0.35">
      <c r="A41" s="2727"/>
      <c r="B41" s="2772" t="s">
        <v>3069</v>
      </c>
      <c r="C41" s="2236"/>
      <c r="D41" s="2357"/>
      <c r="E41" s="2212"/>
      <c r="F41" s="2769"/>
      <c r="G41" s="2770"/>
      <c r="H41" s="2109" t="s">
        <v>669</v>
      </c>
      <c r="I41" s="2765"/>
      <c r="J41" s="2109" t="s">
        <v>669</v>
      </c>
      <c r="K41" s="2765"/>
      <c r="L41" s="2109" t="s">
        <v>669</v>
      </c>
      <c r="M41" s="2765"/>
      <c r="N41" s="2109" t="s">
        <v>669</v>
      </c>
      <c r="O41" s="2722"/>
      <c r="P41" s="2109" t="s">
        <v>669</v>
      </c>
      <c r="Q41" s="2722"/>
      <c r="R41" s="2109" t="s">
        <v>669</v>
      </c>
      <c r="S41" s="2722"/>
      <c r="T41" s="2109" t="s">
        <v>669</v>
      </c>
      <c r="U41" s="2722"/>
      <c r="V41" s="2109"/>
      <c r="W41" s="2722"/>
      <c r="X41" s="2109"/>
      <c r="Y41" s="2722"/>
      <c r="Z41" s="2109"/>
      <c r="AA41" s="2722"/>
    </row>
    <row r="42" spans="1:27" s="77" customFormat="1" x14ac:dyDescent="0.35">
      <c r="A42" s="2727"/>
      <c r="B42" s="2772" t="s">
        <v>3070</v>
      </c>
      <c r="C42" s="2236"/>
      <c r="D42" s="2357"/>
      <c r="E42" s="2341"/>
      <c r="F42" s="2773"/>
      <c r="G42" s="2770"/>
      <c r="H42" s="2109" t="s">
        <v>669</v>
      </c>
      <c r="I42" s="2765"/>
      <c r="J42" s="2109" t="s">
        <v>669</v>
      </c>
      <c r="K42" s="2765"/>
      <c r="L42" s="2109" t="s">
        <v>669</v>
      </c>
      <c r="M42" s="2765"/>
      <c r="N42" s="2109" t="s">
        <v>669</v>
      </c>
      <c r="O42" s="2722"/>
      <c r="P42" s="2109" t="s">
        <v>669</v>
      </c>
      <c r="Q42" s="2722"/>
      <c r="R42" s="2109" t="s">
        <v>669</v>
      </c>
      <c r="S42" s="2722"/>
      <c r="T42" s="2109" t="s">
        <v>669</v>
      </c>
      <c r="U42" s="2722"/>
      <c r="V42" s="2109"/>
      <c r="W42" s="2722"/>
      <c r="X42" s="2109"/>
      <c r="Y42" s="2722"/>
      <c r="Z42" s="2109"/>
      <c r="AA42" s="2722"/>
    </row>
    <row r="43" spans="1:27" s="77" customFormat="1" x14ac:dyDescent="0.35">
      <c r="A43" s="2727"/>
      <c r="B43" s="2772" t="s">
        <v>3071</v>
      </c>
      <c r="C43" s="2236"/>
      <c r="D43" s="2357"/>
      <c r="E43" s="2341"/>
      <c r="F43" s="2773"/>
      <c r="G43" s="2770"/>
      <c r="H43" s="2109" t="s">
        <v>669</v>
      </c>
      <c r="I43" s="2765"/>
      <c r="J43" s="2109" t="s">
        <v>669</v>
      </c>
      <c r="K43" s="2765"/>
      <c r="L43" s="2109" t="s">
        <v>669</v>
      </c>
      <c r="M43" s="2765"/>
      <c r="N43" s="2109" t="s">
        <v>669</v>
      </c>
      <c r="O43" s="2722"/>
      <c r="P43" s="2109" t="s">
        <v>669</v>
      </c>
      <c r="Q43" s="2722"/>
      <c r="R43" s="2109" t="s">
        <v>669</v>
      </c>
      <c r="S43" s="2722"/>
      <c r="T43" s="2109" t="s">
        <v>669</v>
      </c>
      <c r="U43" s="2722"/>
      <c r="V43" s="2109"/>
      <c r="W43" s="2722"/>
      <c r="X43" s="2109"/>
      <c r="Y43" s="2722"/>
      <c r="Z43" s="2109"/>
      <c r="AA43" s="2722"/>
    </row>
    <row r="44" spans="1:27" s="77" customFormat="1" x14ac:dyDescent="0.35">
      <c r="A44" s="2727"/>
      <c r="B44" s="2772" t="s">
        <v>3072</v>
      </c>
      <c r="C44" s="2236"/>
      <c r="D44" s="2357"/>
      <c r="E44" s="2341"/>
      <c r="F44" s="2773"/>
      <c r="G44" s="2770"/>
      <c r="H44" s="2109" t="s">
        <v>669</v>
      </c>
      <c r="I44" s="2765"/>
      <c r="J44" s="2109" t="s">
        <v>669</v>
      </c>
      <c r="K44" s="2765"/>
      <c r="L44" s="2109" t="s">
        <v>669</v>
      </c>
      <c r="M44" s="2765"/>
      <c r="N44" s="2109" t="s">
        <v>669</v>
      </c>
      <c r="O44" s="2722"/>
      <c r="P44" s="2109" t="s">
        <v>669</v>
      </c>
      <c r="Q44" s="2722"/>
      <c r="R44" s="2109" t="s">
        <v>669</v>
      </c>
      <c r="S44" s="2722"/>
      <c r="T44" s="2109" t="s">
        <v>669</v>
      </c>
      <c r="U44" s="2722"/>
      <c r="V44" s="2109"/>
      <c r="W44" s="2722"/>
      <c r="X44" s="2109"/>
      <c r="Y44" s="2722"/>
      <c r="Z44" s="2109"/>
      <c r="AA44" s="2722"/>
    </row>
    <row r="45" spans="1:27" s="77" customFormat="1" x14ac:dyDescent="0.35">
      <c r="A45" s="2727"/>
      <c r="B45" s="2772" t="s">
        <v>3073</v>
      </c>
      <c r="C45" s="2236"/>
      <c r="D45" s="2357"/>
      <c r="E45" s="2341"/>
      <c r="F45" s="2773"/>
      <c r="G45" s="2770"/>
      <c r="H45" s="2109" t="s">
        <v>669</v>
      </c>
      <c r="I45" s="2765"/>
      <c r="J45" s="2109" t="s">
        <v>669</v>
      </c>
      <c r="K45" s="2765"/>
      <c r="L45" s="2109" t="s">
        <v>669</v>
      </c>
      <c r="M45" s="2765"/>
      <c r="N45" s="2109" t="s">
        <v>669</v>
      </c>
      <c r="O45" s="2722"/>
      <c r="P45" s="2109" t="s">
        <v>669</v>
      </c>
      <c r="Q45" s="2722"/>
      <c r="R45" s="2109" t="s">
        <v>669</v>
      </c>
      <c r="S45" s="2722"/>
      <c r="T45" s="2109" t="s">
        <v>669</v>
      </c>
      <c r="U45" s="2722"/>
      <c r="V45" s="2109"/>
      <c r="W45" s="2722"/>
      <c r="X45" s="2109"/>
      <c r="Y45" s="2722"/>
      <c r="Z45" s="2109"/>
      <c r="AA45" s="2722"/>
    </row>
    <row r="46" spans="1:27" s="77" customFormat="1" x14ac:dyDescent="0.35">
      <c r="A46" s="2727"/>
      <c r="B46" s="2772" t="s">
        <v>3074</v>
      </c>
      <c r="C46" s="2236"/>
      <c r="D46" s="2357"/>
      <c r="E46" s="2341"/>
      <c r="F46" s="2773"/>
      <c r="G46" s="2770"/>
      <c r="H46" s="2109" t="s">
        <v>669</v>
      </c>
      <c r="I46" s="2765"/>
      <c r="J46" s="2109" t="s">
        <v>669</v>
      </c>
      <c r="K46" s="2765"/>
      <c r="L46" s="2109" t="s">
        <v>669</v>
      </c>
      <c r="M46" s="2765"/>
      <c r="N46" s="2109" t="s">
        <v>669</v>
      </c>
      <c r="O46" s="2722"/>
      <c r="P46" s="2109" t="s">
        <v>669</v>
      </c>
      <c r="Q46" s="2722"/>
      <c r="R46" s="2109" t="s">
        <v>669</v>
      </c>
      <c r="S46" s="2722"/>
      <c r="T46" s="2109" t="s">
        <v>669</v>
      </c>
      <c r="U46" s="2722"/>
      <c r="V46" s="2109"/>
      <c r="W46" s="2722"/>
      <c r="X46" s="2109"/>
      <c r="Y46" s="2722"/>
      <c r="Z46" s="2109"/>
      <c r="AA46" s="2722"/>
    </row>
    <row r="47" spans="1:27" s="77" customFormat="1" x14ac:dyDescent="0.35">
      <c r="A47" s="2727"/>
      <c r="B47" s="2772" t="s">
        <v>3075</v>
      </c>
      <c r="C47" s="2236"/>
      <c r="D47" s="2357"/>
      <c r="E47" s="2341"/>
      <c r="F47" s="2773"/>
      <c r="G47" s="2770"/>
      <c r="H47" s="2109" t="s">
        <v>669</v>
      </c>
      <c r="I47" s="2765"/>
      <c r="J47" s="2109" t="s">
        <v>669</v>
      </c>
      <c r="K47" s="2765"/>
      <c r="L47" s="2109" t="s">
        <v>669</v>
      </c>
      <c r="M47" s="2765"/>
      <c r="N47" s="2109" t="s">
        <v>669</v>
      </c>
      <c r="O47" s="2722"/>
      <c r="P47" s="2109" t="s">
        <v>669</v>
      </c>
      <c r="Q47" s="2722"/>
      <c r="R47" s="2109" t="s">
        <v>669</v>
      </c>
      <c r="S47" s="2774"/>
      <c r="T47" s="2109" t="s">
        <v>669</v>
      </c>
      <c r="U47" s="2774"/>
      <c r="V47" s="2109"/>
      <c r="W47" s="2722"/>
      <c r="X47" s="2109"/>
      <c r="Y47" s="2722"/>
      <c r="Z47" s="2109"/>
      <c r="AA47" s="2722"/>
    </row>
    <row r="48" spans="1:27" s="77" customFormat="1" x14ac:dyDescent="0.35">
      <c r="A48" s="2727"/>
      <c r="B48" s="2772" t="s">
        <v>3076</v>
      </c>
      <c r="C48" s="2236"/>
      <c r="D48" s="2357"/>
      <c r="E48" s="2341"/>
      <c r="F48" s="2773"/>
      <c r="G48" s="2770"/>
      <c r="H48" s="2109"/>
      <c r="I48" s="2765"/>
      <c r="J48" s="2109"/>
      <c r="K48" s="2765"/>
      <c r="L48" s="2109"/>
      <c r="M48" s="2765"/>
      <c r="N48" s="2109"/>
      <c r="O48" s="2722"/>
      <c r="P48" s="2109"/>
      <c r="Q48" s="2722"/>
      <c r="R48" s="2109"/>
      <c r="S48" s="2774"/>
      <c r="T48" s="2109"/>
      <c r="U48" s="2774"/>
      <c r="V48" s="2109"/>
      <c r="W48" s="2722"/>
      <c r="X48" s="2109"/>
      <c r="Y48" s="2722"/>
      <c r="Z48" s="2109"/>
      <c r="AA48" s="2722"/>
    </row>
    <row r="49" spans="1:27" s="77" customFormat="1" x14ac:dyDescent="0.35">
      <c r="A49" s="2727"/>
      <c r="B49" s="2772"/>
      <c r="C49" s="2236"/>
      <c r="D49" s="2357"/>
      <c r="E49" s="2341"/>
      <c r="F49" s="2773"/>
      <c r="G49" s="2770"/>
      <c r="H49" s="2109"/>
      <c r="I49" s="2765"/>
      <c r="J49" s="2109"/>
      <c r="K49" s="2765"/>
      <c r="L49" s="2109"/>
      <c r="M49" s="2765"/>
      <c r="N49" s="2109"/>
      <c r="O49" s="2722"/>
      <c r="P49" s="2109"/>
      <c r="Q49" s="2722"/>
      <c r="R49" s="2109"/>
      <c r="S49" s="2774"/>
      <c r="T49" s="2109"/>
      <c r="U49" s="2774"/>
      <c r="V49" s="2109"/>
      <c r="W49" s="2722"/>
      <c r="X49" s="2109"/>
      <c r="Y49" s="2722"/>
      <c r="Z49" s="2109"/>
      <c r="AA49" s="2722"/>
    </row>
    <row r="50" spans="1:27" s="77" customFormat="1" x14ac:dyDescent="0.35">
      <c r="A50" s="2727"/>
      <c r="B50" s="2359" t="s">
        <v>3077</v>
      </c>
      <c r="C50" s="2236"/>
      <c r="D50" s="2357"/>
      <c r="E50" s="2341"/>
      <c r="F50" s="2773"/>
      <c r="G50" s="2770"/>
      <c r="H50" s="2109" t="s">
        <v>669</v>
      </c>
      <c r="I50" s="2765"/>
      <c r="J50" s="2109" t="s">
        <v>669</v>
      </c>
      <c r="K50" s="2765"/>
      <c r="L50" s="2109" t="s">
        <v>669</v>
      </c>
      <c r="M50" s="2765"/>
      <c r="N50" s="2109" t="s">
        <v>669</v>
      </c>
      <c r="O50" s="2722"/>
      <c r="P50" s="2109" t="s">
        <v>669</v>
      </c>
      <c r="Q50" s="2722"/>
      <c r="R50" s="2109" t="s">
        <v>669</v>
      </c>
      <c r="S50" s="2774">
        <f>184200*3</f>
        <v>552600</v>
      </c>
      <c r="T50" s="2109" t="s">
        <v>669</v>
      </c>
      <c r="U50" s="2774">
        <f>174051*3</f>
        <v>522153</v>
      </c>
      <c r="V50" s="2109"/>
      <c r="W50" s="2722"/>
      <c r="X50" s="2109"/>
      <c r="Y50" s="2722"/>
      <c r="Z50" s="2109"/>
      <c r="AA50" s="2722"/>
    </row>
    <row r="51" spans="1:27" s="77" customFormat="1" x14ac:dyDescent="0.35">
      <c r="A51" s="2727"/>
      <c r="B51" s="2340" t="s">
        <v>3078</v>
      </c>
      <c r="C51" s="2236"/>
      <c r="D51" s="2357">
        <v>3</v>
      </c>
      <c r="E51" s="2341"/>
      <c r="F51" s="2773"/>
      <c r="G51" s="2770"/>
      <c r="H51" s="2109" t="s">
        <v>669</v>
      </c>
      <c r="I51" s="2765"/>
      <c r="J51" s="2109" t="s">
        <v>669</v>
      </c>
      <c r="K51" s="2765"/>
      <c r="L51" s="2109" t="s">
        <v>669</v>
      </c>
      <c r="M51" s="2765"/>
      <c r="N51" s="2109" t="s">
        <v>669</v>
      </c>
      <c r="O51" s="2765"/>
      <c r="P51" s="2109" t="s">
        <v>669</v>
      </c>
      <c r="Q51" s="2765"/>
      <c r="R51" s="2109" t="s">
        <v>669</v>
      </c>
      <c r="S51" s="2774"/>
      <c r="T51" s="2109" t="s">
        <v>669</v>
      </c>
      <c r="U51" s="2774"/>
      <c r="V51" s="2109"/>
      <c r="W51" s="2722">
        <f>O51</f>
        <v>0</v>
      </c>
      <c r="X51" s="2109"/>
      <c r="Y51" s="2722"/>
      <c r="Z51" s="2109"/>
      <c r="AA51" s="2722"/>
    </row>
    <row r="52" spans="1:27" s="77" customFormat="1" x14ac:dyDescent="0.35">
      <c r="A52" s="2727"/>
      <c r="B52" s="2340" t="s">
        <v>3079</v>
      </c>
      <c r="C52" s="2236"/>
      <c r="D52" s="2357"/>
      <c r="E52" s="2341"/>
      <c r="F52" s="2773"/>
      <c r="G52" s="2770"/>
      <c r="H52" s="2109"/>
      <c r="I52" s="2765"/>
      <c r="J52" s="2109"/>
      <c r="K52" s="2765"/>
      <c r="L52" s="2109" t="s">
        <v>669</v>
      </c>
      <c r="M52" s="2765"/>
      <c r="N52" s="2109"/>
      <c r="O52" s="2765"/>
      <c r="P52" s="2109"/>
      <c r="Q52" s="2765"/>
      <c r="R52" s="2109"/>
      <c r="S52" s="2774"/>
      <c r="T52" s="2109"/>
      <c r="U52" s="2774"/>
      <c r="V52" s="2109"/>
      <c r="W52" s="2722"/>
      <c r="X52" s="2109"/>
      <c r="Y52" s="2722"/>
      <c r="Z52" s="2109"/>
      <c r="AA52" s="2722"/>
    </row>
    <row r="53" spans="1:27" s="77" customFormat="1" x14ac:dyDescent="0.35">
      <c r="A53" s="2727"/>
      <c r="B53" s="2340" t="s">
        <v>3080</v>
      </c>
      <c r="C53" s="2236"/>
      <c r="D53" s="2357"/>
      <c r="E53" s="2341"/>
      <c r="F53" s="2773"/>
      <c r="G53" s="2770"/>
      <c r="H53" s="2109"/>
      <c r="I53" s="2765"/>
      <c r="J53" s="2109"/>
      <c r="K53" s="2765"/>
      <c r="L53" s="2109" t="s">
        <v>669</v>
      </c>
      <c r="M53" s="2765">
        <f>5*210*3</f>
        <v>3150</v>
      </c>
      <c r="N53" s="2109"/>
      <c r="O53" s="2765"/>
      <c r="P53" s="2109"/>
      <c r="Q53" s="2765"/>
      <c r="R53" s="2109"/>
      <c r="S53" s="2774"/>
      <c r="T53" s="2109"/>
      <c r="U53" s="2774"/>
      <c r="V53" s="2109"/>
      <c r="W53" s="2722"/>
      <c r="X53" s="2109"/>
      <c r="Y53" s="2722"/>
      <c r="Z53" s="2109"/>
      <c r="AA53" s="2722"/>
    </row>
    <row r="54" spans="1:27" s="77" customFormat="1" ht="23.25" customHeight="1" x14ac:dyDescent="0.35">
      <c r="A54" s="2727"/>
      <c r="B54" s="2340" t="s">
        <v>3081</v>
      </c>
      <c r="C54" s="2236"/>
      <c r="D54" s="2357"/>
      <c r="E54" s="2341"/>
      <c r="F54" s="2773"/>
      <c r="G54" s="2770"/>
      <c r="H54" s="2109" t="s">
        <v>669</v>
      </c>
      <c r="I54" s="2765">
        <v>30000</v>
      </c>
      <c r="J54" s="2109" t="s">
        <v>669</v>
      </c>
      <c r="K54" s="2765">
        <f>(15*210*3)+(3*3*3000)+(3500*3)</f>
        <v>46950</v>
      </c>
      <c r="L54" s="2109" t="s">
        <v>669</v>
      </c>
      <c r="M54" s="2765">
        <f>(3*3*3000)+(3500*3)</f>
        <v>37500</v>
      </c>
      <c r="N54" s="2109" t="s">
        <v>669</v>
      </c>
      <c r="O54" s="2765">
        <v>30000</v>
      </c>
      <c r="P54" s="2109" t="s">
        <v>669</v>
      </c>
      <c r="Q54" s="2765">
        <f>(15*220*3)+(3*3*3000)+(3500*3)</f>
        <v>47400</v>
      </c>
      <c r="R54" s="2109" t="s">
        <v>669</v>
      </c>
      <c r="S54" s="2774"/>
      <c r="T54" s="2109" t="s">
        <v>669</v>
      </c>
      <c r="U54" s="2774"/>
      <c r="V54" s="2109"/>
      <c r="W54" s="2722"/>
      <c r="X54" s="2109"/>
      <c r="Y54" s="2722"/>
      <c r="Z54" s="2109"/>
      <c r="AA54" s="2722"/>
    </row>
    <row r="55" spans="1:27" s="77" customFormat="1" x14ac:dyDescent="0.35">
      <c r="A55" s="2727"/>
      <c r="B55" s="2340" t="s">
        <v>3082</v>
      </c>
      <c r="C55" s="2236"/>
      <c r="D55" s="2357"/>
      <c r="E55" s="2341"/>
      <c r="F55" s="2773"/>
      <c r="G55" s="2770"/>
      <c r="H55" s="2038" t="s">
        <v>654</v>
      </c>
      <c r="I55" s="2765">
        <v>30000</v>
      </c>
      <c r="J55" s="2038" t="s">
        <v>654</v>
      </c>
      <c r="K55" s="2765">
        <v>30000</v>
      </c>
      <c r="L55" s="2038" t="s">
        <v>654</v>
      </c>
      <c r="M55" s="2765">
        <v>30000</v>
      </c>
      <c r="N55" s="2038" t="s">
        <v>654</v>
      </c>
      <c r="O55" s="2765">
        <v>30000</v>
      </c>
      <c r="P55" s="2038" t="s">
        <v>654</v>
      </c>
      <c r="Q55" s="2765">
        <v>30000</v>
      </c>
      <c r="R55" s="2038" t="s">
        <v>654</v>
      </c>
      <c r="S55" s="2765">
        <v>30000</v>
      </c>
      <c r="T55" s="2038" t="s">
        <v>654</v>
      </c>
      <c r="U55" s="2765">
        <v>30000</v>
      </c>
      <c r="V55" s="2109"/>
      <c r="W55" s="2722"/>
      <c r="X55" s="2109"/>
      <c r="Y55" s="2722"/>
      <c r="Z55" s="2109"/>
      <c r="AA55" s="2722"/>
    </row>
    <row r="56" spans="1:27" s="77" customFormat="1" x14ac:dyDescent="0.35">
      <c r="A56" s="2727"/>
      <c r="B56" s="2340"/>
      <c r="C56" s="2236"/>
      <c r="D56" s="2357"/>
      <c r="E56" s="2341"/>
      <c r="F56" s="2773"/>
      <c r="G56" s="2770"/>
      <c r="H56" s="2109"/>
      <c r="I56" s="2765"/>
      <c r="J56" s="2109"/>
      <c r="K56" s="2765"/>
      <c r="L56" s="2109"/>
      <c r="M56" s="2765"/>
      <c r="N56" s="2109"/>
      <c r="O56" s="2765"/>
      <c r="P56" s="2109"/>
      <c r="Q56" s="2765"/>
      <c r="R56" s="2109"/>
      <c r="S56" s="2774"/>
      <c r="T56" s="2109"/>
      <c r="U56" s="2774"/>
      <c r="V56" s="2109"/>
      <c r="W56" s="2722"/>
      <c r="X56" s="2109"/>
      <c r="Y56" s="2722"/>
      <c r="Z56" s="2109"/>
      <c r="AA56" s="2722"/>
    </row>
    <row r="57" spans="1:27" s="77" customFormat="1" x14ac:dyDescent="0.35">
      <c r="A57" s="2727"/>
      <c r="B57" s="2359" t="s">
        <v>3083</v>
      </c>
      <c r="C57" s="2236"/>
      <c r="D57" s="2357"/>
      <c r="E57" s="2341"/>
      <c r="F57" s="2773"/>
      <c r="G57" s="2770"/>
      <c r="H57" s="2109" t="s">
        <v>669</v>
      </c>
      <c r="I57" s="2765"/>
      <c r="J57" s="2109" t="s">
        <v>669</v>
      </c>
      <c r="K57" s="2765"/>
      <c r="L57" s="2109" t="s">
        <v>669</v>
      </c>
      <c r="M57" s="2765"/>
      <c r="N57" s="2109" t="s">
        <v>669</v>
      </c>
      <c r="O57" s="2765"/>
      <c r="P57" s="2109" t="s">
        <v>669</v>
      </c>
      <c r="Q57" s="2765"/>
      <c r="R57" s="2109" t="s">
        <v>669</v>
      </c>
      <c r="S57" s="2774">
        <f>368400*2</f>
        <v>736800</v>
      </c>
      <c r="T57" s="2109" t="s">
        <v>669</v>
      </c>
      <c r="U57" s="2774">
        <f>174051*4</f>
        <v>696204</v>
      </c>
      <c r="V57" s="2109"/>
      <c r="W57" s="2722"/>
      <c r="X57" s="2109"/>
      <c r="Y57" s="2722"/>
      <c r="Z57" s="2109"/>
      <c r="AA57" s="2722"/>
    </row>
    <row r="58" spans="1:27" s="77" customFormat="1" x14ac:dyDescent="0.35">
      <c r="A58" s="2727"/>
      <c r="B58" s="2340" t="s">
        <v>3078</v>
      </c>
      <c r="C58" s="2236"/>
      <c r="D58" s="2357">
        <v>4</v>
      </c>
      <c r="E58" s="2341"/>
      <c r="F58" s="2773"/>
      <c r="G58" s="2770"/>
      <c r="H58" s="2109" t="s">
        <v>669</v>
      </c>
      <c r="I58" s="2765"/>
      <c r="J58" s="2109" t="s">
        <v>669</v>
      </c>
      <c r="K58" s="2765"/>
      <c r="L58" s="2109" t="s">
        <v>669</v>
      </c>
      <c r="M58" s="2765"/>
      <c r="N58" s="2109" t="s">
        <v>669</v>
      </c>
      <c r="O58" s="2765"/>
      <c r="P58" s="2109" t="s">
        <v>669</v>
      </c>
      <c r="Q58" s="2765"/>
      <c r="R58" s="2109" t="s">
        <v>669</v>
      </c>
      <c r="S58" s="2774"/>
      <c r="T58" s="2109" t="s">
        <v>669</v>
      </c>
      <c r="U58" s="2774"/>
      <c r="V58" s="2109"/>
      <c r="W58" s="2722">
        <f>O58</f>
        <v>0</v>
      </c>
      <c r="X58" s="2109"/>
      <c r="Y58" s="2722"/>
      <c r="Z58" s="2109"/>
      <c r="AA58" s="2722"/>
    </row>
    <row r="59" spans="1:27" s="77" customFormat="1" x14ac:dyDescent="0.35">
      <c r="A59" s="2727"/>
      <c r="B59" s="2340" t="s">
        <v>3079</v>
      </c>
      <c r="C59" s="2236"/>
      <c r="D59" s="2357"/>
      <c r="E59" s="2341"/>
      <c r="F59" s="2773"/>
      <c r="G59" s="2770"/>
      <c r="H59" s="2109"/>
      <c r="I59" s="2765"/>
      <c r="J59" s="2109"/>
      <c r="K59" s="2765"/>
      <c r="L59" s="2109" t="s">
        <v>669</v>
      </c>
      <c r="M59" s="2765"/>
      <c r="N59" s="2109"/>
      <c r="O59" s="2765"/>
      <c r="P59" s="2109"/>
      <c r="Q59" s="2765"/>
      <c r="R59" s="2109"/>
      <c r="S59" s="2774"/>
      <c r="T59" s="2109"/>
      <c r="U59" s="2774"/>
      <c r="V59" s="2109"/>
      <c r="W59" s="2722"/>
      <c r="X59" s="2109"/>
      <c r="Y59" s="2722"/>
      <c r="Z59" s="2109"/>
      <c r="AA59" s="2722"/>
    </row>
    <row r="60" spans="1:27" s="77" customFormat="1" x14ac:dyDescent="0.35">
      <c r="A60" s="2727"/>
      <c r="B60" s="2340" t="s">
        <v>3080</v>
      </c>
      <c r="C60" s="2236"/>
      <c r="D60" s="2357"/>
      <c r="E60" s="2341"/>
      <c r="F60" s="2773"/>
      <c r="G60" s="2770"/>
      <c r="H60" s="2109"/>
      <c r="I60" s="2765"/>
      <c r="J60" s="2109"/>
      <c r="K60" s="2765"/>
      <c r="L60" s="2109" t="s">
        <v>669</v>
      </c>
      <c r="M60" s="2765">
        <f>5*210*2</f>
        <v>2100</v>
      </c>
      <c r="N60" s="2109"/>
      <c r="O60" s="2765"/>
      <c r="P60" s="2109"/>
      <c r="Q60" s="2765"/>
      <c r="R60" s="2109"/>
      <c r="S60" s="2774"/>
      <c r="T60" s="2109"/>
      <c r="U60" s="2774"/>
      <c r="V60" s="2109"/>
      <c r="W60" s="2722"/>
      <c r="X60" s="2109"/>
      <c r="Y60" s="2722"/>
      <c r="Z60" s="2109"/>
      <c r="AA60" s="2722"/>
    </row>
    <row r="61" spans="1:27" s="77" customFormat="1" ht="24" customHeight="1" x14ac:dyDescent="0.35">
      <c r="A61" s="2727"/>
      <c r="B61" s="2340" t="s">
        <v>3084</v>
      </c>
      <c r="C61" s="2236"/>
      <c r="D61" s="2357"/>
      <c r="E61" s="2341"/>
      <c r="F61" s="2773"/>
      <c r="G61" s="2770"/>
      <c r="H61" s="2109" t="s">
        <v>669</v>
      </c>
      <c r="I61" s="2765">
        <v>20000</v>
      </c>
      <c r="J61" s="2109" t="s">
        <v>669</v>
      </c>
      <c r="K61" s="2765">
        <f>(15*210*2)+(2*3*3000)+(3500*2)</f>
        <v>31300</v>
      </c>
      <c r="L61" s="2109" t="s">
        <v>669</v>
      </c>
      <c r="M61" s="2765">
        <f>(2*3*3000)+(3500*2)</f>
        <v>25000</v>
      </c>
      <c r="N61" s="2109" t="s">
        <v>669</v>
      </c>
      <c r="O61" s="2765">
        <v>20000</v>
      </c>
      <c r="P61" s="2109" t="s">
        <v>669</v>
      </c>
      <c r="Q61" s="2765">
        <f>(15*220*2)+(2*3*3000)+(3500*2)</f>
        <v>31600</v>
      </c>
      <c r="R61" s="2109" t="s">
        <v>669</v>
      </c>
      <c r="S61" s="2774"/>
      <c r="T61" s="2109" t="s">
        <v>669</v>
      </c>
      <c r="U61" s="2774"/>
      <c r="V61" s="2109"/>
      <c r="W61" s="2722"/>
      <c r="X61" s="2109"/>
      <c r="Y61" s="2722"/>
      <c r="Z61" s="2109"/>
      <c r="AA61" s="2722"/>
    </row>
    <row r="62" spans="1:27" s="77" customFormat="1" x14ac:dyDescent="0.35">
      <c r="A62" s="2727"/>
      <c r="B62" s="2340" t="s">
        <v>3082</v>
      </c>
      <c r="C62" s="2236"/>
      <c r="D62" s="2357"/>
      <c r="E62" s="2341"/>
      <c r="F62" s="2773"/>
      <c r="G62" s="2770"/>
      <c r="H62" s="2038" t="s">
        <v>654</v>
      </c>
      <c r="I62" s="2765">
        <v>40000</v>
      </c>
      <c r="J62" s="2038" t="s">
        <v>654</v>
      </c>
      <c r="K62" s="2765">
        <v>40000</v>
      </c>
      <c r="L62" s="2038" t="s">
        <v>654</v>
      </c>
      <c r="M62" s="2765">
        <v>40000</v>
      </c>
      <c r="N62" s="2038" t="s">
        <v>654</v>
      </c>
      <c r="O62" s="2765">
        <v>40000</v>
      </c>
      <c r="P62" s="2038" t="s">
        <v>654</v>
      </c>
      <c r="Q62" s="2765">
        <v>40000</v>
      </c>
      <c r="R62" s="2038" t="s">
        <v>654</v>
      </c>
      <c r="S62" s="2765">
        <v>40000</v>
      </c>
      <c r="T62" s="2038" t="s">
        <v>654</v>
      </c>
      <c r="U62" s="2765">
        <v>40000</v>
      </c>
      <c r="V62" s="2109"/>
      <c r="W62" s="2722"/>
      <c r="X62" s="2109"/>
      <c r="Y62" s="2722"/>
      <c r="Z62" s="2109"/>
      <c r="AA62" s="2722"/>
    </row>
    <row r="63" spans="1:27" s="77" customFormat="1" x14ac:dyDescent="0.35">
      <c r="A63" s="2727"/>
      <c r="B63" s="2340"/>
      <c r="C63" s="2236"/>
      <c r="D63" s="2357"/>
      <c r="E63" s="2341"/>
      <c r="F63" s="2773"/>
      <c r="G63" s="2770"/>
      <c r="H63" s="2109"/>
      <c r="I63" s="2765"/>
      <c r="J63" s="2109"/>
      <c r="K63" s="2765"/>
      <c r="L63" s="2109"/>
      <c r="M63" s="2765"/>
      <c r="N63" s="2109"/>
      <c r="O63" s="2765"/>
      <c r="P63" s="2109"/>
      <c r="Q63" s="2765"/>
      <c r="R63" s="2109"/>
      <c r="S63" s="2774"/>
      <c r="T63" s="2109"/>
      <c r="U63" s="2774"/>
      <c r="V63" s="2109"/>
      <c r="W63" s="2722"/>
      <c r="X63" s="2109"/>
      <c r="Y63" s="2722"/>
      <c r="Z63" s="2109"/>
      <c r="AA63" s="2722"/>
    </row>
    <row r="64" spans="1:27" s="77" customFormat="1" x14ac:dyDescent="0.35">
      <c r="A64" s="2727"/>
      <c r="B64" s="2359" t="s">
        <v>3085</v>
      </c>
      <c r="C64" s="2236"/>
      <c r="D64" s="2357"/>
      <c r="E64" s="2341"/>
      <c r="F64" s="2773"/>
      <c r="G64" s="2770"/>
      <c r="H64" s="2109"/>
      <c r="I64" s="2765"/>
      <c r="J64" s="2109"/>
      <c r="K64" s="2765"/>
      <c r="L64" s="2109"/>
      <c r="M64" s="2765"/>
      <c r="N64" s="2109"/>
      <c r="O64" s="2765"/>
      <c r="P64" s="2109"/>
      <c r="Q64" s="2765"/>
      <c r="R64" s="2109"/>
      <c r="S64" s="2774">
        <v>368400</v>
      </c>
      <c r="T64" s="2109"/>
      <c r="U64" s="2774">
        <f>169146*2</f>
        <v>338292</v>
      </c>
      <c r="V64" s="2109"/>
      <c r="W64" s="2722"/>
      <c r="X64" s="2109"/>
      <c r="Y64" s="2722"/>
      <c r="Z64" s="2109"/>
      <c r="AA64" s="2722"/>
    </row>
    <row r="65" spans="1:27" s="77" customFormat="1" x14ac:dyDescent="0.35">
      <c r="A65" s="2727"/>
      <c r="B65" s="2340" t="s">
        <v>3078</v>
      </c>
      <c r="C65" s="2236"/>
      <c r="D65" s="2357">
        <v>2</v>
      </c>
      <c r="E65" s="2341"/>
      <c r="F65" s="2773"/>
      <c r="G65" s="2770"/>
      <c r="H65" s="2109" t="s">
        <v>669</v>
      </c>
      <c r="I65" s="2765"/>
      <c r="J65" s="2109" t="s">
        <v>669</v>
      </c>
      <c r="K65" s="2765"/>
      <c r="L65" s="2109" t="s">
        <v>669</v>
      </c>
      <c r="M65" s="2765"/>
      <c r="N65" s="2109" t="s">
        <v>669</v>
      </c>
      <c r="O65" s="2765"/>
      <c r="P65" s="2109" t="s">
        <v>669</v>
      </c>
      <c r="Q65" s="2765"/>
      <c r="R65" s="2109" t="s">
        <v>669</v>
      </c>
      <c r="S65" s="2774"/>
      <c r="T65" s="2109" t="s">
        <v>669</v>
      </c>
      <c r="U65" s="2774"/>
      <c r="V65" s="2109"/>
      <c r="W65" s="2722">
        <f>O65</f>
        <v>0</v>
      </c>
      <c r="X65" s="2109"/>
      <c r="Y65" s="2722"/>
      <c r="Z65" s="2109"/>
      <c r="AA65" s="2722"/>
    </row>
    <row r="66" spans="1:27" s="77" customFormat="1" x14ac:dyDescent="0.35">
      <c r="A66" s="2727"/>
      <c r="B66" s="2340" t="s">
        <v>3079</v>
      </c>
      <c r="C66" s="2236"/>
      <c r="D66" s="2357"/>
      <c r="E66" s="2341"/>
      <c r="F66" s="2773"/>
      <c r="G66" s="2770"/>
      <c r="H66" s="2109"/>
      <c r="I66" s="2765"/>
      <c r="J66" s="2109"/>
      <c r="K66" s="2765"/>
      <c r="L66" s="2109" t="s">
        <v>669</v>
      </c>
      <c r="M66" s="2765"/>
      <c r="N66" s="2109"/>
      <c r="O66" s="2765"/>
      <c r="P66" s="2109"/>
      <c r="Q66" s="2765"/>
      <c r="R66" s="2109"/>
      <c r="S66" s="2774"/>
      <c r="T66" s="2109"/>
      <c r="U66" s="2774"/>
      <c r="V66" s="2109"/>
      <c r="W66" s="2722"/>
      <c r="X66" s="2109"/>
      <c r="Y66" s="2722"/>
      <c r="Z66" s="2109"/>
      <c r="AA66" s="2722"/>
    </row>
    <row r="67" spans="1:27" s="77" customFormat="1" x14ac:dyDescent="0.35">
      <c r="A67" s="2727"/>
      <c r="B67" s="2340" t="s">
        <v>3080</v>
      </c>
      <c r="C67" s="2236"/>
      <c r="D67" s="2357"/>
      <c r="E67" s="2341"/>
      <c r="F67" s="2773"/>
      <c r="G67" s="2770"/>
      <c r="H67" s="2109"/>
      <c r="I67" s="2765"/>
      <c r="J67" s="2109"/>
      <c r="K67" s="2765"/>
      <c r="L67" s="2109" t="s">
        <v>669</v>
      </c>
      <c r="M67" s="2765">
        <f>5*210*1</f>
        <v>1050</v>
      </c>
      <c r="N67" s="2109"/>
      <c r="O67" s="2765"/>
      <c r="P67" s="2109"/>
      <c r="Q67" s="2765"/>
      <c r="R67" s="2109"/>
      <c r="S67" s="2774"/>
      <c r="T67" s="2109"/>
      <c r="U67" s="2774"/>
      <c r="V67" s="2109"/>
      <c r="W67" s="2722"/>
      <c r="X67" s="2109"/>
      <c r="Y67" s="2722"/>
      <c r="Z67" s="2109"/>
      <c r="AA67" s="2722"/>
    </row>
    <row r="68" spans="1:27" s="77" customFormat="1" ht="21" customHeight="1" x14ac:dyDescent="0.35">
      <c r="A68" s="2727"/>
      <c r="B68" s="2340" t="s">
        <v>3086</v>
      </c>
      <c r="C68" s="2236"/>
      <c r="D68" s="2357"/>
      <c r="E68" s="2341"/>
      <c r="F68" s="2773"/>
      <c r="G68" s="2770"/>
      <c r="H68" s="2109" t="s">
        <v>669</v>
      </c>
      <c r="I68" s="2765">
        <v>10000</v>
      </c>
      <c r="J68" s="2109" t="s">
        <v>669</v>
      </c>
      <c r="K68" s="2765">
        <f>(15*220*1)+(1*3*3000)+(3500*1)</f>
        <v>15800</v>
      </c>
      <c r="L68" s="2109" t="s">
        <v>669</v>
      </c>
      <c r="M68" s="2765">
        <f>(1*3*3000)+(3500*1)</f>
        <v>12500</v>
      </c>
      <c r="N68" s="2109" t="s">
        <v>669</v>
      </c>
      <c r="O68" s="2765">
        <v>10000</v>
      </c>
      <c r="P68" s="2109" t="s">
        <v>669</v>
      </c>
      <c r="Q68" s="2765">
        <f>(15*220*1)+(1*3*3000)+(3500*1)</f>
        <v>15800</v>
      </c>
      <c r="R68" s="2109" t="s">
        <v>669</v>
      </c>
      <c r="S68" s="2774"/>
      <c r="T68" s="2109" t="s">
        <v>669</v>
      </c>
      <c r="U68" s="2774"/>
      <c r="V68" s="2109"/>
      <c r="W68" s="2722"/>
      <c r="X68" s="2109"/>
      <c r="Y68" s="2722"/>
      <c r="Z68" s="2109"/>
      <c r="AA68" s="2722"/>
    </row>
    <row r="69" spans="1:27" s="77" customFormat="1" x14ac:dyDescent="0.35">
      <c r="A69" s="2727"/>
      <c r="B69" s="2340" t="s">
        <v>3082</v>
      </c>
      <c r="C69" s="2236"/>
      <c r="D69" s="2357"/>
      <c r="E69" s="2341"/>
      <c r="F69" s="2773"/>
      <c r="G69" s="2770"/>
      <c r="H69" s="2038" t="s">
        <v>654</v>
      </c>
      <c r="I69" s="2765">
        <v>20000</v>
      </c>
      <c r="J69" s="2038" t="s">
        <v>654</v>
      </c>
      <c r="K69" s="2765">
        <v>20000</v>
      </c>
      <c r="L69" s="2038" t="s">
        <v>654</v>
      </c>
      <c r="M69" s="2765">
        <v>20000</v>
      </c>
      <c r="N69" s="2038" t="s">
        <v>654</v>
      </c>
      <c r="O69" s="2765">
        <v>20000</v>
      </c>
      <c r="P69" s="2038" t="s">
        <v>654</v>
      </c>
      <c r="Q69" s="2765">
        <v>20000</v>
      </c>
      <c r="R69" s="2038" t="s">
        <v>654</v>
      </c>
      <c r="S69" s="2765">
        <v>20000</v>
      </c>
      <c r="T69" s="2038" t="s">
        <v>654</v>
      </c>
      <c r="U69" s="2765">
        <v>20000</v>
      </c>
      <c r="V69" s="2109"/>
      <c r="W69" s="2722"/>
      <c r="X69" s="2109"/>
      <c r="Y69" s="2722"/>
      <c r="Z69" s="2109"/>
      <c r="AA69" s="2722"/>
    </row>
    <row r="70" spans="1:27" s="77" customFormat="1" x14ac:dyDescent="0.35">
      <c r="A70" s="2727"/>
      <c r="B70" s="2340"/>
      <c r="C70" s="2775"/>
      <c r="D70" s="2776"/>
      <c r="E70" s="637"/>
      <c r="F70" s="2777"/>
      <c r="G70" s="2778"/>
      <c r="H70" s="2779"/>
      <c r="I70" s="2765"/>
      <c r="J70" s="2779"/>
      <c r="K70" s="2765"/>
      <c r="L70" s="2779"/>
      <c r="M70" s="2765"/>
      <c r="N70" s="2779"/>
      <c r="O70" s="2765"/>
      <c r="P70" s="2779"/>
      <c r="Q70" s="2765"/>
      <c r="R70" s="2779"/>
      <c r="S70" s="2774"/>
      <c r="T70" s="2779"/>
      <c r="U70" s="2774"/>
      <c r="V70" s="2779"/>
      <c r="W70" s="2722"/>
      <c r="X70" s="2779"/>
      <c r="Y70" s="2722"/>
      <c r="Z70" s="2779"/>
      <c r="AA70" s="2722"/>
    </row>
    <row r="71" spans="1:27" s="77" customFormat="1" x14ac:dyDescent="0.35">
      <c r="A71" s="2727"/>
      <c r="B71" s="2359" t="s">
        <v>3087</v>
      </c>
      <c r="C71" s="2775"/>
      <c r="D71" s="2776"/>
      <c r="E71" s="637"/>
      <c r="F71" s="2777"/>
      <c r="G71" s="2778"/>
      <c r="H71" s="2779" t="s">
        <v>669</v>
      </c>
      <c r="I71" s="2765"/>
      <c r="J71" s="2779" t="s">
        <v>669</v>
      </c>
      <c r="K71" s="2765"/>
      <c r="L71" s="2779" t="s">
        <v>669</v>
      </c>
      <c r="M71" s="2765"/>
      <c r="N71" s="2779" t="s">
        <v>669</v>
      </c>
      <c r="O71" s="2765"/>
      <c r="P71" s="2779" t="s">
        <v>669</v>
      </c>
      <c r="Q71" s="2765"/>
      <c r="R71" s="2779" t="s">
        <v>669</v>
      </c>
      <c r="S71" s="2774">
        <v>129400</v>
      </c>
      <c r="T71" s="2780" t="s">
        <v>669</v>
      </c>
      <c r="U71" s="2774">
        <v>125700</v>
      </c>
      <c r="V71" s="2779"/>
      <c r="W71" s="2722"/>
      <c r="X71" s="2779"/>
      <c r="Y71" s="2722"/>
      <c r="Z71" s="2779"/>
      <c r="AA71" s="2722"/>
    </row>
    <row r="72" spans="1:27" s="77" customFormat="1" x14ac:dyDescent="0.35">
      <c r="A72" s="2727"/>
      <c r="B72" s="2340" t="s">
        <v>3078</v>
      </c>
      <c r="C72" s="2775"/>
      <c r="D72" s="2776">
        <v>1</v>
      </c>
      <c r="E72" s="637"/>
      <c r="F72" s="2777"/>
      <c r="G72" s="2778"/>
      <c r="H72" s="2779" t="s">
        <v>669</v>
      </c>
      <c r="I72" s="2765">
        <v>10000</v>
      </c>
      <c r="J72" s="2779" t="s">
        <v>669</v>
      </c>
      <c r="K72" s="2765">
        <v>10000</v>
      </c>
      <c r="L72" s="2779" t="s">
        <v>669</v>
      </c>
      <c r="M72" s="2765">
        <v>10000</v>
      </c>
      <c r="N72" s="2779" t="s">
        <v>669</v>
      </c>
      <c r="O72" s="2765">
        <v>10000</v>
      </c>
      <c r="P72" s="2779" t="s">
        <v>669</v>
      </c>
      <c r="Q72" s="2765"/>
      <c r="R72" s="2779" t="s">
        <v>669</v>
      </c>
      <c r="S72" s="2774"/>
      <c r="T72" s="2780" t="s">
        <v>669</v>
      </c>
      <c r="U72" s="2774"/>
      <c r="V72" s="2779"/>
      <c r="W72" s="2722"/>
      <c r="X72" s="2779"/>
      <c r="Y72" s="2722"/>
      <c r="Z72" s="2779"/>
      <c r="AA72" s="2722"/>
    </row>
    <row r="73" spans="1:27" s="77" customFormat="1" x14ac:dyDescent="0.35">
      <c r="A73" s="2727"/>
      <c r="B73" s="2340" t="s">
        <v>3088</v>
      </c>
      <c r="C73" s="2775"/>
      <c r="D73" s="2776"/>
      <c r="E73" s="637"/>
      <c r="F73" s="2777"/>
      <c r="G73" s="2778"/>
      <c r="H73" s="2038" t="s">
        <v>654</v>
      </c>
      <c r="I73" s="2765">
        <v>10000</v>
      </c>
      <c r="J73" s="2038" t="s">
        <v>654</v>
      </c>
      <c r="K73" s="2765">
        <v>10000</v>
      </c>
      <c r="L73" s="2038" t="s">
        <v>654</v>
      </c>
      <c r="M73" s="2765">
        <v>10000</v>
      </c>
      <c r="N73" s="2038" t="s">
        <v>654</v>
      </c>
      <c r="O73" s="2765">
        <v>10000</v>
      </c>
      <c r="P73" s="2038" t="s">
        <v>654</v>
      </c>
      <c r="Q73" s="2765">
        <v>10000</v>
      </c>
      <c r="R73" s="2038" t="s">
        <v>654</v>
      </c>
      <c r="S73" s="2765">
        <v>10000</v>
      </c>
      <c r="T73" s="2038" t="s">
        <v>654</v>
      </c>
      <c r="U73" s="2765">
        <v>10000</v>
      </c>
      <c r="V73" s="2779"/>
      <c r="W73" s="2722"/>
      <c r="X73" s="2779"/>
      <c r="Y73" s="2722"/>
      <c r="Z73" s="2779"/>
      <c r="AA73" s="2722"/>
    </row>
    <row r="74" spans="1:27" s="77" customFormat="1" x14ac:dyDescent="0.35">
      <c r="A74" s="2727"/>
      <c r="B74" s="2340" t="s">
        <v>3082</v>
      </c>
      <c r="C74" s="2775"/>
      <c r="D74" s="2776"/>
      <c r="E74" s="637"/>
      <c r="F74" s="2777"/>
      <c r="G74" s="2778"/>
      <c r="H74" s="2779" t="s">
        <v>669</v>
      </c>
      <c r="I74" s="2765"/>
      <c r="J74" s="2779" t="s">
        <v>669</v>
      </c>
      <c r="K74" s="2765"/>
      <c r="L74" s="2779" t="s">
        <v>669</v>
      </c>
      <c r="M74" s="2765"/>
      <c r="N74" s="2779" t="s">
        <v>669</v>
      </c>
      <c r="O74" s="2765"/>
      <c r="P74" s="2779" t="s">
        <v>669</v>
      </c>
      <c r="Q74" s="2765"/>
      <c r="R74" s="2779" t="s">
        <v>669</v>
      </c>
      <c r="S74" s="2774"/>
      <c r="T74" s="2779" t="s">
        <v>669</v>
      </c>
      <c r="U74" s="2774"/>
      <c r="V74" s="2779"/>
      <c r="W74" s="2722"/>
      <c r="X74" s="2779"/>
      <c r="Y74" s="2722"/>
      <c r="Z74" s="2779"/>
      <c r="AA74" s="2722"/>
    </row>
    <row r="75" spans="1:27" s="77" customFormat="1" x14ac:dyDescent="0.35">
      <c r="A75" s="2727"/>
      <c r="B75" s="2340" t="s">
        <v>3089</v>
      </c>
      <c r="C75" s="2775"/>
      <c r="D75" s="2776"/>
      <c r="E75" s="637"/>
      <c r="F75" s="2777"/>
      <c r="G75" s="2778"/>
      <c r="H75" s="2779"/>
      <c r="I75" s="2765"/>
      <c r="J75" s="2779"/>
      <c r="K75" s="2765"/>
      <c r="L75" s="2779"/>
      <c r="M75" s="2765"/>
      <c r="N75" s="2779"/>
      <c r="O75" s="2722"/>
      <c r="P75" s="2779"/>
      <c r="Q75" s="2722"/>
      <c r="R75" s="2779"/>
      <c r="S75" s="2774"/>
      <c r="T75" s="2779" t="s">
        <v>669</v>
      </c>
      <c r="U75" s="2774">
        <v>120000</v>
      </c>
      <c r="V75" s="2779"/>
      <c r="W75" s="2722"/>
      <c r="X75" s="2779"/>
      <c r="Y75" s="2722"/>
      <c r="Z75" s="2779"/>
      <c r="AA75" s="2722"/>
    </row>
    <row r="76" spans="1:27" s="77" customFormat="1" x14ac:dyDescent="0.35">
      <c r="A76" s="2727"/>
      <c r="B76" s="2340" t="s">
        <v>3090</v>
      </c>
      <c r="C76" s="2775"/>
      <c r="D76" s="2776"/>
      <c r="E76" s="637"/>
      <c r="F76" s="2777"/>
      <c r="G76" s="2778"/>
      <c r="H76" s="2779"/>
      <c r="I76" s="2765"/>
      <c r="J76" s="2779"/>
      <c r="K76" s="2765"/>
      <c r="L76" s="2779"/>
      <c r="M76" s="2765"/>
      <c r="N76" s="2779"/>
      <c r="O76" s="2722">
        <v>-132109</v>
      </c>
      <c r="P76" s="2779"/>
      <c r="Q76" s="2722"/>
      <c r="R76" s="2779"/>
      <c r="S76" s="2722"/>
      <c r="T76" s="2779"/>
      <c r="U76" s="2722"/>
      <c r="V76" s="2779"/>
      <c r="W76" s="2722"/>
      <c r="X76" s="2779"/>
      <c r="Y76" s="2722"/>
      <c r="Z76" s="2779"/>
      <c r="AA76" s="2722"/>
    </row>
    <row r="77" spans="1:27" x14ac:dyDescent="0.35">
      <c r="A77" s="14"/>
      <c r="B77" s="15"/>
      <c r="C77" s="16"/>
      <c r="D77" s="16"/>
      <c r="E77" s="17"/>
      <c r="F77" s="18" t="s">
        <v>715</v>
      </c>
      <c r="G77" s="19"/>
      <c r="H77" s="20"/>
      <c r="I77" s="50">
        <f>SUM(I23:I75)</f>
        <v>1384500</v>
      </c>
      <c r="J77" s="20"/>
      <c r="K77" s="50">
        <f>SUM(K23:K75)</f>
        <v>1274050</v>
      </c>
      <c r="L77" s="20"/>
      <c r="M77" s="50">
        <f>SUM(M23:M75)</f>
        <v>1351300</v>
      </c>
      <c r="N77" s="20"/>
      <c r="O77" s="50">
        <f>SUM(O23:O76)</f>
        <v>1310000</v>
      </c>
      <c r="P77" s="20"/>
      <c r="Q77" s="50">
        <f>SUM(Q23:Q76)</f>
        <v>1319800</v>
      </c>
      <c r="R77" s="20"/>
      <c r="S77" s="330">
        <f>SUM(S36:S76)</f>
        <v>1887200</v>
      </c>
      <c r="T77" s="20"/>
      <c r="U77" s="330">
        <f>SUM(U36:U76)</f>
        <v>1902349</v>
      </c>
      <c r="V77" s="20"/>
      <c r="W77" s="50">
        <f>SUM(W23:W69)</f>
        <v>0</v>
      </c>
      <c r="X77" s="20"/>
      <c r="Y77" s="50">
        <f>SUM(Y23:Y69)</f>
        <v>0</v>
      </c>
      <c r="Z77" s="20"/>
      <c r="AA77" s="50">
        <f>SUM(AA23:AA69)</f>
        <v>0</v>
      </c>
    </row>
    <row r="78" spans="1:27" x14ac:dyDescent="0.35">
      <c r="A78" s="2239"/>
      <c r="B78" s="2240"/>
      <c r="C78" s="2241"/>
      <c r="D78" s="2241"/>
      <c r="E78" s="2242"/>
      <c r="F78" s="2243" t="s">
        <v>716</v>
      </c>
      <c r="G78" s="2244"/>
      <c r="H78" s="2065">
        <v>0</v>
      </c>
      <c r="I78" s="2064"/>
      <c r="J78" s="2065">
        <v>0</v>
      </c>
      <c r="K78" s="2064"/>
      <c r="L78" s="2065">
        <v>0</v>
      </c>
      <c r="M78" s="2064"/>
      <c r="N78" s="2065">
        <v>0</v>
      </c>
      <c r="O78" s="2064"/>
      <c r="P78" s="2065">
        <v>0</v>
      </c>
      <c r="Q78" s="2064"/>
      <c r="R78" s="2065">
        <v>0</v>
      </c>
      <c r="S78" s="2064"/>
      <c r="T78" s="2065">
        <v>0</v>
      </c>
      <c r="U78" s="2064"/>
      <c r="V78" s="2065">
        <v>0</v>
      </c>
      <c r="W78" s="2064"/>
      <c r="X78" s="2065">
        <v>0</v>
      </c>
      <c r="Y78" s="2064"/>
      <c r="Z78" s="2065">
        <v>0</v>
      </c>
      <c r="AA78" s="2064"/>
    </row>
    <row r="79" spans="1:27" x14ac:dyDescent="0.35">
      <c r="A79" s="2239"/>
      <c r="B79" s="2240"/>
      <c r="C79" s="2241"/>
      <c r="D79" s="2241"/>
      <c r="E79" s="2242"/>
      <c r="F79" s="2243" t="s">
        <v>717</v>
      </c>
      <c r="G79" s="2244"/>
      <c r="H79" s="2066"/>
      <c r="I79" s="2067">
        <f>H78*I77</f>
        <v>0</v>
      </c>
      <c r="J79" s="2066"/>
      <c r="K79" s="2067">
        <f>J78*K77</f>
        <v>0</v>
      </c>
      <c r="L79" s="2066"/>
      <c r="M79" s="2067">
        <f>L78*M77</f>
        <v>0</v>
      </c>
      <c r="N79" s="2066"/>
      <c r="O79" s="2067">
        <f>N78*O77</f>
        <v>0</v>
      </c>
      <c r="P79" s="2066"/>
      <c r="Q79" s="2067">
        <f>P78*Q77</f>
        <v>0</v>
      </c>
      <c r="R79" s="2066"/>
      <c r="S79" s="2067">
        <f>R78*S77</f>
        <v>0</v>
      </c>
      <c r="T79" s="2066"/>
      <c r="U79" s="2067">
        <f>T78*U77</f>
        <v>0</v>
      </c>
      <c r="V79" s="2066"/>
      <c r="W79" s="2067">
        <f>V78*W77</f>
        <v>0</v>
      </c>
      <c r="X79" s="2066"/>
      <c r="Y79" s="2067">
        <f>X78*Y77</f>
        <v>0</v>
      </c>
      <c r="Z79" s="2066"/>
      <c r="AA79" s="2067">
        <f>Z78*AA77</f>
        <v>0</v>
      </c>
    </row>
    <row r="80" spans="1:27" x14ac:dyDescent="0.35">
      <c r="A80" s="2239"/>
      <c r="B80" s="2240"/>
      <c r="C80" s="2241"/>
      <c r="D80" s="2241"/>
      <c r="E80" s="2242"/>
      <c r="F80" s="2243"/>
      <c r="G80" s="2244"/>
      <c r="H80" s="2066"/>
      <c r="I80" s="2068"/>
      <c r="J80" s="2066"/>
      <c r="K80" s="2068"/>
      <c r="L80" s="2066"/>
      <c r="M80" s="2068"/>
      <c r="N80" s="2066"/>
      <c r="O80" s="2068"/>
      <c r="P80" s="2066"/>
      <c r="Q80" s="2068"/>
      <c r="R80" s="2066"/>
      <c r="S80" s="2068"/>
      <c r="T80" s="2066"/>
      <c r="U80" s="2068"/>
      <c r="V80" s="2066"/>
      <c r="W80" s="2068"/>
      <c r="X80" s="2066"/>
      <c r="Y80" s="2068"/>
      <c r="Z80" s="2066"/>
      <c r="AA80" s="2068"/>
    </row>
    <row r="81" spans="1:27" x14ac:dyDescent="0.35">
      <c r="A81" s="2239"/>
      <c r="B81" s="2240"/>
      <c r="C81" s="2241"/>
      <c r="D81" s="2241"/>
      <c r="E81" s="2242"/>
      <c r="F81" s="2243" t="s">
        <v>718</v>
      </c>
      <c r="G81" s="2244"/>
      <c r="H81" s="2069"/>
      <c r="I81" s="2070">
        <f>SUM(I77:I79)</f>
        <v>1384500</v>
      </c>
      <c r="J81" s="2069"/>
      <c r="K81" s="2070">
        <f>SUM(K77:K79)</f>
        <v>1274050</v>
      </c>
      <c r="L81" s="2069"/>
      <c r="M81" s="2070">
        <f>SUM(M77:M79)</f>
        <v>1351300</v>
      </c>
      <c r="N81" s="2069"/>
      <c r="O81" s="2070">
        <f>SUM(O77:O79)</f>
        <v>1310000</v>
      </c>
      <c r="P81" s="2069"/>
      <c r="Q81" s="2070">
        <f>SUM(Q77:Q79)</f>
        <v>1319800</v>
      </c>
      <c r="R81" s="2069"/>
      <c r="S81" s="2070">
        <f>SUM(S77:S79)</f>
        <v>1887200</v>
      </c>
      <c r="T81" s="2069"/>
      <c r="U81" s="2070">
        <f>SUM(U77:U79)</f>
        <v>1902349</v>
      </c>
      <c r="V81" s="2069"/>
      <c r="W81" s="2070">
        <f>SUM(W77:W79)</f>
        <v>0</v>
      </c>
      <c r="X81" s="2069"/>
      <c r="Y81" s="2070">
        <f>SUM(Y77:Y79)</f>
        <v>0</v>
      </c>
      <c r="Z81" s="2069"/>
      <c r="AA81" s="2070">
        <f>SUM(AA77:AA79)</f>
        <v>0</v>
      </c>
    </row>
    <row r="82" spans="1:27" x14ac:dyDescent="0.35">
      <c r="A82" s="2239"/>
      <c r="B82" s="2240"/>
      <c r="C82" s="2241"/>
      <c r="D82" s="2241"/>
      <c r="E82" s="2242"/>
      <c r="F82" s="2255" t="s">
        <v>719</v>
      </c>
      <c r="G82" s="2256"/>
      <c r="H82" s="2073"/>
      <c r="I82" s="2074" t="e">
        <f>I81/#REF!</f>
        <v>#REF!</v>
      </c>
      <c r="J82" s="2073"/>
      <c r="K82" s="2074" t="e">
        <f>K81/#REF!</f>
        <v>#REF!</v>
      </c>
      <c r="L82" s="2073"/>
      <c r="M82" s="2074" t="e">
        <f>M81/#REF!</f>
        <v>#REF!</v>
      </c>
      <c r="N82" s="2073"/>
      <c r="O82" s="2074" t="e">
        <f>O81/#REF!</f>
        <v>#REF!</v>
      </c>
      <c r="P82" s="2073"/>
      <c r="Q82" s="2074" t="e">
        <f>Q81/#REF!</f>
        <v>#REF!</v>
      </c>
      <c r="R82" s="2073"/>
      <c r="S82" s="2074" t="e">
        <f>S81/#REF!</f>
        <v>#REF!</v>
      </c>
      <c r="T82" s="2073"/>
      <c r="U82" s="2074" t="e">
        <f>U81/#REF!</f>
        <v>#REF!</v>
      </c>
      <c r="V82" s="2073"/>
      <c r="W82" s="2074" t="e">
        <f>W81/#REF!</f>
        <v>#REF!</v>
      </c>
      <c r="X82" s="2073"/>
      <c r="Y82" s="2074" t="e">
        <f>Y81/#REF!</f>
        <v>#REF!</v>
      </c>
      <c r="Z82" s="2073"/>
      <c r="AA82" s="2074" t="e">
        <f>AA81/#REF!</f>
        <v>#REF!</v>
      </c>
    </row>
    <row r="83" spans="1:27" x14ac:dyDescent="0.35">
      <c r="A83" s="2239"/>
      <c r="B83" s="2240"/>
      <c r="C83" s="2241"/>
      <c r="D83" s="2241"/>
      <c r="E83" s="2242"/>
      <c r="F83" s="2255" t="s">
        <v>720</v>
      </c>
      <c r="G83" s="2260"/>
      <c r="H83" s="2073"/>
      <c r="I83" s="2074" t="e">
        <f>I81/#REF!</f>
        <v>#REF!</v>
      </c>
      <c r="J83" s="2073"/>
      <c r="K83" s="2074" t="e">
        <f>K81/#REF!</f>
        <v>#REF!</v>
      </c>
      <c r="L83" s="2073"/>
      <c r="M83" s="2074" t="e">
        <f>M81/#REF!</f>
        <v>#REF!</v>
      </c>
      <c r="N83" s="2073"/>
      <c r="O83" s="2074" t="e">
        <f>O81/#REF!</f>
        <v>#REF!</v>
      </c>
      <c r="P83" s="2073"/>
      <c r="Q83" s="2074" t="e">
        <f>Q81/#REF!</f>
        <v>#REF!</v>
      </c>
      <c r="R83" s="2073"/>
      <c r="S83" s="2074" t="e">
        <f>S81/#REF!</f>
        <v>#REF!</v>
      </c>
      <c r="T83" s="2073"/>
      <c r="U83" s="2074" t="e">
        <f>U81/#REF!</f>
        <v>#REF!</v>
      </c>
      <c r="V83" s="2073"/>
      <c r="W83" s="2074" t="e">
        <f>W81/#REF!</f>
        <v>#REF!</v>
      </c>
      <c r="X83" s="2073"/>
      <c r="Y83" s="2074" t="e">
        <f>Y81/#REF!</f>
        <v>#REF!</v>
      </c>
      <c r="Z83" s="2073"/>
      <c r="AA83" s="2074" t="e">
        <f>AA81/#REF!</f>
        <v>#REF!</v>
      </c>
    </row>
    <row r="84" spans="1:27" x14ac:dyDescent="0.35">
      <c r="A84" s="2239"/>
      <c r="B84" s="2240"/>
      <c r="C84" s="2241"/>
      <c r="D84" s="2241"/>
      <c r="E84" s="2242"/>
      <c r="F84" s="2243"/>
      <c r="G84" s="2261"/>
      <c r="H84" s="2077"/>
      <c r="I84" s="2078"/>
      <c r="J84" s="2077"/>
      <c r="K84" s="2078"/>
      <c r="L84" s="2077"/>
      <c r="M84" s="2078"/>
      <c r="N84" s="2077"/>
      <c r="O84" s="2078"/>
      <c r="P84" s="2077"/>
      <c r="Q84" s="2078"/>
      <c r="R84" s="2077"/>
      <c r="S84" s="2078"/>
      <c r="T84" s="2077"/>
      <c r="U84" s="2078"/>
      <c r="V84" s="2077"/>
      <c r="W84" s="2078"/>
      <c r="X84" s="2077"/>
      <c r="Y84" s="2078"/>
      <c r="Z84" s="2077"/>
      <c r="AA84" s="2078"/>
    </row>
    <row r="85" spans="1:27" x14ac:dyDescent="0.35">
      <c r="A85" s="3764" t="s">
        <v>721</v>
      </c>
      <c r="B85" s="3765"/>
      <c r="C85" s="12"/>
      <c r="D85" s="12"/>
      <c r="E85" s="12"/>
      <c r="F85" s="12"/>
      <c r="G85" s="13"/>
      <c r="H85" s="21"/>
      <c r="I85" s="21"/>
      <c r="J85" s="21"/>
      <c r="K85" s="21"/>
      <c r="L85" s="21"/>
      <c r="M85" s="21"/>
      <c r="N85" s="21"/>
      <c r="O85" s="21"/>
      <c r="P85" s="21"/>
      <c r="Q85" s="21"/>
      <c r="R85" s="21"/>
      <c r="S85" s="21"/>
      <c r="T85" s="21"/>
      <c r="U85" s="21"/>
      <c r="V85" s="21"/>
      <c r="W85" s="21"/>
      <c r="X85" s="21"/>
      <c r="Y85" s="21"/>
      <c r="Z85" s="21"/>
      <c r="AA85" s="21"/>
    </row>
    <row r="86" spans="1:27" x14ac:dyDescent="0.35">
      <c r="A86" s="2731"/>
      <c r="B86" s="2284"/>
      <c r="C86" s="2732"/>
      <c r="D86" s="2732"/>
      <c r="E86" s="2732"/>
      <c r="F86" s="2732"/>
      <c r="G86" s="2733"/>
      <c r="H86" s="2734"/>
      <c r="I86" s="2734"/>
      <c r="J86" s="2734"/>
      <c r="K86" s="2734"/>
      <c r="L86" s="2734"/>
      <c r="M86" s="2734"/>
      <c r="N86" s="2734"/>
      <c r="O86" s="2734"/>
      <c r="P86" s="2734"/>
      <c r="Q86" s="2734"/>
      <c r="R86" s="2734"/>
      <c r="S86" s="2734"/>
      <c r="T86" s="2734"/>
      <c r="U86" s="2734"/>
      <c r="V86" s="2734"/>
      <c r="W86" s="2734"/>
      <c r="X86" s="2734"/>
      <c r="Y86" s="2734"/>
      <c r="Z86" s="2734"/>
      <c r="AA86" s="2734"/>
    </row>
    <row r="87" spans="1:27" s="2" customFormat="1" x14ac:dyDescent="0.35">
      <c r="A87" s="2731"/>
      <c r="B87" s="2284"/>
      <c r="C87" s="2732"/>
      <c r="D87" s="2732"/>
      <c r="E87" s="2732"/>
      <c r="F87" s="2732"/>
      <c r="G87" s="2733"/>
      <c r="H87" s="2734"/>
      <c r="I87" s="2734"/>
      <c r="J87" s="2734"/>
      <c r="K87" s="2734"/>
      <c r="L87" s="2734"/>
      <c r="M87" s="2734"/>
      <c r="N87" s="2734"/>
      <c r="O87" s="2734"/>
      <c r="P87" s="2734"/>
      <c r="Q87" s="2734"/>
      <c r="R87" s="2734"/>
      <c r="S87" s="2734"/>
      <c r="T87" s="2734"/>
      <c r="U87" s="2734"/>
      <c r="V87" s="2734"/>
      <c r="W87" s="2734"/>
      <c r="X87" s="2734"/>
      <c r="Y87" s="2734"/>
      <c r="Z87" s="2734"/>
      <c r="AA87" s="2734"/>
    </row>
    <row r="88" spans="1:27" s="2" customFormat="1" x14ac:dyDescent="0.35">
      <c r="A88" s="2731"/>
      <c r="B88" s="2284"/>
      <c r="C88" s="2732"/>
      <c r="D88" s="2732"/>
      <c r="E88" s="2732"/>
      <c r="F88" s="2732"/>
      <c r="G88" s="2733"/>
      <c r="H88" s="2734"/>
      <c r="I88" s="2734"/>
      <c r="J88" s="2734"/>
      <c r="K88" s="2734"/>
      <c r="L88" s="2734"/>
      <c r="M88" s="2734"/>
      <c r="N88" s="2734"/>
      <c r="O88" s="2734"/>
      <c r="P88" s="2734"/>
      <c r="Q88" s="2734"/>
      <c r="R88" s="2734"/>
      <c r="S88" s="2734"/>
      <c r="T88" s="2734"/>
      <c r="U88" s="2734"/>
      <c r="V88" s="2734"/>
      <c r="W88" s="2734"/>
      <c r="X88" s="2734"/>
      <c r="Y88" s="2734"/>
      <c r="Z88" s="2734"/>
      <c r="AA88" s="2734"/>
    </row>
    <row r="89" spans="1:27" x14ac:dyDescent="0.35">
      <c r="A89" s="3764" t="s">
        <v>722</v>
      </c>
      <c r="B89" s="3765"/>
      <c r="C89" s="12"/>
      <c r="D89" s="12"/>
      <c r="E89" s="12"/>
      <c r="F89" s="12"/>
      <c r="G89" s="13"/>
      <c r="H89" s="21"/>
      <c r="I89" s="21"/>
      <c r="J89" s="21"/>
      <c r="K89" s="21"/>
      <c r="L89" s="21"/>
      <c r="M89" s="21"/>
      <c r="N89" s="21"/>
      <c r="O89" s="21"/>
      <c r="P89" s="21"/>
      <c r="Q89" s="21"/>
      <c r="R89" s="21"/>
      <c r="S89" s="21"/>
      <c r="T89" s="21"/>
      <c r="U89" s="21"/>
      <c r="V89" s="21"/>
      <c r="W89" s="21"/>
      <c r="X89" s="21"/>
      <c r="Y89" s="21"/>
      <c r="Z89" s="21"/>
      <c r="AA89" s="21"/>
    </row>
    <row r="90" spans="1:27" s="2" customFormat="1" x14ac:dyDescent="0.35">
      <c r="A90" s="2731"/>
      <c r="B90" s="2284"/>
      <c r="C90" s="2732"/>
      <c r="D90" s="2732"/>
      <c r="E90" s="2732"/>
      <c r="F90" s="2732"/>
      <c r="G90" s="2733"/>
      <c r="H90" s="2734"/>
      <c r="I90" s="2734"/>
      <c r="J90" s="2734"/>
      <c r="K90" s="2734"/>
      <c r="L90" s="2734"/>
      <c r="M90" s="2734"/>
      <c r="N90" s="2734"/>
      <c r="O90" s="2734"/>
      <c r="P90" s="2734"/>
      <c r="Q90" s="2734"/>
      <c r="R90" s="2734"/>
      <c r="S90" s="2734"/>
      <c r="T90" s="2734"/>
      <c r="U90" s="2734"/>
      <c r="V90" s="2734"/>
      <c r="W90" s="2734"/>
      <c r="X90" s="2734"/>
      <c r="Y90" s="2734"/>
      <c r="Z90" s="2734"/>
      <c r="AA90" s="2734"/>
    </row>
    <row r="91" spans="1:27" s="2" customFormat="1" x14ac:dyDescent="0.35">
      <c r="A91" s="2731"/>
      <c r="B91" s="2284"/>
      <c r="C91" s="2732"/>
      <c r="D91" s="2732"/>
      <c r="E91" s="2732"/>
      <c r="F91" s="2732"/>
      <c r="G91" s="2733"/>
      <c r="H91" s="2734"/>
      <c r="I91" s="2734"/>
      <c r="J91" s="2734"/>
      <c r="K91" s="2734"/>
      <c r="L91" s="2734"/>
      <c r="M91" s="2734"/>
      <c r="N91" s="2734"/>
      <c r="O91" s="2734"/>
      <c r="P91" s="2734"/>
      <c r="Q91" s="2734"/>
      <c r="R91" s="2734"/>
      <c r="S91" s="2734"/>
      <c r="T91" s="2734"/>
      <c r="U91" s="2734"/>
      <c r="V91" s="2734"/>
      <c r="W91" s="2734"/>
      <c r="X91" s="2734"/>
      <c r="Y91" s="2734"/>
      <c r="Z91" s="2734"/>
      <c r="AA91" s="2734"/>
    </row>
    <row r="92" spans="1:27" x14ac:dyDescent="0.35">
      <c r="A92" s="2731"/>
      <c r="B92" s="2284"/>
      <c r="C92" s="2732"/>
      <c r="D92" s="2732"/>
      <c r="E92" s="2732"/>
      <c r="F92" s="2732"/>
      <c r="G92" s="2733"/>
      <c r="H92" s="2734"/>
      <c r="I92" s="2734"/>
      <c r="J92" s="2734"/>
      <c r="K92" s="2734"/>
      <c r="L92" s="2734"/>
      <c r="M92" s="2734"/>
      <c r="N92" s="2734"/>
      <c r="O92" s="2734"/>
      <c r="P92" s="2734"/>
      <c r="Q92" s="2734"/>
      <c r="R92" s="2734"/>
      <c r="S92" s="2734"/>
      <c r="T92" s="2734"/>
      <c r="U92" s="2734"/>
      <c r="V92" s="2734"/>
      <c r="W92" s="2734"/>
      <c r="X92" s="2734"/>
      <c r="Y92" s="2734"/>
      <c r="Z92" s="2734"/>
      <c r="AA92" s="2734"/>
    </row>
    <row r="93" spans="1:27" x14ac:dyDescent="0.35">
      <c r="A93" s="3764" t="s">
        <v>723</v>
      </c>
      <c r="B93" s="3765"/>
      <c r="C93" s="12"/>
      <c r="D93" s="12"/>
      <c r="E93" s="12"/>
      <c r="F93" s="12"/>
      <c r="G93" s="13"/>
      <c r="H93" s="21"/>
      <c r="I93" s="21"/>
      <c r="J93" s="21"/>
      <c r="K93" s="21"/>
      <c r="L93" s="21"/>
      <c r="M93" s="21"/>
      <c r="N93" s="21"/>
      <c r="O93" s="21"/>
      <c r="P93" s="21"/>
      <c r="Q93" s="21"/>
      <c r="R93" s="21"/>
      <c r="S93" s="21"/>
      <c r="T93" s="21"/>
      <c r="U93" s="21"/>
      <c r="V93" s="21"/>
      <c r="W93" s="21"/>
      <c r="X93" s="21"/>
      <c r="Y93" s="21"/>
      <c r="Z93" s="21"/>
      <c r="AA93" s="21"/>
    </row>
    <row r="94" spans="1:27" x14ac:dyDescent="0.35">
      <c r="A94" s="2731"/>
      <c r="B94" s="2284"/>
      <c r="C94" s="2732"/>
      <c r="D94" s="2732"/>
      <c r="E94" s="2732"/>
      <c r="F94" s="2732"/>
      <c r="G94" s="2733"/>
      <c r="H94" s="2734"/>
      <c r="I94" s="2734"/>
      <c r="J94" s="2734"/>
      <c r="K94" s="2734"/>
      <c r="L94" s="2734"/>
      <c r="M94" s="2734"/>
      <c r="N94" s="2734"/>
      <c r="O94" s="2734"/>
      <c r="P94" s="2734"/>
      <c r="Q94" s="2734"/>
      <c r="R94" s="2734"/>
      <c r="S94" s="2734"/>
      <c r="T94" s="2734"/>
      <c r="U94" s="2734"/>
      <c r="V94" s="2734"/>
      <c r="W94" s="2734"/>
      <c r="X94" s="2734"/>
      <c r="Y94" s="2734"/>
      <c r="Z94" s="2734"/>
      <c r="AA94" s="2734"/>
    </row>
    <row r="95" spans="1:27" x14ac:dyDescent="0.35">
      <c r="A95" s="2286"/>
      <c r="B95" s="2284"/>
      <c r="C95" s="2285"/>
      <c r="D95" s="2285"/>
      <c r="E95" s="2285"/>
      <c r="F95" s="2285"/>
      <c r="G95" s="2198"/>
      <c r="H95" s="2081"/>
      <c r="I95" s="2081"/>
      <c r="J95" s="2081"/>
      <c r="K95" s="2081"/>
      <c r="L95" s="2081"/>
      <c r="M95" s="2081"/>
      <c r="N95" s="2081"/>
      <c r="O95" s="2081"/>
      <c r="P95" s="2081"/>
      <c r="Q95" s="2081"/>
      <c r="R95" s="2081"/>
      <c r="S95" s="2081"/>
      <c r="T95" s="2081"/>
      <c r="U95" s="2081"/>
      <c r="V95" s="2081"/>
      <c r="W95" s="2081"/>
      <c r="X95" s="2081"/>
      <c r="Y95" s="2081"/>
      <c r="Z95" s="2081"/>
      <c r="AA95" s="2081"/>
    </row>
    <row r="96" spans="1:27" x14ac:dyDescent="0.35">
      <c r="A96" s="2269"/>
      <c r="B96" s="2270"/>
      <c r="C96" s="2285"/>
      <c r="D96" s="2285"/>
      <c r="E96" s="2285"/>
      <c r="F96" s="2285"/>
      <c r="G96" s="2198"/>
      <c r="H96" s="2084"/>
      <c r="I96" s="2084"/>
      <c r="J96" s="2084"/>
      <c r="K96" s="2084"/>
      <c r="L96" s="2084"/>
      <c r="M96" s="2084"/>
      <c r="N96" s="2084"/>
      <c r="O96" s="2084"/>
      <c r="P96" s="2084"/>
      <c r="Q96" s="2084"/>
      <c r="R96" s="2084"/>
      <c r="S96" s="2084"/>
      <c r="T96" s="2084"/>
      <c r="U96" s="2084"/>
      <c r="V96" s="2084"/>
      <c r="W96" s="2084"/>
      <c r="X96" s="2084"/>
      <c r="Y96" s="2084"/>
      <c r="Z96" s="2084"/>
      <c r="AA96" s="2084"/>
    </row>
    <row r="97" spans="1:27" x14ac:dyDescent="0.35">
      <c r="A97" s="3764" t="s">
        <v>724</v>
      </c>
      <c r="B97" s="3765"/>
      <c r="C97" s="12"/>
      <c r="D97" s="12"/>
      <c r="E97" s="12"/>
      <c r="F97" s="12"/>
      <c r="G97" s="13"/>
      <c r="H97" s="21"/>
      <c r="I97" s="21"/>
      <c r="J97" s="21"/>
      <c r="K97" s="21"/>
      <c r="L97" s="21"/>
      <c r="M97" s="21"/>
      <c r="N97" s="21"/>
      <c r="O97" s="21"/>
      <c r="P97" s="21"/>
      <c r="Q97" s="21"/>
      <c r="R97" s="21"/>
      <c r="S97" s="21"/>
      <c r="T97" s="21"/>
      <c r="U97" s="21"/>
      <c r="V97" s="21"/>
      <c r="W97" s="21"/>
      <c r="X97" s="21"/>
      <c r="Y97" s="21"/>
      <c r="Z97" s="21"/>
      <c r="AA97" s="21"/>
    </row>
    <row r="98" spans="1:27" x14ac:dyDescent="0.35">
      <c r="A98" s="2735"/>
      <c r="B98" s="2736"/>
      <c r="C98" s="2732"/>
      <c r="D98" s="2732"/>
      <c r="E98" s="2732"/>
      <c r="F98" s="2732"/>
      <c r="G98" s="2733"/>
      <c r="H98" s="2734"/>
      <c r="I98" s="2734"/>
      <c r="J98" s="2734"/>
      <c r="K98" s="2734"/>
      <c r="L98" s="2734"/>
      <c r="M98" s="2734"/>
      <c r="N98" s="2734"/>
      <c r="O98" s="2734"/>
      <c r="P98" s="2734"/>
      <c r="Q98" s="2734"/>
      <c r="R98" s="2734"/>
      <c r="S98" s="2734"/>
      <c r="T98" s="2734"/>
      <c r="U98" s="2734"/>
      <c r="V98" s="2734"/>
      <c r="W98" s="2734"/>
      <c r="X98" s="2734"/>
      <c r="Y98" s="2734"/>
      <c r="Z98" s="2734"/>
      <c r="AA98" s="2734"/>
    </row>
    <row r="99" spans="1:27" x14ac:dyDescent="0.35">
      <c r="A99" s="2269"/>
      <c r="B99" s="2270"/>
      <c r="C99" s="2285"/>
      <c r="D99" s="2285"/>
      <c r="E99" s="2285"/>
      <c r="F99" s="2285"/>
      <c r="G99" s="2198"/>
      <c r="H99" s="2087"/>
      <c r="I99" s="2087"/>
      <c r="J99" s="2087"/>
      <c r="K99" s="2087"/>
      <c r="L99" s="2087"/>
      <c r="M99" s="2087"/>
      <c r="N99" s="2087"/>
      <c r="O99" s="2087"/>
      <c r="P99" s="2087"/>
      <c r="Q99" s="2087"/>
      <c r="R99" s="2087"/>
      <c r="S99" s="2087"/>
      <c r="T99" s="2087"/>
      <c r="U99" s="2087"/>
      <c r="V99" s="2087"/>
      <c r="W99" s="2087"/>
      <c r="X99" s="2087"/>
      <c r="Y99" s="2087"/>
      <c r="Z99" s="2087"/>
      <c r="AA99" s="2087"/>
    </row>
    <row r="100" spans="1:27" x14ac:dyDescent="0.35">
      <c r="A100" s="2269"/>
      <c r="B100" s="2270"/>
      <c r="C100" s="2285"/>
      <c r="D100" s="2285"/>
      <c r="E100" s="2285"/>
      <c r="F100" s="2285"/>
      <c r="G100" s="2198"/>
      <c r="H100" s="2087"/>
      <c r="I100" s="2087"/>
      <c r="J100" s="2087"/>
      <c r="K100" s="2087"/>
      <c r="L100" s="2087"/>
      <c r="M100" s="2087"/>
      <c r="N100" s="2087"/>
      <c r="O100" s="2087"/>
      <c r="P100" s="2087"/>
      <c r="Q100" s="2087"/>
      <c r="R100" s="2087"/>
      <c r="S100" s="2087"/>
      <c r="T100" s="2087"/>
      <c r="U100" s="2087"/>
      <c r="V100" s="2087"/>
      <c r="W100" s="2087"/>
      <c r="X100" s="2087"/>
      <c r="Y100" s="2087"/>
      <c r="Z100" s="2087"/>
      <c r="AA100" s="2087"/>
    </row>
    <row r="101" spans="1:27" x14ac:dyDescent="0.35">
      <c r="A101" s="3764" t="s">
        <v>725</v>
      </c>
      <c r="B101" s="3765"/>
      <c r="C101" s="12"/>
      <c r="D101" s="12"/>
      <c r="E101" s="12"/>
      <c r="F101" s="12"/>
      <c r="G101" s="13"/>
      <c r="H101" s="21"/>
      <c r="I101" s="21"/>
      <c r="J101" s="21"/>
      <c r="K101" s="21"/>
      <c r="L101" s="21"/>
      <c r="M101" s="21"/>
      <c r="N101" s="21"/>
      <c r="O101" s="21"/>
      <c r="P101" s="21"/>
      <c r="Q101" s="21"/>
      <c r="R101" s="21"/>
      <c r="S101" s="21"/>
      <c r="T101" s="21"/>
      <c r="U101" s="21"/>
      <c r="V101" s="21"/>
      <c r="W101" s="21"/>
      <c r="X101" s="21"/>
      <c r="Y101" s="21"/>
      <c r="Z101" s="21"/>
      <c r="AA101" s="21"/>
    </row>
    <row r="102" spans="1:27" x14ac:dyDescent="0.35">
      <c r="A102" s="2286"/>
      <c r="B102" s="2284" t="s">
        <v>726</v>
      </c>
      <c r="C102" s="2285"/>
      <c r="D102" s="2285"/>
      <c r="E102" s="2285"/>
      <c r="F102" s="2285"/>
      <c r="G102" s="2198"/>
      <c r="H102" s="2087"/>
      <c r="I102" s="2087"/>
      <c r="J102" s="2087"/>
      <c r="K102" s="2087"/>
      <c r="L102" s="2087"/>
      <c r="M102" s="2087"/>
      <c r="N102" s="2087"/>
      <c r="O102" s="2087"/>
      <c r="P102" s="2087"/>
      <c r="Q102" s="2087"/>
      <c r="R102" s="2087"/>
      <c r="S102" s="2087"/>
      <c r="T102" s="2087"/>
      <c r="U102" s="2087"/>
      <c r="V102" s="2087"/>
      <c r="W102" s="2087"/>
      <c r="X102" s="2087"/>
      <c r="Y102" s="2087"/>
      <c r="Z102" s="2087"/>
      <c r="AA102" s="2087"/>
    </row>
    <row r="103" spans="1:27" x14ac:dyDescent="0.35">
      <c r="A103" s="2286"/>
      <c r="B103" s="2284" t="s">
        <v>727</v>
      </c>
      <c r="C103" s="2285"/>
      <c r="D103" s="2285"/>
      <c r="E103" s="2285"/>
      <c r="F103" s="2285"/>
      <c r="G103" s="2198"/>
      <c r="H103" s="2087"/>
      <c r="I103" s="2087"/>
      <c r="J103" s="2087"/>
      <c r="K103" s="2087"/>
      <c r="L103" s="2087"/>
      <c r="M103" s="2087"/>
      <c r="N103" s="2087"/>
      <c r="O103" s="2087"/>
      <c r="P103" s="2087"/>
      <c r="Q103" s="2087"/>
      <c r="R103" s="2087"/>
      <c r="S103" s="2087"/>
      <c r="T103" s="2087"/>
      <c r="U103" s="2087"/>
      <c r="V103" s="2087"/>
      <c r="W103" s="2087"/>
      <c r="X103" s="2087"/>
      <c r="Y103" s="2087"/>
      <c r="Z103" s="2087"/>
      <c r="AA103" s="2087"/>
    </row>
    <row r="104" spans="1:27" x14ac:dyDescent="0.35">
      <c r="A104" s="2286"/>
      <c r="B104" s="2284" t="s">
        <v>728</v>
      </c>
      <c r="C104" s="2285"/>
      <c r="D104" s="2285"/>
      <c r="E104" s="2285"/>
      <c r="F104" s="2285"/>
      <c r="G104" s="2198"/>
      <c r="H104" s="2087"/>
      <c r="I104" s="2087"/>
      <c r="J104" s="2087"/>
      <c r="K104" s="2087"/>
      <c r="L104" s="2087"/>
      <c r="M104" s="2087"/>
      <c r="N104" s="2087"/>
      <c r="O104" s="2087"/>
      <c r="P104" s="2087"/>
      <c r="Q104" s="2087"/>
      <c r="R104" s="2087"/>
      <c r="S104" s="2087"/>
      <c r="T104" s="2087"/>
      <c r="U104" s="2087"/>
      <c r="V104" s="2087"/>
      <c r="W104" s="2087"/>
      <c r="X104" s="2087"/>
      <c r="Y104" s="2087"/>
      <c r="Z104" s="2087"/>
      <c r="AA104" s="2087"/>
    </row>
    <row r="105" spans="1:27" x14ac:dyDescent="0.35">
      <c r="A105" s="2286"/>
      <c r="B105" s="2284" t="s">
        <v>729</v>
      </c>
      <c r="C105" s="2285"/>
      <c r="D105" s="2285"/>
      <c r="E105" s="2285"/>
      <c r="F105" s="2285"/>
      <c r="G105" s="2198"/>
      <c r="H105" s="2087"/>
      <c r="I105" s="2087"/>
      <c r="J105" s="2087"/>
      <c r="K105" s="2087"/>
      <c r="L105" s="2087"/>
      <c r="M105" s="2087"/>
      <c r="N105" s="2087"/>
      <c r="O105" s="2087"/>
      <c r="P105" s="2087"/>
      <c r="Q105" s="2087"/>
      <c r="R105" s="2087"/>
      <c r="S105" s="2087"/>
      <c r="T105" s="2087"/>
      <c r="U105" s="2087"/>
      <c r="V105" s="2087"/>
      <c r="W105" s="2087"/>
      <c r="X105" s="2087"/>
      <c r="Y105" s="2087"/>
      <c r="Z105" s="2087"/>
      <c r="AA105" s="2087"/>
    </row>
    <row r="106" spans="1:27" x14ac:dyDescent="0.35">
      <c r="A106" s="978"/>
      <c r="B106" s="939"/>
      <c r="C106" s="940"/>
      <c r="D106" s="940"/>
      <c r="E106" s="940"/>
      <c r="F106" s="940"/>
      <c r="G106" s="1039"/>
      <c r="H106" s="981"/>
      <c r="I106" s="981"/>
      <c r="J106" s="981"/>
      <c r="K106" s="981"/>
      <c r="L106" s="981"/>
      <c r="M106" s="981"/>
      <c r="N106" s="981"/>
      <c r="O106" s="981"/>
      <c r="P106" s="981"/>
      <c r="Q106" s="981"/>
      <c r="R106" s="981"/>
      <c r="S106" s="981"/>
      <c r="T106" s="981"/>
      <c r="U106" s="981"/>
      <c r="V106" s="981"/>
      <c r="W106" s="981"/>
      <c r="X106" s="981"/>
      <c r="Y106" s="981"/>
      <c r="Z106" s="981"/>
      <c r="AA106" s="981"/>
    </row>
    <row r="107" spans="1:27" x14ac:dyDescent="0.35">
      <c r="A107" s="7" t="s">
        <v>730</v>
      </c>
      <c r="B107" s="8"/>
      <c r="C107" s="12"/>
      <c r="D107" s="12"/>
      <c r="E107" s="12"/>
      <c r="F107" s="12"/>
      <c r="G107" s="13"/>
      <c r="H107" s="21"/>
      <c r="I107" s="21"/>
      <c r="J107" s="21"/>
      <c r="K107" s="21"/>
      <c r="L107" s="21"/>
      <c r="M107" s="21"/>
      <c r="N107" s="21"/>
      <c r="O107" s="21"/>
      <c r="P107" s="21"/>
      <c r="Q107" s="21"/>
      <c r="R107" s="21"/>
      <c r="S107" s="21"/>
      <c r="T107" s="21"/>
      <c r="U107" s="21"/>
      <c r="V107" s="21"/>
      <c r="W107" s="21"/>
      <c r="X107" s="21"/>
      <c r="Y107" s="21"/>
      <c r="Z107" s="21"/>
      <c r="AA107" s="21"/>
    </row>
    <row r="108" spans="1:27" x14ac:dyDescent="0.35">
      <c r="A108" s="2731"/>
      <c r="B108" s="2737" t="s">
        <v>731</v>
      </c>
      <c r="C108" s="2732"/>
      <c r="D108" s="2732"/>
      <c r="E108" s="2732"/>
      <c r="F108" s="2732"/>
      <c r="G108" s="2733"/>
      <c r="H108" s="2730"/>
      <c r="I108" s="2730"/>
      <c r="J108" s="2730"/>
      <c r="K108" s="2730"/>
      <c r="L108" s="2730"/>
      <c r="M108" s="2730"/>
      <c r="N108" s="2730"/>
      <c r="O108" s="2730"/>
      <c r="P108" s="2730"/>
      <c r="Q108" s="2730"/>
      <c r="R108" s="2730"/>
      <c r="S108" s="2730"/>
      <c r="T108" s="2730"/>
      <c r="U108" s="2730"/>
      <c r="V108" s="2730"/>
      <c r="W108" s="2730"/>
      <c r="X108" s="2730"/>
      <c r="Y108" s="2730"/>
      <c r="Z108" s="2730"/>
      <c r="AA108" s="2730"/>
    </row>
    <row r="109" spans="1:27" x14ac:dyDescent="0.35">
      <c r="A109" s="2286"/>
      <c r="B109" s="2284" t="s">
        <v>732</v>
      </c>
      <c r="C109" s="2285"/>
      <c r="D109" s="2285"/>
      <c r="E109" s="2285"/>
      <c r="F109" s="2285"/>
      <c r="G109" s="2198"/>
      <c r="H109" s="2158"/>
      <c r="I109" s="2158"/>
      <c r="J109" s="2158"/>
      <c r="K109" s="2158"/>
      <c r="L109" s="2158"/>
      <c r="M109" s="2158"/>
      <c r="N109" s="2158"/>
      <c r="O109" s="2158"/>
      <c r="P109" s="2158"/>
      <c r="Q109" s="2158"/>
      <c r="R109" s="2158"/>
      <c r="S109" s="2158"/>
      <c r="T109" s="2158"/>
      <c r="U109" s="2158"/>
      <c r="V109" s="2158"/>
      <c r="W109" s="2158"/>
      <c r="X109" s="2158"/>
      <c r="Y109" s="2158"/>
      <c r="Z109" s="2158"/>
      <c r="AA109" s="2158"/>
    </row>
    <row r="110" spans="1:27" x14ac:dyDescent="0.35">
      <c r="A110" s="2089"/>
      <c r="B110" s="2090" t="s">
        <v>733</v>
      </c>
      <c r="C110" s="2091"/>
      <c r="D110" s="2091"/>
      <c r="E110" s="2091"/>
      <c r="F110" s="2091"/>
      <c r="G110" s="2092"/>
      <c r="H110" s="2093"/>
      <c r="I110" s="2093"/>
      <c r="J110" s="2093"/>
      <c r="K110" s="2093"/>
      <c r="L110" s="2093"/>
      <c r="M110" s="2093"/>
      <c r="N110" s="2093"/>
      <c r="O110" s="2093"/>
      <c r="P110" s="2093"/>
      <c r="Q110" s="2093"/>
      <c r="R110" s="2093"/>
      <c r="S110" s="2093"/>
      <c r="T110" s="2093"/>
      <c r="U110" s="2093"/>
      <c r="V110" s="2093"/>
      <c r="W110" s="2093"/>
      <c r="X110" s="2093"/>
      <c r="Y110" s="2093"/>
      <c r="Z110" s="2093"/>
      <c r="AA110" s="2093"/>
    </row>
    <row r="112" spans="1:27" x14ac:dyDescent="0.35">
      <c r="A112" s="78" t="s">
        <v>734</v>
      </c>
      <c r="B112" s="80"/>
      <c r="C112" s="2" t="s">
        <v>20</v>
      </c>
    </row>
    <row r="113" spans="1:3" x14ac:dyDescent="0.35">
      <c r="A113" s="79" t="s">
        <v>632</v>
      </c>
      <c r="B113" s="2094" t="str">
        <f>H4</f>
        <v>Schindler</v>
      </c>
    </row>
    <row r="114" spans="1:3" x14ac:dyDescent="0.35">
      <c r="A114" s="2279" t="s">
        <v>636</v>
      </c>
      <c r="B114" s="2094" t="str">
        <f>H5</f>
        <v>Stephen Prachaseri</v>
      </c>
    </row>
    <row r="115" spans="1:3" x14ac:dyDescent="0.35">
      <c r="A115" s="2096" t="s">
        <v>639</v>
      </c>
      <c r="B115" s="2097">
        <f>H6</f>
        <v>7866062111</v>
      </c>
    </row>
    <row r="116" spans="1:3" x14ac:dyDescent="0.35">
      <c r="A116" s="2096" t="s">
        <v>642</v>
      </c>
      <c r="B116" s="2098" t="str">
        <f>H7</f>
        <v>stephen.prachaseri@schindler.com</v>
      </c>
    </row>
    <row r="117" spans="1:3" x14ac:dyDescent="0.35">
      <c r="A117" s="2099" t="s">
        <v>735</v>
      </c>
      <c r="B117" s="2100">
        <f>H8</f>
        <v>1384500</v>
      </c>
      <c r="C117" s="332"/>
    </row>
    <row r="119" spans="1:3" x14ac:dyDescent="0.35">
      <c r="A119" s="81"/>
      <c r="B119" s="1" t="s">
        <v>736</v>
      </c>
    </row>
    <row r="120" spans="1:3" x14ac:dyDescent="0.35">
      <c r="A120" s="82"/>
      <c r="B120" s="1" t="s">
        <v>737</v>
      </c>
    </row>
  </sheetData>
  <mergeCells count="75">
    <mergeCell ref="L8:M8"/>
    <mergeCell ref="L3:M3"/>
    <mergeCell ref="L4:M4"/>
    <mergeCell ref="L5:M5"/>
    <mergeCell ref="L6:M6"/>
    <mergeCell ref="L7:M7"/>
    <mergeCell ref="J3:K3"/>
    <mergeCell ref="J4:K4"/>
    <mergeCell ref="J5:K5"/>
    <mergeCell ref="J6:K6"/>
    <mergeCell ref="J7:K7"/>
    <mergeCell ref="P3:Q3"/>
    <mergeCell ref="P4:Q4"/>
    <mergeCell ref="P5:Q5"/>
    <mergeCell ref="P6:Q6"/>
    <mergeCell ref="P7:Q7"/>
    <mergeCell ref="A85:B85"/>
    <mergeCell ref="A89:B89"/>
    <mergeCell ref="A93:B93"/>
    <mergeCell ref="A97:B97"/>
    <mergeCell ref="A101:B101"/>
    <mergeCell ref="Z6:AA6"/>
    <mergeCell ref="Z8:AA8"/>
    <mergeCell ref="H7:I7"/>
    <mergeCell ref="N7:O7"/>
    <mergeCell ref="V7:W7"/>
    <mergeCell ref="X7:Y7"/>
    <mergeCell ref="Z7:AA7"/>
    <mergeCell ref="H8:I8"/>
    <mergeCell ref="R8:S8"/>
    <mergeCell ref="N8:O8"/>
    <mergeCell ref="V8:W8"/>
    <mergeCell ref="X8:Y8"/>
    <mergeCell ref="R7:S7"/>
    <mergeCell ref="T8:U8"/>
    <mergeCell ref="P8:Q8"/>
    <mergeCell ref="J8:K8"/>
    <mergeCell ref="N5:O5"/>
    <mergeCell ref="V5:W5"/>
    <mergeCell ref="X5:Y5"/>
    <mergeCell ref="N6:O6"/>
    <mergeCell ref="V6:W6"/>
    <mergeCell ref="X6:Y6"/>
    <mergeCell ref="R6:S6"/>
    <mergeCell ref="Z5:AA5"/>
    <mergeCell ref="H6:I6"/>
    <mergeCell ref="Z4:AA4"/>
    <mergeCell ref="H3:I3"/>
    <mergeCell ref="R3:S3"/>
    <mergeCell ref="N3:O3"/>
    <mergeCell ref="V3:W3"/>
    <mergeCell ref="X3:Y3"/>
    <mergeCell ref="Z3:AA3"/>
    <mergeCell ref="H4:I4"/>
    <mergeCell ref="R4:S4"/>
    <mergeCell ref="N4:O4"/>
    <mergeCell ref="V4:W4"/>
    <mergeCell ref="X4:Y4"/>
    <mergeCell ref="H5:I5"/>
    <mergeCell ref="R5:S5"/>
    <mergeCell ref="Z2:AA2"/>
    <mergeCell ref="H2:I2"/>
    <mergeCell ref="R2:S2"/>
    <mergeCell ref="N2:O2"/>
    <mergeCell ref="V2:W2"/>
    <mergeCell ref="X2:Y2"/>
    <mergeCell ref="T2:U2"/>
    <mergeCell ref="P2:Q2"/>
    <mergeCell ref="J2:K2"/>
    <mergeCell ref="L2:M2"/>
    <mergeCell ref="T3:U3"/>
    <mergeCell ref="T4:U4"/>
    <mergeCell ref="T5:U5"/>
    <mergeCell ref="T6:U6"/>
    <mergeCell ref="T7:U7"/>
  </mergeCells>
  <conditionalFormatting sqref="H20:H22 H34:H76 N34:N76 R34:R76 T34:T76 V34:V76 X34:X76 Z34:Z76">
    <cfRule type="cellIs" dxfId="651" priority="57" operator="equal">
      <formula>"X"</formula>
    </cfRule>
    <cfRule type="cellIs" dxfId="650" priority="58" operator="equal">
      <formula>"I"</formula>
    </cfRule>
  </conditionalFormatting>
  <conditionalFormatting sqref="J20:J22 J34:J76 J32">
    <cfRule type="cellIs" dxfId="649" priority="23" operator="equal">
      <formula>"X"</formula>
    </cfRule>
    <cfRule type="cellIs" dxfId="648" priority="24" operator="equal">
      <formula>"I"</formula>
    </cfRule>
  </conditionalFormatting>
  <conditionalFormatting sqref="L20:L22 L34:L76 L32">
    <cfRule type="cellIs" dxfId="647" priority="21" operator="equal">
      <formula>"X"</formula>
    </cfRule>
    <cfRule type="cellIs" dxfId="646" priority="22" operator="equal">
      <formula>"I"</formula>
    </cfRule>
  </conditionalFormatting>
  <conditionalFormatting sqref="N20:N22 N29:N32">
    <cfRule type="cellIs" dxfId="645" priority="53" operator="equal">
      <formula>"X"</formula>
    </cfRule>
    <cfRule type="cellIs" dxfId="644" priority="54" operator="equal">
      <formula>"I"</formula>
    </cfRule>
  </conditionalFormatting>
  <conditionalFormatting sqref="P20:P22 P32">
    <cfRule type="cellIs" dxfId="643" priority="25" operator="equal">
      <formula>"X"</formula>
    </cfRule>
    <cfRule type="cellIs" dxfId="642" priority="26" operator="equal">
      <formula>"I"</formula>
    </cfRule>
  </conditionalFormatting>
  <conditionalFormatting sqref="P34:P76">
    <cfRule type="cellIs" dxfId="641" priority="27" operator="equal">
      <formula>"X"</formula>
    </cfRule>
    <cfRule type="cellIs" dxfId="640" priority="28" operator="equal">
      <formula>"I"</formula>
    </cfRule>
  </conditionalFormatting>
  <conditionalFormatting sqref="R20:R22 R32">
    <cfRule type="cellIs" dxfId="639" priority="55" operator="equal">
      <formula>"X"</formula>
    </cfRule>
    <cfRule type="cellIs" dxfId="638" priority="56" operator="equal">
      <formula>"I"</formula>
    </cfRule>
  </conditionalFormatting>
  <conditionalFormatting sqref="T20:T22 T32">
    <cfRule type="cellIs" dxfId="637" priority="31" operator="equal">
      <formula>"X"</formula>
    </cfRule>
    <cfRule type="cellIs" dxfId="636" priority="32" operator="equal">
      <formula>"I"</formula>
    </cfRule>
  </conditionalFormatting>
  <conditionalFormatting sqref="V20:V32">
    <cfRule type="cellIs" dxfId="635" priority="51" operator="equal">
      <formula>"X"</formula>
    </cfRule>
    <cfRule type="cellIs" dxfId="634" priority="52" operator="equal">
      <formula>"I"</formula>
    </cfRule>
  </conditionalFormatting>
  <conditionalFormatting sqref="X20:X32">
    <cfRule type="cellIs" dxfId="633" priority="49" operator="equal">
      <formula>"X"</formula>
    </cfRule>
    <cfRule type="cellIs" dxfId="632" priority="50" operator="equal">
      <formula>"I"</formula>
    </cfRule>
  </conditionalFormatting>
  <conditionalFormatting sqref="Z20:Z32">
    <cfRule type="cellIs" dxfId="631" priority="47" operator="equal">
      <formula>"X"</formula>
    </cfRule>
    <cfRule type="cellIs" dxfId="630" priority="48" operator="equal">
      <formula>"I"</formula>
    </cfRule>
  </conditionalFormatting>
  <conditionalFormatting sqref="H23:H32">
    <cfRule type="cellIs" dxfId="629" priority="19" operator="equal">
      <formula>"X"</formula>
    </cfRule>
    <cfRule type="cellIs" dxfId="628" priority="20" operator="equal">
      <formula>"I"</formula>
    </cfRule>
  </conditionalFormatting>
  <conditionalFormatting sqref="J23:J31">
    <cfRule type="cellIs" dxfId="627" priority="17" operator="equal">
      <formula>"X"</formula>
    </cfRule>
    <cfRule type="cellIs" dxfId="626" priority="18" operator="equal">
      <formula>"I"</formula>
    </cfRule>
  </conditionalFormatting>
  <conditionalFormatting sqref="L23:L31">
    <cfRule type="cellIs" dxfId="625" priority="15" operator="equal">
      <formula>"X"</formula>
    </cfRule>
    <cfRule type="cellIs" dxfId="624" priority="16" operator="equal">
      <formula>"I"</formula>
    </cfRule>
  </conditionalFormatting>
  <conditionalFormatting sqref="N23:N28">
    <cfRule type="cellIs" dxfId="623" priority="13" operator="equal">
      <formula>"X"</formula>
    </cfRule>
    <cfRule type="cellIs" dxfId="622" priority="14" operator="equal">
      <formula>"I"</formula>
    </cfRule>
  </conditionalFormatting>
  <conditionalFormatting sqref="P29:P31">
    <cfRule type="cellIs" dxfId="621" priority="11" operator="equal">
      <formula>"X"</formula>
    </cfRule>
    <cfRule type="cellIs" dxfId="620" priority="12" operator="equal">
      <formula>"I"</formula>
    </cfRule>
  </conditionalFormatting>
  <conditionalFormatting sqref="P23:P28">
    <cfRule type="cellIs" dxfId="619" priority="9" operator="equal">
      <formula>"X"</formula>
    </cfRule>
    <cfRule type="cellIs" dxfId="618" priority="10" operator="equal">
      <formula>"I"</formula>
    </cfRule>
  </conditionalFormatting>
  <conditionalFormatting sqref="R29:R31">
    <cfRule type="cellIs" dxfId="617" priority="7" operator="equal">
      <formula>"X"</formula>
    </cfRule>
    <cfRule type="cellIs" dxfId="616" priority="8" operator="equal">
      <formula>"I"</formula>
    </cfRule>
  </conditionalFormatting>
  <conditionalFormatting sqref="R23:R28">
    <cfRule type="cellIs" dxfId="615" priority="5" operator="equal">
      <formula>"X"</formula>
    </cfRule>
    <cfRule type="cellIs" dxfId="614" priority="6" operator="equal">
      <formula>"I"</formula>
    </cfRule>
  </conditionalFormatting>
  <conditionalFormatting sqref="T29:T31">
    <cfRule type="cellIs" dxfId="613" priority="3" operator="equal">
      <formula>"X"</formula>
    </cfRule>
    <cfRule type="cellIs" dxfId="612" priority="4" operator="equal">
      <formula>"I"</formula>
    </cfRule>
  </conditionalFormatting>
  <conditionalFormatting sqref="T23:T28">
    <cfRule type="cellIs" dxfId="611" priority="1" operator="equal">
      <formula>"X"</formula>
    </cfRule>
    <cfRule type="cellIs" dxfId="610" priority="2" operator="equal">
      <formula>"I"</formula>
    </cfRule>
  </conditionalFormatting>
  <hyperlinks>
    <hyperlink ref="B3" location="'Cost Summary'!A1" display="BACK TO SUMMARY SHEET" xr:uid="{2D99696C-FCFC-48A7-A2CC-2E4C80C6CA14}"/>
    <hyperlink ref="H7" r:id="rId1" xr:uid="{387E0E7E-DB9F-4E23-9101-CA7EDA5049BF}"/>
    <hyperlink ref="R7" r:id="rId2" xr:uid="{C1004681-E39D-4514-B5C1-46DD0AC3A608}"/>
    <hyperlink ref="T7" r:id="rId3" xr:uid="{2FF5140A-1A8B-469A-953E-E8C27D0CF83A}"/>
    <hyperlink ref="N7:O7" r:id="rId4" display="james.marcic@tkelevator.com" xr:uid="{E716F26A-2CFA-4574-83F1-997704662CE9}"/>
    <hyperlink ref="P7:Q7" r:id="rId5" display="james.marcic@tkelevator.com" xr:uid="{D51CE518-8033-43D2-9CEB-B85BEB820331}"/>
    <hyperlink ref="J7" r:id="rId6" xr:uid="{E5C1A6ED-9254-40B1-A440-7DE1F8B65B1F}"/>
    <hyperlink ref="L7" r:id="rId7" xr:uid="{FE284A50-5602-4B04-836E-17CC8F392886}"/>
  </hyperlinks>
  <pageMargins left="0.7" right="0.7" top="0.75" bottom="0.75" header="0.3" footer="0.3"/>
  <pageSetup orientation="portrait" r:id="rId8"/>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F3D7-CFA7-46AB-8CC3-F4EEAB495E9D}">
  <sheetPr>
    <tabColor rgb="FF92D050"/>
  </sheetPr>
  <dimension ref="A1:U123"/>
  <sheetViews>
    <sheetView workbookViewId="0">
      <pane xSplit="2" ySplit="9" topLeftCell="C59" activePane="bottomRight" state="frozen"/>
      <selection pane="topRight" activeCell="C1" sqref="C1"/>
      <selection pane="bottomLeft" activeCell="A10" sqref="A10"/>
      <selection pane="bottomRight" activeCell="O27" sqref="O27"/>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6.453125" style="2" bestFit="1" customWidth="1"/>
    <col min="7" max="7" width="9.1796875" style="2" customWidth="1"/>
    <col min="8" max="8" width="7.453125" style="2" customWidth="1"/>
    <col min="9" max="9" width="14.81640625" style="2" customWidth="1"/>
    <col min="10" max="10" width="7.453125" style="2" customWidth="1"/>
    <col min="11" max="11" width="14.81640625" style="2" customWidth="1"/>
    <col min="12" max="12" width="7.81640625" style="2" customWidth="1"/>
    <col min="13" max="13" width="11.81640625" style="2" bestFit="1" customWidth="1"/>
    <col min="14" max="14" width="7.81640625" style="2" customWidth="1"/>
    <col min="15" max="15" width="11.81640625" style="2" bestFit="1" customWidth="1"/>
    <col min="16" max="16" width="7.453125" style="2" customWidth="1"/>
    <col min="17" max="17" width="14.81640625" style="2" customWidth="1"/>
    <col min="18" max="18" width="7.453125" style="2" customWidth="1"/>
    <col min="19" max="19" width="14.81640625" style="2" customWidth="1"/>
    <col min="20" max="20" width="9.1796875" style="2" customWidth="1"/>
    <col min="21" max="21" width="14.81640625" style="2" customWidth="1"/>
  </cols>
  <sheetData>
    <row r="1" spans="1:21" x14ac:dyDescent="0.35">
      <c r="E1" s="152"/>
      <c r="F1" s="125"/>
      <c r="G1" s="123" t="s">
        <v>621</v>
      </c>
    </row>
    <row r="2" spans="1:21" ht="15.75" customHeight="1" thickBot="1" x14ac:dyDescent="0.4">
      <c r="E2" s="152"/>
      <c r="F2" s="122" t="s">
        <v>622</v>
      </c>
      <c r="G2" s="123" t="s">
        <v>451</v>
      </c>
      <c r="H2" s="3751"/>
      <c r="I2" s="3751"/>
      <c r="J2" s="3751"/>
      <c r="K2" s="3751"/>
      <c r="L2" s="3751"/>
      <c r="M2" s="3751"/>
      <c r="N2" s="3751"/>
      <c r="O2" s="3751"/>
      <c r="P2" s="3751"/>
      <c r="Q2" s="3751"/>
      <c r="R2" s="3751"/>
      <c r="S2" s="3751"/>
      <c r="T2" s="3751"/>
      <c r="U2" s="3751"/>
    </row>
    <row r="3" spans="1:21" ht="21" customHeight="1" x14ac:dyDescent="0.35">
      <c r="B3" s="137" t="s">
        <v>623</v>
      </c>
      <c r="E3" s="152"/>
      <c r="F3" s="124" t="s">
        <v>624</v>
      </c>
      <c r="G3" s="123" t="s">
        <v>557</v>
      </c>
      <c r="H3" s="3754" t="s">
        <v>625</v>
      </c>
      <c r="I3" s="3755"/>
      <c r="J3" s="3754" t="s">
        <v>626</v>
      </c>
      <c r="K3" s="3755"/>
      <c r="L3" s="3772" t="s">
        <v>627</v>
      </c>
      <c r="M3" s="3773"/>
      <c r="N3" s="3772" t="s">
        <v>627</v>
      </c>
      <c r="O3" s="3773"/>
      <c r="P3" s="3754" t="s">
        <v>628</v>
      </c>
      <c r="Q3" s="3755"/>
      <c r="R3" s="3754" t="s">
        <v>629</v>
      </c>
      <c r="S3" s="3755"/>
      <c r="T3" s="3754" t="s">
        <v>630</v>
      </c>
      <c r="U3" s="3755"/>
    </row>
    <row r="4" spans="1:21" ht="15.75" customHeight="1" thickTop="1" x14ac:dyDescent="0.35">
      <c r="A4" s="3" t="s">
        <v>631</v>
      </c>
      <c r="B4" s="4" t="e">
        <f>#REF!</f>
        <v>#REF!</v>
      </c>
      <c r="C4" s="5"/>
      <c r="D4" s="5"/>
      <c r="E4" s="5"/>
      <c r="F4" s="5"/>
      <c r="G4" s="6" t="s">
        <v>632</v>
      </c>
      <c r="H4" s="3752" t="s">
        <v>3091</v>
      </c>
      <c r="I4" s="3753"/>
      <c r="J4" s="3898" t="s">
        <v>3092</v>
      </c>
      <c r="K4" s="3898"/>
      <c r="L4" s="3898" t="s">
        <v>3093</v>
      </c>
      <c r="M4" s="3898"/>
      <c r="N4" s="3898" t="s">
        <v>3094</v>
      </c>
      <c r="O4" s="3898"/>
      <c r="P4" s="3898" t="s">
        <v>3095</v>
      </c>
      <c r="Q4" s="3898"/>
      <c r="R4" s="3898" t="s">
        <v>3096</v>
      </c>
      <c r="S4" s="3898"/>
      <c r="T4" s="3796"/>
      <c r="U4" s="3753"/>
    </row>
    <row r="5" spans="1:21" x14ac:dyDescent="0.35">
      <c r="A5" s="2283" t="s">
        <v>634</v>
      </c>
      <c r="B5" s="2284" t="s">
        <v>539</v>
      </c>
      <c r="C5" s="2285"/>
      <c r="D5" s="2285"/>
      <c r="E5" s="2285"/>
      <c r="F5" s="2285"/>
      <c r="G5" s="2194" t="s">
        <v>636</v>
      </c>
      <c r="H5" s="3931" t="s">
        <v>3097</v>
      </c>
      <c r="I5" s="3932"/>
      <c r="J5" s="3950" t="s">
        <v>3098</v>
      </c>
      <c r="K5" s="3950"/>
      <c r="L5" s="3950" t="s">
        <v>3099</v>
      </c>
      <c r="M5" s="3950"/>
      <c r="N5" s="3950" t="s">
        <v>3099</v>
      </c>
      <c r="O5" s="3950"/>
      <c r="P5" s="3950" t="s">
        <v>3100</v>
      </c>
      <c r="Q5" s="3950"/>
      <c r="R5" s="3950" t="s">
        <v>3101</v>
      </c>
      <c r="S5" s="3950"/>
      <c r="T5" s="3933"/>
      <c r="U5" s="3932"/>
    </row>
    <row r="6" spans="1:21" x14ac:dyDescent="0.35">
      <c r="A6" s="2283" t="s">
        <v>638</v>
      </c>
      <c r="B6" s="2195" t="s">
        <v>538</v>
      </c>
      <c r="C6" s="2285"/>
      <c r="D6" s="2285"/>
      <c r="E6" s="2285"/>
      <c r="F6" s="2285"/>
      <c r="G6" s="2194" t="s">
        <v>639</v>
      </c>
      <c r="H6" s="3937">
        <v>9542253661</v>
      </c>
      <c r="I6" s="3938"/>
      <c r="J6" s="3949">
        <v>3054970714</v>
      </c>
      <c r="K6" s="3949"/>
      <c r="L6" s="3949">
        <v>6787621088</v>
      </c>
      <c r="M6" s="3949"/>
      <c r="N6" s="3949">
        <v>6787621088</v>
      </c>
      <c r="O6" s="3949"/>
      <c r="P6" s="3949">
        <v>4239230213</v>
      </c>
      <c r="Q6" s="3949"/>
      <c r="R6" s="3949">
        <v>9046764256</v>
      </c>
      <c r="S6" s="3949"/>
      <c r="T6" s="3939"/>
      <c r="U6" s="3938"/>
    </row>
    <row r="7" spans="1:21" x14ac:dyDescent="0.35">
      <c r="A7" s="2283" t="s">
        <v>641</v>
      </c>
      <c r="B7" s="2196"/>
      <c r="C7" s="2285"/>
      <c r="D7" s="2285"/>
      <c r="E7" s="2285"/>
      <c r="F7" s="2285"/>
      <c r="G7" s="2194" t="s">
        <v>642</v>
      </c>
      <c r="H7" s="3934" t="s">
        <v>3102</v>
      </c>
      <c r="I7" s="3935"/>
      <c r="J7" s="3951" t="s">
        <v>3103</v>
      </c>
      <c r="K7" s="3951"/>
      <c r="L7" s="3951" t="s">
        <v>3104</v>
      </c>
      <c r="M7" s="3951"/>
      <c r="N7" s="3951" t="s">
        <v>3104</v>
      </c>
      <c r="O7" s="3951"/>
      <c r="P7" s="3951" t="s">
        <v>3105</v>
      </c>
      <c r="Q7" s="3951"/>
      <c r="R7" s="3951" t="s">
        <v>3106</v>
      </c>
      <c r="S7" s="3951"/>
      <c r="T7" s="3936"/>
      <c r="U7" s="3935"/>
    </row>
    <row r="8" spans="1:21" ht="15.75" customHeight="1" thickBot="1" x14ac:dyDescent="0.4">
      <c r="A8" s="938" t="s">
        <v>644</v>
      </c>
      <c r="B8" s="939"/>
      <c r="C8" s="940"/>
      <c r="D8" s="940"/>
      <c r="E8" s="940"/>
      <c r="F8" s="940"/>
      <c r="G8" s="1024" t="s">
        <v>644</v>
      </c>
      <c r="H8" s="3945">
        <f>I84</f>
        <v>425334</v>
      </c>
      <c r="I8" s="3944"/>
      <c r="J8" s="3945">
        <f>K84</f>
        <v>403935</v>
      </c>
      <c r="K8" s="3944"/>
      <c r="L8" s="3945">
        <f>M84</f>
        <v>340802</v>
      </c>
      <c r="M8" s="3944"/>
      <c r="N8" s="3945">
        <f>O84</f>
        <v>326932</v>
      </c>
      <c r="O8" s="3944"/>
      <c r="P8" s="3945">
        <f>Q84</f>
        <v>389968</v>
      </c>
      <c r="Q8" s="3944"/>
      <c r="R8" s="3945">
        <f>S84</f>
        <v>1004697</v>
      </c>
      <c r="S8" s="3944"/>
      <c r="T8" s="3945">
        <f>U84</f>
        <v>0</v>
      </c>
      <c r="U8" s="3944"/>
    </row>
    <row r="9" spans="1:21"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idden="1" x14ac:dyDescent="0.35">
      <c r="A10" s="2286"/>
      <c r="B10" s="2738" t="s">
        <v>653</v>
      </c>
      <c r="C10" s="2285"/>
      <c r="D10" s="2285"/>
      <c r="E10" s="2285"/>
      <c r="F10" s="2285"/>
      <c r="G10" s="2198"/>
      <c r="H10" s="2107"/>
      <c r="I10" s="2107"/>
      <c r="J10" s="2107"/>
      <c r="K10" s="2107"/>
      <c r="L10" s="2107"/>
      <c r="M10" s="2107"/>
      <c r="N10" s="2107"/>
      <c r="O10" s="2107"/>
      <c r="P10" s="2107"/>
      <c r="Q10" s="2107"/>
      <c r="R10" s="2107"/>
      <c r="S10" s="2107"/>
      <c r="T10" s="2107"/>
      <c r="U10" s="2107"/>
    </row>
    <row r="11" spans="1:21"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row>
    <row r="12" spans="1:21"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row>
    <row r="13" spans="1:21"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row>
    <row r="14" spans="1:21"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row>
    <row r="15" spans="1:21"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row>
    <row r="16" spans="1:21"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row>
    <row r="17" spans="1:21"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row>
    <row r="18" spans="1:21"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row>
    <row r="19" spans="1:21"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row>
    <row r="20" spans="1:21" ht="15" thickTop="1" x14ac:dyDescent="0.35">
      <c r="A20" s="2286"/>
      <c r="B20" s="2284"/>
      <c r="C20" s="2201"/>
      <c r="D20" s="2285"/>
      <c r="E20" s="2285"/>
      <c r="F20" s="2285"/>
      <c r="G20" s="2198"/>
      <c r="H20" s="2109"/>
      <c r="I20" s="2107"/>
      <c r="J20" s="2109"/>
      <c r="K20" s="2107"/>
      <c r="L20" s="2109"/>
      <c r="M20" s="2107"/>
      <c r="N20" s="2109"/>
      <c r="O20" s="2107"/>
      <c r="P20" s="2109"/>
      <c r="Q20" s="2107"/>
      <c r="R20" s="2109"/>
      <c r="S20" s="2107"/>
      <c r="T20" s="2109"/>
      <c r="U20" s="2107"/>
    </row>
    <row r="21" spans="1:21" ht="15" thickBot="1" x14ac:dyDescent="0.4">
      <c r="A21" s="48"/>
      <c r="B21" s="2203" t="s">
        <v>539</v>
      </c>
      <c r="C21" s="45"/>
      <c r="D21" s="46"/>
      <c r="E21" s="46"/>
      <c r="F21" s="46"/>
      <c r="G21" s="52"/>
      <c r="H21" s="2109"/>
      <c r="I21" s="2107"/>
      <c r="J21" s="2109"/>
      <c r="K21" s="2107"/>
      <c r="L21" s="2109"/>
      <c r="M21" s="2107"/>
      <c r="N21" s="2109"/>
      <c r="O21" s="2107"/>
      <c r="P21" s="2109"/>
      <c r="Q21" s="2107"/>
      <c r="R21" s="2109"/>
      <c r="S21" s="2107"/>
      <c r="T21" s="2109"/>
      <c r="U21" s="2107"/>
    </row>
    <row r="22" spans="1:21" x14ac:dyDescent="0.35">
      <c r="A22" s="2739"/>
      <c r="B22" s="606" t="s">
        <v>657</v>
      </c>
      <c r="C22" s="2201"/>
      <c r="D22" s="2285"/>
      <c r="E22" s="2285"/>
      <c r="F22" s="2285"/>
      <c r="G22" s="2198"/>
      <c r="H22" s="2109" t="s">
        <v>669</v>
      </c>
      <c r="I22" s="2742"/>
      <c r="J22" s="2109" t="s">
        <v>669</v>
      </c>
      <c r="K22" s="2742"/>
      <c r="L22" s="2109" t="s">
        <v>669</v>
      </c>
      <c r="M22" s="2276"/>
      <c r="N22" s="2109" t="s">
        <v>669</v>
      </c>
      <c r="O22" s="2276"/>
      <c r="P22" s="2109"/>
      <c r="Q22" s="2276"/>
      <c r="R22" s="2109"/>
      <c r="S22" s="2276"/>
      <c r="T22" s="2109"/>
      <c r="U22" s="2276"/>
    </row>
    <row r="23" spans="1:21" x14ac:dyDescent="0.35">
      <c r="A23" s="2739"/>
      <c r="B23" s="2764" t="s">
        <v>658</v>
      </c>
      <c r="C23" s="2201"/>
      <c r="D23" s="2285"/>
      <c r="E23" s="2285"/>
      <c r="F23" s="2285"/>
      <c r="G23" s="2198"/>
      <c r="H23" s="2109" t="s">
        <v>669</v>
      </c>
      <c r="I23" s="2742"/>
      <c r="J23" s="2109" t="s">
        <v>669</v>
      </c>
      <c r="K23" s="2742"/>
      <c r="L23" s="2109" t="s">
        <v>669</v>
      </c>
      <c r="M23" s="2740"/>
      <c r="N23" s="2109" t="s">
        <v>669</v>
      </c>
      <c r="O23" s="2740"/>
      <c r="P23" s="2109"/>
      <c r="Q23" s="2740"/>
      <c r="R23" s="2109"/>
      <c r="S23" s="2740"/>
      <c r="T23" s="2109"/>
      <c r="U23" s="2740"/>
    </row>
    <row r="24" spans="1:21" x14ac:dyDescent="0.35">
      <c r="A24" s="2739"/>
      <c r="B24" s="2764" t="s">
        <v>659</v>
      </c>
      <c r="C24" s="2208"/>
      <c r="D24" s="2285"/>
      <c r="E24" s="2285"/>
      <c r="F24" s="2285"/>
      <c r="G24" s="2198"/>
      <c r="H24" s="2109" t="s">
        <v>671</v>
      </c>
      <c r="I24" s="2742"/>
      <c r="J24" s="2109" t="s">
        <v>671</v>
      </c>
      <c r="K24" s="2742"/>
      <c r="L24" s="2109" t="s">
        <v>671</v>
      </c>
      <c r="M24" s="2740"/>
      <c r="N24" s="2109" t="s">
        <v>671</v>
      </c>
      <c r="O24" s="2740"/>
      <c r="P24" s="2109"/>
      <c r="Q24" s="2740"/>
      <c r="R24" s="2109"/>
      <c r="S24" s="2740"/>
      <c r="T24" s="2109"/>
      <c r="U24" s="2740"/>
    </row>
    <row r="25" spans="1:21" x14ac:dyDescent="0.35">
      <c r="A25" s="2739"/>
      <c r="B25" s="2781" t="s">
        <v>660</v>
      </c>
      <c r="C25" s="2208"/>
      <c r="D25" s="2285"/>
      <c r="E25" s="2285"/>
      <c r="F25" s="2285"/>
      <c r="G25" s="2198"/>
      <c r="H25" s="2109" t="s">
        <v>669</v>
      </c>
      <c r="I25" s="2742"/>
      <c r="J25" s="2109" t="s">
        <v>669</v>
      </c>
      <c r="K25" s="2742"/>
      <c r="L25" s="2109" t="s">
        <v>669</v>
      </c>
      <c r="M25" s="2740"/>
      <c r="N25" s="2109" t="s">
        <v>669</v>
      </c>
      <c r="O25" s="2740"/>
      <c r="P25" s="2109"/>
      <c r="Q25" s="2740"/>
      <c r="R25" s="2109"/>
      <c r="S25" s="2740"/>
      <c r="T25" s="2109"/>
      <c r="U25" s="2740"/>
    </row>
    <row r="26" spans="1:21" s="77" customFormat="1" x14ac:dyDescent="0.35">
      <c r="A26" s="2782"/>
      <c r="B26" s="2781" t="s">
        <v>661</v>
      </c>
      <c r="C26" s="2211"/>
      <c r="D26" s="2212"/>
      <c r="E26" s="2212"/>
      <c r="F26" s="2212"/>
      <c r="G26" s="2211"/>
      <c r="H26" s="2109" t="s">
        <v>669</v>
      </c>
      <c r="I26" s="2742"/>
      <c r="J26" s="2109" t="s">
        <v>669</v>
      </c>
      <c r="K26" s="2742"/>
      <c r="L26" s="2109" t="s">
        <v>669</v>
      </c>
      <c r="M26" s="2722"/>
      <c r="N26" s="2109" t="s">
        <v>669</v>
      </c>
      <c r="O26" s="2722"/>
      <c r="P26" s="2109"/>
      <c r="Q26" s="2722"/>
      <c r="R26" s="2109"/>
      <c r="S26" s="2722"/>
      <c r="T26" s="2109"/>
      <c r="U26" s="2722"/>
    </row>
    <row r="27" spans="1:21" s="77" customFormat="1" x14ac:dyDescent="0.35">
      <c r="A27" s="2782"/>
      <c r="B27" s="2781" t="s">
        <v>662</v>
      </c>
      <c r="C27" s="2211"/>
      <c r="D27" s="2212"/>
      <c r="E27" s="2212"/>
      <c r="F27" s="2212"/>
      <c r="G27" s="2211"/>
      <c r="H27" s="2109" t="s">
        <v>669</v>
      </c>
      <c r="I27" s="2742"/>
      <c r="J27" s="2109" t="s">
        <v>669</v>
      </c>
      <c r="K27" s="2742"/>
      <c r="L27" s="2109" t="s">
        <v>669</v>
      </c>
      <c r="M27" s="2722"/>
      <c r="N27" s="2109" t="s">
        <v>669</v>
      </c>
      <c r="O27" s="2722"/>
      <c r="P27" s="2109"/>
      <c r="Q27" s="2722"/>
      <c r="R27" s="2109"/>
      <c r="S27" s="2722"/>
      <c r="T27" s="2109"/>
      <c r="U27" s="2722"/>
    </row>
    <row r="28" spans="1:21" s="77" customFormat="1" x14ac:dyDescent="0.35">
      <c r="A28" s="2782"/>
      <c r="B28" s="2781" t="s">
        <v>663</v>
      </c>
      <c r="C28" s="2211"/>
      <c r="D28" s="2212"/>
      <c r="E28" s="2212"/>
      <c r="F28" s="2212"/>
      <c r="G28" s="2211"/>
      <c r="H28" s="2109" t="s">
        <v>669</v>
      </c>
      <c r="I28" s="2742"/>
      <c r="J28" s="2109" t="s">
        <v>669</v>
      </c>
      <c r="K28" s="2742"/>
      <c r="L28" s="2109" t="s">
        <v>669</v>
      </c>
      <c r="M28" s="2722"/>
      <c r="N28" s="2109" t="s">
        <v>669</v>
      </c>
      <c r="O28" s="2722"/>
      <c r="P28" s="2109"/>
      <c r="Q28" s="2722"/>
      <c r="R28" s="2109"/>
      <c r="S28" s="2722"/>
      <c r="T28" s="2109"/>
      <c r="U28" s="2722"/>
    </row>
    <row r="29" spans="1:21" s="77" customFormat="1" x14ac:dyDescent="0.35">
      <c r="A29" s="2782"/>
      <c r="B29" s="2781" t="s">
        <v>789</v>
      </c>
      <c r="C29" s="2211"/>
      <c r="D29" s="2212"/>
      <c r="E29" s="2212"/>
      <c r="F29" s="2212"/>
      <c r="G29" s="2211"/>
      <c r="H29" s="2109" t="s">
        <v>671</v>
      </c>
      <c r="I29" s="2722" t="s">
        <v>1008</v>
      </c>
      <c r="J29" s="2109" t="s">
        <v>669</v>
      </c>
      <c r="K29" s="2742" t="s">
        <v>3107</v>
      </c>
      <c r="L29" s="2109" t="s">
        <v>671</v>
      </c>
      <c r="M29" s="2722" t="s">
        <v>1008</v>
      </c>
      <c r="N29" s="2109" t="s">
        <v>671</v>
      </c>
      <c r="O29" s="2722" t="s">
        <v>1008</v>
      </c>
      <c r="P29" s="2109"/>
      <c r="Q29" s="2722"/>
      <c r="R29" s="2109"/>
      <c r="S29" s="2722"/>
      <c r="T29" s="2109"/>
      <c r="U29" s="2722"/>
    </row>
    <row r="30" spans="1:21" s="77" customFormat="1" x14ac:dyDescent="0.35">
      <c r="A30" s="2782"/>
      <c r="B30" s="2781" t="s">
        <v>790</v>
      </c>
      <c r="C30" s="2211"/>
      <c r="D30" s="2212"/>
      <c r="E30" s="2212"/>
      <c r="F30" s="2212"/>
      <c r="G30" s="2211"/>
      <c r="H30" s="2109" t="s">
        <v>671</v>
      </c>
      <c r="I30" s="2722" t="s">
        <v>1100</v>
      </c>
      <c r="J30" s="2109" t="s">
        <v>669</v>
      </c>
      <c r="K30" s="2722" t="s">
        <v>1393</v>
      </c>
      <c r="L30" s="2109" t="s">
        <v>671</v>
      </c>
      <c r="M30" s="2722" t="s">
        <v>968</v>
      </c>
      <c r="N30" s="2109" t="s">
        <v>671</v>
      </c>
      <c r="O30" s="2722" t="s">
        <v>968</v>
      </c>
      <c r="P30" s="2109"/>
      <c r="Q30" s="2722"/>
      <c r="R30" s="2109"/>
      <c r="S30" s="2722"/>
      <c r="T30" s="2109"/>
      <c r="U30" s="2722"/>
    </row>
    <row r="31" spans="1:21" s="77" customFormat="1" x14ac:dyDescent="0.35">
      <c r="A31" s="2782"/>
      <c r="B31" s="2781" t="s">
        <v>791</v>
      </c>
      <c r="C31" s="2211"/>
      <c r="D31" s="2212"/>
      <c r="E31" s="2212"/>
      <c r="F31" s="2212"/>
      <c r="G31" s="2211"/>
      <c r="H31" s="2109" t="s">
        <v>671</v>
      </c>
      <c r="I31" s="2742"/>
      <c r="J31" s="2109" t="s">
        <v>669</v>
      </c>
      <c r="K31" s="2722" t="s">
        <v>3108</v>
      </c>
      <c r="L31" s="2109" t="s">
        <v>671</v>
      </c>
      <c r="M31" s="2722"/>
      <c r="N31" s="2109" t="s">
        <v>671</v>
      </c>
      <c r="O31" s="2722"/>
      <c r="P31" s="2109"/>
      <c r="Q31" s="2722"/>
      <c r="R31" s="2109"/>
      <c r="S31" s="2722"/>
      <c r="T31" s="2109"/>
      <c r="U31" s="2722"/>
    </row>
    <row r="32" spans="1:21" s="77" customFormat="1" x14ac:dyDescent="0.35">
      <c r="A32" s="2782"/>
      <c r="B32" s="2746" t="s">
        <v>664</v>
      </c>
      <c r="C32" s="2211"/>
      <c r="D32" s="2212"/>
      <c r="E32" s="2212"/>
      <c r="F32" s="2212"/>
      <c r="G32" s="2211"/>
      <c r="H32" s="2109"/>
      <c r="I32" s="2742"/>
      <c r="J32" s="2109"/>
      <c r="K32" s="2722"/>
      <c r="L32" s="2109"/>
      <c r="M32" s="2722"/>
      <c r="N32" s="2109"/>
      <c r="O32" s="2722"/>
      <c r="P32" s="2109"/>
      <c r="Q32" s="2722"/>
      <c r="R32" s="2109"/>
      <c r="S32" s="2722"/>
      <c r="T32" s="2109"/>
      <c r="U32" s="2722"/>
    </row>
    <row r="33" spans="1:21" s="77" customFormat="1" x14ac:dyDescent="0.35">
      <c r="A33" s="2782"/>
      <c r="B33" s="2747" t="s">
        <v>665</v>
      </c>
      <c r="C33" s="2216"/>
      <c r="D33" s="2217"/>
      <c r="E33" s="2217"/>
      <c r="F33" s="2217"/>
      <c r="G33" s="2216"/>
      <c r="H33" s="2288"/>
      <c r="I33" s="2725"/>
      <c r="J33" s="2289"/>
      <c r="K33" s="2725">
        <v>32300</v>
      </c>
      <c r="L33" s="2289"/>
      <c r="M33" s="2726">
        <v>90362</v>
      </c>
      <c r="N33" s="2289"/>
      <c r="O33" s="2726">
        <v>89049</v>
      </c>
      <c r="P33" s="2726"/>
      <c r="Q33" s="2726">
        <f>129932+260036</f>
        <v>389968</v>
      </c>
      <c r="R33" s="2726"/>
      <c r="S33" s="2726">
        <v>1004697</v>
      </c>
      <c r="T33" s="2726"/>
      <c r="U33" s="2726"/>
    </row>
    <row r="34" spans="1:21" s="77" customFormat="1" x14ac:dyDescent="0.35">
      <c r="A34" s="2782"/>
      <c r="B34" s="127" t="s">
        <v>874</v>
      </c>
      <c r="C34" s="2211"/>
      <c r="D34" s="2212"/>
      <c r="E34" s="2212"/>
      <c r="F34" s="2212"/>
      <c r="G34" s="2211"/>
      <c r="H34" s="2109"/>
      <c r="I34" s="2742"/>
      <c r="J34" s="2109" t="s">
        <v>669</v>
      </c>
      <c r="K34" s="2722"/>
      <c r="L34" s="2109"/>
      <c r="M34" s="2722"/>
      <c r="N34" s="2109"/>
      <c r="O34" s="2722"/>
      <c r="P34" s="2109"/>
      <c r="Q34" s="2722"/>
      <c r="R34" s="2109"/>
      <c r="S34" s="2722"/>
      <c r="T34" s="2109"/>
      <c r="U34" s="2722"/>
    </row>
    <row r="35" spans="1:21" s="77" customFormat="1" x14ac:dyDescent="0.35">
      <c r="A35" s="2783"/>
      <c r="B35" s="2772"/>
      <c r="C35" s="2236"/>
      <c r="D35" s="2212"/>
      <c r="E35" s="2212"/>
      <c r="F35" s="2212"/>
      <c r="G35" s="2211"/>
      <c r="H35" s="2109"/>
      <c r="I35" s="2742"/>
      <c r="J35" s="2109"/>
      <c r="K35" s="2722"/>
      <c r="L35" s="2109"/>
      <c r="M35" s="2722"/>
      <c r="N35" s="2109"/>
      <c r="O35" s="2722"/>
      <c r="P35" s="2109"/>
      <c r="Q35" s="2722"/>
      <c r="R35" s="2109"/>
      <c r="S35" s="2722"/>
      <c r="T35" s="2109"/>
      <c r="U35" s="2722"/>
    </row>
    <row r="36" spans="1:21" s="77" customFormat="1" x14ac:dyDescent="0.35">
      <c r="A36" s="2783"/>
      <c r="B36" s="2771" t="s">
        <v>3109</v>
      </c>
      <c r="C36" s="2236"/>
      <c r="D36" s="2212"/>
      <c r="E36" s="2212"/>
      <c r="F36" s="2212"/>
      <c r="G36" s="2211"/>
      <c r="H36" s="2109" t="s">
        <v>669</v>
      </c>
      <c r="I36" s="2742"/>
      <c r="J36" s="2109" t="s">
        <v>669</v>
      </c>
      <c r="K36" s="2742"/>
      <c r="L36" s="2109" t="s">
        <v>669</v>
      </c>
      <c r="M36" s="2722"/>
      <c r="N36" s="2109" t="s">
        <v>669</v>
      </c>
      <c r="O36" s="2722"/>
      <c r="P36" s="2109" t="s">
        <v>669</v>
      </c>
      <c r="Q36" s="2722"/>
      <c r="R36" s="2109"/>
      <c r="S36" s="2722"/>
      <c r="T36" s="2109"/>
      <c r="U36" s="2722"/>
    </row>
    <row r="37" spans="1:21" s="77" customFormat="1" x14ac:dyDescent="0.35">
      <c r="A37" s="2783"/>
      <c r="B37" s="2772" t="s">
        <v>3110</v>
      </c>
      <c r="C37" s="2236"/>
      <c r="D37" s="2475">
        <v>3</v>
      </c>
      <c r="E37" s="2212"/>
      <c r="F37" s="2212"/>
      <c r="G37" s="2211"/>
      <c r="H37" s="2109" t="s">
        <v>669</v>
      </c>
      <c r="I37" s="2742">
        <f>15803*3</f>
        <v>47409</v>
      </c>
      <c r="J37" s="2109" t="s">
        <v>669</v>
      </c>
      <c r="K37" s="2742"/>
      <c r="L37" s="2109" t="s">
        <v>669</v>
      </c>
      <c r="M37" s="2722"/>
      <c r="N37" s="2109" t="s">
        <v>669</v>
      </c>
      <c r="O37" s="2722"/>
      <c r="P37" s="2109" t="s">
        <v>669</v>
      </c>
      <c r="Q37" s="2722"/>
      <c r="R37" s="2109"/>
      <c r="S37" s="2722"/>
      <c r="T37" s="2109"/>
      <c r="U37" s="2722"/>
    </row>
    <row r="38" spans="1:21" s="77" customFormat="1" x14ac:dyDescent="0.35">
      <c r="A38" s="2783"/>
      <c r="B38" s="2772" t="s">
        <v>3111</v>
      </c>
      <c r="C38" s="2236"/>
      <c r="D38" s="2475">
        <v>3</v>
      </c>
      <c r="E38" s="2212"/>
      <c r="F38" s="2212"/>
      <c r="G38" s="2211"/>
      <c r="H38" s="2109" t="s">
        <v>669</v>
      </c>
      <c r="I38" s="2742">
        <f>3961*3</f>
        <v>11883</v>
      </c>
      <c r="J38" s="2109" t="s">
        <v>669</v>
      </c>
      <c r="K38" s="2742">
        <f>2675*D38</f>
        <v>8025</v>
      </c>
      <c r="L38" s="2109" t="s">
        <v>669</v>
      </c>
      <c r="M38" s="2742"/>
      <c r="N38" s="2109" t="s">
        <v>669</v>
      </c>
      <c r="O38" s="2742"/>
      <c r="P38" s="2109" t="s">
        <v>669</v>
      </c>
      <c r="Q38" s="2722"/>
      <c r="R38" s="2109"/>
      <c r="S38" s="2722"/>
      <c r="T38" s="2109"/>
      <c r="U38" s="2722"/>
    </row>
    <row r="39" spans="1:21" s="77" customFormat="1" x14ac:dyDescent="0.35">
      <c r="A39" s="2783"/>
      <c r="B39" s="2772" t="s">
        <v>3112</v>
      </c>
      <c r="C39" s="2236"/>
      <c r="D39" s="2475">
        <v>3</v>
      </c>
      <c r="E39" s="2212"/>
      <c r="F39" s="2212"/>
      <c r="G39" s="2211"/>
      <c r="H39" s="2109" t="s">
        <v>669</v>
      </c>
      <c r="I39" s="2742">
        <f>3975*3</f>
        <v>11925</v>
      </c>
      <c r="J39" s="2109" t="s">
        <v>669</v>
      </c>
      <c r="K39" s="2742">
        <f>3670*D39</f>
        <v>11010</v>
      </c>
      <c r="L39" s="2109" t="s">
        <v>669</v>
      </c>
      <c r="M39" s="2742"/>
      <c r="N39" s="2109" t="s">
        <v>669</v>
      </c>
      <c r="O39" s="2742"/>
      <c r="P39" s="2109" t="s">
        <v>669</v>
      </c>
      <c r="Q39" s="2722"/>
      <c r="R39" s="2109"/>
      <c r="S39" s="2722"/>
      <c r="T39" s="2109"/>
      <c r="U39" s="2722"/>
    </row>
    <row r="40" spans="1:21" s="77" customFormat="1" x14ac:dyDescent="0.35">
      <c r="A40" s="2783"/>
      <c r="B40" s="2772" t="s">
        <v>3113</v>
      </c>
      <c r="C40" s="2236"/>
      <c r="D40" s="2475">
        <v>3</v>
      </c>
      <c r="E40" s="2212"/>
      <c r="F40" s="2212"/>
      <c r="G40" s="2211"/>
      <c r="H40" s="2109" t="s">
        <v>669</v>
      </c>
      <c r="I40" s="2742">
        <f>12900*3</f>
        <v>38700</v>
      </c>
      <c r="J40" s="2109" t="s">
        <v>669</v>
      </c>
      <c r="K40" s="2742">
        <f>D40*13900</f>
        <v>41700</v>
      </c>
      <c r="L40" s="2038" t="s">
        <v>669</v>
      </c>
      <c r="M40" s="2742">
        <f>D40*12892</f>
        <v>38676</v>
      </c>
      <c r="N40" s="2038" t="s">
        <v>669</v>
      </c>
      <c r="O40" s="2742">
        <f>D40*12892</f>
        <v>38676</v>
      </c>
      <c r="P40" s="2109" t="s">
        <v>669</v>
      </c>
      <c r="Q40" s="2722"/>
      <c r="R40" s="2109"/>
      <c r="S40" s="2722"/>
      <c r="T40" s="2109"/>
      <c r="U40" s="2722"/>
    </row>
    <row r="41" spans="1:21" s="77" customFormat="1" x14ac:dyDescent="0.35">
      <c r="A41" s="2783"/>
      <c r="B41" s="2772" t="s">
        <v>3114</v>
      </c>
      <c r="C41" s="2236"/>
      <c r="D41" s="2475">
        <v>21</v>
      </c>
      <c r="E41" s="2212"/>
      <c r="F41" s="2212"/>
      <c r="G41" s="2211"/>
      <c r="H41" s="2109" t="s">
        <v>669</v>
      </c>
      <c r="I41" s="2742">
        <f>21*3250</f>
        <v>68250</v>
      </c>
      <c r="J41" s="2109" t="s">
        <v>669</v>
      </c>
      <c r="K41" s="2742">
        <f>D41*3650</f>
        <v>76650</v>
      </c>
      <c r="L41" s="2038" t="s">
        <v>669</v>
      </c>
      <c r="M41" s="2742">
        <f>1850*D41</f>
        <v>38850</v>
      </c>
      <c r="N41" s="2038" t="s">
        <v>669</v>
      </c>
      <c r="O41" s="2742">
        <f>D41*1850</f>
        <v>38850</v>
      </c>
      <c r="P41" s="2109" t="s">
        <v>669</v>
      </c>
      <c r="Q41" s="2722"/>
      <c r="R41" s="2109"/>
      <c r="S41" s="2722"/>
      <c r="T41" s="2109"/>
      <c r="U41" s="2722"/>
    </row>
    <row r="42" spans="1:21" s="77" customFormat="1" x14ac:dyDescent="0.35">
      <c r="A42" s="2783"/>
      <c r="B42" s="2772" t="s">
        <v>3115</v>
      </c>
      <c r="C42" s="2236"/>
      <c r="D42" s="2475">
        <v>6</v>
      </c>
      <c r="E42" s="2212"/>
      <c r="F42" s="2212"/>
      <c r="G42" s="2211"/>
      <c r="H42" s="2109" t="s">
        <v>669</v>
      </c>
      <c r="I42" s="2742">
        <f>6*3250</f>
        <v>19500</v>
      </c>
      <c r="J42" s="2109" t="s">
        <v>669</v>
      </c>
      <c r="K42" s="2742">
        <f>3650*D42</f>
        <v>21900</v>
      </c>
      <c r="L42" s="2038" t="s">
        <v>669</v>
      </c>
      <c r="M42" s="2742">
        <f>D42*2524</f>
        <v>15144</v>
      </c>
      <c r="N42" s="2038" t="s">
        <v>669</v>
      </c>
      <c r="O42" s="2742">
        <f>D42*2524</f>
        <v>15144</v>
      </c>
      <c r="P42" s="2109" t="s">
        <v>669</v>
      </c>
      <c r="Q42" s="2722"/>
      <c r="R42" s="2109"/>
      <c r="S42" s="2722"/>
      <c r="T42" s="2109"/>
      <c r="U42" s="2722"/>
    </row>
    <row r="43" spans="1:21" s="77" customFormat="1" x14ac:dyDescent="0.35">
      <c r="A43" s="2783"/>
      <c r="B43" s="2772" t="s">
        <v>3116</v>
      </c>
      <c r="C43" s="2236"/>
      <c r="D43" s="2475">
        <f>8*3</f>
        <v>24</v>
      </c>
      <c r="E43" s="2212"/>
      <c r="F43" s="2212"/>
      <c r="G43" s="2211"/>
      <c r="H43" s="2109" t="s">
        <v>669</v>
      </c>
      <c r="I43" s="2742">
        <f>24*375</f>
        <v>9000</v>
      </c>
      <c r="J43" s="2038" t="s">
        <v>654</v>
      </c>
      <c r="K43" s="2742">
        <f>D43*375</f>
        <v>9000</v>
      </c>
      <c r="L43" s="2038" t="s">
        <v>654</v>
      </c>
      <c r="M43" s="2742">
        <f>375*D43</f>
        <v>9000</v>
      </c>
      <c r="N43" s="2038" t="s">
        <v>669</v>
      </c>
      <c r="O43" s="2742">
        <f>300*D43</f>
        <v>7200</v>
      </c>
      <c r="P43" s="2109" t="s">
        <v>669</v>
      </c>
      <c r="Q43" s="2722"/>
      <c r="R43" s="2109"/>
      <c r="S43" s="2722"/>
      <c r="T43" s="2109"/>
      <c r="U43" s="2722"/>
    </row>
    <row r="44" spans="1:21" s="77" customFormat="1" x14ac:dyDescent="0.35">
      <c r="A44" s="2783"/>
      <c r="B44" s="2772" t="s">
        <v>3117</v>
      </c>
      <c r="C44" s="2236"/>
      <c r="D44" s="2475">
        <v>3</v>
      </c>
      <c r="E44" s="2212"/>
      <c r="F44" s="2212"/>
      <c r="G44" s="2211"/>
      <c r="H44" s="2109" t="s">
        <v>669</v>
      </c>
      <c r="I44" s="2742"/>
      <c r="J44" s="2109" t="s">
        <v>669</v>
      </c>
      <c r="K44" s="2742">
        <f>340*D44</f>
        <v>1020</v>
      </c>
      <c r="L44" s="2109" t="s">
        <v>669</v>
      </c>
      <c r="M44" s="2742"/>
      <c r="N44" s="2109" t="s">
        <v>669</v>
      </c>
      <c r="O44" s="2742"/>
      <c r="P44" s="2109" t="s">
        <v>669</v>
      </c>
      <c r="Q44" s="2722"/>
      <c r="R44" s="2109"/>
      <c r="S44" s="2722"/>
      <c r="T44" s="2109"/>
      <c r="U44" s="2722"/>
    </row>
    <row r="45" spans="1:21" s="77" customFormat="1" x14ac:dyDescent="0.35">
      <c r="A45" s="2783"/>
      <c r="B45" s="2772" t="s">
        <v>3118</v>
      </c>
      <c r="C45" s="2236"/>
      <c r="D45" s="2475">
        <v>3</v>
      </c>
      <c r="E45" s="2212"/>
      <c r="F45" s="2212"/>
      <c r="G45" s="2211"/>
      <c r="H45" s="2109" t="s">
        <v>669</v>
      </c>
      <c r="I45" s="2742">
        <f>2250*3</f>
        <v>6750</v>
      </c>
      <c r="J45" s="2109" t="s">
        <v>669</v>
      </c>
      <c r="K45" s="2742">
        <f>D46*3100</f>
        <v>9300</v>
      </c>
      <c r="L45" s="2109" t="s">
        <v>669</v>
      </c>
      <c r="M45" s="2742"/>
      <c r="N45" s="2109" t="s">
        <v>669</v>
      </c>
      <c r="O45" s="2742">
        <v>1500</v>
      </c>
      <c r="P45" s="2109" t="s">
        <v>669</v>
      </c>
      <c r="Q45" s="2722"/>
      <c r="R45" s="2109"/>
      <c r="S45" s="2722"/>
      <c r="T45" s="2109"/>
      <c r="U45" s="2722"/>
    </row>
    <row r="46" spans="1:21" s="77" customFormat="1" x14ac:dyDescent="0.35">
      <c r="A46" s="2783"/>
      <c r="B46" s="2772" t="s">
        <v>3119</v>
      </c>
      <c r="C46" s="2236"/>
      <c r="D46" s="2475">
        <v>3</v>
      </c>
      <c r="E46" s="2212"/>
      <c r="F46" s="2212"/>
      <c r="G46" s="2211"/>
      <c r="H46" s="2109"/>
      <c r="I46" s="2742"/>
      <c r="J46" s="2109" t="s">
        <v>669</v>
      </c>
      <c r="K46" s="2742">
        <f>D47*3100</f>
        <v>9300</v>
      </c>
      <c r="L46" s="2109"/>
      <c r="M46" s="2742"/>
      <c r="N46" s="2109"/>
      <c r="O46" s="2742"/>
      <c r="P46" s="2109" t="s">
        <v>669</v>
      </c>
      <c r="Q46" s="2722"/>
      <c r="R46" s="2109"/>
      <c r="S46" s="2722"/>
      <c r="T46" s="2109"/>
      <c r="U46" s="2722"/>
    </row>
    <row r="47" spans="1:21" s="77" customFormat="1" x14ac:dyDescent="0.35">
      <c r="A47" s="2783"/>
      <c r="B47" s="2772" t="s">
        <v>3120</v>
      </c>
      <c r="C47" s="2236" t="s">
        <v>3121</v>
      </c>
      <c r="D47" s="2475">
        <v>3</v>
      </c>
      <c r="E47" s="2212"/>
      <c r="F47" s="2212"/>
      <c r="G47" s="2211"/>
      <c r="H47" s="2038" t="s">
        <v>671</v>
      </c>
      <c r="I47" s="2742"/>
      <c r="J47" s="2038" t="s">
        <v>671</v>
      </c>
      <c r="K47" s="2742"/>
      <c r="L47" s="2038" t="s">
        <v>671</v>
      </c>
      <c r="M47" s="2742"/>
      <c r="N47" s="2038" t="s">
        <v>671</v>
      </c>
      <c r="O47" s="2742"/>
      <c r="P47" s="2038" t="s">
        <v>671</v>
      </c>
      <c r="Q47" s="2722"/>
      <c r="R47" s="2109"/>
      <c r="S47" s="2722"/>
      <c r="T47" s="2109"/>
      <c r="U47" s="2722"/>
    </row>
    <row r="48" spans="1:21" s="77" customFormat="1" x14ac:dyDescent="0.35">
      <c r="A48" s="2783"/>
      <c r="B48" s="2771" t="s">
        <v>3122</v>
      </c>
      <c r="C48" s="2236"/>
      <c r="D48" s="2212"/>
      <c r="E48" s="2212"/>
      <c r="F48" s="2212"/>
      <c r="G48" s="2211"/>
      <c r="H48" s="2109"/>
      <c r="I48" s="2742"/>
      <c r="J48" s="2109"/>
      <c r="K48" s="2742"/>
      <c r="L48" s="2109"/>
      <c r="M48" s="2742"/>
      <c r="N48" s="2109"/>
      <c r="O48" s="2742"/>
      <c r="P48" s="2109"/>
      <c r="Q48" s="2722"/>
      <c r="R48" s="2109"/>
      <c r="S48" s="2722"/>
      <c r="T48" s="2109"/>
      <c r="U48" s="2722"/>
    </row>
    <row r="49" spans="1:21" s="77" customFormat="1" x14ac:dyDescent="0.35">
      <c r="A49" s="2783"/>
      <c r="B49" s="2772" t="s">
        <v>3110</v>
      </c>
      <c r="C49" s="2236"/>
      <c r="D49" s="2475">
        <v>2</v>
      </c>
      <c r="E49" s="2212"/>
      <c r="F49" s="2212"/>
      <c r="G49" s="2211"/>
      <c r="H49" s="2109" t="s">
        <v>669</v>
      </c>
      <c r="I49" s="2742">
        <f>15803*2</f>
        <v>31606</v>
      </c>
      <c r="J49" s="2109" t="s">
        <v>669</v>
      </c>
      <c r="K49" s="2742"/>
      <c r="L49" s="2109" t="s">
        <v>669</v>
      </c>
      <c r="M49" s="2742"/>
      <c r="N49" s="2109" t="s">
        <v>669</v>
      </c>
      <c r="O49" s="2742"/>
      <c r="P49" s="2109" t="s">
        <v>669</v>
      </c>
      <c r="Q49" s="2722"/>
      <c r="R49" s="2109"/>
      <c r="S49" s="2722"/>
      <c r="T49" s="2109"/>
      <c r="U49" s="2722"/>
    </row>
    <row r="50" spans="1:21" s="77" customFormat="1" x14ac:dyDescent="0.35">
      <c r="A50" s="2783"/>
      <c r="B50" s="2772" t="s">
        <v>3111</v>
      </c>
      <c r="C50" s="2236"/>
      <c r="D50" s="2475">
        <v>2</v>
      </c>
      <c r="E50" s="2212"/>
      <c r="F50" s="2212"/>
      <c r="G50" s="2211"/>
      <c r="H50" s="2109" t="s">
        <v>669</v>
      </c>
      <c r="I50" s="2742">
        <f>3961*2</f>
        <v>7922</v>
      </c>
      <c r="J50" s="2109" t="s">
        <v>669</v>
      </c>
      <c r="K50" s="2742">
        <f>2675*D50</f>
        <v>5350</v>
      </c>
      <c r="L50" s="2109" t="s">
        <v>669</v>
      </c>
      <c r="M50" s="2742"/>
      <c r="N50" s="2109" t="s">
        <v>669</v>
      </c>
      <c r="O50" s="2742"/>
      <c r="P50" s="2109" t="s">
        <v>669</v>
      </c>
      <c r="Q50" s="2722"/>
      <c r="R50" s="2109"/>
      <c r="S50" s="2722"/>
      <c r="T50" s="2109"/>
      <c r="U50" s="2722"/>
    </row>
    <row r="51" spans="1:21" s="77" customFormat="1" x14ac:dyDescent="0.35">
      <c r="A51" s="2783"/>
      <c r="B51" s="2772" t="s">
        <v>3112</v>
      </c>
      <c r="C51" s="2236"/>
      <c r="D51" s="2475">
        <v>2</v>
      </c>
      <c r="E51" s="2212"/>
      <c r="F51" s="2212"/>
      <c r="G51" s="2211"/>
      <c r="H51" s="2109" t="s">
        <v>669</v>
      </c>
      <c r="I51" s="2742">
        <f>3975*2</f>
        <v>7950</v>
      </c>
      <c r="J51" s="2109" t="s">
        <v>669</v>
      </c>
      <c r="K51" s="2742">
        <f>3670*D51</f>
        <v>7340</v>
      </c>
      <c r="L51" s="2109" t="s">
        <v>669</v>
      </c>
      <c r="M51" s="2742"/>
      <c r="N51" s="2109" t="s">
        <v>669</v>
      </c>
      <c r="O51" s="2742"/>
      <c r="P51" s="2109" t="s">
        <v>669</v>
      </c>
      <c r="Q51" s="2722"/>
      <c r="R51" s="2109"/>
      <c r="S51" s="2722"/>
      <c r="T51" s="2109"/>
      <c r="U51" s="2722"/>
    </row>
    <row r="52" spans="1:21" s="77" customFormat="1" x14ac:dyDescent="0.35">
      <c r="A52" s="2783"/>
      <c r="B52" s="2772" t="s">
        <v>3123</v>
      </c>
      <c r="C52" s="2236"/>
      <c r="D52" s="2475">
        <v>2</v>
      </c>
      <c r="E52" s="2212"/>
      <c r="F52" s="2212"/>
      <c r="G52" s="2211"/>
      <c r="H52" s="2109" t="s">
        <v>669</v>
      </c>
      <c r="I52" s="2742">
        <f>12900*2</f>
        <v>25800</v>
      </c>
      <c r="J52" s="2109" t="s">
        <v>669</v>
      </c>
      <c r="K52" s="2742">
        <f>D52*13900</f>
        <v>27800</v>
      </c>
      <c r="L52" s="2038" t="s">
        <v>669</v>
      </c>
      <c r="M52" s="2742">
        <f>D52*12892</f>
        <v>25784</v>
      </c>
      <c r="N52" s="2038" t="s">
        <v>669</v>
      </c>
      <c r="O52" s="2742">
        <f>D52*12892</f>
        <v>25784</v>
      </c>
      <c r="P52" s="2109" t="s">
        <v>669</v>
      </c>
      <c r="Q52" s="2722"/>
      <c r="R52" s="2109"/>
      <c r="S52" s="2722"/>
      <c r="T52" s="2109"/>
      <c r="U52" s="2722"/>
    </row>
    <row r="53" spans="1:21" s="77" customFormat="1" x14ac:dyDescent="0.35">
      <c r="A53" s="2783"/>
      <c r="B53" s="2772" t="s">
        <v>3114</v>
      </c>
      <c r="C53" s="2236"/>
      <c r="D53" s="2475">
        <v>14</v>
      </c>
      <c r="E53" s="2212"/>
      <c r="F53" s="2212"/>
      <c r="G53" s="2211"/>
      <c r="H53" s="2109" t="s">
        <v>669</v>
      </c>
      <c r="I53" s="2742">
        <f>14*3250</f>
        <v>45500</v>
      </c>
      <c r="J53" s="2109" t="s">
        <v>669</v>
      </c>
      <c r="K53" s="2742">
        <f>D53*3650</f>
        <v>51100</v>
      </c>
      <c r="L53" s="2038" t="s">
        <v>669</v>
      </c>
      <c r="M53" s="2742">
        <f>1850*D53</f>
        <v>25900</v>
      </c>
      <c r="N53" s="2038" t="s">
        <v>669</v>
      </c>
      <c r="O53" s="2742">
        <f>D53*1850</f>
        <v>25900</v>
      </c>
      <c r="P53" s="2109" t="s">
        <v>669</v>
      </c>
      <c r="Q53" s="2722"/>
      <c r="R53" s="2109"/>
      <c r="S53" s="2722"/>
      <c r="T53" s="2109"/>
      <c r="U53" s="2722"/>
    </row>
    <row r="54" spans="1:21" s="77" customFormat="1" x14ac:dyDescent="0.35">
      <c r="A54" s="2783"/>
      <c r="B54" s="2772" t="s">
        <v>3115</v>
      </c>
      <c r="C54" s="2236"/>
      <c r="D54" s="2475">
        <v>4</v>
      </c>
      <c r="E54" s="2212"/>
      <c r="F54" s="2212"/>
      <c r="G54" s="2211"/>
      <c r="H54" s="2109" t="s">
        <v>669</v>
      </c>
      <c r="I54" s="2742">
        <f>4*3250</f>
        <v>13000</v>
      </c>
      <c r="J54" s="2109" t="s">
        <v>669</v>
      </c>
      <c r="K54" s="2742">
        <f>3650*D54</f>
        <v>14600</v>
      </c>
      <c r="L54" s="2038" t="s">
        <v>669</v>
      </c>
      <c r="M54" s="2742">
        <f>D54*2524</f>
        <v>10096</v>
      </c>
      <c r="N54" s="2038" t="s">
        <v>669</v>
      </c>
      <c r="O54" s="2742">
        <f>D54*2524</f>
        <v>10096</v>
      </c>
      <c r="P54" s="2109" t="s">
        <v>669</v>
      </c>
      <c r="Q54" s="2722"/>
      <c r="R54" s="2109"/>
      <c r="S54" s="2722"/>
      <c r="T54" s="2109"/>
      <c r="U54" s="2722"/>
    </row>
    <row r="55" spans="1:21" s="77" customFormat="1" x14ac:dyDescent="0.35">
      <c r="A55" s="2783"/>
      <c r="B55" s="2772" t="s">
        <v>3116</v>
      </c>
      <c r="C55" s="2236"/>
      <c r="D55" s="2475">
        <f>8*2</f>
        <v>16</v>
      </c>
      <c r="E55" s="2212"/>
      <c r="F55" s="2212"/>
      <c r="G55" s="2211"/>
      <c r="H55" s="2109" t="s">
        <v>669</v>
      </c>
      <c r="I55" s="2742">
        <f>16*375</f>
        <v>6000</v>
      </c>
      <c r="J55" s="2038" t="s">
        <v>654</v>
      </c>
      <c r="K55" s="2742">
        <f>D55*375</f>
        <v>6000</v>
      </c>
      <c r="L55" s="2038" t="s">
        <v>654</v>
      </c>
      <c r="M55" s="2742">
        <f>375*D55</f>
        <v>6000</v>
      </c>
      <c r="N55" s="2038" t="s">
        <v>669</v>
      </c>
      <c r="O55" s="2742">
        <f>300*D55</f>
        <v>4800</v>
      </c>
      <c r="P55" s="2109" t="s">
        <v>669</v>
      </c>
      <c r="Q55" s="2722"/>
      <c r="R55" s="2109"/>
      <c r="S55" s="2722"/>
      <c r="T55" s="2109"/>
      <c r="U55" s="2722"/>
    </row>
    <row r="56" spans="1:21" s="77" customFormat="1" x14ac:dyDescent="0.35">
      <c r="A56" s="2783"/>
      <c r="B56" s="2772" t="s">
        <v>3117</v>
      </c>
      <c r="C56" s="2236"/>
      <c r="D56" s="2475">
        <v>2</v>
      </c>
      <c r="E56" s="2212"/>
      <c r="F56" s="2212"/>
      <c r="G56" s="2211"/>
      <c r="H56" s="2109" t="s">
        <v>669</v>
      </c>
      <c r="I56" s="2742"/>
      <c r="J56" s="2109" t="s">
        <v>669</v>
      </c>
      <c r="K56" s="2742">
        <f>340*D56</f>
        <v>680</v>
      </c>
      <c r="L56" s="2109" t="s">
        <v>669</v>
      </c>
      <c r="M56" s="2742"/>
      <c r="N56" s="2109" t="s">
        <v>669</v>
      </c>
      <c r="O56" s="2742"/>
      <c r="P56" s="2109" t="s">
        <v>669</v>
      </c>
      <c r="Q56" s="2722"/>
      <c r="R56" s="2109"/>
      <c r="S56" s="2722"/>
      <c r="T56" s="2109"/>
      <c r="U56" s="2722"/>
    </row>
    <row r="57" spans="1:21" s="77" customFormat="1" x14ac:dyDescent="0.35">
      <c r="A57" s="2783"/>
      <c r="B57" s="2772" t="s">
        <v>3118</v>
      </c>
      <c r="C57" s="2236"/>
      <c r="D57" s="2475">
        <v>2</v>
      </c>
      <c r="E57" s="2212"/>
      <c r="F57" s="2212"/>
      <c r="G57" s="2211"/>
      <c r="H57" s="2109" t="s">
        <v>669</v>
      </c>
      <c r="I57" s="2742">
        <f>2250*2</f>
        <v>4500</v>
      </c>
      <c r="J57" s="2109" t="s">
        <v>669</v>
      </c>
      <c r="K57" s="2742">
        <f>D58*3100</f>
        <v>6200</v>
      </c>
      <c r="L57" s="2109" t="s">
        <v>669</v>
      </c>
      <c r="M57" s="2742"/>
      <c r="N57" s="2109" t="s">
        <v>669</v>
      </c>
      <c r="O57" s="2742"/>
      <c r="P57" s="2109" t="s">
        <v>669</v>
      </c>
      <c r="Q57" s="2722"/>
      <c r="R57" s="2109"/>
      <c r="S57" s="2722"/>
      <c r="T57" s="2109"/>
      <c r="U57" s="2722"/>
    </row>
    <row r="58" spans="1:21" s="77" customFormat="1" x14ac:dyDescent="0.35">
      <c r="A58" s="2783"/>
      <c r="B58" s="2772" t="s">
        <v>3119</v>
      </c>
      <c r="C58" s="2236"/>
      <c r="D58" s="2475">
        <v>2</v>
      </c>
      <c r="E58" s="2212"/>
      <c r="F58" s="2212"/>
      <c r="G58" s="2211"/>
      <c r="H58" s="2109" t="s">
        <v>669</v>
      </c>
      <c r="I58" s="2742"/>
      <c r="J58" s="2109" t="s">
        <v>669</v>
      </c>
      <c r="K58" s="2742">
        <f>D59*3100</f>
        <v>6200</v>
      </c>
      <c r="L58" s="2109"/>
      <c r="M58" s="2742"/>
      <c r="N58" s="2109"/>
      <c r="O58" s="2742"/>
      <c r="P58" s="2109" t="s">
        <v>669</v>
      </c>
      <c r="Q58" s="2722"/>
      <c r="R58" s="2109"/>
      <c r="S58" s="2722"/>
      <c r="T58" s="2109"/>
      <c r="U58" s="2722"/>
    </row>
    <row r="59" spans="1:21" s="77" customFormat="1" x14ac:dyDescent="0.35">
      <c r="A59" s="2783"/>
      <c r="B59" s="2772" t="s">
        <v>3120</v>
      </c>
      <c r="C59" s="2236" t="s">
        <v>3121</v>
      </c>
      <c r="D59" s="2475">
        <v>2</v>
      </c>
      <c r="E59" s="2212"/>
      <c r="F59" s="2212"/>
      <c r="G59" s="2211"/>
      <c r="H59" s="2038" t="s">
        <v>671</v>
      </c>
      <c r="I59" s="2742"/>
      <c r="J59" s="2038" t="s">
        <v>671</v>
      </c>
      <c r="K59" s="2742"/>
      <c r="L59" s="2038" t="s">
        <v>671</v>
      </c>
      <c r="M59" s="2742"/>
      <c r="N59" s="2038" t="s">
        <v>671</v>
      </c>
      <c r="O59" s="2742"/>
      <c r="P59" s="2038" t="s">
        <v>671</v>
      </c>
      <c r="Q59" s="2722"/>
      <c r="R59" s="2109"/>
      <c r="S59" s="2722"/>
      <c r="T59" s="2109"/>
      <c r="U59" s="2722"/>
    </row>
    <row r="60" spans="1:21" s="77" customFormat="1" x14ac:dyDescent="0.35">
      <c r="A60" s="2783"/>
      <c r="B60" s="2772"/>
      <c r="C60" s="2236"/>
      <c r="D60" s="2475"/>
      <c r="E60" s="2212"/>
      <c r="F60" s="2212"/>
      <c r="G60" s="2211"/>
      <c r="H60" s="2109"/>
      <c r="I60" s="2742"/>
      <c r="J60" s="2109"/>
      <c r="K60" s="2742"/>
      <c r="L60" s="2109"/>
      <c r="M60" s="2742"/>
      <c r="N60" s="2109"/>
      <c r="O60" s="2742"/>
      <c r="P60" s="2109"/>
      <c r="Q60" s="2722"/>
      <c r="R60" s="2109"/>
      <c r="S60" s="2722"/>
      <c r="T60" s="2109"/>
      <c r="U60" s="2722"/>
    </row>
    <row r="61" spans="1:21" s="77" customFormat="1" x14ac:dyDescent="0.35">
      <c r="A61" s="2783"/>
      <c r="B61" s="2771" t="s">
        <v>3124</v>
      </c>
      <c r="C61" s="2236"/>
      <c r="D61" s="2475">
        <v>1</v>
      </c>
      <c r="E61" s="2212"/>
      <c r="F61" s="2212"/>
      <c r="G61" s="2211"/>
      <c r="H61" s="2109"/>
      <c r="I61" s="2742"/>
      <c r="J61" s="2109"/>
      <c r="K61" s="2742"/>
      <c r="L61" s="2109"/>
      <c r="M61" s="2742"/>
      <c r="N61" s="2109"/>
      <c r="O61" s="2742"/>
      <c r="P61" s="2109"/>
      <c r="Q61" s="2722"/>
      <c r="R61" s="2109"/>
      <c r="S61" s="2722"/>
      <c r="T61" s="2109"/>
      <c r="U61" s="2722"/>
    </row>
    <row r="62" spans="1:21" s="77" customFormat="1" x14ac:dyDescent="0.35">
      <c r="A62" s="2783"/>
      <c r="B62" s="2772" t="s">
        <v>3110</v>
      </c>
      <c r="C62" s="2236"/>
      <c r="D62" s="2475"/>
      <c r="E62" s="2212"/>
      <c r="F62" s="2212"/>
      <c r="G62" s="2211"/>
      <c r="H62" s="2109" t="s">
        <v>669</v>
      </c>
      <c r="I62" s="2742">
        <f>15803</f>
        <v>15803</v>
      </c>
      <c r="J62" s="2109" t="s">
        <v>669</v>
      </c>
      <c r="K62" s="2742"/>
      <c r="L62" s="2109" t="s">
        <v>669</v>
      </c>
      <c r="M62" s="2742"/>
      <c r="N62" s="2109" t="s">
        <v>669</v>
      </c>
      <c r="O62" s="2742"/>
      <c r="P62" s="2109" t="s">
        <v>669</v>
      </c>
      <c r="Q62" s="2722"/>
      <c r="R62" s="2109"/>
      <c r="S62" s="2722"/>
      <c r="T62" s="2109"/>
      <c r="U62" s="2722"/>
    </row>
    <row r="63" spans="1:21" s="77" customFormat="1" x14ac:dyDescent="0.35">
      <c r="A63" s="2783"/>
      <c r="B63" s="2772" t="s">
        <v>3111</v>
      </c>
      <c r="C63" s="2236"/>
      <c r="D63" s="2212"/>
      <c r="E63" s="2212"/>
      <c r="F63" s="2212"/>
      <c r="G63" s="2211"/>
      <c r="H63" s="2109" t="s">
        <v>669</v>
      </c>
      <c r="I63" s="2742">
        <f>3961</f>
        <v>3961</v>
      </c>
      <c r="J63" s="2109" t="s">
        <v>669</v>
      </c>
      <c r="K63" s="2742">
        <f>2675*D63</f>
        <v>0</v>
      </c>
      <c r="L63" s="2109" t="s">
        <v>669</v>
      </c>
      <c r="M63" s="2742"/>
      <c r="N63" s="2109" t="s">
        <v>669</v>
      </c>
      <c r="O63" s="2742"/>
      <c r="P63" s="2109" t="s">
        <v>669</v>
      </c>
      <c r="Q63" s="2722"/>
      <c r="R63" s="2109"/>
      <c r="S63" s="2722"/>
      <c r="T63" s="2109"/>
      <c r="U63" s="2722"/>
    </row>
    <row r="64" spans="1:21" s="77" customFormat="1" x14ac:dyDescent="0.35">
      <c r="A64" s="2783"/>
      <c r="B64" s="2772" t="s">
        <v>3112</v>
      </c>
      <c r="C64" s="2236"/>
      <c r="D64" s="2475">
        <v>1</v>
      </c>
      <c r="E64" s="2212"/>
      <c r="F64" s="2212"/>
      <c r="G64" s="2211"/>
      <c r="H64" s="2109" t="s">
        <v>669</v>
      </c>
      <c r="I64" s="2742">
        <f>3975</f>
        <v>3975</v>
      </c>
      <c r="J64" s="2109" t="s">
        <v>669</v>
      </c>
      <c r="K64" s="2742">
        <f>3670*D64</f>
        <v>3670</v>
      </c>
      <c r="L64" s="2109" t="s">
        <v>669</v>
      </c>
      <c r="M64" s="2742"/>
      <c r="N64" s="2109" t="s">
        <v>669</v>
      </c>
      <c r="O64" s="2742"/>
      <c r="P64" s="2109" t="s">
        <v>669</v>
      </c>
      <c r="Q64" s="2722"/>
      <c r="R64" s="2109"/>
      <c r="S64" s="2722"/>
      <c r="T64" s="2109"/>
      <c r="U64" s="2722"/>
    </row>
    <row r="65" spans="1:21" s="77" customFormat="1" x14ac:dyDescent="0.35">
      <c r="A65" s="2783"/>
      <c r="B65" s="2772" t="s">
        <v>3113</v>
      </c>
      <c r="C65" s="2236"/>
      <c r="D65" s="2475">
        <v>1</v>
      </c>
      <c r="E65" s="2212"/>
      <c r="F65" s="2212"/>
      <c r="G65" s="2211"/>
      <c r="H65" s="2109" t="s">
        <v>669</v>
      </c>
      <c r="I65" s="2742">
        <f>12900</f>
        <v>12900</v>
      </c>
      <c r="J65" s="2109" t="s">
        <v>669</v>
      </c>
      <c r="K65" s="2742">
        <f>D65*13900</f>
        <v>13900</v>
      </c>
      <c r="L65" s="2038" t="s">
        <v>669</v>
      </c>
      <c r="M65" s="2742">
        <f>D65*12892</f>
        <v>12892</v>
      </c>
      <c r="N65" s="2038" t="s">
        <v>669</v>
      </c>
      <c r="O65" s="2742">
        <f>D65*12892</f>
        <v>12892</v>
      </c>
      <c r="P65" s="2109" t="s">
        <v>669</v>
      </c>
      <c r="Q65" s="2722"/>
      <c r="R65" s="2109"/>
      <c r="S65" s="2722"/>
      <c r="T65" s="2109"/>
      <c r="U65" s="2722"/>
    </row>
    <row r="66" spans="1:21" s="77" customFormat="1" x14ac:dyDescent="0.35">
      <c r="A66" s="2783"/>
      <c r="B66" s="2772" t="s">
        <v>3114</v>
      </c>
      <c r="C66" s="2236"/>
      <c r="D66" s="2475">
        <v>8</v>
      </c>
      <c r="E66" s="2212"/>
      <c r="F66" s="2212"/>
      <c r="G66" s="2211"/>
      <c r="H66" s="2109" t="s">
        <v>669</v>
      </c>
      <c r="I66" s="2742">
        <f>8*3250</f>
        <v>26000</v>
      </c>
      <c r="J66" s="2109" t="s">
        <v>669</v>
      </c>
      <c r="K66" s="2742">
        <f>D66*3650</f>
        <v>29200</v>
      </c>
      <c r="L66" s="2038" t="s">
        <v>669</v>
      </c>
      <c r="M66" s="2742">
        <f>1850*D66</f>
        <v>14800</v>
      </c>
      <c r="N66" s="2038" t="s">
        <v>669</v>
      </c>
      <c r="O66" s="2742">
        <f>D66*1850</f>
        <v>14800</v>
      </c>
      <c r="P66" s="2109" t="s">
        <v>669</v>
      </c>
      <c r="Q66" s="2722"/>
      <c r="R66" s="2109"/>
      <c r="S66" s="2722"/>
      <c r="T66" s="2109"/>
      <c r="U66" s="2722"/>
    </row>
    <row r="67" spans="1:21" s="77" customFormat="1" x14ac:dyDescent="0.35">
      <c r="A67" s="2783"/>
      <c r="B67" s="2772" t="s">
        <v>3115</v>
      </c>
      <c r="C67" s="2236"/>
      <c r="D67" s="2475">
        <v>1</v>
      </c>
      <c r="E67" s="2212"/>
      <c r="F67" s="2212"/>
      <c r="G67" s="2211"/>
      <c r="H67" s="2109" t="s">
        <v>669</v>
      </c>
      <c r="I67" s="2742">
        <f>1*3250</f>
        <v>3250</v>
      </c>
      <c r="J67" s="2109" t="s">
        <v>669</v>
      </c>
      <c r="K67" s="2742">
        <f>3650*D67</f>
        <v>3650</v>
      </c>
      <c r="L67" s="2038" t="s">
        <v>669</v>
      </c>
      <c r="M67" s="2742">
        <f>D67*2524</f>
        <v>2524</v>
      </c>
      <c r="N67" s="2038" t="s">
        <v>669</v>
      </c>
      <c r="O67" s="2742">
        <f>D67*2524</f>
        <v>2524</v>
      </c>
      <c r="P67" s="2109" t="s">
        <v>669</v>
      </c>
      <c r="Q67" s="2722"/>
      <c r="R67" s="2109"/>
      <c r="S67" s="2722"/>
      <c r="T67" s="2109"/>
      <c r="U67" s="2722"/>
    </row>
    <row r="68" spans="1:21" s="77" customFormat="1" x14ac:dyDescent="0.35">
      <c r="A68" s="2783"/>
      <c r="B68" s="2772" t="s">
        <v>3116</v>
      </c>
      <c r="C68" s="2236"/>
      <c r="D68" s="2475">
        <v>4</v>
      </c>
      <c r="E68" s="2212"/>
      <c r="F68" s="2212"/>
      <c r="G68" s="2211"/>
      <c r="H68" s="2109" t="s">
        <v>669</v>
      </c>
      <c r="I68" s="2742">
        <f>4*375</f>
        <v>1500</v>
      </c>
      <c r="J68" s="2038" t="s">
        <v>654</v>
      </c>
      <c r="K68" s="2742">
        <f>D68*375</f>
        <v>1500</v>
      </c>
      <c r="L68" s="2038" t="s">
        <v>654</v>
      </c>
      <c r="M68" s="2742">
        <f>375*D68</f>
        <v>1500</v>
      </c>
      <c r="N68" s="2038" t="s">
        <v>669</v>
      </c>
      <c r="O68" s="2742">
        <f>300*D68</f>
        <v>1200</v>
      </c>
      <c r="P68" s="2109" t="s">
        <v>669</v>
      </c>
      <c r="Q68" s="2722"/>
      <c r="R68" s="2109"/>
      <c r="S68" s="2722"/>
      <c r="T68" s="2109"/>
      <c r="U68" s="2722"/>
    </row>
    <row r="69" spans="1:21" s="77" customFormat="1" x14ac:dyDescent="0.35">
      <c r="A69" s="2783"/>
      <c r="B69" s="2772" t="s">
        <v>3117</v>
      </c>
      <c r="C69" s="2236"/>
      <c r="D69" s="2475">
        <v>1</v>
      </c>
      <c r="E69" s="2212"/>
      <c r="F69" s="2212"/>
      <c r="G69" s="2211"/>
      <c r="H69" s="2109" t="s">
        <v>669</v>
      </c>
      <c r="I69" s="2742"/>
      <c r="J69" s="2109" t="s">
        <v>669</v>
      </c>
      <c r="K69" s="2742">
        <f>340*D69</f>
        <v>340</v>
      </c>
      <c r="L69" s="2109" t="s">
        <v>669</v>
      </c>
      <c r="M69" s="2742"/>
      <c r="N69" s="2109" t="s">
        <v>669</v>
      </c>
      <c r="O69" s="2742"/>
      <c r="P69" s="2109" t="s">
        <v>669</v>
      </c>
      <c r="Q69" s="2722"/>
      <c r="R69" s="2109"/>
      <c r="S69" s="2722"/>
      <c r="T69" s="2109"/>
      <c r="U69" s="2722"/>
    </row>
    <row r="70" spans="1:21" s="77" customFormat="1" x14ac:dyDescent="0.35">
      <c r="A70" s="2783"/>
      <c r="B70" s="2772" t="s">
        <v>3118</v>
      </c>
      <c r="C70" s="2236"/>
      <c r="D70" s="2475">
        <v>1</v>
      </c>
      <c r="E70" s="2212"/>
      <c r="F70" s="2212"/>
      <c r="G70" s="2211"/>
      <c r="H70" s="2109" t="s">
        <v>669</v>
      </c>
      <c r="I70" s="2742">
        <f>2250</f>
        <v>2250</v>
      </c>
      <c r="J70" s="2109" t="s">
        <v>669</v>
      </c>
      <c r="K70" s="2742">
        <f>D71*3100</f>
        <v>3100</v>
      </c>
      <c r="L70" s="2109" t="s">
        <v>669</v>
      </c>
      <c r="M70" s="2742"/>
      <c r="N70" s="2109" t="s">
        <v>669</v>
      </c>
      <c r="O70" s="2742"/>
      <c r="P70" s="2109" t="s">
        <v>669</v>
      </c>
      <c r="Q70" s="2722"/>
      <c r="R70" s="2109"/>
      <c r="S70" s="2722"/>
      <c r="T70" s="2109"/>
      <c r="U70" s="2722"/>
    </row>
    <row r="71" spans="1:21" s="77" customFormat="1" x14ac:dyDescent="0.35">
      <c r="A71" s="2783"/>
      <c r="B71" s="2772" t="s">
        <v>3119</v>
      </c>
      <c r="C71" s="2236"/>
      <c r="D71" s="2475">
        <v>1</v>
      </c>
      <c r="E71" s="2212"/>
      <c r="F71" s="2212"/>
      <c r="G71" s="2211"/>
      <c r="H71" s="2109"/>
      <c r="I71" s="2742"/>
      <c r="J71" s="2109"/>
      <c r="K71" s="2742">
        <f>D72*3100</f>
        <v>3100</v>
      </c>
      <c r="L71" s="2109"/>
      <c r="M71" s="2742"/>
      <c r="N71" s="2109"/>
      <c r="O71" s="2742"/>
      <c r="P71" s="2109" t="s">
        <v>669</v>
      </c>
      <c r="Q71" s="2722"/>
      <c r="R71" s="2109"/>
      <c r="S71" s="2722"/>
      <c r="T71" s="2109"/>
      <c r="U71" s="2722"/>
    </row>
    <row r="72" spans="1:21" s="77" customFormat="1" x14ac:dyDescent="0.35">
      <c r="A72" s="2783"/>
      <c r="B72" s="2772" t="s">
        <v>3120</v>
      </c>
      <c r="C72" s="2236" t="s">
        <v>3121</v>
      </c>
      <c r="D72" s="2475">
        <v>1</v>
      </c>
      <c r="E72" s="2212"/>
      <c r="F72" s="2212"/>
      <c r="G72" s="2211"/>
      <c r="H72" s="2038" t="s">
        <v>671</v>
      </c>
      <c r="I72" s="2742"/>
      <c r="J72" s="2038" t="s">
        <v>671</v>
      </c>
      <c r="K72" s="2742"/>
      <c r="L72" s="2038" t="s">
        <v>671</v>
      </c>
      <c r="M72" s="2742"/>
      <c r="N72" s="2038" t="s">
        <v>671</v>
      </c>
      <c r="O72" s="2742"/>
      <c r="P72" s="2038" t="s">
        <v>671</v>
      </c>
      <c r="Q72" s="2722"/>
      <c r="R72" s="2109"/>
      <c r="S72" s="2722"/>
      <c r="T72" s="2109"/>
      <c r="U72" s="2722"/>
    </row>
    <row r="73" spans="1:21" s="77" customFormat="1" x14ac:dyDescent="0.35">
      <c r="A73" s="2783"/>
      <c r="B73" s="2772"/>
      <c r="C73" s="2236"/>
      <c r="D73" s="2212"/>
      <c r="E73" s="2212"/>
      <c r="F73" s="2212"/>
      <c r="G73" s="2211"/>
      <c r="H73" s="2109" t="s">
        <v>669</v>
      </c>
      <c r="I73" s="2742"/>
      <c r="J73" s="2109" t="s">
        <v>669</v>
      </c>
      <c r="K73" s="2742"/>
      <c r="L73" s="2109" t="s">
        <v>669</v>
      </c>
      <c r="M73" s="2722"/>
      <c r="N73" s="2109" t="s">
        <v>669</v>
      </c>
      <c r="O73" s="2722"/>
      <c r="P73" s="2109" t="s">
        <v>669</v>
      </c>
      <c r="Q73" s="2722"/>
      <c r="R73" s="2109"/>
      <c r="S73" s="2722"/>
      <c r="T73" s="2109"/>
      <c r="U73" s="2722"/>
    </row>
    <row r="74" spans="1:21" s="77" customFormat="1" x14ac:dyDescent="0.35">
      <c r="A74" s="2783"/>
      <c r="B74" s="2771" t="s">
        <v>3125</v>
      </c>
      <c r="C74" s="2236"/>
      <c r="D74" s="2212"/>
      <c r="E74" s="2212"/>
      <c r="F74" s="2212"/>
      <c r="G74" s="2211"/>
      <c r="H74" s="2109" t="s">
        <v>669</v>
      </c>
      <c r="I74" s="2742"/>
      <c r="J74" s="2109" t="s">
        <v>669</v>
      </c>
      <c r="K74" s="2742"/>
      <c r="L74" s="2109" t="s">
        <v>669</v>
      </c>
      <c r="M74" s="2722">
        <f>15000+22818</f>
        <v>37818</v>
      </c>
      <c r="N74" s="2109" t="s">
        <v>669</v>
      </c>
      <c r="O74" s="2722">
        <f>11232+15000</f>
        <v>26232</v>
      </c>
      <c r="P74" s="2109"/>
      <c r="Q74" s="2722"/>
      <c r="R74" s="2109"/>
      <c r="S74" s="2722"/>
      <c r="T74" s="2109"/>
      <c r="U74" s="2722"/>
    </row>
    <row r="75" spans="1:21" s="77" customFormat="1" x14ac:dyDescent="0.35">
      <c r="A75" s="2783"/>
      <c r="B75" s="2772" t="s">
        <v>3126</v>
      </c>
      <c r="C75" s="2236"/>
      <c r="D75" s="2357"/>
      <c r="E75" s="2212"/>
      <c r="F75" s="2212"/>
      <c r="G75" s="2211"/>
      <c r="H75" s="2109" t="s">
        <v>669</v>
      </c>
      <c r="I75" s="2742"/>
      <c r="J75" s="2109" t="s">
        <v>669</v>
      </c>
      <c r="K75" s="2742"/>
      <c r="L75" s="2109" t="s">
        <v>669</v>
      </c>
      <c r="M75" s="2722">
        <v>11456</v>
      </c>
      <c r="N75" s="2109" t="s">
        <v>669</v>
      </c>
      <c r="O75" s="2722">
        <v>12285</v>
      </c>
      <c r="P75" s="2109"/>
      <c r="Q75" s="2722"/>
      <c r="R75" s="2109"/>
      <c r="S75" s="2722"/>
      <c r="T75" s="2109"/>
      <c r="U75" s="2722"/>
    </row>
    <row r="76" spans="1:21" s="77" customFormat="1" x14ac:dyDescent="0.35">
      <c r="A76" s="2783"/>
      <c r="B76" s="2772"/>
      <c r="C76" s="2236"/>
      <c r="D76" s="2212"/>
      <c r="E76" s="2212"/>
      <c r="F76" s="2212"/>
      <c r="G76" s="2211"/>
      <c r="H76" s="2109"/>
      <c r="I76" s="2742"/>
      <c r="J76" s="2109"/>
      <c r="K76" s="2742"/>
      <c r="L76" s="2109"/>
      <c r="M76" s="2722"/>
      <c r="N76" s="2109"/>
      <c r="O76" s="2722"/>
      <c r="P76" s="2109"/>
      <c r="Q76" s="2722"/>
      <c r="R76" s="2109"/>
      <c r="S76" s="2722"/>
      <c r="T76" s="2109"/>
      <c r="U76" s="2722"/>
    </row>
    <row r="77" spans="1:21" s="77" customFormat="1" x14ac:dyDescent="0.35">
      <c r="A77" s="2783"/>
      <c r="B77" s="2772"/>
      <c r="C77" s="2236"/>
      <c r="D77" s="2212"/>
      <c r="E77" s="2212"/>
      <c r="F77" s="2212"/>
      <c r="G77" s="2211"/>
      <c r="H77" s="2109"/>
      <c r="I77" s="2742"/>
      <c r="J77" s="2109"/>
      <c r="K77" s="2722"/>
      <c r="L77" s="2109"/>
      <c r="M77" s="2722"/>
      <c r="N77" s="2109"/>
      <c r="O77" s="2722"/>
      <c r="P77" s="2109"/>
      <c r="Q77" s="2722"/>
      <c r="R77" s="2109"/>
      <c r="S77" s="2722"/>
      <c r="T77" s="2109"/>
      <c r="U77" s="2722"/>
    </row>
    <row r="78" spans="1:21" s="77" customFormat="1" x14ac:dyDescent="0.35">
      <c r="A78" s="2783"/>
      <c r="B78" s="2340"/>
      <c r="C78" s="2236"/>
      <c r="D78" s="2212"/>
      <c r="E78" s="2341"/>
      <c r="F78" s="2342"/>
      <c r="G78" s="2211"/>
      <c r="H78" s="2109"/>
      <c r="I78" s="2742"/>
      <c r="J78" s="2109"/>
      <c r="K78" s="2722"/>
      <c r="L78" s="2109"/>
      <c r="M78" s="2722"/>
      <c r="N78" s="2109"/>
      <c r="O78" s="2722"/>
      <c r="P78" s="2109"/>
      <c r="Q78" s="2722"/>
      <c r="R78" s="2109"/>
      <c r="S78" s="2722"/>
      <c r="T78" s="2109"/>
      <c r="U78" s="2722"/>
    </row>
    <row r="79" spans="1:21" s="77" customFormat="1" x14ac:dyDescent="0.35">
      <c r="A79" s="2783"/>
      <c r="B79" s="2340"/>
      <c r="C79" s="2236"/>
      <c r="D79" s="2212"/>
      <c r="E79" s="2341"/>
      <c r="F79" s="2342"/>
      <c r="G79" s="2211"/>
      <c r="H79" s="2109"/>
      <c r="I79" s="2742"/>
      <c r="J79" s="2109"/>
      <c r="K79" s="2722"/>
      <c r="L79" s="2109"/>
      <c r="M79" s="2722"/>
      <c r="N79" s="2109"/>
      <c r="O79" s="2722"/>
      <c r="P79" s="2109"/>
      <c r="Q79" s="2722"/>
      <c r="R79" s="2109"/>
      <c r="S79" s="2722"/>
      <c r="T79" s="2109"/>
      <c r="U79" s="2722"/>
    </row>
    <row r="80" spans="1:21" x14ac:dyDescent="0.35">
      <c r="A80" s="14"/>
      <c r="B80" s="15"/>
      <c r="C80" s="16"/>
      <c r="D80" s="16"/>
      <c r="E80" s="17"/>
      <c r="F80" s="18" t="s">
        <v>715</v>
      </c>
      <c r="G80" s="19"/>
      <c r="H80" s="20"/>
      <c r="I80" s="50">
        <f>SUM(I23:I79)</f>
        <v>425334</v>
      </c>
      <c r="J80" s="20"/>
      <c r="K80" s="50">
        <f>SUM(K23:K79)</f>
        <v>403935</v>
      </c>
      <c r="L80" s="20"/>
      <c r="M80" s="50">
        <f>SUM(M23:M79)</f>
        <v>340802</v>
      </c>
      <c r="N80" s="20"/>
      <c r="O80" s="50">
        <f>SUM(O23:O79)</f>
        <v>326932</v>
      </c>
      <c r="P80" s="20"/>
      <c r="Q80" s="50">
        <f>SUM(Q23:Q79)</f>
        <v>389968</v>
      </c>
      <c r="R80" s="20"/>
      <c r="S80" s="50">
        <f>SUM(S23:S79)</f>
        <v>1004697</v>
      </c>
      <c r="T80" s="20"/>
      <c r="U80" s="50">
        <f>SUM(U23:U79)</f>
        <v>0</v>
      </c>
    </row>
    <row r="81" spans="1:21" x14ac:dyDescent="0.35">
      <c r="A81" s="2239"/>
      <c r="B81" s="2240"/>
      <c r="C81" s="2241"/>
      <c r="D81" s="2241"/>
      <c r="E81" s="2242"/>
      <c r="F81" s="2243" t="s">
        <v>716</v>
      </c>
      <c r="G81" s="2244"/>
      <c r="H81" s="2065">
        <v>0</v>
      </c>
      <c r="I81" s="2064"/>
      <c r="J81" s="2065">
        <v>0</v>
      </c>
      <c r="K81" s="2064"/>
      <c r="L81" s="2065">
        <v>0</v>
      </c>
      <c r="M81" s="2064"/>
      <c r="N81" s="2065">
        <v>0</v>
      </c>
      <c r="O81" s="2064"/>
      <c r="P81" s="2065">
        <v>0</v>
      </c>
      <c r="Q81" s="2064"/>
      <c r="R81" s="2065">
        <v>0</v>
      </c>
      <c r="S81" s="2064"/>
      <c r="T81" s="2065">
        <v>0</v>
      </c>
      <c r="U81" s="2064"/>
    </row>
    <row r="82" spans="1:21" x14ac:dyDescent="0.35">
      <c r="A82" s="2239"/>
      <c r="B82" s="2240"/>
      <c r="C82" s="2241"/>
      <c r="D82" s="2241"/>
      <c r="E82" s="2242"/>
      <c r="F82" s="2243" t="s">
        <v>717</v>
      </c>
      <c r="G82" s="2244"/>
      <c r="H82" s="2066"/>
      <c r="I82" s="2067">
        <f>H81*I80</f>
        <v>0</v>
      </c>
      <c r="J82" s="2066"/>
      <c r="K82" s="2067">
        <f>J81*K80</f>
        <v>0</v>
      </c>
      <c r="L82" s="2066"/>
      <c r="M82" s="2067">
        <f>L81*M80</f>
        <v>0</v>
      </c>
      <c r="N82" s="2066"/>
      <c r="O82" s="2067">
        <f>N81*O80</f>
        <v>0</v>
      </c>
      <c r="P82" s="2066"/>
      <c r="Q82" s="2067">
        <f>P81*Q80</f>
        <v>0</v>
      </c>
      <c r="R82" s="2066"/>
      <c r="S82" s="2067">
        <f>R81*S80</f>
        <v>0</v>
      </c>
      <c r="T82" s="2066"/>
      <c r="U82" s="2067">
        <f>T81*U80</f>
        <v>0</v>
      </c>
    </row>
    <row r="83" spans="1:21" x14ac:dyDescent="0.35">
      <c r="A83" s="2239"/>
      <c r="B83" s="2240"/>
      <c r="C83" s="2241"/>
      <c r="D83" s="2241"/>
      <c r="E83" s="2242"/>
      <c r="F83" s="2243"/>
      <c r="G83" s="2244"/>
      <c r="H83" s="2066"/>
      <c r="I83" s="2068"/>
      <c r="J83" s="2066"/>
      <c r="K83" s="2068"/>
      <c r="L83" s="2066"/>
      <c r="M83" s="2068"/>
      <c r="N83" s="2066"/>
      <c r="O83" s="2068"/>
      <c r="P83" s="2066"/>
      <c r="Q83" s="2068"/>
      <c r="R83" s="2066"/>
      <c r="S83" s="2068"/>
      <c r="T83" s="2066"/>
      <c r="U83" s="2068"/>
    </row>
    <row r="84" spans="1:21" x14ac:dyDescent="0.35">
      <c r="A84" s="2239"/>
      <c r="B84" s="2240"/>
      <c r="C84" s="2241"/>
      <c r="D84" s="2241"/>
      <c r="E84" s="2242"/>
      <c r="F84" s="2243" t="s">
        <v>718</v>
      </c>
      <c r="G84" s="2244"/>
      <c r="H84" s="2069"/>
      <c r="I84" s="2070">
        <f>SUM(I80:I82)</f>
        <v>425334</v>
      </c>
      <c r="J84" s="2069"/>
      <c r="K84" s="2070">
        <f>SUM(K80:K82)</f>
        <v>403935</v>
      </c>
      <c r="L84" s="2069"/>
      <c r="M84" s="2070">
        <f>SUM(M80:M82)</f>
        <v>340802</v>
      </c>
      <c r="N84" s="2069"/>
      <c r="O84" s="2070">
        <f>SUM(O80:O82)</f>
        <v>326932</v>
      </c>
      <c r="P84" s="2069"/>
      <c r="Q84" s="2070">
        <f>SUM(Q80:Q82)</f>
        <v>389968</v>
      </c>
      <c r="R84" s="2069"/>
      <c r="S84" s="2070">
        <f>SUM(S80:S82)</f>
        <v>1004697</v>
      </c>
      <c r="T84" s="2069"/>
      <c r="U84" s="2070">
        <f>SUM(U80:U82)</f>
        <v>0</v>
      </c>
    </row>
    <row r="85" spans="1:21" x14ac:dyDescent="0.35">
      <c r="A85" s="2239"/>
      <c r="B85" s="2240"/>
      <c r="C85" s="2241"/>
      <c r="D85" s="2241"/>
      <c r="E85" s="2242"/>
      <c r="F85" s="2255" t="s">
        <v>719</v>
      </c>
      <c r="G85" s="2256"/>
      <c r="H85" s="2073"/>
      <c r="I85" s="2074" t="e">
        <f>I84/#REF!</f>
        <v>#REF!</v>
      </c>
      <c r="J85" s="2073"/>
      <c r="K85" s="2074" t="e">
        <f>K84/#REF!</f>
        <v>#REF!</v>
      </c>
      <c r="L85" s="2073"/>
      <c r="M85" s="2074" t="e">
        <f>M84/#REF!</f>
        <v>#REF!</v>
      </c>
      <c r="N85" s="2073"/>
      <c r="O85" s="2074" t="e">
        <f>O84/#REF!</f>
        <v>#REF!</v>
      </c>
      <c r="P85" s="2073"/>
      <c r="Q85" s="2074" t="e">
        <f>Q84/#REF!</f>
        <v>#REF!</v>
      </c>
      <c r="R85" s="2073"/>
      <c r="S85" s="2074" t="e">
        <f>S84/#REF!</f>
        <v>#REF!</v>
      </c>
      <c r="T85" s="2073"/>
      <c r="U85" s="2074" t="e">
        <f>U84/#REF!</f>
        <v>#REF!</v>
      </c>
    </row>
    <row r="86" spans="1:21" x14ac:dyDescent="0.35">
      <c r="A86" s="2239"/>
      <c r="B86" s="2240"/>
      <c r="C86" s="2241"/>
      <c r="D86" s="2241"/>
      <c r="E86" s="2242"/>
      <c r="F86" s="2255" t="s">
        <v>720</v>
      </c>
      <c r="G86" s="2260"/>
      <c r="H86" s="2073"/>
      <c r="I86" s="2074" t="e">
        <f>I84/#REF!</f>
        <v>#REF!</v>
      </c>
      <c r="J86" s="2073"/>
      <c r="K86" s="2074" t="e">
        <f>K84/#REF!</f>
        <v>#REF!</v>
      </c>
      <c r="L86" s="2073"/>
      <c r="M86" s="2074" t="e">
        <f>M84/#REF!</f>
        <v>#REF!</v>
      </c>
      <c r="N86" s="2073"/>
      <c r="O86" s="2074" t="e">
        <f>O84/#REF!</f>
        <v>#REF!</v>
      </c>
      <c r="P86" s="2073"/>
      <c r="Q86" s="2074" t="e">
        <f>Q84/#REF!</f>
        <v>#REF!</v>
      </c>
      <c r="R86" s="2073"/>
      <c r="S86" s="2074" t="e">
        <f>S84/#REF!</f>
        <v>#REF!</v>
      </c>
      <c r="T86" s="2073"/>
      <c r="U86" s="2074" t="e">
        <f>U84/#REF!</f>
        <v>#REF!</v>
      </c>
    </row>
    <row r="87" spans="1:21" x14ac:dyDescent="0.35">
      <c r="A87" s="2239"/>
      <c r="B87" s="2240"/>
      <c r="C87" s="2241"/>
      <c r="D87" s="2241"/>
      <c r="E87" s="2242"/>
      <c r="F87" s="2243"/>
      <c r="G87" s="2261"/>
      <c r="H87" s="2077"/>
      <c r="I87" s="2078"/>
      <c r="J87" s="2079"/>
      <c r="K87" s="2079"/>
      <c r="L87" s="2079"/>
      <c r="M87" s="2079"/>
      <c r="N87" s="2079"/>
      <c r="O87" s="2079"/>
      <c r="P87" s="2079"/>
      <c r="Q87" s="2079"/>
      <c r="R87" s="2077"/>
      <c r="S87" s="2078"/>
      <c r="T87" s="2077"/>
      <c r="U87" s="2078"/>
    </row>
    <row r="88" spans="1:21" x14ac:dyDescent="0.35">
      <c r="A88" s="3764" t="s">
        <v>721</v>
      </c>
      <c r="B88" s="3765"/>
      <c r="C88" s="12"/>
      <c r="D88" s="12"/>
      <c r="E88" s="12"/>
      <c r="F88" s="12"/>
      <c r="G88" s="13"/>
      <c r="H88" s="21"/>
      <c r="I88" s="21"/>
      <c r="J88" s="21"/>
      <c r="K88" s="21"/>
      <c r="L88" s="21"/>
      <c r="M88" s="21"/>
      <c r="N88" s="21"/>
      <c r="O88" s="21"/>
      <c r="P88" s="21"/>
      <c r="Q88" s="21"/>
      <c r="R88" s="21"/>
      <c r="S88" s="21"/>
      <c r="T88" s="21"/>
      <c r="U88" s="21"/>
    </row>
    <row r="89" spans="1:21" x14ac:dyDescent="0.35">
      <c r="A89" s="2784"/>
      <c r="B89" s="2284"/>
      <c r="C89" s="2785"/>
      <c r="D89" s="2785"/>
      <c r="E89" s="2785"/>
      <c r="F89" s="2785"/>
      <c r="G89" s="2786"/>
      <c r="H89" s="2734"/>
      <c r="I89" s="2734"/>
      <c r="J89" s="2734"/>
      <c r="K89" s="2734"/>
      <c r="L89" s="2734"/>
      <c r="M89" s="2734"/>
      <c r="N89" s="2734"/>
      <c r="O89" s="2734"/>
      <c r="P89" s="2734"/>
      <c r="Q89" s="2734"/>
      <c r="R89" s="2734"/>
      <c r="S89" s="2734"/>
      <c r="T89" s="2734"/>
      <c r="U89" s="2734"/>
    </row>
    <row r="90" spans="1:21" s="2" customFormat="1" x14ac:dyDescent="0.35">
      <c r="A90" s="2784"/>
      <c r="B90" s="2284"/>
      <c r="C90" s="2785"/>
      <c r="D90" s="2785"/>
      <c r="E90" s="2785"/>
      <c r="F90" s="2785"/>
      <c r="G90" s="2786"/>
      <c r="H90" s="2734"/>
      <c r="I90" s="2734"/>
      <c r="J90" s="2734"/>
      <c r="K90" s="2734"/>
      <c r="L90" s="2734"/>
      <c r="M90" s="2734"/>
      <c r="N90" s="2734"/>
      <c r="O90" s="2734"/>
      <c r="P90" s="2734"/>
      <c r="Q90" s="2734"/>
      <c r="R90" s="2734"/>
      <c r="S90" s="2734"/>
      <c r="T90" s="2734"/>
      <c r="U90" s="2734"/>
    </row>
    <row r="91" spans="1:21" s="2" customFormat="1" x14ac:dyDescent="0.35">
      <c r="A91" s="2784"/>
      <c r="B91" s="2284"/>
      <c r="C91" s="2785"/>
      <c r="D91" s="2785"/>
      <c r="E91" s="2785"/>
      <c r="F91" s="2785"/>
      <c r="G91" s="2786"/>
      <c r="H91" s="2734"/>
      <c r="I91" s="2734"/>
      <c r="J91" s="2734"/>
      <c r="K91" s="2734"/>
      <c r="L91" s="2734"/>
      <c r="M91" s="2734"/>
      <c r="N91" s="2734"/>
      <c r="O91" s="2734"/>
      <c r="P91" s="2734"/>
      <c r="Q91" s="2734"/>
      <c r="R91" s="2734"/>
      <c r="S91" s="2734"/>
      <c r="T91" s="2734"/>
      <c r="U91" s="2734"/>
    </row>
    <row r="92" spans="1:21" x14ac:dyDescent="0.35">
      <c r="A92" s="3764" t="s">
        <v>722</v>
      </c>
      <c r="B92" s="3765"/>
      <c r="C92" s="12"/>
      <c r="D92" s="12"/>
      <c r="E92" s="12"/>
      <c r="F92" s="12"/>
      <c r="G92" s="13"/>
      <c r="H92" s="21"/>
      <c r="I92" s="21"/>
      <c r="J92" s="21"/>
      <c r="K92" s="21"/>
      <c r="L92" s="21"/>
      <c r="M92" s="21"/>
      <c r="N92" s="21"/>
      <c r="O92" s="21"/>
      <c r="P92" s="21"/>
      <c r="Q92" s="21"/>
      <c r="R92" s="21"/>
      <c r="S92" s="21"/>
      <c r="T92" s="21"/>
      <c r="U92" s="21"/>
    </row>
    <row r="93" spans="1:21" s="2" customFormat="1" x14ac:dyDescent="0.35">
      <c r="A93" s="2784"/>
      <c r="B93" s="2284"/>
      <c r="C93" s="2785"/>
      <c r="D93" s="2785"/>
      <c r="E93" s="2785"/>
      <c r="F93" s="2785"/>
      <c r="G93" s="2786"/>
      <c r="H93" s="2734"/>
      <c r="I93" s="2734"/>
      <c r="J93" s="2734"/>
      <c r="K93" s="2734"/>
      <c r="L93" s="2734"/>
      <c r="M93" s="2734"/>
      <c r="N93" s="2734"/>
      <c r="O93" s="2734"/>
      <c r="P93" s="2734"/>
      <c r="Q93" s="2734"/>
      <c r="R93" s="2734"/>
      <c r="S93" s="2734"/>
      <c r="T93" s="2734"/>
      <c r="U93" s="2734"/>
    </row>
    <row r="94" spans="1:21" s="2" customFormat="1" x14ac:dyDescent="0.35">
      <c r="A94" s="2784"/>
      <c r="B94" s="2284"/>
      <c r="C94" s="2785"/>
      <c r="D94" s="2785"/>
      <c r="E94" s="2785"/>
      <c r="F94" s="2785"/>
      <c r="G94" s="2786"/>
      <c r="H94" s="2734"/>
      <c r="I94" s="2734"/>
      <c r="J94" s="2734"/>
      <c r="K94" s="2734"/>
      <c r="L94" s="2734"/>
      <c r="M94" s="2734"/>
      <c r="N94" s="2734"/>
      <c r="O94" s="2734"/>
      <c r="P94" s="2734"/>
      <c r="Q94" s="2734"/>
      <c r="R94" s="2734"/>
      <c r="S94" s="2734"/>
      <c r="T94" s="2734"/>
      <c r="U94" s="2734"/>
    </row>
    <row r="95" spans="1:21" x14ac:dyDescent="0.35">
      <c r="A95" s="2784"/>
      <c r="B95" s="2284"/>
      <c r="C95" s="2785"/>
      <c r="D95" s="2785"/>
      <c r="E95" s="2785"/>
      <c r="F95" s="2785"/>
      <c r="G95" s="2786"/>
      <c r="H95" s="2734"/>
      <c r="I95" s="2734"/>
      <c r="J95" s="2734"/>
      <c r="K95" s="2734"/>
      <c r="L95" s="2734"/>
      <c r="M95" s="2734"/>
      <c r="N95" s="2734"/>
      <c r="O95" s="2734"/>
      <c r="P95" s="2734"/>
      <c r="Q95" s="2734"/>
      <c r="R95" s="2734"/>
      <c r="S95" s="2734"/>
      <c r="T95" s="2734"/>
      <c r="U95" s="2734"/>
    </row>
    <row r="96" spans="1:21" x14ac:dyDescent="0.35">
      <c r="A96" s="3764" t="s">
        <v>723</v>
      </c>
      <c r="B96" s="3765"/>
      <c r="C96" s="12"/>
      <c r="D96" s="12"/>
      <c r="E96" s="12"/>
      <c r="F96" s="12"/>
      <c r="G96" s="13"/>
      <c r="H96" s="21"/>
      <c r="I96" s="21"/>
      <c r="J96" s="21"/>
      <c r="K96" s="21"/>
      <c r="L96" s="21"/>
      <c r="M96" s="21"/>
      <c r="N96" s="21"/>
      <c r="O96" s="21"/>
      <c r="P96" s="21"/>
      <c r="Q96" s="21"/>
      <c r="R96" s="21"/>
      <c r="S96" s="21"/>
      <c r="T96" s="21"/>
      <c r="U96" s="21"/>
    </row>
    <row r="97" spans="1:21" x14ac:dyDescent="0.35">
      <c r="A97" s="2784"/>
      <c r="B97" s="2772" t="s">
        <v>3127</v>
      </c>
      <c r="C97" s="2785"/>
      <c r="D97" s="2785"/>
      <c r="E97" s="2785"/>
      <c r="F97" s="2785"/>
      <c r="G97" s="2786"/>
      <c r="H97" s="2734"/>
      <c r="I97" s="2734">
        <f>4940*6</f>
        <v>29640</v>
      </c>
      <c r="J97" s="2734"/>
      <c r="K97" s="2734">
        <v>36000</v>
      </c>
      <c r="L97" s="2734"/>
      <c r="M97" s="2734"/>
      <c r="N97" s="2734"/>
      <c r="O97" s="2734"/>
      <c r="P97" s="2734"/>
      <c r="Q97" s="2734"/>
      <c r="R97" s="2734"/>
      <c r="S97" s="2734"/>
      <c r="T97" s="2734"/>
      <c r="U97" s="2734"/>
    </row>
    <row r="98" spans="1:21" x14ac:dyDescent="0.35">
      <c r="A98" s="2286"/>
      <c r="B98" s="2284"/>
      <c r="C98" s="2285"/>
      <c r="D98" s="2285"/>
      <c r="E98" s="2285"/>
      <c r="F98" s="2285"/>
      <c r="G98" s="2198"/>
      <c r="H98" s="2081"/>
      <c r="I98" s="2081"/>
      <c r="J98" s="2081"/>
      <c r="K98" s="2081"/>
      <c r="L98" s="2081"/>
      <c r="M98" s="2081"/>
      <c r="N98" s="2081"/>
      <c r="O98" s="2081"/>
      <c r="P98" s="2081"/>
      <c r="Q98" s="2081"/>
      <c r="R98" s="2081"/>
      <c r="S98" s="2081"/>
      <c r="T98" s="2081"/>
      <c r="U98" s="2081"/>
    </row>
    <row r="99" spans="1:21" x14ac:dyDescent="0.35">
      <c r="A99" s="2269"/>
      <c r="B99" s="2270"/>
      <c r="C99" s="2285"/>
      <c r="D99" s="2285"/>
      <c r="E99" s="2285"/>
      <c r="F99" s="2285"/>
      <c r="G99" s="2198"/>
      <c r="H99" s="2084"/>
      <c r="I99" s="2084"/>
      <c r="J99" s="2084"/>
      <c r="K99" s="2084"/>
      <c r="L99" s="2084"/>
      <c r="M99" s="2084"/>
      <c r="N99" s="2084"/>
      <c r="O99" s="2084"/>
      <c r="P99" s="2084"/>
      <c r="Q99" s="2084"/>
      <c r="R99" s="2084"/>
      <c r="S99" s="2084"/>
      <c r="T99" s="2084"/>
      <c r="U99" s="2084"/>
    </row>
    <row r="100" spans="1:21" x14ac:dyDescent="0.35">
      <c r="A100" s="3764" t="s">
        <v>724</v>
      </c>
      <c r="B100" s="3765"/>
      <c r="C100" s="12"/>
      <c r="D100" s="12"/>
      <c r="E100" s="12"/>
      <c r="F100" s="12"/>
      <c r="G100" s="13"/>
      <c r="H100" s="21"/>
      <c r="I100" s="21"/>
      <c r="J100" s="21"/>
      <c r="K100" s="21"/>
      <c r="L100" s="21"/>
      <c r="M100" s="21"/>
      <c r="N100" s="21"/>
      <c r="O100" s="21"/>
      <c r="P100" s="21"/>
      <c r="Q100" s="21"/>
      <c r="R100" s="21"/>
      <c r="S100" s="21"/>
      <c r="T100" s="21"/>
      <c r="U100" s="21"/>
    </row>
    <row r="101" spans="1:21" x14ac:dyDescent="0.35">
      <c r="A101" s="2787"/>
      <c r="B101" s="2788"/>
      <c r="C101" s="2785"/>
      <c r="D101" s="2785"/>
      <c r="E101" s="2785"/>
      <c r="F101" s="2785"/>
      <c r="G101" s="2786"/>
      <c r="H101" s="2734"/>
      <c r="I101" s="2734"/>
      <c r="J101" s="2734"/>
      <c r="K101" s="2734"/>
      <c r="L101" s="2734"/>
      <c r="M101" s="2734"/>
      <c r="N101" s="2734"/>
      <c r="O101" s="2734"/>
      <c r="P101" s="2734"/>
      <c r="Q101" s="2734"/>
      <c r="R101" s="2734"/>
      <c r="S101" s="2734"/>
      <c r="T101" s="2734"/>
      <c r="U101" s="2734"/>
    </row>
    <row r="102" spans="1:21" x14ac:dyDescent="0.35">
      <c r="A102" s="2269"/>
      <c r="B102" s="2270"/>
      <c r="C102" s="2285"/>
      <c r="D102" s="2285"/>
      <c r="E102" s="2285"/>
      <c r="F102" s="2285"/>
      <c r="G102" s="2198"/>
      <c r="H102" s="2087"/>
      <c r="I102" s="2087"/>
      <c r="J102" s="2087"/>
      <c r="K102" s="2087"/>
      <c r="L102" s="2087"/>
      <c r="M102" s="2087"/>
      <c r="N102" s="2087"/>
      <c r="O102" s="2087"/>
      <c r="P102" s="2087"/>
      <c r="Q102" s="2087"/>
      <c r="R102" s="2087"/>
      <c r="S102" s="2087"/>
      <c r="T102" s="2087"/>
      <c r="U102" s="2087"/>
    </row>
    <row r="103" spans="1:21" x14ac:dyDescent="0.35">
      <c r="A103" s="2269"/>
      <c r="B103" s="2270"/>
      <c r="C103" s="2285"/>
      <c r="D103" s="2285"/>
      <c r="E103" s="2285"/>
      <c r="F103" s="2285"/>
      <c r="G103" s="2198"/>
      <c r="H103" s="2087"/>
      <c r="I103" s="2087"/>
      <c r="J103" s="2087"/>
      <c r="K103" s="2087"/>
      <c r="L103" s="2087"/>
      <c r="M103" s="2087"/>
      <c r="N103" s="2087"/>
      <c r="O103" s="2087"/>
      <c r="P103" s="2087"/>
      <c r="Q103" s="2087"/>
      <c r="R103" s="2087"/>
      <c r="S103" s="2087"/>
      <c r="T103" s="2087"/>
      <c r="U103" s="2087"/>
    </row>
    <row r="104" spans="1:21" x14ac:dyDescent="0.35">
      <c r="A104" s="3764" t="s">
        <v>725</v>
      </c>
      <c r="B104" s="3765"/>
      <c r="C104" s="12"/>
      <c r="D104" s="12"/>
      <c r="E104" s="12"/>
      <c r="F104" s="12"/>
      <c r="G104" s="13"/>
      <c r="H104" s="21"/>
      <c r="I104" s="21"/>
      <c r="J104" s="21"/>
      <c r="K104" s="21"/>
      <c r="L104" s="21"/>
      <c r="M104" s="21"/>
      <c r="N104" s="21"/>
      <c r="O104" s="21"/>
      <c r="P104" s="21"/>
      <c r="Q104" s="21"/>
      <c r="R104" s="21"/>
      <c r="S104" s="21"/>
      <c r="T104" s="21"/>
      <c r="U104" s="21"/>
    </row>
    <row r="105" spans="1:21" x14ac:dyDescent="0.35">
      <c r="A105" s="2286"/>
      <c r="B105" s="2284" t="s">
        <v>726</v>
      </c>
      <c r="C105" s="2285"/>
      <c r="D105" s="2285"/>
      <c r="E105" s="2285"/>
      <c r="F105" s="2285"/>
      <c r="G105" s="2198"/>
      <c r="H105" s="2087"/>
      <c r="I105" s="2087"/>
      <c r="J105" s="2087"/>
      <c r="K105" s="2087"/>
      <c r="L105" s="2087"/>
      <c r="M105" s="2087"/>
      <c r="N105" s="2087"/>
      <c r="O105" s="2087"/>
      <c r="P105" s="2087"/>
      <c r="Q105" s="2087"/>
      <c r="R105" s="2087"/>
      <c r="S105" s="2087"/>
      <c r="T105" s="2087"/>
      <c r="U105" s="2087"/>
    </row>
    <row r="106" spans="1:21" x14ac:dyDescent="0.35">
      <c r="A106" s="2286"/>
      <c r="B106" s="2284" t="s">
        <v>727</v>
      </c>
      <c r="C106" s="2285"/>
      <c r="D106" s="2285"/>
      <c r="E106" s="2285"/>
      <c r="F106" s="2285"/>
      <c r="G106" s="2198"/>
      <c r="H106" s="2087"/>
      <c r="I106" s="2087"/>
      <c r="J106" s="2087"/>
      <c r="K106" s="2087"/>
      <c r="L106" s="2087"/>
      <c r="M106" s="2087"/>
      <c r="N106" s="2087"/>
      <c r="O106" s="2087"/>
      <c r="P106" s="2087"/>
      <c r="Q106" s="2087"/>
      <c r="R106" s="2087"/>
      <c r="S106" s="2087"/>
      <c r="T106" s="2087"/>
      <c r="U106" s="2087"/>
    </row>
    <row r="107" spans="1:21" x14ac:dyDescent="0.35">
      <c r="A107" s="2286"/>
      <c r="B107" s="2284" t="s">
        <v>728</v>
      </c>
      <c r="C107" s="2285"/>
      <c r="D107" s="2285"/>
      <c r="E107" s="2285"/>
      <c r="F107" s="2285"/>
      <c r="G107" s="2198"/>
      <c r="H107" s="2087"/>
      <c r="I107" s="2087"/>
      <c r="J107" s="2087"/>
      <c r="K107" s="2087"/>
      <c r="L107" s="2087"/>
      <c r="M107" s="2087"/>
      <c r="N107" s="2087"/>
      <c r="O107" s="2087"/>
      <c r="P107" s="2087"/>
      <c r="Q107" s="2087"/>
      <c r="R107" s="2087"/>
      <c r="S107" s="2087"/>
      <c r="T107" s="2087"/>
      <c r="U107" s="2087"/>
    </row>
    <row r="108" spans="1:21" x14ac:dyDescent="0.35">
      <c r="A108" s="2286"/>
      <c r="B108" s="2284" t="s">
        <v>729</v>
      </c>
      <c r="C108" s="2285"/>
      <c r="D108" s="2285"/>
      <c r="E108" s="2285"/>
      <c r="F108" s="2285"/>
      <c r="G108" s="2198"/>
      <c r="H108" s="2087"/>
      <c r="I108" s="2087"/>
      <c r="J108" s="2087"/>
      <c r="K108" s="2087"/>
      <c r="L108" s="2087"/>
      <c r="M108" s="2087"/>
      <c r="N108" s="2087"/>
      <c r="O108" s="2087"/>
      <c r="P108" s="2087"/>
      <c r="Q108" s="2087"/>
      <c r="R108" s="2087"/>
      <c r="S108" s="2087"/>
      <c r="T108" s="2087"/>
      <c r="U108" s="2087"/>
    </row>
    <row r="109" spans="1:21" x14ac:dyDescent="0.35">
      <c r="A109" s="978"/>
      <c r="B109" s="939"/>
      <c r="C109" s="940"/>
      <c r="D109" s="940"/>
      <c r="E109" s="940"/>
      <c r="F109" s="940"/>
      <c r="G109" s="1039"/>
      <c r="H109" s="981"/>
      <c r="I109" s="981"/>
      <c r="J109" s="981"/>
      <c r="K109" s="981"/>
      <c r="L109" s="981"/>
      <c r="M109" s="981"/>
      <c r="N109" s="981"/>
      <c r="O109" s="981"/>
      <c r="P109" s="981"/>
      <c r="Q109" s="981"/>
      <c r="R109" s="981"/>
      <c r="S109" s="981"/>
      <c r="T109" s="981"/>
      <c r="U109" s="981"/>
    </row>
    <row r="110" spans="1:21" x14ac:dyDescent="0.35">
      <c r="A110" s="7" t="s">
        <v>730</v>
      </c>
      <c r="B110" s="8"/>
      <c r="C110" s="12"/>
      <c r="D110" s="12"/>
      <c r="E110" s="12"/>
      <c r="F110" s="12"/>
      <c r="G110" s="13"/>
      <c r="H110" s="21"/>
      <c r="I110" s="21"/>
      <c r="J110" s="21"/>
      <c r="K110" s="21"/>
      <c r="L110" s="21"/>
      <c r="M110" s="21"/>
      <c r="N110" s="21"/>
      <c r="O110" s="21"/>
      <c r="P110" s="21"/>
      <c r="Q110" s="21"/>
      <c r="R110" s="21"/>
      <c r="S110" s="21"/>
      <c r="T110" s="21"/>
      <c r="U110" s="21"/>
    </row>
    <row r="111" spans="1:21" x14ac:dyDescent="0.35">
      <c r="A111" s="2784"/>
      <c r="B111" s="2789" t="s">
        <v>731</v>
      </c>
      <c r="C111" s="2785"/>
      <c r="D111" s="2785"/>
      <c r="E111" s="2785"/>
      <c r="F111" s="2785"/>
      <c r="G111" s="2786"/>
      <c r="H111" s="2730"/>
      <c r="I111" s="2730"/>
      <c r="J111" s="2730"/>
      <c r="K111" s="2730"/>
      <c r="L111" s="2730"/>
      <c r="M111" s="2730"/>
      <c r="N111" s="2730"/>
      <c r="O111" s="2730"/>
      <c r="P111" s="2730"/>
      <c r="Q111" s="2730"/>
      <c r="R111" s="2730"/>
      <c r="S111" s="2730"/>
      <c r="T111" s="2730"/>
      <c r="U111" s="2730"/>
    </row>
    <row r="112" spans="1:21" x14ac:dyDescent="0.35">
      <c r="A112" s="2286"/>
      <c r="B112" s="2284" t="s">
        <v>732</v>
      </c>
      <c r="C112" s="2285"/>
      <c r="D112" s="2285"/>
      <c r="E112" s="2285"/>
      <c r="F112" s="2285"/>
      <c r="G112" s="2198"/>
      <c r="H112" s="2158"/>
      <c r="I112" s="2158"/>
      <c r="J112" s="2158"/>
      <c r="K112" s="2158"/>
      <c r="L112" s="2158"/>
      <c r="M112" s="2158"/>
      <c r="N112" s="2158"/>
      <c r="O112" s="2158"/>
      <c r="P112" s="2158"/>
      <c r="Q112" s="2158"/>
      <c r="R112" s="2158"/>
      <c r="S112" s="2158"/>
      <c r="T112" s="2158"/>
      <c r="U112" s="2158"/>
    </row>
    <row r="113" spans="1:21" x14ac:dyDescent="0.35">
      <c r="A113" s="2089"/>
      <c r="B113" s="2090" t="s">
        <v>733</v>
      </c>
      <c r="C113" s="2091"/>
      <c r="D113" s="2091"/>
      <c r="E113" s="2091"/>
      <c r="F113" s="2091"/>
      <c r="G113" s="2092"/>
      <c r="H113" s="2093"/>
      <c r="I113" s="2093"/>
      <c r="J113" s="2093"/>
      <c r="K113" s="2093"/>
      <c r="L113" s="2093"/>
      <c r="M113" s="2093"/>
      <c r="N113" s="2093"/>
      <c r="O113" s="2093"/>
      <c r="P113" s="2093"/>
      <c r="Q113" s="2093"/>
      <c r="R113" s="2093"/>
      <c r="S113" s="2093"/>
      <c r="T113" s="2093"/>
      <c r="U113" s="2093"/>
    </row>
    <row r="115" spans="1:21" x14ac:dyDescent="0.35">
      <c r="A115" s="78" t="s">
        <v>734</v>
      </c>
      <c r="B115" s="80"/>
    </row>
    <row r="116" spans="1:21" x14ac:dyDescent="0.35">
      <c r="A116" s="79" t="s">
        <v>632</v>
      </c>
      <c r="B116" s="2094" t="str">
        <f>N4</f>
        <v>Atlas R1</v>
      </c>
    </row>
    <row r="117" spans="1:21" x14ac:dyDescent="0.35">
      <c r="A117" s="2279" t="s">
        <v>636</v>
      </c>
      <c r="B117" s="2094" t="str">
        <f>N5</f>
        <v>Jennifer Ponder</v>
      </c>
    </row>
    <row r="118" spans="1:21" x14ac:dyDescent="0.35">
      <c r="A118" s="2096" t="s">
        <v>639</v>
      </c>
      <c r="B118" s="2097">
        <f>N6</f>
        <v>6787621088</v>
      </c>
    </row>
    <row r="119" spans="1:21" x14ac:dyDescent="0.35">
      <c r="A119" s="2096" t="s">
        <v>642</v>
      </c>
      <c r="B119" s="2159" t="str">
        <f>N7</f>
        <v>jennifer@atlas-disposal.com</v>
      </c>
    </row>
    <row r="120" spans="1:21" x14ac:dyDescent="0.35">
      <c r="A120" s="2099" t="s">
        <v>735</v>
      </c>
      <c r="B120" s="2100">
        <f>N8</f>
        <v>326932</v>
      </c>
    </row>
    <row r="122" spans="1:21" x14ac:dyDescent="0.35">
      <c r="A122" s="81"/>
      <c r="B122" s="1" t="s">
        <v>736</v>
      </c>
    </row>
    <row r="123" spans="1:21" x14ac:dyDescent="0.35">
      <c r="A123" s="82"/>
      <c r="B123" s="1" t="s">
        <v>737</v>
      </c>
    </row>
  </sheetData>
  <mergeCells count="54">
    <mergeCell ref="A88:B88"/>
    <mergeCell ref="A92:B92"/>
    <mergeCell ref="A96:B96"/>
    <mergeCell ref="A100:B100"/>
    <mergeCell ref="A104:B104"/>
    <mergeCell ref="H8:I8"/>
    <mergeCell ref="J8:K8"/>
    <mergeCell ref="L8:M8"/>
    <mergeCell ref="P8:Q8"/>
    <mergeCell ref="R8:S8"/>
    <mergeCell ref="N8:O8"/>
    <mergeCell ref="H6:I6"/>
    <mergeCell ref="J6:K6"/>
    <mergeCell ref="L6:M6"/>
    <mergeCell ref="P6:Q6"/>
    <mergeCell ref="R6:S6"/>
    <mergeCell ref="H7:I7"/>
    <mergeCell ref="J7:K7"/>
    <mergeCell ref="L7:M7"/>
    <mergeCell ref="P7:Q7"/>
    <mergeCell ref="R7:S7"/>
    <mergeCell ref="N7:O7"/>
    <mergeCell ref="H4:I4"/>
    <mergeCell ref="J4:K4"/>
    <mergeCell ref="L4:M4"/>
    <mergeCell ref="P4:Q4"/>
    <mergeCell ref="R4:S4"/>
    <mergeCell ref="T4:U4"/>
    <mergeCell ref="T5:U5"/>
    <mergeCell ref="J5:K5"/>
    <mergeCell ref="L5:M5"/>
    <mergeCell ref="P5:Q5"/>
    <mergeCell ref="R5:S5"/>
    <mergeCell ref="T6:U6"/>
    <mergeCell ref="T7:U7"/>
    <mergeCell ref="T8:U8"/>
    <mergeCell ref="H2:I2"/>
    <mergeCell ref="J2:K2"/>
    <mergeCell ref="L2:M2"/>
    <mergeCell ref="P2:Q2"/>
    <mergeCell ref="R2:S2"/>
    <mergeCell ref="H3:I3"/>
    <mergeCell ref="J3:K3"/>
    <mergeCell ref="L3:M3"/>
    <mergeCell ref="P3:Q3"/>
    <mergeCell ref="R3:S3"/>
    <mergeCell ref="T2:U2"/>
    <mergeCell ref="T3:U3"/>
    <mergeCell ref="H5:I5"/>
    <mergeCell ref="N2:O2"/>
    <mergeCell ref="N3:O3"/>
    <mergeCell ref="N4:O4"/>
    <mergeCell ref="N5:O5"/>
    <mergeCell ref="N6:O6"/>
  </mergeCells>
  <conditionalFormatting sqref="H20:H32">
    <cfRule type="cellIs" dxfId="609" priority="45" operator="equal">
      <formula>"X"</formula>
    </cfRule>
    <cfRule type="cellIs" dxfId="608" priority="46" operator="equal">
      <formula>"I"</formula>
    </cfRule>
  </conditionalFormatting>
  <conditionalFormatting sqref="H34:H79">
    <cfRule type="cellIs" dxfId="607" priority="53" operator="equal">
      <formula>"X"</formula>
    </cfRule>
    <cfRule type="cellIs" dxfId="606" priority="54" operator="equal">
      <formula>"I"</formula>
    </cfRule>
  </conditionalFormatting>
  <conditionalFormatting sqref="J20:J32">
    <cfRule type="cellIs" dxfId="605" priority="43" operator="equal">
      <formula>"X"</formula>
    </cfRule>
    <cfRule type="cellIs" dxfId="604" priority="44" operator="equal">
      <formula>"I"</formula>
    </cfRule>
  </conditionalFormatting>
  <conditionalFormatting sqref="J34:J79">
    <cfRule type="cellIs" dxfId="603" priority="15" operator="equal">
      <formula>"X"</formula>
    </cfRule>
    <cfRule type="cellIs" dxfId="602" priority="16" operator="equal">
      <formula>"I"</formula>
    </cfRule>
  </conditionalFormatting>
  <conditionalFormatting sqref="L20:L21 L29:L32">
    <cfRule type="cellIs" dxfId="601" priority="75" operator="equal">
      <formula>"X"</formula>
    </cfRule>
    <cfRule type="cellIs" dxfId="600" priority="76" operator="equal">
      <formula>"I"</formula>
    </cfRule>
  </conditionalFormatting>
  <conditionalFormatting sqref="L34:L79">
    <cfRule type="cellIs" dxfId="599" priority="23" operator="equal">
      <formula>"X"</formula>
    </cfRule>
    <cfRule type="cellIs" dxfId="598" priority="24" operator="equal">
      <formula>"I"</formula>
    </cfRule>
  </conditionalFormatting>
  <conditionalFormatting sqref="N20:N21 N29 N32">
    <cfRule type="cellIs" dxfId="597" priority="13" operator="equal">
      <formula>"X"</formula>
    </cfRule>
    <cfRule type="cellIs" dxfId="596" priority="14" operator="equal">
      <formula>"I"</formula>
    </cfRule>
  </conditionalFormatting>
  <conditionalFormatting sqref="N34:N79">
    <cfRule type="cellIs" dxfId="595" priority="11" operator="equal">
      <formula>"X"</formula>
    </cfRule>
    <cfRule type="cellIs" dxfId="594" priority="12" operator="equal">
      <formula>"I"</formula>
    </cfRule>
  </conditionalFormatting>
  <conditionalFormatting sqref="P20:P32">
    <cfRule type="cellIs" dxfId="593" priority="73" operator="equal">
      <formula>"X"</formula>
    </cfRule>
    <cfRule type="cellIs" dxfId="592" priority="74" operator="equal">
      <formula>"I"</formula>
    </cfRule>
  </conditionalFormatting>
  <conditionalFormatting sqref="P34:P79">
    <cfRule type="cellIs" dxfId="591" priority="25" operator="equal">
      <formula>"X"</formula>
    </cfRule>
    <cfRule type="cellIs" dxfId="590" priority="26" operator="equal">
      <formula>"I"</formula>
    </cfRule>
  </conditionalFormatting>
  <conditionalFormatting sqref="R20:R32">
    <cfRule type="cellIs" dxfId="589" priority="71" operator="equal">
      <formula>"X"</formula>
    </cfRule>
    <cfRule type="cellIs" dxfId="588" priority="72" operator="equal">
      <formula>"I"</formula>
    </cfRule>
  </conditionalFormatting>
  <conditionalFormatting sqref="R34:R79">
    <cfRule type="cellIs" dxfId="587" priority="65" operator="equal">
      <formula>"X"</formula>
    </cfRule>
    <cfRule type="cellIs" dxfId="586" priority="66" operator="equal">
      <formula>"I"</formula>
    </cfRule>
  </conditionalFormatting>
  <conditionalFormatting sqref="T20:T32">
    <cfRule type="cellIs" dxfId="585" priority="69" operator="equal">
      <formula>"X"</formula>
    </cfRule>
    <cfRule type="cellIs" dxfId="584" priority="70" operator="equal">
      <formula>"I"</formula>
    </cfRule>
  </conditionalFormatting>
  <conditionalFormatting sqref="T34:T79">
    <cfRule type="cellIs" dxfId="583" priority="67" operator="equal">
      <formula>"X"</formula>
    </cfRule>
    <cfRule type="cellIs" dxfId="582" priority="68" operator="equal">
      <formula>"I"</formula>
    </cfRule>
  </conditionalFormatting>
  <conditionalFormatting sqref="L22:L27">
    <cfRule type="cellIs" dxfId="581" priority="9" operator="equal">
      <formula>"X"</formula>
    </cfRule>
    <cfRule type="cellIs" dxfId="580" priority="10" operator="equal">
      <formula>"I"</formula>
    </cfRule>
  </conditionalFormatting>
  <conditionalFormatting sqref="N22:N27">
    <cfRule type="cellIs" dxfId="579" priority="7" operator="equal">
      <formula>"X"</formula>
    </cfRule>
    <cfRule type="cellIs" dxfId="578" priority="8" operator="equal">
      <formula>"I"</formula>
    </cfRule>
  </conditionalFormatting>
  <conditionalFormatting sqref="L28">
    <cfRule type="cellIs" dxfId="577" priority="5" operator="equal">
      <formula>"X"</formula>
    </cfRule>
    <cfRule type="cellIs" dxfId="576" priority="6" operator="equal">
      <formula>"I"</formula>
    </cfRule>
  </conditionalFormatting>
  <conditionalFormatting sqref="N28">
    <cfRule type="cellIs" dxfId="575" priority="3" operator="equal">
      <formula>"X"</formula>
    </cfRule>
    <cfRule type="cellIs" dxfId="574" priority="4" operator="equal">
      <formula>"I"</formula>
    </cfRule>
  </conditionalFormatting>
  <conditionalFormatting sqref="N30:N31">
    <cfRule type="cellIs" dxfId="573" priority="1" operator="equal">
      <formula>"X"</formula>
    </cfRule>
    <cfRule type="cellIs" dxfId="572" priority="2" operator="equal">
      <formula>"I"</formula>
    </cfRule>
  </conditionalFormatting>
  <hyperlinks>
    <hyperlink ref="B3" location="'Cost Summary'!A1" display="BACK TO SUMMARY SHEET" xr:uid="{37842697-2EFF-4FA6-B5BA-017AC3975C51}"/>
    <hyperlink ref="H7" r:id="rId1" xr:uid="{646484EC-210F-4491-B94D-A19C598D1C43}"/>
    <hyperlink ref="J7" r:id="rId2" xr:uid="{304EFE71-8FFD-4610-A6AB-A4424F0CDF86}"/>
    <hyperlink ref="L7" r:id="rId3" xr:uid="{1A8C7AB6-5B0B-448C-89DB-0B2665D63C00}"/>
    <hyperlink ref="P7" r:id="rId4" xr:uid="{6228B1A5-1F15-4D6D-8210-B05B4B1C7C17}"/>
    <hyperlink ref="R7" r:id="rId5" xr:uid="{84AA0557-5F71-4AF9-86A3-81D18CE6C669}"/>
    <hyperlink ref="N7" r:id="rId6" xr:uid="{DC75FB67-7257-4FE7-888D-53CAC126AD5D}"/>
  </hyperlinks>
  <pageMargins left="0.7" right="0.7" top="0.75" bottom="0.75" header="0.3" footer="0.3"/>
  <pageSetup orientation="portrait" r:id="rId7"/>
  <legacyDrawing r:id="rId8"/>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CC0C-0E30-492B-B153-E6CA1B4FDA69}">
  <sheetPr>
    <tabColor rgb="FF92D050"/>
  </sheetPr>
  <dimension ref="A1:S110"/>
  <sheetViews>
    <sheetView workbookViewId="0">
      <pane xSplit="2" ySplit="9" topLeftCell="C27" activePane="bottomRight" state="frozen"/>
      <selection pane="topRight" activeCell="C1" sqref="C1"/>
      <selection pane="bottomLeft" activeCell="A11" sqref="A11"/>
      <selection pane="bottomRight" activeCell="B27" sqref="B27"/>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6.453125" style="2" bestFit="1" customWidth="1"/>
    <col min="7" max="7" width="13.54296875" style="2" bestFit="1"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866"/>
      <c r="I2" s="3866"/>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752"/>
      <c r="K4" s="3753"/>
      <c r="L4" s="3752"/>
      <c r="M4" s="3753"/>
      <c r="N4" s="3752"/>
      <c r="O4" s="3753"/>
      <c r="P4" s="3752"/>
      <c r="Q4" s="3753"/>
      <c r="R4" s="3952"/>
      <c r="S4" s="3753"/>
    </row>
    <row r="5" spans="1:19" x14ac:dyDescent="0.35">
      <c r="A5" s="2283" t="s">
        <v>634</v>
      </c>
      <c r="B5" s="2284" t="s">
        <v>3128</v>
      </c>
      <c r="C5" s="2285"/>
      <c r="D5" s="2285"/>
      <c r="E5" s="2285"/>
      <c r="F5" s="2285"/>
      <c r="G5" s="2194" t="s">
        <v>636</v>
      </c>
      <c r="H5" s="3931"/>
      <c r="I5" s="3932"/>
      <c r="J5" s="3931"/>
      <c r="K5" s="3932"/>
      <c r="L5" s="3931"/>
      <c r="M5" s="3932"/>
      <c r="N5" s="3931"/>
      <c r="O5" s="3932"/>
      <c r="P5" s="3931"/>
      <c r="Q5" s="3932"/>
      <c r="R5" s="3954"/>
      <c r="S5" s="3932"/>
    </row>
    <row r="6" spans="1:19" x14ac:dyDescent="0.35">
      <c r="A6" s="2283" t="s">
        <v>638</v>
      </c>
      <c r="B6" s="2195" t="s">
        <v>3129</v>
      </c>
      <c r="C6" s="2285"/>
      <c r="D6" s="2285"/>
      <c r="E6" s="2285"/>
      <c r="F6" s="2285"/>
      <c r="G6" s="2194" t="s">
        <v>639</v>
      </c>
      <c r="H6" s="3937"/>
      <c r="I6" s="3938"/>
      <c r="J6" s="3937"/>
      <c r="K6" s="3938"/>
      <c r="L6" s="3937"/>
      <c r="M6" s="3938"/>
      <c r="N6" s="3937"/>
      <c r="O6" s="3938"/>
      <c r="P6" s="3937"/>
      <c r="Q6" s="3938"/>
      <c r="R6" s="3953"/>
      <c r="S6" s="3938"/>
    </row>
    <row r="7" spans="1:19" x14ac:dyDescent="0.35">
      <c r="A7" s="2283" t="s">
        <v>641</v>
      </c>
      <c r="B7" s="2196"/>
      <c r="C7" s="2285"/>
      <c r="D7" s="2285"/>
      <c r="E7" s="2285"/>
      <c r="F7" s="2285"/>
      <c r="G7" s="2194" t="s">
        <v>642</v>
      </c>
      <c r="H7" s="3934"/>
      <c r="I7" s="3935"/>
      <c r="J7" s="3934"/>
      <c r="K7" s="3935"/>
      <c r="L7" s="3934"/>
      <c r="M7" s="3935"/>
      <c r="N7" s="3934"/>
      <c r="O7" s="3935"/>
      <c r="P7" s="3934"/>
      <c r="Q7" s="3935"/>
      <c r="R7" s="3955"/>
      <c r="S7" s="3935"/>
    </row>
    <row r="8" spans="1:19" x14ac:dyDescent="0.35">
      <c r="A8" s="938" t="s">
        <v>644</v>
      </c>
      <c r="B8" s="939"/>
      <c r="C8" s="940"/>
      <c r="D8" s="940"/>
      <c r="E8" s="940"/>
      <c r="F8" s="940"/>
      <c r="G8" s="1024" t="s">
        <v>644</v>
      </c>
      <c r="H8" s="3945">
        <f>I71</f>
        <v>0</v>
      </c>
      <c r="I8" s="3944"/>
      <c r="J8" s="3945">
        <f>K71</f>
        <v>0</v>
      </c>
      <c r="K8" s="3944"/>
      <c r="L8" s="3945">
        <f>M71</f>
        <v>0</v>
      </c>
      <c r="M8" s="3944"/>
      <c r="N8" s="3945">
        <f>O71</f>
        <v>0</v>
      </c>
      <c r="O8" s="3944"/>
      <c r="P8" s="3945">
        <f>Q71</f>
        <v>0</v>
      </c>
      <c r="Q8" s="3944"/>
      <c r="R8" s="3945">
        <f>S71</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790"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2286"/>
      <c r="B21" s="2203" t="s">
        <v>3128</v>
      </c>
      <c r="C21" s="2201"/>
      <c r="D21" s="2285"/>
      <c r="E21" s="2285"/>
      <c r="F21" s="2285"/>
      <c r="G21" s="2198"/>
      <c r="H21" s="2109"/>
      <c r="I21" s="2107"/>
      <c r="J21" s="2109"/>
      <c r="K21" s="2107"/>
      <c r="L21" s="2109"/>
      <c r="M21" s="2107"/>
      <c r="N21" s="2109"/>
      <c r="O21" s="2107"/>
      <c r="P21" s="2109"/>
      <c r="Q21" s="2107"/>
      <c r="R21" s="2109"/>
      <c r="S21" s="2107"/>
    </row>
    <row r="22" spans="1:19" x14ac:dyDescent="0.35">
      <c r="A22" s="2791"/>
      <c r="B22" s="606" t="s">
        <v>657</v>
      </c>
      <c r="C22" s="2201"/>
      <c r="D22" s="2285"/>
      <c r="E22" s="2285"/>
      <c r="F22" s="2285"/>
      <c r="G22" s="2198"/>
      <c r="H22" s="2109"/>
      <c r="I22" s="2792"/>
      <c r="J22" s="2109"/>
      <c r="K22" s="2792"/>
      <c r="L22" s="2109"/>
      <c r="M22" s="2792"/>
      <c r="N22" s="2109"/>
      <c r="O22" s="2792"/>
      <c r="P22" s="2109"/>
      <c r="Q22" s="2792"/>
      <c r="R22" s="2109"/>
      <c r="S22" s="2792"/>
    </row>
    <row r="23" spans="1:19" x14ac:dyDescent="0.35">
      <c r="A23" s="2791"/>
      <c r="B23" s="2793" t="s">
        <v>658</v>
      </c>
      <c r="C23" s="2201"/>
      <c r="D23" s="2285"/>
      <c r="E23" s="2285"/>
      <c r="F23" s="2285"/>
      <c r="G23" s="2198"/>
      <c r="H23" s="2109"/>
      <c r="I23" s="2794"/>
      <c r="J23" s="2109"/>
      <c r="K23" s="2792"/>
      <c r="L23" s="2109"/>
      <c r="M23" s="2792"/>
      <c r="N23" s="2109"/>
      <c r="O23" s="2792"/>
      <c r="P23" s="2109"/>
      <c r="Q23" s="2792"/>
      <c r="R23" s="2109"/>
      <c r="S23" s="2792"/>
    </row>
    <row r="24" spans="1:19" x14ac:dyDescent="0.35">
      <c r="A24" s="2791"/>
      <c r="B24" s="2793" t="s">
        <v>659</v>
      </c>
      <c r="C24" s="2208"/>
      <c r="D24" s="2285"/>
      <c r="E24" s="2285"/>
      <c r="F24" s="2285"/>
      <c r="G24" s="2198"/>
      <c r="H24" s="2109"/>
      <c r="I24" s="2794"/>
      <c r="J24" s="2109"/>
      <c r="K24" s="2792"/>
      <c r="L24" s="2109"/>
      <c r="M24" s="2792"/>
      <c r="N24" s="2109"/>
      <c r="O24" s="2792"/>
      <c r="P24" s="2109"/>
      <c r="Q24" s="2792"/>
      <c r="R24" s="2109"/>
      <c r="S24" s="2792"/>
    </row>
    <row r="25" spans="1:19" x14ac:dyDescent="0.35">
      <c r="A25" s="2791"/>
      <c r="B25" s="2795" t="s">
        <v>660</v>
      </c>
      <c r="C25" s="2208"/>
      <c r="D25" s="2285"/>
      <c r="E25" s="2285"/>
      <c r="F25" s="2285"/>
      <c r="G25" s="2198"/>
      <c r="H25" s="2109"/>
      <c r="I25" s="2794"/>
      <c r="J25" s="2109"/>
      <c r="K25" s="2792"/>
      <c r="L25" s="2109"/>
      <c r="M25" s="2792"/>
      <c r="N25" s="2109"/>
      <c r="O25" s="2792"/>
      <c r="P25" s="2109"/>
      <c r="Q25" s="2792"/>
      <c r="R25" s="2109"/>
      <c r="S25" s="2792"/>
    </row>
    <row r="26" spans="1:19" s="77" customFormat="1" x14ac:dyDescent="0.35">
      <c r="A26" s="2796"/>
      <c r="B26" s="2795" t="s">
        <v>661</v>
      </c>
      <c r="C26" s="2211"/>
      <c r="D26" s="2212"/>
      <c r="E26" s="2212"/>
      <c r="F26" s="2212"/>
      <c r="G26" s="2211"/>
      <c r="H26" s="2109"/>
      <c r="I26" s="2794"/>
      <c r="J26" s="2109"/>
      <c r="K26" s="2797"/>
      <c r="L26" s="2109"/>
      <c r="M26" s="2797"/>
      <c r="N26" s="2109"/>
      <c r="O26" s="2797"/>
      <c r="P26" s="2109"/>
      <c r="Q26" s="2797"/>
      <c r="R26" s="2109"/>
      <c r="S26" s="2797"/>
    </row>
    <row r="27" spans="1:19" s="77" customFormat="1" x14ac:dyDescent="0.35">
      <c r="A27" s="2796"/>
      <c r="B27" s="2795" t="s">
        <v>662</v>
      </c>
      <c r="C27" s="2211"/>
      <c r="D27" s="2212"/>
      <c r="E27" s="2212"/>
      <c r="F27" s="2212"/>
      <c r="G27" s="2211"/>
      <c r="H27" s="2109" t="s">
        <v>671</v>
      </c>
      <c r="I27" s="2794"/>
      <c r="J27" s="2109"/>
      <c r="K27" s="2797"/>
      <c r="L27" s="2109"/>
      <c r="M27" s="2797"/>
      <c r="N27" s="2109"/>
      <c r="O27" s="2797"/>
      <c r="P27" s="2109"/>
      <c r="Q27" s="2797"/>
      <c r="R27" s="2109"/>
      <c r="S27" s="2797"/>
    </row>
    <row r="28" spans="1:19" s="77" customFormat="1" x14ac:dyDescent="0.35">
      <c r="A28" s="2796"/>
      <c r="B28" s="2795" t="s">
        <v>663</v>
      </c>
      <c r="C28" s="2211"/>
      <c r="D28" s="2212"/>
      <c r="E28" s="2212"/>
      <c r="F28" s="2212"/>
      <c r="G28" s="2211"/>
      <c r="H28" s="2109"/>
      <c r="I28" s="2794"/>
      <c r="J28" s="2109"/>
      <c r="K28" s="2797"/>
      <c r="L28" s="2109"/>
      <c r="M28" s="2797"/>
      <c r="N28" s="2109"/>
      <c r="O28" s="2797"/>
      <c r="P28" s="2109"/>
      <c r="Q28" s="2797"/>
      <c r="R28" s="2109"/>
      <c r="S28" s="2797"/>
    </row>
    <row r="29" spans="1:19" s="77" customFormat="1" x14ac:dyDescent="0.35">
      <c r="A29" s="2796"/>
      <c r="B29" s="2798" t="s">
        <v>664</v>
      </c>
      <c r="C29" s="2211"/>
      <c r="D29" s="2212"/>
      <c r="E29" s="2212"/>
      <c r="F29" s="2212"/>
      <c r="G29" s="2211"/>
      <c r="H29" s="2109"/>
      <c r="I29" s="2794"/>
      <c r="J29" s="2109"/>
      <c r="K29" s="2797"/>
      <c r="L29" s="2109"/>
      <c r="M29" s="2797"/>
      <c r="N29" s="2109"/>
      <c r="O29" s="2797"/>
      <c r="P29" s="2109"/>
      <c r="Q29" s="2797"/>
      <c r="R29" s="2109"/>
      <c r="S29" s="2797"/>
    </row>
    <row r="30" spans="1:19" s="77" customFormat="1" x14ac:dyDescent="0.35">
      <c r="A30" s="2796"/>
      <c r="B30" s="2799" t="s">
        <v>665</v>
      </c>
      <c r="C30" s="2216"/>
      <c r="D30" s="2766"/>
      <c r="E30" s="2217"/>
      <c r="F30" s="2767"/>
      <c r="G30" s="2768"/>
      <c r="H30" s="2288"/>
      <c r="I30" s="2800"/>
      <c r="J30" s="2289"/>
      <c r="K30" s="2801"/>
      <c r="L30" s="2289"/>
      <c r="M30" s="2801"/>
      <c r="N30" s="2801"/>
      <c r="O30" s="2801"/>
      <c r="P30" s="2801"/>
      <c r="Q30" s="2801"/>
      <c r="R30" s="2801"/>
      <c r="S30" s="2801"/>
    </row>
    <row r="31" spans="1:19" s="77" customFormat="1" x14ac:dyDescent="0.35">
      <c r="A31" s="2796"/>
      <c r="B31" s="127" t="s">
        <v>874</v>
      </c>
      <c r="C31" s="2211"/>
      <c r="D31" s="2357"/>
      <c r="E31" s="2212"/>
      <c r="F31" s="2769"/>
      <c r="G31" s="2770"/>
      <c r="H31" s="2109"/>
      <c r="I31" s="2794"/>
      <c r="J31" s="2109"/>
      <c r="K31" s="2797"/>
      <c r="L31" s="2109"/>
      <c r="M31" s="2797"/>
      <c r="N31" s="2109"/>
      <c r="O31" s="2797"/>
      <c r="P31" s="2109"/>
      <c r="Q31" s="2797"/>
      <c r="R31" s="2109"/>
      <c r="S31" s="2797"/>
    </row>
    <row r="32" spans="1:19" s="77" customFormat="1" x14ac:dyDescent="0.35">
      <c r="A32" s="2802"/>
      <c r="B32" s="2772" t="s">
        <v>3130</v>
      </c>
      <c r="C32" s="2236"/>
      <c r="D32" s="2357"/>
      <c r="E32" s="2212"/>
      <c r="F32" s="2769"/>
      <c r="G32" s="2770"/>
      <c r="H32" s="2109"/>
      <c r="I32" s="2794"/>
      <c r="J32" s="2109"/>
      <c r="K32" s="2797"/>
      <c r="L32" s="2109"/>
      <c r="M32" s="2797"/>
      <c r="N32" s="2109"/>
      <c r="O32" s="2797"/>
      <c r="P32" s="2109"/>
      <c r="Q32" s="2797"/>
      <c r="R32" s="2109"/>
      <c r="S32" s="2797"/>
    </row>
    <row r="33" spans="1:19" s="77" customFormat="1" x14ac:dyDescent="0.35">
      <c r="A33" s="2802"/>
      <c r="B33" s="2772" t="s">
        <v>3131</v>
      </c>
      <c r="C33" s="2236"/>
      <c r="D33" s="2357"/>
      <c r="E33" s="2212"/>
      <c r="F33" s="2769"/>
      <c r="G33" s="2770"/>
      <c r="H33" s="2109"/>
      <c r="I33" s="2794"/>
      <c r="J33" s="2109"/>
      <c r="K33" s="2797"/>
      <c r="L33" s="2109"/>
      <c r="M33" s="2797"/>
      <c r="N33" s="2109"/>
      <c r="O33" s="2797"/>
      <c r="P33" s="2109"/>
      <c r="Q33" s="2797"/>
      <c r="R33" s="2109"/>
      <c r="S33" s="2797"/>
    </row>
    <row r="34" spans="1:19" s="77" customFormat="1" x14ac:dyDescent="0.35">
      <c r="A34" s="2802"/>
      <c r="B34" s="2772" t="s">
        <v>3132</v>
      </c>
      <c r="C34" s="2236"/>
      <c r="D34" s="2357"/>
      <c r="E34" s="2212"/>
      <c r="F34" s="2769"/>
      <c r="G34" s="2770"/>
      <c r="H34" s="2109"/>
      <c r="I34" s="2794"/>
      <c r="J34" s="2109"/>
      <c r="K34" s="2797"/>
      <c r="L34" s="2109"/>
      <c r="M34" s="2797"/>
      <c r="N34" s="2109"/>
      <c r="O34" s="2797"/>
      <c r="P34" s="2109"/>
      <c r="Q34" s="2797"/>
      <c r="R34" s="2109"/>
      <c r="S34" s="2797"/>
    </row>
    <row r="35" spans="1:19" s="77" customFormat="1" x14ac:dyDescent="0.35">
      <c r="A35" s="2802"/>
      <c r="B35" s="2772" t="s">
        <v>3133</v>
      </c>
      <c r="C35" s="2236"/>
      <c r="D35" s="2357"/>
      <c r="E35" s="2212"/>
      <c r="F35" s="2769"/>
      <c r="G35" s="2770"/>
      <c r="H35" s="2109" t="s">
        <v>669</v>
      </c>
      <c r="I35" s="2794"/>
      <c r="J35" s="2109"/>
      <c r="K35" s="2797"/>
      <c r="L35" s="2109"/>
      <c r="M35" s="2797"/>
      <c r="N35" s="2109"/>
      <c r="O35" s="2797"/>
      <c r="P35" s="2109"/>
      <c r="Q35" s="2797"/>
      <c r="R35" s="2109"/>
      <c r="S35" s="2797"/>
    </row>
    <row r="36" spans="1:19" s="77" customFormat="1" x14ac:dyDescent="0.35">
      <c r="A36" s="2802"/>
      <c r="B36" s="2772" t="s">
        <v>3134</v>
      </c>
      <c r="C36" s="2236"/>
      <c r="D36" s="2357"/>
      <c r="E36" s="2212"/>
      <c r="F36" s="2769"/>
      <c r="G36" s="2770"/>
      <c r="H36" s="2109"/>
      <c r="I36" s="2794"/>
      <c r="J36" s="2109"/>
      <c r="K36" s="2797"/>
      <c r="L36" s="2109"/>
      <c r="M36" s="2797"/>
      <c r="N36" s="2109"/>
      <c r="O36" s="2797"/>
      <c r="P36" s="2109"/>
      <c r="Q36" s="2797"/>
      <c r="R36" s="2109"/>
      <c r="S36" s="2797"/>
    </row>
    <row r="37" spans="1:19" s="77" customFormat="1" x14ac:dyDescent="0.35">
      <c r="A37" s="2802"/>
      <c r="B37" s="2772" t="s">
        <v>3135</v>
      </c>
      <c r="C37" s="2236"/>
      <c r="D37" s="2357"/>
      <c r="E37" s="2341"/>
      <c r="F37" s="2773"/>
      <c r="G37" s="2770"/>
      <c r="H37" s="2109"/>
      <c r="I37" s="2794"/>
      <c r="J37" s="2109"/>
      <c r="K37" s="2797"/>
      <c r="L37" s="2109"/>
      <c r="M37" s="2797"/>
      <c r="N37" s="2109"/>
      <c r="O37" s="2797"/>
      <c r="P37" s="2109"/>
      <c r="Q37" s="2797"/>
      <c r="R37" s="2109"/>
      <c r="S37" s="2797"/>
    </row>
    <row r="38" spans="1:19" s="77" customFormat="1" x14ac:dyDescent="0.35">
      <c r="A38" s="2802"/>
      <c r="B38" s="2772" t="s">
        <v>3136</v>
      </c>
      <c r="C38" s="2236"/>
      <c r="D38" s="2357"/>
      <c r="E38" s="2341"/>
      <c r="F38" s="2773"/>
      <c r="G38" s="2770"/>
      <c r="H38" s="2109"/>
      <c r="I38" s="2794"/>
      <c r="J38" s="2109"/>
      <c r="K38" s="2797"/>
      <c r="L38" s="2109"/>
      <c r="M38" s="2797"/>
      <c r="N38" s="2109"/>
      <c r="O38" s="2797"/>
      <c r="P38" s="2109"/>
      <c r="Q38" s="2797"/>
      <c r="R38" s="2109"/>
      <c r="S38" s="2797"/>
    </row>
    <row r="39" spans="1:19" s="77" customFormat="1" x14ac:dyDescent="0.35">
      <c r="A39" s="2802"/>
      <c r="B39" s="2772" t="s">
        <v>3137</v>
      </c>
      <c r="C39" s="2236"/>
      <c r="D39" s="2357"/>
      <c r="E39" s="2341"/>
      <c r="F39" s="2773"/>
      <c r="G39" s="2770"/>
      <c r="H39" s="2109"/>
      <c r="I39" s="2794"/>
      <c r="J39" s="2109"/>
      <c r="K39" s="2797"/>
      <c r="L39" s="2109"/>
      <c r="M39" s="2797"/>
      <c r="N39" s="2109"/>
      <c r="O39" s="2797"/>
      <c r="P39" s="2109"/>
      <c r="Q39" s="2797"/>
      <c r="R39" s="2109"/>
      <c r="S39" s="2797"/>
    </row>
    <row r="40" spans="1:19" s="77" customFormat="1" x14ac:dyDescent="0.35">
      <c r="A40" s="2802"/>
      <c r="B40" s="2772" t="s">
        <v>3138</v>
      </c>
      <c r="C40" s="2236"/>
      <c r="D40" s="2357"/>
      <c r="E40" s="2341"/>
      <c r="F40" s="2773"/>
      <c r="G40" s="2770"/>
      <c r="H40" s="2109"/>
      <c r="I40" s="2794"/>
      <c r="J40" s="2109"/>
      <c r="K40" s="2797"/>
      <c r="L40" s="2109"/>
      <c r="M40" s="2797"/>
      <c r="N40" s="2109"/>
      <c r="O40" s="2797"/>
      <c r="P40" s="2109"/>
      <c r="Q40" s="2797"/>
      <c r="R40" s="2109"/>
      <c r="S40" s="2797"/>
    </row>
    <row r="41" spans="1:19" s="77" customFormat="1" x14ac:dyDescent="0.35">
      <c r="A41" s="2802"/>
      <c r="B41" s="2772" t="s">
        <v>3139</v>
      </c>
      <c r="C41" s="2236"/>
      <c r="D41" s="2357"/>
      <c r="E41" s="2341"/>
      <c r="F41" s="2773"/>
      <c r="G41" s="2770"/>
      <c r="H41" s="2109"/>
      <c r="I41" s="2794"/>
      <c r="J41" s="2109"/>
      <c r="K41" s="2797"/>
      <c r="L41" s="2109"/>
      <c r="M41" s="2797"/>
      <c r="N41" s="2109"/>
      <c r="O41" s="2797"/>
      <c r="P41" s="2109"/>
      <c r="Q41" s="2797"/>
      <c r="R41" s="2109"/>
      <c r="S41" s="2797"/>
    </row>
    <row r="42" spans="1:19" s="77" customFormat="1" x14ac:dyDescent="0.35">
      <c r="A42" s="2802"/>
      <c r="B42" s="2772" t="s">
        <v>3140</v>
      </c>
      <c r="C42" s="2236"/>
      <c r="D42" s="2357"/>
      <c r="E42" s="2341"/>
      <c r="F42" s="2773"/>
      <c r="G42" s="2770"/>
      <c r="H42" s="2109"/>
      <c r="I42" s="2794"/>
      <c r="J42" s="2109"/>
      <c r="K42" s="2797"/>
      <c r="L42" s="2109"/>
      <c r="M42" s="2797"/>
      <c r="N42" s="2109"/>
      <c r="O42" s="2797"/>
      <c r="P42" s="2109"/>
      <c r="Q42" s="2797"/>
      <c r="R42" s="2109"/>
      <c r="S42" s="2797"/>
    </row>
    <row r="43" spans="1:19" s="77" customFormat="1" x14ac:dyDescent="0.35">
      <c r="A43" s="2802"/>
      <c r="B43" s="2772" t="s">
        <v>3074</v>
      </c>
      <c r="C43" s="2236"/>
      <c r="D43" s="2357"/>
      <c r="E43" s="2341"/>
      <c r="F43" s="2773"/>
      <c r="G43" s="2770"/>
      <c r="H43" s="2109"/>
      <c r="I43" s="2794"/>
      <c r="J43" s="2109"/>
      <c r="K43" s="2797"/>
      <c r="L43" s="2109"/>
      <c r="M43" s="2797"/>
      <c r="N43" s="2109"/>
      <c r="O43" s="2797"/>
      <c r="P43" s="2109"/>
      <c r="Q43" s="2797"/>
      <c r="R43" s="2109"/>
      <c r="S43" s="2797"/>
    </row>
    <row r="44" spans="1:19" s="77" customFormat="1" x14ac:dyDescent="0.35">
      <c r="A44" s="2802"/>
      <c r="B44" s="2772" t="s">
        <v>3075</v>
      </c>
      <c r="C44" s="2236"/>
      <c r="D44" s="2357"/>
      <c r="E44" s="2341"/>
      <c r="F44" s="2773"/>
      <c r="G44" s="2770"/>
      <c r="H44" s="2109"/>
      <c r="I44" s="2794"/>
      <c r="J44" s="2109"/>
      <c r="K44" s="2797"/>
      <c r="L44" s="2109"/>
      <c r="M44" s="2797"/>
      <c r="N44" s="2109"/>
      <c r="O44" s="2797"/>
      <c r="P44" s="2109"/>
      <c r="Q44" s="2797"/>
      <c r="R44" s="2109"/>
      <c r="S44" s="2797"/>
    </row>
    <row r="45" spans="1:19" s="77" customFormat="1" x14ac:dyDescent="0.35">
      <c r="A45" s="2802"/>
      <c r="B45" s="2772" t="s">
        <v>3076</v>
      </c>
      <c r="C45" s="2236"/>
      <c r="D45" s="2357"/>
      <c r="E45" s="2341"/>
      <c r="F45" s="2773"/>
      <c r="G45" s="2770"/>
      <c r="H45" s="2109"/>
      <c r="I45" s="2794"/>
      <c r="J45" s="2109"/>
      <c r="K45" s="2797"/>
      <c r="L45" s="2109"/>
      <c r="M45" s="2797"/>
      <c r="N45" s="2109"/>
      <c r="O45" s="2797"/>
      <c r="P45" s="2109"/>
      <c r="Q45" s="2797"/>
      <c r="R45" s="2109"/>
      <c r="S45" s="2797"/>
    </row>
    <row r="46" spans="1:19" s="77" customFormat="1" x14ac:dyDescent="0.35">
      <c r="A46" s="2802"/>
      <c r="B46" s="2772" t="s">
        <v>3141</v>
      </c>
      <c r="C46" s="2236"/>
      <c r="D46" s="2357"/>
      <c r="E46" s="2341"/>
      <c r="F46" s="2773"/>
      <c r="G46" s="2770"/>
      <c r="H46" s="2109"/>
      <c r="I46" s="2794"/>
      <c r="J46" s="2109"/>
      <c r="K46" s="2797"/>
      <c r="L46" s="2109"/>
      <c r="M46" s="2797"/>
      <c r="N46" s="2109"/>
      <c r="O46" s="2797"/>
      <c r="P46" s="2109"/>
      <c r="Q46" s="2797"/>
      <c r="R46" s="2109"/>
      <c r="S46" s="2797"/>
    </row>
    <row r="47" spans="1:19" s="77" customFormat="1" x14ac:dyDescent="0.35">
      <c r="A47" s="2802"/>
      <c r="B47" s="2772"/>
      <c r="C47" s="2236"/>
      <c r="D47" s="2357"/>
      <c r="E47" s="2341"/>
      <c r="F47" s="2773"/>
      <c r="G47" s="2770"/>
      <c r="H47" s="2109"/>
      <c r="I47" s="2794"/>
      <c r="J47" s="2109"/>
      <c r="K47" s="2797"/>
      <c r="L47" s="2109"/>
      <c r="M47" s="2797"/>
      <c r="N47" s="2109"/>
      <c r="O47" s="2797"/>
      <c r="P47" s="2109"/>
      <c r="Q47" s="2797"/>
      <c r="R47" s="2109"/>
      <c r="S47" s="2797"/>
    </row>
    <row r="48" spans="1:19" s="77" customFormat="1" x14ac:dyDescent="0.35">
      <c r="A48" s="2802"/>
      <c r="B48" s="2772" t="s">
        <v>3142</v>
      </c>
      <c r="C48" s="2236"/>
      <c r="D48" s="2357"/>
      <c r="E48" s="2341"/>
      <c r="F48" s="2773"/>
      <c r="G48" s="2770"/>
      <c r="H48" s="2109"/>
      <c r="I48" s="2794"/>
      <c r="J48" s="2109"/>
      <c r="K48" s="2797"/>
      <c r="L48" s="2109"/>
      <c r="M48" s="2797"/>
      <c r="N48" s="2109"/>
      <c r="O48" s="2797"/>
      <c r="P48" s="2109"/>
      <c r="Q48" s="2797"/>
      <c r="R48" s="2109"/>
      <c r="S48" s="2797"/>
    </row>
    <row r="49" spans="1:19" s="77" customFormat="1" x14ac:dyDescent="0.35">
      <c r="A49" s="2802"/>
      <c r="B49" s="2340"/>
      <c r="C49" s="2236"/>
      <c r="D49" s="2357"/>
      <c r="E49" s="2341"/>
      <c r="F49" s="2773"/>
      <c r="G49" s="2770"/>
      <c r="H49" s="2109"/>
      <c r="I49" s="2794"/>
      <c r="J49" s="2109"/>
      <c r="K49" s="2797"/>
      <c r="L49" s="2109"/>
      <c r="M49" s="2797"/>
      <c r="N49" s="2109"/>
      <c r="O49" s="2797"/>
      <c r="P49" s="2109"/>
      <c r="Q49" s="2797"/>
      <c r="R49" s="2109"/>
      <c r="S49" s="2797"/>
    </row>
    <row r="50" spans="1:19" s="77" customFormat="1" x14ac:dyDescent="0.35">
      <c r="A50" s="2802"/>
      <c r="B50" s="2340" t="s">
        <v>3143</v>
      </c>
      <c r="C50" s="2236"/>
      <c r="D50" s="2357"/>
      <c r="E50" s="2341"/>
      <c r="F50" s="2773"/>
      <c r="G50" s="2770"/>
      <c r="H50" s="2109"/>
      <c r="I50" s="2794"/>
      <c r="J50" s="2109"/>
      <c r="K50" s="2797"/>
      <c r="L50" s="2109"/>
      <c r="M50" s="2797"/>
      <c r="N50" s="2109"/>
      <c r="O50" s="2797"/>
      <c r="P50" s="2109"/>
      <c r="Q50" s="2797"/>
      <c r="R50" s="2109"/>
      <c r="S50" s="2797"/>
    </row>
    <row r="51" spans="1:19" s="77" customFormat="1" x14ac:dyDescent="0.35">
      <c r="A51" s="2802"/>
      <c r="B51" s="2340"/>
      <c r="C51" s="2236"/>
      <c r="D51" s="2357"/>
      <c r="E51" s="2341"/>
      <c r="F51" s="2773"/>
      <c r="G51" s="2770"/>
      <c r="H51" s="2109"/>
      <c r="I51" s="2794"/>
      <c r="J51" s="2109"/>
      <c r="K51" s="2797"/>
      <c r="L51" s="2109"/>
      <c r="M51" s="2797"/>
      <c r="N51" s="2109"/>
      <c r="O51" s="2797"/>
      <c r="P51" s="2109"/>
      <c r="Q51" s="2797"/>
      <c r="R51" s="2109"/>
      <c r="S51" s="2797"/>
    </row>
    <row r="52" spans="1:19" s="77" customFormat="1" x14ac:dyDescent="0.35">
      <c r="A52" s="2802"/>
      <c r="B52" s="2340"/>
      <c r="C52" s="2236"/>
      <c r="D52" s="2357"/>
      <c r="E52" s="2341"/>
      <c r="F52" s="2773"/>
      <c r="G52" s="2770"/>
      <c r="H52" s="2109"/>
      <c r="I52" s="2794"/>
      <c r="J52" s="2109"/>
      <c r="K52" s="2797"/>
      <c r="L52" s="2109"/>
      <c r="M52" s="2797"/>
      <c r="N52" s="2109"/>
      <c r="O52" s="2797"/>
      <c r="P52" s="2109"/>
      <c r="Q52" s="2797"/>
      <c r="R52" s="2109"/>
      <c r="S52" s="2797"/>
    </row>
    <row r="53" spans="1:19" s="77" customFormat="1" x14ac:dyDescent="0.35">
      <c r="A53" s="2802"/>
      <c r="B53" s="2340"/>
      <c r="C53" s="2236"/>
      <c r="D53" s="2357"/>
      <c r="E53" s="2341"/>
      <c r="F53" s="2773"/>
      <c r="G53" s="2770"/>
      <c r="H53" s="2109"/>
      <c r="I53" s="2794"/>
      <c r="J53" s="2109"/>
      <c r="K53" s="2797"/>
      <c r="L53" s="2109"/>
      <c r="M53" s="2797"/>
      <c r="N53" s="2109"/>
      <c r="O53" s="2797"/>
      <c r="P53" s="2109"/>
      <c r="Q53" s="2797"/>
      <c r="R53" s="2109"/>
      <c r="S53" s="2797"/>
    </row>
    <row r="54" spans="1:19" s="77" customFormat="1" x14ac:dyDescent="0.35">
      <c r="A54" s="2802"/>
      <c r="B54" s="2340"/>
      <c r="C54" s="2236"/>
      <c r="D54" s="2357"/>
      <c r="E54" s="2341"/>
      <c r="F54" s="2773"/>
      <c r="G54" s="2770"/>
      <c r="H54" s="2109"/>
      <c r="I54" s="2794"/>
      <c r="J54" s="2109"/>
      <c r="K54" s="2797"/>
      <c r="L54" s="2109"/>
      <c r="M54" s="2797"/>
      <c r="N54" s="2109"/>
      <c r="O54" s="2797"/>
      <c r="P54" s="2109"/>
      <c r="Q54" s="2797"/>
      <c r="R54" s="2109"/>
      <c r="S54" s="2797"/>
    </row>
    <row r="55" spans="1:19" s="77" customFormat="1" x14ac:dyDescent="0.35">
      <c r="A55" s="2802"/>
      <c r="B55" s="2340"/>
      <c r="C55" s="2236"/>
      <c r="D55" s="2357"/>
      <c r="E55" s="2341"/>
      <c r="F55" s="2773"/>
      <c r="G55" s="2770"/>
      <c r="H55" s="2109"/>
      <c r="I55" s="2794"/>
      <c r="J55" s="2109"/>
      <c r="K55" s="2797"/>
      <c r="L55" s="2109"/>
      <c r="M55" s="2797"/>
      <c r="N55" s="2109"/>
      <c r="O55" s="2797"/>
      <c r="P55" s="2109"/>
      <c r="Q55" s="2797"/>
      <c r="R55" s="2109"/>
      <c r="S55" s="2797"/>
    </row>
    <row r="56" spans="1:19" s="77" customFormat="1" x14ac:dyDescent="0.35">
      <c r="A56" s="2802"/>
      <c r="B56" s="2340"/>
      <c r="C56" s="2236"/>
      <c r="D56" s="2357"/>
      <c r="E56" s="2341"/>
      <c r="F56" s="2773"/>
      <c r="G56" s="2770"/>
      <c r="H56" s="2109"/>
      <c r="I56" s="2794"/>
      <c r="J56" s="2109"/>
      <c r="K56" s="2797"/>
      <c r="L56" s="2109"/>
      <c r="M56" s="2797"/>
      <c r="N56" s="2109"/>
      <c r="O56" s="2797"/>
      <c r="P56" s="2109"/>
      <c r="Q56" s="2797"/>
      <c r="R56" s="2109"/>
      <c r="S56" s="2797"/>
    </row>
    <row r="57" spans="1:19" s="77" customFormat="1" x14ac:dyDescent="0.35">
      <c r="A57" s="2802"/>
      <c r="B57" s="2340"/>
      <c r="C57" s="2236"/>
      <c r="D57" s="2357"/>
      <c r="E57" s="2341"/>
      <c r="F57" s="2773"/>
      <c r="G57" s="2770"/>
      <c r="H57" s="2109"/>
      <c r="I57" s="2794"/>
      <c r="J57" s="2109"/>
      <c r="K57" s="2797"/>
      <c r="L57" s="2109"/>
      <c r="M57" s="2797"/>
      <c r="N57" s="2109"/>
      <c r="O57" s="2797"/>
      <c r="P57" s="2109"/>
      <c r="Q57" s="2797"/>
      <c r="R57" s="2109"/>
      <c r="S57" s="2797"/>
    </row>
    <row r="58" spans="1:19" s="77" customFormat="1" x14ac:dyDescent="0.35">
      <c r="A58" s="2802"/>
      <c r="B58" s="2340"/>
      <c r="C58" s="2236"/>
      <c r="D58" s="2357"/>
      <c r="E58" s="2341"/>
      <c r="F58" s="2773"/>
      <c r="G58" s="2770"/>
      <c r="H58" s="2109"/>
      <c r="I58" s="2794"/>
      <c r="J58" s="2109"/>
      <c r="K58" s="2797"/>
      <c r="L58" s="2109"/>
      <c r="M58" s="2797"/>
      <c r="N58" s="2109"/>
      <c r="O58" s="2797"/>
      <c r="P58" s="2109"/>
      <c r="Q58" s="2797"/>
      <c r="R58" s="2109"/>
      <c r="S58" s="2797"/>
    </row>
    <row r="59" spans="1:19" s="77" customFormat="1" x14ac:dyDescent="0.35">
      <c r="A59" s="2802"/>
      <c r="B59" s="2340"/>
      <c r="C59" s="2236"/>
      <c r="D59" s="2357"/>
      <c r="E59" s="2341"/>
      <c r="F59" s="2773"/>
      <c r="G59" s="2770"/>
      <c r="H59" s="2109"/>
      <c r="I59" s="2794"/>
      <c r="J59" s="2109"/>
      <c r="K59" s="2797"/>
      <c r="L59" s="2109"/>
      <c r="M59" s="2797"/>
      <c r="N59" s="2109"/>
      <c r="O59" s="2797"/>
      <c r="P59" s="2109"/>
      <c r="Q59" s="2797"/>
      <c r="R59" s="2109"/>
      <c r="S59" s="2797"/>
    </row>
    <row r="60" spans="1:19" s="77" customFormat="1" x14ac:dyDescent="0.35">
      <c r="A60" s="2802"/>
      <c r="B60" s="2340"/>
      <c r="C60" s="2236"/>
      <c r="D60" s="2357"/>
      <c r="E60" s="2341"/>
      <c r="F60" s="2773"/>
      <c r="G60" s="2770"/>
      <c r="H60" s="2109"/>
      <c r="I60" s="2794"/>
      <c r="J60" s="2109"/>
      <c r="K60" s="2797"/>
      <c r="L60" s="2109"/>
      <c r="M60" s="2797"/>
      <c r="N60" s="2109"/>
      <c r="O60" s="2797"/>
      <c r="P60" s="2109"/>
      <c r="Q60" s="2797"/>
      <c r="R60" s="2109"/>
      <c r="S60" s="2797"/>
    </row>
    <row r="61" spans="1:19" s="77" customFormat="1" x14ac:dyDescent="0.35">
      <c r="A61" s="2802"/>
      <c r="B61" s="2340"/>
      <c r="C61" s="2236"/>
      <c r="D61" s="2357"/>
      <c r="E61" s="2341"/>
      <c r="F61" s="2773"/>
      <c r="G61" s="2770"/>
      <c r="H61" s="2109"/>
      <c r="I61" s="2794"/>
      <c r="J61" s="2109"/>
      <c r="K61" s="2797"/>
      <c r="L61" s="2109"/>
      <c r="M61" s="2797"/>
      <c r="N61" s="2109"/>
      <c r="O61" s="2797"/>
      <c r="P61" s="2109"/>
      <c r="Q61" s="2797"/>
      <c r="R61" s="2109"/>
      <c r="S61" s="2797"/>
    </row>
    <row r="62" spans="1:19" s="77" customFormat="1" x14ac:dyDescent="0.35">
      <c r="A62" s="2802"/>
      <c r="B62" s="2340"/>
      <c r="C62" s="2236"/>
      <c r="D62" s="2357"/>
      <c r="E62" s="2341"/>
      <c r="F62" s="2773"/>
      <c r="G62" s="2770"/>
      <c r="H62" s="2109"/>
      <c r="I62" s="2794"/>
      <c r="J62" s="2109"/>
      <c r="K62" s="2797"/>
      <c r="L62" s="2109"/>
      <c r="M62" s="2797"/>
      <c r="N62" s="2109"/>
      <c r="O62" s="2797"/>
      <c r="P62" s="2109"/>
      <c r="Q62" s="2797"/>
      <c r="R62" s="2109"/>
      <c r="S62" s="2797"/>
    </row>
    <row r="63" spans="1:19" s="77" customFormat="1" x14ac:dyDescent="0.35">
      <c r="A63" s="2802"/>
      <c r="B63" s="2340"/>
      <c r="C63" s="2236"/>
      <c r="D63" s="2357"/>
      <c r="E63" s="2341"/>
      <c r="F63" s="2773"/>
      <c r="G63" s="2770"/>
      <c r="H63" s="2109"/>
      <c r="I63" s="2794"/>
      <c r="J63" s="2109"/>
      <c r="K63" s="2797"/>
      <c r="L63" s="2109"/>
      <c r="M63" s="2797"/>
      <c r="N63" s="2109"/>
      <c r="O63" s="2797"/>
      <c r="P63" s="2109"/>
      <c r="Q63" s="2797"/>
      <c r="R63" s="2109"/>
      <c r="S63" s="2797"/>
    </row>
    <row r="64" spans="1:19" s="77" customFormat="1" x14ac:dyDescent="0.35">
      <c r="A64" s="2802"/>
      <c r="B64" s="2340"/>
      <c r="C64" s="2236"/>
      <c r="D64" s="2357"/>
      <c r="E64" s="2341"/>
      <c r="F64" s="2773"/>
      <c r="G64" s="2770"/>
      <c r="H64" s="2109"/>
      <c r="I64" s="2794"/>
      <c r="J64" s="2109"/>
      <c r="K64" s="2797"/>
      <c r="L64" s="2109"/>
      <c r="M64" s="2797"/>
      <c r="N64" s="2109"/>
      <c r="O64" s="2797"/>
      <c r="P64" s="2109"/>
      <c r="Q64" s="2797"/>
      <c r="R64" s="2109"/>
      <c r="S64" s="2797"/>
    </row>
    <row r="65" spans="1:19" s="77" customFormat="1" x14ac:dyDescent="0.35">
      <c r="A65" s="2802"/>
      <c r="B65" s="2340"/>
      <c r="C65" s="2236"/>
      <c r="D65" s="2357"/>
      <c r="E65" s="2341"/>
      <c r="F65" s="2773"/>
      <c r="G65" s="2770"/>
      <c r="H65" s="2109"/>
      <c r="I65" s="2794"/>
      <c r="J65" s="2109"/>
      <c r="K65" s="2797"/>
      <c r="L65" s="2109"/>
      <c r="M65" s="2797"/>
      <c r="N65" s="2109"/>
      <c r="O65" s="2797"/>
      <c r="P65" s="2109"/>
      <c r="Q65" s="2797"/>
      <c r="R65" s="2109"/>
      <c r="S65" s="2797"/>
    </row>
    <row r="66" spans="1:19" s="77" customFormat="1" x14ac:dyDescent="0.35">
      <c r="A66" s="2802"/>
      <c r="B66" s="2340"/>
      <c r="C66" s="2236"/>
      <c r="D66" s="2357"/>
      <c r="E66" s="2341"/>
      <c r="F66" s="2773"/>
      <c r="G66" s="2770"/>
      <c r="H66" s="2109"/>
      <c r="I66" s="2794"/>
      <c r="J66" s="2109"/>
      <c r="K66" s="2797"/>
      <c r="L66" s="2109"/>
      <c r="M66" s="2797"/>
      <c r="N66" s="2109"/>
      <c r="O66" s="2797"/>
      <c r="P66" s="2109"/>
      <c r="Q66" s="2797"/>
      <c r="R66" s="2109"/>
      <c r="S66" s="2797"/>
    </row>
    <row r="67" spans="1:19" x14ac:dyDescent="0.35">
      <c r="A67" s="14"/>
      <c r="B67" s="15"/>
      <c r="C67" s="16"/>
      <c r="D67" s="16"/>
      <c r="E67" s="17"/>
      <c r="F67" s="18" t="s">
        <v>715</v>
      </c>
      <c r="G67" s="19"/>
      <c r="H67" s="20"/>
      <c r="I67" s="50">
        <f>SUM(I23:I66)</f>
        <v>0</v>
      </c>
      <c r="J67" s="20"/>
      <c r="K67" s="50">
        <f>SUM(K23:K66)</f>
        <v>0</v>
      </c>
      <c r="L67" s="20"/>
      <c r="M67" s="50">
        <f>SUM(M23:M66)</f>
        <v>0</v>
      </c>
      <c r="N67" s="20"/>
      <c r="O67" s="50">
        <f>SUM(O23:O66)</f>
        <v>0</v>
      </c>
      <c r="P67" s="20"/>
      <c r="Q67" s="50">
        <f>SUM(Q23:Q66)</f>
        <v>0</v>
      </c>
      <c r="R67" s="20"/>
      <c r="S67" s="50">
        <f>SUM(S23:S66)</f>
        <v>0</v>
      </c>
    </row>
    <row r="68" spans="1:19" x14ac:dyDescent="0.35">
      <c r="A68" s="2239"/>
      <c r="B68" s="2240"/>
      <c r="C68" s="2241"/>
      <c r="D68" s="2241"/>
      <c r="E68" s="2242"/>
      <c r="F68" s="2243" t="s">
        <v>716</v>
      </c>
      <c r="G68" s="2244"/>
      <c r="H68" s="2065">
        <v>0</v>
      </c>
      <c r="I68" s="2064"/>
      <c r="J68" s="2065">
        <v>0</v>
      </c>
      <c r="K68" s="2064"/>
      <c r="L68" s="2065">
        <v>0</v>
      </c>
      <c r="M68" s="2064"/>
      <c r="N68" s="2065">
        <v>0</v>
      </c>
      <c r="O68" s="2064"/>
      <c r="P68" s="2065">
        <v>0</v>
      </c>
      <c r="Q68" s="2064"/>
      <c r="R68" s="2065">
        <v>0</v>
      </c>
      <c r="S68" s="2064"/>
    </row>
    <row r="69" spans="1:19" x14ac:dyDescent="0.35">
      <c r="A69" s="2239"/>
      <c r="B69" s="2240"/>
      <c r="C69" s="2241"/>
      <c r="D69" s="2241"/>
      <c r="E69" s="2242"/>
      <c r="F69" s="2243" t="s">
        <v>717</v>
      </c>
      <c r="G69" s="2244"/>
      <c r="H69" s="2066"/>
      <c r="I69" s="2067">
        <f>H68*I67</f>
        <v>0</v>
      </c>
      <c r="J69" s="2066"/>
      <c r="K69" s="2067">
        <f>J68*K67</f>
        <v>0</v>
      </c>
      <c r="L69" s="2066"/>
      <c r="M69" s="2067">
        <f>L68*M67</f>
        <v>0</v>
      </c>
      <c r="N69" s="2066"/>
      <c r="O69" s="2067">
        <f>N68*O67</f>
        <v>0</v>
      </c>
      <c r="P69" s="2066"/>
      <c r="Q69" s="2067">
        <f>P68*Q67</f>
        <v>0</v>
      </c>
      <c r="R69" s="2066"/>
      <c r="S69" s="2067">
        <f>R68*S67</f>
        <v>0</v>
      </c>
    </row>
    <row r="70" spans="1:19" x14ac:dyDescent="0.35">
      <c r="A70" s="2239"/>
      <c r="B70" s="2240"/>
      <c r="C70" s="2241"/>
      <c r="D70" s="2241"/>
      <c r="E70" s="2242"/>
      <c r="F70" s="2243"/>
      <c r="G70" s="2244"/>
      <c r="H70" s="2066"/>
      <c r="I70" s="2068"/>
      <c r="J70" s="2066"/>
      <c r="K70" s="2068"/>
      <c r="L70" s="2066"/>
      <c r="M70" s="2068"/>
      <c r="N70" s="2066"/>
      <c r="O70" s="2068"/>
      <c r="P70" s="2066"/>
      <c r="Q70" s="2068"/>
      <c r="R70" s="2066"/>
      <c r="S70" s="2068"/>
    </row>
    <row r="71" spans="1:19" x14ac:dyDescent="0.35">
      <c r="A71" s="2239"/>
      <c r="B71" s="2240"/>
      <c r="C71" s="2241"/>
      <c r="D71" s="2241"/>
      <c r="E71" s="2242"/>
      <c r="F71" s="2243" t="s">
        <v>718</v>
      </c>
      <c r="G71" s="2244"/>
      <c r="H71" s="2069"/>
      <c r="I71" s="2070">
        <f>SUM(I67:I69)</f>
        <v>0</v>
      </c>
      <c r="J71" s="2069"/>
      <c r="K71" s="2070">
        <f>SUM(K67:K69)</f>
        <v>0</v>
      </c>
      <c r="L71" s="2069"/>
      <c r="M71" s="2070">
        <f>SUM(M67:M69)</f>
        <v>0</v>
      </c>
      <c r="N71" s="2069"/>
      <c r="O71" s="2070">
        <f>SUM(O67:O69)</f>
        <v>0</v>
      </c>
      <c r="P71" s="2069"/>
      <c r="Q71" s="2070">
        <f>SUM(Q67:Q69)</f>
        <v>0</v>
      </c>
      <c r="R71" s="2069"/>
      <c r="S71" s="2070">
        <f>SUM(S67:S69)</f>
        <v>0</v>
      </c>
    </row>
    <row r="72" spans="1:19" x14ac:dyDescent="0.35">
      <c r="A72" s="2239"/>
      <c r="B72" s="2240"/>
      <c r="C72" s="2241"/>
      <c r="D72" s="2241"/>
      <c r="E72" s="2242"/>
      <c r="F72" s="2255" t="s">
        <v>719</v>
      </c>
      <c r="G72" s="2256"/>
      <c r="H72" s="2073"/>
      <c r="I72" s="2074" t="e">
        <f>I71/#REF!</f>
        <v>#REF!</v>
      </c>
      <c r="J72" s="2073"/>
      <c r="K72" s="2074" t="e">
        <f>K71/#REF!</f>
        <v>#REF!</v>
      </c>
      <c r="L72" s="2073"/>
      <c r="M72" s="2074" t="e">
        <f>M71/#REF!</f>
        <v>#REF!</v>
      </c>
      <c r="N72" s="2073"/>
      <c r="O72" s="2074" t="e">
        <f>O71/#REF!</f>
        <v>#REF!</v>
      </c>
      <c r="P72" s="2073"/>
      <c r="Q72" s="2074" t="e">
        <f>Q71/#REF!</f>
        <v>#REF!</v>
      </c>
      <c r="R72" s="2073"/>
      <c r="S72" s="2074" t="e">
        <f>S71/#REF!</f>
        <v>#REF!</v>
      </c>
    </row>
    <row r="73" spans="1:19" x14ac:dyDescent="0.35">
      <c r="A73" s="2239"/>
      <c r="B73" s="2240"/>
      <c r="C73" s="2241"/>
      <c r="D73" s="2241"/>
      <c r="E73" s="2242"/>
      <c r="F73" s="2255" t="s">
        <v>720</v>
      </c>
      <c r="G73" s="2260"/>
      <c r="H73" s="2073"/>
      <c r="I73" s="2074" t="e">
        <f>I71/#REF!</f>
        <v>#REF!</v>
      </c>
      <c r="J73" s="2073"/>
      <c r="K73" s="2074" t="e">
        <f>K71/#REF!</f>
        <v>#REF!</v>
      </c>
      <c r="L73" s="2073"/>
      <c r="M73" s="2074" t="e">
        <f>M71/#REF!</f>
        <v>#REF!</v>
      </c>
      <c r="N73" s="2073"/>
      <c r="O73" s="2074" t="e">
        <f>O71/#REF!</f>
        <v>#REF!</v>
      </c>
      <c r="P73" s="2073"/>
      <c r="Q73" s="2074" t="e">
        <f>Q71/#REF!</f>
        <v>#REF!</v>
      </c>
      <c r="R73" s="2073"/>
      <c r="S73" s="2074" t="e">
        <f>S71/#REF!</f>
        <v>#REF!</v>
      </c>
    </row>
    <row r="74" spans="1:19" x14ac:dyDescent="0.35">
      <c r="A74" s="2239"/>
      <c r="B74" s="2240"/>
      <c r="C74" s="2241"/>
      <c r="D74" s="2241"/>
      <c r="E74" s="2242"/>
      <c r="F74" s="2243"/>
      <c r="G74" s="2261"/>
      <c r="H74" s="2077"/>
      <c r="I74" s="2078"/>
      <c r="J74" s="2077"/>
      <c r="K74" s="2078"/>
      <c r="L74" s="2077"/>
      <c r="M74" s="2078"/>
      <c r="N74" s="2077"/>
      <c r="O74" s="2078"/>
      <c r="P74" s="2077"/>
      <c r="Q74" s="2078"/>
      <c r="R74" s="2077"/>
      <c r="S74" s="2078"/>
    </row>
    <row r="75" spans="1:19" x14ac:dyDescent="0.35">
      <c r="A75" s="3764" t="s">
        <v>721</v>
      </c>
      <c r="B75" s="3765"/>
      <c r="C75" s="12"/>
      <c r="D75" s="12"/>
      <c r="E75" s="12"/>
      <c r="F75" s="12"/>
      <c r="G75" s="13"/>
      <c r="H75" s="21"/>
      <c r="I75" s="21"/>
      <c r="J75" s="21"/>
      <c r="K75" s="21"/>
      <c r="L75" s="21"/>
      <c r="M75" s="21"/>
      <c r="N75" s="21"/>
      <c r="O75" s="21"/>
      <c r="P75" s="21"/>
      <c r="Q75" s="21"/>
      <c r="R75" s="21"/>
      <c r="S75" s="21"/>
    </row>
    <row r="76" spans="1:19" x14ac:dyDescent="0.35">
      <c r="A76" s="2803"/>
      <c r="B76" s="2284"/>
      <c r="C76" s="2804"/>
      <c r="D76" s="2804"/>
      <c r="E76" s="2804"/>
      <c r="F76" s="2804"/>
      <c r="G76" s="2805"/>
      <c r="H76" s="2734"/>
      <c r="I76" s="2734"/>
      <c r="J76" s="2734"/>
      <c r="K76" s="2734"/>
      <c r="L76" s="2734"/>
      <c r="M76" s="2734"/>
      <c r="N76" s="2734"/>
      <c r="O76" s="2734"/>
      <c r="P76" s="2734"/>
      <c r="Q76" s="2734"/>
      <c r="R76" s="2734"/>
      <c r="S76" s="2734"/>
    </row>
    <row r="77" spans="1:19" s="2" customFormat="1" x14ac:dyDescent="0.35">
      <c r="A77" s="2803"/>
      <c r="B77" s="2284"/>
      <c r="C77" s="2804"/>
      <c r="D77" s="2804"/>
      <c r="E77" s="2804"/>
      <c r="F77" s="2804"/>
      <c r="G77" s="2805"/>
      <c r="H77" s="2734"/>
      <c r="I77" s="2734"/>
      <c r="J77" s="2734"/>
      <c r="K77" s="2734"/>
      <c r="L77" s="2734"/>
      <c r="M77" s="2734"/>
      <c r="N77" s="2734"/>
      <c r="O77" s="2734"/>
      <c r="P77" s="2734"/>
      <c r="Q77" s="2734"/>
      <c r="R77" s="2734"/>
      <c r="S77" s="2734"/>
    </row>
    <row r="78" spans="1:19" s="2" customFormat="1" x14ac:dyDescent="0.35">
      <c r="A78" s="2803"/>
      <c r="B78" s="2284"/>
      <c r="C78" s="2804"/>
      <c r="D78" s="2804"/>
      <c r="E78" s="2804"/>
      <c r="F78" s="2804"/>
      <c r="G78" s="2805"/>
      <c r="H78" s="2734"/>
      <c r="I78" s="2734"/>
      <c r="J78" s="2734"/>
      <c r="K78" s="2734"/>
      <c r="L78" s="2734"/>
      <c r="M78" s="2734"/>
      <c r="N78" s="2734"/>
      <c r="O78" s="2734"/>
      <c r="P78" s="2734"/>
      <c r="Q78" s="2734"/>
      <c r="R78" s="2734"/>
      <c r="S78" s="2734"/>
    </row>
    <row r="79" spans="1:19" x14ac:dyDescent="0.35">
      <c r="A79" s="3764" t="s">
        <v>722</v>
      </c>
      <c r="B79" s="3765"/>
      <c r="C79" s="12"/>
      <c r="D79" s="12"/>
      <c r="E79" s="12"/>
      <c r="F79" s="12"/>
      <c r="G79" s="13"/>
      <c r="H79" s="21"/>
      <c r="I79" s="21"/>
      <c r="J79" s="21"/>
      <c r="K79" s="21"/>
      <c r="L79" s="21"/>
      <c r="M79" s="21"/>
      <c r="N79" s="21"/>
      <c r="O79" s="21"/>
      <c r="P79" s="21"/>
      <c r="Q79" s="21"/>
      <c r="R79" s="21"/>
      <c r="S79" s="21"/>
    </row>
    <row r="80" spans="1:19" s="2" customFormat="1" x14ac:dyDescent="0.35">
      <c r="A80" s="2803"/>
      <c r="B80" s="2284"/>
      <c r="C80" s="2804"/>
      <c r="D80" s="2804"/>
      <c r="E80" s="2804"/>
      <c r="F80" s="2804"/>
      <c r="G80" s="2805"/>
      <c r="H80" s="2734"/>
      <c r="I80" s="2734"/>
      <c r="J80" s="2734"/>
      <c r="K80" s="2734"/>
      <c r="L80" s="2734"/>
      <c r="M80" s="2734"/>
      <c r="N80" s="2734"/>
      <c r="O80" s="2734"/>
      <c r="P80" s="2734"/>
      <c r="Q80" s="2734"/>
      <c r="R80" s="2734"/>
      <c r="S80" s="2734"/>
    </row>
    <row r="81" spans="1:19" s="2" customFormat="1" x14ac:dyDescent="0.35">
      <c r="A81" s="2803"/>
      <c r="B81" s="2284"/>
      <c r="C81" s="2804"/>
      <c r="D81" s="2804"/>
      <c r="E81" s="2804"/>
      <c r="F81" s="2804"/>
      <c r="G81" s="2805"/>
      <c r="H81" s="2734"/>
      <c r="I81" s="2734"/>
      <c r="J81" s="2734"/>
      <c r="K81" s="2734"/>
      <c r="L81" s="2734"/>
      <c r="M81" s="2734"/>
      <c r="N81" s="2734"/>
      <c r="O81" s="2734"/>
      <c r="P81" s="2734"/>
      <c r="Q81" s="2734"/>
      <c r="R81" s="2734"/>
      <c r="S81" s="2734"/>
    </row>
    <row r="82" spans="1:19" x14ac:dyDescent="0.35">
      <c r="A82" s="2803"/>
      <c r="B82" s="2284"/>
      <c r="C82" s="2804"/>
      <c r="D82" s="2804"/>
      <c r="E82" s="2804"/>
      <c r="F82" s="2804"/>
      <c r="G82" s="2805"/>
      <c r="H82" s="2734"/>
      <c r="I82" s="2734"/>
      <c r="J82" s="2734"/>
      <c r="K82" s="2734"/>
      <c r="L82" s="2734"/>
      <c r="M82" s="2734"/>
      <c r="N82" s="2734"/>
      <c r="O82" s="2734"/>
      <c r="P82" s="2734"/>
      <c r="Q82" s="2734"/>
      <c r="R82" s="2734"/>
      <c r="S82" s="2734"/>
    </row>
    <row r="83" spans="1:19" x14ac:dyDescent="0.35">
      <c r="A83" s="3764" t="s">
        <v>723</v>
      </c>
      <c r="B83" s="3765"/>
      <c r="C83" s="12"/>
      <c r="D83" s="12"/>
      <c r="E83" s="12"/>
      <c r="F83" s="12"/>
      <c r="G83" s="13"/>
      <c r="H83" s="21"/>
      <c r="I83" s="21"/>
      <c r="J83" s="21"/>
      <c r="K83" s="21"/>
      <c r="L83" s="21"/>
      <c r="M83" s="21"/>
      <c r="N83" s="21"/>
      <c r="O83" s="21"/>
      <c r="P83" s="21"/>
      <c r="Q83" s="21"/>
      <c r="R83" s="21"/>
      <c r="S83" s="21"/>
    </row>
    <row r="84" spans="1:19" x14ac:dyDescent="0.35">
      <c r="A84" s="2803"/>
      <c r="B84" s="2284"/>
      <c r="C84" s="2804"/>
      <c r="D84" s="2804"/>
      <c r="E84" s="2804"/>
      <c r="F84" s="2804"/>
      <c r="G84" s="2805"/>
      <c r="H84" s="2734"/>
      <c r="I84" s="2734"/>
      <c r="J84" s="2734"/>
      <c r="K84" s="2734"/>
      <c r="L84" s="2734"/>
      <c r="M84" s="2734"/>
      <c r="N84" s="2734"/>
      <c r="O84" s="2734"/>
      <c r="P84" s="2734"/>
      <c r="Q84" s="2734"/>
      <c r="R84" s="2734"/>
      <c r="S84" s="2734"/>
    </row>
    <row r="85" spans="1:19" x14ac:dyDescent="0.35">
      <c r="A85" s="2286"/>
      <c r="B85" s="2284"/>
      <c r="C85" s="2285"/>
      <c r="D85" s="2285"/>
      <c r="E85" s="2285"/>
      <c r="F85" s="2285"/>
      <c r="G85" s="2198"/>
      <c r="H85" s="2081"/>
      <c r="I85" s="2081"/>
      <c r="J85" s="2081"/>
      <c r="K85" s="2081"/>
      <c r="L85" s="2081"/>
      <c r="M85" s="2081"/>
      <c r="N85" s="2081"/>
      <c r="O85" s="2081"/>
      <c r="P85" s="2081"/>
      <c r="Q85" s="2081"/>
      <c r="R85" s="2081"/>
      <c r="S85" s="2081"/>
    </row>
    <row r="86" spans="1:19" x14ac:dyDescent="0.35">
      <c r="A86" s="2269"/>
      <c r="B86" s="2270"/>
      <c r="C86" s="2285"/>
      <c r="D86" s="2285"/>
      <c r="E86" s="2285"/>
      <c r="F86" s="2285"/>
      <c r="G86" s="2198"/>
      <c r="H86" s="2084"/>
      <c r="I86" s="2084"/>
      <c r="J86" s="2084"/>
      <c r="K86" s="2084"/>
      <c r="L86" s="2084"/>
      <c r="M86" s="2084"/>
      <c r="N86" s="2084"/>
      <c r="O86" s="2084"/>
      <c r="P86" s="2084"/>
      <c r="Q86" s="2084"/>
      <c r="R86" s="2084"/>
      <c r="S86" s="2084"/>
    </row>
    <row r="87" spans="1:19" x14ac:dyDescent="0.35">
      <c r="A87" s="3764" t="s">
        <v>724</v>
      </c>
      <c r="B87" s="3765"/>
      <c r="C87" s="12"/>
      <c r="D87" s="12"/>
      <c r="E87" s="12"/>
      <c r="F87" s="12"/>
      <c r="G87" s="13"/>
      <c r="H87" s="21"/>
      <c r="I87" s="21"/>
      <c r="J87" s="21"/>
      <c r="K87" s="21"/>
      <c r="L87" s="21"/>
      <c r="M87" s="21"/>
      <c r="N87" s="21"/>
      <c r="O87" s="21"/>
      <c r="P87" s="21"/>
      <c r="Q87" s="21"/>
      <c r="R87" s="21"/>
      <c r="S87" s="21"/>
    </row>
    <row r="88" spans="1:19" x14ac:dyDescent="0.35">
      <c r="A88" s="2806"/>
      <c r="B88" s="2807"/>
      <c r="C88" s="2804"/>
      <c r="D88" s="2804"/>
      <c r="E88" s="2804"/>
      <c r="F88" s="2804"/>
      <c r="G88" s="2805"/>
      <c r="H88" s="2734"/>
      <c r="I88" s="2734"/>
      <c r="J88" s="2734"/>
      <c r="K88" s="2734"/>
      <c r="L88" s="2734"/>
      <c r="M88" s="2734"/>
      <c r="N88" s="2734"/>
      <c r="O88" s="2734"/>
      <c r="P88" s="2734"/>
      <c r="Q88" s="2734"/>
      <c r="R88" s="2734"/>
      <c r="S88" s="2734"/>
    </row>
    <row r="89" spans="1:19" x14ac:dyDescent="0.35">
      <c r="A89" s="2269"/>
      <c r="B89" s="2270"/>
      <c r="C89" s="2285"/>
      <c r="D89" s="2285"/>
      <c r="E89" s="2285"/>
      <c r="F89" s="2285"/>
      <c r="G89" s="2198"/>
      <c r="H89" s="2087"/>
      <c r="I89" s="2087"/>
      <c r="J89" s="2087"/>
      <c r="K89" s="2087"/>
      <c r="L89" s="2087"/>
      <c r="M89" s="2087"/>
      <c r="N89" s="2087"/>
      <c r="O89" s="2087"/>
      <c r="P89" s="2087"/>
      <c r="Q89" s="2087"/>
      <c r="R89" s="2087"/>
      <c r="S89" s="2087"/>
    </row>
    <row r="90" spans="1:19" x14ac:dyDescent="0.35">
      <c r="A90" s="2269"/>
      <c r="B90" s="2270"/>
      <c r="C90" s="2285"/>
      <c r="D90" s="2285"/>
      <c r="E90" s="2285"/>
      <c r="F90" s="2285"/>
      <c r="G90" s="2198"/>
      <c r="H90" s="2087"/>
      <c r="I90" s="2087"/>
      <c r="J90" s="2087"/>
      <c r="K90" s="2087"/>
      <c r="L90" s="2087"/>
      <c r="M90" s="2087"/>
      <c r="N90" s="2087"/>
      <c r="O90" s="2087"/>
      <c r="P90" s="2087"/>
      <c r="Q90" s="2087"/>
      <c r="R90" s="2087"/>
      <c r="S90" s="2087"/>
    </row>
    <row r="91" spans="1:19" x14ac:dyDescent="0.35">
      <c r="A91" s="3764" t="s">
        <v>725</v>
      </c>
      <c r="B91" s="3765"/>
      <c r="C91" s="12"/>
      <c r="D91" s="12"/>
      <c r="E91" s="12"/>
      <c r="F91" s="12"/>
      <c r="G91" s="13"/>
      <c r="H91" s="21"/>
      <c r="I91" s="21"/>
      <c r="J91" s="21"/>
      <c r="K91" s="21"/>
      <c r="L91" s="21"/>
      <c r="M91" s="21"/>
      <c r="N91" s="21"/>
      <c r="O91" s="21"/>
      <c r="P91" s="21"/>
      <c r="Q91" s="21"/>
      <c r="R91" s="21"/>
      <c r="S91" s="21"/>
    </row>
    <row r="92" spans="1:19" x14ac:dyDescent="0.35">
      <c r="A92" s="2286"/>
      <c r="B92" s="2284" t="s">
        <v>726</v>
      </c>
      <c r="C92" s="2285"/>
      <c r="D92" s="2285"/>
      <c r="E92" s="2285"/>
      <c r="F92" s="2285"/>
      <c r="G92" s="2198"/>
      <c r="H92" s="2087"/>
      <c r="I92" s="2087"/>
      <c r="J92" s="2087"/>
      <c r="K92" s="2087"/>
      <c r="L92" s="2087"/>
      <c r="M92" s="2087"/>
      <c r="N92" s="2087"/>
      <c r="O92" s="2087"/>
      <c r="P92" s="2087"/>
      <c r="Q92" s="2087"/>
      <c r="R92" s="2087"/>
      <c r="S92" s="2087"/>
    </row>
    <row r="93" spans="1:19" x14ac:dyDescent="0.35">
      <c r="A93" s="2286"/>
      <c r="B93" s="2284" t="s">
        <v>727</v>
      </c>
      <c r="C93" s="2285"/>
      <c r="D93" s="2285"/>
      <c r="E93" s="2285"/>
      <c r="F93" s="2285"/>
      <c r="G93" s="2198"/>
      <c r="H93" s="2087"/>
      <c r="I93" s="2087"/>
      <c r="J93" s="2087"/>
      <c r="K93" s="2087"/>
      <c r="L93" s="2087"/>
      <c r="M93" s="2087"/>
      <c r="N93" s="2087"/>
      <c r="O93" s="2087"/>
      <c r="P93" s="2087"/>
      <c r="Q93" s="2087"/>
      <c r="R93" s="2087"/>
      <c r="S93" s="2087"/>
    </row>
    <row r="94" spans="1:19" x14ac:dyDescent="0.35">
      <c r="A94" s="2286"/>
      <c r="B94" s="2284" t="s">
        <v>728</v>
      </c>
      <c r="C94" s="2285"/>
      <c r="D94" s="2285"/>
      <c r="E94" s="2285"/>
      <c r="F94" s="2285"/>
      <c r="G94" s="2198"/>
      <c r="H94" s="2087"/>
      <c r="I94" s="2087"/>
      <c r="J94" s="2087"/>
      <c r="K94" s="2087"/>
      <c r="L94" s="2087"/>
      <c r="M94" s="2087"/>
      <c r="N94" s="2087"/>
      <c r="O94" s="2087"/>
      <c r="P94" s="2087"/>
      <c r="Q94" s="2087"/>
      <c r="R94" s="2087"/>
      <c r="S94" s="2087"/>
    </row>
    <row r="95" spans="1:19" x14ac:dyDescent="0.35">
      <c r="A95" s="2286"/>
      <c r="B95" s="2284" t="s">
        <v>729</v>
      </c>
      <c r="C95" s="2285"/>
      <c r="D95" s="2285"/>
      <c r="E95" s="2285"/>
      <c r="F95" s="2285"/>
      <c r="G95" s="2198"/>
      <c r="H95" s="2087"/>
      <c r="I95" s="2087"/>
      <c r="J95" s="2087"/>
      <c r="K95" s="2087"/>
      <c r="L95" s="2087"/>
      <c r="M95" s="2087"/>
      <c r="N95" s="2087"/>
      <c r="O95" s="2087"/>
      <c r="P95" s="2087"/>
      <c r="Q95" s="2087"/>
      <c r="R95" s="2087"/>
      <c r="S95" s="2087"/>
    </row>
    <row r="96" spans="1:19" x14ac:dyDescent="0.35">
      <c r="A96" s="978"/>
      <c r="B96" s="939"/>
      <c r="C96" s="940"/>
      <c r="D96" s="940"/>
      <c r="E96" s="940"/>
      <c r="F96" s="940"/>
      <c r="G96" s="1039"/>
      <c r="H96" s="981"/>
      <c r="I96" s="981"/>
      <c r="J96" s="981"/>
      <c r="K96" s="981"/>
      <c r="L96" s="981"/>
      <c r="M96" s="981"/>
      <c r="N96" s="981"/>
      <c r="O96" s="981"/>
      <c r="P96" s="981"/>
      <c r="Q96" s="981"/>
      <c r="R96" s="981"/>
      <c r="S96" s="981"/>
    </row>
    <row r="97" spans="1:19" x14ac:dyDescent="0.35">
      <c r="A97" s="7" t="s">
        <v>730</v>
      </c>
      <c r="B97" s="8"/>
      <c r="C97" s="12"/>
      <c r="D97" s="12"/>
      <c r="E97" s="12"/>
      <c r="F97" s="12"/>
      <c r="G97" s="13"/>
      <c r="H97" s="21"/>
      <c r="I97" s="21"/>
      <c r="J97" s="21"/>
      <c r="K97" s="21"/>
      <c r="L97" s="21"/>
      <c r="M97" s="21"/>
      <c r="N97" s="21"/>
      <c r="O97" s="21"/>
      <c r="P97" s="21"/>
      <c r="Q97" s="21"/>
      <c r="R97" s="21"/>
      <c r="S97" s="21"/>
    </row>
    <row r="98" spans="1:19" x14ac:dyDescent="0.35">
      <c r="A98" s="2803"/>
      <c r="B98" s="2808" t="s">
        <v>731</v>
      </c>
      <c r="C98" s="2804"/>
      <c r="D98" s="2804"/>
      <c r="E98" s="2804"/>
      <c r="F98" s="2804"/>
      <c r="G98" s="2805"/>
      <c r="H98" s="2730"/>
      <c r="I98" s="2730"/>
      <c r="J98" s="2730"/>
      <c r="K98" s="2730"/>
      <c r="L98" s="2730"/>
      <c r="M98" s="2730"/>
      <c r="N98" s="2730"/>
      <c r="O98" s="2730"/>
      <c r="P98" s="2730"/>
      <c r="Q98" s="2730"/>
      <c r="R98" s="2730"/>
      <c r="S98" s="2730"/>
    </row>
    <row r="99" spans="1:19" x14ac:dyDescent="0.35">
      <c r="A99" s="2286"/>
      <c r="B99" s="2284" t="s">
        <v>732</v>
      </c>
      <c r="C99" s="2285"/>
      <c r="D99" s="2285"/>
      <c r="E99" s="2285"/>
      <c r="F99" s="2285"/>
      <c r="G99" s="2198"/>
      <c r="H99" s="2158"/>
      <c r="I99" s="2158"/>
      <c r="J99" s="2158"/>
      <c r="K99" s="2158"/>
      <c r="L99" s="2158"/>
      <c r="M99" s="2158"/>
      <c r="N99" s="2158"/>
      <c r="O99" s="2158"/>
      <c r="P99" s="2158"/>
      <c r="Q99" s="2158"/>
      <c r="R99" s="2158"/>
      <c r="S99" s="2158"/>
    </row>
    <row r="100" spans="1:19" x14ac:dyDescent="0.35">
      <c r="A100" s="2089"/>
      <c r="B100" s="2090" t="s">
        <v>733</v>
      </c>
      <c r="C100" s="2091"/>
      <c r="D100" s="2091"/>
      <c r="E100" s="2091"/>
      <c r="F100" s="2091"/>
      <c r="G100" s="2092"/>
      <c r="H100" s="2093"/>
      <c r="I100" s="2093"/>
      <c r="J100" s="2093"/>
      <c r="K100" s="2093"/>
      <c r="L100" s="2093"/>
      <c r="M100" s="2093"/>
      <c r="N100" s="2093"/>
      <c r="O100" s="2093"/>
      <c r="P100" s="2093"/>
      <c r="Q100" s="2093"/>
      <c r="R100" s="2093"/>
      <c r="S100" s="2093"/>
    </row>
    <row r="102" spans="1:19" x14ac:dyDescent="0.35">
      <c r="A102" s="78" t="s">
        <v>734</v>
      </c>
      <c r="B102" s="80"/>
    </row>
    <row r="103" spans="1:19" x14ac:dyDescent="0.35">
      <c r="A103" s="79" t="s">
        <v>632</v>
      </c>
      <c r="B103" s="2094"/>
    </row>
    <row r="104" spans="1:19" x14ac:dyDescent="0.35">
      <c r="A104" s="2279" t="s">
        <v>636</v>
      </c>
      <c r="B104" s="2094"/>
    </row>
    <row r="105" spans="1:19" x14ac:dyDescent="0.35">
      <c r="A105" s="2096" t="s">
        <v>639</v>
      </c>
      <c r="B105" s="2097"/>
    </row>
    <row r="106" spans="1:19" x14ac:dyDescent="0.35">
      <c r="A106" s="2096" t="s">
        <v>642</v>
      </c>
      <c r="B106" s="2159"/>
    </row>
    <row r="107" spans="1:19" x14ac:dyDescent="0.35">
      <c r="A107" s="2099" t="s">
        <v>735</v>
      </c>
      <c r="B107" s="2100"/>
    </row>
    <row r="109" spans="1:19" x14ac:dyDescent="0.35">
      <c r="A109" s="81"/>
      <c r="B109" s="1" t="s">
        <v>736</v>
      </c>
    </row>
    <row r="110" spans="1:19" x14ac:dyDescent="0.35">
      <c r="A110" s="82"/>
      <c r="B110" s="1" t="s">
        <v>737</v>
      </c>
    </row>
  </sheetData>
  <mergeCells count="47">
    <mergeCell ref="A75:B75"/>
    <mergeCell ref="A79:B79"/>
    <mergeCell ref="A83:B83"/>
    <mergeCell ref="A87:B87"/>
    <mergeCell ref="A91:B9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571" priority="23" operator="equal">
      <formula>"X"</formula>
    </cfRule>
    <cfRule type="cellIs" dxfId="570" priority="24" operator="equal">
      <formula>"I"</formula>
    </cfRule>
  </conditionalFormatting>
  <conditionalFormatting sqref="H31:H66">
    <cfRule type="cellIs" dxfId="569" priority="1" operator="equal">
      <formula>"X"</formula>
    </cfRule>
    <cfRule type="cellIs" dxfId="568" priority="2" operator="equal">
      <formula>"I"</formula>
    </cfRule>
  </conditionalFormatting>
  <conditionalFormatting sqref="J20:J29">
    <cfRule type="cellIs" dxfId="567" priority="21" operator="equal">
      <formula>"X"</formula>
    </cfRule>
    <cfRule type="cellIs" dxfId="566" priority="22" operator="equal">
      <formula>"I"</formula>
    </cfRule>
  </conditionalFormatting>
  <conditionalFormatting sqref="J31:J66">
    <cfRule type="cellIs" dxfId="565" priority="3" operator="equal">
      <formula>"X"</formula>
    </cfRule>
    <cfRule type="cellIs" dxfId="564" priority="4" operator="equal">
      <formula>"I"</formula>
    </cfRule>
  </conditionalFormatting>
  <conditionalFormatting sqref="L20:L29">
    <cfRule type="cellIs" dxfId="563" priority="19" operator="equal">
      <formula>"X"</formula>
    </cfRule>
    <cfRule type="cellIs" dxfId="562" priority="20" operator="equal">
      <formula>"I"</formula>
    </cfRule>
  </conditionalFormatting>
  <conditionalFormatting sqref="L31:L66">
    <cfRule type="cellIs" dxfId="561" priority="5" operator="equal">
      <formula>"X"</formula>
    </cfRule>
    <cfRule type="cellIs" dxfId="560" priority="6" operator="equal">
      <formula>"I"</formula>
    </cfRule>
  </conditionalFormatting>
  <conditionalFormatting sqref="N20:N29">
    <cfRule type="cellIs" dxfId="559" priority="17" operator="equal">
      <formula>"X"</formula>
    </cfRule>
    <cfRule type="cellIs" dxfId="558" priority="18" operator="equal">
      <formula>"I"</formula>
    </cfRule>
  </conditionalFormatting>
  <conditionalFormatting sqref="N31:N66">
    <cfRule type="cellIs" dxfId="557" priority="7" operator="equal">
      <formula>"X"</formula>
    </cfRule>
    <cfRule type="cellIs" dxfId="556" priority="8" operator="equal">
      <formula>"I"</formula>
    </cfRule>
  </conditionalFormatting>
  <conditionalFormatting sqref="P20:P29">
    <cfRule type="cellIs" dxfId="555" priority="15" operator="equal">
      <formula>"X"</formula>
    </cfRule>
    <cfRule type="cellIs" dxfId="554" priority="16" operator="equal">
      <formula>"I"</formula>
    </cfRule>
  </conditionalFormatting>
  <conditionalFormatting sqref="P31:P66">
    <cfRule type="cellIs" dxfId="553" priority="9" operator="equal">
      <formula>"X"</formula>
    </cfRule>
    <cfRule type="cellIs" dxfId="552" priority="10" operator="equal">
      <formula>"I"</formula>
    </cfRule>
  </conditionalFormatting>
  <conditionalFormatting sqref="R20:R29">
    <cfRule type="cellIs" dxfId="551" priority="13" operator="equal">
      <formula>"X"</formula>
    </cfRule>
    <cfRule type="cellIs" dxfId="550" priority="14" operator="equal">
      <formula>"I"</formula>
    </cfRule>
  </conditionalFormatting>
  <conditionalFormatting sqref="R31:R66">
    <cfRule type="cellIs" dxfId="549" priority="11" operator="equal">
      <formula>"X"</formula>
    </cfRule>
    <cfRule type="cellIs" dxfId="548" priority="12" operator="equal">
      <formula>"I"</formula>
    </cfRule>
  </conditionalFormatting>
  <hyperlinks>
    <hyperlink ref="B3" location="'Cost Summary'!A1" display="BACK TO SUMMARY SHEET" xr:uid="{4923DC2A-3177-4A3A-83AF-F21502089852}"/>
  </hyperlinks>
  <pageMargins left="0.7" right="0.7" top="0.75" bottom="0.75" header="0.3" footer="0.3"/>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AE0F-669E-4D02-8711-9E8B17D82711}">
  <sheetPr>
    <tabColor rgb="FF92D050"/>
  </sheetPr>
  <dimension ref="A1:S99"/>
  <sheetViews>
    <sheetView workbookViewId="0">
      <pane xSplit="2" ySplit="9" topLeftCell="C20" activePane="bottomRight" state="frozen"/>
      <selection pane="topRight" activeCell="C1" sqref="C1"/>
      <selection pane="bottomLeft" activeCell="A11" sqref="A11"/>
      <selection pane="bottomRight" activeCell="B9" sqref="B9"/>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9.5" x14ac:dyDescent="0.35">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898"/>
      <c r="K4" s="3898"/>
      <c r="L4" s="3898"/>
      <c r="M4" s="3898"/>
      <c r="N4" s="3898"/>
      <c r="O4" s="3898"/>
      <c r="P4" s="3898"/>
      <c r="Q4" s="3898"/>
      <c r="R4" s="3796"/>
      <c r="S4" s="3753"/>
    </row>
    <row r="5" spans="1:19" x14ac:dyDescent="0.35">
      <c r="A5" s="2283" t="s">
        <v>634</v>
      </c>
      <c r="B5" s="2284" t="s">
        <v>3144</v>
      </c>
      <c r="C5" s="2285"/>
      <c r="D5" s="2285"/>
      <c r="E5" s="2285"/>
      <c r="F5" s="2285"/>
      <c r="G5" s="2194" t="s">
        <v>636</v>
      </c>
      <c r="H5" s="3931"/>
      <c r="I5" s="3932"/>
      <c r="J5" s="3950"/>
      <c r="K5" s="3950"/>
      <c r="L5" s="3950"/>
      <c r="M5" s="3950"/>
      <c r="N5" s="3950"/>
      <c r="O5" s="3950"/>
      <c r="P5" s="3950"/>
      <c r="Q5" s="3950"/>
      <c r="R5" s="3933"/>
      <c r="S5" s="3932"/>
    </row>
    <row r="6" spans="1:19" x14ac:dyDescent="0.35">
      <c r="A6" s="2283" t="s">
        <v>638</v>
      </c>
      <c r="B6" s="2195" t="s">
        <v>3145</v>
      </c>
      <c r="C6" s="2285"/>
      <c r="D6" s="2285"/>
      <c r="E6" s="2285"/>
      <c r="F6" s="2285"/>
      <c r="G6" s="2194" t="s">
        <v>639</v>
      </c>
      <c r="H6" s="3937"/>
      <c r="I6" s="3938"/>
      <c r="J6" s="3949"/>
      <c r="K6" s="3949"/>
      <c r="L6" s="3949"/>
      <c r="M6" s="3949"/>
      <c r="N6" s="3949"/>
      <c r="O6" s="3949"/>
      <c r="P6" s="3949"/>
      <c r="Q6" s="3949"/>
      <c r="R6" s="3939"/>
      <c r="S6" s="3938"/>
    </row>
    <row r="7" spans="1:19" x14ac:dyDescent="0.35">
      <c r="A7" s="2283" t="s">
        <v>641</v>
      </c>
      <c r="B7" s="2196"/>
      <c r="C7" s="2285"/>
      <c r="D7" s="2285"/>
      <c r="E7" s="2285"/>
      <c r="F7" s="2285"/>
      <c r="G7" s="2194" t="s">
        <v>642</v>
      </c>
      <c r="H7" s="3934"/>
      <c r="I7" s="3935"/>
      <c r="J7" s="3951"/>
      <c r="K7" s="3951"/>
      <c r="L7" s="3951"/>
      <c r="M7" s="3951"/>
      <c r="N7" s="3951"/>
      <c r="O7" s="3951"/>
      <c r="P7" s="3951"/>
      <c r="Q7" s="3951"/>
      <c r="R7" s="3936"/>
      <c r="S7" s="3935"/>
    </row>
    <row r="8" spans="1:19" x14ac:dyDescent="0.35">
      <c r="A8" s="938" t="s">
        <v>644</v>
      </c>
      <c r="B8" s="939"/>
      <c r="C8" s="940"/>
      <c r="D8" s="940"/>
      <c r="E8" s="940"/>
      <c r="F8" s="940"/>
      <c r="G8" s="1024" t="s">
        <v>644</v>
      </c>
      <c r="H8" s="3945">
        <f>I60</f>
        <v>0</v>
      </c>
      <c r="I8" s="3944"/>
      <c r="J8" s="3945">
        <f>K60</f>
        <v>0</v>
      </c>
      <c r="K8" s="3944"/>
      <c r="L8" s="3945">
        <f>M60</f>
        <v>0</v>
      </c>
      <c r="M8" s="3944"/>
      <c r="N8" s="3945">
        <f>O60</f>
        <v>0</v>
      </c>
      <c r="O8" s="3944"/>
      <c r="P8" s="3945">
        <f>Q60</f>
        <v>0</v>
      </c>
      <c r="Q8" s="3944"/>
      <c r="R8" s="3945">
        <f>S60</f>
        <v>0</v>
      </c>
      <c r="S8" s="3944"/>
    </row>
    <row r="9" spans="1:1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2286"/>
      <c r="B10" s="2809"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x14ac:dyDescent="0.35">
      <c r="A21" s="48"/>
      <c r="B21" s="2203" t="s">
        <v>3144</v>
      </c>
      <c r="C21" s="45"/>
      <c r="D21" s="46"/>
      <c r="E21" s="46"/>
      <c r="F21" s="46"/>
      <c r="G21" s="52"/>
      <c r="H21" s="2109"/>
      <c r="I21" s="2810"/>
      <c r="J21" s="2109"/>
      <c r="K21" s="2811"/>
      <c r="L21" s="2109"/>
      <c r="M21" s="2811"/>
      <c r="N21" s="2109"/>
      <c r="O21" s="2811"/>
      <c r="P21" s="2109"/>
      <c r="Q21" s="2811"/>
      <c r="R21" s="2109"/>
      <c r="S21" s="2811"/>
    </row>
    <row r="22" spans="1:19" x14ac:dyDescent="0.35">
      <c r="A22" s="2812"/>
      <c r="B22" s="606" t="s">
        <v>657</v>
      </c>
      <c r="C22" s="2201"/>
      <c r="D22" s="2285"/>
      <c r="E22" s="2285"/>
      <c r="F22" s="2285"/>
      <c r="G22" s="2198"/>
      <c r="H22" s="2109"/>
      <c r="I22" s="2810"/>
      <c r="J22" s="2109"/>
      <c r="K22" s="2811"/>
      <c r="L22" s="2109"/>
      <c r="M22" s="2811"/>
      <c r="N22" s="2109"/>
      <c r="O22" s="2811"/>
      <c r="P22" s="2109"/>
      <c r="Q22" s="2811"/>
      <c r="R22" s="2109"/>
      <c r="S22" s="2811"/>
    </row>
    <row r="23" spans="1:19" x14ac:dyDescent="0.35">
      <c r="A23" s="2812"/>
      <c r="B23" s="2718" t="s">
        <v>658</v>
      </c>
      <c r="C23" s="2201"/>
      <c r="D23" s="2285"/>
      <c r="E23" s="2285"/>
      <c r="F23" s="2285"/>
      <c r="G23" s="2198"/>
      <c r="H23" s="2109"/>
      <c r="I23" s="2810"/>
      <c r="J23" s="2109"/>
      <c r="K23" s="2811"/>
      <c r="L23" s="2109"/>
      <c r="M23" s="2811"/>
      <c r="N23" s="2109"/>
      <c r="O23" s="2811"/>
      <c r="P23" s="2109"/>
      <c r="Q23" s="2811"/>
      <c r="R23" s="2109"/>
      <c r="S23" s="2811"/>
    </row>
    <row r="24" spans="1:19" x14ac:dyDescent="0.35">
      <c r="A24" s="2812"/>
      <c r="B24" s="2718" t="s">
        <v>659</v>
      </c>
      <c r="C24" s="2208"/>
      <c r="D24" s="2285"/>
      <c r="E24" s="2285"/>
      <c r="F24" s="2285"/>
      <c r="G24" s="2198"/>
      <c r="H24" s="2109"/>
      <c r="I24" s="2810"/>
      <c r="J24" s="2109"/>
      <c r="K24" s="2811"/>
      <c r="L24" s="2109"/>
      <c r="M24" s="2811"/>
      <c r="N24" s="2109"/>
      <c r="O24" s="2811"/>
      <c r="P24" s="2109"/>
      <c r="Q24" s="2811"/>
      <c r="R24" s="2109"/>
      <c r="S24" s="2811"/>
    </row>
    <row r="25" spans="1:19" x14ac:dyDescent="0.35">
      <c r="A25" s="2812"/>
      <c r="B25" s="2720" t="s">
        <v>660</v>
      </c>
      <c r="C25" s="2208"/>
      <c r="D25" s="2285"/>
      <c r="E25" s="2285"/>
      <c r="F25" s="2285"/>
      <c r="G25" s="2198"/>
      <c r="H25" s="2109"/>
      <c r="I25" s="2810"/>
      <c r="J25" s="2109"/>
      <c r="K25" s="2811"/>
      <c r="L25" s="2109"/>
      <c r="M25" s="2811"/>
      <c r="N25" s="2109"/>
      <c r="O25" s="2811"/>
      <c r="P25" s="2109"/>
      <c r="Q25" s="2811"/>
      <c r="R25" s="2109"/>
      <c r="S25" s="2811"/>
    </row>
    <row r="26" spans="1:19" s="77" customFormat="1" x14ac:dyDescent="0.35">
      <c r="A26" s="2796"/>
      <c r="B26" s="2720" t="s">
        <v>661</v>
      </c>
      <c r="C26" s="2211"/>
      <c r="D26" s="2212"/>
      <c r="E26" s="2212"/>
      <c r="F26" s="2212"/>
      <c r="G26" s="2211"/>
      <c r="H26" s="2109"/>
      <c r="I26" s="2810"/>
      <c r="J26" s="2109"/>
      <c r="K26" s="2686"/>
      <c r="L26" s="2109"/>
      <c r="M26" s="2686"/>
      <c r="N26" s="2109"/>
      <c r="O26" s="2686"/>
      <c r="P26" s="2109"/>
      <c r="Q26" s="2686"/>
      <c r="R26" s="2109"/>
      <c r="S26" s="2686"/>
    </row>
    <row r="27" spans="1:19" s="77" customFormat="1" x14ac:dyDescent="0.35">
      <c r="A27" s="2796"/>
      <c r="B27" s="2720" t="s">
        <v>662</v>
      </c>
      <c r="C27" s="2211"/>
      <c r="D27" s="2212"/>
      <c r="E27" s="2212"/>
      <c r="F27" s="2212"/>
      <c r="G27" s="2211"/>
      <c r="H27" s="2109"/>
      <c r="I27" s="2810"/>
      <c r="J27" s="2109"/>
      <c r="K27" s="2686"/>
      <c r="L27" s="2109"/>
      <c r="M27" s="2686"/>
      <c r="N27" s="2109"/>
      <c r="O27" s="2686"/>
      <c r="P27" s="2109"/>
      <c r="Q27" s="2686"/>
      <c r="R27" s="2109"/>
      <c r="S27" s="2686"/>
    </row>
    <row r="28" spans="1:19" s="77" customFormat="1" x14ac:dyDescent="0.35">
      <c r="A28" s="2796"/>
      <c r="B28" s="2720" t="s">
        <v>663</v>
      </c>
      <c r="C28" s="2211"/>
      <c r="D28" s="2212"/>
      <c r="E28" s="2212"/>
      <c r="F28" s="2212"/>
      <c r="G28" s="2211"/>
      <c r="H28" s="2109"/>
      <c r="I28" s="2810"/>
      <c r="J28" s="2109"/>
      <c r="K28" s="2686"/>
      <c r="L28" s="2109"/>
      <c r="M28" s="2686"/>
      <c r="N28" s="2109"/>
      <c r="O28" s="2686"/>
      <c r="P28" s="2109"/>
      <c r="Q28" s="2686"/>
      <c r="R28" s="2109"/>
      <c r="S28" s="2686"/>
    </row>
    <row r="29" spans="1:19" s="77" customFormat="1" x14ac:dyDescent="0.35">
      <c r="A29" s="2796"/>
      <c r="B29" s="2720" t="s">
        <v>742</v>
      </c>
      <c r="C29" s="2211"/>
      <c r="D29" s="2212"/>
      <c r="E29" s="2212"/>
      <c r="F29" s="2212"/>
      <c r="G29" s="2211"/>
      <c r="H29" s="2109"/>
      <c r="I29" s="2810"/>
      <c r="J29" s="2109"/>
      <c r="K29" s="2686"/>
      <c r="L29" s="2109"/>
      <c r="M29" s="2686"/>
      <c r="N29" s="2109"/>
      <c r="O29" s="2686"/>
      <c r="P29" s="2109"/>
      <c r="Q29" s="2686"/>
      <c r="R29" s="2109"/>
      <c r="S29" s="2686"/>
    </row>
    <row r="30" spans="1:19" s="77" customFormat="1" x14ac:dyDescent="0.35">
      <c r="A30" s="2796"/>
      <c r="B30" s="2687" t="s">
        <v>664</v>
      </c>
      <c r="C30" s="2211"/>
      <c r="D30" s="2212"/>
      <c r="E30" s="2212"/>
      <c r="F30" s="2212"/>
      <c r="G30" s="2211"/>
      <c r="H30" s="2109"/>
      <c r="I30" s="2810"/>
      <c r="J30" s="2109"/>
      <c r="K30" s="2686"/>
      <c r="L30" s="2109"/>
      <c r="M30" s="2686"/>
      <c r="N30" s="2109"/>
      <c r="O30" s="2686"/>
      <c r="P30" s="2109"/>
      <c r="Q30" s="2686"/>
      <c r="R30" s="2109"/>
      <c r="S30" s="2686"/>
    </row>
    <row r="31" spans="1:19" s="77" customFormat="1" x14ac:dyDescent="0.35">
      <c r="A31" s="2796"/>
      <c r="B31" s="2688" t="s">
        <v>665</v>
      </c>
      <c r="C31" s="2216"/>
      <c r="D31" s="2217"/>
      <c r="E31" s="2217"/>
      <c r="F31" s="2217"/>
      <c r="G31" s="2216"/>
      <c r="H31" s="2288"/>
      <c r="I31" s="2690"/>
      <c r="J31" s="2289"/>
      <c r="K31" s="2689"/>
      <c r="L31" s="2289"/>
      <c r="M31" s="2689"/>
      <c r="N31" s="2689"/>
      <c r="O31" s="2689"/>
      <c r="P31" s="2689"/>
      <c r="Q31" s="2689"/>
      <c r="R31" s="2689"/>
      <c r="S31" s="2689"/>
    </row>
    <row r="32" spans="1:19" s="77" customFormat="1" x14ac:dyDescent="0.35">
      <c r="A32" s="2796"/>
      <c r="B32" s="127"/>
      <c r="C32" s="2211"/>
      <c r="D32" s="2212"/>
      <c r="E32" s="2212"/>
      <c r="F32" s="2212"/>
      <c r="G32" s="2211"/>
      <c r="H32" s="2109"/>
      <c r="I32" s="2810"/>
      <c r="J32" s="2109"/>
      <c r="K32" s="2686"/>
      <c r="L32" s="2109"/>
      <c r="M32" s="2686"/>
      <c r="N32" s="2109"/>
      <c r="O32" s="2686"/>
      <c r="P32" s="2109"/>
      <c r="Q32" s="2686"/>
      <c r="R32" s="2109"/>
      <c r="S32" s="2686"/>
    </row>
    <row r="33" spans="1:19" s="77" customFormat="1" x14ac:dyDescent="0.35">
      <c r="A33" s="2692"/>
      <c r="B33" s="2772" t="s">
        <v>3130</v>
      </c>
      <c r="C33" s="2236"/>
      <c r="D33" s="2212"/>
      <c r="E33" s="2212"/>
      <c r="F33" s="2212"/>
      <c r="G33" s="2211"/>
      <c r="H33" s="2109"/>
      <c r="I33" s="2810"/>
      <c r="J33" s="2109"/>
      <c r="K33" s="2686"/>
      <c r="L33" s="2109"/>
      <c r="M33" s="2686"/>
      <c r="N33" s="2109"/>
      <c r="O33" s="2686"/>
      <c r="P33" s="2109"/>
      <c r="Q33" s="2686"/>
      <c r="R33" s="2109"/>
      <c r="S33" s="2686"/>
    </row>
    <row r="34" spans="1:19" s="77" customFormat="1" x14ac:dyDescent="0.35">
      <c r="A34" s="2692"/>
      <c r="B34" s="2772" t="s">
        <v>3131</v>
      </c>
      <c r="C34" s="2236"/>
      <c r="D34" s="2212"/>
      <c r="E34" s="2212"/>
      <c r="F34" s="2212"/>
      <c r="G34" s="2211"/>
      <c r="H34" s="2109" t="s">
        <v>669</v>
      </c>
      <c r="I34" s="2810"/>
      <c r="J34" s="2109"/>
      <c r="K34" s="2686"/>
      <c r="L34" s="2109"/>
      <c r="M34" s="2686"/>
      <c r="N34" s="2109"/>
      <c r="O34" s="2686"/>
      <c r="P34" s="2109"/>
      <c r="Q34" s="2686"/>
      <c r="R34" s="2109"/>
      <c r="S34" s="2686"/>
    </row>
    <row r="35" spans="1:19" s="77" customFormat="1" x14ac:dyDescent="0.35">
      <c r="A35" s="2692"/>
      <c r="B35" s="2772" t="s">
        <v>3132</v>
      </c>
      <c r="C35" s="2236"/>
      <c r="D35" s="2212"/>
      <c r="E35" s="2212"/>
      <c r="F35" s="2212"/>
      <c r="G35" s="2211"/>
      <c r="H35" s="2109"/>
      <c r="I35" s="2810"/>
      <c r="J35" s="2109"/>
      <c r="K35" s="2686"/>
      <c r="L35" s="2109"/>
      <c r="M35" s="2686"/>
      <c r="N35" s="2109"/>
      <c r="O35" s="2686"/>
      <c r="P35" s="2109"/>
      <c r="Q35" s="2686"/>
      <c r="R35" s="2109"/>
      <c r="S35" s="2686"/>
    </row>
    <row r="36" spans="1:19" s="77" customFormat="1" x14ac:dyDescent="0.35">
      <c r="A36" s="2692"/>
      <c r="B36" s="2772" t="s">
        <v>3133</v>
      </c>
      <c r="C36" s="2236"/>
      <c r="D36" s="2212"/>
      <c r="E36" s="2212"/>
      <c r="F36" s="2212"/>
      <c r="G36" s="2211"/>
      <c r="H36" s="2109"/>
      <c r="I36" s="2810"/>
      <c r="J36" s="2109"/>
      <c r="K36" s="2686"/>
      <c r="L36" s="2109"/>
      <c r="M36" s="2686"/>
      <c r="N36" s="2109"/>
      <c r="O36" s="2686"/>
      <c r="P36" s="2109"/>
      <c r="Q36" s="2686"/>
      <c r="R36" s="2109"/>
      <c r="S36" s="2686"/>
    </row>
    <row r="37" spans="1:19" s="77" customFormat="1" x14ac:dyDescent="0.35">
      <c r="A37" s="2692"/>
      <c r="B37" s="2772" t="s">
        <v>3134</v>
      </c>
      <c r="C37" s="2236"/>
      <c r="D37" s="2212"/>
      <c r="E37" s="2212"/>
      <c r="F37" s="2212"/>
      <c r="G37" s="2211"/>
      <c r="H37" s="2109"/>
      <c r="I37" s="2810"/>
      <c r="J37" s="2109"/>
      <c r="K37" s="2686"/>
      <c r="L37" s="2109"/>
      <c r="M37" s="2686"/>
      <c r="N37" s="2109"/>
      <c r="O37" s="2686"/>
      <c r="P37" s="2109"/>
      <c r="Q37" s="2686"/>
      <c r="R37" s="2109"/>
      <c r="S37" s="2686"/>
    </row>
    <row r="38" spans="1:19" s="77" customFormat="1" x14ac:dyDescent="0.35">
      <c r="A38" s="2692"/>
      <c r="B38" s="2772" t="s">
        <v>3135</v>
      </c>
      <c r="C38" s="2236"/>
      <c r="D38" s="2212"/>
      <c r="E38" s="2341"/>
      <c r="F38" s="2342"/>
      <c r="G38" s="2211"/>
      <c r="H38" s="2109"/>
      <c r="I38" s="2810"/>
      <c r="J38" s="2109"/>
      <c r="K38" s="2686"/>
      <c r="L38" s="2109"/>
      <c r="M38" s="2686"/>
      <c r="N38" s="2109"/>
      <c r="O38" s="2686"/>
      <c r="P38" s="2109"/>
      <c r="Q38" s="2686"/>
      <c r="R38" s="2109"/>
      <c r="S38" s="2686"/>
    </row>
    <row r="39" spans="1:19" s="77" customFormat="1" x14ac:dyDescent="0.35">
      <c r="A39" s="2692"/>
      <c r="B39" s="2772" t="s">
        <v>3136</v>
      </c>
      <c r="C39" s="2236"/>
      <c r="D39" s="2212"/>
      <c r="E39" s="2341"/>
      <c r="F39" s="2342"/>
      <c r="G39" s="2211"/>
      <c r="H39" s="2109"/>
      <c r="I39" s="2810"/>
      <c r="J39" s="2109"/>
      <c r="K39" s="2686"/>
      <c r="L39" s="2109"/>
      <c r="M39" s="2686"/>
      <c r="N39" s="2109"/>
      <c r="O39" s="2686"/>
      <c r="P39" s="2109"/>
      <c r="Q39" s="2686"/>
      <c r="R39" s="2109"/>
      <c r="S39" s="2686"/>
    </row>
    <row r="40" spans="1:19" s="77" customFormat="1" x14ac:dyDescent="0.35">
      <c r="A40" s="2692"/>
      <c r="B40" s="2772" t="s">
        <v>3137</v>
      </c>
      <c r="C40" s="2236"/>
      <c r="D40" s="2212"/>
      <c r="E40" s="2341"/>
      <c r="F40" s="2342"/>
      <c r="G40" s="2211"/>
      <c r="H40" s="2109"/>
      <c r="I40" s="2810"/>
      <c r="J40" s="2109"/>
      <c r="K40" s="2686"/>
      <c r="L40" s="2109"/>
      <c r="M40" s="2686"/>
      <c r="N40" s="2109"/>
      <c r="O40" s="2686"/>
      <c r="P40" s="2109"/>
      <c r="Q40" s="2686"/>
      <c r="R40" s="2109"/>
      <c r="S40" s="2686"/>
    </row>
    <row r="41" spans="1:19" s="77" customFormat="1" x14ac:dyDescent="0.35">
      <c r="A41" s="2692"/>
      <c r="B41" s="2772" t="s">
        <v>3146</v>
      </c>
      <c r="C41" s="2236"/>
      <c r="D41" s="2212"/>
      <c r="E41" s="2341"/>
      <c r="F41" s="2342"/>
      <c r="G41" s="2211"/>
      <c r="H41" s="2109"/>
      <c r="I41" s="2810"/>
      <c r="J41" s="2109"/>
      <c r="K41" s="2686"/>
      <c r="L41" s="2109"/>
      <c r="M41" s="2686"/>
      <c r="N41" s="2109"/>
      <c r="O41" s="2686"/>
      <c r="P41" s="2109"/>
      <c r="Q41" s="2686"/>
      <c r="R41" s="2109"/>
      <c r="S41" s="2686"/>
    </row>
    <row r="42" spans="1:19" s="77" customFormat="1" x14ac:dyDescent="0.35">
      <c r="A42" s="2692"/>
      <c r="B42" s="2772" t="s">
        <v>3147</v>
      </c>
      <c r="C42" s="2236"/>
      <c r="D42" s="2212"/>
      <c r="E42" s="2341"/>
      <c r="F42" s="2342"/>
      <c r="G42" s="2211"/>
      <c r="H42" s="2109"/>
      <c r="I42" s="2810"/>
      <c r="J42" s="2109"/>
      <c r="K42" s="2686"/>
      <c r="L42" s="2109"/>
      <c r="M42" s="2686"/>
      <c r="N42" s="2109"/>
      <c r="O42" s="2686"/>
      <c r="P42" s="2109"/>
      <c r="Q42" s="2686"/>
      <c r="R42" s="2109"/>
      <c r="S42" s="2686"/>
    </row>
    <row r="43" spans="1:19" s="77" customFormat="1" x14ac:dyDescent="0.35">
      <c r="A43" s="2692"/>
      <c r="B43" s="2772" t="s">
        <v>3140</v>
      </c>
      <c r="C43" s="2236"/>
      <c r="D43" s="2212"/>
      <c r="E43" s="2341"/>
      <c r="F43" s="2342"/>
      <c r="G43" s="2211"/>
      <c r="H43" s="2109"/>
      <c r="I43" s="2810"/>
      <c r="J43" s="2109"/>
      <c r="K43" s="2686"/>
      <c r="L43" s="2109"/>
      <c r="M43" s="2686"/>
      <c r="N43" s="2109"/>
      <c r="O43" s="2686"/>
      <c r="P43" s="2109"/>
      <c r="Q43" s="2686"/>
      <c r="R43" s="2109"/>
      <c r="S43" s="2686"/>
    </row>
    <row r="44" spans="1:19" s="77" customFormat="1" x14ac:dyDescent="0.35">
      <c r="A44" s="2692"/>
      <c r="B44" s="2772" t="s">
        <v>3074</v>
      </c>
      <c r="C44" s="2236"/>
      <c r="D44" s="2212"/>
      <c r="E44" s="2341"/>
      <c r="F44" s="2342"/>
      <c r="G44" s="2211"/>
      <c r="H44" s="2109"/>
      <c r="I44" s="2810"/>
      <c r="J44" s="2109"/>
      <c r="K44" s="2686"/>
      <c r="L44" s="2109"/>
      <c r="M44" s="2686"/>
      <c r="N44" s="2109"/>
      <c r="O44" s="2686"/>
      <c r="P44" s="2109"/>
      <c r="Q44" s="2686"/>
      <c r="R44" s="2109"/>
      <c r="S44" s="2686"/>
    </row>
    <row r="45" spans="1:19" s="77" customFormat="1" x14ac:dyDescent="0.35">
      <c r="A45" s="2692"/>
      <c r="B45" s="2772" t="s">
        <v>3075</v>
      </c>
      <c r="C45" s="2236"/>
      <c r="D45" s="2212"/>
      <c r="E45" s="2341"/>
      <c r="F45" s="2342"/>
      <c r="G45" s="2211"/>
      <c r="H45" s="2109"/>
      <c r="I45" s="2810"/>
      <c r="J45" s="2109"/>
      <c r="K45" s="2686"/>
      <c r="L45" s="2109"/>
      <c r="M45" s="2686"/>
      <c r="N45" s="2109"/>
      <c r="O45" s="2686"/>
      <c r="P45" s="2109"/>
      <c r="Q45" s="2686"/>
      <c r="R45" s="2109"/>
      <c r="S45" s="2686"/>
    </row>
    <row r="46" spans="1:19" s="77" customFormat="1" x14ac:dyDescent="0.35">
      <c r="A46" s="2692"/>
      <c r="B46" s="2772" t="s">
        <v>3076</v>
      </c>
      <c r="C46" s="2236"/>
      <c r="D46" s="2212"/>
      <c r="E46" s="2341"/>
      <c r="F46" s="2342"/>
      <c r="G46" s="2211"/>
      <c r="H46" s="2109"/>
      <c r="I46" s="2810"/>
      <c r="J46" s="2109"/>
      <c r="K46" s="2686"/>
      <c r="L46" s="2109"/>
      <c r="M46" s="2686"/>
      <c r="N46" s="2109"/>
      <c r="O46" s="2686"/>
      <c r="P46" s="2109"/>
      <c r="Q46" s="2686"/>
      <c r="R46" s="2109"/>
      <c r="S46" s="2686"/>
    </row>
    <row r="47" spans="1:19" s="77" customFormat="1" x14ac:dyDescent="0.35">
      <c r="A47" s="2692"/>
      <c r="B47" s="2772" t="s">
        <v>3141</v>
      </c>
      <c r="C47" s="2236"/>
      <c r="D47" s="2212"/>
      <c r="E47" s="2341"/>
      <c r="F47" s="2342"/>
      <c r="G47" s="2211"/>
      <c r="H47" s="2109"/>
      <c r="I47" s="2810"/>
      <c r="J47" s="2109"/>
      <c r="K47" s="2686"/>
      <c r="L47" s="2109"/>
      <c r="M47" s="2686"/>
      <c r="N47" s="2109"/>
      <c r="O47" s="2686"/>
      <c r="P47" s="2109"/>
      <c r="Q47" s="2686"/>
      <c r="R47" s="2109"/>
      <c r="S47" s="2686"/>
    </row>
    <row r="48" spans="1:19" s="77" customFormat="1" x14ac:dyDescent="0.35">
      <c r="A48" s="2692"/>
      <c r="B48" s="2772"/>
      <c r="C48" s="2236"/>
      <c r="D48" s="2212"/>
      <c r="E48" s="2341"/>
      <c r="F48" s="2342"/>
      <c r="G48" s="2211"/>
      <c r="H48" s="2109"/>
      <c r="I48" s="2810"/>
      <c r="J48" s="2109"/>
      <c r="K48" s="2686"/>
      <c r="L48" s="2109"/>
      <c r="M48" s="2686"/>
      <c r="N48" s="2109"/>
      <c r="O48" s="2686"/>
      <c r="P48" s="2109"/>
      <c r="Q48" s="2686"/>
      <c r="R48" s="2109"/>
      <c r="S48" s="2686"/>
    </row>
    <row r="49" spans="1:19" s="77" customFormat="1" x14ac:dyDescent="0.35">
      <c r="A49" s="2692"/>
      <c r="B49" s="2772" t="s">
        <v>3148</v>
      </c>
      <c r="C49" s="2236"/>
      <c r="D49" s="2212"/>
      <c r="E49" s="2341"/>
      <c r="F49" s="2342"/>
      <c r="G49" s="2211"/>
      <c r="H49" s="2109"/>
      <c r="I49" s="2810"/>
      <c r="J49" s="2109"/>
      <c r="K49" s="2686"/>
      <c r="L49" s="2109"/>
      <c r="M49" s="2686"/>
      <c r="N49" s="2109"/>
      <c r="O49" s="2686"/>
      <c r="P49" s="2109"/>
      <c r="Q49" s="2686"/>
      <c r="R49" s="2109"/>
      <c r="S49" s="2686"/>
    </row>
    <row r="50" spans="1:19" s="77" customFormat="1" x14ac:dyDescent="0.35">
      <c r="A50" s="2692"/>
      <c r="B50" s="2772"/>
      <c r="C50" s="2236"/>
      <c r="D50" s="2212"/>
      <c r="E50" s="2341"/>
      <c r="F50" s="2342"/>
      <c r="G50" s="2211"/>
      <c r="H50" s="2109"/>
      <c r="I50" s="2810"/>
      <c r="J50" s="2109"/>
      <c r="K50" s="2686"/>
      <c r="L50" s="2109"/>
      <c r="M50" s="2686"/>
      <c r="N50" s="2109"/>
      <c r="O50" s="2686"/>
      <c r="P50" s="2109"/>
      <c r="Q50" s="2686"/>
      <c r="R50" s="2109"/>
      <c r="S50" s="2686"/>
    </row>
    <row r="51" spans="1:19" s="77" customFormat="1" x14ac:dyDescent="0.35">
      <c r="A51" s="2692"/>
      <c r="B51" s="2772" t="s">
        <v>3142</v>
      </c>
      <c r="C51" s="2236"/>
      <c r="D51" s="2212"/>
      <c r="E51" s="2341"/>
      <c r="F51" s="2342"/>
      <c r="G51" s="2211"/>
      <c r="H51" s="2109"/>
      <c r="I51" s="2810"/>
      <c r="J51" s="2109"/>
      <c r="K51" s="2686"/>
      <c r="L51" s="2109"/>
      <c r="M51" s="2686"/>
      <c r="N51" s="2109"/>
      <c r="O51" s="2686"/>
      <c r="P51" s="2109"/>
      <c r="Q51" s="2686"/>
      <c r="R51" s="2109"/>
      <c r="S51" s="2686"/>
    </row>
    <row r="52" spans="1:19" s="77" customFormat="1" x14ac:dyDescent="0.35">
      <c r="A52" s="2692"/>
      <c r="B52" s="2340"/>
      <c r="C52" s="2236"/>
      <c r="D52" s="2212"/>
      <c r="E52" s="2341"/>
      <c r="F52" s="2342"/>
      <c r="G52" s="2211"/>
      <c r="H52" s="2109"/>
      <c r="I52" s="2810"/>
      <c r="J52" s="2109"/>
      <c r="K52" s="2686"/>
      <c r="L52" s="2109"/>
      <c r="M52" s="2686"/>
      <c r="N52" s="2109"/>
      <c r="O52" s="2686"/>
      <c r="P52" s="2109"/>
      <c r="Q52" s="2686"/>
      <c r="R52" s="2109"/>
      <c r="S52" s="2686"/>
    </row>
    <row r="53" spans="1:19" s="77" customFormat="1" x14ac:dyDescent="0.35">
      <c r="A53" s="2692"/>
      <c r="B53" s="2340"/>
      <c r="C53" s="2236"/>
      <c r="D53" s="2212"/>
      <c r="E53" s="2341"/>
      <c r="F53" s="2342"/>
      <c r="G53" s="2211"/>
      <c r="H53" s="2109"/>
      <c r="I53" s="2810"/>
      <c r="J53" s="2109"/>
      <c r="K53" s="2686"/>
      <c r="L53" s="2109"/>
      <c r="M53" s="2686"/>
      <c r="N53" s="2109"/>
      <c r="O53" s="2686"/>
      <c r="P53" s="2109"/>
      <c r="Q53" s="2686"/>
      <c r="R53" s="2109"/>
      <c r="S53" s="2686"/>
    </row>
    <row r="54" spans="1:19" s="77" customFormat="1" x14ac:dyDescent="0.35">
      <c r="A54" s="2692"/>
      <c r="B54" s="2340"/>
      <c r="C54" s="2236"/>
      <c r="D54" s="2212"/>
      <c r="E54" s="2341"/>
      <c r="F54" s="2342"/>
      <c r="G54" s="2211"/>
      <c r="H54" s="2109"/>
      <c r="I54" s="2810"/>
      <c r="J54" s="2109"/>
      <c r="K54" s="2686"/>
      <c r="L54" s="2109"/>
      <c r="M54" s="2686"/>
      <c r="N54" s="2109"/>
      <c r="O54" s="2686"/>
      <c r="P54" s="2109"/>
      <c r="Q54" s="2686"/>
      <c r="R54" s="2109"/>
      <c r="S54" s="2686"/>
    </row>
    <row r="55" spans="1:19" x14ac:dyDescent="0.35">
      <c r="A55" s="2542"/>
      <c r="B55" s="2543"/>
      <c r="C55" s="2201"/>
      <c r="D55" s="2285"/>
      <c r="E55" s="2285"/>
      <c r="F55" s="2285"/>
      <c r="G55" s="2198"/>
      <c r="H55" s="2109"/>
      <c r="I55" s="2811"/>
      <c r="J55" s="2109"/>
      <c r="K55" s="2811"/>
      <c r="L55" s="2109"/>
      <c r="M55" s="2811"/>
      <c r="N55" s="2109"/>
      <c r="O55" s="2811"/>
      <c r="P55" s="2109"/>
      <c r="Q55" s="2811"/>
      <c r="R55" s="2109"/>
      <c r="S55" s="2811"/>
    </row>
    <row r="56" spans="1:19" x14ac:dyDescent="0.35">
      <c r="A56" s="14"/>
      <c r="B56" s="15"/>
      <c r="C56" s="16"/>
      <c r="D56" s="16"/>
      <c r="E56" s="17"/>
      <c r="F56" s="18" t="s">
        <v>715</v>
      </c>
      <c r="G56" s="19"/>
      <c r="H56" s="20"/>
      <c r="I56" s="50">
        <f>SUM(I23:I55)</f>
        <v>0</v>
      </c>
      <c r="J56" s="20"/>
      <c r="K56" s="50">
        <f>SUM(K23:K55)</f>
        <v>0</v>
      </c>
      <c r="L56" s="20"/>
      <c r="M56" s="50">
        <f>SUM(M23:M55)</f>
        <v>0</v>
      </c>
      <c r="N56" s="20"/>
      <c r="O56" s="50">
        <f>SUM(O23:O55)</f>
        <v>0</v>
      </c>
      <c r="P56" s="20"/>
      <c r="Q56" s="50">
        <f>SUM(Q23:Q55)</f>
        <v>0</v>
      </c>
      <c r="R56" s="20"/>
      <c r="S56" s="50">
        <f>SUM(S23:S55)</f>
        <v>0</v>
      </c>
    </row>
    <row r="57" spans="1:19" x14ac:dyDescent="0.35">
      <c r="A57" s="2239"/>
      <c r="B57" s="2240"/>
      <c r="C57" s="2241"/>
      <c r="D57" s="2241"/>
      <c r="E57" s="2242"/>
      <c r="F57" s="2243" t="s">
        <v>716</v>
      </c>
      <c r="G57" s="2244"/>
      <c r="H57" s="2065">
        <v>0</v>
      </c>
      <c r="I57" s="2064"/>
      <c r="J57" s="2065">
        <v>0</v>
      </c>
      <c r="K57" s="2064"/>
      <c r="L57" s="2065">
        <v>0</v>
      </c>
      <c r="M57" s="2064"/>
      <c r="N57" s="2065">
        <v>0</v>
      </c>
      <c r="O57" s="2064"/>
      <c r="P57" s="2065">
        <v>0</v>
      </c>
      <c r="Q57" s="2064"/>
      <c r="R57" s="2065">
        <v>0</v>
      </c>
      <c r="S57" s="2064"/>
    </row>
    <row r="58" spans="1:19" x14ac:dyDescent="0.35">
      <c r="A58" s="2239"/>
      <c r="B58" s="2240"/>
      <c r="C58" s="2241"/>
      <c r="D58" s="2241"/>
      <c r="E58" s="2242"/>
      <c r="F58" s="2243" t="s">
        <v>717</v>
      </c>
      <c r="G58" s="2244"/>
      <c r="H58" s="2066"/>
      <c r="I58" s="2067">
        <f>H57*I56</f>
        <v>0</v>
      </c>
      <c r="J58" s="2066"/>
      <c r="K58" s="2067">
        <f>J57*K56</f>
        <v>0</v>
      </c>
      <c r="L58" s="2066"/>
      <c r="M58" s="2067">
        <f>L57*M56</f>
        <v>0</v>
      </c>
      <c r="N58" s="2066"/>
      <c r="O58" s="2067">
        <f>N57*O56</f>
        <v>0</v>
      </c>
      <c r="P58" s="2066"/>
      <c r="Q58" s="2067">
        <f>P57*Q56</f>
        <v>0</v>
      </c>
      <c r="R58" s="2066"/>
      <c r="S58" s="2067">
        <f>R57*S56</f>
        <v>0</v>
      </c>
    </row>
    <row r="59" spans="1:19" x14ac:dyDescent="0.35">
      <c r="A59" s="2239"/>
      <c r="B59" s="2240"/>
      <c r="C59" s="2241"/>
      <c r="D59" s="2241"/>
      <c r="E59" s="2242"/>
      <c r="F59" s="2243"/>
      <c r="G59" s="2244"/>
      <c r="H59" s="2066"/>
      <c r="I59" s="2068"/>
      <c r="J59" s="2066"/>
      <c r="K59" s="2068"/>
      <c r="L59" s="2066"/>
      <c r="M59" s="2068"/>
      <c r="N59" s="2066"/>
      <c r="O59" s="2068"/>
      <c r="P59" s="2066"/>
      <c r="Q59" s="2068"/>
      <c r="R59" s="2066"/>
      <c r="S59" s="2068"/>
    </row>
    <row r="60" spans="1:19" x14ac:dyDescent="0.35">
      <c r="A60" s="2239"/>
      <c r="B60" s="2240"/>
      <c r="C60" s="2241"/>
      <c r="D60" s="2241"/>
      <c r="E60" s="2242"/>
      <c r="F60" s="2243" t="s">
        <v>718</v>
      </c>
      <c r="G60" s="2244"/>
      <c r="H60" s="2069"/>
      <c r="I60" s="2070">
        <f>SUM(I56:I58)</f>
        <v>0</v>
      </c>
      <c r="J60" s="2069"/>
      <c r="K60" s="2070">
        <f>SUM(K56:K58)</f>
        <v>0</v>
      </c>
      <c r="L60" s="2069"/>
      <c r="M60" s="2070">
        <f>SUM(M56:M58)</f>
        <v>0</v>
      </c>
      <c r="N60" s="2069"/>
      <c r="O60" s="2070">
        <f>SUM(O56:O58)</f>
        <v>0</v>
      </c>
      <c r="P60" s="2069"/>
      <c r="Q60" s="2070">
        <f>SUM(Q56:Q58)</f>
        <v>0</v>
      </c>
      <c r="R60" s="2069"/>
      <c r="S60" s="2070">
        <f>SUM(S56:S58)</f>
        <v>0</v>
      </c>
    </row>
    <row r="61" spans="1:19" x14ac:dyDescent="0.35">
      <c r="A61" s="2239"/>
      <c r="B61" s="2240"/>
      <c r="C61" s="2241"/>
      <c r="D61" s="2241"/>
      <c r="E61" s="2242"/>
      <c r="F61" s="2255" t="s">
        <v>719</v>
      </c>
      <c r="G61" s="2256"/>
      <c r="H61" s="2073"/>
      <c r="I61" s="2074" t="e">
        <f>I60/#REF!</f>
        <v>#REF!</v>
      </c>
      <c r="J61" s="2073"/>
      <c r="K61" s="2074" t="e">
        <f>K60/#REF!</f>
        <v>#REF!</v>
      </c>
      <c r="L61" s="2073"/>
      <c r="M61" s="2074" t="e">
        <f>M60/#REF!</f>
        <v>#REF!</v>
      </c>
      <c r="N61" s="2073"/>
      <c r="O61" s="2074" t="e">
        <f>O60/#REF!</f>
        <v>#REF!</v>
      </c>
      <c r="P61" s="2073"/>
      <c r="Q61" s="2074" t="e">
        <f>Q60/#REF!</f>
        <v>#REF!</v>
      </c>
      <c r="R61" s="2073"/>
      <c r="S61" s="2074" t="e">
        <f>S60/#REF!</f>
        <v>#REF!</v>
      </c>
    </row>
    <row r="62" spans="1:19" x14ac:dyDescent="0.35">
      <c r="A62" s="2239"/>
      <c r="B62" s="2240"/>
      <c r="C62" s="2241"/>
      <c r="D62" s="2241"/>
      <c r="E62" s="2242"/>
      <c r="F62" s="2255" t="s">
        <v>720</v>
      </c>
      <c r="G62" s="2260"/>
      <c r="H62" s="2073"/>
      <c r="I62" s="2074" t="e">
        <f>I60/#REF!</f>
        <v>#REF!</v>
      </c>
      <c r="J62" s="2073"/>
      <c r="K62" s="2074" t="e">
        <f>K60/#REF!</f>
        <v>#REF!</v>
      </c>
      <c r="L62" s="2073"/>
      <c r="M62" s="2074" t="e">
        <f>M60/#REF!</f>
        <v>#REF!</v>
      </c>
      <c r="N62" s="2073"/>
      <c r="O62" s="2074" t="e">
        <f>O60/#REF!</f>
        <v>#REF!</v>
      </c>
      <c r="P62" s="2073"/>
      <c r="Q62" s="2074" t="e">
        <f>Q60/#REF!</f>
        <v>#REF!</v>
      </c>
      <c r="R62" s="2073"/>
      <c r="S62" s="2074" t="e">
        <f>S60/#REF!</f>
        <v>#REF!</v>
      </c>
    </row>
    <row r="63" spans="1:19" x14ac:dyDescent="0.35">
      <c r="A63" s="2239"/>
      <c r="B63" s="2240"/>
      <c r="C63" s="2241"/>
      <c r="D63" s="2241"/>
      <c r="E63" s="2242"/>
      <c r="F63" s="2243"/>
      <c r="G63" s="2261"/>
      <c r="H63" s="2077"/>
      <c r="I63" s="2078"/>
      <c r="J63" s="2077"/>
      <c r="K63" s="2078"/>
      <c r="L63" s="2077"/>
      <c r="M63" s="2078"/>
      <c r="N63" s="2077"/>
      <c r="O63" s="2078"/>
      <c r="P63" s="2077"/>
      <c r="Q63" s="2078"/>
      <c r="R63" s="2077"/>
      <c r="S63" s="2078"/>
    </row>
    <row r="64" spans="1:19" x14ac:dyDescent="0.35">
      <c r="A64" s="3764" t="s">
        <v>721</v>
      </c>
      <c r="B64" s="3765"/>
      <c r="C64" s="12"/>
      <c r="D64" s="12"/>
      <c r="E64" s="12"/>
      <c r="F64" s="12"/>
      <c r="G64" s="13"/>
      <c r="H64" s="21"/>
      <c r="I64" s="21"/>
      <c r="J64" s="21"/>
      <c r="K64" s="21"/>
      <c r="L64" s="21"/>
      <c r="M64" s="21"/>
      <c r="N64" s="21"/>
      <c r="O64" s="21"/>
      <c r="P64" s="21"/>
      <c r="Q64" s="21"/>
      <c r="R64" s="21"/>
      <c r="S64" s="21"/>
    </row>
    <row r="65" spans="1:19" x14ac:dyDescent="0.35">
      <c r="A65" s="2708"/>
      <c r="B65" s="2284"/>
      <c r="C65" s="2709"/>
      <c r="D65" s="2709"/>
      <c r="E65" s="2709"/>
      <c r="F65" s="2709"/>
      <c r="G65" s="2710"/>
      <c r="H65" s="2711"/>
      <c r="I65" s="2711"/>
      <c r="J65" s="2711"/>
      <c r="K65" s="2711"/>
      <c r="L65" s="2711"/>
      <c r="M65" s="2711"/>
      <c r="N65" s="2711"/>
      <c r="O65" s="2711"/>
      <c r="P65" s="2711"/>
      <c r="Q65" s="2711"/>
      <c r="R65" s="2711"/>
      <c r="S65" s="2711"/>
    </row>
    <row r="66" spans="1:19" s="2" customFormat="1" x14ac:dyDescent="0.35">
      <c r="A66" s="2708"/>
      <c r="B66" s="2284"/>
      <c r="C66" s="2709"/>
      <c r="D66" s="2709"/>
      <c r="E66" s="2709"/>
      <c r="F66" s="2709"/>
      <c r="G66" s="2710"/>
      <c r="H66" s="2711"/>
      <c r="I66" s="2711"/>
      <c r="J66" s="2711"/>
      <c r="K66" s="2711"/>
      <c r="L66" s="2711"/>
      <c r="M66" s="2711"/>
      <c r="N66" s="2711"/>
      <c r="O66" s="2711"/>
      <c r="P66" s="2711"/>
      <c r="Q66" s="2711"/>
      <c r="R66" s="2711"/>
      <c r="S66" s="2711"/>
    </row>
    <row r="67" spans="1:19" s="2" customFormat="1" x14ac:dyDescent="0.35">
      <c r="A67" s="2708"/>
      <c r="B67" s="2284"/>
      <c r="C67" s="2709"/>
      <c r="D67" s="2709"/>
      <c r="E67" s="2709"/>
      <c r="F67" s="2709"/>
      <c r="G67" s="2710"/>
      <c r="H67" s="2711"/>
      <c r="I67" s="2711"/>
      <c r="J67" s="2711"/>
      <c r="K67" s="2711"/>
      <c r="L67" s="2711"/>
      <c r="M67" s="2711"/>
      <c r="N67" s="2711"/>
      <c r="O67" s="2711"/>
      <c r="P67" s="2711"/>
      <c r="Q67" s="2711"/>
      <c r="R67" s="2711"/>
      <c r="S67" s="2711"/>
    </row>
    <row r="68" spans="1:19" x14ac:dyDescent="0.35">
      <c r="A68" s="3764" t="s">
        <v>722</v>
      </c>
      <c r="B68" s="3765"/>
      <c r="C68" s="12"/>
      <c r="D68" s="12"/>
      <c r="E68" s="12"/>
      <c r="F68" s="12"/>
      <c r="G68" s="13"/>
      <c r="H68" s="21"/>
      <c r="I68" s="21"/>
      <c r="J68" s="21"/>
      <c r="K68" s="21"/>
      <c r="L68" s="21"/>
      <c r="M68" s="21"/>
      <c r="N68" s="21"/>
      <c r="O68" s="21"/>
      <c r="P68" s="21"/>
      <c r="Q68" s="21"/>
      <c r="R68" s="21"/>
      <c r="S68" s="21"/>
    </row>
    <row r="69" spans="1:19" s="2" customFormat="1" x14ac:dyDescent="0.35">
      <c r="A69" s="2708"/>
      <c r="B69" s="2284"/>
      <c r="C69" s="2709"/>
      <c r="D69" s="2709"/>
      <c r="E69" s="2709"/>
      <c r="F69" s="2709"/>
      <c r="G69" s="2710"/>
      <c r="H69" s="2711"/>
      <c r="I69" s="2711"/>
      <c r="J69" s="2711"/>
      <c r="K69" s="2711"/>
      <c r="L69" s="2711"/>
      <c r="M69" s="2711"/>
      <c r="N69" s="2711"/>
      <c r="O69" s="2711"/>
      <c r="P69" s="2711"/>
      <c r="Q69" s="2711"/>
      <c r="R69" s="2711"/>
      <c r="S69" s="2711"/>
    </row>
    <row r="70" spans="1:19" s="2" customFormat="1" x14ac:dyDescent="0.35">
      <c r="A70" s="2708"/>
      <c r="B70" s="2284"/>
      <c r="C70" s="2709"/>
      <c r="D70" s="2709"/>
      <c r="E70" s="2709"/>
      <c r="F70" s="2709"/>
      <c r="G70" s="2710"/>
      <c r="H70" s="2711"/>
      <c r="I70" s="2711"/>
      <c r="J70" s="2711"/>
      <c r="K70" s="2711"/>
      <c r="L70" s="2711"/>
      <c r="M70" s="2711"/>
      <c r="N70" s="2711"/>
      <c r="O70" s="2711"/>
      <c r="P70" s="2711"/>
      <c r="Q70" s="2711"/>
      <c r="R70" s="2711"/>
      <c r="S70" s="2711"/>
    </row>
    <row r="71" spans="1:19" x14ac:dyDescent="0.35">
      <c r="A71" s="2708"/>
      <c r="B71" s="2284"/>
      <c r="C71" s="2709"/>
      <c r="D71" s="2709"/>
      <c r="E71" s="2709"/>
      <c r="F71" s="2709"/>
      <c r="G71" s="2710"/>
      <c r="H71" s="2711"/>
      <c r="I71" s="2711"/>
      <c r="J71" s="2711"/>
      <c r="K71" s="2711"/>
      <c r="L71" s="2711"/>
      <c r="M71" s="2711"/>
      <c r="N71" s="2711"/>
      <c r="O71" s="2711"/>
      <c r="P71" s="2711"/>
      <c r="Q71" s="2711"/>
      <c r="R71" s="2711"/>
      <c r="S71" s="2711"/>
    </row>
    <row r="72" spans="1:19" x14ac:dyDescent="0.35">
      <c r="A72" s="3764" t="s">
        <v>723</v>
      </c>
      <c r="B72" s="3765"/>
      <c r="C72" s="12"/>
      <c r="D72" s="12"/>
      <c r="E72" s="12"/>
      <c r="F72" s="12"/>
      <c r="G72" s="13"/>
      <c r="H72" s="21"/>
      <c r="I72" s="21"/>
      <c r="J72" s="21"/>
      <c r="K72" s="21"/>
      <c r="L72" s="21"/>
      <c r="M72" s="21"/>
      <c r="N72" s="21"/>
      <c r="O72" s="21"/>
      <c r="P72" s="21"/>
      <c r="Q72" s="21"/>
      <c r="R72" s="21"/>
      <c r="S72" s="21"/>
    </row>
    <row r="73" spans="1:19" x14ac:dyDescent="0.35">
      <c r="A73" s="2708"/>
      <c r="B73" s="2284"/>
      <c r="C73" s="2709"/>
      <c r="D73" s="2709"/>
      <c r="E73" s="2709"/>
      <c r="F73" s="2709"/>
      <c r="G73" s="2710"/>
      <c r="H73" s="2711"/>
      <c r="I73" s="2711"/>
      <c r="J73" s="2711"/>
      <c r="K73" s="2711"/>
      <c r="L73" s="2711"/>
      <c r="M73" s="2711"/>
      <c r="N73" s="2711"/>
      <c r="O73" s="2711"/>
      <c r="P73" s="2711"/>
      <c r="Q73" s="2711"/>
      <c r="R73" s="2711"/>
      <c r="S73" s="2711"/>
    </row>
    <row r="74" spans="1:19" x14ac:dyDescent="0.35">
      <c r="A74" s="2286"/>
      <c r="B74" s="2284"/>
      <c r="C74" s="2285"/>
      <c r="D74" s="2285"/>
      <c r="E74" s="2285"/>
      <c r="F74" s="2285"/>
      <c r="G74" s="2198"/>
      <c r="H74" s="2081"/>
      <c r="I74" s="2081"/>
      <c r="J74" s="2081"/>
      <c r="K74" s="2081"/>
      <c r="L74" s="2081"/>
      <c r="M74" s="2081"/>
      <c r="N74" s="2081"/>
      <c r="O74" s="2081"/>
      <c r="P74" s="2081"/>
      <c r="Q74" s="2081"/>
      <c r="R74" s="2081"/>
      <c r="S74" s="2081"/>
    </row>
    <row r="75" spans="1:19" x14ac:dyDescent="0.35">
      <c r="A75" s="2269"/>
      <c r="B75" s="2270"/>
      <c r="C75" s="2285"/>
      <c r="D75" s="2285"/>
      <c r="E75" s="2285"/>
      <c r="F75" s="2285"/>
      <c r="G75" s="2198"/>
      <c r="H75" s="2084"/>
      <c r="I75" s="2084"/>
      <c r="J75" s="2084"/>
      <c r="K75" s="2084"/>
      <c r="L75" s="2084"/>
      <c r="M75" s="2084"/>
      <c r="N75" s="2084"/>
      <c r="O75" s="2084"/>
      <c r="P75" s="2084"/>
      <c r="Q75" s="2084"/>
      <c r="R75" s="2084"/>
      <c r="S75" s="2084"/>
    </row>
    <row r="76" spans="1:19" x14ac:dyDescent="0.35">
      <c r="A76" s="3764" t="s">
        <v>724</v>
      </c>
      <c r="B76" s="3765"/>
      <c r="C76" s="12"/>
      <c r="D76" s="12"/>
      <c r="E76" s="12"/>
      <c r="F76" s="12"/>
      <c r="G76" s="13"/>
      <c r="H76" s="21"/>
      <c r="I76" s="21"/>
      <c r="J76" s="21"/>
      <c r="K76" s="21"/>
      <c r="L76" s="21"/>
      <c r="M76" s="21"/>
      <c r="N76" s="21"/>
      <c r="O76" s="21"/>
      <c r="P76" s="21"/>
      <c r="Q76" s="21"/>
      <c r="R76" s="21"/>
      <c r="S76" s="21"/>
    </row>
    <row r="77" spans="1:19" x14ac:dyDescent="0.35">
      <c r="A77" s="2712"/>
      <c r="B77" s="2713"/>
      <c r="C77" s="2709"/>
      <c r="D77" s="2709"/>
      <c r="E77" s="2709"/>
      <c r="F77" s="2709"/>
      <c r="G77" s="2710"/>
      <c r="H77" s="2711"/>
      <c r="I77" s="2711"/>
      <c r="J77" s="2711"/>
      <c r="K77" s="2711"/>
      <c r="L77" s="2711"/>
      <c r="M77" s="2711"/>
      <c r="N77" s="2711"/>
      <c r="O77" s="2711"/>
      <c r="P77" s="2711"/>
      <c r="Q77" s="2711"/>
      <c r="R77" s="2711"/>
      <c r="S77" s="2711"/>
    </row>
    <row r="78" spans="1:19" x14ac:dyDescent="0.35">
      <c r="A78" s="2269"/>
      <c r="B78" s="2270"/>
      <c r="C78" s="2285"/>
      <c r="D78" s="2285"/>
      <c r="E78" s="2285"/>
      <c r="F78" s="2285"/>
      <c r="G78" s="2198"/>
      <c r="H78" s="2087"/>
      <c r="I78" s="2087"/>
      <c r="J78" s="2087"/>
      <c r="K78" s="2087"/>
      <c r="L78" s="2087"/>
      <c r="M78" s="2087"/>
      <c r="N78" s="2087"/>
      <c r="O78" s="2087"/>
      <c r="P78" s="2087"/>
      <c r="Q78" s="2087"/>
      <c r="R78" s="2087"/>
      <c r="S78" s="2087"/>
    </row>
    <row r="79" spans="1:19" x14ac:dyDescent="0.35">
      <c r="A79" s="2269"/>
      <c r="B79" s="2270"/>
      <c r="C79" s="2285"/>
      <c r="D79" s="2285"/>
      <c r="E79" s="2285"/>
      <c r="F79" s="2285"/>
      <c r="G79" s="2198"/>
      <c r="H79" s="2087"/>
      <c r="I79" s="2087"/>
      <c r="J79" s="2087"/>
      <c r="K79" s="2087"/>
      <c r="L79" s="2087"/>
      <c r="M79" s="2087"/>
      <c r="N79" s="2087"/>
      <c r="O79" s="2087"/>
      <c r="P79" s="2087"/>
      <c r="Q79" s="2087"/>
      <c r="R79" s="2087"/>
      <c r="S79" s="2087"/>
    </row>
    <row r="80" spans="1:19" x14ac:dyDescent="0.35">
      <c r="A80" s="3764" t="s">
        <v>725</v>
      </c>
      <c r="B80" s="3765"/>
      <c r="C80" s="12"/>
      <c r="D80" s="12"/>
      <c r="E80" s="12"/>
      <c r="F80" s="12"/>
      <c r="G80" s="13"/>
      <c r="H80" s="21"/>
      <c r="I80" s="21"/>
      <c r="J80" s="21"/>
      <c r="K80" s="21"/>
      <c r="L80" s="21"/>
      <c r="M80" s="21"/>
      <c r="N80" s="21"/>
      <c r="O80" s="21"/>
      <c r="P80" s="21"/>
      <c r="Q80" s="21"/>
      <c r="R80" s="21"/>
      <c r="S80" s="21"/>
    </row>
    <row r="81" spans="1:19" x14ac:dyDescent="0.35">
      <c r="A81" s="2286"/>
      <c r="B81" s="2284" t="s">
        <v>726</v>
      </c>
      <c r="C81" s="2285"/>
      <c r="D81" s="2285"/>
      <c r="E81" s="2285"/>
      <c r="F81" s="2285"/>
      <c r="G81" s="2198"/>
      <c r="H81" s="2087"/>
      <c r="I81" s="2087"/>
      <c r="J81" s="2087"/>
      <c r="K81" s="2087"/>
      <c r="L81" s="2087"/>
      <c r="M81" s="2087"/>
      <c r="N81" s="2087"/>
      <c r="O81" s="2087"/>
      <c r="P81" s="2087"/>
      <c r="Q81" s="2087"/>
      <c r="R81" s="2087"/>
      <c r="S81" s="2087"/>
    </row>
    <row r="82" spans="1:19" x14ac:dyDescent="0.35">
      <c r="A82" s="2286"/>
      <c r="B82" s="2284" t="s">
        <v>727</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728</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729</v>
      </c>
      <c r="C84" s="2285"/>
      <c r="D84" s="2285"/>
      <c r="E84" s="2285"/>
      <c r="F84" s="2285"/>
      <c r="G84" s="2198"/>
      <c r="H84" s="2087"/>
      <c r="I84" s="2087"/>
      <c r="J84" s="2087"/>
      <c r="K84" s="2087"/>
      <c r="L84" s="2087"/>
      <c r="M84" s="2087"/>
      <c r="N84" s="2087"/>
      <c r="O84" s="2087"/>
      <c r="P84" s="2087"/>
      <c r="Q84" s="2087"/>
      <c r="R84" s="2087"/>
      <c r="S84" s="2087"/>
    </row>
    <row r="85" spans="1:19" x14ac:dyDescent="0.35">
      <c r="A85" s="978"/>
      <c r="B85" s="939"/>
      <c r="C85" s="940"/>
      <c r="D85" s="940"/>
      <c r="E85" s="940"/>
      <c r="F85" s="940"/>
      <c r="G85" s="1039"/>
      <c r="H85" s="981"/>
      <c r="I85" s="981"/>
      <c r="J85" s="981"/>
      <c r="K85" s="981"/>
      <c r="L85" s="981"/>
      <c r="M85" s="981"/>
      <c r="N85" s="981"/>
      <c r="O85" s="981"/>
      <c r="P85" s="981"/>
      <c r="Q85" s="981"/>
      <c r="R85" s="981"/>
      <c r="S85" s="981"/>
    </row>
    <row r="86" spans="1:19" x14ac:dyDescent="0.35">
      <c r="A86" s="7" t="s">
        <v>730</v>
      </c>
      <c r="B86" s="8"/>
      <c r="C86" s="12"/>
      <c r="D86" s="12"/>
      <c r="E86" s="12"/>
      <c r="F86" s="12"/>
      <c r="G86" s="13"/>
      <c r="H86" s="21"/>
      <c r="I86" s="21"/>
      <c r="J86" s="21"/>
      <c r="K86" s="21"/>
      <c r="L86" s="21"/>
      <c r="M86" s="21"/>
      <c r="N86" s="21"/>
      <c r="O86" s="21"/>
      <c r="P86" s="21"/>
      <c r="Q86" s="21"/>
      <c r="R86" s="21"/>
      <c r="S86" s="21"/>
    </row>
    <row r="87" spans="1:19" x14ac:dyDescent="0.35">
      <c r="A87" s="2708"/>
      <c r="B87" s="2714" t="s">
        <v>731</v>
      </c>
      <c r="C87" s="2709"/>
      <c r="D87" s="2709"/>
      <c r="E87" s="2709"/>
      <c r="F87" s="2709"/>
      <c r="G87" s="2710"/>
      <c r="H87" s="2707"/>
      <c r="I87" s="2707"/>
      <c r="J87" s="2707"/>
      <c r="K87" s="2707"/>
      <c r="L87" s="2707"/>
      <c r="M87" s="2707"/>
      <c r="N87" s="2707"/>
      <c r="O87" s="2707"/>
      <c r="P87" s="2707"/>
      <c r="Q87" s="2707"/>
      <c r="R87" s="2707"/>
      <c r="S87" s="2707"/>
    </row>
    <row r="88" spans="1:19" x14ac:dyDescent="0.35">
      <c r="A88" s="2286"/>
      <c r="B88" s="2284" t="s">
        <v>732</v>
      </c>
      <c r="C88" s="2285"/>
      <c r="D88" s="2285"/>
      <c r="E88" s="2285"/>
      <c r="F88" s="2285"/>
      <c r="G88" s="2198"/>
      <c r="H88" s="2158"/>
      <c r="I88" s="2158"/>
      <c r="J88" s="2158"/>
      <c r="K88" s="2158"/>
      <c r="L88" s="2158"/>
      <c r="M88" s="2158"/>
      <c r="N88" s="2158"/>
      <c r="O88" s="2158"/>
      <c r="P88" s="2158"/>
      <c r="Q88" s="2158"/>
      <c r="R88" s="2158"/>
      <c r="S88" s="2158"/>
    </row>
    <row r="89" spans="1:19" x14ac:dyDescent="0.35">
      <c r="A89" s="2089"/>
      <c r="B89" s="2090" t="s">
        <v>733</v>
      </c>
      <c r="C89" s="2091"/>
      <c r="D89" s="2091"/>
      <c r="E89" s="2091"/>
      <c r="F89" s="2091"/>
      <c r="G89" s="2092"/>
      <c r="H89" s="2093"/>
      <c r="I89" s="2093"/>
      <c r="J89" s="2093"/>
      <c r="K89" s="2093"/>
      <c r="L89" s="2093"/>
      <c r="M89" s="2093"/>
      <c r="N89" s="2093"/>
      <c r="O89" s="2093"/>
      <c r="P89" s="2093"/>
      <c r="Q89" s="2093"/>
      <c r="R89" s="2093"/>
      <c r="S89" s="2093"/>
    </row>
    <row r="91" spans="1:19" x14ac:dyDescent="0.35">
      <c r="A91" s="78" t="s">
        <v>734</v>
      </c>
      <c r="B91" s="80"/>
    </row>
    <row r="92" spans="1:19" x14ac:dyDescent="0.35">
      <c r="A92" s="79" t="s">
        <v>632</v>
      </c>
      <c r="B92" s="2094"/>
    </row>
    <row r="93" spans="1:19" x14ac:dyDescent="0.35">
      <c r="A93" s="2279" t="s">
        <v>636</v>
      </c>
      <c r="B93" s="2094"/>
    </row>
    <row r="94" spans="1:19" x14ac:dyDescent="0.35">
      <c r="A94" s="2096" t="s">
        <v>639</v>
      </c>
      <c r="B94" s="2097"/>
    </row>
    <row r="95" spans="1:19" x14ac:dyDescent="0.35">
      <c r="A95" s="2096" t="s">
        <v>642</v>
      </c>
      <c r="B95" s="2159"/>
    </row>
    <row r="96" spans="1:19" x14ac:dyDescent="0.35">
      <c r="A96" s="2099" t="s">
        <v>735</v>
      </c>
      <c r="B96" s="2100"/>
    </row>
    <row r="98" spans="1:2" x14ac:dyDescent="0.35">
      <c r="A98" s="81"/>
      <c r="B98" s="1" t="s">
        <v>736</v>
      </c>
    </row>
    <row r="99" spans="1:2" x14ac:dyDescent="0.35">
      <c r="A99" s="82"/>
      <c r="B99" s="1" t="s">
        <v>737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47" priority="23" operator="equal">
      <formula>"X"</formula>
    </cfRule>
    <cfRule type="cellIs" dxfId="546" priority="24" operator="equal">
      <formula>"I"</formula>
    </cfRule>
  </conditionalFormatting>
  <conditionalFormatting sqref="H32:H55">
    <cfRule type="cellIs" dxfId="545" priority="1" operator="equal">
      <formula>"X"</formula>
    </cfRule>
    <cfRule type="cellIs" dxfId="544" priority="2" operator="equal">
      <formula>"I"</formula>
    </cfRule>
  </conditionalFormatting>
  <conditionalFormatting sqref="J20:J30">
    <cfRule type="cellIs" dxfId="543" priority="21" operator="equal">
      <formula>"X"</formula>
    </cfRule>
    <cfRule type="cellIs" dxfId="542" priority="22" operator="equal">
      <formula>"I"</formula>
    </cfRule>
  </conditionalFormatting>
  <conditionalFormatting sqref="J32:J55">
    <cfRule type="cellIs" dxfId="541" priority="3" operator="equal">
      <formula>"X"</formula>
    </cfRule>
    <cfRule type="cellIs" dxfId="540" priority="4" operator="equal">
      <formula>"I"</formula>
    </cfRule>
  </conditionalFormatting>
  <conditionalFormatting sqref="L20:L30">
    <cfRule type="cellIs" dxfId="539" priority="19" operator="equal">
      <formula>"X"</formula>
    </cfRule>
    <cfRule type="cellIs" dxfId="538" priority="20" operator="equal">
      <formula>"I"</formula>
    </cfRule>
  </conditionalFormatting>
  <conditionalFormatting sqref="L32:L55">
    <cfRule type="cellIs" dxfId="537" priority="5" operator="equal">
      <formula>"X"</formula>
    </cfRule>
    <cfRule type="cellIs" dxfId="536" priority="6" operator="equal">
      <formula>"I"</formula>
    </cfRule>
  </conditionalFormatting>
  <conditionalFormatting sqref="N20:N30">
    <cfRule type="cellIs" dxfId="535" priority="17" operator="equal">
      <formula>"X"</formula>
    </cfRule>
    <cfRule type="cellIs" dxfId="534" priority="18" operator="equal">
      <formula>"I"</formula>
    </cfRule>
  </conditionalFormatting>
  <conditionalFormatting sqref="N32:N55">
    <cfRule type="cellIs" dxfId="533" priority="7" operator="equal">
      <formula>"X"</formula>
    </cfRule>
    <cfRule type="cellIs" dxfId="532" priority="8" operator="equal">
      <formula>"I"</formula>
    </cfRule>
  </conditionalFormatting>
  <conditionalFormatting sqref="P20:P30">
    <cfRule type="cellIs" dxfId="531" priority="15" operator="equal">
      <formula>"X"</formula>
    </cfRule>
    <cfRule type="cellIs" dxfId="530" priority="16" operator="equal">
      <formula>"I"</formula>
    </cfRule>
  </conditionalFormatting>
  <conditionalFormatting sqref="P32:P55">
    <cfRule type="cellIs" dxfId="529" priority="9" operator="equal">
      <formula>"X"</formula>
    </cfRule>
    <cfRule type="cellIs" dxfId="528" priority="10" operator="equal">
      <formula>"I"</formula>
    </cfRule>
  </conditionalFormatting>
  <conditionalFormatting sqref="R20:R30">
    <cfRule type="cellIs" dxfId="527" priority="13" operator="equal">
      <formula>"X"</formula>
    </cfRule>
    <cfRule type="cellIs" dxfId="526" priority="14" operator="equal">
      <formula>"I"</formula>
    </cfRule>
  </conditionalFormatting>
  <conditionalFormatting sqref="R32:R55">
    <cfRule type="cellIs" dxfId="525" priority="11" operator="equal">
      <formula>"X"</formula>
    </cfRule>
    <cfRule type="cellIs" dxfId="524" priority="12" operator="equal">
      <formula>"I"</formula>
    </cfRule>
  </conditionalFormatting>
  <hyperlinks>
    <hyperlink ref="B3" location="'Cost Summary'!A1" display="BACK TO SUMMARY SHEET" xr:uid="{A71E1786-4B57-4181-87A8-94010E6A76AD}"/>
  </hyperlinks>
  <pageMargins left="0.7" right="0.7" top="0.75" bottom="0.75" header="0.3" footer="0.3"/>
  <pageSetup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856F-9CF1-4D7F-A100-FC17B2DD0920}">
  <sheetPr>
    <tabColor rgb="FF92D050"/>
  </sheetPr>
  <dimension ref="A1:S99"/>
  <sheetViews>
    <sheetView workbookViewId="0">
      <pane xSplit="2" ySplit="9" topLeftCell="C23" activePane="bottomRight" state="frozen"/>
      <selection pane="topRight" activeCell="C1" sqref="C1"/>
      <selection pane="bottomLeft" activeCell="A11" sqref="A11"/>
      <selection pane="bottomRight" activeCell="B23" sqref="B23"/>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898"/>
      <c r="K4" s="3898"/>
      <c r="L4" s="3898"/>
      <c r="M4" s="3898"/>
      <c r="N4" s="3898"/>
      <c r="O4" s="3898"/>
      <c r="P4" s="3898"/>
      <c r="Q4" s="3898"/>
      <c r="R4" s="3796"/>
      <c r="S4" s="3753"/>
    </row>
    <row r="5" spans="1:19" x14ac:dyDescent="0.35">
      <c r="A5" s="2283" t="s">
        <v>634</v>
      </c>
      <c r="B5" s="2284" t="s">
        <v>3149</v>
      </c>
      <c r="C5" s="2285"/>
      <c r="D5" s="2285"/>
      <c r="E5" s="2285"/>
      <c r="F5" s="2285"/>
      <c r="G5" s="2194" t="s">
        <v>636</v>
      </c>
      <c r="H5" s="3931"/>
      <c r="I5" s="3932"/>
      <c r="J5" s="3950"/>
      <c r="K5" s="3950"/>
      <c r="L5" s="3950"/>
      <c r="M5" s="3950"/>
      <c r="N5" s="3950"/>
      <c r="O5" s="3950"/>
      <c r="P5" s="3950"/>
      <c r="Q5" s="3950"/>
      <c r="R5" s="3933"/>
      <c r="S5" s="3932"/>
    </row>
    <row r="6" spans="1:19" x14ac:dyDescent="0.35">
      <c r="A6" s="2283" t="s">
        <v>638</v>
      </c>
      <c r="B6" s="2195" t="s">
        <v>3150</v>
      </c>
      <c r="C6" s="2285"/>
      <c r="D6" s="2285"/>
      <c r="E6" s="2285"/>
      <c r="F6" s="2285"/>
      <c r="G6" s="2194" t="s">
        <v>639</v>
      </c>
      <c r="H6" s="3937"/>
      <c r="I6" s="3938"/>
      <c r="J6" s="3949"/>
      <c r="K6" s="3949"/>
      <c r="L6" s="3949"/>
      <c r="M6" s="3949"/>
      <c r="N6" s="3949"/>
      <c r="O6" s="3949"/>
      <c r="P6" s="3949"/>
      <c r="Q6" s="3949"/>
      <c r="R6" s="3939"/>
      <c r="S6" s="3938"/>
    </row>
    <row r="7" spans="1:19" x14ac:dyDescent="0.35">
      <c r="A7" s="2283" t="s">
        <v>641</v>
      </c>
      <c r="B7" s="2196"/>
      <c r="C7" s="2285"/>
      <c r="D7" s="2285"/>
      <c r="E7" s="2285"/>
      <c r="F7" s="2285"/>
      <c r="G7" s="2194" t="s">
        <v>642</v>
      </c>
      <c r="H7" s="3934"/>
      <c r="I7" s="3935"/>
      <c r="J7" s="3951"/>
      <c r="K7" s="3951"/>
      <c r="L7" s="3951"/>
      <c r="M7" s="3951"/>
      <c r="N7" s="3951"/>
      <c r="O7" s="3951"/>
      <c r="P7" s="3951"/>
      <c r="Q7" s="3951"/>
      <c r="R7" s="3936"/>
      <c r="S7" s="3935"/>
    </row>
    <row r="8" spans="1:19" ht="15" thickBot="1" x14ac:dyDescent="0.4">
      <c r="A8" s="938" t="s">
        <v>644</v>
      </c>
      <c r="B8" s="939"/>
      <c r="C8" s="940"/>
      <c r="D8" s="940"/>
      <c r="E8" s="940"/>
      <c r="F8" s="940"/>
      <c r="G8" s="1024" t="s">
        <v>644</v>
      </c>
      <c r="H8" s="3945">
        <f>I60</f>
        <v>0</v>
      </c>
      <c r="I8" s="3944"/>
      <c r="J8" s="3945">
        <f>K60</f>
        <v>0</v>
      </c>
      <c r="K8" s="3944"/>
      <c r="L8" s="3945">
        <f>M60</f>
        <v>0</v>
      </c>
      <c r="M8" s="3944"/>
      <c r="N8" s="3945">
        <f>O60</f>
        <v>0</v>
      </c>
      <c r="O8" s="3944"/>
      <c r="P8" s="3945">
        <f>Q60</f>
        <v>0</v>
      </c>
      <c r="Q8" s="3944"/>
      <c r="R8" s="3945">
        <f>S60</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715"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286"/>
      <c r="B20" s="2284"/>
      <c r="C20" s="2201"/>
      <c r="D20" s="2285"/>
      <c r="E20" s="2285"/>
      <c r="F20" s="2285"/>
      <c r="G20" s="2198"/>
      <c r="H20" s="2109"/>
      <c r="I20" s="2107"/>
      <c r="J20" s="2109"/>
      <c r="K20" s="2107"/>
      <c r="L20" s="2109"/>
      <c r="M20" s="2107"/>
      <c r="N20" s="2109"/>
      <c r="O20" s="2107"/>
      <c r="P20" s="2109"/>
      <c r="Q20" s="2107"/>
      <c r="R20" s="2109"/>
      <c r="S20" s="2107"/>
    </row>
    <row r="21" spans="1:19" ht="15" thickBot="1" x14ac:dyDescent="0.4">
      <c r="A21" s="48"/>
      <c r="B21" s="2203" t="s">
        <v>3149</v>
      </c>
      <c r="C21" s="45"/>
      <c r="D21" s="46"/>
      <c r="E21" s="46"/>
      <c r="F21" s="46"/>
      <c r="G21" s="52"/>
      <c r="H21" s="2109"/>
      <c r="I21" s="2719"/>
      <c r="J21" s="2109"/>
      <c r="K21" s="2717"/>
      <c r="L21" s="2109"/>
      <c r="M21" s="2717"/>
      <c r="N21" s="2109"/>
      <c r="O21" s="2717"/>
      <c r="P21" s="2109"/>
      <c r="Q21" s="2717"/>
      <c r="R21" s="2109"/>
      <c r="S21" s="2717"/>
    </row>
    <row r="22" spans="1:19" x14ac:dyDescent="0.35">
      <c r="A22" s="2716"/>
      <c r="B22" s="606" t="s">
        <v>657</v>
      </c>
      <c r="C22" s="2201"/>
      <c r="D22" s="2285"/>
      <c r="E22" s="2285"/>
      <c r="F22" s="2285"/>
      <c r="G22" s="2198"/>
      <c r="H22" s="2109"/>
      <c r="I22" s="2719"/>
      <c r="J22" s="2109"/>
      <c r="K22" s="2717"/>
      <c r="L22" s="2109"/>
      <c r="M22" s="2717"/>
      <c r="N22" s="2109"/>
      <c r="O22" s="2717"/>
      <c r="P22" s="2109"/>
      <c r="Q22" s="2717"/>
      <c r="R22" s="2109"/>
      <c r="S22" s="2717"/>
    </row>
    <row r="23" spans="1:19" x14ac:dyDescent="0.35">
      <c r="A23" s="2716"/>
      <c r="B23" s="2813" t="s">
        <v>658</v>
      </c>
      <c r="C23" s="2201"/>
      <c r="D23" s="2285"/>
      <c r="E23" s="2285"/>
      <c r="F23" s="2285"/>
      <c r="G23" s="2198"/>
      <c r="H23" s="2109"/>
      <c r="I23" s="2719"/>
      <c r="J23" s="2109"/>
      <c r="K23" s="2717"/>
      <c r="L23" s="2109"/>
      <c r="M23" s="2717"/>
      <c r="N23" s="2109"/>
      <c r="O23" s="2717"/>
      <c r="P23" s="2109"/>
      <c r="Q23" s="2717"/>
      <c r="R23" s="2109"/>
      <c r="S23" s="2717"/>
    </row>
    <row r="24" spans="1:19" x14ac:dyDescent="0.35">
      <c r="A24" s="2716"/>
      <c r="B24" s="2813" t="s">
        <v>659</v>
      </c>
      <c r="C24" s="2208"/>
      <c r="D24" s="2285"/>
      <c r="E24" s="2285"/>
      <c r="F24" s="2285"/>
      <c r="G24" s="2198"/>
      <c r="H24" s="2109"/>
      <c r="I24" s="2719"/>
      <c r="J24" s="2109"/>
      <c r="K24" s="2717"/>
      <c r="L24" s="2109"/>
      <c r="M24" s="2717"/>
      <c r="N24" s="2109"/>
      <c r="O24" s="2717"/>
      <c r="P24" s="2109"/>
      <c r="Q24" s="2717"/>
      <c r="R24" s="2109"/>
      <c r="S24" s="2717"/>
    </row>
    <row r="25" spans="1:19" x14ac:dyDescent="0.35">
      <c r="A25" s="2716"/>
      <c r="B25" s="2814" t="s">
        <v>660</v>
      </c>
      <c r="C25" s="2208"/>
      <c r="D25" s="2285"/>
      <c r="E25" s="2285"/>
      <c r="F25" s="2285"/>
      <c r="G25" s="2198"/>
      <c r="H25" s="2109"/>
      <c r="I25" s="2719"/>
      <c r="J25" s="2109"/>
      <c r="K25" s="2717"/>
      <c r="L25" s="2109"/>
      <c r="M25" s="2717"/>
      <c r="N25" s="2109"/>
      <c r="O25" s="2717"/>
      <c r="P25" s="2109"/>
      <c r="Q25" s="2717"/>
      <c r="R25" s="2109"/>
      <c r="S25" s="2717"/>
    </row>
    <row r="26" spans="1:19" s="77" customFormat="1" x14ac:dyDescent="0.35">
      <c r="A26" s="2685"/>
      <c r="B26" s="2814" t="s">
        <v>661</v>
      </c>
      <c r="C26" s="2211"/>
      <c r="D26" s="2212"/>
      <c r="E26" s="2212"/>
      <c r="F26" s="2212"/>
      <c r="G26" s="2211"/>
      <c r="H26" s="2109"/>
      <c r="I26" s="2719"/>
      <c r="J26" s="2109"/>
      <c r="K26" s="2815"/>
      <c r="L26" s="2109"/>
      <c r="M26" s="2815"/>
      <c r="N26" s="2109"/>
      <c r="O26" s="2815"/>
      <c r="P26" s="2109"/>
      <c r="Q26" s="2815"/>
      <c r="R26" s="2109"/>
      <c r="S26" s="2815"/>
    </row>
    <row r="27" spans="1:19" s="77" customFormat="1" x14ac:dyDescent="0.35">
      <c r="A27" s="2685"/>
      <c r="B27" s="2814" t="s">
        <v>662</v>
      </c>
      <c r="C27" s="2211"/>
      <c r="D27" s="2212"/>
      <c r="E27" s="2212"/>
      <c r="F27" s="2212"/>
      <c r="G27" s="2211"/>
      <c r="H27" s="2109"/>
      <c r="I27" s="2719"/>
      <c r="J27" s="2109"/>
      <c r="K27" s="2815"/>
      <c r="L27" s="2109"/>
      <c r="M27" s="2815"/>
      <c r="N27" s="2109"/>
      <c r="O27" s="2815"/>
      <c r="P27" s="2109"/>
      <c r="Q27" s="2815"/>
      <c r="R27" s="2109"/>
      <c r="S27" s="2815"/>
    </row>
    <row r="28" spans="1:19" s="77" customFormat="1" x14ac:dyDescent="0.35">
      <c r="A28" s="2685"/>
      <c r="B28" s="2814" t="s">
        <v>663</v>
      </c>
      <c r="C28" s="2211"/>
      <c r="D28" s="2212"/>
      <c r="E28" s="2212"/>
      <c r="F28" s="2212"/>
      <c r="G28" s="2211"/>
      <c r="H28" s="2109"/>
      <c r="I28" s="2719"/>
      <c r="J28" s="2109"/>
      <c r="K28" s="2815"/>
      <c r="L28" s="2109"/>
      <c r="M28" s="2815"/>
      <c r="N28" s="2109"/>
      <c r="O28" s="2815"/>
      <c r="P28" s="2109"/>
      <c r="Q28" s="2815"/>
      <c r="R28" s="2109"/>
      <c r="S28" s="2815"/>
    </row>
    <row r="29" spans="1:19" s="77" customFormat="1" x14ac:dyDescent="0.35">
      <c r="A29" s="2685"/>
      <c r="B29" s="2814" t="s">
        <v>742</v>
      </c>
      <c r="C29" s="2211"/>
      <c r="D29" s="2212"/>
      <c r="E29" s="2212"/>
      <c r="F29" s="2212"/>
      <c r="G29" s="2211"/>
      <c r="H29" s="2109"/>
      <c r="I29" s="2719"/>
      <c r="J29" s="2109"/>
      <c r="K29" s="2815"/>
      <c r="L29" s="2109"/>
      <c r="M29" s="2815"/>
      <c r="N29" s="2109"/>
      <c r="O29" s="2815"/>
      <c r="P29" s="2109"/>
      <c r="Q29" s="2815"/>
      <c r="R29" s="2109"/>
      <c r="S29" s="2815"/>
    </row>
    <row r="30" spans="1:19" s="77" customFormat="1" x14ac:dyDescent="0.35">
      <c r="A30" s="2685"/>
      <c r="B30" s="2816" t="s">
        <v>664</v>
      </c>
      <c r="C30" s="2211"/>
      <c r="D30" s="2212"/>
      <c r="E30" s="2212"/>
      <c r="F30" s="2212"/>
      <c r="G30" s="2211"/>
      <c r="H30" s="2109"/>
      <c r="I30" s="2719"/>
      <c r="J30" s="2109"/>
      <c r="K30" s="2815"/>
      <c r="L30" s="2109"/>
      <c r="M30" s="2815"/>
      <c r="N30" s="2109"/>
      <c r="O30" s="2815"/>
      <c r="P30" s="2109"/>
      <c r="Q30" s="2815"/>
      <c r="R30" s="2109"/>
      <c r="S30" s="2815"/>
    </row>
    <row r="31" spans="1:19" s="77" customFormat="1" x14ac:dyDescent="0.35">
      <c r="A31" s="2685"/>
      <c r="B31" s="2817" t="s">
        <v>665</v>
      </c>
      <c r="C31" s="2216"/>
      <c r="D31" s="2217"/>
      <c r="E31" s="2217"/>
      <c r="F31" s="2217"/>
      <c r="G31" s="2216"/>
      <c r="H31" s="2288"/>
      <c r="I31" s="2818"/>
      <c r="J31" s="2289"/>
      <c r="K31" s="2819"/>
      <c r="L31" s="2289"/>
      <c r="M31" s="2819"/>
      <c r="N31" s="2819"/>
      <c r="O31" s="2819"/>
      <c r="P31" s="2819"/>
      <c r="Q31" s="2819"/>
      <c r="R31" s="2819"/>
      <c r="S31" s="2819"/>
    </row>
    <row r="32" spans="1:19" s="77" customFormat="1" x14ac:dyDescent="0.35">
      <c r="A32" s="2685"/>
      <c r="B32" s="127"/>
      <c r="C32" s="2211"/>
      <c r="D32" s="2212"/>
      <c r="E32" s="2212"/>
      <c r="F32" s="2212"/>
      <c r="G32" s="2211"/>
      <c r="H32" s="2109"/>
      <c r="I32" s="2719"/>
      <c r="J32" s="2109"/>
      <c r="K32" s="2815"/>
      <c r="L32" s="2109"/>
      <c r="M32" s="2815"/>
      <c r="N32" s="2109"/>
      <c r="O32" s="2815"/>
      <c r="P32" s="2109"/>
      <c r="Q32" s="2815"/>
      <c r="R32" s="2109"/>
      <c r="S32" s="2815"/>
    </row>
    <row r="33" spans="1:19" s="77" customFormat="1" x14ac:dyDescent="0.35">
      <c r="A33" s="2692"/>
      <c r="B33" s="2772" t="s">
        <v>3130</v>
      </c>
      <c r="C33" s="2236"/>
      <c r="D33" s="2212"/>
      <c r="E33" s="2212"/>
      <c r="F33" s="2212"/>
      <c r="G33" s="2211"/>
      <c r="H33" s="2109"/>
      <c r="I33" s="2719"/>
      <c r="J33" s="2109"/>
      <c r="K33" s="2815"/>
      <c r="L33" s="2109"/>
      <c r="M33" s="2815"/>
      <c r="N33" s="2109"/>
      <c r="O33" s="2815"/>
      <c r="P33" s="2109"/>
      <c r="Q33" s="2815"/>
      <c r="R33" s="2109"/>
      <c r="S33" s="2815"/>
    </row>
    <row r="34" spans="1:19" s="77" customFormat="1" x14ac:dyDescent="0.35">
      <c r="A34" s="2692"/>
      <c r="B34" s="2772" t="s">
        <v>3131</v>
      </c>
      <c r="C34" s="2236"/>
      <c r="D34" s="2212"/>
      <c r="E34" s="2212"/>
      <c r="F34" s="2212"/>
      <c r="G34" s="2211"/>
      <c r="H34" s="2109" t="s">
        <v>669</v>
      </c>
      <c r="I34" s="2719"/>
      <c r="J34" s="2109"/>
      <c r="K34" s="2815"/>
      <c r="L34" s="2109"/>
      <c r="M34" s="2815"/>
      <c r="N34" s="2109"/>
      <c r="O34" s="2815"/>
      <c r="P34" s="2109"/>
      <c r="Q34" s="2815"/>
      <c r="R34" s="2109"/>
      <c r="S34" s="2815"/>
    </row>
    <row r="35" spans="1:19" s="77" customFormat="1" x14ac:dyDescent="0.35">
      <c r="A35" s="2692"/>
      <c r="B35" s="2772" t="s">
        <v>3132</v>
      </c>
      <c r="C35" s="2236"/>
      <c r="D35" s="2212"/>
      <c r="E35" s="2212"/>
      <c r="F35" s="2212"/>
      <c r="G35" s="2211"/>
      <c r="H35" s="2109"/>
      <c r="I35" s="2719"/>
      <c r="J35" s="2109"/>
      <c r="K35" s="2815"/>
      <c r="L35" s="2109"/>
      <c r="M35" s="2815"/>
      <c r="N35" s="2109"/>
      <c r="O35" s="2815"/>
      <c r="P35" s="2109"/>
      <c r="Q35" s="2815"/>
      <c r="R35" s="2109"/>
      <c r="S35" s="2815"/>
    </row>
    <row r="36" spans="1:19" s="77" customFormat="1" x14ac:dyDescent="0.35">
      <c r="A36" s="2692"/>
      <c r="B36" s="2772" t="s">
        <v>3133</v>
      </c>
      <c r="C36" s="2236"/>
      <c r="D36" s="2212"/>
      <c r="E36" s="2212"/>
      <c r="F36" s="2212"/>
      <c r="G36" s="2211"/>
      <c r="H36" s="2109"/>
      <c r="I36" s="2719"/>
      <c r="J36" s="2109"/>
      <c r="K36" s="2815"/>
      <c r="L36" s="2109"/>
      <c r="M36" s="2815"/>
      <c r="N36" s="2109"/>
      <c r="O36" s="2815"/>
      <c r="P36" s="2109"/>
      <c r="Q36" s="2815"/>
      <c r="R36" s="2109"/>
      <c r="S36" s="2815"/>
    </row>
    <row r="37" spans="1:19" s="77" customFormat="1" x14ac:dyDescent="0.35">
      <c r="A37" s="2692"/>
      <c r="B37" s="2772" t="s">
        <v>3134</v>
      </c>
      <c r="C37" s="2236"/>
      <c r="D37" s="2212"/>
      <c r="E37" s="2212"/>
      <c r="F37" s="2212"/>
      <c r="G37" s="2211"/>
      <c r="H37" s="2109"/>
      <c r="I37" s="2719"/>
      <c r="J37" s="2109"/>
      <c r="K37" s="2815"/>
      <c r="L37" s="2109"/>
      <c r="M37" s="2815"/>
      <c r="N37" s="2109"/>
      <c r="O37" s="2815"/>
      <c r="P37" s="2109"/>
      <c r="Q37" s="2815"/>
      <c r="R37" s="2109"/>
      <c r="S37" s="2815"/>
    </row>
    <row r="38" spans="1:19" s="77" customFormat="1" x14ac:dyDescent="0.35">
      <c r="A38" s="2692"/>
      <c r="B38" s="2772" t="s">
        <v>3135</v>
      </c>
      <c r="C38" s="2236"/>
      <c r="D38" s="2212"/>
      <c r="E38" s="2341"/>
      <c r="F38" s="2342"/>
      <c r="G38" s="2211"/>
      <c r="H38" s="2109"/>
      <c r="I38" s="2719"/>
      <c r="J38" s="2109"/>
      <c r="K38" s="2815"/>
      <c r="L38" s="2109"/>
      <c r="M38" s="2815"/>
      <c r="N38" s="2109"/>
      <c r="O38" s="2815"/>
      <c r="P38" s="2109"/>
      <c r="Q38" s="2815"/>
      <c r="R38" s="2109"/>
      <c r="S38" s="2815"/>
    </row>
    <row r="39" spans="1:19" s="77" customFormat="1" x14ac:dyDescent="0.35">
      <c r="A39" s="2692"/>
      <c r="B39" s="2772" t="s">
        <v>3136</v>
      </c>
      <c r="C39" s="2236"/>
      <c r="D39" s="2212"/>
      <c r="E39" s="2341"/>
      <c r="F39" s="2342"/>
      <c r="G39" s="2211"/>
      <c r="H39" s="2109"/>
      <c r="I39" s="2719"/>
      <c r="J39" s="2109"/>
      <c r="K39" s="2815"/>
      <c r="L39" s="2109"/>
      <c r="M39" s="2815"/>
      <c r="N39" s="2109"/>
      <c r="O39" s="2815"/>
      <c r="P39" s="2109"/>
      <c r="Q39" s="2815"/>
      <c r="R39" s="2109"/>
      <c r="S39" s="2815"/>
    </row>
    <row r="40" spans="1:19" s="77" customFormat="1" x14ac:dyDescent="0.35">
      <c r="A40" s="2692"/>
      <c r="B40" s="2772" t="s">
        <v>3137</v>
      </c>
      <c r="C40" s="2236"/>
      <c r="D40" s="2212"/>
      <c r="E40" s="2341"/>
      <c r="F40" s="2342"/>
      <c r="G40" s="2211"/>
      <c r="H40" s="2109"/>
      <c r="I40" s="2719"/>
      <c r="J40" s="2109"/>
      <c r="K40" s="2815"/>
      <c r="L40" s="2109"/>
      <c r="M40" s="2815"/>
      <c r="N40" s="2109"/>
      <c r="O40" s="2815"/>
      <c r="P40" s="2109"/>
      <c r="Q40" s="2815"/>
      <c r="R40" s="2109"/>
      <c r="S40" s="2815"/>
    </row>
    <row r="41" spans="1:19" s="77" customFormat="1" x14ac:dyDescent="0.35">
      <c r="A41" s="2692"/>
      <c r="B41" s="2772" t="s">
        <v>3146</v>
      </c>
      <c r="C41" s="2236"/>
      <c r="D41" s="2212"/>
      <c r="E41" s="2341"/>
      <c r="F41" s="2342"/>
      <c r="G41" s="2211"/>
      <c r="H41" s="2109"/>
      <c r="I41" s="2719"/>
      <c r="J41" s="2109"/>
      <c r="K41" s="2815"/>
      <c r="L41" s="2109"/>
      <c r="M41" s="2815"/>
      <c r="N41" s="2109"/>
      <c r="O41" s="2815"/>
      <c r="P41" s="2109"/>
      <c r="Q41" s="2815"/>
      <c r="R41" s="2109"/>
      <c r="S41" s="2815"/>
    </row>
    <row r="42" spans="1:19" s="77" customFormat="1" x14ac:dyDescent="0.35">
      <c r="A42" s="2692"/>
      <c r="B42" s="2772" t="s">
        <v>3147</v>
      </c>
      <c r="C42" s="2236"/>
      <c r="D42" s="2212"/>
      <c r="E42" s="2341"/>
      <c r="F42" s="2342"/>
      <c r="G42" s="2211"/>
      <c r="H42" s="2109"/>
      <c r="I42" s="2719"/>
      <c r="J42" s="2109"/>
      <c r="K42" s="2815"/>
      <c r="L42" s="2109"/>
      <c r="M42" s="2815"/>
      <c r="N42" s="2109"/>
      <c r="O42" s="2815"/>
      <c r="P42" s="2109"/>
      <c r="Q42" s="2815"/>
      <c r="R42" s="2109"/>
      <c r="S42" s="2815"/>
    </row>
    <row r="43" spans="1:19" s="77" customFormat="1" x14ac:dyDescent="0.35">
      <c r="A43" s="2692"/>
      <c r="B43" s="2772" t="s">
        <v>3140</v>
      </c>
      <c r="C43" s="2236"/>
      <c r="D43" s="2212"/>
      <c r="E43" s="2341"/>
      <c r="F43" s="2342"/>
      <c r="G43" s="2211"/>
      <c r="H43" s="2109"/>
      <c r="I43" s="2719"/>
      <c r="J43" s="2109"/>
      <c r="K43" s="2815"/>
      <c r="L43" s="2109"/>
      <c r="M43" s="2815"/>
      <c r="N43" s="2109"/>
      <c r="O43" s="2815"/>
      <c r="P43" s="2109"/>
      <c r="Q43" s="2815"/>
      <c r="R43" s="2109"/>
      <c r="S43" s="2815"/>
    </row>
    <row r="44" spans="1:19" s="77" customFormat="1" x14ac:dyDescent="0.35">
      <c r="A44" s="2692"/>
      <c r="B44" s="2772" t="s">
        <v>3074</v>
      </c>
      <c r="C44" s="2236"/>
      <c r="D44" s="2212"/>
      <c r="E44" s="2341"/>
      <c r="F44" s="2342"/>
      <c r="G44" s="2211"/>
      <c r="H44" s="2109"/>
      <c r="I44" s="2719"/>
      <c r="J44" s="2109"/>
      <c r="K44" s="2815"/>
      <c r="L44" s="2109"/>
      <c r="M44" s="2815"/>
      <c r="N44" s="2109"/>
      <c r="O44" s="2815"/>
      <c r="P44" s="2109"/>
      <c r="Q44" s="2815"/>
      <c r="R44" s="2109"/>
      <c r="S44" s="2815"/>
    </row>
    <row r="45" spans="1:19" s="77" customFormat="1" x14ac:dyDescent="0.35">
      <c r="A45" s="2692"/>
      <c r="B45" s="2772" t="s">
        <v>3075</v>
      </c>
      <c r="C45" s="2236"/>
      <c r="D45" s="2212"/>
      <c r="E45" s="2341"/>
      <c r="F45" s="2342"/>
      <c r="G45" s="2211"/>
      <c r="H45" s="2109"/>
      <c r="I45" s="2719"/>
      <c r="J45" s="2109"/>
      <c r="K45" s="2815"/>
      <c r="L45" s="2109"/>
      <c r="M45" s="2815"/>
      <c r="N45" s="2109"/>
      <c r="O45" s="2815"/>
      <c r="P45" s="2109"/>
      <c r="Q45" s="2815"/>
      <c r="R45" s="2109"/>
      <c r="S45" s="2815"/>
    </row>
    <row r="46" spans="1:19" s="77" customFormat="1" x14ac:dyDescent="0.35">
      <c r="A46" s="2692"/>
      <c r="B46" s="2772" t="s">
        <v>3076</v>
      </c>
      <c r="C46" s="2236"/>
      <c r="D46" s="2212"/>
      <c r="E46" s="2341"/>
      <c r="F46" s="2342"/>
      <c r="G46" s="2211"/>
      <c r="H46" s="2109"/>
      <c r="I46" s="2719"/>
      <c r="J46" s="2109"/>
      <c r="K46" s="2815"/>
      <c r="L46" s="2109"/>
      <c r="M46" s="2815"/>
      <c r="N46" s="2109"/>
      <c r="O46" s="2815"/>
      <c r="P46" s="2109"/>
      <c r="Q46" s="2815"/>
      <c r="R46" s="2109"/>
      <c r="S46" s="2815"/>
    </row>
    <row r="47" spans="1:19" s="77" customFormat="1" x14ac:dyDescent="0.35">
      <c r="A47" s="2692"/>
      <c r="B47" s="2772" t="s">
        <v>3141</v>
      </c>
      <c r="C47" s="2236"/>
      <c r="D47" s="2212"/>
      <c r="E47" s="2341"/>
      <c r="F47" s="2342"/>
      <c r="G47" s="2211"/>
      <c r="H47" s="2109"/>
      <c r="I47" s="2719"/>
      <c r="J47" s="2109"/>
      <c r="K47" s="2815"/>
      <c r="L47" s="2109"/>
      <c r="M47" s="2815"/>
      <c r="N47" s="2109"/>
      <c r="O47" s="2815"/>
      <c r="P47" s="2109"/>
      <c r="Q47" s="2815"/>
      <c r="R47" s="2109"/>
      <c r="S47" s="2815"/>
    </row>
    <row r="48" spans="1:19" s="77" customFormat="1" x14ac:dyDescent="0.35">
      <c r="A48" s="2692"/>
      <c r="B48" s="2772"/>
      <c r="C48" s="2236"/>
      <c r="D48" s="2212"/>
      <c r="E48" s="2341"/>
      <c r="F48" s="2342"/>
      <c r="G48" s="2211"/>
      <c r="H48" s="2109"/>
      <c r="I48" s="2719"/>
      <c r="J48" s="2109"/>
      <c r="K48" s="2815"/>
      <c r="L48" s="2109"/>
      <c r="M48" s="2815"/>
      <c r="N48" s="2109"/>
      <c r="O48" s="2815"/>
      <c r="P48" s="2109"/>
      <c r="Q48" s="2815"/>
      <c r="R48" s="2109"/>
      <c r="S48" s="2815"/>
    </row>
    <row r="49" spans="1:19" s="77" customFormat="1" x14ac:dyDescent="0.35">
      <c r="A49" s="2692"/>
      <c r="B49" s="2772" t="s">
        <v>3148</v>
      </c>
      <c r="C49" s="2236"/>
      <c r="D49" s="2212"/>
      <c r="E49" s="2341"/>
      <c r="F49" s="2342"/>
      <c r="G49" s="2211"/>
      <c r="H49" s="2109"/>
      <c r="I49" s="2719"/>
      <c r="J49" s="2109"/>
      <c r="K49" s="2815"/>
      <c r="L49" s="2109"/>
      <c r="M49" s="2815"/>
      <c r="N49" s="2109"/>
      <c r="O49" s="2815"/>
      <c r="P49" s="2109"/>
      <c r="Q49" s="2815"/>
      <c r="R49" s="2109"/>
      <c r="S49" s="2815"/>
    </row>
    <row r="50" spans="1:19" s="77" customFormat="1" x14ac:dyDescent="0.35">
      <c r="A50" s="2692"/>
      <c r="B50" s="2772"/>
      <c r="C50" s="2236"/>
      <c r="D50" s="2212"/>
      <c r="E50" s="2341"/>
      <c r="F50" s="2342"/>
      <c r="G50" s="2211"/>
      <c r="H50" s="2109"/>
      <c r="I50" s="2719"/>
      <c r="J50" s="2109"/>
      <c r="K50" s="2815"/>
      <c r="L50" s="2109"/>
      <c r="M50" s="2815"/>
      <c r="N50" s="2109"/>
      <c r="O50" s="2815"/>
      <c r="P50" s="2109"/>
      <c r="Q50" s="2815"/>
      <c r="R50" s="2109"/>
      <c r="S50" s="2815"/>
    </row>
    <row r="51" spans="1:19" s="77" customFormat="1" x14ac:dyDescent="0.35">
      <c r="A51" s="2692"/>
      <c r="B51" s="2772" t="s">
        <v>3142</v>
      </c>
      <c r="C51" s="2236"/>
      <c r="D51" s="2212"/>
      <c r="E51" s="2341"/>
      <c r="F51" s="2342"/>
      <c r="G51" s="2211"/>
      <c r="H51" s="2109"/>
      <c r="I51" s="2719"/>
      <c r="J51" s="2109"/>
      <c r="K51" s="2815"/>
      <c r="L51" s="2109"/>
      <c r="M51" s="2815"/>
      <c r="N51" s="2109"/>
      <c r="O51" s="2815"/>
      <c r="P51" s="2109"/>
      <c r="Q51" s="2815"/>
      <c r="R51" s="2109"/>
      <c r="S51" s="2815"/>
    </row>
    <row r="52" spans="1:19" s="77" customFormat="1" x14ac:dyDescent="0.35">
      <c r="A52" s="2692"/>
      <c r="B52" s="2340"/>
      <c r="C52" s="2236"/>
      <c r="D52" s="2212"/>
      <c r="E52" s="2341"/>
      <c r="F52" s="2342"/>
      <c r="G52" s="2211"/>
      <c r="H52" s="2109"/>
      <c r="I52" s="2719"/>
      <c r="J52" s="2109"/>
      <c r="K52" s="2815"/>
      <c r="L52" s="2109"/>
      <c r="M52" s="2815"/>
      <c r="N52" s="2109"/>
      <c r="O52" s="2815"/>
      <c r="P52" s="2109"/>
      <c r="Q52" s="2815"/>
      <c r="R52" s="2109"/>
      <c r="S52" s="2815"/>
    </row>
    <row r="53" spans="1:19" s="77" customFormat="1" x14ac:dyDescent="0.35">
      <c r="A53" s="2692"/>
      <c r="B53" s="2340"/>
      <c r="C53" s="2236"/>
      <c r="D53" s="2212"/>
      <c r="E53" s="2341"/>
      <c r="F53" s="2342"/>
      <c r="G53" s="2211"/>
      <c r="H53" s="2109"/>
      <c r="I53" s="2719"/>
      <c r="J53" s="2109"/>
      <c r="K53" s="2815"/>
      <c r="L53" s="2109"/>
      <c r="M53" s="2815"/>
      <c r="N53" s="2109"/>
      <c r="O53" s="2815"/>
      <c r="P53" s="2109"/>
      <c r="Q53" s="2815"/>
      <c r="R53" s="2109"/>
      <c r="S53" s="2815"/>
    </row>
    <row r="54" spans="1:19" s="77" customFormat="1" x14ac:dyDescent="0.35">
      <c r="A54" s="2692"/>
      <c r="B54" s="2340"/>
      <c r="C54" s="2236"/>
      <c r="D54" s="2212"/>
      <c r="E54" s="2341"/>
      <c r="F54" s="2342"/>
      <c r="G54" s="2211"/>
      <c r="H54" s="2109"/>
      <c r="I54" s="2719"/>
      <c r="J54" s="2109"/>
      <c r="K54" s="2815"/>
      <c r="L54" s="2109"/>
      <c r="M54" s="2815"/>
      <c r="N54" s="2109"/>
      <c r="O54" s="2815"/>
      <c r="P54" s="2109"/>
      <c r="Q54" s="2815"/>
      <c r="R54" s="2109"/>
      <c r="S54" s="2815"/>
    </row>
    <row r="55" spans="1:19" ht="15" thickBot="1" x14ac:dyDescent="0.4">
      <c r="A55" s="2542"/>
      <c r="B55" s="2543"/>
      <c r="C55" s="2201"/>
      <c r="D55" s="2285"/>
      <c r="E55" s="2285"/>
      <c r="F55" s="2285"/>
      <c r="G55" s="2198"/>
      <c r="H55" s="2109"/>
      <c r="I55" s="2717"/>
      <c r="J55" s="2109"/>
      <c r="K55" s="2717"/>
      <c r="L55" s="2109"/>
      <c r="M55" s="2717"/>
      <c r="N55" s="2109"/>
      <c r="O55" s="2717"/>
      <c r="P55" s="2109"/>
      <c r="Q55" s="2717"/>
      <c r="R55" s="2109"/>
      <c r="S55" s="2717"/>
    </row>
    <row r="56" spans="1:19" ht="15" thickTop="1" x14ac:dyDescent="0.35">
      <c r="A56" s="14"/>
      <c r="B56" s="15"/>
      <c r="C56" s="16"/>
      <c r="D56" s="16"/>
      <c r="E56" s="17"/>
      <c r="F56" s="18" t="s">
        <v>715</v>
      </c>
      <c r="G56" s="19"/>
      <c r="H56" s="20"/>
      <c r="I56" s="50">
        <f>SUM(I23:I55)</f>
        <v>0</v>
      </c>
      <c r="J56" s="20"/>
      <c r="K56" s="50">
        <f>SUM(K23:K55)</f>
        <v>0</v>
      </c>
      <c r="L56" s="20"/>
      <c r="M56" s="50">
        <f>SUM(M23:M55)</f>
        <v>0</v>
      </c>
      <c r="N56" s="20"/>
      <c r="O56" s="50">
        <f>SUM(O23:O55)</f>
        <v>0</v>
      </c>
      <c r="P56" s="20"/>
      <c r="Q56" s="50">
        <f>SUM(Q23:Q55)</f>
        <v>0</v>
      </c>
      <c r="R56" s="20"/>
      <c r="S56" s="50">
        <f>SUM(S23:S55)</f>
        <v>0</v>
      </c>
    </row>
    <row r="57" spans="1:19" x14ac:dyDescent="0.35">
      <c r="A57" s="2239"/>
      <c r="B57" s="2240"/>
      <c r="C57" s="2241"/>
      <c r="D57" s="2241"/>
      <c r="E57" s="2242"/>
      <c r="F57" s="2243" t="s">
        <v>716</v>
      </c>
      <c r="G57" s="2244"/>
      <c r="H57" s="2065">
        <v>0</v>
      </c>
      <c r="I57" s="2064"/>
      <c r="J57" s="2065">
        <v>0</v>
      </c>
      <c r="K57" s="2064"/>
      <c r="L57" s="2065">
        <v>0</v>
      </c>
      <c r="M57" s="2064"/>
      <c r="N57" s="2065">
        <v>0</v>
      </c>
      <c r="O57" s="2064"/>
      <c r="P57" s="2065">
        <v>0</v>
      </c>
      <c r="Q57" s="2064"/>
      <c r="R57" s="2065">
        <v>0</v>
      </c>
      <c r="S57" s="2064"/>
    </row>
    <row r="58" spans="1:19" x14ac:dyDescent="0.35">
      <c r="A58" s="2239"/>
      <c r="B58" s="2240"/>
      <c r="C58" s="2241"/>
      <c r="D58" s="2241"/>
      <c r="E58" s="2242"/>
      <c r="F58" s="2243" t="s">
        <v>717</v>
      </c>
      <c r="G58" s="2244"/>
      <c r="H58" s="2066"/>
      <c r="I58" s="2067">
        <f>H57*I56</f>
        <v>0</v>
      </c>
      <c r="J58" s="2066"/>
      <c r="K58" s="2067">
        <f>J57*K56</f>
        <v>0</v>
      </c>
      <c r="L58" s="2066"/>
      <c r="M58" s="2067">
        <f>L57*M56</f>
        <v>0</v>
      </c>
      <c r="N58" s="2066"/>
      <c r="O58" s="2067">
        <f>N57*O56</f>
        <v>0</v>
      </c>
      <c r="P58" s="2066"/>
      <c r="Q58" s="2067">
        <f>P57*Q56</f>
        <v>0</v>
      </c>
      <c r="R58" s="2066"/>
      <c r="S58" s="2067">
        <f>R57*S56</f>
        <v>0</v>
      </c>
    </row>
    <row r="59" spans="1:19" x14ac:dyDescent="0.35">
      <c r="A59" s="2239"/>
      <c r="B59" s="2240"/>
      <c r="C59" s="2241"/>
      <c r="D59" s="2241"/>
      <c r="E59" s="2242"/>
      <c r="F59" s="2243"/>
      <c r="G59" s="2244"/>
      <c r="H59" s="2066"/>
      <c r="I59" s="2068"/>
      <c r="J59" s="2066"/>
      <c r="K59" s="2068"/>
      <c r="L59" s="2066"/>
      <c r="M59" s="2068"/>
      <c r="N59" s="2066"/>
      <c r="O59" s="2068"/>
      <c r="P59" s="2066"/>
      <c r="Q59" s="2068"/>
      <c r="R59" s="2066"/>
      <c r="S59" s="2068"/>
    </row>
    <row r="60" spans="1:19" x14ac:dyDescent="0.35">
      <c r="A60" s="2239"/>
      <c r="B60" s="2240"/>
      <c r="C60" s="2241"/>
      <c r="D60" s="2241"/>
      <c r="E60" s="2242"/>
      <c r="F60" s="2243" t="s">
        <v>718</v>
      </c>
      <c r="G60" s="2244"/>
      <c r="H60" s="2069"/>
      <c r="I60" s="2070">
        <f>SUM(I56:I58)</f>
        <v>0</v>
      </c>
      <c r="J60" s="2069"/>
      <c r="K60" s="2070">
        <f>SUM(K56:K58)</f>
        <v>0</v>
      </c>
      <c r="L60" s="2069"/>
      <c r="M60" s="2070">
        <f>SUM(M56:M58)</f>
        <v>0</v>
      </c>
      <c r="N60" s="2069"/>
      <c r="O60" s="2070">
        <f>SUM(O56:O58)</f>
        <v>0</v>
      </c>
      <c r="P60" s="2069"/>
      <c r="Q60" s="2070">
        <f>SUM(Q56:Q58)</f>
        <v>0</v>
      </c>
      <c r="R60" s="2069"/>
      <c r="S60" s="2070">
        <f>SUM(S56:S58)</f>
        <v>0</v>
      </c>
    </row>
    <row r="61" spans="1:19" x14ac:dyDescent="0.35">
      <c r="A61" s="2239"/>
      <c r="B61" s="2240"/>
      <c r="C61" s="2241"/>
      <c r="D61" s="2241"/>
      <c r="E61" s="2242"/>
      <c r="F61" s="2255" t="s">
        <v>719</v>
      </c>
      <c r="G61" s="2256"/>
      <c r="H61" s="2073"/>
      <c r="I61" s="2074" t="e">
        <f>I60/#REF!</f>
        <v>#REF!</v>
      </c>
      <c r="J61" s="2073"/>
      <c r="K61" s="2074" t="e">
        <f>K60/#REF!</f>
        <v>#REF!</v>
      </c>
      <c r="L61" s="2073"/>
      <c r="M61" s="2074" t="e">
        <f>M60/#REF!</f>
        <v>#REF!</v>
      </c>
      <c r="N61" s="2073"/>
      <c r="O61" s="2074" t="e">
        <f>O60/#REF!</f>
        <v>#REF!</v>
      </c>
      <c r="P61" s="2073"/>
      <c r="Q61" s="2074" t="e">
        <f>Q60/#REF!</f>
        <v>#REF!</v>
      </c>
      <c r="R61" s="2073"/>
      <c r="S61" s="2074" t="e">
        <f>S60/#REF!</f>
        <v>#REF!</v>
      </c>
    </row>
    <row r="62" spans="1:19" x14ac:dyDescent="0.35">
      <c r="A62" s="2239"/>
      <c r="B62" s="2240"/>
      <c r="C62" s="2241"/>
      <c r="D62" s="2241"/>
      <c r="E62" s="2242"/>
      <c r="F62" s="2255" t="s">
        <v>720</v>
      </c>
      <c r="G62" s="2260"/>
      <c r="H62" s="2073"/>
      <c r="I62" s="2074" t="e">
        <f>I60/#REF!</f>
        <v>#REF!</v>
      </c>
      <c r="J62" s="2073"/>
      <c r="K62" s="2074" t="e">
        <f>K60/#REF!</f>
        <v>#REF!</v>
      </c>
      <c r="L62" s="2073"/>
      <c r="M62" s="2074" t="e">
        <f>M60/#REF!</f>
        <v>#REF!</v>
      </c>
      <c r="N62" s="2073"/>
      <c r="O62" s="2074" t="e">
        <f>O60/#REF!</f>
        <v>#REF!</v>
      </c>
      <c r="P62" s="2073"/>
      <c r="Q62" s="2074" t="e">
        <f>Q60/#REF!</f>
        <v>#REF!</v>
      </c>
      <c r="R62" s="2073"/>
      <c r="S62" s="2074" t="e">
        <f>S60/#REF!</f>
        <v>#REF!</v>
      </c>
    </row>
    <row r="63" spans="1:19" ht="15" thickBot="1" x14ac:dyDescent="0.4">
      <c r="A63" s="2239"/>
      <c r="B63" s="2240"/>
      <c r="C63" s="2241"/>
      <c r="D63" s="2241"/>
      <c r="E63" s="2242"/>
      <c r="F63" s="2243"/>
      <c r="G63" s="2261"/>
      <c r="H63" s="2077"/>
      <c r="I63" s="2078"/>
      <c r="J63" s="2077"/>
      <c r="K63" s="2078"/>
      <c r="L63" s="2077"/>
      <c r="M63" s="2078"/>
      <c r="N63" s="2077"/>
      <c r="O63" s="2078"/>
      <c r="P63" s="2077"/>
      <c r="Q63" s="2078"/>
      <c r="R63" s="2077"/>
      <c r="S63" s="2078"/>
    </row>
    <row r="64" spans="1:19" ht="15.5" thickTop="1" thickBot="1" x14ac:dyDescent="0.4">
      <c r="A64" s="3764" t="s">
        <v>721</v>
      </c>
      <c r="B64" s="3765"/>
      <c r="C64" s="12"/>
      <c r="D64" s="12"/>
      <c r="E64" s="12"/>
      <c r="F64" s="12"/>
      <c r="G64" s="13"/>
      <c r="H64" s="21"/>
      <c r="I64" s="21"/>
      <c r="J64" s="21"/>
      <c r="K64" s="21"/>
      <c r="L64" s="21"/>
      <c r="M64" s="21"/>
      <c r="N64" s="21"/>
      <c r="O64" s="21"/>
      <c r="P64" s="21"/>
      <c r="Q64" s="21"/>
      <c r="R64" s="21"/>
      <c r="S64" s="21"/>
    </row>
    <row r="65" spans="1:19" ht="15" thickTop="1" x14ac:dyDescent="0.35">
      <c r="A65" s="2820"/>
      <c r="B65" s="2284"/>
      <c r="C65" s="2821"/>
      <c r="D65" s="2821"/>
      <c r="E65" s="2821"/>
      <c r="F65" s="2821"/>
      <c r="G65" s="2822"/>
      <c r="H65" s="2823"/>
      <c r="I65" s="2823"/>
      <c r="J65" s="2823"/>
      <c r="K65" s="2823"/>
      <c r="L65" s="2823"/>
      <c r="M65" s="2823"/>
      <c r="N65" s="2823"/>
      <c r="O65" s="2823"/>
      <c r="P65" s="2823"/>
      <c r="Q65" s="2823"/>
      <c r="R65" s="2823"/>
      <c r="S65" s="2823"/>
    </row>
    <row r="66" spans="1:19" s="2" customFormat="1" x14ac:dyDescent="0.35">
      <c r="A66" s="2820"/>
      <c r="B66" s="2284"/>
      <c r="C66" s="2821"/>
      <c r="D66" s="2821"/>
      <c r="E66" s="2821"/>
      <c r="F66" s="2821"/>
      <c r="G66" s="2822"/>
      <c r="H66" s="2823"/>
      <c r="I66" s="2823"/>
      <c r="J66" s="2823"/>
      <c r="K66" s="2823"/>
      <c r="L66" s="2823"/>
      <c r="M66" s="2823"/>
      <c r="N66" s="2823"/>
      <c r="O66" s="2823"/>
      <c r="P66" s="2823"/>
      <c r="Q66" s="2823"/>
      <c r="R66" s="2823"/>
      <c r="S66" s="2823"/>
    </row>
    <row r="67" spans="1:19" s="2" customFormat="1" ht="15" thickBot="1" x14ac:dyDescent="0.4">
      <c r="A67" s="2820"/>
      <c r="B67" s="2284"/>
      <c r="C67" s="2821"/>
      <c r="D67" s="2821"/>
      <c r="E67" s="2821"/>
      <c r="F67" s="2821"/>
      <c r="G67" s="2822"/>
      <c r="H67" s="2823"/>
      <c r="I67" s="2823"/>
      <c r="J67" s="2823"/>
      <c r="K67" s="2823"/>
      <c r="L67" s="2823"/>
      <c r="M67" s="2823"/>
      <c r="N67" s="2823"/>
      <c r="O67" s="2823"/>
      <c r="P67" s="2823"/>
      <c r="Q67" s="2823"/>
      <c r="R67" s="2823"/>
      <c r="S67" s="2823"/>
    </row>
    <row r="68" spans="1:19" ht="15.5" thickTop="1" thickBot="1" x14ac:dyDescent="0.4">
      <c r="A68" s="3764" t="s">
        <v>722</v>
      </c>
      <c r="B68" s="3765"/>
      <c r="C68" s="12"/>
      <c r="D68" s="12"/>
      <c r="E68" s="12"/>
      <c r="F68" s="12"/>
      <c r="G68" s="13"/>
      <c r="H68" s="21"/>
      <c r="I68" s="21"/>
      <c r="J68" s="21"/>
      <c r="K68" s="21"/>
      <c r="L68" s="21"/>
      <c r="M68" s="21"/>
      <c r="N68" s="21"/>
      <c r="O68" s="21"/>
      <c r="P68" s="21"/>
      <c r="Q68" s="21"/>
      <c r="R68" s="21"/>
      <c r="S68" s="21"/>
    </row>
    <row r="69" spans="1:19" s="2" customFormat="1" ht="15" thickTop="1" x14ac:dyDescent="0.35">
      <c r="A69" s="2820"/>
      <c r="B69" s="2284"/>
      <c r="C69" s="2821"/>
      <c r="D69" s="2821"/>
      <c r="E69" s="2821"/>
      <c r="F69" s="2821"/>
      <c r="G69" s="2822"/>
      <c r="H69" s="2823"/>
      <c r="I69" s="2823"/>
      <c r="J69" s="2823"/>
      <c r="K69" s="2823"/>
      <c r="L69" s="2823"/>
      <c r="M69" s="2823"/>
      <c r="N69" s="2823"/>
      <c r="O69" s="2823"/>
      <c r="P69" s="2823"/>
      <c r="Q69" s="2823"/>
      <c r="R69" s="2823"/>
      <c r="S69" s="2823"/>
    </row>
    <row r="70" spans="1:19" s="2" customFormat="1" x14ac:dyDescent="0.35">
      <c r="A70" s="2820"/>
      <c r="B70" s="2284"/>
      <c r="C70" s="2821"/>
      <c r="D70" s="2821"/>
      <c r="E70" s="2821"/>
      <c r="F70" s="2821"/>
      <c r="G70" s="2822"/>
      <c r="H70" s="2823"/>
      <c r="I70" s="2823"/>
      <c r="J70" s="2823"/>
      <c r="K70" s="2823"/>
      <c r="L70" s="2823"/>
      <c r="M70" s="2823"/>
      <c r="N70" s="2823"/>
      <c r="O70" s="2823"/>
      <c r="P70" s="2823"/>
      <c r="Q70" s="2823"/>
      <c r="R70" s="2823"/>
      <c r="S70" s="2823"/>
    </row>
    <row r="71" spans="1:19" ht="15" thickBot="1" x14ac:dyDescent="0.4">
      <c r="A71" s="2820"/>
      <c r="B71" s="2284"/>
      <c r="C71" s="2821"/>
      <c r="D71" s="2821"/>
      <c r="E71" s="2821"/>
      <c r="F71" s="2821"/>
      <c r="G71" s="2822"/>
      <c r="H71" s="2823"/>
      <c r="I71" s="2823"/>
      <c r="J71" s="2823"/>
      <c r="K71" s="2823"/>
      <c r="L71" s="2823"/>
      <c r="M71" s="2823"/>
      <c r="N71" s="2823"/>
      <c r="O71" s="2823"/>
      <c r="P71" s="2823"/>
      <c r="Q71" s="2823"/>
      <c r="R71" s="2823"/>
      <c r="S71" s="2823"/>
    </row>
    <row r="72" spans="1:19" ht="15.5" thickTop="1" thickBot="1" x14ac:dyDescent="0.4">
      <c r="A72" s="3764" t="s">
        <v>723</v>
      </c>
      <c r="B72" s="3765"/>
      <c r="C72" s="12"/>
      <c r="D72" s="12"/>
      <c r="E72" s="12"/>
      <c r="F72" s="12"/>
      <c r="G72" s="13"/>
      <c r="H72" s="21"/>
      <c r="I72" s="21"/>
      <c r="J72" s="21"/>
      <c r="K72" s="21"/>
      <c r="L72" s="21"/>
      <c r="M72" s="21"/>
      <c r="N72" s="21"/>
      <c r="O72" s="21"/>
      <c r="P72" s="21"/>
      <c r="Q72" s="21"/>
      <c r="R72" s="21"/>
      <c r="S72" s="21"/>
    </row>
    <row r="73" spans="1:19" ht="15" thickTop="1" x14ac:dyDescent="0.35">
      <c r="A73" s="2820"/>
      <c r="B73" s="2284"/>
      <c r="C73" s="2821"/>
      <c r="D73" s="2821"/>
      <c r="E73" s="2821"/>
      <c r="F73" s="2821"/>
      <c r="G73" s="2822"/>
      <c r="H73" s="2823"/>
      <c r="I73" s="2823"/>
      <c r="J73" s="2823"/>
      <c r="K73" s="2823"/>
      <c r="L73" s="2823"/>
      <c r="M73" s="2823"/>
      <c r="N73" s="2823"/>
      <c r="O73" s="2823"/>
      <c r="P73" s="2823"/>
      <c r="Q73" s="2823"/>
      <c r="R73" s="2823"/>
      <c r="S73" s="2823"/>
    </row>
    <row r="74" spans="1:19" x14ac:dyDescent="0.35">
      <c r="A74" s="2286"/>
      <c r="B74" s="2284"/>
      <c r="C74" s="2285"/>
      <c r="D74" s="2285"/>
      <c r="E74" s="2285"/>
      <c r="F74" s="2285"/>
      <c r="G74" s="2198"/>
      <c r="H74" s="2081"/>
      <c r="I74" s="2081"/>
      <c r="J74" s="2081"/>
      <c r="K74" s="2081"/>
      <c r="L74" s="2081"/>
      <c r="M74" s="2081"/>
      <c r="N74" s="2081"/>
      <c r="O74" s="2081"/>
      <c r="P74" s="2081"/>
      <c r="Q74" s="2081"/>
      <c r="R74" s="2081"/>
      <c r="S74" s="2081"/>
    </row>
    <row r="75" spans="1:19" ht="15" thickBot="1" x14ac:dyDescent="0.4">
      <c r="A75" s="2269"/>
      <c r="B75" s="2270"/>
      <c r="C75" s="2285"/>
      <c r="D75" s="2285"/>
      <c r="E75" s="2285"/>
      <c r="F75" s="2285"/>
      <c r="G75" s="2198"/>
      <c r="H75" s="2084"/>
      <c r="I75" s="2084"/>
      <c r="J75" s="2084"/>
      <c r="K75" s="2084"/>
      <c r="L75" s="2084"/>
      <c r="M75" s="2084"/>
      <c r="N75" s="2084"/>
      <c r="O75" s="2084"/>
      <c r="P75" s="2084"/>
      <c r="Q75" s="2084"/>
      <c r="R75" s="2084"/>
      <c r="S75" s="2084"/>
    </row>
    <row r="76" spans="1:19" ht="15.5" thickTop="1" thickBot="1" x14ac:dyDescent="0.4">
      <c r="A76" s="3764" t="s">
        <v>724</v>
      </c>
      <c r="B76" s="3765"/>
      <c r="C76" s="12"/>
      <c r="D76" s="12"/>
      <c r="E76" s="12"/>
      <c r="F76" s="12"/>
      <c r="G76" s="13"/>
      <c r="H76" s="21"/>
      <c r="I76" s="21"/>
      <c r="J76" s="21"/>
      <c r="K76" s="21"/>
      <c r="L76" s="21"/>
      <c r="M76" s="21"/>
      <c r="N76" s="21"/>
      <c r="O76" s="21"/>
      <c r="P76" s="21"/>
      <c r="Q76" s="21"/>
      <c r="R76" s="21"/>
      <c r="S76" s="21"/>
    </row>
    <row r="77" spans="1:19" ht="15" thickTop="1" x14ac:dyDescent="0.35">
      <c r="A77" s="2824"/>
      <c r="B77" s="2825"/>
      <c r="C77" s="2821"/>
      <c r="D77" s="2821"/>
      <c r="E77" s="2821"/>
      <c r="F77" s="2821"/>
      <c r="G77" s="2822"/>
      <c r="H77" s="2823"/>
      <c r="I77" s="2823"/>
      <c r="J77" s="2823"/>
      <c r="K77" s="2823"/>
      <c r="L77" s="2823"/>
      <c r="M77" s="2823"/>
      <c r="N77" s="2823"/>
      <c r="O77" s="2823"/>
      <c r="P77" s="2823"/>
      <c r="Q77" s="2823"/>
      <c r="R77" s="2823"/>
      <c r="S77" s="2823"/>
    </row>
    <row r="78" spans="1:19" x14ac:dyDescent="0.35">
      <c r="A78" s="2269"/>
      <c r="B78" s="2270"/>
      <c r="C78" s="2285"/>
      <c r="D78" s="2285"/>
      <c r="E78" s="2285"/>
      <c r="F78" s="2285"/>
      <c r="G78" s="2198"/>
      <c r="H78" s="2087"/>
      <c r="I78" s="2087"/>
      <c r="J78" s="2087"/>
      <c r="K78" s="2087"/>
      <c r="L78" s="2087"/>
      <c r="M78" s="2087"/>
      <c r="N78" s="2087"/>
      <c r="O78" s="2087"/>
      <c r="P78" s="2087"/>
      <c r="Q78" s="2087"/>
      <c r="R78" s="2087"/>
      <c r="S78" s="2087"/>
    </row>
    <row r="79" spans="1:19" ht="15" thickBot="1" x14ac:dyDescent="0.4">
      <c r="A79" s="2269"/>
      <c r="B79" s="2270"/>
      <c r="C79" s="2285"/>
      <c r="D79" s="2285"/>
      <c r="E79" s="2285"/>
      <c r="F79" s="2285"/>
      <c r="G79" s="2198"/>
      <c r="H79" s="2087"/>
      <c r="I79" s="2087"/>
      <c r="J79" s="2087"/>
      <c r="K79" s="2087"/>
      <c r="L79" s="2087"/>
      <c r="M79" s="2087"/>
      <c r="N79" s="2087"/>
      <c r="O79" s="2087"/>
      <c r="P79" s="2087"/>
      <c r="Q79" s="2087"/>
      <c r="R79" s="2087"/>
      <c r="S79" s="2087"/>
    </row>
    <row r="80" spans="1:19" ht="15.5" thickTop="1" thickBot="1" x14ac:dyDescent="0.4">
      <c r="A80" s="3764" t="s">
        <v>725</v>
      </c>
      <c r="B80" s="3765"/>
      <c r="C80" s="12"/>
      <c r="D80" s="12"/>
      <c r="E80" s="12"/>
      <c r="F80" s="12"/>
      <c r="G80" s="13"/>
      <c r="H80" s="21"/>
      <c r="I80" s="21"/>
      <c r="J80" s="21"/>
      <c r="K80" s="21"/>
      <c r="L80" s="21"/>
      <c r="M80" s="21"/>
      <c r="N80" s="21"/>
      <c r="O80" s="21"/>
      <c r="P80" s="21"/>
      <c r="Q80" s="21"/>
      <c r="R80" s="21"/>
      <c r="S80" s="21"/>
    </row>
    <row r="81" spans="1:19" ht="15" thickTop="1" x14ac:dyDescent="0.35">
      <c r="A81" s="2286"/>
      <c r="B81" s="2284" t="s">
        <v>726</v>
      </c>
      <c r="C81" s="2285"/>
      <c r="D81" s="2285"/>
      <c r="E81" s="2285"/>
      <c r="F81" s="2285"/>
      <c r="G81" s="2198"/>
      <c r="H81" s="2087"/>
      <c r="I81" s="2087"/>
      <c r="J81" s="2087"/>
      <c r="K81" s="2087"/>
      <c r="L81" s="2087"/>
      <c r="M81" s="2087"/>
      <c r="N81" s="2087"/>
      <c r="O81" s="2087"/>
      <c r="P81" s="2087"/>
      <c r="Q81" s="2087"/>
      <c r="R81" s="2087"/>
      <c r="S81" s="2087"/>
    </row>
    <row r="82" spans="1:19" x14ac:dyDescent="0.35">
      <c r="A82" s="2286"/>
      <c r="B82" s="2284" t="s">
        <v>727</v>
      </c>
      <c r="C82" s="2285"/>
      <c r="D82" s="2285"/>
      <c r="E82" s="2285"/>
      <c r="F82" s="2285"/>
      <c r="G82" s="2198"/>
      <c r="H82" s="2087"/>
      <c r="I82" s="2087"/>
      <c r="J82" s="2087"/>
      <c r="K82" s="2087"/>
      <c r="L82" s="2087"/>
      <c r="M82" s="2087"/>
      <c r="N82" s="2087"/>
      <c r="O82" s="2087"/>
      <c r="P82" s="2087"/>
      <c r="Q82" s="2087"/>
      <c r="R82" s="2087"/>
      <c r="S82" s="2087"/>
    </row>
    <row r="83" spans="1:19" x14ac:dyDescent="0.35">
      <c r="A83" s="2286"/>
      <c r="B83" s="2284" t="s">
        <v>728</v>
      </c>
      <c r="C83" s="2285"/>
      <c r="D83" s="2285"/>
      <c r="E83" s="2285"/>
      <c r="F83" s="2285"/>
      <c r="G83" s="2198"/>
      <c r="H83" s="2087"/>
      <c r="I83" s="2087"/>
      <c r="J83" s="2087"/>
      <c r="K83" s="2087"/>
      <c r="L83" s="2087"/>
      <c r="M83" s="2087"/>
      <c r="N83" s="2087"/>
      <c r="O83" s="2087"/>
      <c r="P83" s="2087"/>
      <c r="Q83" s="2087"/>
      <c r="R83" s="2087"/>
      <c r="S83" s="2087"/>
    </row>
    <row r="84" spans="1:19" x14ac:dyDescent="0.35">
      <c r="A84" s="2286"/>
      <c r="B84" s="2284" t="s">
        <v>729</v>
      </c>
      <c r="C84" s="2285"/>
      <c r="D84" s="2285"/>
      <c r="E84" s="2285"/>
      <c r="F84" s="2285"/>
      <c r="G84" s="2198"/>
      <c r="H84" s="2087"/>
      <c r="I84" s="2087"/>
      <c r="J84" s="2087"/>
      <c r="K84" s="2087"/>
      <c r="L84" s="2087"/>
      <c r="M84" s="2087"/>
      <c r="N84" s="2087"/>
      <c r="O84" s="2087"/>
      <c r="P84" s="2087"/>
      <c r="Q84" s="2087"/>
      <c r="R84" s="2087"/>
      <c r="S84" s="2087"/>
    </row>
    <row r="85" spans="1:19" ht="15" thickBot="1" x14ac:dyDescent="0.4">
      <c r="A85" s="978"/>
      <c r="B85" s="939"/>
      <c r="C85" s="940"/>
      <c r="D85" s="940"/>
      <c r="E85" s="940"/>
      <c r="F85" s="940"/>
      <c r="G85" s="1039"/>
      <c r="H85" s="981"/>
      <c r="I85" s="981"/>
      <c r="J85" s="981"/>
      <c r="K85" s="981"/>
      <c r="L85" s="981"/>
      <c r="M85" s="981"/>
      <c r="N85" s="981"/>
      <c r="O85" s="981"/>
      <c r="P85" s="981"/>
      <c r="Q85" s="981"/>
      <c r="R85" s="981"/>
      <c r="S85" s="981"/>
    </row>
    <row r="86" spans="1:19" ht="15.5" thickTop="1" thickBot="1" x14ac:dyDescent="0.4">
      <c r="A86" s="7" t="s">
        <v>730</v>
      </c>
      <c r="B86" s="8"/>
      <c r="C86" s="12"/>
      <c r="D86" s="12"/>
      <c r="E86" s="12"/>
      <c r="F86" s="12"/>
      <c r="G86" s="13"/>
      <c r="H86" s="21"/>
      <c r="I86" s="21"/>
      <c r="J86" s="21"/>
      <c r="K86" s="21"/>
      <c r="L86" s="21"/>
      <c r="M86" s="21"/>
      <c r="N86" s="21"/>
      <c r="O86" s="21"/>
      <c r="P86" s="21"/>
      <c r="Q86" s="21"/>
      <c r="R86" s="21"/>
      <c r="S86" s="21"/>
    </row>
    <row r="87" spans="1:19" ht="15" thickTop="1" x14ac:dyDescent="0.35">
      <c r="A87" s="2820"/>
      <c r="B87" s="2826" t="s">
        <v>731</v>
      </c>
      <c r="C87" s="2821"/>
      <c r="D87" s="2821"/>
      <c r="E87" s="2821"/>
      <c r="F87" s="2821"/>
      <c r="G87" s="2822"/>
      <c r="H87" s="2827"/>
      <c r="I87" s="2827"/>
      <c r="J87" s="2827"/>
      <c r="K87" s="2827"/>
      <c r="L87" s="2827"/>
      <c r="M87" s="2827"/>
      <c r="N87" s="2827"/>
      <c r="O87" s="2827"/>
      <c r="P87" s="2827"/>
      <c r="Q87" s="2827"/>
      <c r="R87" s="2827"/>
      <c r="S87" s="2827"/>
    </row>
    <row r="88" spans="1:19" x14ac:dyDescent="0.35">
      <c r="A88" s="2286"/>
      <c r="B88" s="2284" t="s">
        <v>732</v>
      </c>
      <c r="C88" s="2285"/>
      <c r="D88" s="2285"/>
      <c r="E88" s="2285"/>
      <c r="F88" s="2285"/>
      <c r="G88" s="2198"/>
      <c r="H88" s="2158"/>
      <c r="I88" s="2158"/>
      <c r="J88" s="2158"/>
      <c r="K88" s="2158"/>
      <c r="L88" s="2158"/>
      <c r="M88" s="2158"/>
      <c r="N88" s="2158"/>
      <c r="O88" s="2158"/>
      <c r="P88" s="2158"/>
      <c r="Q88" s="2158"/>
      <c r="R88" s="2158"/>
      <c r="S88" s="2158"/>
    </row>
    <row r="89" spans="1:19" ht="15" thickBot="1" x14ac:dyDescent="0.4">
      <c r="A89" s="2089"/>
      <c r="B89" s="2090" t="s">
        <v>733</v>
      </c>
      <c r="C89" s="2091"/>
      <c r="D89" s="2091"/>
      <c r="E89" s="2091"/>
      <c r="F89" s="2091"/>
      <c r="G89" s="2092"/>
      <c r="H89" s="2093"/>
      <c r="I89" s="2093"/>
      <c r="J89" s="2093"/>
      <c r="K89" s="2093"/>
      <c r="L89" s="2093"/>
      <c r="M89" s="2093"/>
      <c r="N89" s="2093"/>
      <c r="O89" s="2093"/>
      <c r="P89" s="2093"/>
      <c r="Q89" s="2093"/>
      <c r="R89" s="2093"/>
      <c r="S89" s="2093"/>
    </row>
    <row r="90" spans="1:19" ht="15.5" thickTop="1" thickBot="1" x14ac:dyDescent="0.4"/>
    <row r="91" spans="1:19" ht="15.5" thickTop="1" thickBot="1" x14ac:dyDescent="0.4">
      <c r="A91" s="78" t="s">
        <v>734</v>
      </c>
      <c r="B91" s="80"/>
    </row>
    <row r="92" spans="1:19" ht="15" thickTop="1" x14ac:dyDescent="0.35">
      <c r="A92" s="79" t="s">
        <v>632</v>
      </c>
      <c r="B92" s="2094"/>
    </row>
    <row r="93" spans="1:19" x14ac:dyDescent="0.35">
      <c r="A93" s="2279" t="s">
        <v>636</v>
      </c>
      <c r="B93" s="2094"/>
    </row>
    <row r="94" spans="1:19" x14ac:dyDescent="0.35">
      <c r="A94" s="2096" t="s">
        <v>639</v>
      </c>
      <c r="B94" s="2097"/>
    </row>
    <row r="95" spans="1:19" x14ac:dyDescent="0.35">
      <c r="A95" s="2096" t="s">
        <v>642</v>
      </c>
      <c r="B95" s="2159"/>
    </row>
    <row r="96" spans="1:19" ht="15" thickBot="1" x14ac:dyDescent="0.4">
      <c r="A96" s="2099" t="s">
        <v>735</v>
      </c>
      <c r="B96" s="2100"/>
    </row>
    <row r="97" spans="1:2" ht="15" thickTop="1" x14ac:dyDescent="0.35"/>
    <row r="98" spans="1:2" x14ac:dyDescent="0.35">
      <c r="A98" s="81"/>
      <c r="B98" s="1" t="s">
        <v>736</v>
      </c>
    </row>
    <row r="99" spans="1:2" x14ac:dyDescent="0.35">
      <c r="A99" s="82"/>
      <c r="B99" s="1" t="s">
        <v>737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23" priority="23" operator="equal">
      <formula>"X"</formula>
    </cfRule>
    <cfRule type="cellIs" dxfId="522" priority="24" operator="equal">
      <formula>"I"</formula>
    </cfRule>
  </conditionalFormatting>
  <conditionalFormatting sqref="H32:H55">
    <cfRule type="cellIs" dxfId="521" priority="1" operator="equal">
      <formula>"X"</formula>
    </cfRule>
    <cfRule type="cellIs" dxfId="520" priority="2" operator="equal">
      <formula>"I"</formula>
    </cfRule>
  </conditionalFormatting>
  <conditionalFormatting sqref="J20:J30">
    <cfRule type="cellIs" dxfId="519" priority="21" operator="equal">
      <formula>"X"</formula>
    </cfRule>
    <cfRule type="cellIs" dxfId="518" priority="22" operator="equal">
      <formula>"I"</formula>
    </cfRule>
  </conditionalFormatting>
  <conditionalFormatting sqref="J32:J55">
    <cfRule type="cellIs" dxfId="517" priority="3" operator="equal">
      <formula>"X"</formula>
    </cfRule>
    <cfRule type="cellIs" dxfId="516" priority="4" operator="equal">
      <formula>"I"</formula>
    </cfRule>
  </conditionalFormatting>
  <conditionalFormatting sqref="L20:L30">
    <cfRule type="cellIs" dxfId="515" priority="19" operator="equal">
      <formula>"X"</formula>
    </cfRule>
    <cfRule type="cellIs" dxfId="514" priority="20" operator="equal">
      <formula>"I"</formula>
    </cfRule>
  </conditionalFormatting>
  <conditionalFormatting sqref="L32:L55">
    <cfRule type="cellIs" dxfId="513" priority="5" operator="equal">
      <formula>"X"</formula>
    </cfRule>
    <cfRule type="cellIs" dxfId="512" priority="6" operator="equal">
      <formula>"I"</formula>
    </cfRule>
  </conditionalFormatting>
  <conditionalFormatting sqref="N20:N30">
    <cfRule type="cellIs" dxfId="511" priority="17" operator="equal">
      <formula>"X"</formula>
    </cfRule>
    <cfRule type="cellIs" dxfId="510" priority="18" operator="equal">
      <formula>"I"</formula>
    </cfRule>
  </conditionalFormatting>
  <conditionalFormatting sqref="N32:N55">
    <cfRule type="cellIs" dxfId="509" priority="7" operator="equal">
      <formula>"X"</formula>
    </cfRule>
    <cfRule type="cellIs" dxfId="508" priority="8" operator="equal">
      <formula>"I"</formula>
    </cfRule>
  </conditionalFormatting>
  <conditionalFormatting sqref="P20:P30">
    <cfRule type="cellIs" dxfId="507" priority="15" operator="equal">
      <formula>"X"</formula>
    </cfRule>
    <cfRule type="cellIs" dxfId="506" priority="16" operator="equal">
      <formula>"I"</formula>
    </cfRule>
  </conditionalFormatting>
  <conditionalFormatting sqref="P32:P55">
    <cfRule type="cellIs" dxfId="505" priority="9" operator="equal">
      <formula>"X"</formula>
    </cfRule>
    <cfRule type="cellIs" dxfId="504" priority="10" operator="equal">
      <formula>"I"</formula>
    </cfRule>
  </conditionalFormatting>
  <conditionalFormatting sqref="R20:R30">
    <cfRule type="cellIs" dxfId="503" priority="13" operator="equal">
      <formula>"X"</formula>
    </cfRule>
    <cfRule type="cellIs" dxfId="502" priority="14" operator="equal">
      <formula>"I"</formula>
    </cfRule>
  </conditionalFormatting>
  <conditionalFormatting sqref="R32:R55">
    <cfRule type="cellIs" dxfId="501" priority="11" operator="equal">
      <formula>"X"</formula>
    </cfRule>
    <cfRule type="cellIs" dxfId="500" priority="12" operator="equal">
      <formula>"I"</formula>
    </cfRule>
  </conditionalFormatting>
  <hyperlinks>
    <hyperlink ref="B3" location="'Cost Summary'!A1" display="BACK TO SUMMARY SHEET" xr:uid="{E30DF736-9787-4A00-BE6C-23B8505BAB58}"/>
  </hyperlinks>
  <pageMargins left="0.7" right="0.7" top="0.75" bottom="0.75" header="0.3" footer="0.3"/>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7DEA-3ACB-4080-9874-3EAD46B7C00D}">
  <dimension ref="A1:S97"/>
  <sheetViews>
    <sheetView workbookViewId="0">
      <pane xSplit="2" ySplit="9" topLeftCell="F46" activePane="bottomRight" state="frozen"/>
      <selection pane="topRight" activeCell="C1" sqref="C1"/>
      <selection pane="bottomLeft" activeCell="A11" sqref="A11"/>
      <selection pane="bottomRight" activeCell="I59" sqref="I59:I60"/>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0.269531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c r="G2" s="123" t="s">
        <v>451</v>
      </c>
      <c r="H2" s="3751"/>
      <c r="I2" s="3751"/>
      <c r="J2" s="3751"/>
      <c r="K2" s="3751"/>
      <c r="L2" s="3751"/>
      <c r="M2" s="3751"/>
      <c r="N2" s="3751"/>
      <c r="O2" s="3751"/>
      <c r="P2" s="3751"/>
      <c r="Q2" s="3751"/>
      <c r="R2" s="3751"/>
      <c r="S2" s="3751"/>
    </row>
    <row r="3" spans="1:19" ht="20" thickBot="1" x14ac:dyDescent="0.4">
      <c r="B3" s="137" t="s">
        <v>623</v>
      </c>
      <c r="E3" s="152"/>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952"/>
      <c r="K4" s="3753"/>
      <c r="L4" s="3952"/>
      <c r="M4" s="3753"/>
      <c r="N4" s="3952"/>
      <c r="O4" s="3753"/>
      <c r="P4" s="3952"/>
      <c r="Q4" s="3753"/>
      <c r="R4" s="3952"/>
      <c r="S4" s="3753"/>
    </row>
    <row r="5" spans="1:19" x14ac:dyDescent="0.35">
      <c r="A5" s="2283" t="s">
        <v>634</v>
      </c>
      <c r="B5" s="2284" t="s">
        <v>3151</v>
      </c>
      <c r="C5" s="2285"/>
      <c r="D5" s="2285"/>
      <c r="E5" s="2285"/>
      <c r="F5" s="2285"/>
      <c r="G5" s="2194" t="s">
        <v>636</v>
      </c>
      <c r="H5" s="3931"/>
      <c r="I5" s="3932"/>
      <c r="J5" s="3954"/>
      <c r="K5" s="3932"/>
      <c r="L5" s="3954"/>
      <c r="M5" s="3932"/>
      <c r="N5" s="3954"/>
      <c r="O5" s="3932"/>
      <c r="P5" s="3954"/>
      <c r="Q5" s="3932"/>
      <c r="R5" s="3954"/>
      <c r="S5" s="3932"/>
    </row>
    <row r="6" spans="1:19" x14ac:dyDescent="0.35">
      <c r="A6" s="2283" t="s">
        <v>638</v>
      </c>
      <c r="B6" s="2195" t="s">
        <v>3152</v>
      </c>
      <c r="C6" s="2285"/>
      <c r="D6" s="2285"/>
      <c r="E6" s="2285"/>
      <c r="F6" s="2285"/>
      <c r="G6" s="2194" t="s">
        <v>639</v>
      </c>
      <c r="H6" s="3937"/>
      <c r="I6" s="3938"/>
      <c r="J6" s="3953"/>
      <c r="K6" s="3938"/>
      <c r="L6" s="3953"/>
      <c r="M6" s="3938"/>
      <c r="N6" s="3953"/>
      <c r="O6" s="3938"/>
      <c r="P6" s="3953"/>
      <c r="Q6" s="3938"/>
      <c r="R6" s="3953"/>
      <c r="S6" s="3938"/>
    </row>
    <row r="7" spans="1:19" x14ac:dyDescent="0.35">
      <c r="A7" s="2283" t="s">
        <v>641</v>
      </c>
      <c r="B7" s="2196"/>
      <c r="C7" s="2285"/>
      <c r="D7" s="2285"/>
      <c r="E7" s="2285"/>
      <c r="F7" s="2285"/>
      <c r="G7" s="2194" t="s">
        <v>642</v>
      </c>
      <c r="H7" s="3934"/>
      <c r="I7" s="3935"/>
      <c r="J7" s="3955"/>
      <c r="K7" s="3935"/>
      <c r="L7" s="3955"/>
      <c r="M7" s="3935"/>
      <c r="N7" s="3955"/>
      <c r="O7" s="3935"/>
      <c r="P7" s="3955"/>
      <c r="Q7" s="3935"/>
      <c r="R7" s="3955"/>
      <c r="S7" s="3935"/>
    </row>
    <row r="8" spans="1:19" ht="15" thickBot="1" x14ac:dyDescent="0.4">
      <c r="A8" s="938" t="s">
        <v>644</v>
      </c>
      <c r="B8" s="939"/>
      <c r="C8" s="940"/>
      <c r="D8" s="940"/>
      <c r="E8" s="940"/>
      <c r="F8" s="940"/>
      <c r="G8" s="938" t="s">
        <v>644</v>
      </c>
      <c r="H8" s="3945">
        <f>I58</f>
        <v>0</v>
      </c>
      <c r="I8" s="3944"/>
      <c r="J8" s="3945">
        <f>K58</f>
        <v>0</v>
      </c>
      <c r="K8" s="3944"/>
      <c r="L8" s="3945">
        <f>M58</f>
        <v>0</v>
      </c>
      <c r="M8" s="3944"/>
      <c r="N8" s="3945">
        <f>O58</f>
        <v>0</v>
      </c>
      <c r="O8" s="3944"/>
      <c r="P8" s="3945">
        <f>Q58</f>
        <v>0</v>
      </c>
      <c r="Q8" s="3944"/>
      <c r="R8" s="3945">
        <f>S58</f>
        <v>0</v>
      </c>
      <c r="S8" s="3944"/>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2286"/>
      <c r="B10" s="2828" t="s">
        <v>653</v>
      </c>
      <c r="C10" s="2285"/>
      <c r="D10" s="2285"/>
      <c r="E10" s="2285"/>
      <c r="F10" s="2285"/>
      <c r="G10" s="2198"/>
      <c r="H10" s="2107"/>
      <c r="I10" s="2107"/>
      <c r="J10" s="2107"/>
      <c r="K10" s="2107"/>
      <c r="L10" s="2107"/>
      <c r="M10" s="2107"/>
      <c r="N10" s="2107"/>
      <c r="O10" s="2107"/>
      <c r="P10" s="2107"/>
      <c r="Q10" s="2107"/>
      <c r="R10" s="2107"/>
      <c r="S10" s="2107"/>
    </row>
    <row r="11" spans="1:19"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row>
    <row r="12" spans="1:19"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row>
    <row r="13" spans="1:19"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row>
    <row r="14" spans="1:19"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row>
    <row r="15" spans="1:19"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row>
    <row r="16" spans="1:19"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row>
    <row r="17" spans="1:19"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row>
    <row r="18" spans="1:19"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row>
    <row r="19" spans="1:19"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row>
    <row r="20" spans="1:19" ht="15" thickTop="1" x14ac:dyDescent="0.35">
      <c r="A20" s="2829"/>
      <c r="B20" s="2284"/>
      <c r="C20" s="2201"/>
      <c r="D20" s="2285"/>
      <c r="E20" s="2285"/>
      <c r="F20" s="2285"/>
      <c r="G20" s="2198"/>
      <c r="H20" s="2107"/>
      <c r="I20" s="2107"/>
      <c r="J20" s="2107"/>
      <c r="K20" s="2107"/>
      <c r="L20" s="2107"/>
      <c r="M20" s="2107"/>
      <c r="N20" s="2107"/>
      <c r="O20" s="2107"/>
      <c r="P20" s="2107"/>
      <c r="Q20" s="2107"/>
      <c r="R20" s="2107"/>
      <c r="S20" s="2107"/>
    </row>
    <row r="21" spans="1:19" ht="15" thickBot="1" x14ac:dyDescent="0.4">
      <c r="A21" s="2830"/>
      <c r="B21" s="2203" t="s">
        <v>3151</v>
      </c>
      <c r="C21" s="45"/>
      <c r="D21" s="46"/>
      <c r="E21" s="46"/>
      <c r="F21" s="46"/>
      <c r="G21" s="52"/>
      <c r="H21" s="2331"/>
      <c r="I21" s="2831"/>
      <c r="J21" s="2331"/>
      <c r="K21" s="2832"/>
      <c r="L21" s="2331"/>
      <c r="M21" s="2832"/>
      <c r="N21" s="2832"/>
      <c r="O21" s="2832"/>
      <c r="P21" s="2832"/>
      <c r="Q21" s="2832"/>
      <c r="R21" s="2832"/>
      <c r="S21" s="2832"/>
    </row>
    <row r="22" spans="1:19" x14ac:dyDescent="0.35">
      <c r="A22" s="2830"/>
      <c r="B22" s="606" t="s">
        <v>657</v>
      </c>
      <c r="C22" s="2201"/>
      <c r="D22" s="2285"/>
      <c r="E22" s="2285"/>
      <c r="F22" s="2285"/>
      <c r="G22" s="2198"/>
      <c r="H22" s="2331"/>
      <c r="I22" s="2831"/>
      <c r="J22" s="2331"/>
      <c r="K22" s="2832"/>
      <c r="L22" s="2331"/>
      <c r="M22" s="2832"/>
      <c r="N22" s="2832"/>
      <c r="O22" s="2832"/>
      <c r="P22" s="2832"/>
      <c r="Q22" s="2832"/>
      <c r="R22" s="2832"/>
      <c r="S22" s="2832"/>
    </row>
    <row r="23" spans="1:19" x14ac:dyDescent="0.35">
      <c r="A23" s="2830"/>
      <c r="B23" s="2813" t="s">
        <v>658</v>
      </c>
      <c r="C23" s="2201"/>
      <c r="D23" s="2285"/>
      <c r="E23" s="2285"/>
      <c r="F23" s="2285"/>
      <c r="G23" s="2198"/>
      <c r="H23" s="2331"/>
      <c r="I23" s="2831"/>
      <c r="J23" s="2331"/>
      <c r="K23" s="2832"/>
      <c r="L23" s="2331"/>
      <c r="M23" s="2832"/>
      <c r="N23" s="2832"/>
      <c r="O23" s="2832"/>
      <c r="P23" s="2832"/>
      <c r="Q23" s="2832"/>
      <c r="R23" s="2832"/>
      <c r="S23" s="2832"/>
    </row>
    <row r="24" spans="1:19" x14ac:dyDescent="0.35">
      <c r="A24" s="2830"/>
      <c r="B24" s="2813" t="s">
        <v>659</v>
      </c>
      <c r="C24" s="2208"/>
      <c r="D24" s="2285"/>
      <c r="E24" s="2285"/>
      <c r="F24" s="2285"/>
      <c r="G24" s="2198"/>
      <c r="H24" s="2331"/>
      <c r="I24" s="2831"/>
      <c r="J24" s="2331"/>
      <c r="K24" s="2832"/>
      <c r="L24" s="2331"/>
      <c r="M24" s="2832"/>
      <c r="N24" s="2832"/>
      <c r="O24" s="2832"/>
      <c r="P24" s="2832"/>
      <c r="Q24" s="2832"/>
      <c r="R24" s="2832"/>
      <c r="S24" s="2832"/>
    </row>
    <row r="25" spans="1:19" x14ac:dyDescent="0.35">
      <c r="A25" s="2829"/>
      <c r="B25" s="2814" t="s">
        <v>660</v>
      </c>
      <c r="C25" s="2208"/>
      <c r="D25" s="2285"/>
      <c r="E25" s="2285"/>
      <c r="F25" s="2285"/>
      <c r="G25" s="2198"/>
      <c r="H25" s="2331"/>
      <c r="I25" s="2831"/>
      <c r="J25" s="2331"/>
      <c r="K25" s="2832"/>
      <c r="L25" s="2331"/>
      <c r="M25" s="2832"/>
      <c r="N25" s="2832"/>
      <c r="O25" s="2832"/>
      <c r="P25" s="2832"/>
      <c r="Q25" s="2832"/>
      <c r="R25" s="2832"/>
      <c r="S25" s="2832"/>
    </row>
    <row r="26" spans="1:19" s="77" customFormat="1" x14ac:dyDescent="0.35">
      <c r="A26" s="2830"/>
      <c r="B26" s="2814" t="s">
        <v>661</v>
      </c>
      <c r="C26" s="2211"/>
      <c r="D26" s="2212"/>
      <c r="E26" s="2212"/>
      <c r="F26" s="2212"/>
      <c r="G26" s="2211"/>
      <c r="H26" s="2331"/>
      <c r="I26" s="2831"/>
      <c r="J26" s="2334"/>
      <c r="K26" s="2815"/>
      <c r="L26" s="2334"/>
      <c r="M26" s="2815"/>
      <c r="N26" s="2815"/>
      <c r="O26" s="2815"/>
      <c r="P26" s="2815"/>
      <c r="Q26" s="2815"/>
      <c r="R26" s="2815"/>
      <c r="S26" s="2815"/>
    </row>
    <row r="27" spans="1:19" s="77" customFormat="1" x14ac:dyDescent="0.35">
      <c r="A27" s="2830"/>
      <c r="B27" s="2814" t="s">
        <v>662</v>
      </c>
      <c r="C27" s="2211"/>
      <c r="D27" s="2212"/>
      <c r="E27" s="2212"/>
      <c r="F27" s="2212"/>
      <c r="G27" s="2211"/>
      <c r="H27" s="2331"/>
      <c r="I27" s="2831"/>
      <c r="J27" s="2334"/>
      <c r="K27" s="2815"/>
      <c r="L27" s="2334"/>
      <c r="M27" s="2815"/>
      <c r="N27" s="2815"/>
      <c r="O27" s="2815"/>
      <c r="P27" s="2815"/>
      <c r="Q27" s="2815"/>
      <c r="R27" s="2815"/>
      <c r="S27" s="2815"/>
    </row>
    <row r="28" spans="1:19" s="77" customFormat="1" x14ac:dyDescent="0.35">
      <c r="A28" s="2830"/>
      <c r="B28" s="2814" t="s">
        <v>663</v>
      </c>
      <c r="C28" s="2211"/>
      <c r="D28" s="2212"/>
      <c r="E28" s="2212"/>
      <c r="F28" s="2212"/>
      <c r="G28" s="2211"/>
      <c r="H28" s="2331"/>
      <c r="I28" s="2831"/>
      <c r="J28" s="2334"/>
      <c r="K28" s="2815"/>
      <c r="L28" s="2334"/>
      <c r="M28" s="2815"/>
      <c r="N28" s="2815"/>
      <c r="O28" s="2815"/>
      <c r="P28" s="2815"/>
      <c r="Q28" s="2815"/>
      <c r="R28" s="2815"/>
      <c r="S28" s="2815"/>
    </row>
    <row r="29" spans="1:19" s="77" customFormat="1" x14ac:dyDescent="0.35">
      <c r="A29" s="2830"/>
      <c r="B29" s="2816" t="s">
        <v>664</v>
      </c>
      <c r="C29" s="2211"/>
      <c r="D29" s="2212"/>
      <c r="E29" s="2212"/>
      <c r="F29" s="2212"/>
      <c r="G29" s="2211"/>
      <c r="H29" s="2331"/>
      <c r="I29" s="2331"/>
      <c r="J29" s="2334"/>
      <c r="K29" s="2815"/>
      <c r="L29" s="2334"/>
      <c r="M29" s="2815"/>
      <c r="N29" s="2815"/>
      <c r="O29" s="2815"/>
      <c r="P29" s="2815"/>
      <c r="Q29" s="2815"/>
      <c r="R29" s="2815"/>
      <c r="S29" s="2815"/>
    </row>
    <row r="30" spans="1:19" s="77" customFormat="1" x14ac:dyDescent="0.35">
      <c r="A30" s="2830"/>
      <c r="B30" s="2817" t="s">
        <v>665</v>
      </c>
      <c r="C30" s="2216"/>
      <c r="D30" s="2217"/>
      <c r="E30" s="2217"/>
      <c r="F30" s="2217"/>
      <c r="G30" s="2216"/>
      <c r="H30" s="2288"/>
      <c r="I30" s="2818"/>
      <c r="J30" s="2289"/>
      <c r="K30" s="2819"/>
      <c r="L30" s="2289"/>
      <c r="M30" s="2819"/>
      <c r="N30" s="2819"/>
      <c r="O30" s="2819"/>
      <c r="P30" s="2819"/>
      <c r="Q30" s="2819"/>
      <c r="R30" s="2819"/>
      <c r="S30" s="2819"/>
    </row>
    <row r="31" spans="1:19" s="77" customFormat="1" x14ac:dyDescent="0.35">
      <c r="A31" s="2830"/>
      <c r="B31" s="127"/>
      <c r="C31" s="2211"/>
      <c r="D31" s="2212"/>
      <c r="E31" s="2212"/>
      <c r="F31" s="2212"/>
      <c r="G31" s="2211"/>
      <c r="H31" s="2331"/>
      <c r="I31" s="2831"/>
      <c r="J31" s="2334"/>
      <c r="K31" s="2815"/>
      <c r="L31" s="2334"/>
      <c r="M31" s="2815"/>
      <c r="N31" s="2815"/>
      <c r="O31" s="2815"/>
      <c r="P31" s="2815"/>
      <c r="Q31" s="2815"/>
      <c r="R31" s="2815"/>
      <c r="S31" s="2815"/>
    </row>
    <row r="32" spans="1:19" s="77" customFormat="1" x14ac:dyDescent="0.35">
      <c r="A32" s="2692"/>
      <c r="B32" s="2772"/>
      <c r="C32" s="2236"/>
      <c r="D32" s="2212"/>
      <c r="E32" s="2212"/>
      <c r="F32" s="2212"/>
      <c r="G32" s="2211"/>
      <c r="H32" s="2331"/>
      <c r="I32" s="2831"/>
      <c r="J32" s="2334"/>
      <c r="K32" s="2815"/>
      <c r="L32" s="2334"/>
      <c r="M32" s="2815"/>
      <c r="N32" s="2815"/>
      <c r="O32" s="2815"/>
      <c r="P32" s="2815"/>
      <c r="Q32" s="2815"/>
      <c r="R32" s="2815"/>
      <c r="S32" s="2815"/>
    </row>
    <row r="33" spans="1:19" s="77" customFormat="1" x14ac:dyDescent="0.35">
      <c r="A33" s="2692"/>
      <c r="B33" s="2772"/>
      <c r="C33" s="2236"/>
      <c r="D33" s="2212"/>
      <c r="E33" s="2212"/>
      <c r="F33" s="2212"/>
      <c r="G33" s="2211"/>
      <c r="H33" s="2331"/>
      <c r="I33" s="2831"/>
      <c r="J33" s="2334"/>
      <c r="K33" s="2815"/>
      <c r="L33" s="2334"/>
      <c r="M33" s="2815"/>
      <c r="N33" s="2815"/>
      <c r="O33" s="2815"/>
      <c r="P33" s="2815"/>
      <c r="Q33" s="2815"/>
      <c r="R33" s="2815"/>
      <c r="S33" s="2815"/>
    </row>
    <row r="34" spans="1:19" s="77" customFormat="1" x14ac:dyDescent="0.35">
      <c r="A34" s="2692"/>
      <c r="B34" s="2772"/>
      <c r="C34" s="2236"/>
      <c r="D34" s="2212"/>
      <c r="E34" s="2212"/>
      <c r="F34" s="2212"/>
      <c r="G34" s="2211"/>
      <c r="H34" s="2331"/>
      <c r="I34" s="2831"/>
      <c r="J34" s="2334"/>
      <c r="K34" s="2815"/>
      <c r="L34" s="2334"/>
      <c r="M34" s="2815"/>
      <c r="N34" s="2815"/>
      <c r="O34" s="2815"/>
      <c r="P34" s="2815"/>
      <c r="Q34" s="2815"/>
      <c r="R34" s="2815"/>
      <c r="S34" s="2815"/>
    </row>
    <row r="35" spans="1:19" s="77" customFormat="1" x14ac:dyDescent="0.35">
      <c r="A35" s="2692"/>
      <c r="B35" s="2772"/>
      <c r="C35" s="2236"/>
      <c r="D35" s="2212"/>
      <c r="E35" s="2212"/>
      <c r="F35" s="2212"/>
      <c r="G35" s="2211"/>
      <c r="H35" s="2331"/>
      <c r="I35" s="2831"/>
      <c r="J35" s="2334"/>
      <c r="K35" s="2815"/>
      <c r="L35" s="2334"/>
      <c r="M35" s="2815"/>
      <c r="N35" s="2815"/>
      <c r="O35" s="2815"/>
      <c r="P35" s="2815"/>
      <c r="Q35" s="2815"/>
      <c r="R35" s="2815"/>
      <c r="S35" s="2815"/>
    </row>
    <row r="36" spans="1:19" s="77" customFormat="1" x14ac:dyDescent="0.35">
      <c r="A36" s="2692"/>
      <c r="B36" s="2772"/>
      <c r="C36" s="2236"/>
      <c r="D36" s="2212"/>
      <c r="E36" s="2212"/>
      <c r="F36" s="2212"/>
      <c r="G36" s="2211"/>
      <c r="H36" s="2331"/>
      <c r="I36" s="2831"/>
      <c r="J36" s="2334"/>
      <c r="K36" s="2815"/>
      <c r="L36" s="2334"/>
      <c r="M36" s="2815"/>
      <c r="N36" s="2815"/>
      <c r="O36" s="2815"/>
      <c r="P36" s="2815"/>
      <c r="Q36" s="2815"/>
      <c r="R36" s="2815"/>
      <c r="S36" s="2815"/>
    </row>
    <row r="37" spans="1:19" s="77" customFormat="1" x14ac:dyDescent="0.35">
      <c r="A37" s="2692"/>
      <c r="B37" s="2772"/>
      <c r="C37" s="2236"/>
      <c r="D37" s="2212"/>
      <c r="E37" s="2341"/>
      <c r="F37" s="2342"/>
      <c r="G37" s="2211"/>
      <c r="H37" s="2331"/>
      <c r="I37" s="2831"/>
      <c r="J37" s="2334"/>
      <c r="K37" s="2815"/>
      <c r="L37" s="2334"/>
      <c r="M37" s="2815"/>
      <c r="N37" s="2815"/>
      <c r="O37" s="2815"/>
      <c r="P37" s="2815"/>
      <c r="Q37" s="2815"/>
      <c r="R37" s="2815"/>
      <c r="S37" s="2815"/>
    </row>
    <row r="38" spans="1:19" s="77" customFormat="1" x14ac:dyDescent="0.35">
      <c r="A38" s="2692"/>
      <c r="B38" s="2772"/>
      <c r="C38" s="2236"/>
      <c r="D38" s="2212"/>
      <c r="E38" s="2341"/>
      <c r="F38" s="2342"/>
      <c r="G38" s="2211"/>
      <c r="H38" s="2331"/>
      <c r="I38" s="2831"/>
      <c r="J38" s="2334"/>
      <c r="K38" s="2815"/>
      <c r="L38" s="2334"/>
      <c r="M38" s="2815"/>
      <c r="N38" s="2815"/>
      <c r="O38" s="2815"/>
      <c r="P38" s="2815"/>
      <c r="Q38" s="2815"/>
      <c r="R38" s="2815"/>
      <c r="S38" s="2815"/>
    </row>
    <row r="39" spans="1:19" s="77" customFormat="1" x14ac:dyDescent="0.35">
      <c r="A39" s="2692"/>
      <c r="B39" s="2772"/>
      <c r="C39" s="2236"/>
      <c r="D39" s="2212"/>
      <c r="E39" s="2341"/>
      <c r="F39" s="2342"/>
      <c r="G39" s="2211"/>
      <c r="H39" s="2331"/>
      <c r="I39" s="2831"/>
      <c r="J39" s="2334"/>
      <c r="K39" s="2815"/>
      <c r="L39" s="2334"/>
      <c r="M39" s="2815"/>
      <c r="N39" s="2815"/>
      <c r="O39" s="2815"/>
      <c r="P39" s="2815"/>
      <c r="Q39" s="2815"/>
      <c r="R39" s="2815"/>
      <c r="S39" s="2815"/>
    </row>
    <row r="40" spans="1:19" s="77" customFormat="1" x14ac:dyDescent="0.35">
      <c r="A40" s="2692"/>
      <c r="B40" s="2772"/>
      <c r="C40" s="2236"/>
      <c r="D40" s="2212"/>
      <c r="E40" s="2341"/>
      <c r="F40" s="2342"/>
      <c r="G40" s="2211"/>
      <c r="H40" s="2331"/>
      <c r="I40" s="2831"/>
      <c r="J40" s="2334"/>
      <c r="K40" s="2815"/>
      <c r="L40" s="2334"/>
      <c r="M40" s="2815"/>
      <c r="N40" s="2815"/>
      <c r="O40" s="2815"/>
      <c r="P40" s="2815"/>
      <c r="Q40" s="2815"/>
      <c r="R40" s="2815"/>
      <c r="S40" s="2815"/>
    </row>
    <row r="41" spans="1:19" s="77" customFormat="1" x14ac:dyDescent="0.35">
      <c r="A41" s="2692"/>
      <c r="B41" s="2772"/>
      <c r="C41" s="2236"/>
      <c r="D41" s="2212"/>
      <c r="E41" s="2341"/>
      <c r="F41" s="2342"/>
      <c r="G41" s="2211"/>
      <c r="H41" s="2331"/>
      <c r="I41" s="2831"/>
      <c r="J41" s="2334"/>
      <c r="K41" s="2815"/>
      <c r="L41" s="2334"/>
      <c r="M41" s="2815"/>
      <c r="N41" s="2815"/>
      <c r="O41" s="2815"/>
      <c r="P41" s="2815"/>
      <c r="Q41" s="2815"/>
      <c r="R41" s="2815"/>
      <c r="S41" s="2815"/>
    </row>
    <row r="42" spans="1:19" s="77" customFormat="1" x14ac:dyDescent="0.35">
      <c r="A42" s="2692"/>
      <c r="B42" s="2772"/>
      <c r="C42" s="2236"/>
      <c r="D42" s="2212"/>
      <c r="E42" s="2341"/>
      <c r="F42" s="2342"/>
      <c r="G42" s="2211"/>
      <c r="H42" s="2331"/>
      <c r="I42" s="2831"/>
      <c r="J42" s="2334"/>
      <c r="K42" s="2815"/>
      <c r="L42" s="2334"/>
      <c r="M42" s="2815"/>
      <c r="N42" s="2815"/>
      <c r="O42" s="2815"/>
      <c r="P42" s="2815"/>
      <c r="Q42" s="2815"/>
      <c r="R42" s="2815"/>
      <c r="S42" s="2815"/>
    </row>
    <row r="43" spans="1:19" s="77" customFormat="1" x14ac:dyDescent="0.35">
      <c r="A43" s="2692"/>
      <c r="B43" s="2772"/>
      <c r="C43" s="2236"/>
      <c r="D43" s="2212"/>
      <c r="E43" s="2341"/>
      <c r="F43" s="2342"/>
      <c r="G43" s="2211"/>
      <c r="H43" s="2331"/>
      <c r="I43" s="2831"/>
      <c r="J43" s="2334"/>
      <c r="K43" s="2815"/>
      <c r="L43" s="2334"/>
      <c r="M43" s="2815"/>
      <c r="N43" s="2815"/>
      <c r="O43" s="2815"/>
      <c r="P43" s="2815"/>
      <c r="Q43" s="2815"/>
      <c r="R43" s="2815"/>
      <c r="S43" s="2815"/>
    </row>
    <row r="44" spans="1:19" s="77" customFormat="1" x14ac:dyDescent="0.35">
      <c r="A44" s="2692"/>
      <c r="B44" s="2772"/>
      <c r="C44" s="2236"/>
      <c r="D44" s="2212"/>
      <c r="E44" s="2341"/>
      <c r="F44" s="2342"/>
      <c r="G44" s="2211"/>
      <c r="H44" s="2331"/>
      <c r="I44" s="2831"/>
      <c r="J44" s="2334"/>
      <c r="K44" s="2815"/>
      <c r="L44" s="2334"/>
      <c r="M44" s="2815"/>
      <c r="N44" s="2815"/>
      <c r="O44" s="2815"/>
      <c r="P44" s="2815"/>
      <c r="Q44" s="2815"/>
      <c r="R44" s="2815"/>
      <c r="S44" s="2815"/>
    </row>
    <row r="45" spans="1:19" s="77" customFormat="1" x14ac:dyDescent="0.35">
      <c r="A45" s="2692"/>
      <c r="B45" s="2772"/>
      <c r="C45" s="2236"/>
      <c r="D45" s="2212"/>
      <c r="E45" s="2341"/>
      <c r="F45" s="2342"/>
      <c r="G45" s="2211"/>
      <c r="H45" s="2331"/>
      <c r="I45" s="2831"/>
      <c r="J45" s="2334"/>
      <c r="K45" s="2815"/>
      <c r="L45" s="2334"/>
      <c r="M45" s="2815"/>
      <c r="N45" s="2815"/>
      <c r="O45" s="2815"/>
      <c r="P45" s="2815"/>
      <c r="Q45" s="2815"/>
      <c r="R45" s="2815"/>
      <c r="S45" s="2815"/>
    </row>
    <row r="46" spans="1:19" s="77" customFormat="1" x14ac:dyDescent="0.35">
      <c r="A46" s="2692"/>
      <c r="B46" s="2772"/>
      <c r="C46" s="2236"/>
      <c r="D46" s="2212"/>
      <c r="E46" s="2341"/>
      <c r="F46" s="2342"/>
      <c r="G46" s="2211"/>
      <c r="H46" s="2331"/>
      <c r="I46" s="2831"/>
      <c r="J46" s="2334"/>
      <c r="K46" s="2815"/>
      <c r="L46" s="2334"/>
      <c r="M46" s="2815"/>
      <c r="N46" s="2815"/>
      <c r="O46" s="2815"/>
      <c r="P46" s="2815"/>
      <c r="Q46" s="2815"/>
      <c r="R46" s="2815"/>
      <c r="S46" s="2815"/>
    </row>
    <row r="47" spans="1:19" s="77" customFormat="1" x14ac:dyDescent="0.35">
      <c r="A47" s="2692"/>
      <c r="B47" s="2772"/>
      <c r="C47" s="2236"/>
      <c r="D47" s="2212"/>
      <c r="E47" s="2341"/>
      <c r="F47" s="2342"/>
      <c r="G47" s="2211"/>
      <c r="H47" s="2331"/>
      <c r="I47" s="2831"/>
      <c r="J47" s="2334"/>
      <c r="K47" s="2815"/>
      <c r="L47" s="2334"/>
      <c r="M47" s="2815"/>
      <c r="N47" s="2815"/>
      <c r="O47" s="2815"/>
      <c r="P47" s="2815"/>
      <c r="Q47" s="2815"/>
      <c r="R47" s="2815"/>
      <c r="S47" s="2815"/>
    </row>
    <row r="48" spans="1:19" s="77" customFormat="1" x14ac:dyDescent="0.35">
      <c r="A48" s="2692"/>
      <c r="B48" s="2772"/>
      <c r="C48" s="2236"/>
      <c r="D48" s="2212"/>
      <c r="E48" s="2341"/>
      <c r="F48" s="2342"/>
      <c r="G48" s="2211"/>
      <c r="H48" s="2331"/>
      <c r="I48" s="2831"/>
      <c r="J48" s="2334"/>
      <c r="K48" s="2815"/>
      <c r="L48" s="2334"/>
      <c r="M48" s="2815"/>
      <c r="N48" s="2815"/>
      <c r="O48" s="2815"/>
      <c r="P48" s="2815"/>
      <c r="Q48" s="2815"/>
      <c r="R48" s="2815"/>
      <c r="S48" s="2815"/>
    </row>
    <row r="49" spans="1:19" s="77" customFormat="1" x14ac:dyDescent="0.35">
      <c r="A49" s="2692"/>
      <c r="B49" s="2772"/>
      <c r="C49" s="2236"/>
      <c r="D49" s="2212"/>
      <c r="E49" s="2341"/>
      <c r="F49" s="2342"/>
      <c r="G49" s="2211"/>
      <c r="H49" s="2331"/>
      <c r="I49" s="2831"/>
      <c r="J49" s="2334"/>
      <c r="K49" s="2815"/>
      <c r="L49" s="2334"/>
      <c r="M49" s="2815"/>
      <c r="N49" s="2815"/>
      <c r="O49" s="2815"/>
      <c r="P49" s="2815"/>
      <c r="Q49" s="2815"/>
      <c r="R49" s="2815"/>
      <c r="S49" s="2815"/>
    </row>
    <row r="50" spans="1:19" s="77" customFormat="1" x14ac:dyDescent="0.35">
      <c r="A50" s="2692"/>
      <c r="B50" s="2772"/>
      <c r="C50" s="2236"/>
      <c r="D50" s="2212"/>
      <c r="E50" s="2341"/>
      <c r="F50" s="2342"/>
      <c r="G50" s="2211"/>
      <c r="H50" s="2331"/>
      <c r="I50" s="2831"/>
      <c r="J50" s="2334"/>
      <c r="K50" s="2815"/>
      <c r="L50" s="2334"/>
      <c r="M50" s="2815"/>
      <c r="N50" s="2815"/>
      <c r="O50" s="2815"/>
      <c r="P50" s="2815"/>
      <c r="Q50" s="2815"/>
      <c r="R50" s="2815"/>
      <c r="S50" s="2815"/>
    </row>
    <row r="51" spans="1:19" s="77" customFormat="1" x14ac:dyDescent="0.35">
      <c r="A51" s="2692"/>
      <c r="B51" s="2340"/>
      <c r="C51" s="2236"/>
      <c r="D51" s="2212"/>
      <c r="E51" s="2341"/>
      <c r="F51" s="2342"/>
      <c r="G51" s="2211"/>
      <c r="H51" s="2331"/>
      <c r="I51" s="2831"/>
      <c r="J51" s="2334"/>
      <c r="K51" s="2815"/>
      <c r="L51" s="2334"/>
      <c r="M51" s="2815"/>
      <c r="N51" s="2815"/>
      <c r="O51" s="2815"/>
      <c r="P51" s="2815"/>
      <c r="Q51" s="2815"/>
      <c r="R51" s="2815"/>
      <c r="S51" s="2815"/>
    </row>
    <row r="52" spans="1:19" s="77" customFormat="1" x14ac:dyDescent="0.35">
      <c r="A52" s="2692"/>
      <c r="B52" s="2340"/>
      <c r="C52" s="2236"/>
      <c r="D52" s="2212"/>
      <c r="E52" s="2341"/>
      <c r="F52" s="2342"/>
      <c r="G52" s="2211"/>
      <c r="H52" s="2331"/>
      <c r="I52" s="2831"/>
      <c r="J52" s="2334"/>
      <c r="K52" s="2815"/>
      <c r="L52" s="2334"/>
      <c r="M52" s="2815"/>
      <c r="N52" s="2815"/>
      <c r="O52" s="2815"/>
      <c r="P52" s="2815"/>
      <c r="Q52" s="2815"/>
      <c r="R52" s="2815"/>
      <c r="S52" s="2815"/>
    </row>
    <row r="53" spans="1:19" s="77" customFormat="1" ht="15" thickBot="1" x14ac:dyDescent="0.4">
      <c r="A53" s="2692"/>
      <c r="B53" s="2340"/>
      <c r="C53" s="2236"/>
      <c r="D53" s="2212"/>
      <c r="E53" s="2341"/>
      <c r="F53" s="2342"/>
      <c r="G53" s="2211"/>
      <c r="H53" s="2331"/>
      <c r="I53" s="2831"/>
      <c r="J53" s="2334"/>
      <c r="K53" s="2815"/>
      <c r="L53" s="2334"/>
      <c r="M53" s="2815"/>
      <c r="N53" s="2815"/>
      <c r="O53" s="2815"/>
      <c r="P53" s="2815"/>
      <c r="Q53" s="2815"/>
      <c r="R53" s="2815"/>
      <c r="S53" s="2815"/>
    </row>
    <row r="54" spans="1:19" ht="15" thickTop="1" x14ac:dyDescent="0.35">
      <c r="A54" s="14"/>
      <c r="B54" s="15"/>
      <c r="C54" s="16"/>
      <c r="D54" s="16"/>
      <c r="E54" s="17"/>
      <c r="F54" s="18" t="s">
        <v>715</v>
      </c>
      <c r="G54" s="19"/>
      <c r="H54" s="20"/>
      <c r="I54" s="50">
        <f>SUM(I23:I53)</f>
        <v>0</v>
      </c>
      <c r="J54" s="20"/>
      <c r="K54" s="50">
        <f>SUM(K23:K53)</f>
        <v>0</v>
      </c>
      <c r="L54" s="20"/>
      <c r="M54" s="50">
        <f>SUM(M23:M53)</f>
        <v>0</v>
      </c>
      <c r="N54" s="20"/>
      <c r="O54" s="50">
        <f>SUM(O23:O53)</f>
        <v>0</v>
      </c>
      <c r="P54" s="20"/>
      <c r="Q54" s="50">
        <f>SUM(Q23:Q53)</f>
        <v>0</v>
      </c>
      <c r="R54" s="20"/>
      <c r="S54" s="50">
        <f>SUM(S23:S53)</f>
        <v>0</v>
      </c>
    </row>
    <row r="55" spans="1:19" x14ac:dyDescent="0.35">
      <c r="A55" s="2239"/>
      <c r="B55" s="2240"/>
      <c r="C55" s="2241"/>
      <c r="D55" s="2241"/>
      <c r="E55" s="2242"/>
      <c r="F55" s="2243" t="s">
        <v>716</v>
      </c>
      <c r="G55" s="2244"/>
      <c r="H55" s="2065">
        <v>0</v>
      </c>
      <c r="I55" s="2064"/>
      <c r="J55" s="2065">
        <v>0</v>
      </c>
      <c r="K55" s="2064"/>
      <c r="L55" s="2065">
        <v>0</v>
      </c>
      <c r="M55" s="2064"/>
      <c r="N55" s="2065">
        <v>0</v>
      </c>
      <c r="O55" s="2064"/>
      <c r="P55" s="2065">
        <v>0</v>
      </c>
      <c r="Q55" s="2064"/>
      <c r="R55" s="2065">
        <v>0</v>
      </c>
      <c r="S55" s="2064"/>
    </row>
    <row r="56" spans="1:19" x14ac:dyDescent="0.35">
      <c r="A56" s="2239"/>
      <c r="B56" s="2240"/>
      <c r="C56" s="2241"/>
      <c r="D56" s="2241"/>
      <c r="E56" s="2242"/>
      <c r="F56" s="2243" t="s">
        <v>717</v>
      </c>
      <c r="G56" s="2244"/>
      <c r="H56" s="2066"/>
      <c r="I56" s="2067">
        <f>H55*I54</f>
        <v>0</v>
      </c>
      <c r="J56" s="2066"/>
      <c r="K56" s="2067">
        <f>J55*K54</f>
        <v>0</v>
      </c>
      <c r="L56" s="2066"/>
      <c r="M56" s="2067">
        <f>L55*M54</f>
        <v>0</v>
      </c>
      <c r="N56" s="2066"/>
      <c r="O56" s="2067">
        <f>N55*O54</f>
        <v>0</v>
      </c>
      <c r="P56" s="2066"/>
      <c r="Q56" s="2067">
        <f>P55*Q54</f>
        <v>0</v>
      </c>
      <c r="R56" s="2066"/>
      <c r="S56" s="2067">
        <f>R55*S54</f>
        <v>0</v>
      </c>
    </row>
    <row r="57" spans="1:19" x14ac:dyDescent="0.35">
      <c r="A57" s="2239"/>
      <c r="B57" s="2240"/>
      <c r="C57" s="2241"/>
      <c r="D57" s="2241"/>
      <c r="E57" s="2242"/>
      <c r="F57" s="2243"/>
      <c r="G57" s="2244"/>
      <c r="H57" s="2066"/>
      <c r="I57" s="2068"/>
      <c r="J57" s="2066"/>
      <c r="K57" s="2068"/>
      <c r="L57" s="2066"/>
      <c r="M57" s="2068"/>
      <c r="N57" s="2066"/>
      <c r="O57" s="2068"/>
      <c r="P57" s="2066"/>
      <c r="Q57" s="2068"/>
      <c r="R57" s="2066"/>
      <c r="S57" s="2068"/>
    </row>
    <row r="58" spans="1:19" x14ac:dyDescent="0.35">
      <c r="A58" s="2239"/>
      <c r="B58" s="2240"/>
      <c r="C58" s="2241"/>
      <c r="D58" s="2241"/>
      <c r="E58" s="2242"/>
      <c r="F58" s="2243" t="s">
        <v>718</v>
      </c>
      <c r="G58" s="2244"/>
      <c r="H58" s="2069"/>
      <c r="I58" s="2070">
        <f>SUM(I54:I56)</f>
        <v>0</v>
      </c>
      <c r="J58" s="2069"/>
      <c r="K58" s="2070">
        <f>SUM(K54:K56)</f>
        <v>0</v>
      </c>
      <c r="L58" s="2069"/>
      <c r="M58" s="2070">
        <f>SUM(M54:M56)</f>
        <v>0</v>
      </c>
      <c r="N58" s="2069"/>
      <c r="O58" s="2070">
        <f>SUM(O54:O56)</f>
        <v>0</v>
      </c>
      <c r="P58" s="2069"/>
      <c r="Q58" s="2070">
        <f>SUM(Q54:Q56)</f>
        <v>0</v>
      </c>
      <c r="R58" s="2069"/>
      <c r="S58" s="2070">
        <f>SUM(S54:S56)</f>
        <v>0</v>
      </c>
    </row>
    <row r="59" spans="1:19" x14ac:dyDescent="0.35">
      <c r="A59" s="2239"/>
      <c r="B59" s="2240"/>
      <c r="C59" s="2241"/>
      <c r="D59" s="2241"/>
      <c r="E59" s="2242"/>
      <c r="F59" s="2255" t="s">
        <v>719</v>
      </c>
      <c r="G59" s="2256"/>
      <c r="H59" s="2073"/>
      <c r="I59" s="2074" t="e">
        <f>I58/#REF!</f>
        <v>#REF!</v>
      </c>
      <c r="J59" s="2073"/>
      <c r="K59" s="2074" t="e">
        <f>K58/#REF!</f>
        <v>#REF!</v>
      </c>
      <c r="L59" s="2073"/>
      <c r="M59" s="2074" t="e">
        <f>M58/#REF!</f>
        <v>#REF!</v>
      </c>
      <c r="N59" s="2073"/>
      <c r="O59" s="2074" t="e">
        <f>O58/#REF!</f>
        <v>#REF!</v>
      </c>
      <c r="P59" s="2073"/>
      <c r="Q59" s="2074" t="e">
        <f>Q58/#REF!</f>
        <v>#REF!</v>
      </c>
      <c r="R59" s="2073"/>
      <c r="S59" s="2074" t="e">
        <f>S58/#REF!</f>
        <v>#REF!</v>
      </c>
    </row>
    <row r="60" spans="1:19" x14ac:dyDescent="0.35">
      <c r="A60" s="2239"/>
      <c r="B60" s="2240"/>
      <c r="C60" s="2241"/>
      <c r="D60" s="2241"/>
      <c r="E60" s="2242"/>
      <c r="F60" s="2255" t="s">
        <v>720</v>
      </c>
      <c r="G60" s="2260"/>
      <c r="H60" s="2073"/>
      <c r="I60" s="2074" t="e">
        <f>I58/#REF!</f>
        <v>#REF!</v>
      </c>
      <c r="J60" s="2073"/>
      <c r="K60" s="2074" t="e">
        <f>K58/#REF!</f>
        <v>#REF!</v>
      </c>
      <c r="L60" s="2073"/>
      <c r="M60" s="2074" t="e">
        <f>M58/#REF!</f>
        <v>#REF!</v>
      </c>
      <c r="N60" s="2073"/>
      <c r="O60" s="2074" t="e">
        <f>O58/#REF!</f>
        <v>#REF!</v>
      </c>
      <c r="P60" s="2073"/>
      <c r="Q60" s="2074" t="e">
        <f>Q58/#REF!</f>
        <v>#REF!</v>
      </c>
      <c r="R60" s="2073"/>
      <c r="S60" s="2074" t="e">
        <f>S58/#REF!</f>
        <v>#REF!</v>
      </c>
    </row>
    <row r="61" spans="1:19" ht="15" thickBot="1" x14ac:dyDescent="0.4">
      <c r="A61" s="2239"/>
      <c r="B61" s="2240"/>
      <c r="C61" s="2241"/>
      <c r="D61" s="2241"/>
      <c r="E61" s="2242"/>
      <c r="F61" s="2243"/>
      <c r="G61" s="2261"/>
      <c r="H61" s="2077"/>
      <c r="I61" s="2078"/>
      <c r="J61" s="2077"/>
      <c r="K61" s="2078"/>
      <c r="L61" s="2077"/>
      <c r="M61" s="2078"/>
      <c r="N61" s="2077"/>
      <c r="O61" s="2078"/>
      <c r="P61" s="2077"/>
      <c r="Q61" s="2078"/>
      <c r="R61" s="2077"/>
      <c r="S61" s="2078"/>
    </row>
    <row r="62" spans="1:19" ht="15.5" thickTop="1" thickBot="1" x14ac:dyDescent="0.4">
      <c r="A62" s="3764" t="s">
        <v>721</v>
      </c>
      <c r="B62" s="3765"/>
      <c r="C62" s="12"/>
      <c r="D62" s="12"/>
      <c r="E62" s="12"/>
      <c r="F62" s="12"/>
      <c r="G62" s="43"/>
      <c r="H62" s="42"/>
      <c r="I62" s="21"/>
      <c r="J62" s="21"/>
      <c r="K62" s="21"/>
      <c r="L62" s="21"/>
      <c r="M62" s="21"/>
      <c r="N62" s="21"/>
      <c r="O62" s="21"/>
      <c r="P62" s="21"/>
      <c r="Q62" s="21"/>
      <c r="R62" s="21"/>
      <c r="S62" s="21"/>
    </row>
    <row r="63" spans="1:19" ht="15" thickTop="1" x14ac:dyDescent="0.35">
      <c r="A63" s="2708"/>
      <c r="B63" s="2284"/>
      <c r="C63" s="2709"/>
      <c r="D63" s="2709"/>
      <c r="E63" s="2709"/>
      <c r="F63" s="2709"/>
      <c r="G63" s="2833"/>
      <c r="H63" s="2834"/>
      <c r="I63" s="2711"/>
      <c r="J63" s="2711"/>
      <c r="K63" s="2711"/>
      <c r="L63" s="2711"/>
      <c r="M63" s="2711"/>
      <c r="N63" s="2711"/>
      <c r="O63" s="2711"/>
      <c r="P63" s="2711"/>
      <c r="Q63" s="2711"/>
      <c r="R63" s="2711"/>
      <c r="S63" s="2711"/>
    </row>
    <row r="64" spans="1:19" s="2" customFormat="1" x14ac:dyDescent="0.35">
      <c r="A64" s="2708"/>
      <c r="B64" s="2284"/>
      <c r="C64" s="2709"/>
      <c r="D64" s="2709"/>
      <c r="E64" s="2709"/>
      <c r="F64" s="2709"/>
      <c r="G64" s="2833"/>
      <c r="H64" s="2834"/>
      <c r="I64" s="2711"/>
      <c r="J64" s="2711"/>
      <c r="K64" s="2711"/>
      <c r="L64" s="2711"/>
      <c r="M64" s="2711"/>
      <c r="N64" s="2711"/>
      <c r="O64" s="2711"/>
      <c r="P64" s="2711"/>
      <c r="Q64" s="2711"/>
      <c r="R64" s="2711"/>
      <c r="S64" s="2711"/>
    </row>
    <row r="65" spans="1:19" s="2" customFormat="1" ht="15" thickBot="1" x14ac:dyDescent="0.4">
      <c r="A65" s="2708"/>
      <c r="B65" s="2284"/>
      <c r="C65" s="2709"/>
      <c r="D65" s="2709"/>
      <c r="E65" s="2709"/>
      <c r="F65" s="2709"/>
      <c r="G65" s="2833"/>
      <c r="H65" s="2834"/>
      <c r="I65" s="2711"/>
      <c r="J65" s="2711"/>
      <c r="K65" s="2711"/>
      <c r="L65" s="2711"/>
      <c r="M65" s="2711"/>
      <c r="N65" s="2711"/>
      <c r="O65" s="2711"/>
      <c r="P65" s="2711"/>
      <c r="Q65" s="2711"/>
      <c r="R65" s="2711"/>
      <c r="S65" s="2711"/>
    </row>
    <row r="66" spans="1:19" ht="15.5" thickTop="1" thickBot="1" x14ac:dyDescent="0.4">
      <c r="A66" s="3764" t="s">
        <v>722</v>
      </c>
      <c r="B66" s="3765"/>
      <c r="C66" s="12"/>
      <c r="D66" s="12"/>
      <c r="E66" s="12"/>
      <c r="F66" s="12"/>
      <c r="G66" s="43"/>
      <c r="H66" s="42"/>
      <c r="I66" s="21"/>
      <c r="J66" s="21"/>
      <c r="K66" s="21"/>
      <c r="L66" s="21"/>
      <c r="M66" s="21"/>
      <c r="N66" s="21"/>
      <c r="O66" s="21"/>
      <c r="P66" s="21"/>
      <c r="Q66" s="21"/>
      <c r="R66" s="21"/>
      <c r="S66" s="21"/>
    </row>
    <row r="67" spans="1:19" s="2" customFormat="1" ht="15" thickTop="1" x14ac:dyDescent="0.35">
      <c r="A67" s="2708"/>
      <c r="B67" s="2284"/>
      <c r="C67" s="2709"/>
      <c r="D67" s="2709"/>
      <c r="E67" s="2709"/>
      <c r="F67" s="2709"/>
      <c r="G67" s="2833"/>
      <c r="H67" s="2834"/>
      <c r="I67" s="2711"/>
      <c r="J67" s="2711"/>
      <c r="K67" s="2711"/>
      <c r="L67" s="2711"/>
      <c r="M67" s="2711"/>
      <c r="N67" s="2711"/>
      <c r="O67" s="2711"/>
      <c r="P67" s="2711"/>
      <c r="Q67" s="2711"/>
      <c r="R67" s="2711"/>
      <c r="S67" s="2711"/>
    </row>
    <row r="68" spans="1:19" s="2" customFormat="1" x14ac:dyDescent="0.35">
      <c r="A68" s="2708"/>
      <c r="B68" s="2284"/>
      <c r="C68" s="2709"/>
      <c r="D68" s="2709"/>
      <c r="E68" s="2709"/>
      <c r="F68" s="2709"/>
      <c r="G68" s="2833"/>
      <c r="H68" s="2834"/>
      <c r="I68" s="2711"/>
      <c r="J68" s="2711"/>
      <c r="K68" s="2711"/>
      <c r="L68" s="2711"/>
      <c r="M68" s="2711"/>
      <c r="N68" s="2711"/>
      <c r="O68" s="2711"/>
      <c r="P68" s="2711"/>
      <c r="Q68" s="2711"/>
      <c r="R68" s="2711"/>
      <c r="S68" s="2711"/>
    </row>
    <row r="69" spans="1:19" ht="15" thickBot="1" x14ac:dyDescent="0.4">
      <c r="A69" s="2708"/>
      <c r="B69" s="2284"/>
      <c r="C69" s="2709"/>
      <c r="D69" s="2709"/>
      <c r="E69" s="2709"/>
      <c r="F69" s="2709"/>
      <c r="G69" s="2833"/>
      <c r="H69" s="2834"/>
      <c r="I69" s="2711"/>
      <c r="J69" s="2711"/>
      <c r="K69" s="2711"/>
      <c r="L69" s="2711"/>
      <c r="M69" s="2711"/>
      <c r="N69" s="2711"/>
      <c r="O69" s="2711"/>
      <c r="P69" s="2711"/>
      <c r="Q69" s="2711"/>
      <c r="R69" s="2711"/>
      <c r="S69" s="2711"/>
    </row>
    <row r="70" spans="1:19" ht="15.5" thickTop="1" thickBot="1" x14ac:dyDescent="0.4">
      <c r="A70" s="3764" t="s">
        <v>723</v>
      </c>
      <c r="B70" s="3765"/>
      <c r="C70" s="12"/>
      <c r="D70" s="12"/>
      <c r="E70" s="12"/>
      <c r="F70" s="12"/>
      <c r="G70" s="43"/>
      <c r="H70" s="42"/>
      <c r="I70" s="21"/>
      <c r="J70" s="21"/>
      <c r="K70" s="21"/>
      <c r="L70" s="21"/>
      <c r="M70" s="21"/>
      <c r="N70" s="21"/>
      <c r="O70" s="21"/>
      <c r="P70" s="21"/>
      <c r="Q70" s="21"/>
      <c r="R70" s="21"/>
      <c r="S70" s="21"/>
    </row>
    <row r="71" spans="1:19" ht="15" thickTop="1" x14ac:dyDescent="0.35">
      <c r="A71" s="2708"/>
      <c r="B71" s="2284"/>
      <c r="C71" s="2709"/>
      <c r="D71" s="2709"/>
      <c r="E71" s="2709"/>
      <c r="F71" s="2709"/>
      <c r="G71" s="2833"/>
      <c r="H71" s="2834"/>
      <c r="I71" s="2711"/>
      <c r="J71" s="2711"/>
      <c r="K71" s="2711"/>
      <c r="L71" s="2711"/>
      <c r="M71" s="2711"/>
      <c r="N71" s="2711"/>
      <c r="O71" s="2711"/>
      <c r="P71" s="2711"/>
      <c r="Q71" s="2711"/>
      <c r="R71" s="2711"/>
      <c r="S71" s="2711"/>
    </row>
    <row r="72" spans="1:19" x14ac:dyDescent="0.35">
      <c r="A72" s="2286"/>
      <c r="B72" s="2284"/>
      <c r="C72" s="2285"/>
      <c r="D72" s="2285"/>
      <c r="E72" s="2285"/>
      <c r="F72" s="2285"/>
      <c r="G72" s="2349"/>
      <c r="H72" s="2268"/>
      <c r="I72" s="2081"/>
      <c r="J72" s="2081"/>
      <c r="K72" s="2081"/>
      <c r="L72" s="2081"/>
      <c r="M72" s="2081"/>
      <c r="N72" s="2081"/>
      <c r="O72" s="2081"/>
      <c r="P72" s="2081"/>
      <c r="Q72" s="2081"/>
      <c r="R72" s="2081"/>
      <c r="S72" s="2081"/>
    </row>
    <row r="73" spans="1:19" ht="15" thickBot="1" x14ac:dyDescent="0.4">
      <c r="A73" s="2269"/>
      <c r="B73" s="2270"/>
      <c r="C73" s="2285"/>
      <c r="D73" s="2285"/>
      <c r="E73" s="2285"/>
      <c r="F73" s="2285"/>
      <c r="G73" s="2349"/>
      <c r="H73" s="2272"/>
      <c r="I73" s="2084"/>
      <c r="J73" s="2084"/>
      <c r="K73" s="2084"/>
      <c r="L73" s="2084"/>
      <c r="M73" s="2084"/>
      <c r="N73" s="2084"/>
      <c r="O73" s="2084"/>
      <c r="P73" s="2084"/>
      <c r="Q73" s="2084"/>
      <c r="R73" s="2084"/>
      <c r="S73" s="2084"/>
    </row>
    <row r="74" spans="1:19" ht="15.5" thickTop="1" thickBot="1" x14ac:dyDescent="0.4">
      <c r="A74" s="3764" t="s">
        <v>724</v>
      </c>
      <c r="B74" s="3765"/>
      <c r="C74" s="12"/>
      <c r="D74" s="12"/>
      <c r="E74" s="12"/>
      <c r="F74" s="12"/>
      <c r="G74" s="43"/>
      <c r="H74" s="42"/>
      <c r="I74" s="21"/>
      <c r="J74" s="21"/>
      <c r="K74" s="21"/>
      <c r="L74" s="21"/>
      <c r="M74" s="21"/>
      <c r="N74" s="21"/>
      <c r="O74" s="21"/>
      <c r="P74" s="21"/>
      <c r="Q74" s="21"/>
      <c r="R74" s="21"/>
      <c r="S74" s="21"/>
    </row>
    <row r="75" spans="1:19" ht="15" thickTop="1" x14ac:dyDescent="0.35">
      <c r="A75" s="2712"/>
      <c r="B75" s="2713"/>
      <c r="C75" s="2709"/>
      <c r="D75" s="2709"/>
      <c r="E75" s="2709"/>
      <c r="F75" s="2709"/>
      <c r="G75" s="2833"/>
      <c r="H75" s="2834"/>
      <c r="I75" s="2711"/>
      <c r="J75" s="2711"/>
      <c r="K75" s="2711"/>
      <c r="L75" s="2711"/>
      <c r="M75" s="2711"/>
      <c r="N75" s="2711"/>
      <c r="O75" s="2711"/>
      <c r="P75" s="2711"/>
      <c r="Q75" s="2711"/>
      <c r="R75" s="2711"/>
      <c r="S75" s="2711"/>
    </row>
    <row r="76" spans="1:19" x14ac:dyDescent="0.35">
      <c r="A76" s="2269"/>
      <c r="B76" s="2270"/>
      <c r="C76" s="2285"/>
      <c r="D76" s="2285"/>
      <c r="E76" s="2285"/>
      <c r="F76" s="2285"/>
      <c r="G76" s="2349"/>
      <c r="H76" s="2274"/>
      <c r="I76" s="2087"/>
      <c r="J76" s="2087"/>
      <c r="K76" s="2087"/>
      <c r="L76" s="2087"/>
      <c r="M76" s="2087"/>
      <c r="N76" s="2087"/>
      <c r="O76" s="2087"/>
      <c r="P76" s="2087"/>
      <c r="Q76" s="2087"/>
      <c r="R76" s="2087"/>
      <c r="S76" s="2087"/>
    </row>
    <row r="77" spans="1:19" ht="15" thickBot="1" x14ac:dyDescent="0.4">
      <c r="A77" s="2269"/>
      <c r="B77" s="2270"/>
      <c r="C77" s="2285"/>
      <c r="D77" s="2285"/>
      <c r="E77" s="2285"/>
      <c r="F77" s="2285"/>
      <c r="G77" s="2349"/>
      <c r="H77" s="2274"/>
      <c r="I77" s="2087"/>
      <c r="J77" s="2087"/>
      <c r="K77" s="2087"/>
      <c r="L77" s="2087"/>
      <c r="M77" s="2087"/>
      <c r="N77" s="2087"/>
      <c r="O77" s="2087"/>
      <c r="P77" s="2087"/>
      <c r="Q77" s="2087"/>
      <c r="R77" s="2087"/>
      <c r="S77" s="2087"/>
    </row>
    <row r="78" spans="1:19" ht="15.5" thickTop="1" thickBot="1" x14ac:dyDescent="0.4">
      <c r="A78" s="3764" t="s">
        <v>725</v>
      </c>
      <c r="B78" s="3765"/>
      <c r="C78" s="12"/>
      <c r="D78" s="12"/>
      <c r="E78" s="12"/>
      <c r="F78" s="12"/>
      <c r="G78" s="43"/>
      <c r="H78" s="42"/>
      <c r="I78" s="21"/>
      <c r="J78" s="21"/>
      <c r="K78" s="21"/>
      <c r="L78" s="21"/>
      <c r="M78" s="21"/>
      <c r="N78" s="21"/>
      <c r="O78" s="21"/>
      <c r="P78" s="21"/>
      <c r="Q78" s="21"/>
      <c r="R78" s="21"/>
      <c r="S78" s="21"/>
    </row>
    <row r="79" spans="1:19" ht="15" thickTop="1" x14ac:dyDescent="0.35">
      <c r="A79" s="2286"/>
      <c r="B79" s="2284" t="s">
        <v>726</v>
      </c>
      <c r="C79" s="2285"/>
      <c r="D79" s="2285"/>
      <c r="E79" s="2285"/>
      <c r="F79" s="2285"/>
      <c r="G79" s="2349"/>
      <c r="H79" s="2274"/>
      <c r="I79" s="2087"/>
      <c r="J79" s="2087"/>
      <c r="K79" s="2087"/>
      <c r="L79" s="2087"/>
      <c r="M79" s="2087"/>
      <c r="N79" s="2087"/>
      <c r="O79" s="2087"/>
      <c r="P79" s="2087"/>
      <c r="Q79" s="2087"/>
      <c r="R79" s="2087"/>
      <c r="S79" s="2087"/>
    </row>
    <row r="80" spans="1:19" x14ac:dyDescent="0.35">
      <c r="A80" s="2286"/>
      <c r="B80" s="2284" t="s">
        <v>727</v>
      </c>
      <c r="C80" s="2285"/>
      <c r="D80" s="2285"/>
      <c r="E80" s="2285"/>
      <c r="F80" s="2285"/>
      <c r="G80" s="2349"/>
      <c r="H80" s="2274"/>
      <c r="I80" s="2087"/>
      <c r="J80" s="2087"/>
      <c r="K80" s="2087"/>
      <c r="L80" s="2087"/>
      <c r="M80" s="2087"/>
      <c r="N80" s="2087"/>
      <c r="O80" s="2087"/>
      <c r="P80" s="2087"/>
      <c r="Q80" s="2087"/>
      <c r="R80" s="2087"/>
      <c r="S80" s="2087"/>
    </row>
    <row r="81" spans="1:19" x14ac:dyDescent="0.35">
      <c r="A81" s="2286"/>
      <c r="B81" s="2284" t="s">
        <v>728</v>
      </c>
      <c r="C81" s="2285"/>
      <c r="D81" s="2285"/>
      <c r="E81" s="2285"/>
      <c r="F81" s="2285"/>
      <c r="G81" s="2349"/>
      <c r="H81" s="2274"/>
      <c r="I81" s="2087"/>
      <c r="J81" s="2087"/>
      <c r="K81" s="2087"/>
      <c r="L81" s="2087"/>
      <c r="M81" s="2087"/>
      <c r="N81" s="2087"/>
      <c r="O81" s="2087"/>
      <c r="P81" s="2087"/>
      <c r="Q81" s="2087"/>
      <c r="R81" s="2087"/>
      <c r="S81" s="2087"/>
    </row>
    <row r="82" spans="1:19" x14ac:dyDescent="0.35">
      <c r="A82" s="2286"/>
      <c r="B82" s="2284" t="s">
        <v>729</v>
      </c>
      <c r="C82" s="2285"/>
      <c r="D82" s="2285"/>
      <c r="E82" s="2285"/>
      <c r="F82" s="2285"/>
      <c r="G82" s="2349"/>
      <c r="H82" s="2274"/>
      <c r="I82" s="2087"/>
      <c r="J82" s="2087"/>
      <c r="K82" s="2087"/>
      <c r="L82" s="2087"/>
      <c r="M82" s="2087"/>
      <c r="N82" s="2087"/>
      <c r="O82" s="2087"/>
      <c r="P82" s="2087"/>
      <c r="Q82" s="2087"/>
      <c r="R82" s="2087"/>
      <c r="S82" s="2087"/>
    </row>
    <row r="83" spans="1:19" ht="15" thickBot="1" x14ac:dyDescent="0.4">
      <c r="A83" s="978"/>
      <c r="B83" s="939"/>
      <c r="C83" s="940"/>
      <c r="D83" s="940"/>
      <c r="E83" s="940"/>
      <c r="F83" s="940"/>
      <c r="G83" s="979"/>
      <c r="H83" s="980"/>
      <c r="I83" s="981"/>
      <c r="J83" s="981"/>
      <c r="K83" s="981"/>
      <c r="L83" s="981"/>
      <c r="M83" s="981"/>
      <c r="N83" s="981"/>
      <c r="O83" s="981"/>
      <c r="P83" s="981"/>
      <c r="Q83" s="981"/>
      <c r="R83" s="981"/>
      <c r="S83" s="981"/>
    </row>
    <row r="84" spans="1:19" ht="15.5" thickTop="1" thickBot="1" x14ac:dyDescent="0.4">
      <c r="A84" s="7" t="s">
        <v>730</v>
      </c>
      <c r="B84" s="8"/>
      <c r="C84" s="12"/>
      <c r="D84" s="12"/>
      <c r="E84" s="12"/>
      <c r="F84" s="12"/>
      <c r="G84" s="43"/>
      <c r="H84" s="42"/>
      <c r="I84" s="21"/>
      <c r="J84" s="21"/>
      <c r="K84" s="21"/>
      <c r="L84" s="21"/>
      <c r="M84" s="21"/>
      <c r="N84" s="21"/>
      <c r="O84" s="21"/>
      <c r="P84" s="21"/>
      <c r="Q84" s="21"/>
      <c r="R84" s="21"/>
      <c r="S84" s="21"/>
    </row>
    <row r="85" spans="1:19" ht="15" thickTop="1" x14ac:dyDescent="0.35">
      <c r="A85" s="2708"/>
      <c r="B85" s="2714" t="s">
        <v>731</v>
      </c>
      <c r="C85" s="2709"/>
      <c r="D85" s="2709"/>
      <c r="E85" s="2709"/>
      <c r="F85" s="2709"/>
      <c r="G85" s="2833"/>
      <c r="H85" s="2832"/>
      <c r="I85" s="2707"/>
      <c r="J85" s="2707"/>
      <c r="K85" s="2707"/>
      <c r="L85" s="2707"/>
      <c r="M85" s="2707"/>
      <c r="N85" s="2707"/>
      <c r="O85" s="2707"/>
      <c r="P85" s="2707"/>
      <c r="Q85" s="2707"/>
      <c r="R85" s="2707"/>
      <c r="S85" s="2707"/>
    </row>
    <row r="86" spans="1:19" x14ac:dyDescent="0.35">
      <c r="A86" s="2286"/>
      <c r="B86" s="2284" t="s">
        <v>732</v>
      </c>
      <c r="C86" s="2285"/>
      <c r="D86" s="2285"/>
      <c r="E86" s="2285"/>
      <c r="F86" s="2285"/>
      <c r="G86" s="2349"/>
      <c r="H86" s="2276"/>
      <c r="I86" s="2158"/>
      <c r="J86" s="2158"/>
      <c r="K86" s="2158"/>
      <c r="L86" s="2158"/>
      <c r="M86" s="2158"/>
      <c r="N86" s="2158"/>
      <c r="O86" s="2158"/>
      <c r="P86" s="2158"/>
      <c r="Q86" s="2158"/>
      <c r="R86" s="2158"/>
      <c r="S86" s="2158"/>
    </row>
    <row r="87" spans="1:19" ht="15" thickBot="1" x14ac:dyDescent="0.4">
      <c r="A87" s="2089"/>
      <c r="B87" s="2090" t="s">
        <v>733</v>
      </c>
      <c r="C87" s="2091"/>
      <c r="D87" s="2091"/>
      <c r="E87" s="2091"/>
      <c r="F87" s="2091"/>
      <c r="G87" s="2350"/>
      <c r="H87" s="2277"/>
      <c r="I87" s="2093"/>
      <c r="J87" s="2093"/>
      <c r="K87" s="2093"/>
      <c r="L87" s="2093"/>
      <c r="M87" s="2093"/>
      <c r="N87" s="2093"/>
      <c r="O87" s="2093"/>
      <c r="P87" s="2093"/>
      <c r="Q87" s="2093"/>
      <c r="R87" s="2093"/>
      <c r="S87" s="2093"/>
    </row>
    <row r="88" spans="1:19" ht="15.5" thickTop="1" thickBot="1" x14ac:dyDescent="0.4"/>
    <row r="89" spans="1:19" ht="15.5" thickTop="1" thickBot="1" x14ac:dyDescent="0.4">
      <c r="A89" s="78" t="s">
        <v>734</v>
      </c>
      <c r="B89" s="80"/>
    </row>
    <row r="90" spans="1:19" ht="15" thickTop="1" x14ac:dyDescent="0.35">
      <c r="A90" s="79" t="s">
        <v>632</v>
      </c>
      <c r="B90" s="2094"/>
    </row>
    <row r="91" spans="1:19" x14ac:dyDescent="0.35">
      <c r="A91" s="2279" t="s">
        <v>636</v>
      </c>
      <c r="B91" s="2094"/>
    </row>
    <row r="92" spans="1:19" x14ac:dyDescent="0.35">
      <c r="A92" s="2096" t="s">
        <v>639</v>
      </c>
      <c r="B92" s="2097"/>
    </row>
    <row r="93" spans="1:19" x14ac:dyDescent="0.35">
      <c r="A93" s="2096" t="s">
        <v>642</v>
      </c>
      <c r="B93" s="2159"/>
    </row>
    <row r="94" spans="1:19" ht="15" thickBot="1" x14ac:dyDescent="0.4">
      <c r="A94" s="2099" t="s">
        <v>735</v>
      </c>
      <c r="B94" s="2100"/>
    </row>
    <row r="95" spans="1:19" ht="15" thickTop="1" x14ac:dyDescent="0.35"/>
    <row r="96" spans="1:19" x14ac:dyDescent="0.35">
      <c r="A96" s="81"/>
      <c r="B96" s="1" t="s">
        <v>736</v>
      </c>
    </row>
    <row r="97" spans="1:2" x14ac:dyDescent="0.35">
      <c r="A97" s="82"/>
      <c r="B97" s="1" t="s">
        <v>737</v>
      </c>
    </row>
  </sheetData>
  <mergeCells count="47">
    <mergeCell ref="A62:B62"/>
    <mergeCell ref="A66:B66"/>
    <mergeCell ref="A70:B70"/>
    <mergeCell ref="A74:B74"/>
    <mergeCell ref="A78:B7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DE4921A3-2112-41F9-9469-923CC900A199}"/>
  </hyperlinks>
  <pageMargins left="0.7" right="0.7" top="0.75" bottom="0.75" header="0.3" footer="0.3"/>
  <pageSetup orientation="portrait"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32B8-4E89-47BC-9F04-55307DDD9162}">
  <sheetPr>
    <tabColor rgb="FF92D050"/>
  </sheetPr>
  <dimension ref="A1:AE116"/>
  <sheetViews>
    <sheetView zoomScale="85" zoomScaleNormal="85" workbookViewId="0">
      <pane xSplit="2" ySplit="19" topLeftCell="C67" activePane="bottomRight" state="frozen"/>
      <selection pane="topRight" activeCell="C1" sqref="C1"/>
      <selection pane="bottomLeft" activeCell="A21" sqref="A21"/>
      <selection pane="bottomRight" activeCell="P79" sqref="P79"/>
    </sheetView>
  </sheetViews>
  <sheetFormatPr defaultRowHeight="14.5" x14ac:dyDescent="0.35"/>
  <cols>
    <col min="1" max="1" width="11" customWidth="1"/>
    <col min="2" max="2" width="70.7265625" style="1" customWidth="1"/>
    <col min="3" max="3" width="10.81640625" style="2" bestFit="1" customWidth="1"/>
    <col min="4" max="4" width="12.54296875" style="2" bestFit="1" customWidth="1"/>
    <col min="5" max="5" width="7.54296875" style="2" customWidth="1"/>
    <col min="6" max="6" width="10.26953125" style="2" customWidth="1"/>
    <col min="7" max="7" width="13.1796875" style="2" bestFit="1"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 min="24" max="24" width="7.453125" style="2" bestFit="1" customWidth="1"/>
    <col min="25" max="25" width="14.81640625" style="2" customWidth="1"/>
    <col min="26" max="26" width="7.453125" style="2" bestFit="1" customWidth="1"/>
    <col min="27" max="27" width="14.81640625" style="2" customWidth="1"/>
    <col min="28" max="28" width="7.453125" style="2" bestFit="1" customWidth="1"/>
    <col min="29" max="29" width="14.81640625" style="2" customWidth="1"/>
    <col min="30" max="30" width="7.453125" style="2" bestFit="1" customWidth="1"/>
    <col min="31" max="31" width="14.81640625" style="2" customWidth="1"/>
  </cols>
  <sheetData>
    <row r="1" spans="1:31" x14ac:dyDescent="0.35">
      <c r="E1" s="152"/>
      <c r="F1" s="125"/>
      <c r="G1" s="123" t="s">
        <v>621</v>
      </c>
      <c r="K1" s="2" t="s">
        <v>770</v>
      </c>
    </row>
    <row r="2" spans="1:31" ht="15.75" customHeight="1" x14ac:dyDescent="0.35">
      <c r="E2" s="152"/>
      <c r="F2" s="122" t="s">
        <v>622</v>
      </c>
      <c r="G2" s="123" t="s">
        <v>451</v>
      </c>
      <c r="H2" s="3866"/>
      <c r="I2" s="3866"/>
      <c r="J2" s="3866"/>
      <c r="K2" s="3866"/>
      <c r="L2" s="3866">
        <v>9545887894</v>
      </c>
      <c r="M2" s="3866"/>
      <c r="N2" s="3866">
        <v>9545887894</v>
      </c>
      <c r="O2" s="3866"/>
      <c r="P2" s="3866"/>
      <c r="Q2" s="3866"/>
      <c r="R2" s="3866"/>
      <c r="S2" s="3866"/>
      <c r="T2" s="3984"/>
      <c r="U2" s="3984"/>
      <c r="V2" s="3984"/>
      <c r="W2" s="3984"/>
      <c r="X2" s="3751"/>
      <c r="Y2" s="3751"/>
      <c r="Z2" s="3751"/>
      <c r="AA2" s="3751"/>
      <c r="AB2" s="3751"/>
      <c r="AC2" s="3751"/>
      <c r="AD2" s="3751"/>
      <c r="AE2" s="3751"/>
    </row>
    <row r="3" spans="1:31" ht="21" customHeight="1" x14ac:dyDescent="0.35">
      <c r="B3" s="137" t="s">
        <v>623</v>
      </c>
      <c r="E3" s="152"/>
      <c r="F3" s="124" t="s">
        <v>624</v>
      </c>
      <c r="G3" s="123" t="s">
        <v>557</v>
      </c>
      <c r="H3" s="3754" t="s">
        <v>625</v>
      </c>
      <c r="I3" s="3755"/>
      <c r="J3" s="3754" t="s">
        <v>625</v>
      </c>
      <c r="K3" s="3755"/>
      <c r="L3" s="3754" t="s">
        <v>628</v>
      </c>
      <c r="M3" s="3755"/>
      <c r="N3" s="3772" t="s">
        <v>628</v>
      </c>
      <c r="O3" s="3773"/>
      <c r="P3" s="3754" t="s">
        <v>626</v>
      </c>
      <c r="Q3" s="3755"/>
      <c r="R3" s="3754" t="s">
        <v>627</v>
      </c>
      <c r="S3" s="3755"/>
      <c r="T3" s="3985" t="s">
        <v>629</v>
      </c>
      <c r="U3" s="3986"/>
      <c r="V3" s="3985" t="s">
        <v>630</v>
      </c>
      <c r="W3" s="3986"/>
      <c r="X3" s="3754" t="s">
        <v>1550</v>
      </c>
      <c r="Y3" s="3755"/>
      <c r="Z3" s="3754" t="s">
        <v>1678</v>
      </c>
      <c r="AA3" s="3755"/>
      <c r="AB3" s="3754" t="s">
        <v>3153</v>
      </c>
      <c r="AC3" s="3755"/>
      <c r="AD3" s="3754" t="s">
        <v>630</v>
      </c>
      <c r="AE3" s="3755"/>
    </row>
    <row r="4" spans="1:31" x14ac:dyDescent="0.35">
      <c r="A4" s="3" t="s">
        <v>631</v>
      </c>
      <c r="B4" s="4" t="str">
        <f>'AREA CALC''s'!B4</f>
        <v>Alton Hilltop Gardens</v>
      </c>
      <c r="C4" s="5"/>
      <c r="D4" s="5"/>
      <c r="E4" s="5"/>
      <c r="F4" s="5"/>
      <c r="G4" s="6" t="s">
        <v>632</v>
      </c>
      <c r="H4" s="3752" t="s">
        <v>3154</v>
      </c>
      <c r="I4" s="3753"/>
      <c r="J4" s="3752" t="s">
        <v>3154</v>
      </c>
      <c r="K4" s="3753"/>
      <c r="L4" s="3752" t="s">
        <v>3155</v>
      </c>
      <c r="M4" s="3753"/>
      <c r="N4" s="3752" t="s">
        <v>3156</v>
      </c>
      <c r="O4" s="3753"/>
      <c r="P4" s="3752" t="s">
        <v>3157</v>
      </c>
      <c r="Q4" s="3753"/>
      <c r="R4" s="3752" t="s">
        <v>3158</v>
      </c>
      <c r="S4" s="3753"/>
      <c r="T4" s="3766" t="s">
        <v>3159</v>
      </c>
      <c r="U4" s="3767"/>
      <c r="V4" s="3766" t="s">
        <v>3160</v>
      </c>
      <c r="W4" s="3767"/>
      <c r="X4" s="3752" t="s">
        <v>3161</v>
      </c>
      <c r="Y4" s="3753"/>
      <c r="Z4" s="3752" t="s">
        <v>3162</v>
      </c>
      <c r="AA4" s="3753"/>
      <c r="AB4" s="3752" t="s">
        <v>3163</v>
      </c>
      <c r="AC4" s="3753"/>
      <c r="AD4" s="3752"/>
      <c r="AE4" s="3753"/>
    </row>
    <row r="5" spans="1:31" x14ac:dyDescent="0.35">
      <c r="A5" s="2283" t="s">
        <v>634</v>
      </c>
      <c r="B5" s="2284" t="s">
        <v>541</v>
      </c>
      <c r="C5" s="2285"/>
      <c r="D5" s="2285"/>
      <c r="E5" s="2285"/>
      <c r="F5" s="2285"/>
      <c r="G5" s="2194" t="s">
        <v>636</v>
      </c>
      <c r="H5" s="3979" t="s">
        <v>3164</v>
      </c>
      <c r="I5" s="3980"/>
      <c r="J5" s="3979" t="s">
        <v>3164</v>
      </c>
      <c r="K5" s="3980"/>
      <c r="L5" s="3931" t="s">
        <v>3165</v>
      </c>
      <c r="M5" s="3932"/>
      <c r="N5" s="3931" t="s">
        <v>3165</v>
      </c>
      <c r="O5" s="3932"/>
      <c r="P5" s="3979" t="s">
        <v>3166</v>
      </c>
      <c r="Q5" s="3980"/>
      <c r="R5" s="3979" t="s">
        <v>3167</v>
      </c>
      <c r="S5" s="3980"/>
      <c r="T5" s="3979" t="s">
        <v>3168</v>
      </c>
      <c r="U5" s="3980"/>
      <c r="V5" s="3979" t="s">
        <v>3169</v>
      </c>
      <c r="W5" s="3980"/>
      <c r="X5" s="3931" t="s">
        <v>3170</v>
      </c>
      <c r="Y5" s="3932"/>
      <c r="Z5" s="3931" t="s">
        <v>3171</v>
      </c>
      <c r="AA5" s="3932"/>
      <c r="AB5" s="3931" t="s">
        <v>3172</v>
      </c>
      <c r="AC5" s="3932"/>
      <c r="AD5" s="3931"/>
      <c r="AE5" s="3932"/>
    </row>
    <row r="6" spans="1:31" x14ac:dyDescent="0.35">
      <c r="A6" s="2283" t="s">
        <v>638</v>
      </c>
      <c r="B6" s="2195" t="s">
        <v>540</v>
      </c>
      <c r="C6" s="2285"/>
      <c r="D6" s="2285"/>
      <c r="E6" s="2285"/>
      <c r="F6" s="2285"/>
      <c r="G6" s="2194" t="s">
        <v>639</v>
      </c>
      <c r="H6" s="3970" t="s">
        <v>3173</v>
      </c>
      <c r="I6" s="3971"/>
      <c r="J6" s="3970" t="s">
        <v>3173</v>
      </c>
      <c r="K6" s="3971"/>
      <c r="L6" s="3937">
        <v>773277823</v>
      </c>
      <c r="M6" s="3938"/>
      <c r="N6" s="3937">
        <v>773277823</v>
      </c>
      <c r="O6" s="3938"/>
      <c r="P6" s="3970">
        <v>9545847910</v>
      </c>
      <c r="Q6" s="3971"/>
      <c r="R6" s="3970">
        <v>9549250113</v>
      </c>
      <c r="S6" s="3971"/>
      <c r="T6" s="3970">
        <v>4073049975</v>
      </c>
      <c r="U6" s="3971"/>
      <c r="V6" s="3970">
        <v>95467839334</v>
      </c>
      <c r="W6" s="3971"/>
      <c r="X6" s="3937">
        <v>7723340577</v>
      </c>
      <c r="Y6" s="3938"/>
      <c r="Z6" s="3937">
        <v>9544199377</v>
      </c>
      <c r="AA6" s="3938"/>
      <c r="AB6" s="3937">
        <v>5617181750</v>
      </c>
      <c r="AC6" s="3938"/>
      <c r="AD6" s="3937"/>
      <c r="AE6" s="3938"/>
    </row>
    <row r="7" spans="1:31" x14ac:dyDescent="0.35">
      <c r="A7" s="2283" t="s">
        <v>641</v>
      </c>
      <c r="B7" s="2196"/>
      <c r="C7" s="2285"/>
      <c r="D7" s="2285"/>
      <c r="E7" s="2285"/>
      <c r="F7" s="2285"/>
      <c r="G7" s="2194" t="s">
        <v>642</v>
      </c>
      <c r="H7" s="3972" t="s">
        <v>3174</v>
      </c>
      <c r="I7" s="3973"/>
      <c r="J7" s="3972" t="s">
        <v>3174</v>
      </c>
      <c r="K7" s="3973"/>
      <c r="L7" s="3974" t="s">
        <v>3175</v>
      </c>
      <c r="M7" s="3973"/>
      <c r="N7" s="3974" t="s">
        <v>3175</v>
      </c>
      <c r="O7" s="3973"/>
      <c r="P7" s="3972" t="s">
        <v>3176</v>
      </c>
      <c r="Q7" s="3973"/>
      <c r="R7" s="3972" t="s">
        <v>3177</v>
      </c>
      <c r="S7" s="3973"/>
      <c r="T7" s="3975" t="s">
        <v>3178</v>
      </c>
      <c r="U7" s="3976"/>
      <c r="V7" s="3975" t="s">
        <v>3179</v>
      </c>
      <c r="W7" s="3976"/>
      <c r="X7" s="3972" t="s">
        <v>3180</v>
      </c>
      <c r="Y7" s="3973"/>
      <c r="Z7" s="3974" t="s">
        <v>3181</v>
      </c>
      <c r="AA7" s="3973"/>
      <c r="AB7" s="3983" t="s">
        <v>3182</v>
      </c>
      <c r="AC7" s="3982"/>
      <c r="AD7" s="3981"/>
      <c r="AE7" s="3982"/>
    </row>
    <row r="8" spans="1:31" x14ac:dyDescent="0.35">
      <c r="A8" s="938" t="s">
        <v>644</v>
      </c>
      <c r="B8" s="939"/>
      <c r="C8" s="940"/>
      <c r="D8" s="940"/>
      <c r="E8" s="940"/>
      <c r="F8" s="940"/>
      <c r="G8" s="1024" t="s">
        <v>644</v>
      </c>
      <c r="H8" s="3945">
        <f>I77</f>
        <v>1863500</v>
      </c>
      <c r="I8" s="3944"/>
      <c r="J8" s="3945">
        <f>K77</f>
        <v>1760000</v>
      </c>
      <c r="K8" s="3944"/>
      <c r="L8" s="3945">
        <f>M77</f>
        <v>1888010</v>
      </c>
      <c r="M8" s="3944"/>
      <c r="N8" s="3945">
        <f>O77</f>
        <v>1632000</v>
      </c>
      <c r="O8" s="3944"/>
      <c r="P8" s="3945">
        <f>Q77</f>
        <v>1824000</v>
      </c>
      <c r="Q8" s="3944"/>
      <c r="R8" s="3945">
        <f>S77</f>
        <v>1919150</v>
      </c>
      <c r="S8" s="3944"/>
      <c r="T8" s="3977">
        <f>U77</f>
        <v>1924318</v>
      </c>
      <c r="U8" s="3978"/>
      <c r="V8" s="3977">
        <f>W77</f>
        <v>1942000</v>
      </c>
      <c r="W8" s="3978"/>
      <c r="X8" s="3945">
        <f>Y77</f>
        <v>2149571</v>
      </c>
      <c r="Y8" s="3944"/>
      <c r="Z8" s="3945">
        <f>AA77</f>
        <v>2149837</v>
      </c>
      <c r="AA8" s="3944"/>
      <c r="AB8" s="3945">
        <f>AC77</f>
        <v>2232270</v>
      </c>
      <c r="AC8" s="3944"/>
      <c r="AD8" s="3945">
        <f>AE77</f>
        <v>0</v>
      </c>
      <c r="AE8" s="3944"/>
    </row>
    <row r="9" spans="1:31"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t="s">
        <v>651</v>
      </c>
      <c r="AE9" s="11" t="s">
        <v>652</v>
      </c>
    </row>
    <row r="10" spans="1:31" hidden="1" x14ac:dyDescent="0.35">
      <c r="A10" s="2286"/>
      <c r="B10" s="2715"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c r="X10" s="2107"/>
      <c r="Y10" s="2107"/>
      <c r="Z10" s="2107"/>
      <c r="AA10" s="2107"/>
      <c r="AB10" s="2107"/>
      <c r="AC10" s="2107"/>
      <c r="AD10" s="2107"/>
      <c r="AE10" s="2107"/>
    </row>
    <row r="11" spans="1:31"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c r="X11" s="2107"/>
      <c r="Y11" s="2107"/>
      <c r="Z11" s="2107"/>
      <c r="AA11" s="2107"/>
      <c r="AB11" s="2107"/>
      <c r="AC11" s="2107"/>
      <c r="AD11" s="2107"/>
      <c r="AE11" s="2107"/>
    </row>
    <row r="12" spans="1:31"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c r="X12" s="2107"/>
      <c r="Y12" s="2107"/>
      <c r="Z12" s="2107"/>
      <c r="AA12" s="2107"/>
      <c r="AB12" s="2107"/>
      <c r="AC12" s="2107"/>
      <c r="AD12" s="2107"/>
      <c r="AE12" s="2107"/>
    </row>
    <row r="13" spans="1:31"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2107"/>
      <c r="Y13" s="2107"/>
      <c r="Z13" s="2107"/>
      <c r="AA13" s="2107"/>
      <c r="AB13" s="2107"/>
      <c r="AC13" s="2107"/>
      <c r="AD13" s="2107"/>
      <c r="AE13" s="2107"/>
    </row>
    <row r="14" spans="1:31"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2107"/>
      <c r="Y14" s="2107"/>
      <c r="Z14" s="2107"/>
      <c r="AA14" s="2107"/>
      <c r="AB14" s="2107"/>
      <c r="AC14" s="2107"/>
      <c r="AD14" s="2107"/>
      <c r="AE14" s="2107"/>
    </row>
    <row r="15" spans="1:31"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2107"/>
      <c r="Y15" s="2107"/>
      <c r="Z15" s="2107"/>
      <c r="AA15" s="2107"/>
      <c r="AB15" s="2107"/>
      <c r="AC15" s="2107"/>
      <c r="AD15" s="2107"/>
      <c r="AE15" s="2107"/>
    </row>
    <row r="16" spans="1:31"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2107"/>
      <c r="Y16" s="2107"/>
      <c r="Z16" s="2107"/>
      <c r="AA16" s="2107"/>
      <c r="AB16" s="2107"/>
      <c r="AC16" s="2107"/>
      <c r="AD16" s="2107"/>
      <c r="AE16" s="2107"/>
    </row>
    <row r="17" spans="1:31"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2107"/>
      <c r="Y17" s="2107"/>
      <c r="Z17" s="2107"/>
      <c r="AA17" s="2107"/>
      <c r="AB17" s="2107"/>
      <c r="AC17" s="2107"/>
      <c r="AD17" s="2107"/>
      <c r="AE17" s="2107"/>
    </row>
    <row r="18" spans="1:31"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2107"/>
      <c r="Y18" s="2107"/>
      <c r="Z18" s="2107"/>
      <c r="AA18" s="2107"/>
      <c r="AB18" s="2107"/>
      <c r="AC18" s="2107"/>
      <c r="AD18" s="2107"/>
      <c r="AE18" s="2107"/>
    </row>
    <row r="19" spans="1:31"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2107"/>
      <c r="AD19" s="2107"/>
      <c r="AE19" s="2107"/>
    </row>
    <row r="20" spans="1:31" x14ac:dyDescent="0.35">
      <c r="A20" s="2286"/>
      <c r="B20" s="2284"/>
      <c r="C20" s="2201"/>
      <c r="D20" s="2285"/>
      <c r="E20" s="2285"/>
      <c r="F20" s="2285"/>
      <c r="G20" s="2198"/>
      <c r="H20" s="2109"/>
      <c r="I20" s="2107"/>
      <c r="J20" s="2109"/>
      <c r="K20" s="2107"/>
      <c r="L20" s="2109"/>
      <c r="M20" s="2107"/>
      <c r="N20" s="2109"/>
      <c r="O20" s="2107"/>
      <c r="P20" s="2109"/>
      <c r="Q20" s="2107"/>
      <c r="R20" s="2109"/>
      <c r="S20" s="2107"/>
      <c r="T20" s="2109"/>
      <c r="U20" s="2107"/>
      <c r="V20" s="2109"/>
      <c r="W20" s="2107"/>
      <c r="X20" s="2109"/>
      <c r="Y20" s="2107"/>
      <c r="Z20" s="2109"/>
      <c r="AA20" s="2107"/>
      <c r="AB20" s="2109"/>
      <c r="AC20" s="2107"/>
      <c r="AD20" s="2109"/>
      <c r="AE20" s="2107"/>
    </row>
    <row r="21" spans="1:31" x14ac:dyDescent="0.35">
      <c r="A21" s="2286"/>
      <c r="B21" s="2203" t="s">
        <v>541</v>
      </c>
      <c r="C21" s="2201"/>
      <c r="D21" s="2285"/>
      <c r="E21" s="2285"/>
      <c r="F21" s="2285"/>
      <c r="G21" s="2198"/>
      <c r="H21" s="2109"/>
      <c r="I21" s="2107"/>
      <c r="J21" s="2109"/>
      <c r="K21" s="2107"/>
      <c r="L21" s="2109"/>
      <c r="M21" s="2107"/>
      <c r="N21" s="2109"/>
      <c r="O21" s="2107"/>
      <c r="P21" s="2109"/>
      <c r="Q21" s="2107"/>
      <c r="R21" s="2109"/>
      <c r="S21" s="2107"/>
      <c r="T21" s="2109"/>
      <c r="U21" s="2107"/>
      <c r="V21" s="2109"/>
      <c r="W21" s="2107"/>
      <c r="X21" s="2109"/>
      <c r="Y21" s="2107"/>
      <c r="Z21" s="2109"/>
      <c r="AA21" s="2107"/>
      <c r="AB21" s="2109"/>
      <c r="AC21" s="2107"/>
      <c r="AD21" s="2109"/>
      <c r="AE21" s="2107"/>
    </row>
    <row r="22" spans="1:31" x14ac:dyDescent="0.35">
      <c r="A22" s="2716"/>
      <c r="B22" s="606" t="s">
        <v>657</v>
      </c>
      <c r="C22" s="2201"/>
      <c r="D22" s="2285"/>
      <c r="E22" s="2285"/>
      <c r="F22" s="2285"/>
      <c r="G22" s="2198"/>
      <c r="H22" s="2109"/>
      <c r="I22" s="2717"/>
      <c r="J22" s="2109"/>
      <c r="K22" s="2717"/>
      <c r="L22" s="2109"/>
      <c r="M22" s="2717"/>
      <c r="N22" s="2109"/>
      <c r="O22" s="2717"/>
      <c r="P22" s="2109"/>
      <c r="Q22" s="2717"/>
      <c r="R22" s="2109"/>
      <c r="S22" s="2717"/>
      <c r="T22" s="2109"/>
      <c r="U22" s="2717"/>
      <c r="V22" s="2109"/>
      <c r="W22" s="2717"/>
      <c r="X22" s="2109"/>
      <c r="Y22" s="2717"/>
      <c r="Z22" s="2109"/>
      <c r="AA22" s="2717"/>
      <c r="AB22" s="2109"/>
      <c r="AC22" s="2717"/>
      <c r="AD22" s="2109"/>
      <c r="AE22" s="2717"/>
    </row>
    <row r="23" spans="1:31" x14ac:dyDescent="0.35">
      <c r="A23" s="2716"/>
      <c r="B23" s="2835" t="s">
        <v>658</v>
      </c>
      <c r="C23" s="2201"/>
      <c r="D23" s="2285"/>
      <c r="E23" s="2285"/>
      <c r="F23" s="2285"/>
      <c r="G23" s="2198"/>
      <c r="H23" s="2109" t="s">
        <v>669</v>
      </c>
      <c r="I23" s="2719"/>
      <c r="J23" s="2109" t="s">
        <v>669</v>
      </c>
      <c r="K23" s="2719"/>
      <c r="L23" s="2109" t="s">
        <v>669</v>
      </c>
      <c r="M23" s="2719"/>
      <c r="N23" s="2109" t="s">
        <v>669</v>
      </c>
      <c r="O23" s="2719"/>
      <c r="P23" s="2109"/>
      <c r="Q23" s="2719"/>
      <c r="R23" s="2109"/>
      <c r="S23" s="2719"/>
      <c r="T23" s="2109" t="s">
        <v>669</v>
      </c>
      <c r="U23" s="2719"/>
      <c r="V23" s="2109" t="s">
        <v>669</v>
      </c>
      <c r="W23" s="2719"/>
      <c r="X23" s="2109"/>
      <c r="Y23" s="2717"/>
      <c r="Z23" s="2109"/>
      <c r="AA23" s="2717"/>
      <c r="AB23" s="2109"/>
      <c r="AC23" s="2717"/>
      <c r="AD23" s="2109"/>
      <c r="AE23" s="2717"/>
    </row>
    <row r="24" spans="1:31" x14ac:dyDescent="0.35">
      <c r="A24" s="2716"/>
      <c r="B24" s="2835" t="s">
        <v>659</v>
      </c>
      <c r="C24" s="2208"/>
      <c r="D24" s="2285"/>
      <c r="E24" s="2285"/>
      <c r="F24" s="2285"/>
      <c r="G24" s="2198"/>
      <c r="H24" s="2109" t="s">
        <v>669</v>
      </c>
      <c r="I24" s="2719"/>
      <c r="J24" s="2109" t="s">
        <v>669</v>
      </c>
      <c r="K24" s="2719"/>
      <c r="L24" s="2109" t="s">
        <v>669</v>
      </c>
      <c r="M24" s="2719"/>
      <c r="N24" s="2109" t="s">
        <v>669</v>
      </c>
      <c r="O24" s="2719"/>
      <c r="P24" s="2109"/>
      <c r="Q24" s="2719"/>
      <c r="R24" s="2109"/>
      <c r="S24" s="2719"/>
      <c r="T24" s="2109" t="s">
        <v>669</v>
      </c>
      <c r="U24" s="2719"/>
      <c r="V24" s="2109" t="s">
        <v>669</v>
      </c>
      <c r="W24" s="2719"/>
      <c r="X24" s="2109"/>
      <c r="Y24" s="2717"/>
      <c r="Z24" s="2109"/>
      <c r="AA24" s="2717"/>
      <c r="AB24" s="2109"/>
      <c r="AC24" s="2717"/>
      <c r="AD24" s="2109"/>
      <c r="AE24" s="2717"/>
    </row>
    <row r="25" spans="1:31" x14ac:dyDescent="0.35">
      <c r="A25" s="2716"/>
      <c r="B25" s="2836" t="s">
        <v>660</v>
      </c>
      <c r="C25" s="2208"/>
      <c r="D25" s="2285"/>
      <c r="E25" s="2285"/>
      <c r="F25" s="2285"/>
      <c r="G25" s="2198"/>
      <c r="H25" s="2109" t="s">
        <v>671</v>
      </c>
      <c r="I25" s="2719"/>
      <c r="J25" s="2109" t="s">
        <v>671</v>
      </c>
      <c r="K25" s="2719"/>
      <c r="L25" s="2109" t="s">
        <v>671</v>
      </c>
      <c r="M25" s="2719"/>
      <c r="N25" s="2109" t="s">
        <v>671</v>
      </c>
      <c r="O25" s="2719"/>
      <c r="P25" s="2109"/>
      <c r="Q25" s="2719"/>
      <c r="R25" s="2109"/>
      <c r="S25" s="2719"/>
      <c r="T25" s="2109" t="s">
        <v>671</v>
      </c>
      <c r="U25" s="2719"/>
      <c r="V25" s="2109" t="s">
        <v>671</v>
      </c>
      <c r="W25" s="2719"/>
      <c r="X25" s="2109"/>
      <c r="Y25" s="2717"/>
      <c r="Z25" s="2109"/>
      <c r="AA25" s="2717"/>
      <c r="AB25" s="2109"/>
      <c r="AC25" s="2717"/>
      <c r="AD25" s="2109"/>
      <c r="AE25" s="2717"/>
    </row>
    <row r="26" spans="1:31" s="77" customFormat="1" x14ac:dyDescent="0.35">
      <c r="A26" s="2837"/>
      <c r="B26" s="2836" t="s">
        <v>661</v>
      </c>
      <c r="C26" s="2211"/>
      <c r="D26" s="2212"/>
      <c r="E26" s="2212"/>
      <c r="F26" s="2212"/>
      <c r="G26" s="2211"/>
      <c r="H26" s="2109" t="s">
        <v>669</v>
      </c>
      <c r="I26" s="2719"/>
      <c r="J26" s="2109" t="s">
        <v>669</v>
      </c>
      <c r="K26" s="2719"/>
      <c r="L26" s="2109" t="s">
        <v>669</v>
      </c>
      <c r="M26" s="2719"/>
      <c r="N26" s="2109" t="s">
        <v>669</v>
      </c>
      <c r="O26" s="2719"/>
      <c r="P26" s="2109"/>
      <c r="Q26" s="2719"/>
      <c r="R26" s="2109"/>
      <c r="S26" s="2719"/>
      <c r="T26" s="2109" t="s">
        <v>669</v>
      </c>
      <c r="U26" s="2719"/>
      <c r="V26" s="2109" t="s">
        <v>669</v>
      </c>
      <c r="W26" s="2719"/>
      <c r="X26" s="2109"/>
      <c r="Y26" s="2838"/>
      <c r="Z26" s="2109"/>
      <c r="AA26" s="2838"/>
      <c r="AB26" s="2109"/>
      <c r="AC26" s="2838"/>
      <c r="AD26" s="2109"/>
      <c r="AE26" s="2838"/>
    </row>
    <row r="27" spans="1:31" s="77" customFormat="1" x14ac:dyDescent="0.35">
      <c r="A27" s="2837"/>
      <c r="B27" s="2836" t="s">
        <v>662</v>
      </c>
      <c r="C27" s="2211"/>
      <c r="D27" s="2212"/>
      <c r="E27" s="2212"/>
      <c r="F27" s="2212"/>
      <c r="G27" s="2211"/>
      <c r="H27" s="2109" t="s">
        <v>669</v>
      </c>
      <c r="I27" s="2719"/>
      <c r="J27" s="2109" t="s">
        <v>669</v>
      </c>
      <c r="K27" s="2719"/>
      <c r="L27" s="2109" t="s">
        <v>669</v>
      </c>
      <c r="M27" s="2719"/>
      <c r="N27" s="2109" t="s">
        <v>669</v>
      </c>
      <c r="O27" s="2719"/>
      <c r="P27" s="2109"/>
      <c r="Q27" s="2719"/>
      <c r="R27" s="2109"/>
      <c r="S27" s="2719"/>
      <c r="T27" s="2109" t="s">
        <v>669</v>
      </c>
      <c r="U27" s="2719"/>
      <c r="V27" s="2109" t="s">
        <v>669</v>
      </c>
      <c r="W27" s="2719"/>
      <c r="X27" s="2109"/>
      <c r="Y27" s="2838"/>
      <c r="Z27" s="2109"/>
      <c r="AA27" s="2838"/>
      <c r="AB27" s="2109"/>
      <c r="AC27" s="2838"/>
      <c r="AD27" s="2109"/>
      <c r="AE27" s="2838"/>
    </row>
    <row r="28" spans="1:31" s="77" customFormat="1" x14ac:dyDescent="0.35">
      <c r="A28" s="2837"/>
      <c r="B28" s="2836" t="s">
        <v>663</v>
      </c>
      <c r="C28" s="2211"/>
      <c r="D28" s="2212"/>
      <c r="E28" s="2212"/>
      <c r="F28" s="2212"/>
      <c r="G28" s="2211"/>
      <c r="H28" s="2109" t="s">
        <v>669</v>
      </c>
      <c r="I28" s="2719"/>
      <c r="J28" s="2109" t="s">
        <v>669</v>
      </c>
      <c r="K28" s="2719"/>
      <c r="L28" s="2109" t="s">
        <v>669</v>
      </c>
      <c r="M28" s="2719"/>
      <c r="N28" s="2109" t="s">
        <v>669</v>
      </c>
      <c r="O28" s="2719"/>
      <c r="P28" s="2109"/>
      <c r="Q28" s="2719"/>
      <c r="R28" s="2109"/>
      <c r="S28" s="2719"/>
      <c r="T28" s="2109" t="s">
        <v>669</v>
      </c>
      <c r="U28" s="2719"/>
      <c r="V28" s="2109" t="s">
        <v>669</v>
      </c>
      <c r="W28" s="2719"/>
      <c r="X28" s="2109"/>
      <c r="Y28" s="2838"/>
      <c r="Z28" s="2109"/>
      <c r="AA28" s="2838"/>
      <c r="AB28" s="2109"/>
      <c r="AC28" s="2838"/>
      <c r="AD28" s="2109"/>
      <c r="AE28" s="2838"/>
    </row>
    <row r="29" spans="1:31" s="77" customFormat="1" x14ac:dyDescent="0.35">
      <c r="A29" s="2837"/>
      <c r="B29" s="2836" t="s">
        <v>789</v>
      </c>
      <c r="C29" s="2211"/>
      <c r="D29" s="2212"/>
      <c r="E29" s="2212"/>
      <c r="F29" s="2212"/>
      <c r="G29" s="2211"/>
      <c r="H29" s="2109" t="s">
        <v>671</v>
      </c>
      <c r="I29" s="2719" t="s">
        <v>3183</v>
      </c>
      <c r="J29" s="2109" t="s">
        <v>671</v>
      </c>
      <c r="K29" s="2719" t="s">
        <v>3183</v>
      </c>
      <c r="L29" s="2109" t="s">
        <v>671</v>
      </c>
      <c r="M29" s="2719" t="s">
        <v>3184</v>
      </c>
      <c r="N29" s="2109" t="s">
        <v>671</v>
      </c>
      <c r="O29" s="2719" t="s">
        <v>3184</v>
      </c>
      <c r="P29" s="2109"/>
      <c r="Q29" s="2719"/>
      <c r="R29" s="2109"/>
      <c r="S29" s="2719"/>
      <c r="T29" s="2109" t="s">
        <v>671</v>
      </c>
      <c r="U29" s="2719" t="s">
        <v>3185</v>
      </c>
      <c r="V29" s="2109" t="s">
        <v>671</v>
      </c>
      <c r="W29" s="2719" t="s">
        <v>3185</v>
      </c>
      <c r="X29" s="2109"/>
      <c r="Y29" s="2838"/>
      <c r="Z29" s="2109"/>
      <c r="AA29" s="2838"/>
      <c r="AB29" s="2109"/>
      <c r="AC29" s="2838"/>
      <c r="AD29" s="2109"/>
      <c r="AE29" s="2838"/>
    </row>
    <row r="30" spans="1:31" s="77" customFormat="1" x14ac:dyDescent="0.35">
      <c r="A30" s="2837"/>
      <c r="B30" s="2836" t="s">
        <v>790</v>
      </c>
      <c r="C30" s="2211"/>
      <c r="D30" s="2212"/>
      <c r="E30" s="2212"/>
      <c r="F30" s="2212"/>
      <c r="G30" s="2211"/>
      <c r="H30" s="2109"/>
      <c r="I30" s="2719"/>
      <c r="J30" s="2109"/>
      <c r="K30" s="2719"/>
      <c r="L30" s="2109"/>
      <c r="M30" s="2719"/>
      <c r="N30" s="2109"/>
      <c r="O30" s="2719"/>
      <c r="P30" s="2109"/>
      <c r="Q30" s="2719"/>
      <c r="R30" s="2109"/>
      <c r="S30" s="2719"/>
      <c r="T30" s="2109"/>
      <c r="U30" s="2719"/>
      <c r="V30" s="2109"/>
      <c r="W30" s="2719"/>
      <c r="X30" s="2109"/>
      <c r="Y30" s="2838"/>
      <c r="Z30" s="2109"/>
      <c r="AA30" s="2838"/>
      <c r="AB30" s="2109"/>
      <c r="AC30" s="2838"/>
      <c r="AD30" s="2109"/>
      <c r="AE30" s="2838"/>
    </row>
    <row r="31" spans="1:31" s="77" customFormat="1" x14ac:dyDescent="0.35">
      <c r="A31" s="2837"/>
      <c r="B31" s="2836" t="s">
        <v>791</v>
      </c>
      <c r="C31" s="2211"/>
      <c r="D31" s="2212"/>
      <c r="E31" s="2212"/>
      <c r="F31" s="2212"/>
      <c r="G31" s="2211"/>
      <c r="H31" s="2109"/>
      <c r="I31" s="2719"/>
      <c r="J31" s="2109"/>
      <c r="K31" s="2719"/>
      <c r="L31" s="2109"/>
      <c r="M31" s="2719"/>
      <c r="N31" s="2109"/>
      <c r="O31" s="2719"/>
      <c r="P31" s="2109"/>
      <c r="Q31" s="2719"/>
      <c r="R31" s="2109"/>
      <c r="S31" s="2719"/>
      <c r="T31" s="2109"/>
      <c r="U31" s="2719"/>
      <c r="V31" s="2109"/>
      <c r="W31" s="2719"/>
      <c r="X31" s="2109"/>
      <c r="Y31" s="2838"/>
      <c r="Z31" s="2109"/>
      <c r="AA31" s="2838"/>
      <c r="AB31" s="2109"/>
      <c r="AC31" s="2838"/>
      <c r="AD31" s="2109"/>
      <c r="AE31" s="2838"/>
    </row>
    <row r="32" spans="1:31" s="77" customFormat="1" x14ac:dyDescent="0.35">
      <c r="A32" s="2837"/>
      <c r="B32" s="2839" t="s">
        <v>664</v>
      </c>
      <c r="C32" s="2211"/>
      <c r="D32" s="2212"/>
      <c r="E32" s="2212"/>
      <c r="F32" s="2212"/>
      <c r="G32" s="2211"/>
      <c r="H32" s="2109"/>
      <c r="I32" s="2838"/>
      <c r="J32" s="2109"/>
      <c r="K32" s="2838"/>
      <c r="L32" s="2109"/>
      <c r="M32" s="2838"/>
      <c r="N32" s="2109"/>
      <c r="O32" s="2838"/>
      <c r="P32" s="2109"/>
      <c r="Q32" s="2838"/>
      <c r="R32" s="2109"/>
      <c r="S32" s="2838"/>
      <c r="T32" s="2109"/>
      <c r="U32" s="2719"/>
      <c r="V32" s="2109"/>
      <c r="W32" s="2719"/>
      <c r="X32" s="2109"/>
      <c r="Y32" s="2838"/>
      <c r="Z32" s="2109"/>
      <c r="AA32" s="2838"/>
      <c r="AB32" s="2109"/>
      <c r="AC32" s="2838"/>
      <c r="AD32" s="2109"/>
      <c r="AE32" s="2838"/>
    </row>
    <row r="33" spans="1:31" s="77" customFormat="1" x14ac:dyDescent="0.35">
      <c r="A33" s="2837"/>
      <c r="B33" s="2840" t="s">
        <v>665</v>
      </c>
      <c r="C33" s="2216"/>
      <c r="D33" s="2766"/>
      <c r="E33" s="2217"/>
      <c r="F33" s="2841"/>
      <c r="G33" s="2842"/>
      <c r="H33" s="2289"/>
      <c r="I33" s="2843">
        <f>1666000-47000</f>
        <v>1619000</v>
      </c>
      <c r="J33" s="2289"/>
      <c r="K33" s="2843">
        <f>1666000-47000</f>
        <v>1619000</v>
      </c>
      <c r="L33" s="2289"/>
      <c r="M33" s="2843"/>
      <c r="N33" s="2289"/>
      <c r="O33" s="2843"/>
      <c r="P33" s="2289"/>
      <c r="Q33" s="2843">
        <f>1700000+40000</f>
        <v>1740000</v>
      </c>
      <c r="R33" s="2289"/>
      <c r="S33" s="2843">
        <v>1835150</v>
      </c>
      <c r="T33" s="2288"/>
      <c r="U33" s="2844"/>
      <c r="V33" s="2288"/>
      <c r="W33" s="2844">
        <v>1942000</v>
      </c>
      <c r="X33" s="2843"/>
      <c r="Y33" s="2843"/>
      <c r="Z33" s="2843"/>
      <c r="AA33" s="2843"/>
      <c r="AB33" s="2843"/>
      <c r="AC33" s="2844">
        <v>2232270</v>
      </c>
      <c r="AD33" s="2843"/>
      <c r="AE33" s="2843"/>
    </row>
    <row r="34" spans="1:31" s="77" customFormat="1" x14ac:dyDescent="0.35">
      <c r="A34" s="2837"/>
      <c r="B34" s="2845" t="s">
        <v>874</v>
      </c>
      <c r="C34" s="2211"/>
      <c r="D34" s="2357"/>
      <c r="E34" s="2212"/>
      <c r="F34" s="2846"/>
      <c r="G34" s="2847"/>
      <c r="H34" s="2109"/>
      <c r="I34" s="2838"/>
      <c r="J34" s="2109"/>
      <c r="K34" s="2838"/>
      <c r="L34" s="2109"/>
      <c r="M34" s="2838"/>
      <c r="N34" s="2109"/>
      <c r="O34" s="2838"/>
      <c r="P34" s="2109"/>
      <c r="Q34" s="2838"/>
      <c r="R34" s="2109"/>
      <c r="S34" s="2838"/>
      <c r="T34" s="2331"/>
      <c r="U34" s="2719"/>
      <c r="V34" s="2331"/>
      <c r="W34" s="2719"/>
      <c r="X34" s="2109"/>
      <c r="Y34" s="2838"/>
      <c r="Z34" s="2109"/>
      <c r="AA34" s="2838"/>
      <c r="AB34" s="2109"/>
      <c r="AC34" s="2838"/>
      <c r="AD34" s="2109"/>
      <c r="AE34" s="2838"/>
    </row>
    <row r="35" spans="1:31" s="77" customFormat="1" x14ac:dyDescent="0.35">
      <c r="A35" s="2837"/>
      <c r="B35" s="2845"/>
      <c r="C35" s="2211"/>
      <c r="D35" s="2357"/>
      <c r="E35" s="2212"/>
      <c r="F35" s="2846"/>
      <c r="G35" s="2847"/>
      <c r="H35" s="2109"/>
      <c r="I35" s="2838"/>
      <c r="J35" s="2109"/>
      <c r="K35" s="2838"/>
      <c r="L35" s="2109"/>
      <c r="M35" s="2838"/>
      <c r="N35" s="2109"/>
      <c r="O35" s="2838"/>
      <c r="P35" s="2109"/>
      <c r="Q35" s="2838"/>
      <c r="R35" s="2109"/>
      <c r="S35" s="2838"/>
      <c r="T35" s="2109"/>
      <c r="U35" s="2719"/>
      <c r="V35" s="2109"/>
      <c r="W35" s="2719"/>
      <c r="X35" s="2109"/>
      <c r="Y35" s="2838"/>
      <c r="Z35" s="2109"/>
      <c r="AA35" s="2838"/>
      <c r="AB35" s="2109"/>
      <c r="AC35" s="2838"/>
      <c r="AD35" s="2109"/>
      <c r="AE35" s="2838"/>
    </row>
    <row r="36" spans="1:31" s="77" customFormat="1" x14ac:dyDescent="0.35">
      <c r="A36" s="2848"/>
      <c r="B36" s="2849" t="s">
        <v>3186</v>
      </c>
      <c r="C36" s="2236"/>
      <c r="D36" s="2850"/>
      <c r="E36" s="2212"/>
      <c r="F36" s="2212"/>
      <c r="G36" s="2211"/>
      <c r="H36" s="2109" t="s">
        <v>669</v>
      </c>
      <c r="I36" s="2838"/>
      <c r="J36" s="2109" t="s">
        <v>669</v>
      </c>
      <c r="K36" s="2838"/>
      <c r="L36" s="2109" t="s">
        <v>669</v>
      </c>
      <c r="M36" s="2838"/>
      <c r="N36" s="2109" t="s">
        <v>669</v>
      </c>
      <c r="O36" s="2838"/>
      <c r="P36" s="2109" t="s">
        <v>669</v>
      </c>
      <c r="Q36" s="2838"/>
      <c r="R36" s="2109" t="s">
        <v>669</v>
      </c>
      <c r="S36" s="2838"/>
      <c r="T36" s="2109" t="s">
        <v>669</v>
      </c>
      <c r="U36" s="2719"/>
      <c r="V36" s="2109" t="s">
        <v>669</v>
      </c>
      <c r="W36" s="2719"/>
      <c r="X36" s="2109" t="s">
        <v>669</v>
      </c>
      <c r="Y36" s="2838"/>
      <c r="Z36" s="2109" t="s">
        <v>669</v>
      </c>
      <c r="AA36" s="2838"/>
      <c r="AB36" s="2109" t="s">
        <v>669</v>
      </c>
      <c r="AC36" s="2838"/>
      <c r="AD36" s="2109"/>
      <c r="AE36" s="2838"/>
    </row>
    <row r="37" spans="1:31" s="77" customFormat="1" x14ac:dyDescent="0.35">
      <c r="A37" s="2848"/>
      <c r="B37" s="2849" t="s">
        <v>3187</v>
      </c>
      <c r="C37" s="2236"/>
      <c r="D37" s="2850"/>
      <c r="E37" s="2341"/>
      <c r="F37" s="2342"/>
      <c r="G37" s="2211"/>
      <c r="H37" s="2109" t="s">
        <v>669</v>
      </c>
      <c r="I37" s="2838"/>
      <c r="J37" s="2109" t="s">
        <v>669</v>
      </c>
      <c r="K37" s="2838"/>
      <c r="L37" s="2109" t="s">
        <v>669</v>
      </c>
      <c r="M37" s="2838"/>
      <c r="N37" s="2109" t="s">
        <v>669</v>
      </c>
      <c r="O37" s="2838"/>
      <c r="P37" s="2109" t="s">
        <v>669</v>
      </c>
      <c r="Q37" s="2838"/>
      <c r="R37" s="2109" t="s">
        <v>669</v>
      </c>
      <c r="S37" s="2838"/>
      <c r="T37" s="2109" t="s">
        <v>669</v>
      </c>
      <c r="U37" s="2719"/>
      <c r="V37" s="2109" t="s">
        <v>669</v>
      </c>
      <c r="W37" s="2719"/>
      <c r="X37" s="2109" t="s">
        <v>669</v>
      </c>
      <c r="Y37" s="2838"/>
      <c r="Z37" s="2109" t="s">
        <v>669</v>
      </c>
      <c r="AA37" s="2838"/>
      <c r="AB37" s="2109" t="s">
        <v>669</v>
      </c>
      <c r="AC37" s="2838"/>
      <c r="AD37" s="2109"/>
      <c r="AE37" s="2838"/>
    </row>
    <row r="38" spans="1:31" s="77" customFormat="1" x14ac:dyDescent="0.35">
      <c r="A38" s="2848"/>
      <c r="B38" s="2849" t="s">
        <v>3188</v>
      </c>
      <c r="C38" s="2236"/>
      <c r="D38" s="2850"/>
      <c r="E38" s="2341"/>
      <c r="F38" s="2342"/>
      <c r="G38" s="2211"/>
      <c r="H38" s="2109" t="s">
        <v>669</v>
      </c>
      <c r="I38" s="2838"/>
      <c r="J38" s="2109" t="s">
        <v>669</v>
      </c>
      <c r="K38" s="2838"/>
      <c r="L38" s="2109" t="s">
        <v>669</v>
      </c>
      <c r="M38" s="2838"/>
      <c r="N38" s="2109" t="s">
        <v>669</v>
      </c>
      <c r="O38" s="2838"/>
      <c r="P38" s="2109" t="s">
        <v>669</v>
      </c>
      <c r="Q38" s="2838"/>
      <c r="R38" s="2109" t="s">
        <v>669</v>
      </c>
      <c r="S38" s="2838"/>
      <c r="T38" s="2109" t="s">
        <v>669</v>
      </c>
      <c r="U38" s="2719"/>
      <c r="V38" s="2109" t="s">
        <v>669</v>
      </c>
      <c r="W38" s="2719"/>
      <c r="X38" s="2109" t="s">
        <v>669</v>
      </c>
      <c r="Y38" s="2838"/>
      <c r="Z38" s="2109" t="s">
        <v>669</v>
      </c>
      <c r="AA38" s="2838"/>
      <c r="AB38" s="2109" t="s">
        <v>669</v>
      </c>
      <c r="AC38" s="2838"/>
      <c r="AD38" s="2109"/>
      <c r="AE38" s="2838"/>
    </row>
    <row r="39" spans="1:31" s="77" customFormat="1" x14ac:dyDescent="0.35">
      <c r="A39" s="2848"/>
      <c r="B39" s="2849" t="s">
        <v>3189</v>
      </c>
      <c r="C39" s="2236"/>
      <c r="D39" s="2850"/>
      <c r="E39" s="2341"/>
      <c r="F39" s="2342"/>
      <c r="G39" s="2211"/>
      <c r="H39" s="2109" t="s">
        <v>669</v>
      </c>
      <c r="I39" s="2838"/>
      <c r="J39" s="2109" t="s">
        <v>669</v>
      </c>
      <c r="K39" s="2838"/>
      <c r="L39" s="2109" t="s">
        <v>669</v>
      </c>
      <c r="M39" s="2838"/>
      <c r="N39" s="2109" t="s">
        <v>669</v>
      </c>
      <c r="O39" s="2838"/>
      <c r="P39" s="2109" t="s">
        <v>669</v>
      </c>
      <c r="Q39" s="2838"/>
      <c r="R39" s="2109" t="s">
        <v>669</v>
      </c>
      <c r="S39" s="2838"/>
      <c r="T39" s="2109" t="s">
        <v>669</v>
      </c>
      <c r="U39" s="2719"/>
      <c r="V39" s="2109" t="s">
        <v>669</v>
      </c>
      <c r="W39" s="2719"/>
      <c r="X39" s="2109" t="s">
        <v>669</v>
      </c>
      <c r="Y39" s="2838"/>
      <c r="Z39" s="2109" t="s">
        <v>669</v>
      </c>
      <c r="AA39" s="2838"/>
      <c r="AB39" s="2109" t="s">
        <v>669</v>
      </c>
      <c r="AC39" s="2838"/>
      <c r="AD39" s="2109"/>
      <c r="AE39" s="2838"/>
    </row>
    <row r="40" spans="1:31" s="77" customFormat="1" x14ac:dyDescent="0.35">
      <c r="A40" s="2848"/>
      <c r="B40" s="2849" t="s">
        <v>3190</v>
      </c>
      <c r="C40" s="2236"/>
      <c r="D40" s="2850"/>
      <c r="E40" s="2341"/>
      <c r="F40" s="2342"/>
      <c r="G40" s="2211"/>
      <c r="H40" s="2109" t="s">
        <v>669</v>
      </c>
      <c r="I40" s="2838"/>
      <c r="J40" s="2109" t="s">
        <v>669</v>
      </c>
      <c r="K40" s="2838"/>
      <c r="L40" s="2109" t="s">
        <v>669</v>
      </c>
      <c r="M40" s="2838"/>
      <c r="N40" s="2109" t="s">
        <v>669</v>
      </c>
      <c r="O40" s="2838"/>
      <c r="P40" s="2109" t="s">
        <v>669</v>
      </c>
      <c r="Q40" s="2838"/>
      <c r="R40" s="2109" t="s">
        <v>669</v>
      </c>
      <c r="S40" s="2838"/>
      <c r="T40" s="2109" t="s">
        <v>669</v>
      </c>
      <c r="U40" s="2719"/>
      <c r="V40" s="2109" t="s">
        <v>669</v>
      </c>
      <c r="W40" s="2719"/>
      <c r="X40" s="2109" t="s">
        <v>669</v>
      </c>
      <c r="Y40" s="2838"/>
      <c r="Z40" s="2109" t="s">
        <v>669</v>
      </c>
      <c r="AA40" s="2838"/>
      <c r="AB40" s="2109" t="s">
        <v>669</v>
      </c>
      <c r="AC40" s="2838"/>
      <c r="AD40" s="2109"/>
      <c r="AE40" s="2838"/>
    </row>
    <row r="41" spans="1:31" s="77" customFormat="1" x14ac:dyDescent="0.35">
      <c r="A41" s="2848"/>
      <c r="B41" s="2849" t="s">
        <v>3191</v>
      </c>
      <c r="C41" s="2236"/>
      <c r="D41" s="2850"/>
      <c r="E41" s="2341"/>
      <c r="F41" s="2342"/>
      <c r="G41" s="2211"/>
      <c r="H41" s="2109" t="s">
        <v>669</v>
      </c>
      <c r="I41" s="2838"/>
      <c r="J41" s="2109" t="s">
        <v>669</v>
      </c>
      <c r="K41" s="2838"/>
      <c r="L41" s="2109" t="s">
        <v>669</v>
      </c>
      <c r="M41" s="2838"/>
      <c r="N41" s="2109" t="s">
        <v>669</v>
      </c>
      <c r="O41" s="2838"/>
      <c r="P41" s="2109" t="s">
        <v>669</v>
      </c>
      <c r="Q41" s="2838"/>
      <c r="R41" s="2109" t="s">
        <v>669</v>
      </c>
      <c r="S41" s="2838"/>
      <c r="T41" s="2109" t="s">
        <v>669</v>
      </c>
      <c r="U41" s="2719"/>
      <c r="V41" s="2109" t="s">
        <v>669</v>
      </c>
      <c r="W41" s="2719"/>
      <c r="X41" s="2109" t="s">
        <v>669</v>
      </c>
      <c r="Y41" s="2838"/>
      <c r="Z41" s="2109" t="s">
        <v>669</v>
      </c>
      <c r="AA41" s="2838"/>
      <c r="AB41" s="2109" t="s">
        <v>669</v>
      </c>
      <c r="AC41" s="2838"/>
      <c r="AD41" s="2109"/>
      <c r="AE41" s="2838"/>
    </row>
    <row r="42" spans="1:31" s="77" customFormat="1" x14ac:dyDescent="0.35">
      <c r="A42" s="2848"/>
      <c r="B42" s="2849" t="s">
        <v>3192</v>
      </c>
      <c r="C42" s="2236"/>
      <c r="D42" s="2850"/>
      <c r="E42" s="2341"/>
      <c r="F42" s="2342"/>
      <c r="G42" s="2211"/>
      <c r="H42" s="2109" t="s">
        <v>669</v>
      </c>
      <c r="I42" s="2838"/>
      <c r="J42" s="2109" t="s">
        <v>669</v>
      </c>
      <c r="K42" s="2838"/>
      <c r="L42" s="2109" t="s">
        <v>669</v>
      </c>
      <c r="M42" s="2838"/>
      <c r="N42" s="2109" t="s">
        <v>669</v>
      </c>
      <c r="O42" s="2838"/>
      <c r="P42" s="2109" t="s">
        <v>669</v>
      </c>
      <c r="Q42" s="2838"/>
      <c r="R42" s="2109" t="s">
        <v>669</v>
      </c>
      <c r="S42" s="2838"/>
      <c r="T42" s="2109" t="s">
        <v>669</v>
      </c>
      <c r="U42" s="2719"/>
      <c r="V42" s="2109" t="s">
        <v>669</v>
      </c>
      <c r="W42" s="2719"/>
      <c r="X42" s="2109" t="s">
        <v>669</v>
      </c>
      <c r="Y42" s="2838"/>
      <c r="Z42" s="2109" t="s">
        <v>669</v>
      </c>
      <c r="AA42" s="2838"/>
      <c r="AB42" s="2109" t="s">
        <v>669</v>
      </c>
      <c r="AC42" s="2838"/>
      <c r="AD42" s="2109"/>
      <c r="AE42" s="2838"/>
    </row>
    <row r="43" spans="1:31" s="77" customFormat="1" x14ac:dyDescent="0.35">
      <c r="A43" s="2848"/>
      <c r="B43" s="2849" t="s">
        <v>3193</v>
      </c>
      <c r="C43" s="2236"/>
      <c r="D43" s="2850"/>
      <c r="E43" s="2341"/>
      <c r="F43" s="2342"/>
      <c r="G43" s="2211"/>
      <c r="H43" s="2109" t="s">
        <v>669</v>
      </c>
      <c r="I43" s="2838"/>
      <c r="J43" s="2109" t="s">
        <v>669</v>
      </c>
      <c r="K43" s="2838"/>
      <c r="L43" s="2109" t="s">
        <v>669</v>
      </c>
      <c r="M43" s="2838"/>
      <c r="N43" s="2109" t="s">
        <v>669</v>
      </c>
      <c r="O43" s="2838"/>
      <c r="P43" s="2109" t="s">
        <v>669</v>
      </c>
      <c r="Q43" s="2838"/>
      <c r="R43" s="2109" t="s">
        <v>669</v>
      </c>
      <c r="S43" s="2838"/>
      <c r="T43" s="2109" t="s">
        <v>669</v>
      </c>
      <c r="U43" s="2719"/>
      <c r="V43" s="2109" t="s">
        <v>669</v>
      </c>
      <c r="W43" s="2719"/>
      <c r="X43" s="2109" t="s">
        <v>669</v>
      </c>
      <c r="Y43" s="2838"/>
      <c r="Z43" s="2109" t="s">
        <v>669</v>
      </c>
      <c r="AA43" s="2838"/>
      <c r="AB43" s="2109" t="s">
        <v>669</v>
      </c>
      <c r="AC43" s="2838"/>
      <c r="AD43" s="2109"/>
      <c r="AE43" s="2838"/>
    </row>
    <row r="44" spans="1:31" s="77" customFormat="1" x14ac:dyDescent="0.35">
      <c r="A44" s="2848"/>
      <c r="B44" s="2849" t="s">
        <v>3194</v>
      </c>
      <c r="C44" s="2236"/>
      <c r="D44" s="2850"/>
      <c r="E44" s="2341"/>
      <c r="F44" s="2342"/>
      <c r="G44" s="2211"/>
      <c r="H44" s="2109" t="s">
        <v>669</v>
      </c>
      <c r="I44" s="2838"/>
      <c r="J44" s="2109" t="s">
        <v>669</v>
      </c>
      <c r="K44" s="2838"/>
      <c r="L44" s="2109" t="s">
        <v>669</v>
      </c>
      <c r="M44" s="2838"/>
      <c r="N44" s="2109" t="s">
        <v>669</v>
      </c>
      <c r="O44" s="2838"/>
      <c r="P44" s="2109" t="s">
        <v>669</v>
      </c>
      <c r="Q44" s="2838"/>
      <c r="R44" s="2109" t="s">
        <v>669</v>
      </c>
      <c r="S44" s="2838"/>
      <c r="T44" s="2109" t="s">
        <v>669</v>
      </c>
      <c r="U44" s="2719"/>
      <c r="V44" s="2109" t="s">
        <v>669</v>
      </c>
      <c r="W44" s="2719"/>
      <c r="X44" s="2109" t="s">
        <v>669</v>
      </c>
      <c r="Y44" s="2838"/>
      <c r="Z44" s="2109" t="s">
        <v>669</v>
      </c>
      <c r="AA44" s="2838"/>
      <c r="AB44" s="2109" t="s">
        <v>669</v>
      </c>
      <c r="AC44" s="2838"/>
      <c r="AD44" s="2109"/>
      <c r="AE44" s="2838"/>
    </row>
    <row r="45" spans="1:31" s="77" customFormat="1" x14ac:dyDescent="0.35">
      <c r="A45" s="2848"/>
      <c r="B45" s="2849" t="s">
        <v>3195</v>
      </c>
      <c r="C45" s="2236"/>
      <c r="D45" s="2850"/>
      <c r="E45" s="2341"/>
      <c r="F45" s="2342"/>
      <c r="G45" s="2211"/>
      <c r="H45" s="2109" t="s">
        <v>669</v>
      </c>
      <c r="I45" s="2838"/>
      <c r="J45" s="2109" t="s">
        <v>669</v>
      </c>
      <c r="K45" s="2838"/>
      <c r="L45" s="2109" t="s">
        <v>669</v>
      </c>
      <c r="M45" s="2838"/>
      <c r="N45" s="2109" t="s">
        <v>669</v>
      </c>
      <c r="O45" s="2838"/>
      <c r="P45" s="2109" t="s">
        <v>669</v>
      </c>
      <c r="Q45" s="2838"/>
      <c r="R45" s="2109" t="s">
        <v>669</v>
      </c>
      <c r="S45" s="2838"/>
      <c r="T45" s="2109" t="s">
        <v>669</v>
      </c>
      <c r="U45" s="2719"/>
      <c r="V45" s="2109" t="s">
        <v>669</v>
      </c>
      <c r="W45" s="2719"/>
      <c r="X45" s="2109" t="s">
        <v>669</v>
      </c>
      <c r="Y45" s="2838"/>
      <c r="Z45" s="2109" t="s">
        <v>669</v>
      </c>
      <c r="AA45" s="2838"/>
      <c r="AB45" s="2109" t="s">
        <v>669</v>
      </c>
      <c r="AC45" s="2838"/>
      <c r="AD45" s="2109"/>
      <c r="AE45" s="2838"/>
    </row>
    <row r="46" spans="1:31" s="77" customFormat="1" x14ac:dyDescent="0.35">
      <c r="A46" s="2848"/>
      <c r="B46" s="2849" t="s">
        <v>3196</v>
      </c>
      <c r="C46" s="2236"/>
      <c r="D46" s="2851">
        <v>6</v>
      </c>
      <c r="E46" s="2341"/>
      <c r="F46" s="2342"/>
      <c r="G46" s="2211"/>
      <c r="H46" s="2109" t="s">
        <v>669</v>
      </c>
      <c r="I46" s="2838" t="s">
        <v>3197</v>
      </c>
      <c r="J46" s="2109" t="s">
        <v>669</v>
      </c>
      <c r="K46" s="2838" t="s">
        <v>3197</v>
      </c>
      <c r="L46" s="2109" t="s">
        <v>669</v>
      </c>
      <c r="M46" s="2838"/>
      <c r="N46" s="2109" t="s">
        <v>669</v>
      </c>
      <c r="O46" s="2838"/>
      <c r="P46" s="2109" t="s">
        <v>669</v>
      </c>
      <c r="Q46" s="2838"/>
      <c r="R46" s="2109" t="s">
        <v>669</v>
      </c>
      <c r="S46" s="2838"/>
      <c r="T46" s="2109" t="s">
        <v>669</v>
      </c>
      <c r="U46" s="2719"/>
      <c r="V46" s="2109" t="s">
        <v>669</v>
      </c>
      <c r="W46" s="2719"/>
      <c r="X46" s="2109" t="s">
        <v>669</v>
      </c>
      <c r="Y46" s="2838"/>
      <c r="Z46" s="2109" t="s">
        <v>669</v>
      </c>
      <c r="AA46" s="2838"/>
      <c r="AB46" s="2109" t="s">
        <v>669</v>
      </c>
      <c r="AC46" s="2838"/>
      <c r="AD46" s="2109"/>
      <c r="AE46" s="2838"/>
    </row>
    <row r="47" spans="1:31" s="77" customFormat="1" x14ac:dyDescent="0.35">
      <c r="A47" s="2848"/>
      <c r="B47" s="2849" t="s">
        <v>3198</v>
      </c>
      <c r="C47" s="2236"/>
      <c r="D47" s="2850"/>
      <c r="E47" s="2341"/>
      <c r="F47" s="2342"/>
      <c r="G47" s="2211"/>
      <c r="H47" s="2109" t="s">
        <v>669</v>
      </c>
      <c r="I47" s="2838"/>
      <c r="J47" s="2109" t="s">
        <v>669</v>
      </c>
      <c r="K47" s="2838"/>
      <c r="L47" s="2109" t="s">
        <v>669</v>
      </c>
      <c r="M47" s="2838"/>
      <c r="N47" s="2109" t="s">
        <v>669</v>
      </c>
      <c r="O47" s="2838"/>
      <c r="P47" s="2109" t="s">
        <v>669</v>
      </c>
      <c r="Q47" s="2838"/>
      <c r="R47" s="2109" t="s">
        <v>669</v>
      </c>
      <c r="S47" s="2838"/>
      <c r="T47" s="2109" t="s">
        <v>669</v>
      </c>
      <c r="U47" s="2719"/>
      <c r="V47" s="2109" t="s">
        <v>669</v>
      </c>
      <c r="W47" s="2719"/>
      <c r="X47" s="2109" t="s">
        <v>669</v>
      </c>
      <c r="Y47" s="2838"/>
      <c r="Z47" s="2109" t="s">
        <v>669</v>
      </c>
      <c r="AA47" s="2838"/>
      <c r="AB47" s="2109" t="s">
        <v>669</v>
      </c>
      <c r="AC47" s="2838"/>
      <c r="AD47" s="2109"/>
      <c r="AE47" s="2838"/>
    </row>
    <row r="48" spans="1:31" s="77" customFormat="1" x14ac:dyDescent="0.35">
      <c r="A48" s="2848"/>
      <c r="B48" s="2852" t="s">
        <v>732</v>
      </c>
      <c r="C48" s="2236"/>
      <c r="D48" s="2850"/>
      <c r="E48" s="2212"/>
      <c r="F48" s="2212"/>
      <c r="G48" s="2211"/>
      <c r="H48" s="2109" t="s">
        <v>669</v>
      </c>
      <c r="I48" s="2838"/>
      <c r="J48" s="2109" t="s">
        <v>669</v>
      </c>
      <c r="K48" s="2838"/>
      <c r="L48" s="2109" t="s">
        <v>669</v>
      </c>
      <c r="M48" s="2853"/>
      <c r="N48" s="2109" t="s">
        <v>669</v>
      </c>
      <c r="O48" s="2853"/>
      <c r="P48" s="2109" t="s">
        <v>669</v>
      </c>
      <c r="Q48" s="2838"/>
      <c r="R48" s="2109" t="s">
        <v>669</v>
      </c>
      <c r="S48" s="2838"/>
      <c r="T48" s="2109" t="s">
        <v>669</v>
      </c>
      <c r="U48" s="2719"/>
      <c r="V48" s="2109" t="s">
        <v>669</v>
      </c>
      <c r="W48" s="2719"/>
      <c r="X48" s="2109" t="s">
        <v>669</v>
      </c>
      <c r="Y48" s="2838"/>
      <c r="Z48" s="2109" t="s">
        <v>669</v>
      </c>
      <c r="AA48" s="2838"/>
      <c r="AB48" s="2109" t="s">
        <v>669</v>
      </c>
      <c r="AC48" s="2838"/>
      <c r="AD48" s="2109"/>
      <c r="AE48" s="2838"/>
    </row>
    <row r="49" spans="1:31" s="77" customFormat="1" x14ac:dyDescent="0.35">
      <c r="A49" s="2848"/>
      <c r="B49" s="2849" t="s">
        <v>3199</v>
      </c>
      <c r="C49" s="2236"/>
      <c r="D49" s="2850"/>
      <c r="E49" s="2341"/>
      <c r="F49" s="2342"/>
      <c r="G49" s="2211"/>
      <c r="H49" s="2109" t="s">
        <v>669</v>
      </c>
      <c r="I49" s="2838"/>
      <c r="J49" s="2109" t="s">
        <v>669</v>
      </c>
      <c r="K49" s="2838"/>
      <c r="L49" s="2109" t="s">
        <v>669</v>
      </c>
      <c r="M49" s="2853"/>
      <c r="N49" s="2109" t="s">
        <v>669</v>
      </c>
      <c r="O49" s="2853"/>
      <c r="P49" s="2109" t="s">
        <v>669</v>
      </c>
      <c r="Q49" s="2838"/>
      <c r="R49" s="2109" t="s">
        <v>669</v>
      </c>
      <c r="S49" s="2838"/>
      <c r="T49" s="2109" t="s">
        <v>669</v>
      </c>
      <c r="U49" s="2719"/>
      <c r="V49" s="2109" t="s">
        <v>669</v>
      </c>
      <c r="W49" s="2719"/>
      <c r="X49" s="2109" t="s">
        <v>669</v>
      </c>
      <c r="Y49" s="2719"/>
      <c r="Z49" s="2109" t="s">
        <v>669</v>
      </c>
      <c r="AA49" s="2719"/>
      <c r="AB49" s="2109" t="s">
        <v>669</v>
      </c>
      <c r="AC49" s="2838"/>
      <c r="AD49" s="2109"/>
      <c r="AE49" s="2838"/>
    </row>
    <row r="50" spans="1:31" s="77" customFormat="1" x14ac:dyDescent="0.35">
      <c r="A50" s="2848"/>
      <c r="B50" s="2849" t="s">
        <v>3200</v>
      </c>
      <c r="C50" s="2236"/>
      <c r="D50" s="2850"/>
      <c r="E50" s="2341"/>
      <c r="F50" s="2342"/>
      <c r="G50" s="2211"/>
      <c r="H50" s="2109" t="s">
        <v>669</v>
      </c>
      <c r="I50" s="2838"/>
      <c r="J50" s="2109" t="s">
        <v>669</v>
      </c>
      <c r="K50" s="2838"/>
      <c r="L50" s="2109" t="s">
        <v>669</v>
      </c>
      <c r="M50" s="2853"/>
      <c r="N50" s="2109" t="s">
        <v>669</v>
      </c>
      <c r="O50" s="2853"/>
      <c r="P50" s="2109" t="s">
        <v>669</v>
      </c>
      <c r="Q50" s="2838"/>
      <c r="R50" s="2109" t="s">
        <v>669</v>
      </c>
      <c r="S50" s="2838"/>
      <c r="T50" s="2109" t="s">
        <v>669</v>
      </c>
      <c r="U50" s="2719"/>
      <c r="V50" s="2109" t="s">
        <v>669</v>
      </c>
      <c r="W50" s="2719"/>
      <c r="X50" s="2109" t="s">
        <v>669</v>
      </c>
      <c r="Y50" s="2719"/>
      <c r="Z50" s="2109" t="s">
        <v>669</v>
      </c>
      <c r="AA50" s="2719"/>
      <c r="AB50" s="2109" t="s">
        <v>669</v>
      </c>
      <c r="AC50" s="2838"/>
      <c r="AD50" s="2109"/>
      <c r="AE50" s="2838"/>
    </row>
    <row r="51" spans="1:31" s="77" customFormat="1" x14ac:dyDescent="0.35">
      <c r="A51" s="2848"/>
      <c r="B51" s="2849" t="s">
        <v>3201</v>
      </c>
      <c r="C51" s="2236"/>
      <c r="D51" s="2850"/>
      <c r="E51" s="2341"/>
      <c r="F51" s="2342"/>
      <c r="G51" s="2211"/>
      <c r="H51" s="2109" t="s">
        <v>669</v>
      </c>
      <c r="I51" s="2838"/>
      <c r="J51" s="2109" t="s">
        <v>669</v>
      </c>
      <c r="K51" s="2838"/>
      <c r="L51" s="2109"/>
      <c r="M51" s="2853"/>
      <c r="N51" s="2109"/>
      <c r="O51" s="2853"/>
      <c r="P51" s="2109" t="s">
        <v>669</v>
      </c>
      <c r="Q51" s="2838"/>
      <c r="R51" s="2109" t="s">
        <v>669</v>
      </c>
      <c r="S51" s="2838"/>
      <c r="T51" s="2109" t="s">
        <v>669</v>
      </c>
      <c r="U51" s="2719"/>
      <c r="V51" s="2109" t="s">
        <v>669</v>
      </c>
      <c r="W51" s="2719"/>
      <c r="X51" s="2109"/>
      <c r="Y51" s="2719"/>
      <c r="Z51" s="2109"/>
      <c r="AA51" s="2719"/>
      <c r="AB51" s="2109"/>
      <c r="AC51" s="2838"/>
      <c r="AD51" s="2109"/>
      <c r="AE51" s="2838"/>
    </row>
    <row r="52" spans="1:31" s="77" customFormat="1" x14ac:dyDescent="0.35">
      <c r="A52" s="2848"/>
      <c r="B52" s="2849" t="s">
        <v>3202</v>
      </c>
      <c r="C52" s="2236"/>
      <c r="D52" s="2850"/>
      <c r="E52" s="2341"/>
      <c r="F52" s="2342"/>
      <c r="G52" s="2211"/>
      <c r="H52" s="2109" t="s">
        <v>669</v>
      </c>
      <c r="I52" s="2838"/>
      <c r="J52" s="2109" t="s">
        <v>669</v>
      </c>
      <c r="K52" s="2838"/>
      <c r="L52" s="2109" t="s">
        <v>669</v>
      </c>
      <c r="M52" s="2853"/>
      <c r="N52" s="2109" t="s">
        <v>669</v>
      </c>
      <c r="O52" s="2853"/>
      <c r="P52" s="2109" t="s">
        <v>669</v>
      </c>
      <c r="Q52" s="2838"/>
      <c r="R52" s="2109" t="s">
        <v>669</v>
      </c>
      <c r="S52" s="2838"/>
      <c r="T52" s="2109" t="s">
        <v>669</v>
      </c>
      <c r="U52" s="2719"/>
      <c r="V52" s="2109" t="s">
        <v>669</v>
      </c>
      <c r="W52" s="2719"/>
      <c r="X52" s="2109"/>
      <c r="Y52" s="2719"/>
      <c r="Z52" s="2109"/>
      <c r="AA52" s="2719"/>
      <c r="AB52" s="2109"/>
      <c r="AC52" s="2838"/>
      <c r="AD52" s="2109"/>
      <c r="AE52" s="2838"/>
    </row>
    <row r="53" spans="1:31" s="77" customFormat="1" x14ac:dyDescent="0.35">
      <c r="A53" s="2848"/>
      <c r="B53" s="2849"/>
      <c r="C53" s="2236"/>
      <c r="D53" s="2212"/>
      <c r="E53" s="2341"/>
      <c r="F53" s="2342"/>
      <c r="G53" s="2211"/>
      <c r="H53" s="2109"/>
      <c r="I53" s="2838"/>
      <c r="J53" s="2109"/>
      <c r="K53" s="2838"/>
      <c r="L53" s="2109"/>
      <c r="M53" s="2853"/>
      <c r="N53" s="2109"/>
      <c r="O53" s="2853"/>
      <c r="P53" s="2109"/>
      <c r="Q53" s="2838"/>
      <c r="R53" s="2109"/>
      <c r="S53" s="2838"/>
      <c r="T53" s="2109"/>
      <c r="U53" s="2719"/>
      <c r="V53" s="2109"/>
      <c r="W53" s="2719"/>
      <c r="X53" s="2109"/>
      <c r="Y53" s="2719"/>
      <c r="Z53" s="2109"/>
      <c r="AA53" s="2719"/>
      <c r="AB53" s="2109"/>
      <c r="AC53" s="2838"/>
      <c r="AD53" s="2109"/>
      <c r="AE53" s="2838"/>
    </row>
    <row r="54" spans="1:31" x14ac:dyDescent="0.35">
      <c r="A54" s="2854"/>
      <c r="B54" s="2855" t="s">
        <v>3203</v>
      </c>
      <c r="C54" s="2211"/>
      <c r="D54" s="2285"/>
      <c r="E54" s="2285"/>
      <c r="F54" s="2285"/>
      <c r="G54" s="2198"/>
      <c r="H54" s="2109" t="s">
        <v>669</v>
      </c>
      <c r="I54" s="2717"/>
      <c r="J54" s="2109" t="s">
        <v>669</v>
      </c>
      <c r="K54" s="2717"/>
      <c r="L54" s="2109" t="s">
        <v>669</v>
      </c>
      <c r="M54" s="2719">
        <v>843718</v>
      </c>
      <c r="N54" s="2109" t="s">
        <v>669</v>
      </c>
      <c r="O54" s="2719">
        <v>706770</v>
      </c>
      <c r="P54" s="2109" t="s">
        <v>669</v>
      </c>
      <c r="Q54" s="2717"/>
      <c r="R54" s="2109" t="s">
        <v>669</v>
      </c>
      <c r="S54" s="2717"/>
      <c r="T54" s="2109" t="s">
        <v>669</v>
      </c>
      <c r="U54" s="2719">
        <f>215690*3</f>
        <v>647070</v>
      </c>
      <c r="V54" s="2109" t="s">
        <v>669</v>
      </c>
      <c r="W54" s="2719"/>
      <c r="X54" s="2109" t="s">
        <v>669</v>
      </c>
      <c r="Y54" s="2719">
        <f>297777*3</f>
        <v>893331</v>
      </c>
      <c r="Z54" s="2109" t="s">
        <v>669</v>
      </c>
      <c r="AA54" s="2719">
        <v>923829</v>
      </c>
      <c r="AB54" s="2109" t="s">
        <v>669</v>
      </c>
      <c r="AC54" s="2717"/>
      <c r="AD54" s="2109"/>
      <c r="AE54" s="2717"/>
    </row>
    <row r="55" spans="1:31" x14ac:dyDescent="0.35">
      <c r="A55" s="2854"/>
      <c r="B55" s="2856" t="s">
        <v>3204</v>
      </c>
      <c r="C55" s="2857"/>
      <c r="D55" s="940"/>
      <c r="E55" s="940"/>
      <c r="F55" s="940"/>
      <c r="G55" s="1039"/>
      <c r="H55" s="2109" t="s">
        <v>669</v>
      </c>
      <c r="I55" s="2717"/>
      <c r="J55" s="2109" t="s">
        <v>669</v>
      </c>
      <c r="K55" s="2717"/>
      <c r="L55" s="2109" t="s">
        <v>669</v>
      </c>
      <c r="M55" s="2719"/>
      <c r="N55" s="2109" t="s">
        <v>669</v>
      </c>
      <c r="O55" s="2719"/>
      <c r="P55" s="2109" t="s">
        <v>669</v>
      </c>
      <c r="Q55" s="2717"/>
      <c r="R55" s="2109" t="s">
        <v>669</v>
      </c>
      <c r="S55" s="2717"/>
      <c r="T55" s="2109" t="s">
        <v>669</v>
      </c>
      <c r="U55" s="2719"/>
      <c r="V55" s="2109" t="s">
        <v>669</v>
      </c>
      <c r="W55" s="2719"/>
      <c r="X55" s="2109" t="s">
        <v>669</v>
      </c>
      <c r="Y55" s="2719"/>
      <c r="Z55" s="2109" t="s">
        <v>669</v>
      </c>
      <c r="AA55" s="2719"/>
      <c r="AB55" s="2109" t="s">
        <v>669</v>
      </c>
      <c r="AC55" s="2717"/>
      <c r="AD55" s="2109"/>
      <c r="AE55" s="2717"/>
    </row>
    <row r="56" spans="1:31" x14ac:dyDescent="0.35">
      <c r="A56" s="2854"/>
      <c r="B56" s="2856" t="s">
        <v>3205</v>
      </c>
      <c r="C56" s="2857"/>
      <c r="D56" s="940"/>
      <c r="E56" s="940"/>
      <c r="F56" s="940"/>
      <c r="G56" s="1039"/>
      <c r="H56" s="2109" t="s">
        <v>669</v>
      </c>
      <c r="I56" s="2717"/>
      <c r="J56" s="2109" t="s">
        <v>669</v>
      </c>
      <c r="K56" s="2717"/>
      <c r="L56" s="2109" t="s">
        <v>669</v>
      </c>
      <c r="M56" s="2719"/>
      <c r="N56" s="2109" t="s">
        <v>669</v>
      </c>
      <c r="O56" s="2719"/>
      <c r="P56" s="2109" t="s">
        <v>669</v>
      </c>
      <c r="Q56" s="2717"/>
      <c r="R56" s="2109" t="s">
        <v>669</v>
      </c>
      <c r="S56" s="2717"/>
      <c r="T56" s="2109" t="s">
        <v>669</v>
      </c>
      <c r="U56" s="2719">
        <f>63391*3</f>
        <v>190173</v>
      </c>
      <c r="V56" s="2109" t="s">
        <v>669</v>
      </c>
      <c r="W56" s="2719"/>
      <c r="X56" s="2109" t="s">
        <v>669</v>
      </c>
      <c r="Y56" s="2719"/>
      <c r="Z56" s="2109" t="s">
        <v>669</v>
      </c>
      <c r="AA56" s="2719"/>
      <c r="AB56" s="2109" t="s">
        <v>669</v>
      </c>
      <c r="AC56" s="2717"/>
      <c r="AD56" s="2109"/>
      <c r="AE56" s="2717"/>
    </row>
    <row r="57" spans="1:31" x14ac:dyDescent="0.35">
      <c r="A57" s="2854"/>
      <c r="B57" s="2856"/>
      <c r="C57" s="2857"/>
      <c r="D57" s="940"/>
      <c r="E57" s="940"/>
      <c r="F57" s="940"/>
      <c r="G57" s="1039"/>
      <c r="H57" s="2109"/>
      <c r="I57" s="2717"/>
      <c r="J57" s="2109"/>
      <c r="K57" s="2717"/>
      <c r="L57" s="2109"/>
      <c r="M57" s="2719"/>
      <c r="N57" s="2109"/>
      <c r="O57" s="2719"/>
      <c r="P57" s="2109"/>
      <c r="Q57" s="2717"/>
      <c r="R57" s="2109"/>
      <c r="S57" s="2717"/>
      <c r="T57" s="2109"/>
      <c r="U57" s="2719"/>
      <c r="V57" s="2109"/>
      <c r="W57" s="2719"/>
      <c r="X57" s="2109"/>
      <c r="Y57" s="2719"/>
      <c r="Z57" s="2109"/>
      <c r="AA57" s="2719"/>
      <c r="AB57" s="2109"/>
      <c r="AC57" s="2717"/>
      <c r="AD57" s="2109"/>
      <c r="AE57" s="2717"/>
    </row>
    <row r="58" spans="1:31" x14ac:dyDescent="0.35">
      <c r="A58" s="2854"/>
      <c r="B58" s="2855" t="s">
        <v>3206</v>
      </c>
      <c r="C58" s="2857"/>
      <c r="D58" s="940"/>
      <c r="E58" s="940"/>
      <c r="F58" s="940"/>
      <c r="G58" s="1039"/>
      <c r="H58" s="2109" t="s">
        <v>669</v>
      </c>
      <c r="I58" s="2717"/>
      <c r="J58" s="2109" t="s">
        <v>669</v>
      </c>
      <c r="K58" s="2717"/>
      <c r="L58" s="2109" t="s">
        <v>669</v>
      </c>
      <c r="M58" s="2719">
        <v>624481</v>
      </c>
      <c r="N58" s="2109" t="s">
        <v>669</v>
      </c>
      <c r="O58" s="2719">
        <v>559604</v>
      </c>
      <c r="P58" s="2109" t="s">
        <v>669</v>
      </c>
      <c r="Q58" s="2717"/>
      <c r="R58" s="2109" t="s">
        <v>669</v>
      </c>
      <c r="S58" s="2717"/>
      <c r="T58" s="2109" t="s">
        <v>669</v>
      </c>
      <c r="U58" s="2719">
        <f>265317*2</f>
        <v>530634</v>
      </c>
      <c r="V58" s="2109" t="s">
        <v>669</v>
      </c>
      <c r="W58" s="2719"/>
      <c r="X58" s="2109" t="s">
        <v>669</v>
      </c>
      <c r="Y58" s="2719">
        <f>352488*2</f>
        <v>704976</v>
      </c>
      <c r="Z58" s="2109" t="s">
        <v>669</v>
      </c>
      <c r="AA58" s="2719">
        <v>689936</v>
      </c>
      <c r="AB58" s="2109" t="s">
        <v>669</v>
      </c>
      <c r="AC58" s="2717"/>
      <c r="AD58" s="2109"/>
      <c r="AE58" s="2717"/>
    </row>
    <row r="59" spans="1:31" x14ac:dyDescent="0.35">
      <c r="A59" s="2854"/>
      <c r="B59" s="2856" t="s">
        <v>3204</v>
      </c>
      <c r="C59" s="2857"/>
      <c r="D59" s="940"/>
      <c r="E59" s="940"/>
      <c r="F59" s="940"/>
      <c r="G59" s="1039"/>
      <c r="H59" s="2109" t="s">
        <v>669</v>
      </c>
      <c r="I59" s="2717"/>
      <c r="J59" s="2109" t="s">
        <v>669</v>
      </c>
      <c r="K59" s="2717"/>
      <c r="L59" s="2109" t="s">
        <v>669</v>
      </c>
      <c r="M59" s="2719"/>
      <c r="N59" s="2109" t="s">
        <v>669</v>
      </c>
      <c r="O59" s="2719"/>
      <c r="P59" s="2109" t="s">
        <v>669</v>
      </c>
      <c r="Q59" s="2717"/>
      <c r="R59" s="2109" t="s">
        <v>669</v>
      </c>
      <c r="S59" s="2717"/>
      <c r="T59" s="2109" t="s">
        <v>669</v>
      </c>
      <c r="U59" s="2719"/>
      <c r="V59" s="2109" t="s">
        <v>669</v>
      </c>
      <c r="W59" s="2719"/>
      <c r="X59" s="2109" t="s">
        <v>669</v>
      </c>
      <c r="Y59" s="2719"/>
      <c r="Z59" s="2109" t="s">
        <v>669</v>
      </c>
      <c r="AA59" s="2719"/>
      <c r="AB59" s="2109" t="s">
        <v>669</v>
      </c>
      <c r="AC59" s="2717"/>
      <c r="AD59" s="2109"/>
      <c r="AE59" s="2717"/>
    </row>
    <row r="60" spans="1:31" x14ac:dyDescent="0.35">
      <c r="A60" s="2854"/>
      <c r="B60" s="2856" t="s">
        <v>3205</v>
      </c>
      <c r="C60" s="2857"/>
      <c r="D60" s="940"/>
      <c r="E60" s="940"/>
      <c r="F60" s="940"/>
      <c r="G60" s="1039"/>
      <c r="H60" s="2109" t="s">
        <v>669</v>
      </c>
      <c r="I60" s="2717"/>
      <c r="J60" s="2109" t="s">
        <v>669</v>
      </c>
      <c r="K60" s="2717"/>
      <c r="L60" s="2109" t="s">
        <v>669</v>
      </c>
      <c r="M60" s="2719"/>
      <c r="N60" s="2109" t="s">
        <v>669</v>
      </c>
      <c r="O60" s="2719"/>
      <c r="P60" s="2109" t="s">
        <v>669</v>
      </c>
      <c r="Q60" s="2717"/>
      <c r="R60" s="2109" t="s">
        <v>669</v>
      </c>
      <c r="S60" s="2717"/>
      <c r="T60" s="2109" t="s">
        <v>669</v>
      </c>
      <c r="U60" s="2719">
        <f>63391*2</f>
        <v>126782</v>
      </c>
      <c r="V60" s="2109" t="s">
        <v>669</v>
      </c>
      <c r="W60" s="2719"/>
      <c r="X60" s="2109" t="s">
        <v>669</v>
      </c>
      <c r="Y60" s="2719"/>
      <c r="Z60" s="2109" t="s">
        <v>669</v>
      </c>
      <c r="AA60" s="2719"/>
      <c r="AB60" s="2109" t="s">
        <v>669</v>
      </c>
      <c r="AC60" s="2717"/>
      <c r="AD60" s="2109"/>
      <c r="AE60" s="2717"/>
    </row>
    <row r="61" spans="1:31" x14ac:dyDescent="0.35">
      <c r="A61" s="2854"/>
      <c r="B61" s="2856"/>
      <c r="C61" s="2857"/>
      <c r="D61" s="940"/>
      <c r="E61" s="940"/>
      <c r="F61" s="940"/>
      <c r="G61" s="1039"/>
      <c r="H61" s="2109"/>
      <c r="I61" s="2717"/>
      <c r="J61" s="2109"/>
      <c r="K61" s="2717"/>
      <c r="L61" s="2109"/>
      <c r="M61" s="2719"/>
      <c r="N61" s="2109"/>
      <c r="O61" s="2719"/>
      <c r="P61" s="2109"/>
      <c r="Q61" s="2717"/>
      <c r="R61" s="2109"/>
      <c r="S61" s="2717"/>
      <c r="T61" s="2109"/>
      <c r="U61" s="2719"/>
      <c r="V61" s="2109"/>
      <c r="W61" s="2719"/>
      <c r="X61" s="2109"/>
      <c r="Y61" s="2719"/>
      <c r="Z61" s="2109"/>
      <c r="AA61" s="2719"/>
      <c r="AB61" s="2109"/>
      <c r="AC61" s="2717"/>
      <c r="AD61" s="2109"/>
      <c r="AE61" s="2717"/>
    </row>
    <row r="62" spans="1:31" x14ac:dyDescent="0.35">
      <c r="A62" s="2854"/>
      <c r="B62" s="2855" t="s">
        <v>3207</v>
      </c>
      <c r="C62" s="2857"/>
      <c r="D62" s="940"/>
      <c r="E62" s="940"/>
      <c r="F62" s="940"/>
      <c r="G62" s="1039"/>
      <c r="H62" s="2109" t="s">
        <v>669</v>
      </c>
      <c r="I62" s="2717"/>
      <c r="J62" s="2109" t="s">
        <v>669</v>
      </c>
      <c r="K62" s="2717"/>
      <c r="L62" s="2109" t="s">
        <v>669</v>
      </c>
      <c r="M62" s="2719">
        <v>276804</v>
      </c>
      <c r="N62" s="2109" t="s">
        <v>669</v>
      </c>
      <c r="O62" s="2719">
        <v>238245</v>
      </c>
      <c r="P62" s="2109" t="s">
        <v>669</v>
      </c>
      <c r="Q62" s="2717"/>
      <c r="R62" s="2109" t="s">
        <v>669</v>
      </c>
      <c r="S62" s="2717"/>
      <c r="T62" s="2109" t="s">
        <v>669</v>
      </c>
      <c r="U62" s="2719">
        <v>239764</v>
      </c>
      <c r="V62" s="2109" t="s">
        <v>669</v>
      </c>
      <c r="W62" s="2719"/>
      <c r="X62" s="2109" t="s">
        <v>669</v>
      </c>
      <c r="Y62" s="2719">
        <v>318600</v>
      </c>
      <c r="Z62" s="2109" t="s">
        <v>669</v>
      </c>
      <c r="AA62" s="2719">
        <v>305723</v>
      </c>
      <c r="AB62" s="2109" t="s">
        <v>669</v>
      </c>
      <c r="AC62" s="2717"/>
      <c r="AD62" s="2109"/>
      <c r="AE62" s="2717"/>
    </row>
    <row r="63" spans="1:31" x14ac:dyDescent="0.35">
      <c r="A63" s="2854"/>
      <c r="B63" s="2856" t="s">
        <v>3204</v>
      </c>
      <c r="C63" s="2857"/>
      <c r="D63" s="940"/>
      <c r="E63" s="940"/>
      <c r="F63" s="940"/>
      <c r="G63" s="1039"/>
      <c r="H63" s="2109" t="s">
        <v>669</v>
      </c>
      <c r="I63" s="2717"/>
      <c r="J63" s="2109" t="s">
        <v>669</v>
      </c>
      <c r="K63" s="2717"/>
      <c r="L63" s="2109" t="s">
        <v>669</v>
      </c>
      <c r="M63" s="2719"/>
      <c r="N63" s="2109" t="s">
        <v>669</v>
      </c>
      <c r="O63" s="2719"/>
      <c r="P63" s="2109" t="s">
        <v>669</v>
      </c>
      <c r="Q63" s="2717"/>
      <c r="R63" s="2109" t="s">
        <v>669</v>
      </c>
      <c r="S63" s="2717"/>
      <c r="T63" s="2109" t="s">
        <v>669</v>
      </c>
      <c r="U63" s="2719"/>
      <c r="V63" s="2109" t="s">
        <v>669</v>
      </c>
      <c r="W63" s="2719"/>
      <c r="X63" s="2109" t="s">
        <v>669</v>
      </c>
      <c r="Y63" s="2719"/>
      <c r="Z63" s="2109" t="s">
        <v>669</v>
      </c>
      <c r="AA63" s="2719"/>
      <c r="AB63" s="2109" t="s">
        <v>669</v>
      </c>
      <c r="AC63" s="2717"/>
      <c r="AD63" s="2109"/>
      <c r="AE63" s="2717"/>
    </row>
    <row r="64" spans="1:31" x14ac:dyDescent="0.35">
      <c r="A64" s="2854"/>
      <c r="B64" s="2856" t="s">
        <v>3205</v>
      </c>
      <c r="C64" s="2857"/>
      <c r="D64" s="940"/>
      <c r="E64" s="940"/>
      <c r="F64" s="940"/>
      <c r="G64" s="1039"/>
      <c r="H64" s="2109" t="s">
        <v>669</v>
      </c>
      <c r="I64" s="2717"/>
      <c r="J64" s="2109" t="s">
        <v>669</v>
      </c>
      <c r="K64" s="2717"/>
      <c r="L64" s="2109" t="s">
        <v>669</v>
      </c>
      <c r="M64" s="2719"/>
      <c r="N64" s="2109" t="s">
        <v>669</v>
      </c>
      <c r="O64" s="2719"/>
      <c r="P64" s="2109" t="s">
        <v>669</v>
      </c>
      <c r="Q64" s="2717"/>
      <c r="R64" s="2109" t="s">
        <v>669</v>
      </c>
      <c r="S64" s="2717"/>
      <c r="T64" s="2109" t="s">
        <v>669</v>
      </c>
      <c r="U64" s="2719">
        <f>63391*1</f>
        <v>63391</v>
      </c>
      <c r="V64" s="2109" t="s">
        <v>669</v>
      </c>
      <c r="W64" s="2717"/>
      <c r="X64" s="2109" t="s">
        <v>669</v>
      </c>
      <c r="Y64" s="2719"/>
      <c r="Z64" s="2109" t="s">
        <v>669</v>
      </c>
      <c r="AA64" s="2719"/>
      <c r="AB64" s="2109" t="s">
        <v>669</v>
      </c>
      <c r="AC64" s="2717"/>
      <c r="AD64" s="2109"/>
      <c r="AE64" s="2717"/>
    </row>
    <row r="65" spans="1:31" x14ac:dyDescent="0.35">
      <c r="A65" s="2854"/>
      <c r="B65" s="2856"/>
      <c r="C65" s="2857"/>
      <c r="D65" s="940"/>
      <c r="E65" s="940"/>
      <c r="F65" s="940"/>
      <c r="G65" s="1039"/>
      <c r="H65" s="2858"/>
      <c r="I65" s="2717"/>
      <c r="J65" s="2858"/>
      <c r="K65" s="2717"/>
      <c r="L65" s="2858"/>
      <c r="M65" s="2719"/>
      <c r="N65" s="2858"/>
      <c r="O65" s="2719"/>
      <c r="P65" s="2858"/>
      <c r="Q65" s="2717"/>
      <c r="R65" s="2858"/>
      <c r="S65" s="2717"/>
      <c r="T65" s="2858"/>
      <c r="U65" s="2717"/>
      <c r="V65" s="2858"/>
      <c r="W65" s="2717"/>
      <c r="X65" s="2858"/>
      <c r="Y65" s="2719"/>
      <c r="Z65" s="2858"/>
      <c r="AA65" s="2719"/>
      <c r="AB65" s="2858"/>
      <c r="AC65" s="2717"/>
      <c r="AD65" s="2858"/>
      <c r="AE65" s="2717"/>
    </row>
    <row r="66" spans="1:31" x14ac:dyDescent="0.35">
      <c r="A66" s="2854"/>
      <c r="B66" s="2855" t="s">
        <v>3208</v>
      </c>
      <c r="C66" s="2857"/>
      <c r="D66" s="940"/>
      <c r="E66" s="940"/>
      <c r="F66" s="940"/>
      <c r="G66" s="1039"/>
      <c r="H66" s="2858" t="s">
        <v>669</v>
      </c>
      <c r="I66" s="2719">
        <v>102500</v>
      </c>
      <c r="J66" s="2858" t="s">
        <v>669</v>
      </c>
      <c r="K66" s="2719">
        <v>102500</v>
      </c>
      <c r="L66" s="2858" t="s">
        <v>669</v>
      </c>
      <c r="M66" s="2719">
        <v>58250</v>
      </c>
      <c r="N66" s="2858" t="s">
        <v>669</v>
      </c>
      <c r="O66" s="2719">
        <v>58250</v>
      </c>
      <c r="P66" s="2858" t="s">
        <v>669</v>
      </c>
      <c r="Q66" s="2719"/>
      <c r="R66" s="2858" t="s">
        <v>669</v>
      </c>
      <c r="S66" s="2719"/>
      <c r="T66" s="2858" t="s">
        <v>669</v>
      </c>
      <c r="U66" s="2719">
        <v>67608</v>
      </c>
      <c r="V66" s="2858" t="s">
        <v>669</v>
      </c>
      <c r="W66" s="2717"/>
      <c r="X66" s="2858" t="s">
        <v>669</v>
      </c>
      <c r="Y66" s="2719">
        <v>119500</v>
      </c>
      <c r="Z66" s="2858" t="s">
        <v>669</v>
      </c>
      <c r="AA66" s="2719">
        <v>70185</v>
      </c>
      <c r="AB66" s="2858" t="s">
        <v>669</v>
      </c>
      <c r="AC66" s="2717"/>
      <c r="AD66" s="2858"/>
      <c r="AE66" s="2717"/>
    </row>
    <row r="67" spans="1:31" x14ac:dyDescent="0.35">
      <c r="A67" s="2854"/>
      <c r="B67" s="2856"/>
      <c r="C67" s="2857"/>
      <c r="D67" s="940"/>
      <c r="E67" s="940"/>
      <c r="F67" s="940"/>
      <c r="G67" s="1039"/>
      <c r="H67" s="2858"/>
      <c r="I67" s="2717"/>
      <c r="J67" s="2858"/>
      <c r="K67" s="2717"/>
      <c r="L67" s="2858"/>
      <c r="M67" s="2717"/>
      <c r="N67" s="2858"/>
      <c r="O67" s="2717"/>
      <c r="P67" s="2858"/>
      <c r="Q67" s="2717"/>
      <c r="R67" s="2858"/>
      <c r="S67" s="2717"/>
      <c r="T67" s="2858"/>
      <c r="U67" s="2717"/>
      <c r="V67" s="2858"/>
      <c r="W67" s="2717"/>
      <c r="X67" s="2858"/>
      <c r="Y67" s="2717"/>
      <c r="Z67" s="2858"/>
      <c r="AA67" s="2717"/>
      <c r="AB67" s="2858"/>
      <c r="AC67" s="2717"/>
      <c r="AD67" s="2858"/>
      <c r="AE67" s="2717"/>
    </row>
    <row r="68" spans="1:31" x14ac:dyDescent="0.35">
      <c r="A68" s="2854"/>
      <c r="B68" s="2855" t="s">
        <v>3209</v>
      </c>
      <c r="C68" s="2857"/>
      <c r="D68" s="940"/>
      <c r="E68" s="940"/>
      <c r="F68" s="940"/>
      <c r="G68" s="1039"/>
      <c r="H68" s="2858" t="s">
        <v>671</v>
      </c>
      <c r="I68" s="2719">
        <v>80000</v>
      </c>
      <c r="J68" s="2858" t="s">
        <v>671</v>
      </c>
      <c r="K68" s="2719">
        <v>80000</v>
      </c>
      <c r="L68" s="2859" t="s">
        <v>669</v>
      </c>
      <c r="M68" s="2719">
        <v>74540</v>
      </c>
      <c r="N68" s="2859" t="s">
        <v>669</v>
      </c>
      <c r="O68" s="2719">
        <f>(20660*2)+21225</f>
        <v>62545</v>
      </c>
      <c r="P68" s="2859" t="s">
        <v>669</v>
      </c>
      <c r="Q68" s="2719">
        <v>75000</v>
      </c>
      <c r="R68" s="2859" t="s">
        <v>669</v>
      </c>
      <c r="S68" s="2719">
        <v>75000</v>
      </c>
      <c r="T68" s="2858" t="s">
        <v>669</v>
      </c>
      <c r="U68" s="2719">
        <f>16009+16009+17178</f>
        <v>49196</v>
      </c>
      <c r="V68" s="2858" t="s">
        <v>669</v>
      </c>
      <c r="W68" s="2717"/>
      <c r="X68" s="2858" t="s">
        <v>669</v>
      </c>
      <c r="Y68" s="2719">
        <f>34488*3</f>
        <v>103464</v>
      </c>
      <c r="Z68" s="2859" t="s">
        <v>654</v>
      </c>
      <c r="AA68" s="2719">
        <f>Y68</f>
        <v>103464</v>
      </c>
      <c r="AB68" s="2858" t="s">
        <v>669</v>
      </c>
      <c r="AC68" s="2717"/>
      <c r="AD68" s="2858"/>
      <c r="AE68" s="2717"/>
    </row>
    <row r="69" spans="1:31" x14ac:dyDescent="0.35">
      <c r="A69" s="2854"/>
      <c r="B69" s="2860"/>
      <c r="C69" s="345"/>
      <c r="D69" s="940"/>
      <c r="E69" s="2861"/>
      <c r="F69" s="940"/>
      <c r="G69" s="1039"/>
      <c r="H69" s="2858"/>
      <c r="I69" s="2719"/>
      <c r="J69" s="2858"/>
      <c r="K69" s="2719"/>
      <c r="L69" s="2858"/>
      <c r="M69" s="2719"/>
      <c r="N69" s="2858"/>
      <c r="O69" s="2719"/>
      <c r="P69" s="2858"/>
      <c r="Q69" s="2719">
        <f t="shared" ref="Q69" si="0">U69</f>
        <v>0</v>
      </c>
      <c r="R69" s="2858"/>
      <c r="S69" s="2719">
        <f t="shared" ref="S69" si="1">W69</f>
        <v>0</v>
      </c>
      <c r="T69" s="2858"/>
      <c r="U69" s="2717"/>
      <c r="V69" s="2858"/>
      <c r="W69" s="2717"/>
      <c r="X69" s="2858"/>
      <c r="Y69" s="2717"/>
      <c r="Z69" s="2858"/>
      <c r="AA69" s="2719"/>
      <c r="AB69" s="2858"/>
      <c r="AC69" s="2717"/>
      <c r="AD69" s="2858"/>
      <c r="AE69" s="2717"/>
    </row>
    <row r="70" spans="1:31" x14ac:dyDescent="0.35">
      <c r="A70" s="2854"/>
      <c r="B70" s="2855" t="s">
        <v>3210</v>
      </c>
      <c r="C70" s="2857"/>
      <c r="D70" s="940"/>
      <c r="E70" s="940"/>
      <c r="F70" s="940"/>
      <c r="G70" s="1039"/>
      <c r="H70" s="2858" t="s">
        <v>671</v>
      </c>
      <c r="I70" s="2719">
        <v>15000</v>
      </c>
      <c r="J70" s="2858" t="s">
        <v>671</v>
      </c>
      <c r="K70" s="2719">
        <v>15000</v>
      </c>
      <c r="L70" s="2859" t="s">
        <v>669</v>
      </c>
      <c r="M70" s="2719">
        <v>10217</v>
      </c>
      <c r="N70" s="2859" t="s">
        <v>669</v>
      </c>
      <c r="O70" s="2719">
        <v>6586</v>
      </c>
      <c r="P70" s="2859" t="s">
        <v>669</v>
      </c>
      <c r="Q70" s="2719">
        <v>9000</v>
      </c>
      <c r="R70" s="2859" t="s">
        <v>669</v>
      </c>
      <c r="S70" s="2719">
        <v>9000</v>
      </c>
      <c r="T70" s="2859" t="s">
        <v>654</v>
      </c>
      <c r="U70" s="2719">
        <f>Y70</f>
        <v>9700</v>
      </c>
      <c r="V70" s="2858" t="s">
        <v>669</v>
      </c>
      <c r="W70" s="2717"/>
      <c r="X70" s="2858" t="s">
        <v>669</v>
      </c>
      <c r="Y70" s="2719">
        <v>9700</v>
      </c>
      <c r="Z70" s="2859" t="s">
        <v>654</v>
      </c>
      <c r="AA70" s="2719">
        <f>Y70</f>
        <v>9700</v>
      </c>
      <c r="AB70" s="2858" t="s">
        <v>669</v>
      </c>
      <c r="AC70" s="2717"/>
      <c r="AD70" s="2858"/>
      <c r="AE70" s="2717"/>
    </row>
    <row r="71" spans="1:31" s="77" customFormat="1" x14ac:dyDescent="0.35">
      <c r="A71" s="2848"/>
      <c r="B71" s="2849" t="s">
        <v>3211</v>
      </c>
      <c r="C71" s="2236"/>
      <c r="D71" s="2850"/>
      <c r="E71" s="2341"/>
      <c r="F71" s="2342"/>
      <c r="G71" s="2211"/>
      <c r="H71" s="2109" t="s">
        <v>669</v>
      </c>
      <c r="I71" s="2719">
        <v>47000</v>
      </c>
      <c r="J71" s="2109" t="s">
        <v>669</v>
      </c>
      <c r="K71" s="2719">
        <v>47000</v>
      </c>
      <c r="L71" s="2038" t="s">
        <v>669</v>
      </c>
      <c r="M71" s="2719"/>
      <c r="N71" s="2038" t="s">
        <v>669</v>
      </c>
      <c r="O71" s="2719"/>
      <c r="P71" s="2038" t="s">
        <v>669</v>
      </c>
      <c r="Q71" s="2719"/>
      <c r="R71" s="2038" t="s">
        <v>669</v>
      </c>
      <c r="S71" s="2719"/>
      <c r="T71" s="2038" t="s">
        <v>654</v>
      </c>
      <c r="U71" s="2719">
        <f>Y71</f>
        <v>0</v>
      </c>
      <c r="V71" s="2109" t="s">
        <v>669</v>
      </c>
      <c r="W71" s="2719"/>
      <c r="X71" s="2038" t="s">
        <v>669</v>
      </c>
      <c r="Y71" s="2719"/>
      <c r="Z71" s="2038" t="s">
        <v>654</v>
      </c>
      <c r="AA71" s="2719">
        <f>I71</f>
        <v>47000</v>
      </c>
      <c r="AB71" s="2038" t="s">
        <v>654</v>
      </c>
      <c r="AC71" s="2719">
        <f>Y71</f>
        <v>0</v>
      </c>
      <c r="AD71" s="2109"/>
      <c r="AE71" s="2838"/>
    </row>
    <row r="72" spans="1:31" x14ac:dyDescent="0.35">
      <c r="A72" s="2854"/>
      <c r="B72" s="2856" t="s">
        <v>3212</v>
      </c>
      <c r="C72" s="2857"/>
      <c r="D72" s="940"/>
      <c r="E72" s="940"/>
      <c r="F72" s="940"/>
      <c r="G72" s="1039"/>
      <c r="H72" s="2858"/>
      <c r="I72" s="2717"/>
      <c r="J72" s="2858"/>
      <c r="K72" s="2862">
        <v>-103500</v>
      </c>
      <c r="L72" s="2858"/>
      <c r="M72" s="2717"/>
      <c r="N72" s="2858"/>
      <c r="O72" s="2717"/>
      <c r="P72" s="2858"/>
      <c r="Q72" s="2717"/>
      <c r="R72" s="2858"/>
      <c r="S72" s="2717"/>
      <c r="T72" s="2858"/>
      <c r="U72" s="2717"/>
      <c r="V72" s="2858"/>
      <c r="W72" s="2717"/>
      <c r="X72" s="2858"/>
      <c r="Y72" s="2717"/>
      <c r="Z72" s="2858"/>
      <c r="AA72" s="2717"/>
      <c r="AB72" s="2858"/>
      <c r="AC72" s="2717"/>
      <c r="AD72" s="2858"/>
      <c r="AE72" s="2717"/>
    </row>
    <row r="73" spans="1:31" x14ac:dyDescent="0.35">
      <c r="A73" s="14"/>
      <c r="B73" s="15"/>
      <c r="C73" s="16"/>
      <c r="D73" s="16"/>
      <c r="E73" s="17"/>
      <c r="F73" s="18" t="s">
        <v>715</v>
      </c>
      <c r="G73" s="19"/>
      <c r="H73" s="20"/>
      <c r="I73" s="50">
        <f>SUM(I23:I72)</f>
        <v>1863500</v>
      </c>
      <c r="J73" s="20"/>
      <c r="K73" s="50">
        <f>SUM(K23:K72)</f>
        <v>1760000</v>
      </c>
      <c r="L73" s="20"/>
      <c r="M73" s="50">
        <f>SUM(M23:M72)</f>
        <v>1888010</v>
      </c>
      <c r="N73" s="20"/>
      <c r="O73" s="50">
        <f>SUM(O23:O72)</f>
        <v>1632000</v>
      </c>
      <c r="P73" s="20"/>
      <c r="Q73" s="50">
        <f>SUM(Q23:Q72)</f>
        <v>1824000</v>
      </c>
      <c r="R73" s="20"/>
      <c r="S73" s="50">
        <f>SUM(S23:S72)</f>
        <v>1919150</v>
      </c>
      <c r="T73" s="20"/>
      <c r="U73" s="50">
        <f>SUM(U23:U72)</f>
        <v>1924318</v>
      </c>
      <c r="V73" s="20"/>
      <c r="W73" s="50">
        <f>SUM(W23:W72)</f>
        <v>1942000</v>
      </c>
      <c r="X73" s="20"/>
      <c r="Y73" s="50">
        <f>SUM(Y23:Z72)</f>
        <v>2149571</v>
      </c>
      <c r="Z73" s="20"/>
      <c r="AA73" s="50">
        <f>SUM(AA23:AA71)</f>
        <v>2149837</v>
      </c>
      <c r="AB73" s="20"/>
      <c r="AC73" s="50">
        <f>SUM(AC23:AC64)</f>
        <v>2232270</v>
      </c>
      <c r="AD73" s="20"/>
      <c r="AE73" s="50">
        <f>SUM(AE23:AE64)</f>
        <v>0</v>
      </c>
    </row>
    <row r="74" spans="1:31" x14ac:dyDescent="0.35">
      <c r="A74" s="2239"/>
      <c r="B74" s="2240"/>
      <c r="C74" s="2241"/>
      <c r="D74" s="2241"/>
      <c r="E74" s="2242"/>
      <c r="F74" s="2243" t="s">
        <v>716</v>
      </c>
      <c r="G74" s="2244"/>
      <c r="H74" s="2065">
        <v>0</v>
      </c>
      <c r="I74" s="2064"/>
      <c r="J74" s="2065">
        <v>0</v>
      </c>
      <c r="K74" s="2064"/>
      <c r="L74" s="2065">
        <v>0</v>
      </c>
      <c r="M74" s="2064"/>
      <c r="N74" s="2065">
        <v>0</v>
      </c>
      <c r="O74" s="2064"/>
      <c r="P74" s="2065">
        <v>0</v>
      </c>
      <c r="Q74" s="2064"/>
      <c r="R74" s="2065">
        <v>0</v>
      </c>
      <c r="S74" s="2064"/>
      <c r="T74" s="2065">
        <v>0</v>
      </c>
      <c r="U74" s="2064"/>
      <c r="V74" s="2065">
        <v>0</v>
      </c>
      <c r="W74" s="2064"/>
      <c r="X74" s="2065">
        <v>0</v>
      </c>
      <c r="Y74" s="2064"/>
      <c r="Z74" s="2065">
        <v>0</v>
      </c>
      <c r="AA74" s="2064"/>
      <c r="AB74" s="2065">
        <v>0</v>
      </c>
      <c r="AC74" s="2064"/>
      <c r="AD74" s="2065">
        <v>0</v>
      </c>
      <c r="AE74" s="2064"/>
    </row>
    <row r="75" spans="1:31" x14ac:dyDescent="0.35">
      <c r="A75" s="2239"/>
      <c r="B75" s="2240"/>
      <c r="C75" s="2241"/>
      <c r="D75" s="2241"/>
      <c r="E75" s="2242"/>
      <c r="F75" s="2243" t="s">
        <v>717</v>
      </c>
      <c r="G75" s="2244"/>
      <c r="H75" s="2066"/>
      <c r="I75" s="2067">
        <f>H74*I73</f>
        <v>0</v>
      </c>
      <c r="J75" s="2066"/>
      <c r="K75" s="2067">
        <f>J74*K73</f>
        <v>0</v>
      </c>
      <c r="L75" s="2066"/>
      <c r="M75" s="2067">
        <f>L74*M73</f>
        <v>0</v>
      </c>
      <c r="N75" s="2066"/>
      <c r="O75" s="2067">
        <f>N74*O73</f>
        <v>0</v>
      </c>
      <c r="P75" s="2066"/>
      <c r="Q75" s="2067">
        <f>P74*Q73</f>
        <v>0</v>
      </c>
      <c r="R75" s="2066"/>
      <c r="S75" s="2067">
        <f>R74*S73</f>
        <v>0</v>
      </c>
      <c r="T75" s="2066"/>
      <c r="U75" s="2067">
        <f>T74*U73</f>
        <v>0</v>
      </c>
      <c r="V75" s="2066"/>
      <c r="W75" s="2067">
        <f>V74*W73</f>
        <v>0</v>
      </c>
      <c r="X75" s="2066"/>
      <c r="Y75" s="2067">
        <f>X74*Y73</f>
        <v>0</v>
      </c>
      <c r="Z75" s="2066"/>
      <c r="AA75" s="2067">
        <f>Z74*AA73</f>
        <v>0</v>
      </c>
      <c r="AB75" s="2066"/>
      <c r="AC75" s="2067">
        <f>AB74*AC73</f>
        <v>0</v>
      </c>
      <c r="AD75" s="2066"/>
      <c r="AE75" s="2067">
        <f>AD74*AE73</f>
        <v>0</v>
      </c>
    </row>
    <row r="76" spans="1:31" x14ac:dyDescent="0.35">
      <c r="A76" s="2239"/>
      <c r="B76" s="2240"/>
      <c r="C76" s="2241"/>
      <c r="D76" s="2241"/>
      <c r="E76" s="2242"/>
      <c r="F76" s="2243"/>
      <c r="G76" s="2244"/>
      <c r="H76" s="2066"/>
      <c r="I76" s="2068"/>
      <c r="J76" s="2066"/>
      <c r="K76" s="2068"/>
      <c r="L76" s="2066"/>
      <c r="M76" s="2068"/>
      <c r="N76" s="2066"/>
      <c r="O76" s="2068"/>
      <c r="P76" s="2066"/>
      <c r="Q76" s="2068"/>
      <c r="R76" s="2066"/>
      <c r="S76" s="2068"/>
      <c r="T76" s="2066"/>
      <c r="U76" s="2068"/>
      <c r="V76" s="2066"/>
      <c r="W76" s="2068"/>
      <c r="X76" s="2066"/>
      <c r="Y76" s="2068"/>
      <c r="Z76" s="2066"/>
      <c r="AA76" s="2068"/>
      <c r="AB76" s="2066"/>
      <c r="AC76" s="2068"/>
      <c r="AD76" s="2066"/>
      <c r="AE76" s="2068"/>
    </row>
    <row r="77" spans="1:31" x14ac:dyDescent="0.35">
      <c r="A77" s="2239"/>
      <c r="B77" s="2240"/>
      <c r="C77" s="2241"/>
      <c r="D77" s="2241"/>
      <c r="E77" s="2242"/>
      <c r="F77" s="2243" t="s">
        <v>718</v>
      </c>
      <c r="G77" s="2244"/>
      <c r="H77" s="2069"/>
      <c r="I77" s="2070">
        <f>SUM(I73:I75)</f>
        <v>1863500</v>
      </c>
      <c r="J77" s="2069"/>
      <c r="K77" s="2070">
        <f>SUM(K73:K75)</f>
        <v>1760000</v>
      </c>
      <c r="L77" s="2069"/>
      <c r="M77" s="2070">
        <f>SUM(M73:M75)</f>
        <v>1888010</v>
      </c>
      <c r="N77" s="2069"/>
      <c r="O77" s="2070">
        <f>SUM(O73:O75)</f>
        <v>1632000</v>
      </c>
      <c r="P77" s="2069"/>
      <c r="Q77" s="2070">
        <f>SUM(Q73:Q75)</f>
        <v>1824000</v>
      </c>
      <c r="R77" s="2069"/>
      <c r="S77" s="2070">
        <f>SUM(S73:S75)</f>
        <v>1919150</v>
      </c>
      <c r="T77" s="2069"/>
      <c r="U77" s="2070">
        <f>SUM(U73:U75)</f>
        <v>1924318</v>
      </c>
      <c r="V77" s="2069"/>
      <c r="W77" s="2070">
        <f>SUM(W73:W75)</f>
        <v>1942000</v>
      </c>
      <c r="X77" s="2069"/>
      <c r="Y77" s="2070">
        <f>SUM(Y73:Y75)</f>
        <v>2149571</v>
      </c>
      <c r="Z77" s="2069"/>
      <c r="AA77" s="2070">
        <f>SUM(AA73:AA75)</f>
        <v>2149837</v>
      </c>
      <c r="AB77" s="2069"/>
      <c r="AC77" s="2070">
        <f>SUM(AC73:AC75)</f>
        <v>2232270</v>
      </c>
      <c r="AD77" s="2069"/>
      <c r="AE77" s="2070">
        <f>SUM(AE73:AE75)</f>
        <v>0</v>
      </c>
    </row>
    <row r="78" spans="1:31" x14ac:dyDescent="0.35">
      <c r="A78" s="2239"/>
      <c r="B78" s="2240"/>
      <c r="C78" s="2241"/>
      <c r="D78" s="2241"/>
      <c r="E78" s="2242"/>
      <c r="F78" s="2255" t="s">
        <v>719</v>
      </c>
      <c r="G78" s="2256"/>
      <c r="H78" s="2073"/>
      <c r="I78" s="2074" t="e">
        <f>I77/#REF!</f>
        <v>#REF!</v>
      </c>
      <c r="J78" s="2073"/>
      <c r="K78" s="2074" t="e">
        <f>K77/#REF!</f>
        <v>#REF!</v>
      </c>
      <c r="L78" s="2073"/>
      <c r="M78" s="2074" t="e">
        <f>M77/#REF!</f>
        <v>#REF!</v>
      </c>
      <c r="N78" s="2073"/>
      <c r="O78" s="2074" t="e">
        <f>O77/#REF!</f>
        <v>#REF!</v>
      </c>
      <c r="P78" s="2073"/>
      <c r="Q78" s="2074" t="e">
        <f>Q77/#REF!</f>
        <v>#REF!</v>
      </c>
      <c r="R78" s="2073"/>
      <c r="S78" s="2074" t="e">
        <f>S77/#REF!</f>
        <v>#REF!</v>
      </c>
      <c r="T78" s="2073"/>
      <c r="U78" s="2074" t="e">
        <f>U77/#REF!</f>
        <v>#REF!</v>
      </c>
      <c r="V78" s="2073"/>
      <c r="W78" s="2074" t="e">
        <f>W77/#REF!</f>
        <v>#REF!</v>
      </c>
      <c r="X78" s="2073"/>
      <c r="Y78" s="2074" t="e">
        <f>Y77/#REF!</f>
        <v>#REF!</v>
      </c>
      <c r="Z78" s="2073"/>
      <c r="AA78" s="2074" t="e">
        <f>AA77/#REF!</f>
        <v>#REF!</v>
      </c>
      <c r="AB78" s="2073"/>
      <c r="AC78" s="2074" t="e">
        <f>AC77/#REF!</f>
        <v>#REF!</v>
      </c>
      <c r="AD78" s="2073"/>
      <c r="AE78" s="2074" t="e">
        <f>AE77/#REF!</f>
        <v>#REF!</v>
      </c>
    </row>
    <row r="79" spans="1:31" x14ac:dyDescent="0.35">
      <c r="A79" s="2239"/>
      <c r="B79" s="2240"/>
      <c r="C79" s="2241"/>
      <c r="D79" s="2241"/>
      <c r="E79" s="2242"/>
      <c r="F79" s="2255" t="s">
        <v>720</v>
      </c>
      <c r="G79" s="2260"/>
      <c r="H79" s="2073"/>
      <c r="I79" s="2074" t="e">
        <f>I77/#REF!</f>
        <v>#REF!</v>
      </c>
      <c r="J79" s="2073"/>
      <c r="K79" s="2074" t="e">
        <f>K77/#REF!</f>
        <v>#REF!</v>
      </c>
      <c r="L79" s="2073"/>
      <c r="M79" s="2074" t="e">
        <f>M77/#REF!</f>
        <v>#REF!</v>
      </c>
      <c r="N79" s="2073"/>
      <c r="O79" s="2074" t="e">
        <f>O77/#REF!</f>
        <v>#REF!</v>
      </c>
      <c r="P79" s="2073"/>
      <c r="Q79" s="2074" t="e">
        <f>Q77/#REF!</f>
        <v>#REF!</v>
      </c>
      <c r="R79" s="2073"/>
      <c r="S79" s="2074" t="e">
        <f>S77/#REF!</f>
        <v>#REF!</v>
      </c>
      <c r="T79" s="2073"/>
      <c r="U79" s="2074" t="e">
        <f>U77/#REF!</f>
        <v>#REF!</v>
      </c>
      <c r="V79" s="2073"/>
      <c r="W79" s="2074" t="e">
        <f>W77/#REF!</f>
        <v>#REF!</v>
      </c>
      <c r="X79" s="2073"/>
      <c r="Y79" s="2074" t="e">
        <f>Y77/#REF!</f>
        <v>#REF!</v>
      </c>
      <c r="Z79" s="2073"/>
      <c r="AA79" s="2074" t="e">
        <f>AA77/#REF!</f>
        <v>#REF!</v>
      </c>
      <c r="AB79" s="2073"/>
      <c r="AC79" s="2074" t="e">
        <f>AC77/#REF!</f>
        <v>#REF!</v>
      </c>
      <c r="AD79" s="2073"/>
      <c r="AE79" s="2074" t="e">
        <f>AE77/#REF!</f>
        <v>#REF!</v>
      </c>
    </row>
    <row r="80" spans="1:31" x14ac:dyDescent="0.35">
      <c r="A80" s="2239"/>
      <c r="B80" s="2240"/>
      <c r="C80" s="2241"/>
      <c r="D80" s="2241"/>
      <c r="E80" s="2242"/>
      <c r="F80" s="2243"/>
      <c r="G80" s="2261"/>
      <c r="H80" s="2077"/>
      <c r="I80" s="2078"/>
      <c r="J80" s="2077"/>
      <c r="K80" s="2078"/>
      <c r="L80" s="2077"/>
      <c r="M80" s="2078"/>
      <c r="N80" s="2077"/>
      <c r="O80" s="2078"/>
      <c r="P80" s="2077"/>
      <c r="Q80" s="2078"/>
      <c r="R80" s="2077"/>
      <c r="S80" s="2078"/>
      <c r="T80" s="2077"/>
      <c r="U80" s="2078"/>
      <c r="V80" s="2077"/>
      <c r="W80" s="2078"/>
      <c r="X80" s="2077"/>
      <c r="Y80" s="2078"/>
      <c r="Z80" s="2077"/>
      <c r="AA80" s="2078"/>
      <c r="AB80" s="2077"/>
      <c r="AC80" s="2078"/>
      <c r="AD80" s="2077"/>
      <c r="AE80" s="2078"/>
    </row>
    <row r="81" spans="1:31" x14ac:dyDescent="0.35">
      <c r="A81" s="3764" t="s">
        <v>721</v>
      </c>
      <c r="B81" s="3765"/>
      <c r="C81" s="12"/>
      <c r="D81" s="12"/>
      <c r="E81" s="12"/>
      <c r="F81" s="12"/>
      <c r="G81" s="13"/>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spans="1:31" x14ac:dyDescent="0.35">
      <c r="A82" s="2708"/>
      <c r="B82" s="2284"/>
      <c r="C82" s="2709"/>
      <c r="D82" s="2709"/>
      <c r="E82" s="2709"/>
      <c r="F82" s="2709"/>
      <c r="G82" s="2863"/>
      <c r="H82" s="2711"/>
      <c r="I82" s="2711"/>
      <c r="J82" s="2711"/>
      <c r="K82" s="2711"/>
      <c r="L82" s="2711"/>
      <c r="M82" s="2711"/>
      <c r="N82" s="2711"/>
      <c r="O82" s="2711"/>
      <c r="P82" s="2711"/>
      <c r="Q82" s="2711"/>
      <c r="R82" s="2711"/>
      <c r="S82" s="2711"/>
      <c r="T82" s="2711"/>
      <c r="U82" s="2711"/>
      <c r="V82" s="2711"/>
      <c r="W82" s="2711"/>
      <c r="X82" s="2711"/>
      <c r="Y82" s="2711"/>
      <c r="Z82" s="2711"/>
      <c r="AA82" s="2711"/>
      <c r="AB82" s="2711"/>
      <c r="AC82" s="2711"/>
      <c r="AD82" s="2711"/>
      <c r="AE82" s="2711"/>
    </row>
    <row r="83" spans="1:31" s="2" customFormat="1" x14ac:dyDescent="0.35">
      <c r="A83" s="2708"/>
      <c r="B83" s="2284"/>
      <c r="C83" s="2709"/>
      <c r="D83" s="2709"/>
      <c r="E83" s="2709"/>
      <c r="F83" s="2709"/>
      <c r="G83" s="2863"/>
      <c r="H83" s="2711"/>
      <c r="I83" s="2711"/>
      <c r="J83" s="2711"/>
      <c r="K83" s="2711"/>
      <c r="L83" s="2711"/>
      <c r="M83" s="2711"/>
      <c r="N83" s="2711"/>
      <c r="O83" s="2711"/>
      <c r="P83" s="2711"/>
      <c r="Q83" s="2711"/>
      <c r="R83" s="2711"/>
      <c r="S83" s="2711"/>
      <c r="T83" s="2711"/>
      <c r="U83" s="2711"/>
      <c r="V83" s="2711"/>
      <c r="W83" s="2711"/>
      <c r="X83" s="2711"/>
      <c r="Y83" s="2711"/>
      <c r="Z83" s="2711"/>
      <c r="AA83" s="2711"/>
      <c r="AB83" s="2711"/>
      <c r="AC83" s="2711"/>
      <c r="AD83" s="2711"/>
      <c r="AE83" s="2711"/>
    </row>
    <row r="84" spans="1:31" s="2" customFormat="1" x14ac:dyDescent="0.35">
      <c r="A84" s="2708"/>
      <c r="B84" s="2284"/>
      <c r="C84" s="2709"/>
      <c r="D84" s="2709"/>
      <c r="E84" s="2709"/>
      <c r="F84" s="2709"/>
      <c r="G84" s="2863"/>
      <c r="H84" s="2711"/>
      <c r="I84" s="2711"/>
      <c r="J84" s="2711"/>
      <c r="K84" s="2711"/>
      <c r="L84" s="2711"/>
      <c r="M84" s="2711"/>
      <c r="N84" s="2711"/>
      <c r="O84" s="2711"/>
      <c r="P84" s="2711"/>
      <c r="Q84" s="2711"/>
      <c r="R84" s="2711"/>
      <c r="S84" s="2711"/>
      <c r="T84" s="2711"/>
      <c r="U84" s="2711"/>
      <c r="V84" s="2711"/>
      <c r="W84" s="2711"/>
      <c r="X84" s="2711"/>
      <c r="Y84" s="2711"/>
      <c r="Z84" s="2711"/>
      <c r="AA84" s="2711"/>
      <c r="AB84" s="2711"/>
      <c r="AC84" s="2711"/>
      <c r="AD84" s="2711"/>
      <c r="AE84" s="2711"/>
    </row>
    <row r="85" spans="1:31" x14ac:dyDescent="0.35">
      <c r="A85" s="3764" t="s">
        <v>722</v>
      </c>
      <c r="B85" s="3765"/>
      <c r="C85" s="12"/>
      <c r="D85" s="12"/>
      <c r="E85" s="12"/>
      <c r="F85" s="12"/>
      <c r="G85" s="13"/>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spans="1:31" s="2" customFormat="1" x14ac:dyDescent="0.35">
      <c r="A86" s="2708"/>
      <c r="B86" s="2284"/>
      <c r="C86" s="2709"/>
      <c r="D86" s="2709"/>
      <c r="E86" s="2709"/>
      <c r="F86" s="2709"/>
      <c r="G86" s="2863"/>
      <c r="H86" s="2711"/>
      <c r="I86" s="2711"/>
      <c r="J86" s="2711"/>
      <c r="K86" s="2711"/>
      <c r="L86" s="2711"/>
      <c r="M86" s="2711"/>
      <c r="N86" s="2711"/>
      <c r="O86" s="2711"/>
      <c r="P86" s="2711"/>
      <c r="Q86" s="2711"/>
      <c r="R86" s="2711"/>
      <c r="S86" s="2711"/>
      <c r="T86" s="2711"/>
      <c r="U86" s="2711"/>
      <c r="V86" s="2711"/>
      <c r="W86" s="2711"/>
      <c r="X86" s="2711"/>
      <c r="Y86" s="2711"/>
      <c r="Z86" s="2711"/>
      <c r="AA86" s="2711"/>
      <c r="AB86" s="2711"/>
      <c r="AC86" s="2711"/>
      <c r="AD86" s="2711"/>
      <c r="AE86" s="2711"/>
    </row>
    <row r="87" spans="1:31" s="2" customFormat="1" x14ac:dyDescent="0.35">
      <c r="A87" s="2708"/>
      <c r="B87" s="2284"/>
      <c r="C87" s="2709"/>
      <c r="D87" s="2709"/>
      <c r="E87" s="2709"/>
      <c r="F87" s="2709"/>
      <c r="G87" s="2863"/>
      <c r="H87" s="2711"/>
      <c r="I87" s="2711"/>
      <c r="J87" s="2711"/>
      <c r="K87" s="2711"/>
      <c r="L87" s="2711"/>
      <c r="M87" s="2711"/>
      <c r="N87" s="2711"/>
      <c r="O87" s="2711"/>
      <c r="P87" s="2711"/>
      <c r="Q87" s="2711"/>
      <c r="R87" s="2711"/>
      <c r="S87" s="2711"/>
      <c r="T87" s="2711"/>
      <c r="U87" s="2711"/>
      <c r="V87" s="2711"/>
      <c r="W87" s="2711"/>
      <c r="X87" s="2711"/>
      <c r="Y87" s="2711"/>
      <c r="Z87" s="2711"/>
      <c r="AA87" s="2711"/>
      <c r="AB87" s="2711"/>
      <c r="AC87" s="2711"/>
      <c r="AD87" s="2711"/>
      <c r="AE87" s="2711"/>
    </row>
    <row r="88" spans="1:31" x14ac:dyDescent="0.35">
      <c r="A88" s="2708"/>
      <c r="B88" s="2284"/>
      <c r="C88" s="2709"/>
      <c r="D88" s="2709"/>
      <c r="E88" s="2709"/>
      <c r="F88" s="2709"/>
      <c r="G88" s="2863"/>
      <c r="H88" s="2711"/>
      <c r="I88" s="2711"/>
      <c r="J88" s="2711"/>
      <c r="K88" s="2711"/>
      <c r="L88" s="2711"/>
      <c r="M88" s="2711"/>
      <c r="N88" s="2711"/>
      <c r="O88" s="2711"/>
      <c r="P88" s="2711"/>
      <c r="Q88" s="2711"/>
      <c r="R88" s="2711"/>
      <c r="S88" s="2711"/>
      <c r="T88" s="2711"/>
      <c r="U88" s="2711"/>
      <c r="V88" s="2711"/>
      <c r="W88" s="2711"/>
      <c r="X88" s="2711"/>
      <c r="Y88" s="2711"/>
      <c r="Z88" s="2711"/>
      <c r="AA88" s="2711"/>
      <c r="AB88" s="2711"/>
      <c r="AC88" s="2711"/>
      <c r="AD88" s="2711"/>
      <c r="AE88" s="2711"/>
    </row>
    <row r="89" spans="1:31" x14ac:dyDescent="0.35">
      <c r="A89" s="3764" t="s">
        <v>723</v>
      </c>
      <c r="B89" s="3765"/>
      <c r="C89" s="12"/>
      <c r="D89" s="12"/>
      <c r="E89" s="12"/>
      <c r="F89" s="12"/>
      <c r="G89" s="13"/>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31" x14ac:dyDescent="0.35">
      <c r="A90" s="2708"/>
      <c r="B90" s="2284" t="s">
        <v>3213</v>
      </c>
      <c r="C90" s="2709"/>
      <c r="D90" s="2709"/>
      <c r="E90" s="2709"/>
      <c r="F90" s="2709"/>
      <c r="G90" s="2863"/>
      <c r="H90" s="2711"/>
      <c r="I90" s="2711">
        <v>320000</v>
      </c>
      <c r="J90" s="2711"/>
      <c r="K90" s="2711">
        <v>320000</v>
      </c>
      <c r="L90" s="2711"/>
      <c r="M90" s="2711"/>
      <c r="N90" s="2859" t="s">
        <v>669</v>
      </c>
      <c r="O90" s="2711">
        <f>295000</f>
        <v>295000</v>
      </c>
      <c r="P90" s="2711"/>
      <c r="Q90" s="2711">
        <v>32000</v>
      </c>
      <c r="R90" s="2711"/>
      <c r="S90" s="2711">
        <v>32000</v>
      </c>
      <c r="T90" s="2711"/>
      <c r="U90" s="2711"/>
      <c r="V90" s="2711"/>
      <c r="W90" s="2711"/>
      <c r="X90" s="2711"/>
      <c r="Y90" s="2711"/>
      <c r="Z90" s="2711"/>
      <c r="AA90" s="2711"/>
      <c r="AB90" s="2711"/>
      <c r="AC90" s="2711"/>
      <c r="AD90" s="2711"/>
      <c r="AE90" s="2711"/>
    </row>
    <row r="91" spans="1:31" x14ac:dyDescent="0.35">
      <c r="A91" s="2286"/>
      <c r="B91" s="2284" t="s">
        <v>3214</v>
      </c>
      <c r="C91" s="2285"/>
      <c r="D91" s="2285"/>
      <c r="E91" s="2285"/>
      <c r="F91" s="2285"/>
      <c r="G91" s="2198"/>
      <c r="H91" s="2081"/>
      <c r="I91" s="2081"/>
      <c r="J91" s="2081"/>
      <c r="K91" s="2081"/>
      <c r="L91" s="2081"/>
      <c r="M91" s="2081"/>
      <c r="N91" s="2859" t="s">
        <v>669</v>
      </c>
      <c r="O91" s="2081">
        <f>74600</f>
        <v>74600</v>
      </c>
      <c r="P91" s="2081"/>
      <c r="Q91" s="2081"/>
      <c r="R91" s="2081"/>
      <c r="S91" s="2081"/>
      <c r="T91" s="2081"/>
      <c r="U91" s="2081"/>
      <c r="V91" s="2081"/>
      <c r="W91" s="2081"/>
      <c r="X91" s="2081"/>
      <c r="Y91" s="2081"/>
      <c r="Z91" s="2081"/>
      <c r="AA91" s="2081"/>
      <c r="AB91" s="2081"/>
      <c r="AC91" s="2081"/>
      <c r="AD91" s="2081"/>
      <c r="AE91" s="2081"/>
    </row>
    <row r="92" spans="1:31" x14ac:dyDescent="0.35">
      <c r="A92" s="2269"/>
      <c r="B92" s="2284" t="s">
        <v>3215</v>
      </c>
      <c r="C92" s="2285"/>
      <c r="D92" s="2285"/>
      <c r="E92" s="2285"/>
      <c r="F92" s="2285"/>
      <c r="G92" s="2198"/>
      <c r="H92" s="2084"/>
      <c r="I92" s="2084"/>
      <c r="J92" s="2084"/>
      <c r="K92" s="2084"/>
      <c r="L92" s="2084"/>
      <c r="M92" s="2084"/>
      <c r="N92" s="2859" t="s">
        <v>669</v>
      </c>
      <c r="O92" s="2081">
        <f>10217</f>
        <v>10217</v>
      </c>
      <c r="P92" s="2084"/>
      <c r="Q92" s="2084"/>
      <c r="R92" s="2084"/>
      <c r="S92" s="2084"/>
      <c r="T92" s="2084"/>
      <c r="U92" s="2084"/>
      <c r="V92" s="2084"/>
      <c r="W92" s="2084"/>
      <c r="X92" s="2084"/>
      <c r="Y92" s="2084"/>
      <c r="Z92" s="2084"/>
      <c r="AA92" s="2084"/>
      <c r="AB92" s="2084"/>
      <c r="AC92" s="2084"/>
      <c r="AD92" s="2084"/>
      <c r="AE92" s="2084"/>
    </row>
    <row r="93" spans="1:31" x14ac:dyDescent="0.35">
      <c r="A93" s="3764" t="s">
        <v>724</v>
      </c>
      <c r="B93" s="3765"/>
      <c r="C93" s="12"/>
      <c r="D93" s="12"/>
      <c r="E93" s="12"/>
      <c r="F93" s="12"/>
      <c r="G93" s="13"/>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x14ac:dyDescent="0.35">
      <c r="A94" s="2712"/>
      <c r="B94" s="2713" t="s">
        <v>3216</v>
      </c>
      <c r="C94" s="2709"/>
      <c r="D94" s="2709"/>
      <c r="E94" s="2709"/>
      <c r="F94" s="2709"/>
      <c r="G94" s="2863"/>
      <c r="H94" s="2711"/>
      <c r="I94" s="2711"/>
      <c r="J94" s="2711"/>
      <c r="K94" s="2711"/>
      <c r="L94" s="2711"/>
      <c r="M94" s="2711"/>
      <c r="N94" s="2711"/>
      <c r="O94" s="2864">
        <v>-18000</v>
      </c>
      <c r="P94" s="2711"/>
      <c r="Q94" s="2711"/>
      <c r="R94" s="2711"/>
      <c r="S94" s="2711"/>
      <c r="T94" s="2711"/>
      <c r="U94" s="2711"/>
      <c r="V94" s="2711"/>
      <c r="W94" s="2711"/>
      <c r="X94" s="2711"/>
      <c r="Y94" s="2711"/>
      <c r="Z94" s="2711"/>
      <c r="AA94" s="2711"/>
      <c r="AB94" s="2711"/>
      <c r="AC94" s="2711"/>
      <c r="AD94" s="2711"/>
      <c r="AE94" s="2711"/>
    </row>
    <row r="95" spans="1:31" x14ac:dyDescent="0.35">
      <c r="A95" s="2269"/>
      <c r="B95" s="2713" t="s">
        <v>3217</v>
      </c>
      <c r="C95" s="2285"/>
      <c r="D95" s="2285"/>
      <c r="E95" s="2285"/>
      <c r="F95" s="2285"/>
      <c r="G95" s="2198"/>
      <c r="H95" s="2087"/>
      <c r="I95" s="2087"/>
      <c r="J95" s="2087"/>
      <c r="K95" s="2087"/>
      <c r="L95" s="2087"/>
      <c r="M95" s="2087"/>
      <c r="N95" s="2087"/>
      <c r="O95" s="2086">
        <v>-21000</v>
      </c>
      <c r="P95" s="2087"/>
      <c r="Q95" s="2087"/>
      <c r="R95" s="2087"/>
      <c r="S95" s="2087"/>
      <c r="T95" s="2087"/>
      <c r="U95" s="2087"/>
      <c r="V95" s="2087"/>
      <c r="W95" s="2087"/>
      <c r="X95" s="2087"/>
      <c r="Y95" s="2087"/>
      <c r="Z95" s="2087"/>
      <c r="AA95" s="2087"/>
      <c r="AB95" s="2087"/>
      <c r="AC95" s="2087"/>
      <c r="AD95" s="2087"/>
      <c r="AE95" s="2087"/>
    </row>
    <row r="96" spans="1:31" x14ac:dyDescent="0.35">
      <c r="A96" s="2269"/>
      <c r="B96" s="2713" t="s">
        <v>3218</v>
      </c>
      <c r="C96" s="2285"/>
      <c r="D96" s="2285"/>
      <c r="E96" s="2285"/>
      <c r="F96" s="2285"/>
      <c r="G96" s="2198"/>
      <c r="H96" s="2087"/>
      <c r="I96" s="2087"/>
      <c r="J96" s="2087"/>
      <c r="K96" s="2087"/>
      <c r="L96" s="2087"/>
      <c r="M96" s="2087"/>
      <c r="N96" s="2087"/>
      <c r="O96" s="2086">
        <v>-800</v>
      </c>
      <c r="P96" s="2087"/>
      <c r="Q96" s="2087"/>
      <c r="R96" s="2087"/>
      <c r="S96" s="2087"/>
      <c r="T96" s="2087"/>
      <c r="U96" s="2087"/>
      <c r="V96" s="2087"/>
      <c r="W96" s="2087"/>
      <c r="X96" s="2087"/>
      <c r="Y96" s="2087"/>
      <c r="Z96" s="2087"/>
      <c r="AA96" s="2087"/>
      <c r="AB96" s="2087"/>
      <c r="AC96" s="2087"/>
      <c r="AD96" s="2087"/>
      <c r="AE96" s="2087"/>
    </row>
    <row r="97" spans="1:31" x14ac:dyDescent="0.35">
      <c r="A97" s="3764" t="s">
        <v>725</v>
      </c>
      <c r="B97" s="3765"/>
      <c r="C97" s="12"/>
      <c r="D97" s="12"/>
      <c r="E97" s="12"/>
      <c r="F97" s="12"/>
      <c r="G97" s="13"/>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spans="1:31" x14ac:dyDescent="0.35">
      <c r="A98" s="2286"/>
      <c r="B98" s="2284" t="s">
        <v>726</v>
      </c>
      <c r="C98" s="2285"/>
      <c r="D98" s="2285"/>
      <c r="E98" s="2285"/>
      <c r="F98" s="2285"/>
      <c r="G98" s="2198"/>
      <c r="H98" s="2087"/>
      <c r="I98" s="2087"/>
      <c r="J98" s="2087"/>
      <c r="K98" s="2087"/>
      <c r="L98" s="2087"/>
      <c r="M98" s="2087"/>
      <c r="N98" s="2087"/>
      <c r="O98" s="2087"/>
      <c r="P98" s="2087"/>
      <c r="Q98" s="2087"/>
      <c r="R98" s="2087"/>
      <c r="S98" s="2087"/>
      <c r="T98" s="2087"/>
      <c r="U98" s="2087"/>
      <c r="V98" s="2087"/>
      <c r="W98" s="2087"/>
      <c r="X98" s="2087"/>
      <c r="Y98" s="2087"/>
      <c r="Z98" s="2087"/>
      <c r="AA98" s="2087"/>
      <c r="AB98" s="2087"/>
      <c r="AC98" s="2087"/>
      <c r="AD98" s="2087"/>
      <c r="AE98" s="2087"/>
    </row>
    <row r="99" spans="1:31" x14ac:dyDescent="0.35">
      <c r="A99" s="2286"/>
      <c r="B99" s="2284" t="s">
        <v>727</v>
      </c>
      <c r="C99" s="2285"/>
      <c r="D99" s="2285"/>
      <c r="E99" s="2285"/>
      <c r="F99" s="2285"/>
      <c r="G99" s="2198"/>
      <c r="H99" s="2087"/>
      <c r="I99" s="2087"/>
      <c r="J99" s="2087"/>
      <c r="K99" s="2087"/>
      <c r="L99" s="2087"/>
      <c r="M99" s="2087"/>
      <c r="N99" s="2087"/>
      <c r="O99" s="2087"/>
      <c r="P99" s="2087"/>
      <c r="Q99" s="2087"/>
      <c r="R99" s="2087"/>
      <c r="S99" s="2087"/>
      <c r="T99" s="2087"/>
      <c r="U99" s="2087"/>
      <c r="V99" s="2087"/>
      <c r="W99" s="2087"/>
      <c r="X99" s="2087"/>
      <c r="Y99" s="2087"/>
      <c r="Z99" s="2087"/>
      <c r="AA99" s="2087"/>
      <c r="AB99" s="2087"/>
      <c r="AC99" s="2087"/>
      <c r="AD99" s="2087"/>
      <c r="AE99" s="2087"/>
    </row>
    <row r="100" spans="1:31" x14ac:dyDescent="0.35">
      <c r="A100" s="2286"/>
      <c r="B100" s="2284" t="s">
        <v>728</v>
      </c>
      <c r="C100" s="2285"/>
      <c r="D100" s="2285"/>
      <c r="E100" s="2285"/>
      <c r="F100" s="2285"/>
      <c r="G100" s="2198"/>
      <c r="H100" s="2087"/>
      <c r="I100" s="2087"/>
      <c r="J100" s="2087"/>
      <c r="K100" s="2087"/>
      <c r="L100" s="2087"/>
      <c r="M100" s="2087"/>
      <c r="N100" s="2087"/>
      <c r="O100" s="2087"/>
      <c r="P100" s="2087"/>
      <c r="Q100" s="2087"/>
      <c r="R100" s="2087"/>
      <c r="S100" s="2087"/>
      <c r="T100" s="2087"/>
      <c r="U100" s="2087"/>
      <c r="V100" s="2087"/>
      <c r="W100" s="2087"/>
      <c r="X100" s="2087"/>
      <c r="Y100" s="2087"/>
      <c r="Z100" s="2087"/>
      <c r="AA100" s="2087"/>
      <c r="AB100" s="2087"/>
      <c r="AC100" s="2087"/>
      <c r="AD100" s="2087"/>
      <c r="AE100" s="2087"/>
    </row>
    <row r="101" spans="1:31" x14ac:dyDescent="0.35">
      <c r="A101" s="2286"/>
      <c r="B101" s="2284" t="s">
        <v>729</v>
      </c>
      <c r="C101" s="2285"/>
      <c r="D101" s="2285"/>
      <c r="E101" s="2285"/>
      <c r="F101" s="2285"/>
      <c r="G101" s="2198"/>
      <c r="H101" s="2087"/>
      <c r="I101" s="2087"/>
      <c r="J101" s="2087"/>
      <c r="K101" s="2087"/>
      <c r="L101" s="2087"/>
      <c r="M101" s="2087"/>
      <c r="N101" s="2087"/>
      <c r="O101" s="2087"/>
      <c r="P101" s="2087"/>
      <c r="Q101" s="2087"/>
      <c r="R101" s="2087"/>
      <c r="S101" s="2087"/>
      <c r="T101" s="2087"/>
      <c r="U101" s="2087"/>
      <c r="V101" s="2087"/>
      <c r="W101" s="2087"/>
      <c r="X101" s="2087"/>
      <c r="Y101" s="2087"/>
      <c r="Z101" s="2087"/>
      <c r="AA101" s="2087"/>
      <c r="AB101" s="2087"/>
      <c r="AC101" s="2087"/>
      <c r="AD101" s="2087"/>
      <c r="AE101" s="2087"/>
    </row>
    <row r="102" spans="1:31" x14ac:dyDescent="0.35">
      <c r="A102" s="978"/>
      <c r="B102" s="939"/>
      <c r="C102" s="940"/>
      <c r="D102" s="940"/>
      <c r="E102" s="940"/>
      <c r="F102" s="940"/>
      <c r="G102" s="1039"/>
      <c r="H102" s="981"/>
      <c r="I102" s="981"/>
      <c r="J102" s="981"/>
      <c r="K102" s="981"/>
      <c r="L102" s="981"/>
      <c r="M102" s="981"/>
      <c r="N102" s="981"/>
      <c r="O102" s="981"/>
      <c r="P102" s="981"/>
      <c r="Q102" s="981"/>
      <c r="R102" s="981"/>
      <c r="S102" s="981"/>
      <c r="T102" s="981"/>
      <c r="U102" s="981"/>
      <c r="V102" s="981"/>
      <c r="W102" s="981"/>
      <c r="X102" s="981"/>
      <c r="Y102" s="981"/>
      <c r="Z102" s="981"/>
      <c r="AA102" s="981"/>
      <c r="AB102" s="981"/>
      <c r="AC102" s="981"/>
      <c r="AD102" s="981"/>
      <c r="AE102" s="981"/>
    </row>
    <row r="103" spans="1:31" x14ac:dyDescent="0.35">
      <c r="A103" s="7" t="s">
        <v>730</v>
      </c>
      <c r="B103" s="8"/>
      <c r="C103" s="12"/>
      <c r="D103" s="12"/>
      <c r="E103" s="12"/>
      <c r="F103" s="12"/>
      <c r="G103" s="13"/>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spans="1:31" x14ac:dyDescent="0.35">
      <c r="A104" s="2708"/>
      <c r="B104" s="2714" t="s">
        <v>731</v>
      </c>
      <c r="C104" s="2709"/>
      <c r="D104" s="2709"/>
      <c r="E104" s="2709"/>
      <c r="F104" s="2709"/>
      <c r="G104" s="2863"/>
      <c r="H104" s="2707"/>
      <c r="I104" s="2707"/>
      <c r="J104" s="2707"/>
      <c r="K104" s="2707"/>
      <c r="L104" s="2707"/>
      <c r="M104" s="2707"/>
      <c r="N104" s="2707"/>
      <c r="O104" s="2707"/>
      <c r="P104" s="2707"/>
      <c r="Q104" s="2707"/>
      <c r="R104" s="2707"/>
      <c r="S104" s="2707"/>
      <c r="T104" s="2707"/>
      <c r="U104" s="2707"/>
      <c r="V104" s="2707"/>
      <c r="W104" s="2707"/>
      <c r="X104" s="2707"/>
      <c r="Y104" s="2707"/>
      <c r="Z104" s="2707"/>
      <c r="AA104" s="2707"/>
      <c r="AB104" s="2707"/>
      <c r="AC104" s="2707"/>
      <c r="AD104" s="2707"/>
      <c r="AE104" s="2707"/>
    </row>
    <row r="105" spans="1:31" x14ac:dyDescent="0.35">
      <c r="A105" s="2286"/>
      <c r="B105" s="2284" t="s">
        <v>732</v>
      </c>
      <c r="C105" s="2285"/>
      <c r="D105" s="2285"/>
      <c r="E105" s="2285"/>
      <c r="F105" s="2285"/>
      <c r="G105" s="2198"/>
      <c r="H105" s="2158"/>
      <c r="I105" s="2158"/>
      <c r="J105" s="2158"/>
      <c r="K105" s="2158"/>
      <c r="L105" s="2158"/>
      <c r="M105" s="2158"/>
      <c r="N105" s="2158"/>
      <c r="O105" s="2158"/>
      <c r="P105" s="2158"/>
      <c r="Q105" s="2158"/>
      <c r="R105" s="2158"/>
      <c r="S105" s="2158"/>
      <c r="T105" s="2158"/>
      <c r="U105" s="2158"/>
      <c r="V105" s="2158"/>
      <c r="W105" s="2158"/>
      <c r="X105" s="2158"/>
      <c r="Y105" s="2158"/>
      <c r="Z105" s="2158"/>
      <c r="AA105" s="2158"/>
      <c r="AB105" s="2158"/>
      <c r="AC105" s="2158"/>
      <c r="AD105" s="2158"/>
      <c r="AE105" s="2158"/>
    </row>
    <row r="106" spans="1:31" x14ac:dyDescent="0.35">
      <c r="A106" s="2089"/>
      <c r="B106" s="2090" t="s">
        <v>733</v>
      </c>
      <c r="C106" s="2091"/>
      <c r="D106" s="2091"/>
      <c r="E106" s="2091"/>
      <c r="F106" s="2091"/>
      <c r="G106" s="2092"/>
      <c r="H106" s="2093"/>
      <c r="I106" s="2093"/>
      <c r="J106" s="2093"/>
      <c r="K106" s="2093"/>
      <c r="L106" s="2093"/>
      <c r="M106" s="2093"/>
      <c r="N106" s="2093"/>
      <c r="O106" s="2093"/>
      <c r="P106" s="2093"/>
      <c r="Q106" s="2093"/>
      <c r="R106" s="2093"/>
      <c r="S106" s="2093"/>
      <c r="T106" s="2093"/>
      <c r="U106" s="2093"/>
      <c r="V106" s="2093"/>
      <c r="W106" s="2093"/>
      <c r="X106" s="2093"/>
      <c r="Y106" s="2093"/>
      <c r="Z106" s="2093"/>
      <c r="AA106" s="2093"/>
      <c r="AB106" s="2093"/>
      <c r="AC106" s="2093"/>
      <c r="AD106" s="2093"/>
      <c r="AE106" s="2093"/>
    </row>
    <row r="108" spans="1:31" x14ac:dyDescent="0.35">
      <c r="A108" s="78" t="s">
        <v>734</v>
      </c>
      <c r="B108" s="80"/>
      <c r="C108" s="2" t="s">
        <v>20</v>
      </c>
    </row>
    <row r="109" spans="1:31" x14ac:dyDescent="0.35">
      <c r="A109" s="79" t="s">
        <v>632</v>
      </c>
      <c r="B109" s="2094" t="str">
        <f>H4</f>
        <v>Wayne</v>
      </c>
    </row>
    <row r="110" spans="1:31" x14ac:dyDescent="0.35">
      <c r="A110" s="2279" t="s">
        <v>636</v>
      </c>
      <c r="B110" s="2094" t="str">
        <f>H5</f>
        <v>Heath Stephens</v>
      </c>
    </row>
    <row r="111" spans="1:31" x14ac:dyDescent="0.35">
      <c r="A111" s="2096" t="s">
        <v>639</v>
      </c>
      <c r="B111" s="2097" t="str">
        <f>H6</f>
        <v>(904) 268-3030</v>
      </c>
    </row>
    <row r="112" spans="1:31" x14ac:dyDescent="0.35">
      <c r="A112" s="2096" t="s">
        <v>642</v>
      </c>
      <c r="B112" s="2159" t="str">
        <f>H7</f>
        <v>hastephens@waynefire.com</v>
      </c>
    </row>
    <row r="113" spans="1:3" x14ac:dyDescent="0.35">
      <c r="A113" s="2099" t="s">
        <v>735</v>
      </c>
      <c r="B113" s="2100">
        <f>H8</f>
        <v>1863500</v>
      </c>
      <c r="C113" s="333"/>
    </row>
    <row r="115" spans="1:3" x14ac:dyDescent="0.35">
      <c r="A115" s="81"/>
      <c r="B115" s="1" t="s">
        <v>736</v>
      </c>
    </row>
    <row r="116" spans="1:3" x14ac:dyDescent="0.35">
      <c r="A116" s="82"/>
      <c r="B116" s="1" t="s">
        <v>737</v>
      </c>
    </row>
  </sheetData>
  <mergeCells count="89">
    <mergeCell ref="A81:B81"/>
    <mergeCell ref="A85:B85"/>
    <mergeCell ref="A89:B89"/>
    <mergeCell ref="A93:B93"/>
    <mergeCell ref="A97:B97"/>
    <mergeCell ref="AB2:AC2"/>
    <mergeCell ref="X2:Y2"/>
    <mergeCell ref="V3:W3"/>
    <mergeCell ref="H3:I3"/>
    <mergeCell ref="L3:M3"/>
    <mergeCell ref="Z3:AA3"/>
    <mergeCell ref="AB3:AC3"/>
    <mergeCell ref="X3:Y3"/>
    <mergeCell ref="R2:S2"/>
    <mergeCell ref="R3:S3"/>
    <mergeCell ref="N2:O2"/>
    <mergeCell ref="N3:O3"/>
    <mergeCell ref="J3:K3"/>
    <mergeCell ref="Z6:AA6"/>
    <mergeCell ref="V2:W2"/>
    <mergeCell ref="H2:I2"/>
    <mergeCell ref="L2:M2"/>
    <mergeCell ref="Z2:AA2"/>
    <mergeCell ref="T2:U2"/>
    <mergeCell ref="T3:U3"/>
    <mergeCell ref="T6:U6"/>
    <mergeCell ref="R4:S4"/>
    <mergeCell ref="R5:S5"/>
    <mergeCell ref="R6:S6"/>
    <mergeCell ref="N4:O4"/>
    <mergeCell ref="N5:O5"/>
    <mergeCell ref="N6:O6"/>
    <mergeCell ref="L6:M6"/>
    <mergeCell ref="J2:K2"/>
    <mergeCell ref="AB5:AC5"/>
    <mergeCell ref="V4:W4"/>
    <mergeCell ref="H4:I4"/>
    <mergeCell ref="L4:M4"/>
    <mergeCell ref="Z4:AA4"/>
    <mergeCell ref="AB4:AC4"/>
    <mergeCell ref="X4:Y4"/>
    <mergeCell ref="X5:Y5"/>
    <mergeCell ref="V5:W5"/>
    <mergeCell ref="H5:I5"/>
    <mergeCell ref="L5:M5"/>
    <mergeCell ref="Z5:AA5"/>
    <mergeCell ref="T4:U4"/>
    <mergeCell ref="T5:U5"/>
    <mergeCell ref="J4:K4"/>
    <mergeCell ref="J5:K5"/>
    <mergeCell ref="AB7:AC7"/>
    <mergeCell ref="AB6:AC6"/>
    <mergeCell ref="H8:I8"/>
    <mergeCell ref="L8:M8"/>
    <mergeCell ref="Z8:AA8"/>
    <mergeCell ref="AB8:AC8"/>
    <mergeCell ref="X6:Y6"/>
    <mergeCell ref="X7:Y7"/>
    <mergeCell ref="X8:Y8"/>
    <mergeCell ref="V8:W8"/>
    <mergeCell ref="V7:W7"/>
    <mergeCell ref="H7:I7"/>
    <mergeCell ref="L7:M7"/>
    <mergeCell ref="Z7:AA7"/>
    <mergeCell ref="V6:W6"/>
    <mergeCell ref="H6:I6"/>
    <mergeCell ref="AD7:AE7"/>
    <mergeCell ref="AD8:AE8"/>
    <mergeCell ref="AD2:AE2"/>
    <mergeCell ref="AD3:AE3"/>
    <mergeCell ref="AD4:AE4"/>
    <mergeCell ref="AD5:AE5"/>
    <mergeCell ref="AD6:AE6"/>
    <mergeCell ref="T7:U7"/>
    <mergeCell ref="T8:U8"/>
    <mergeCell ref="P2:Q2"/>
    <mergeCell ref="P3:Q3"/>
    <mergeCell ref="P4:Q4"/>
    <mergeCell ref="P5:Q5"/>
    <mergeCell ref="P6:Q6"/>
    <mergeCell ref="P7:Q7"/>
    <mergeCell ref="P8:Q8"/>
    <mergeCell ref="R7:S7"/>
    <mergeCell ref="R8:S8"/>
    <mergeCell ref="J6:K6"/>
    <mergeCell ref="J7:K7"/>
    <mergeCell ref="J8:K8"/>
    <mergeCell ref="N7:O7"/>
    <mergeCell ref="N8:O8"/>
  </mergeCells>
  <conditionalFormatting sqref="H20:H32">
    <cfRule type="cellIs" dxfId="499" priority="39" operator="equal">
      <formula>"X"</formula>
    </cfRule>
    <cfRule type="cellIs" dxfId="498" priority="40" operator="equal">
      <formula>"I"</formula>
    </cfRule>
  </conditionalFormatting>
  <conditionalFormatting sqref="J20:J32">
    <cfRule type="cellIs" dxfId="497" priority="1" operator="equal">
      <formula>"X"</formula>
    </cfRule>
    <cfRule type="cellIs" dxfId="496" priority="2" operator="equal">
      <formula>"I"</formula>
    </cfRule>
  </conditionalFormatting>
  <conditionalFormatting sqref="J34:J72">
    <cfRule type="cellIs" dxfId="495" priority="3" operator="equal">
      <formula>"X"</formula>
    </cfRule>
    <cfRule type="cellIs" dxfId="494" priority="4" operator="equal">
      <formula>"I"</formula>
    </cfRule>
  </conditionalFormatting>
  <conditionalFormatting sqref="L20:L32">
    <cfRule type="cellIs" dxfId="493" priority="37" operator="equal">
      <formula>"X"</formula>
    </cfRule>
    <cfRule type="cellIs" dxfId="492" priority="38" operator="equal">
      <formula>"I"</formula>
    </cfRule>
  </conditionalFormatting>
  <conditionalFormatting sqref="L34:L72">
    <cfRule type="cellIs" dxfId="491" priority="17" operator="equal">
      <formula>"X"</formula>
    </cfRule>
    <cfRule type="cellIs" dxfId="490" priority="18" operator="equal">
      <formula>"I"</formula>
    </cfRule>
  </conditionalFormatting>
  <conditionalFormatting sqref="N20:N32">
    <cfRule type="cellIs" dxfId="489" priority="9" operator="equal">
      <formula>"X"</formula>
    </cfRule>
    <cfRule type="cellIs" dxfId="488" priority="10" operator="equal">
      <formula>"I"</formula>
    </cfRule>
  </conditionalFormatting>
  <conditionalFormatting sqref="N34:N72">
    <cfRule type="cellIs" dxfId="487" priority="7" operator="equal">
      <formula>"X"</formula>
    </cfRule>
    <cfRule type="cellIs" dxfId="486" priority="8" operator="equal">
      <formula>"I"</formula>
    </cfRule>
  </conditionalFormatting>
  <conditionalFormatting sqref="N90:N92">
    <cfRule type="cellIs" dxfId="485" priority="5" operator="equal">
      <formula>"X"</formula>
    </cfRule>
    <cfRule type="cellIs" dxfId="484" priority="6" operator="equal">
      <formula>"I"</formula>
    </cfRule>
  </conditionalFormatting>
  <conditionalFormatting sqref="P20:P32">
    <cfRule type="cellIs" dxfId="483" priority="23" operator="equal">
      <formula>"X"</formula>
    </cfRule>
    <cfRule type="cellIs" dxfId="482" priority="24" operator="equal">
      <formula>"I"</formula>
    </cfRule>
  </conditionalFormatting>
  <conditionalFormatting sqref="P34:P72">
    <cfRule type="cellIs" dxfId="481" priority="21" operator="equal">
      <formula>"X"</formula>
    </cfRule>
    <cfRule type="cellIs" dxfId="480" priority="22" operator="equal">
      <formula>"I"</formula>
    </cfRule>
  </conditionalFormatting>
  <conditionalFormatting sqref="R20:R32">
    <cfRule type="cellIs" dxfId="479" priority="13" operator="equal">
      <formula>"X"</formula>
    </cfRule>
    <cfRule type="cellIs" dxfId="478" priority="14" operator="equal">
      <formula>"I"</formula>
    </cfRule>
  </conditionalFormatting>
  <conditionalFormatting sqref="R34:R72">
    <cfRule type="cellIs" dxfId="477" priority="11" operator="equal">
      <formula>"X"</formula>
    </cfRule>
    <cfRule type="cellIs" dxfId="476" priority="12" operator="equal">
      <formula>"I"</formula>
    </cfRule>
  </conditionalFormatting>
  <conditionalFormatting sqref="T8 T35:T72">
    <cfRule type="cellIs" dxfId="475" priority="29" operator="equal">
      <formula>"X"</formula>
    </cfRule>
    <cfRule type="cellIs" dxfId="474" priority="30" operator="equal">
      <formula>"I"</formula>
    </cfRule>
  </conditionalFormatting>
  <conditionalFormatting sqref="T20:T32">
    <cfRule type="cellIs" dxfId="473" priority="27" operator="equal">
      <formula>"X"</formula>
    </cfRule>
    <cfRule type="cellIs" dxfId="472" priority="28" operator="equal">
      <formula>"I"</formula>
    </cfRule>
  </conditionalFormatting>
  <conditionalFormatting sqref="V8 H34:H72 Z34:Z72 AD34:AD72 V35:V72">
    <cfRule type="cellIs" dxfId="471" priority="67" operator="equal">
      <formula>"X"</formula>
    </cfRule>
    <cfRule type="cellIs" dxfId="470" priority="68" operator="equal">
      <formula>"I"</formula>
    </cfRule>
  </conditionalFormatting>
  <conditionalFormatting sqref="V20:V32">
    <cfRule type="cellIs" dxfId="469" priority="41" operator="equal">
      <formula>"X"</formula>
    </cfRule>
    <cfRule type="cellIs" dxfId="468" priority="42" operator="equal">
      <formula>"I"</formula>
    </cfRule>
  </conditionalFormatting>
  <conditionalFormatting sqref="X20:X32">
    <cfRule type="cellIs" dxfId="467" priority="33" operator="equal">
      <formula>"X"</formula>
    </cfRule>
    <cfRule type="cellIs" dxfId="466" priority="34" operator="equal">
      <formula>"I"</formula>
    </cfRule>
  </conditionalFormatting>
  <conditionalFormatting sqref="X34:X72">
    <cfRule type="cellIs" dxfId="465" priority="35" operator="equal">
      <formula>"X"</formula>
    </cfRule>
    <cfRule type="cellIs" dxfId="464" priority="36" operator="equal">
      <formula>"I"</formula>
    </cfRule>
  </conditionalFormatting>
  <conditionalFormatting sqref="Z20:Z32">
    <cfRule type="cellIs" dxfId="463" priority="59" operator="equal">
      <formula>"X"</formula>
    </cfRule>
    <cfRule type="cellIs" dxfId="462" priority="60" operator="equal">
      <formula>"I"</formula>
    </cfRule>
  </conditionalFormatting>
  <conditionalFormatting sqref="AB20:AB32">
    <cfRule type="cellIs" dxfId="461" priority="57" operator="equal">
      <formula>"X"</formula>
    </cfRule>
    <cfRule type="cellIs" dxfId="460" priority="58" operator="equal">
      <formula>"I"</formula>
    </cfRule>
  </conditionalFormatting>
  <conditionalFormatting sqref="AB34:AB72">
    <cfRule type="cellIs" dxfId="459" priority="31" operator="equal">
      <formula>"X"</formula>
    </cfRule>
    <cfRule type="cellIs" dxfId="458" priority="32" operator="equal">
      <formula>"I"</formula>
    </cfRule>
  </conditionalFormatting>
  <conditionalFormatting sqref="AD20:AD32">
    <cfRule type="cellIs" dxfId="457" priority="55" operator="equal">
      <formula>"X"</formula>
    </cfRule>
    <cfRule type="cellIs" dxfId="456" priority="56" operator="equal">
      <formula>"I"</formula>
    </cfRule>
  </conditionalFormatting>
  <hyperlinks>
    <hyperlink ref="B3" location="'Cost Summary'!A1" display="BACK TO SUMMARY SHEET" xr:uid="{6F7E3EE0-DC9D-4602-A943-4F9D980679B6}"/>
    <hyperlink ref="V7:W7" r:id="rId1" display="AGlass@polarisfp.com" xr:uid="{EBC6539B-DBC6-4385-A4D0-D7A2307143D2}"/>
    <hyperlink ref="H7" r:id="rId2" xr:uid="{FB9A6C85-84EA-4278-875F-348D2B6AF43D}"/>
    <hyperlink ref="H7:I7" r:id="rId3" display="hastephens@waynefire.com" xr:uid="{9FE92D32-DE10-4DFF-8FBB-6E96B28A69A4}"/>
    <hyperlink ref="L7:M7" r:id="rId4" display="craig@sprinklermatic.net" xr:uid="{168CC361-ECD1-4344-9561-E161451B96F1}"/>
    <hyperlink ref="Z7" r:id="rId5" xr:uid="{AF5676B9-9D5A-47A4-A3A7-A754F676DB2C}"/>
    <hyperlink ref="X7" r:id="rId6" xr:uid="{6BEA3B9A-CF29-4B77-805E-41834D9E4F51}"/>
    <hyperlink ref="X7:Y7" r:id="rId7" display="Roy.Ziek@pyebarkerfs.com" xr:uid="{47BED3D3-F33D-4F4F-9F19-24395CA1CBDD}"/>
    <hyperlink ref="AB7" r:id="rId8" xr:uid="{57A3D7BC-1858-4BE7-92FC-576067C7EEF0}"/>
    <hyperlink ref="AB7:AC7" r:id="rId9" display="asolomon@frontierfireco.com" xr:uid="{348AAE27-3A28-4A62-907D-53835B434455}"/>
    <hyperlink ref="T7" r:id="rId10" xr:uid="{C6F0BCA4-4901-4343-94B6-F34BA2256E77}"/>
    <hyperlink ref="P7" r:id="rId11" xr:uid="{10A1543B-D5C1-42F4-94BC-142F13383C1F}"/>
    <hyperlink ref="R7" r:id="rId12" xr:uid="{CBEF0A9F-6F52-4FA8-B045-CD8C1B3A56BF}"/>
    <hyperlink ref="N7:O7" r:id="rId13" display="craig@sprinklermatic.net" xr:uid="{61ACE44C-5F01-4CBE-9A6E-C86ADCD71907}"/>
    <hyperlink ref="J7" r:id="rId14" xr:uid="{288CF991-AECF-4E45-8492-943F6E20A563}"/>
    <hyperlink ref="J7:K7" r:id="rId15" display="hastephens@waynefire.com" xr:uid="{8B3766D4-FA5F-4F2D-94F0-99AB08EE704C}"/>
  </hyperlinks>
  <pageMargins left="0.7" right="0.7" top="0.75" bottom="0.75" header="0.3" footer="0.3"/>
  <pageSetup orientation="portrait" r:id="rId16"/>
  <legacyDrawing r:id="rId17"/>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9DC6-318E-4ACB-A19A-33E8EB166598}">
  <sheetPr>
    <tabColor rgb="FF92D050"/>
  </sheetPr>
  <dimension ref="A1:AG191"/>
  <sheetViews>
    <sheetView workbookViewId="0">
      <pane xSplit="2" ySplit="9" topLeftCell="C25" activePane="bottomRight" state="frozen"/>
      <selection pane="topRight" activeCell="C1" sqref="C1"/>
      <selection pane="bottomLeft" activeCell="A11" sqref="A11"/>
      <selection pane="bottomRight" activeCell="S29" sqref="S29"/>
    </sheetView>
  </sheetViews>
  <sheetFormatPr defaultRowHeight="15" customHeight="1" x14ac:dyDescent="0.35"/>
  <cols>
    <col min="1" max="1" width="11" customWidth="1"/>
    <col min="2" max="2" width="70.7265625" style="1" customWidth="1"/>
    <col min="3" max="3" width="12.1796875" style="2" customWidth="1"/>
    <col min="4" max="4" width="7.453125" style="2" bestFit="1" customWidth="1"/>
    <col min="5" max="5" width="9.54296875" style="2" customWidth="1"/>
    <col min="6" max="6" width="16.453125" style="2" bestFit="1" customWidth="1"/>
    <col min="7" max="7" width="13.54296875" style="2" bestFit="1" customWidth="1"/>
    <col min="8" max="8" width="7.453125" style="2" hidden="1" customWidth="1"/>
    <col min="9" max="9" width="14.81640625" style="2" hidden="1" customWidth="1"/>
    <col min="10" max="10" width="7.453125" style="2" hidden="1" customWidth="1"/>
    <col min="11" max="11" width="14.81640625" style="2" hidden="1" customWidth="1"/>
    <col min="12" max="12" width="7.453125" style="2" hidden="1" customWidth="1"/>
    <col min="13" max="13" width="14.81640625" style="2" hidden="1" customWidth="1"/>
    <col min="14" max="14" width="7.453125" style="2" hidden="1" customWidth="1"/>
    <col min="15" max="15" width="14.81640625" style="2" hidden="1"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customWidth="1"/>
    <col min="23" max="23" width="14.81640625" style="2" customWidth="1"/>
    <col min="24" max="24" width="7.453125" style="2" customWidth="1"/>
    <col min="25" max="25" width="14.81640625" style="2" customWidth="1"/>
    <col min="26" max="26" width="7.453125" style="2" customWidth="1"/>
    <col min="27" max="27" width="14.81640625" style="2" customWidth="1"/>
    <col min="28" max="28" width="7.453125" style="2" customWidth="1"/>
    <col min="29" max="29" width="14.81640625" style="2" customWidth="1"/>
    <col min="30" max="30" width="7.453125" style="2" customWidth="1"/>
    <col min="31" max="31" width="14.81640625" style="2" customWidth="1"/>
    <col min="32" max="32" width="7.453125" style="2" customWidth="1"/>
    <col min="33" max="33" width="14.81640625" style="2" customWidth="1"/>
  </cols>
  <sheetData>
    <row r="1" spans="1:33" ht="14.5" x14ac:dyDescent="0.35">
      <c r="E1" s="152"/>
      <c r="F1" s="125"/>
      <c r="G1" s="123" t="s">
        <v>621</v>
      </c>
      <c r="H1" s="352">
        <v>45904</v>
      </c>
      <c r="I1" s="187"/>
      <c r="J1" s="352">
        <v>45923</v>
      </c>
      <c r="K1" s="353">
        <f>J8-H8</f>
        <v>147124</v>
      </c>
      <c r="L1" s="352">
        <v>45925</v>
      </c>
      <c r="M1" s="354">
        <f>L8-N8</f>
        <v>-765182</v>
      </c>
      <c r="N1" s="352">
        <v>45924</v>
      </c>
      <c r="O1" s="325">
        <f>N8-J8</f>
        <v>912793</v>
      </c>
      <c r="P1" s="352"/>
      <c r="Q1" s="325" t="s">
        <v>3219</v>
      </c>
      <c r="R1" s="352"/>
      <c r="S1" s="325" t="s">
        <v>3219</v>
      </c>
      <c r="T1" s="352"/>
      <c r="U1" s="325" t="s">
        <v>770</v>
      </c>
    </row>
    <row r="2" spans="1:33" thickBot="1" x14ac:dyDescent="0.4">
      <c r="E2" s="152"/>
      <c r="F2" s="122" t="s">
        <v>622</v>
      </c>
      <c r="G2" s="123" t="s">
        <v>451</v>
      </c>
      <c r="H2" s="3866" t="s">
        <v>3220</v>
      </c>
      <c r="I2" s="3866"/>
      <c r="J2" s="3866" t="s">
        <v>3220</v>
      </c>
      <c r="K2" s="3866"/>
      <c r="L2" s="3987" t="s">
        <v>3221</v>
      </c>
      <c r="M2" s="3987"/>
      <c r="N2" s="3866" t="s">
        <v>3222</v>
      </c>
      <c r="O2" s="3866"/>
      <c r="P2" s="3866" t="s">
        <v>3222</v>
      </c>
      <c r="Q2" s="3866"/>
      <c r="R2" s="3866" t="s">
        <v>3223</v>
      </c>
      <c r="S2" s="3866"/>
      <c r="T2" s="3866" t="s">
        <v>3223</v>
      </c>
      <c r="U2" s="3866"/>
      <c r="V2" s="3866"/>
      <c r="W2" s="3866"/>
      <c r="X2" s="3866">
        <v>5617220052</v>
      </c>
      <c r="Y2" s="3866"/>
      <c r="Z2" s="3866"/>
      <c r="AA2" s="3866"/>
      <c r="AB2" s="3751"/>
      <c r="AC2" s="3751"/>
      <c r="AD2" s="3751"/>
      <c r="AE2" s="3751"/>
      <c r="AF2" s="3751"/>
      <c r="AG2" s="3751"/>
    </row>
    <row r="3" spans="1:33" ht="19.5" x14ac:dyDescent="0.35">
      <c r="B3" s="137" t="s">
        <v>623</v>
      </c>
      <c r="E3" s="152"/>
      <c r="F3" s="124" t="s">
        <v>624</v>
      </c>
      <c r="G3" s="123" t="s">
        <v>557</v>
      </c>
      <c r="H3" s="3891" t="s">
        <v>625</v>
      </c>
      <c r="I3" s="3892"/>
      <c r="J3" s="3891" t="s">
        <v>625</v>
      </c>
      <c r="K3" s="3892"/>
      <c r="L3" s="3891" t="s">
        <v>625</v>
      </c>
      <c r="M3" s="3892"/>
      <c r="N3" s="3891" t="s">
        <v>625</v>
      </c>
      <c r="O3" s="3892"/>
      <c r="P3" s="3772" t="s">
        <v>625</v>
      </c>
      <c r="Q3" s="3773"/>
      <c r="R3" s="3772" t="s">
        <v>625</v>
      </c>
      <c r="S3" s="3773"/>
      <c r="T3" s="3772" t="s">
        <v>625</v>
      </c>
      <c r="U3" s="3773"/>
      <c r="V3" s="3754" t="s">
        <v>771</v>
      </c>
      <c r="W3" s="3755"/>
      <c r="X3" s="3754" t="s">
        <v>771</v>
      </c>
      <c r="Y3" s="3755"/>
      <c r="Z3" s="3754" t="s">
        <v>2240</v>
      </c>
      <c r="AA3" s="3755"/>
      <c r="AB3" s="3754" t="s">
        <v>1370</v>
      </c>
      <c r="AC3" s="3755"/>
      <c r="AD3" s="3754" t="s">
        <v>629</v>
      </c>
      <c r="AE3" s="3755"/>
      <c r="AF3" s="3754" t="s">
        <v>773</v>
      </c>
      <c r="AG3" s="3755"/>
    </row>
    <row r="4" spans="1:33" ht="14.5" x14ac:dyDescent="0.35">
      <c r="A4" s="3" t="s">
        <v>631</v>
      </c>
      <c r="B4" s="4" t="str">
        <f>'AREA CALC''s'!B4</f>
        <v>Alton Hilltop Gardens</v>
      </c>
      <c r="C4" s="5"/>
      <c r="D4" s="5"/>
      <c r="E4" s="5"/>
      <c r="F4" s="5"/>
      <c r="G4" s="6" t="s">
        <v>632</v>
      </c>
      <c r="H4" s="3752" t="s">
        <v>3224</v>
      </c>
      <c r="I4" s="3752"/>
      <c r="J4" s="3752" t="s">
        <v>3224</v>
      </c>
      <c r="K4" s="3752"/>
      <c r="L4" s="3752" t="s">
        <v>3224</v>
      </c>
      <c r="M4" s="3752"/>
      <c r="N4" s="3752" t="s">
        <v>3225</v>
      </c>
      <c r="O4" s="3752"/>
      <c r="P4" s="3752" t="s">
        <v>3224</v>
      </c>
      <c r="Q4" s="3752"/>
      <c r="R4" s="3752" t="s">
        <v>3224</v>
      </c>
      <c r="S4" s="3752"/>
      <c r="T4" s="3752" t="s">
        <v>3224</v>
      </c>
      <c r="U4" s="3752"/>
      <c r="V4" s="3752" t="s">
        <v>3226</v>
      </c>
      <c r="W4" s="3752"/>
      <c r="X4" s="3752" t="s">
        <v>3227</v>
      </c>
      <c r="Y4" s="3752"/>
      <c r="Z4" s="3752" t="s">
        <v>3228</v>
      </c>
      <c r="AA4" s="3752"/>
      <c r="AB4" s="3752" t="s">
        <v>3229</v>
      </c>
      <c r="AC4" s="3753"/>
      <c r="AD4" s="3752"/>
      <c r="AE4" s="3753"/>
      <c r="AF4" s="3752" t="s">
        <v>3230</v>
      </c>
      <c r="AG4" s="3753"/>
    </row>
    <row r="5" spans="1:33" ht="14.5" x14ac:dyDescent="0.35">
      <c r="A5" s="2283" t="s">
        <v>634</v>
      </c>
      <c r="B5" s="2284" t="s">
        <v>543</v>
      </c>
      <c r="C5" s="2285"/>
      <c r="D5" s="2285"/>
      <c r="E5" s="2285"/>
      <c r="F5" s="2285"/>
      <c r="G5" s="2194" t="s">
        <v>636</v>
      </c>
      <c r="H5" s="3931" t="s">
        <v>3231</v>
      </c>
      <c r="I5" s="3931"/>
      <c r="J5" s="3931" t="s">
        <v>3231</v>
      </c>
      <c r="K5" s="3931"/>
      <c r="L5" s="3931" t="s">
        <v>3231</v>
      </c>
      <c r="M5" s="3931"/>
      <c r="N5" s="3931" t="s">
        <v>3231</v>
      </c>
      <c r="O5" s="3931"/>
      <c r="P5" s="3931" t="s">
        <v>3231</v>
      </c>
      <c r="Q5" s="3931"/>
      <c r="R5" s="3931" t="s">
        <v>3231</v>
      </c>
      <c r="S5" s="3931"/>
      <c r="T5" s="3931" t="s">
        <v>3231</v>
      </c>
      <c r="U5" s="3931"/>
      <c r="V5" s="3931" t="s">
        <v>3232</v>
      </c>
      <c r="W5" s="3931"/>
      <c r="X5" s="3931" t="s">
        <v>3233</v>
      </c>
      <c r="Y5" s="3931"/>
      <c r="Z5" s="3931" t="s">
        <v>3234</v>
      </c>
      <c r="AA5" s="3931"/>
      <c r="AB5" s="3931" t="s">
        <v>3235</v>
      </c>
      <c r="AC5" s="3932"/>
      <c r="AD5" s="3931"/>
      <c r="AE5" s="3932"/>
      <c r="AF5" s="3931" t="s">
        <v>3236</v>
      </c>
      <c r="AG5" s="3932"/>
    </row>
    <row r="6" spans="1:33" ht="14.5" x14ac:dyDescent="0.35">
      <c r="A6" s="2283" t="s">
        <v>638</v>
      </c>
      <c r="B6" s="2195" t="s">
        <v>542</v>
      </c>
      <c r="C6" s="2285"/>
      <c r="D6" s="2285"/>
      <c r="E6" s="2285"/>
      <c r="F6" s="2285"/>
      <c r="G6" s="2194" t="s">
        <v>639</v>
      </c>
      <c r="H6" s="3937" t="s">
        <v>3237</v>
      </c>
      <c r="I6" s="3937"/>
      <c r="J6" s="3937" t="s">
        <v>3237</v>
      </c>
      <c r="K6" s="3937"/>
      <c r="L6" s="3937" t="s">
        <v>3237</v>
      </c>
      <c r="M6" s="3937"/>
      <c r="N6" s="3937" t="s">
        <v>3237</v>
      </c>
      <c r="O6" s="3937"/>
      <c r="P6" s="3937" t="s">
        <v>3237</v>
      </c>
      <c r="Q6" s="3937"/>
      <c r="R6" s="3937" t="s">
        <v>3237</v>
      </c>
      <c r="S6" s="3937"/>
      <c r="T6" s="3937" t="s">
        <v>3237</v>
      </c>
      <c r="U6" s="3937"/>
      <c r="V6" s="3937">
        <v>5616988629</v>
      </c>
      <c r="W6" s="3938"/>
      <c r="X6" s="3937">
        <v>5617323176</v>
      </c>
      <c r="Y6" s="3938"/>
      <c r="Z6" s="3937">
        <v>3867602356</v>
      </c>
      <c r="AA6" s="3938"/>
      <c r="AB6" s="3937">
        <v>3036512444</v>
      </c>
      <c r="AC6" s="3938"/>
      <c r="AD6" s="3937"/>
      <c r="AE6" s="3938"/>
      <c r="AF6" s="3937">
        <v>2144777801</v>
      </c>
      <c r="AG6" s="3938"/>
    </row>
    <row r="7" spans="1:33" ht="15" customHeight="1" x14ac:dyDescent="0.35">
      <c r="A7" s="2283" t="s">
        <v>641</v>
      </c>
      <c r="B7" s="2196"/>
      <c r="C7" s="2285"/>
      <c r="D7" s="2285"/>
      <c r="E7" s="2285"/>
      <c r="F7" s="2285"/>
      <c r="G7" s="2194" t="s">
        <v>642</v>
      </c>
      <c r="H7" s="3934" t="s">
        <v>3238</v>
      </c>
      <c r="I7" s="3934"/>
      <c r="J7" s="3934" t="s">
        <v>3238</v>
      </c>
      <c r="K7" s="3934"/>
      <c r="L7" s="3934" t="s">
        <v>3238</v>
      </c>
      <c r="M7" s="3934"/>
      <c r="N7" s="3934" t="s">
        <v>3238</v>
      </c>
      <c r="O7" s="3934"/>
      <c r="P7" s="3934" t="s">
        <v>3238</v>
      </c>
      <c r="Q7" s="3934"/>
      <c r="R7" s="3934" t="s">
        <v>3238</v>
      </c>
      <c r="S7" s="3934"/>
      <c r="T7" s="3934" t="s">
        <v>3238</v>
      </c>
      <c r="U7" s="3934"/>
      <c r="V7" s="3934" t="s">
        <v>3239</v>
      </c>
      <c r="W7" s="3934"/>
      <c r="X7" s="3934" t="s">
        <v>3240</v>
      </c>
      <c r="Y7" s="3934"/>
      <c r="Z7" s="3934" t="s">
        <v>3241</v>
      </c>
      <c r="AA7" s="3934"/>
      <c r="AB7" s="3934" t="s">
        <v>3242</v>
      </c>
      <c r="AC7" s="3935"/>
      <c r="AD7" s="3974"/>
      <c r="AE7" s="3973"/>
      <c r="AF7" s="3983" t="s">
        <v>3243</v>
      </c>
      <c r="AG7" s="3982"/>
    </row>
    <row r="8" spans="1:33" ht="14.5" x14ac:dyDescent="0.35">
      <c r="A8" s="938" t="s">
        <v>644</v>
      </c>
      <c r="B8" s="939"/>
      <c r="C8" s="940"/>
      <c r="D8" s="940"/>
      <c r="E8" s="940"/>
      <c r="F8" s="940"/>
      <c r="G8" s="1024" t="s">
        <v>644</v>
      </c>
      <c r="H8" s="3926">
        <f>I121</f>
        <v>4833432</v>
      </c>
      <c r="I8" s="3927"/>
      <c r="J8" s="3926">
        <f>K121</f>
        <v>4980556</v>
      </c>
      <c r="K8" s="3927"/>
      <c r="L8" s="3926">
        <f>M121</f>
        <v>5128167</v>
      </c>
      <c r="M8" s="3927"/>
      <c r="N8" s="3926">
        <f>O121</f>
        <v>5893349</v>
      </c>
      <c r="O8" s="3927"/>
      <c r="P8" s="3926">
        <f>Q121</f>
        <v>5760010</v>
      </c>
      <c r="Q8" s="3927"/>
      <c r="R8" s="3926">
        <f>S121</f>
        <v>4934210</v>
      </c>
      <c r="S8" s="3927"/>
      <c r="T8" s="3926">
        <f>U121</f>
        <v>4634210</v>
      </c>
      <c r="U8" s="3927"/>
      <c r="V8" s="3926">
        <f>W121</f>
        <v>6425000</v>
      </c>
      <c r="W8" s="3927"/>
      <c r="X8" s="3926">
        <f>Y121</f>
        <v>6985825</v>
      </c>
      <c r="Y8" s="3927"/>
      <c r="Z8" s="3926">
        <f>AA121</f>
        <v>8858000</v>
      </c>
      <c r="AA8" s="3927"/>
      <c r="AB8" s="3926">
        <f>AC121</f>
        <v>6026000</v>
      </c>
      <c r="AC8" s="3927"/>
      <c r="AD8" s="3926">
        <f>AE121</f>
        <v>0</v>
      </c>
      <c r="AE8" s="3927"/>
      <c r="AF8" s="3926">
        <f>AG121</f>
        <v>42768</v>
      </c>
      <c r="AG8" s="3927"/>
    </row>
    <row r="9" spans="1:33"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t="s">
        <v>651</v>
      </c>
      <c r="AE9" s="11" t="s">
        <v>652</v>
      </c>
      <c r="AF9" s="11" t="s">
        <v>651</v>
      </c>
      <c r="AG9" s="11" t="s">
        <v>652</v>
      </c>
    </row>
    <row r="10" spans="1:33" ht="14.5" hidden="1" x14ac:dyDescent="0.35">
      <c r="A10" s="2286"/>
      <c r="B10" s="2715"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c r="X10" s="2107"/>
      <c r="Y10" s="2107"/>
      <c r="Z10" s="2107"/>
      <c r="AA10" s="2107"/>
      <c r="AB10" s="2107"/>
      <c r="AC10" s="2107"/>
      <c r="AD10" s="2107"/>
      <c r="AE10" s="2107"/>
      <c r="AF10" s="2107"/>
      <c r="AG10" s="2107"/>
    </row>
    <row r="11" spans="1:33" ht="14.5" hidden="1" x14ac:dyDescent="0.35">
      <c r="A11" s="2286"/>
      <c r="B11" s="2284" t="e">
        <f>#REF!</f>
        <v>#REF!</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c r="X11" s="2107"/>
      <c r="Y11" s="2107"/>
      <c r="Z11" s="2107"/>
      <c r="AA11" s="2107"/>
      <c r="AB11" s="2107"/>
      <c r="AC11" s="2107"/>
      <c r="AD11" s="2107"/>
      <c r="AE11" s="2107"/>
      <c r="AF11" s="2107"/>
      <c r="AG11" s="2107"/>
    </row>
    <row r="12" spans="1:33" ht="14.5" hidden="1" x14ac:dyDescent="0.35">
      <c r="A12" s="2286"/>
      <c r="B12" s="2284" t="e">
        <f>#REF!</f>
        <v>#REF!</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c r="X12" s="2107"/>
      <c r="Y12" s="2107"/>
      <c r="Z12" s="2107"/>
      <c r="AA12" s="2107"/>
      <c r="AB12" s="2107"/>
      <c r="AC12" s="2107"/>
      <c r="AD12" s="2107"/>
      <c r="AE12" s="2107"/>
      <c r="AF12" s="2107"/>
      <c r="AG12" s="2107"/>
    </row>
    <row r="13" spans="1:33" ht="14.5" hidden="1" x14ac:dyDescent="0.35">
      <c r="A13" s="2286"/>
      <c r="B13" s="2284" t="e">
        <f>#REF!</f>
        <v>#REF!</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2107"/>
      <c r="Y13" s="2107"/>
      <c r="Z13" s="2107"/>
      <c r="AA13" s="2107"/>
      <c r="AB13" s="2107"/>
      <c r="AC13" s="2107"/>
      <c r="AD13" s="2107"/>
      <c r="AE13" s="2107"/>
      <c r="AF13" s="2107"/>
      <c r="AG13" s="2107"/>
    </row>
    <row r="14" spans="1:33" ht="14.5" hidden="1" x14ac:dyDescent="0.35">
      <c r="A14" s="2286"/>
      <c r="B14" s="2284" t="e">
        <f>#REF!</f>
        <v>#REF!</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2107"/>
      <c r="Y14" s="2107"/>
      <c r="Z14" s="2107"/>
      <c r="AA14" s="2107"/>
      <c r="AB14" s="2107"/>
      <c r="AC14" s="2107"/>
      <c r="AD14" s="2107"/>
      <c r="AE14" s="2107"/>
      <c r="AF14" s="2107"/>
      <c r="AG14" s="2107"/>
    </row>
    <row r="15" spans="1:33" ht="14.5" hidden="1" x14ac:dyDescent="0.35">
      <c r="A15" s="2286"/>
      <c r="B15" s="2284" t="e">
        <f>#REF!</f>
        <v>#REF!</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2107"/>
      <c r="Y15" s="2107"/>
      <c r="Z15" s="2107"/>
      <c r="AA15" s="2107"/>
      <c r="AB15" s="2107"/>
      <c r="AC15" s="2107"/>
      <c r="AD15" s="2107"/>
      <c r="AE15" s="2107"/>
      <c r="AF15" s="2107"/>
      <c r="AG15" s="2107"/>
    </row>
    <row r="16" spans="1:33" ht="14.5" hidden="1" x14ac:dyDescent="0.35">
      <c r="A16" s="2286"/>
      <c r="B16" s="2284" t="e">
        <f>#REF!</f>
        <v>#REF!</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2107"/>
      <c r="Y16" s="2107"/>
      <c r="Z16" s="2107"/>
      <c r="AA16" s="2107"/>
      <c r="AB16" s="2107"/>
      <c r="AC16" s="2107"/>
      <c r="AD16" s="2107"/>
      <c r="AE16" s="2107"/>
      <c r="AF16" s="2107"/>
      <c r="AG16" s="2107"/>
    </row>
    <row r="17" spans="1:33" ht="14.5"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2107"/>
      <c r="Y17" s="2107"/>
      <c r="Z17" s="2107"/>
      <c r="AA17" s="2107"/>
      <c r="AB17" s="2107"/>
      <c r="AC17" s="2107"/>
      <c r="AD17" s="2107"/>
      <c r="AE17" s="2107"/>
      <c r="AF17" s="2107"/>
      <c r="AG17" s="2107"/>
    </row>
    <row r="18" spans="1:33" ht="14.5" hidden="1" x14ac:dyDescent="0.35">
      <c r="A18" s="2286"/>
      <c r="B18" s="2284" t="e">
        <f>#REF!</f>
        <v>#REF!</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2107"/>
      <c r="Y18" s="2107"/>
      <c r="Z18" s="2107"/>
      <c r="AA18" s="2107"/>
      <c r="AB18" s="2107"/>
      <c r="AC18" s="2107"/>
      <c r="AD18" s="2107"/>
      <c r="AE18" s="2107"/>
      <c r="AF18" s="2107"/>
      <c r="AG18" s="2107"/>
    </row>
    <row r="19" spans="1:33" ht="14.5" hidden="1" x14ac:dyDescent="0.35">
      <c r="A19" s="2286"/>
      <c r="B19" s="2284" t="e">
        <f>#REF!</f>
        <v>#REF!</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2107"/>
      <c r="AD19" s="2107"/>
      <c r="AE19" s="2107"/>
      <c r="AF19" s="2107"/>
      <c r="AG19" s="2107"/>
    </row>
    <row r="20" spans="1:33" ht="43.5" hidden="1" x14ac:dyDescent="0.35">
      <c r="A20" s="2716">
        <v>1</v>
      </c>
      <c r="B20" s="2714" t="s">
        <v>3244</v>
      </c>
      <c r="C20" s="2865" t="s">
        <v>654</v>
      </c>
      <c r="D20" s="2709"/>
      <c r="E20" s="2709"/>
      <c r="F20" s="2709"/>
      <c r="G20" s="2863"/>
      <c r="H20" s="2707"/>
      <c r="I20" s="2866"/>
      <c r="J20" s="2707"/>
      <c r="K20" s="2866"/>
      <c r="L20" s="2707"/>
      <c r="M20" s="2866"/>
      <c r="N20" s="2707"/>
      <c r="O20" s="2866"/>
      <c r="P20" s="2707"/>
      <c r="Q20" s="2866"/>
      <c r="R20" s="2707"/>
      <c r="S20" s="2866"/>
      <c r="T20" s="2707"/>
      <c r="U20" s="2866"/>
      <c r="V20" s="54"/>
      <c r="W20" s="2866"/>
      <c r="X20" s="54"/>
      <c r="Y20" s="2866"/>
      <c r="Z20" s="54"/>
      <c r="AA20" s="2866"/>
      <c r="AB20" s="2866"/>
      <c r="AC20" s="2866"/>
      <c r="AD20" s="2866"/>
      <c r="AE20" s="2866"/>
      <c r="AF20" s="2866"/>
      <c r="AG20" s="2866"/>
    </row>
    <row r="21" spans="1:33" ht="43.5" hidden="1" x14ac:dyDescent="0.35">
      <c r="A21" s="2542">
        <v>2</v>
      </c>
      <c r="B21" s="2284" t="s">
        <v>3245</v>
      </c>
      <c r="C21" s="2201" t="s">
        <v>654</v>
      </c>
      <c r="D21" s="2201"/>
      <c r="E21" s="2285"/>
      <c r="F21" s="2285"/>
      <c r="G21" s="2198"/>
      <c r="H21" s="2707"/>
      <c r="I21" s="2866"/>
      <c r="J21" s="2707"/>
      <c r="K21" s="2866"/>
      <c r="L21" s="2707"/>
      <c r="M21" s="2866"/>
      <c r="N21" s="2707"/>
      <c r="O21" s="2866"/>
      <c r="P21" s="2707"/>
      <c r="Q21" s="2866"/>
      <c r="R21" s="2707"/>
      <c r="S21" s="2866"/>
      <c r="T21" s="2707"/>
      <c r="U21" s="2866"/>
      <c r="V21" s="2201"/>
      <c r="W21" s="2866"/>
      <c r="X21" s="2201"/>
      <c r="Y21" s="2866"/>
      <c r="Z21" s="2201"/>
      <c r="AA21" s="2866"/>
      <c r="AB21" s="2866"/>
      <c r="AC21" s="2866"/>
      <c r="AD21" s="2866"/>
      <c r="AE21" s="2866"/>
      <c r="AF21" s="2866"/>
      <c r="AG21" s="2866"/>
    </row>
    <row r="22" spans="1:33" ht="72.5" hidden="1" x14ac:dyDescent="0.35">
      <c r="A22" s="2716">
        <v>3</v>
      </c>
      <c r="B22" s="2284" t="s">
        <v>1373</v>
      </c>
      <c r="C22" s="2201" t="s">
        <v>654</v>
      </c>
      <c r="D22" s="2201"/>
      <c r="E22" s="2285"/>
      <c r="F22" s="2285"/>
      <c r="G22" s="2198"/>
      <c r="H22" s="2707"/>
      <c r="I22" s="2866"/>
      <c r="J22" s="2707"/>
      <c r="K22" s="2866"/>
      <c r="L22" s="2707"/>
      <c r="M22" s="2866"/>
      <c r="N22" s="2707"/>
      <c r="O22" s="2866"/>
      <c r="P22" s="2707"/>
      <c r="Q22" s="2866"/>
      <c r="R22" s="2707"/>
      <c r="S22" s="2866"/>
      <c r="T22" s="2707"/>
      <c r="U22" s="2866"/>
      <c r="V22" s="2707"/>
      <c r="W22" s="2866"/>
      <c r="X22" s="2707"/>
      <c r="Y22" s="2866"/>
      <c r="Z22" s="2707"/>
      <c r="AA22" s="2866"/>
      <c r="AB22" s="2866"/>
      <c r="AC22" s="2866"/>
      <c r="AD22" s="2866"/>
      <c r="AE22" s="2866"/>
      <c r="AF22" s="2866"/>
      <c r="AG22" s="2866"/>
    </row>
    <row r="23" spans="1:33" s="1" customFormat="1" ht="14.5" hidden="1" x14ac:dyDescent="0.35">
      <c r="A23" s="2867">
        <v>4</v>
      </c>
      <c r="B23" s="2868" t="s">
        <v>3246</v>
      </c>
      <c r="C23" s="2869"/>
      <c r="D23" s="2270"/>
      <c r="E23" s="2270"/>
      <c r="F23" s="2270"/>
      <c r="G23" s="2870"/>
      <c r="H23" s="2331"/>
      <c r="I23" s="2871"/>
      <c r="J23" s="2331"/>
      <c r="K23" s="2871"/>
      <c r="L23" s="2331"/>
      <c r="M23" s="2871"/>
      <c r="N23" s="2331"/>
      <c r="O23" s="2871"/>
      <c r="P23" s="2331"/>
      <c r="Q23" s="2871"/>
      <c r="R23" s="2331"/>
      <c r="S23" s="2871"/>
      <c r="T23" s="2331"/>
      <c r="U23" s="2871"/>
      <c r="V23" s="2872"/>
      <c r="W23" s="2871"/>
      <c r="X23" s="2872"/>
      <c r="Y23" s="2871"/>
      <c r="Z23" s="2872"/>
      <c r="AA23" s="2871"/>
      <c r="AB23" s="2871"/>
      <c r="AC23" s="2871"/>
      <c r="AD23" s="2871"/>
      <c r="AE23" s="2871"/>
      <c r="AF23" s="2871"/>
      <c r="AG23" s="2871"/>
    </row>
    <row r="24" spans="1:33" s="1" customFormat="1" ht="29" hidden="1" x14ac:dyDescent="0.35">
      <c r="A24" s="2867">
        <v>5</v>
      </c>
      <c r="B24" s="2284" t="s">
        <v>3247</v>
      </c>
      <c r="C24" s="2869"/>
      <c r="D24" s="2270"/>
      <c r="E24" s="2270"/>
      <c r="F24" s="2270"/>
      <c r="G24" s="2870"/>
      <c r="H24" s="2331"/>
      <c r="I24" s="2871"/>
      <c r="J24" s="2331"/>
      <c r="K24" s="2871"/>
      <c r="L24" s="2331"/>
      <c r="M24" s="2871"/>
      <c r="N24" s="2331"/>
      <c r="O24" s="2871"/>
      <c r="P24" s="2331"/>
      <c r="Q24" s="2871"/>
      <c r="R24" s="2331"/>
      <c r="S24" s="2871"/>
      <c r="T24" s="2331"/>
      <c r="U24" s="2871"/>
      <c r="V24" s="2872"/>
      <c r="W24" s="2871"/>
      <c r="X24" s="2872"/>
      <c r="Y24" s="2871"/>
      <c r="Z24" s="2872"/>
      <c r="AA24" s="2871"/>
      <c r="AB24" s="2871"/>
      <c r="AC24" s="2871"/>
      <c r="AD24" s="2871"/>
      <c r="AE24" s="2871"/>
      <c r="AF24" s="2871"/>
      <c r="AG24" s="2871"/>
    </row>
    <row r="25" spans="1:33" s="1" customFormat="1" thickTop="1" x14ac:dyDescent="0.35">
      <c r="A25" s="2867"/>
      <c r="B25" s="2284"/>
      <c r="C25" s="2869"/>
      <c r="D25" s="2270"/>
      <c r="E25" s="2270"/>
      <c r="F25" s="2270"/>
      <c r="G25" s="2870"/>
      <c r="H25" s="2331"/>
      <c r="I25" s="2871"/>
      <c r="J25" s="2331"/>
      <c r="K25" s="2871"/>
      <c r="L25" s="2331"/>
      <c r="M25" s="2871"/>
      <c r="N25" s="2331"/>
      <c r="O25" s="2871"/>
      <c r="P25" s="2331"/>
      <c r="Q25" s="2871"/>
      <c r="R25" s="2331"/>
      <c r="S25" s="2871"/>
      <c r="T25" s="2331"/>
      <c r="U25" s="2871"/>
      <c r="V25" s="2872"/>
      <c r="W25" s="2871"/>
      <c r="X25" s="2872"/>
      <c r="Y25" s="2871"/>
      <c r="Z25" s="2872"/>
      <c r="AA25" s="2871"/>
      <c r="AB25" s="2871"/>
      <c r="AC25" s="2871"/>
      <c r="AD25" s="2871"/>
      <c r="AE25" s="2871"/>
      <c r="AF25" s="2871"/>
      <c r="AG25" s="2871"/>
    </row>
    <row r="26" spans="1:33" s="1" customFormat="1" thickBot="1" x14ac:dyDescent="0.4">
      <c r="A26" s="2867"/>
      <c r="B26" s="2203" t="s">
        <v>543</v>
      </c>
      <c r="C26" s="2869"/>
      <c r="D26" s="2270"/>
      <c r="E26" s="2270"/>
      <c r="F26" s="2270"/>
      <c r="G26" s="2870"/>
      <c r="H26" s="2331"/>
      <c r="I26" s="2871"/>
      <c r="J26" s="2331"/>
      <c r="K26" s="2871"/>
      <c r="L26" s="2331"/>
      <c r="M26" s="2871"/>
      <c r="N26" s="2331"/>
      <c r="O26" s="2871"/>
      <c r="P26" s="2331"/>
      <c r="Q26" s="2871"/>
      <c r="R26" s="2331"/>
      <c r="S26" s="2871"/>
      <c r="T26" s="2331"/>
      <c r="U26" s="2871"/>
      <c r="V26" s="2872"/>
      <c r="W26" s="2871"/>
      <c r="X26" s="2872"/>
      <c r="Y26" s="2871"/>
      <c r="Z26" s="2872"/>
      <c r="AA26" s="2871"/>
      <c r="AB26" s="2871"/>
      <c r="AC26" s="2871"/>
      <c r="AD26" s="2871"/>
      <c r="AE26" s="2871"/>
      <c r="AF26" s="2871"/>
      <c r="AG26" s="2871"/>
    </row>
    <row r="27" spans="1:33" ht="14.5" x14ac:dyDescent="0.35">
      <c r="A27" s="2716"/>
      <c r="B27" s="606" t="s">
        <v>657</v>
      </c>
      <c r="C27" s="2201"/>
      <c r="D27" s="2285"/>
      <c r="E27" s="2285"/>
      <c r="F27" s="2285"/>
      <c r="G27" s="2198"/>
      <c r="H27" s="2331"/>
      <c r="I27" s="2866"/>
      <c r="J27" s="2331"/>
      <c r="K27" s="2866"/>
      <c r="L27" s="2331"/>
      <c r="M27" s="2866"/>
      <c r="N27" s="2331"/>
      <c r="O27" s="2866"/>
      <c r="P27" s="2331"/>
      <c r="Q27" s="2866"/>
      <c r="R27" s="2331"/>
      <c r="S27" s="2866"/>
      <c r="T27" s="2331"/>
      <c r="U27" s="2866"/>
      <c r="V27" s="2707"/>
      <c r="W27" s="2866"/>
      <c r="X27" s="2707"/>
      <c r="Y27" s="2866"/>
      <c r="Z27" s="2707"/>
      <c r="AA27" s="2866"/>
      <c r="AB27" s="2866"/>
      <c r="AC27" s="2866"/>
      <c r="AD27" s="2866"/>
      <c r="AE27" s="2866"/>
      <c r="AF27" s="2866"/>
      <c r="AG27" s="2866"/>
    </row>
    <row r="28" spans="1:33" ht="14.5" x14ac:dyDescent="0.35">
      <c r="A28" s="2716"/>
      <c r="B28" s="2873" t="s">
        <v>658</v>
      </c>
      <c r="C28" s="2201"/>
      <c r="D28" s="2285"/>
      <c r="E28" s="2285"/>
      <c r="F28" s="2285"/>
      <c r="G28" s="2198"/>
      <c r="H28" s="2109" t="s">
        <v>669</v>
      </c>
      <c r="I28" s="2874"/>
      <c r="J28" s="2109" t="s">
        <v>669</v>
      </c>
      <c r="K28" s="2874"/>
      <c r="L28" s="2109" t="s">
        <v>669</v>
      </c>
      <c r="M28" s="2874"/>
      <c r="N28" s="2109"/>
      <c r="O28" s="2874"/>
      <c r="P28" s="2109"/>
      <c r="Q28" s="2874"/>
      <c r="R28" s="2109"/>
      <c r="S28" s="2874"/>
      <c r="T28" s="2109"/>
      <c r="U28" s="2874"/>
      <c r="V28" s="2109" t="s">
        <v>669</v>
      </c>
      <c r="W28" s="2874"/>
      <c r="X28" s="2109" t="s">
        <v>669</v>
      </c>
      <c r="Y28" s="2874"/>
      <c r="Z28" s="2109"/>
      <c r="AA28" s="2874"/>
      <c r="AB28" s="2109"/>
      <c r="AC28" s="2874"/>
      <c r="AD28" s="2109"/>
      <c r="AE28" s="2874"/>
      <c r="AF28" s="2109"/>
      <c r="AG28" s="2874"/>
    </row>
    <row r="29" spans="1:33" ht="14.5" x14ac:dyDescent="0.35">
      <c r="A29" s="2542"/>
      <c r="B29" s="2873" t="s">
        <v>659</v>
      </c>
      <c r="C29" s="2201"/>
      <c r="D29" s="2201"/>
      <c r="E29" s="2285"/>
      <c r="F29" s="2285"/>
      <c r="G29" s="2198"/>
      <c r="H29" s="2109" t="s">
        <v>669</v>
      </c>
      <c r="I29" s="2874"/>
      <c r="J29" s="2109" t="s">
        <v>669</v>
      </c>
      <c r="K29" s="2874"/>
      <c r="L29" s="2109" t="s">
        <v>669</v>
      </c>
      <c r="M29" s="2874"/>
      <c r="N29" s="2109"/>
      <c r="O29" s="2874"/>
      <c r="P29" s="2109"/>
      <c r="Q29" s="2874"/>
      <c r="R29" s="2109"/>
      <c r="S29" s="2874"/>
      <c r="T29" s="2109"/>
      <c r="U29" s="2874"/>
      <c r="V29" s="2109" t="s">
        <v>669</v>
      </c>
      <c r="W29" s="2874"/>
      <c r="X29" s="2109" t="s">
        <v>669</v>
      </c>
      <c r="Y29" s="2874"/>
      <c r="Z29" s="2109"/>
      <c r="AA29" s="2866"/>
      <c r="AB29" s="2109"/>
      <c r="AC29" s="2866"/>
      <c r="AD29" s="2109"/>
      <c r="AE29" s="2866"/>
      <c r="AF29" s="2109"/>
      <c r="AG29" s="2866"/>
    </row>
    <row r="30" spans="1:33" ht="14.5" x14ac:dyDescent="0.35">
      <c r="A30" s="2716"/>
      <c r="B30" s="2875" t="s">
        <v>660</v>
      </c>
      <c r="C30" s="2201"/>
      <c r="D30" s="2285"/>
      <c r="E30" s="2285"/>
      <c r="F30" s="2285"/>
      <c r="G30" s="2198"/>
      <c r="H30" s="2109" t="s">
        <v>671</v>
      </c>
      <c r="I30" s="2874"/>
      <c r="J30" s="2109" t="s">
        <v>671</v>
      </c>
      <c r="K30" s="2874"/>
      <c r="L30" s="2109" t="s">
        <v>671</v>
      </c>
      <c r="M30" s="2874"/>
      <c r="N30" s="2109"/>
      <c r="O30" s="2866"/>
      <c r="P30" s="2109"/>
      <c r="Q30" s="2866"/>
      <c r="R30" s="2109"/>
      <c r="S30" s="2866"/>
      <c r="T30" s="2109"/>
      <c r="U30" s="2866"/>
      <c r="V30" s="2109" t="s">
        <v>671</v>
      </c>
      <c r="W30" s="2874"/>
      <c r="X30" s="2109" t="s">
        <v>671</v>
      </c>
      <c r="Y30" s="2874"/>
      <c r="Z30" s="2109"/>
      <c r="AA30" s="2866"/>
      <c r="AB30" s="2109"/>
      <c r="AC30" s="2866"/>
      <c r="AD30" s="2109"/>
      <c r="AE30" s="2866"/>
      <c r="AF30" s="2109"/>
      <c r="AG30" s="2866"/>
    </row>
    <row r="31" spans="1:33" ht="14.5" x14ac:dyDescent="0.35">
      <c r="A31" s="2716"/>
      <c r="B31" s="2875" t="s">
        <v>661</v>
      </c>
      <c r="C31" s="2201"/>
      <c r="D31" s="2285"/>
      <c r="E31" s="2285"/>
      <c r="F31" s="2285"/>
      <c r="G31" s="2198"/>
      <c r="H31" s="2109" t="s">
        <v>669</v>
      </c>
      <c r="I31" s="2874"/>
      <c r="J31" s="2109" t="s">
        <v>669</v>
      </c>
      <c r="K31" s="2874"/>
      <c r="L31" s="2109" t="s">
        <v>669</v>
      </c>
      <c r="M31" s="2874"/>
      <c r="N31" s="2109"/>
      <c r="O31" s="2866"/>
      <c r="P31" s="2109"/>
      <c r="Q31" s="2866"/>
      <c r="R31" s="2109"/>
      <c r="S31" s="2866"/>
      <c r="T31" s="2109"/>
      <c r="U31" s="2866"/>
      <c r="V31" s="2109" t="s">
        <v>669</v>
      </c>
      <c r="W31" s="2874"/>
      <c r="X31" s="2109" t="s">
        <v>669</v>
      </c>
      <c r="Y31" s="2874"/>
      <c r="Z31" s="2109"/>
      <c r="AA31" s="2866"/>
      <c r="AB31" s="2109"/>
      <c r="AC31" s="2866"/>
      <c r="AD31" s="2109"/>
      <c r="AE31" s="2866"/>
      <c r="AF31" s="2109"/>
      <c r="AG31" s="2866"/>
    </row>
    <row r="32" spans="1:33" ht="14.5" x14ac:dyDescent="0.35">
      <c r="A32" s="2542"/>
      <c r="B32" s="2875" t="s">
        <v>662</v>
      </c>
      <c r="C32" s="2201"/>
      <c r="D32" s="2285"/>
      <c r="E32" s="2285"/>
      <c r="F32" s="2285"/>
      <c r="G32" s="2198"/>
      <c r="H32" s="2109" t="s">
        <v>669</v>
      </c>
      <c r="I32" s="2874"/>
      <c r="J32" s="2109" t="s">
        <v>669</v>
      </c>
      <c r="K32" s="2874"/>
      <c r="L32" s="2109" t="s">
        <v>669</v>
      </c>
      <c r="M32" s="2874"/>
      <c r="N32" s="2109"/>
      <c r="O32" s="2866"/>
      <c r="P32" s="2109"/>
      <c r="Q32" s="2866"/>
      <c r="R32" s="2109"/>
      <c r="S32" s="2866"/>
      <c r="T32" s="2109"/>
      <c r="U32" s="2866"/>
      <c r="V32" s="2109" t="s">
        <v>669</v>
      </c>
      <c r="W32" s="2874"/>
      <c r="X32" s="2109" t="s">
        <v>669</v>
      </c>
      <c r="Y32" s="2874"/>
      <c r="Z32" s="2109"/>
      <c r="AA32" s="2866"/>
      <c r="AB32" s="2109"/>
      <c r="AC32" s="2866"/>
      <c r="AD32" s="2109"/>
      <c r="AE32" s="2866"/>
      <c r="AF32" s="2109"/>
      <c r="AG32" s="2866"/>
    </row>
    <row r="33" spans="1:33" ht="14.5" x14ac:dyDescent="0.35">
      <c r="A33" s="2716"/>
      <c r="B33" s="2875" t="s">
        <v>663</v>
      </c>
      <c r="C33" s="2201"/>
      <c r="D33" s="2285"/>
      <c r="E33" s="2285"/>
      <c r="F33" s="2285"/>
      <c r="G33" s="2198"/>
      <c r="H33" s="2109" t="s">
        <v>669</v>
      </c>
      <c r="I33" s="2874"/>
      <c r="J33" s="2109" t="s">
        <v>669</v>
      </c>
      <c r="K33" s="2874"/>
      <c r="L33" s="2109" t="s">
        <v>669</v>
      </c>
      <c r="M33" s="2874"/>
      <c r="N33" s="2109"/>
      <c r="O33" s="2866"/>
      <c r="P33" s="2109"/>
      <c r="Q33" s="2866"/>
      <c r="R33" s="2109"/>
      <c r="S33" s="2866"/>
      <c r="T33" s="2109"/>
      <c r="U33" s="2866"/>
      <c r="V33" s="2109" t="s">
        <v>669</v>
      </c>
      <c r="W33" s="2874"/>
      <c r="X33" s="2109" t="s">
        <v>669</v>
      </c>
      <c r="Y33" s="2874"/>
      <c r="Z33" s="2109"/>
      <c r="AA33" s="2866"/>
      <c r="AB33" s="2109"/>
      <c r="AC33" s="2866"/>
      <c r="AD33" s="2109"/>
      <c r="AE33" s="2866"/>
      <c r="AF33" s="2109"/>
      <c r="AG33" s="2866"/>
    </row>
    <row r="34" spans="1:33" ht="14.5" x14ac:dyDescent="0.35">
      <c r="A34" s="2716"/>
      <c r="B34" s="2875" t="s">
        <v>789</v>
      </c>
      <c r="C34" s="2201"/>
      <c r="D34" s="2285"/>
      <c r="E34" s="2285"/>
      <c r="F34" s="2285"/>
      <c r="G34" s="2198"/>
      <c r="H34" s="2109" t="s">
        <v>671</v>
      </c>
      <c r="I34" s="2874" t="s">
        <v>3248</v>
      </c>
      <c r="J34" s="2109" t="s">
        <v>671</v>
      </c>
      <c r="K34" s="2874" t="s">
        <v>3248</v>
      </c>
      <c r="L34" s="2109" t="s">
        <v>671</v>
      </c>
      <c r="M34" s="2874" t="s">
        <v>3248</v>
      </c>
      <c r="N34" s="2109"/>
      <c r="O34" s="2876"/>
      <c r="P34" s="2109"/>
      <c r="Q34" s="2876"/>
      <c r="R34" s="2109"/>
      <c r="S34" s="2876"/>
      <c r="T34" s="2109"/>
      <c r="U34" s="2876"/>
      <c r="V34" s="2109" t="s">
        <v>671</v>
      </c>
      <c r="W34" s="2874" t="s">
        <v>3184</v>
      </c>
      <c r="X34" s="2109" t="s">
        <v>671</v>
      </c>
      <c r="Y34" s="2874" t="s">
        <v>3184</v>
      </c>
      <c r="Z34" s="2109"/>
      <c r="AA34" s="2876"/>
      <c r="AB34" s="2109"/>
      <c r="AC34" s="2876"/>
      <c r="AD34" s="2109"/>
      <c r="AE34" s="2876"/>
      <c r="AF34" s="2109"/>
      <c r="AG34" s="2876"/>
    </row>
    <row r="35" spans="1:33" ht="14.5" x14ac:dyDescent="0.35">
      <c r="A35" s="2877"/>
      <c r="B35" s="2878" t="s">
        <v>790</v>
      </c>
      <c r="C35" s="2201"/>
      <c r="D35" s="2285"/>
      <c r="E35" s="2285"/>
      <c r="F35" s="2285"/>
      <c r="G35" s="2198"/>
      <c r="H35" s="2109"/>
      <c r="I35" s="2879"/>
      <c r="J35" s="2109"/>
      <c r="K35" s="2879"/>
      <c r="L35" s="2109"/>
      <c r="M35" s="2879"/>
      <c r="N35" s="2109"/>
      <c r="O35" s="2880"/>
      <c r="P35" s="2109"/>
      <c r="Q35" s="2880"/>
      <c r="R35" s="2109"/>
      <c r="S35" s="2880"/>
      <c r="T35" s="2109"/>
      <c r="U35" s="2880"/>
      <c r="V35" s="2109"/>
      <c r="W35" s="2879"/>
      <c r="X35" s="2109"/>
      <c r="Y35" s="2879"/>
      <c r="Z35" s="2109"/>
      <c r="AA35" s="2880"/>
      <c r="AB35" s="2109"/>
      <c r="AC35" s="2880"/>
      <c r="AD35" s="2109"/>
      <c r="AE35" s="2880"/>
      <c r="AF35" s="2109"/>
      <c r="AG35" s="2880"/>
    </row>
    <row r="36" spans="1:33" ht="14.5" x14ac:dyDescent="0.35">
      <c r="A36" s="2881"/>
      <c r="B36" s="2882" t="s">
        <v>791</v>
      </c>
      <c r="C36" s="2201"/>
      <c r="D36" s="2285"/>
      <c r="E36" s="2285"/>
      <c r="F36" s="2285"/>
      <c r="G36" s="2198"/>
      <c r="H36" s="2109"/>
      <c r="I36" s="2883"/>
      <c r="J36" s="2109"/>
      <c r="K36" s="2883"/>
      <c r="L36" s="2109"/>
      <c r="M36" s="2883"/>
      <c r="N36" s="2109"/>
      <c r="O36" s="2884"/>
      <c r="P36" s="2109"/>
      <c r="Q36" s="2884"/>
      <c r="R36" s="2109"/>
      <c r="S36" s="2884"/>
      <c r="T36" s="2109"/>
      <c r="U36" s="2884"/>
      <c r="V36" s="2109"/>
      <c r="W36" s="2883"/>
      <c r="X36" s="2109"/>
      <c r="Y36" s="2883"/>
      <c r="Z36" s="2109"/>
      <c r="AA36" s="2884"/>
      <c r="AB36" s="2109"/>
      <c r="AC36" s="2884"/>
      <c r="AD36" s="2109"/>
      <c r="AE36" s="2884"/>
      <c r="AF36" s="2109"/>
      <c r="AG36" s="2884"/>
    </row>
    <row r="37" spans="1:33" ht="14.5" x14ac:dyDescent="0.35">
      <c r="A37" s="2716"/>
      <c r="B37" s="2885" t="s">
        <v>664</v>
      </c>
      <c r="C37" s="2201"/>
      <c r="D37" s="2285"/>
      <c r="E37" s="2285"/>
      <c r="F37" s="2285"/>
      <c r="G37" s="2198"/>
      <c r="H37" s="2109"/>
      <c r="I37" s="2866"/>
      <c r="J37" s="2109"/>
      <c r="K37" s="2866"/>
      <c r="L37" s="2109"/>
      <c r="M37" s="2866"/>
      <c r="N37" s="2109"/>
      <c r="O37" s="2866"/>
      <c r="P37" s="2109"/>
      <c r="Q37" s="2866"/>
      <c r="R37" s="2109"/>
      <c r="S37" s="2866"/>
      <c r="T37" s="2109"/>
      <c r="U37" s="2866"/>
      <c r="V37" s="2109"/>
      <c r="W37" s="2866"/>
      <c r="X37" s="2109"/>
      <c r="Y37" s="2866"/>
      <c r="Z37" s="2109"/>
      <c r="AA37" s="2866"/>
      <c r="AB37" s="2109"/>
      <c r="AC37" s="2866"/>
      <c r="AD37" s="2109"/>
      <c r="AE37" s="2866"/>
      <c r="AF37" s="2109"/>
      <c r="AG37" s="2866"/>
    </row>
    <row r="38" spans="1:33" ht="14.5" x14ac:dyDescent="0.35">
      <c r="A38" s="2716"/>
      <c r="B38" s="2886" t="s">
        <v>665</v>
      </c>
      <c r="C38" s="2887"/>
      <c r="D38" s="2888"/>
      <c r="E38" s="2888"/>
      <c r="F38" s="2888"/>
      <c r="G38" s="2889"/>
      <c r="H38" s="2288"/>
      <c r="I38" s="2890"/>
      <c r="J38" s="2288"/>
      <c r="K38" s="2890"/>
      <c r="L38" s="2288"/>
      <c r="M38" s="2890"/>
      <c r="N38" s="2288"/>
      <c r="O38" s="2890"/>
      <c r="P38" s="2288"/>
      <c r="Q38" s="2890"/>
      <c r="R38" s="2288"/>
      <c r="S38" s="2890"/>
      <c r="T38" s="2288"/>
      <c r="U38" s="2890"/>
      <c r="V38" s="2288"/>
      <c r="W38" s="2890">
        <v>6400000</v>
      </c>
      <c r="X38" s="2288"/>
      <c r="Y38" s="2890"/>
      <c r="Z38" s="2288"/>
      <c r="AA38" s="2890"/>
      <c r="AB38" s="2891"/>
      <c r="AC38" s="2891">
        <v>6026000</v>
      </c>
      <c r="AD38" s="2891"/>
      <c r="AE38" s="2891"/>
      <c r="AF38" s="2891"/>
      <c r="AG38" s="2891">
        <v>42768</v>
      </c>
    </row>
    <row r="39" spans="1:33" ht="14.5" x14ac:dyDescent="0.35">
      <c r="A39" s="2892"/>
      <c r="B39" s="2893" t="s">
        <v>874</v>
      </c>
      <c r="C39" s="2201"/>
      <c r="D39" s="2285"/>
      <c r="E39" s="2285"/>
      <c r="F39" s="2285"/>
      <c r="G39" s="2198"/>
      <c r="H39" s="2109"/>
      <c r="I39" s="2866"/>
      <c r="J39" s="2109"/>
      <c r="K39" s="2866"/>
      <c r="L39" s="2109"/>
      <c r="M39" s="2866"/>
      <c r="N39" s="2109"/>
      <c r="O39" s="2866"/>
      <c r="P39" s="2109"/>
      <c r="Q39" s="2866"/>
      <c r="R39" s="2109"/>
      <c r="S39" s="2894">
        <v>-825800</v>
      </c>
      <c r="T39" s="2109"/>
      <c r="U39" s="2894">
        <v>-825800</v>
      </c>
      <c r="V39" s="2109"/>
      <c r="W39" s="2866"/>
      <c r="X39" s="2109"/>
      <c r="Y39" s="2866"/>
      <c r="Z39" s="2109"/>
      <c r="AA39" s="2866"/>
      <c r="AB39" s="2109"/>
      <c r="AC39" s="2866"/>
      <c r="AD39" s="2109"/>
      <c r="AE39" s="2866"/>
      <c r="AF39" s="2109"/>
      <c r="AG39" s="2866"/>
    </row>
    <row r="40" spans="1:33" ht="14.5" x14ac:dyDescent="0.35">
      <c r="A40" s="2895"/>
      <c r="B40" s="2896" t="s">
        <v>3249</v>
      </c>
      <c r="C40" s="2897"/>
      <c r="D40" s="2285"/>
      <c r="E40" s="2285"/>
      <c r="F40" s="2285"/>
      <c r="G40" s="2198"/>
      <c r="H40" s="2109"/>
      <c r="I40" s="2866"/>
      <c r="J40" s="2109"/>
      <c r="K40" s="2866"/>
      <c r="L40" s="2109"/>
      <c r="M40" s="2866"/>
      <c r="N40" s="2109"/>
      <c r="O40" s="2866"/>
      <c r="P40" s="2109"/>
      <c r="Q40" s="2866"/>
      <c r="R40" s="2109"/>
      <c r="S40" s="2866"/>
      <c r="T40" s="2109"/>
      <c r="U40" s="2866"/>
      <c r="V40" s="2109"/>
      <c r="W40" s="2866"/>
      <c r="X40" s="2109"/>
      <c r="Y40" s="2866"/>
      <c r="Z40" s="2109"/>
      <c r="AA40" s="2866"/>
      <c r="AB40" s="2109"/>
      <c r="AC40" s="2866"/>
      <c r="AD40" s="2109"/>
      <c r="AE40" s="2109"/>
      <c r="AF40" s="2109"/>
      <c r="AG40" s="2866"/>
    </row>
    <row r="41" spans="1:33" ht="14.5" x14ac:dyDescent="0.35">
      <c r="A41" s="2895"/>
      <c r="B41" s="2896"/>
      <c r="C41" s="2897"/>
      <c r="D41" s="2285"/>
      <c r="E41" s="2285"/>
      <c r="F41" s="2285"/>
      <c r="G41" s="2198"/>
      <c r="H41" s="2109"/>
      <c r="I41" s="2898"/>
      <c r="J41" s="2109"/>
      <c r="K41" s="2898"/>
      <c r="L41" s="2109"/>
      <c r="M41" s="2898"/>
      <c r="N41" s="2109"/>
      <c r="O41" s="2898"/>
      <c r="P41" s="2109" t="s">
        <v>669</v>
      </c>
      <c r="Q41" s="2898"/>
      <c r="R41" s="2109" t="s">
        <v>669</v>
      </c>
      <c r="S41" s="2898"/>
      <c r="T41" s="2109" t="s">
        <v>669</v>
      </c>
      <c r="U41" s="2898"/>
      <c r="V41" s="2109"/>
      <c r="W41" s="2898"/>
      <c r="X41" s="2109"/>
      <c r="Y41" s="2898"/>
      <c r="Z41" s="2109"/>
      <c r="AA41" s="2898"/>
      <c r="AB41" s="2109"/>
      <c r="AC41" s="2898"/>
      <c r="AD41" s="2109"/>
      <c r="AE41" s="2109"/>
      <c r="AF41" s="2109"/>
      <c r="AG41" s="2898"/>
    </row>
    <row r="42" spans="1:33" ht="14.5" x14ac:dyDescent="0.35">
      <c r="A42" s="2895"/>
      <c r="B42" s="2899" t="s">
        <v>3250</v>
      </c>
      <c r="C42" s="2897"/>
      <c r="D42" s="2285"/>
      <c r="E42" s="2285"/>
      <c r="F42" s="2285"/>
      <c r="G42" s="2198"/>
      <c r="H42" s="2109"/>
      <c r="I42" s="2866"/>
      <c r="J42" s="2109"/>
      <c r="K42" s="2866"/>
      <c r="L42" s="2109"/>
      <c r="M42" s="2866"/>
      <c r="N42" s="2109"/>
      <c r="O42" s="2866"/>
      <c r="P42" s="2109"/>
      <c r="Q42" s="2866"/>
      <c r="R42" s="2109"/>
      <c r="S42" s="2866"/>
      <c r="T42" s="2109"/>
      <c r="U42" s="2866"/>
      <c r="V42" s="2109"/>
      <c r="W42" s="2866"/>
      <c r="X42" s="2109"/>
      <c r="Y42" s="2866"/>
      <c r="Z42" s="2109"/>
      <c r="AA42" s="2866"/>
      <c r="AB42" s="2109"/>
      <c r="AC42" s="2866"/>
      <c r="AD42" s="2109"/>
      <c r="AE42" s="2109"/>
      <c r="AF42" s="2109"/>
      <c r="AG42" s="2866"/>
    </row>
    <row r="43" spans="1:33" ht="14.5" x14ac:dyDescent="0.35">
      <c r="A43" s="2895"/>
      <c r="B43" s="2899" t="s">
        <v>3251</v>
      </c>
      <c r="C43" s="2897"/>
      <c r="D43" s="2285"/>
      <c r="E43" s="2285"/>
      <c r="F43" s="2285"/>
      <c r="G43" s="2198"/>
      <c r="H43" s="2109" t="s">
        <v>669</v>
      </c>
      <c r="I43" s="2866"/>
      <c r="J43" s="2109" t="s">
        <v>669</v>
      </c>
      <c r="K43" s="2866"/>
      <c r="L43" s="2109" t="s">
        <v>669</v>
      </c>
      <c r="M43" s="2866"/>
      <c r="N43" s="2109" t="s">
        <v>669</v>
      </c>
      <c r="O43" s="2866"/>
      <c r="P43" s="2109" t="s">
        <v>669</v>
      </c>
      <c r="Q43" s="2866"/>
      <c r="R43" s="2109" t="s">
        <v>669</v>
      </c>
      <c r="S43" s="2866"/>
      <c r="T43" s="2109" t="s">
        <v>669</v>
      </c>
      <c r="U43" s="2866"/>
      <c r="V43" s="2109" t="s">
        <v>669</v>
      </c>
      <c r="W43" s="2866"/>
      <c r="X43" s="2109" t="s">
        <v>669</v>
      </c>
      <c r="Y43" s="2866"/>
      <c r="Z43" s="2109" t="s">
        <v>669</v>
      </c>
      <c r="AA43" s="2866"/>
      <c r="AB43" s="2109" t="s">
        <v>669</v>
      </c>
      <c r="AC43" s="2866"/>
      <c r="AD43" s="2109"/>
      <c r="AE43" s="2109"/>
      <c r="AF43" s="2109"/>
      <c r="AG43" s="2866"/>
    </row>
    <row r="44" spans="1:33" ht="14.5" x14ac:dyDescent="0.35">
      <c r="A44" s="2895"/>
      <c r="B44" s="2900" t="s">
        <v>3252</v>
      </c>
      <c r="C44" s="2897"/>
      <c r="D44" s="2285"/>
      <c r="E44" s="2285"/>
      <c r="F44" s="2285"/>
      <c r="G44" s="2198"/>
      <c r="H44" s="2109" t="s">
        <v>669</v>
      </c>
      <c r="I44" s="2866"/>
      <c r="J44" s="2109" t="s">
        <v>669</v>
      </c>
      <c r="K44" s="2866"/>
      <c r="L44" s="2109" t="s">
        <v>669</v>
      </c>
      <c r="M44" s="2866"/>
      <c r="N44" s="2109" t="s">
        <v>669</v>
      </c>
      <c r="O44" s="2866"/>
      <c r="P44" s="2109" t="s">
        <v>669</v>
      </c>
      <c r="Q44" s="2866"/>
      <c r="R44" s="2109" t="s">
        <v>669</v>
      </c>
      <c r="S44" s="2866"/>
      <c r="T44" s="2109" t="s">
        <v>669</v>
      </c>
      <c r="U44" s="2866"/>
      <c r="V44" s="2109" t="s">
        <v>669</v>
      </c>
      <c r="W44" s="2866"/>
      <c r="X44" s="2109" t="s">
        <v>669</v>
      </c>
      <c r="Y44" s="2866"/>
      <c r="Z44" s="2109" t="s">
        <v>669</v>
      </c>
      <c r="AA44" s="2866"/>
      <c r="AB44" s="2109" t="s">
        <v>669</v>
      </c>
      <c r="AC44" s="2866"/>
      <c r="AD44" s="2109"/>
      <c r="AE44" s="2109"/>
      <c r="AF44" s="2109"/>
      <c r="AG44" s="2866"/>
    </row>
    <row r="45" spans="1:33" ht="14.5" x14ac:dyDescent="0.35">
      <c r="A45" s="2895"/>
      <c r="B45" s="2900" t="s">
        <v>3253</v>
      </c>
      <c r="C45" s="2897"/>
      <c r="D45" s="2285"/>
      <c r="E45" s="2285"/>
      <c r="F45" s="2285"/>
      <c r="G45" s="2198"/>
      <c r="H45" s="2109" t="s">
        <v>669</v>
      </c>
      <c r="I45" s="2866"/>
      <c r="J45" s="2109" t="s">
        <v>669</v>
      </c>
      <c r="K45" s="2866"/>
      <c r="L45" s="2109" t="s">
        <v>669</v>
      </c>
      <c r="M45" s="2866"/>
      <c r="N45" s="2109" t="s">
        <v>669</v>
      </c>
      <c r="O45" s="2866"/>
      <c r="P45" s="2109" t="s">
        <v>669</v>
      </c>
      <c r="Q45" s="2866"/>
      <c r="R45" s="2109" t="s">
        <v>669</v>
      </c>
      <c r="S45" s="2866"/>
      <c r="T45" s="2109" t="s">
        <v>669</v>
      </c>
      <c r="U45" s="2866"/>
      <c r="V45" s="2109" t="s">
        <v>669</v>
      </c>
      <c r="W45" s="2866"/>
      <c r="X45" s="2109" t="s">
        <v>669</v>
      </c>
      <c r="Y45" s="2866"/>
      <c r="Z45" s="2109" t="s">
        <v>669</v>
      </c>
      <c r="AA45" s="2866"/>
      <c r="AB45" s="2109" t="s">
        <v>669</v>
      </c>
      <c r="AC45" s="2866"/>
      <c r="AD45" s="2109"/>
      <c r="AE45" s="2109"/>
      <c r="AF45" s="2109"/>
      <c r="AG45" s="2866"/>
    </row>
    <row r="46" spans="1:33" ht="14.5" x14ac:dyDescent="0.35">
      <c r="A46" s="2895"/>
      <c r="B46" s="2900" t="s">
        <v>3254</v>
      </c>
      <c r="C46" s="2897"/>
      <c r="D46" s="2285"/>
      <c r="E46" s="2285"/>
      <c r="F46" s="2285"/>
      <c r="G46" s="2198"/>
      <c r="H46" s="2109" t="s">
        <v>669</v>
      </c>
      <c r="I46" s="2866"/>
      <c r="J46" s="2109" t="s">
        <v>669</v>
      </c>
      <c r="K46" s="2866"/>
      <c r="L46" s="2109" t="s">
        <v>669</v>
      </c>
      <c r="M46" s="2866"/>
      <c r="N46" s="2109" t="s">
        <v>669</v>
      </c>
      <c r="O46" s="2866"/>
      <c r="P46" s="2109" t="s">
        <v>669</v>
      </c>
      <c r="Q46" s="2866"/>
      <c r="R46" s="2109" t="s">
        <v>669</v>
      </c>
      <c r="S46" s="2866"/>
      <c r="T46" s="2109" t="s">
        <v>669</v>
      </c>
      <c r="U46" s="2866"/>
      <c r="V46" s="2109" t="s">
        <v>669</v>
      </c>
      <c r="W46" s="2866"/>
      <c r="X46" s="2109" t="s">
        <v>669</v>
      </c>
      <c r="Y46" s="2866"/>
      <c r="Z46" s="2109" t="s">
        <v>669</v>
      </c>
      <c r="AA46" s="2866"/>
      <c r="AB46" s="2109" t="s">
        <v>669</v>
      </c>
      <c r="AC46" s="2866"/>
      <c r="AD46" s="2109"/>
      <c r="AE46" s="2109"/>
      <c r="AF46" s="2109"/>
      <c r="AG46" s="2866"/>
    </row>
    <row r="47" spans="1:33" ht="14.5" x14ac:dyDescent="0.35">
      <c r="A47" s="2895"/>
      <c r="B47" s="2900" t="s">
        <v>3255</v>
      </c>
      <c r="C47" s="2897"/>
      <c r="D47" s="2285"/>
      <c r="E47" s="2285"/>
      <c r="F47" s="2285"/>
      <c r="G47" s="2198"/>
      <c r="H47" s="2109" t="s">
        <v>669</v>
      </c>
      <c r="I47" s="2866"/>
      <c r="J47" s="2109" t="s">
        <v>669</v>
      </c>
      <c r="K47" s="2866"/>
      <c r="L47" s="2109" t="s">
        <v>669</v>
      </c>
      <c r="M47" s="2866"/>
      <c r="N47" s="2109" t="s">
        <v>669</v>
      </c>
      <c r="O47" s="2866"/>
      <c r="P47" s="2109" t="s">
        <v>669</v>
      </c>
      <c r="Q47" s="2866"/>
      <c r="R47" s="2109" t="s">
        <v>669</v>
      </c>
      <c r="S47" s="2866"/>
      <c r="T47" s="2109" t="s">
        <v>669</v>
      </c>
      <c r="U47" s="2866"/>
      <c r="V47" s="2109" t="s">
        <v>669</v>
      </c>
      <c r="W47" s="2866"/>
      <c r="X47" s="2109" t="s">
        <v>669</v>
      </c>
      <c r="Y47" s="2866"/>
      <c r="Z47" s="2109" t="s">
        <v>669</v>
      </c>
      <c r="AA47" s="2866"/>
      <c r="AB47" s="2109" t="s">
        <v>669</v>
      </c>
      <c r="AC47" s="2866"/>
      <c r="AD47" s="2109"/>
      <c r="AE47" s="2109"/>
      <c r="AF47" s="2109"/>
      <c r="AG47" s="2866"/>
    </row>
    <row r="48" spans="1:33" ht="14.5" x14ac:dyDescent="0.35">
      <c r="A48" s="2895"/>
      <c r="B48" s="2901" t="s">
        <v>3256</v>
      </c>
      <c r="C48" s="2902"/>
      <c r="D48" s="2285"/>
      <c r="E48" s="2285"/>
      <c r="F48" s="2285"/>
      <c r="G48" s="2198"/>
      <c r="H48" s="2109"/>
      <c r="I48" s="2866"/>
      <c r="J48" s="2109"/>
      <c r="K48" s="2866"/>
      <c r="L48" s="2109"/>
      <c r="M48" s="2866"/>
      <c r="N48" s="2109"/>
      <c r="O48" s="2866"/>
      <c r="P48" s="2109"/>
      <c r="Q48" s="2866"/>
      <c r="R48" s="2109"/>
      <c r="S48" s="2866"/>
      <c r="T48" s="2109"/>
      <c r="U48" s="2866"/>
      <c r="V48" s="2109"/>
      <c r="W48" s="2866"/>
      <c r="X48" s="2109"/>
      <c r="Y48" s="2866"/>
      <c r="Z48" s="2109"/>
      <c r="AA48" s="2866"/>
      <c r="AB48" s="2109"/>
      <c r="AC48" s="2866"/>
      <c r="AD48" s="2109"/>
      <c r="AE48" s="2109"/>
      <c r="AF48" s="2109"/>
      <c r="AG48" s="2866"/>
    </row>
    <row r="49" spans="1:33" ht="26" x14ac:dyDescent="0.35">
      <c r="A49" s="2895"/>
      <c r="B49" s="2903" t="s">
        <v>3257</v>
      </c>
      <c r="C49" s="2902" t="s">
        <v>3258</v>
      </c>
      <c r="D49" s="2285"/>
      <c r="E49" s="2285"/>
      <c r="F49" s="2285"/>
      <c r="G49" s="2198"/>
      <c r="H49" s="2038" t="s">
        <v>669</v>
      </c>
      <c r="I49" s="2866"/>
      <c r="J49" s="2038" t="s">
        <v>669</v>
      </c>
      <c r="K49" s="2866"/>
      <c r="L49" s="2038" t="s">
        <v>669</v>
      </c>
      <c r="M49" s="2866"/>
      <c r="N49" s="2038" t="s">
        <v>669</v>
      </c>
      <c r="O49" s="2866"/>
      <c r="P49" s="2038" t="s">
        <v>669</v>
      </c>
      <c r="Q49" s="2866"/>
      <c r="R49" s="2038" t="s">
        <v>669</v>
      </c>
      <c r="S49" s="2866"/>
      <c r="T49" s="2038" t="s">
        <v>669</v>
      </c>
      <c r="U49" s="2866"/>
      <c r="V49" s="2038" t="s">
        <v>669</v>
      </c>
      <c r="W49" s="2866"/>
      <c r="X49" s="2038" t="s">
        <v>669</v>
      </c>
      <c r="Y49" s="2866"/>
      <c r="Z49" s="2038" t="s">
        <v>669</v>
      </c>
      <c r="AA49" s="2866"/>
      <c r="AB49" s="2038" t="s">
        <v>669</v>
      </c>
      <c r="AC49" s="2866"/>
      <c r="AD49" s="2109"/>
      <c r="AE49" s="2109"/>
      <c r="AF49" s="2109"/>
      <c r="AG49" s="2866"/>
    </row>
    <row r="50" spans="1:33" ht="26" x14ac:dyDescent="0.35">
      <c r="A50" s="2895"/>
      <c r="B50" s="2903" t="s">
        <v>3259</v>
      </c>
      <c r="C50" s="2902" t="s">
        <v>3258</v>
      </c>
      <c r="D50" s="2285"/>
      <c r="E50" s="2285"/>
      <c r="F50" s="2285"/>
      <c r="G50" s="2198"/>
      <c r="H50" s="2038" t="s">
        <v>669</v>
      </c>
      <c r="I50" s="2898"/>
      <c r="J50" s="2038" t="s">
        <v>669</v>
      </c>
      <c r="K50" s="2898"/>
      <c r="L50" s="2038" t="s">
        <v>669</v>
      </c>
      <c r="M50" s="2866"/>
      <c r="N50" s="2038" t="s">
        <v>669</v>
      </c>
      <c r="O50" s="2898"/>
      <c r="P50" s="2038" t="s">
        <v>669</v>
      </c>
      <c r="Q50" s="2898"/>
      <c r="R50" s="2038" t="s">
        <v>669</v>
      </c>
      <c r="S50" s="2898"/>
      <c r="T50" s="2038" t="s">
        <v>669</v>
      </c>
      <c r="U50" s="2898"/>
      <c r="V50" s="2038" t="s">
        <v>669</v>
      </c>
      <c r="W50" s="2898"/>
      <c r="X50" s="2038" t="s">
        <v>669</v>
      </c>
      <c r="Y50" s="2898"/>
      <c r="Z50" s="2038" t="s">
        <v>669</v>
      </c>
      <c r="AA50" s="2898"/>
      <c r="AB50" s="2038" t="s">
        <v>669</v>
      </c>
      <c r="AC50" s="2898"/>
      <c r="AD50" s="2109"/>
      <c r="AE50" s="2109"/>
      <c r="AF50" s="2109"/>
      <c r="AG50" s="2898"/>
    </row>
    <row r="51" spans="1:33" ht="26" x14ac:dyDescent="0.35">
      <c r="A51" s="2895"/>
      <c r="B51" s="2903" t="s">
        <v>3260</v>
      </c>
      <c r="C51" s="2902" t="s">
        <v>3258</v>
      </c>
      <c r="D51" s="2285"/>
      <c r="E51" s="2285"/>
      <c r="F51" s="2285"/>
      <c r="G51" s="2198"/>
      <c r="H51" s="2038" t="s">
        <v>669</v>
      </c>
      <c r="I51" s="2898"/>
      <c r="J51" s="2038" t="s">
        <v>669</v>
      </c>
      <c r="K51" s="2898"/>
      <c r="L51" s="2038" t="s">
        <v>669</v>
      </c>
      <c r="M51" s="2866"/>
      <c r="N51" s="2038" t="s">
        <v>669</v>
      </c>
      <c r="O51" s="2898"/>
      <c r="P51" s="2038" t="s">
        <v>669</v>
      </c>
      <c r="Q51" s="2898"/>
      <c r="R51" s="2038" t="s">
        <v>669</v>
      </c>
      <c r="S51" s="2898"/>
      <c r="T51" s="2038" t="s">
        <v>669</v>
      </c>
      <c r="U51" s="2898"/>
      <c r="V51" s="2038" t="s">
        <v>669</v>
      </c>
      <c r="W51" s="2898"/>
      <c r="X51" s="2038" t="s">
        <v>669</v>
      </c>
      <c r="Y51" s="2898"/>
      <c r="Z51" s="2038" t="s">
        <v>669</v>
      </c>
      <c r="AA51" s="2898"/>
      <c r="AB51" s="2038" t="s">
        <v>669</v>
      </c>
      <c r="AC51" s="2898"/>
      <c r="AD51" s="2109"/>
      <c r="AE51" s="2109"/>
      <c r="AF51" s="2109"/>
      <c r="AG51" s="2898"/>
    </row>
    <row r="52" spans="1:33" ht="14.5" x14ac:dyDescent="0.35">
      <c r="A52" s="2895"/>
      <c r="B52" s="2900" t="s">
        <v>3253</v>
      </c>
      <c r="C52" s="2902"/>
      <c r="D52" s="2285"/>
      <c r="E52" s="2285"/>
      <c r="F52" s="2285"/>
      <c r="G52" s="2198"/>
      <c r="H52" s="2109" t="s">
        <v>669</v>
      </c>
      <c r="I52" s="2866"/>
      <c r="J52" s="2109" t="s">
        <v>669</v>
      </c>
      <c r="K52" s="2866"/>
      <c r="L52" s="2109" t="s">
        <v>669</v>
      </c>
      <c r="M52" s="2866"/>
      <c r="N52" s="2109" t="s">
        <v>669</v>
      </c>
      <c r="O52" s="2866"/>
      <c r="P52" s="2109" t="s">
        <v>669</v>
      </c>
      <c r="Q52" s="2866"/>
      <c r="R52" s="2109" t="s">
        <v>669</v>
      </c>
      <c r="S52" s="2866"/>
      <c r="T52" s="2109" t="s">
        <v>669</v>
      </c>
      <c r="U52" s="2866"/>
      <c r="V52" s="2109" t="s">
        <v>669</v>
      </c>
      <c r="W52" s="2866"/>
      <c r="X52" s="2109" t="s">
        <v>669</v>
      </c>
      <c r="Y52" s="2866"/>
      <c r="Z52" s="2109" t="s">
        <v>669</v>
      </c>
      <c r="AA52" s="2866"/>
      <c r="AB52" s="2109" t="s">
        <v>669</v>
      </c>
      <c r="AC52" s="2866"/>
      <c r="AD52" s="2109"/>
      <c r="AE52" s="2109"/>
      <c r="AF52" s="2109"/>
      <c r="AG52" s="2866"/>
    </row>
    <row r="53" spans="1:33" ht="14.5" x14ac:dyDescent="0.35">
      <c r="A53" s="2895"/>
      <c r="B53" s="2900" t="s">
        <v>3254</v>
      </c>
      <c r="C53" s="2902"/>
      <c r="D53" s="2285"/>
      <c r="E53" s="2285"/>
      <c r="F53" s="2285"/>
      <c r="G53" s="2198"/>
      <c r="H53" s="2109" t="s">
        <v>669</v>
      </c>
      <c r="I53" s="2866"/>
      <c r="J53" s="2109" t="s">
        <v>669</v>
      </c>
      <c r="K53" s="2866"/>
      <c r="L53" s="2109" t="s">
        <v>669</v>
      </c>
      <c r="M53" s="2866"/>
      <c r="N53" s="2109" t="s">
        <v>669</v>
      </c>
      <c r="O53" s="2866"/>
      <c r="P53" s="2109" t="s">
        <v>669</v>
      </c>
      <c r="Q53" s="2866"/>
      <c r="R53" s="2109" t="s">
        <v>669</v>
      </c>
      <c r="S53" s="2866"/>
      <c r="T53" s="2109" t="s">
        <v>669</v>
      </c>
      <c r="U53" s="2866"/>
      <c r="V53" s="2109" t="s">
        <v>669</v>
      </c>
      <c r="W53" s="2866"/>
      <c r="X53" s="2109" t="s">
        <v>669</v>
      </c>
      <c r="Y53" s="2866"/>
      <c r="Z53" s="2109" t="s">
        <v>669</v>
      </c>
      <c r="AA53" s="2866"/>
      <c r="AB53" s="2109" t="s">
        <v>669</v>
      </c>
      <c r="AC53" s="2866"/>
      <c r="AD53" s="2109"/>
      <c r="AE53" s="2109"/>
      <c r="AF53" s="2109"/>
      <c r="AG53" s="2866"/>
    </row>
    <row r="54" spans="1:33" ht="14.5" x14ac:dyDescent="0.35">
      <c r="A54" s="2895"/>
      <c r="B54" s="2900" t="s">
        <v>3261</v>
      </c>
      <c r="C54" s="2902"/>
      <c r="D54" s="2285"/>
      <c r="E54" s="2285"/>
      <c r="F54" s="2285"/>
      <c r="G54" s="2198"/>
      <c r="H54" s="2109" t="s">
        <v>669</v>
      </c>
      <c r="I54" s="2866"/>
      <c r="J54" s="2109" t="s">
        <v>669</v>
      </c>
      <c r="K54" s="2866"/>
      <c r="L54" s="2109" t="s">
        <v>669</v>
      </c>
      <c r="M54" s="2866"/>
      <c r="N54" s="2109" t="s">
        <v>669</v>
      </c>
      <c r="O54" s="2866"/>
      <c r="P54" s="2109" t="s">
        <v>669</v>
      </c>
      <c r="Q54" s="2866"/>
      <c r="R54" s="2109" t="s">
        <v>669</v>
      </c>
      <c r="S54" s="2866"/>
      <c r="T54" s="2109" t="s">
        <v>669</v>
      </c>
      <c r="U54" s="2866"/>
      <c r="V54" s="2109" t="s">
        <v>669</v>
      </c>
      <c r="W54" s="2866"/>
      <c r="X54" s="2109" t="s">
        <v>669</v>
      </c>
      <c r="Y54" s="2866"/>
      <c r="Z54" s="2109" t="s">
        <v>669</v>
      </c>
      <c r="AA54" s="2866"/>
      <c r="AB54" s="2109" t="s">
        <v>669</v>
      </c>
      <c r="AC54" s="2866"/>
      <c r="AD54" s="2109"/>
      <c r="AE54" s="2109"/>
      <c r="AF54" s="2109"/>
      <c r="AG54" s="2866"/>
    </row>
    <row r="55" spans="1:33" ht="14.5" x14ac:dyDescent="0.35">
      <c r="A55" s="2895"/>
      <c r="B55" s="2900" t="s">
        <v>3262</v>
      </c>
      <c r="C55" s="2902"/>
      <c r="D55" s="2285"/>
      <c r="E55" s="2285"/>
      <c r="F55" s="2285"/>
      <c r="G55" s="2198"/>
      <c r="H55" s="2109" t="s">
        <v>669</v>
      </c>
      <c r="I55" s="2866"/>
      <c r="J55" s="2109" t="s">
        <v>669</v>
      </c>
      <c r="K55" s="2866"/>
      <c r="L55" s="2109" t="s">
        <v>669</v>
      </c>
      <c r="M55" s="2866"/>
      <c r="N55" s="2109" t="s">
        <v>669</v>
      </c>
      <c r="O55" s="2866"/>
      <c r="P55" s="2109" t="s">
        <v>669</v>
      </c>
      <c r="Q55" s="2866"/>
      <c r="R55" s="2109" t="s">
        <v>669</v>
      </c>
      <c r="S55" s="2866"/>
      <c r="T55" s="2109" t="s">
        <v>669</v>
      </c>
      <c r="U55" s="2866"/>
      <c r="V55" s="2109" t="s">
        <v>669</v>
      </c>
      <c r="W55" s="2866"/>
      <c r="X55" s="2109" t="s">
        <v>669</v>
      </c>
      <c r="Y55" s="2866"/>
      <c r="Z55" s="2109" t="s">
        <v>669</v>
      </c>
      <c r="AA55" s="2866"/>
      <c r="AB55" s="2109" t="s">
        <v>669</v>
      </c>
      <c r="AC55" s="2866"/>
      <c r="AD55" s="2109"/>
      <c r="AE55" s="2109"/>
      <c r="AF55" s="2109"/>
      <c r="AG55" s="2866"/>
    </row>
    <row r="56" spans="1:33" ht="14.5" x14ac:dyDescent="0.35">
      <c r="A56" s="2895"/>
      <c r="B56" s="2904" t="s">
        <v>3263</v>
      </c>
      <c r="C56" s="2902" t="s">
        <v>3264</v>
      </c>
      <c r="D56" s="2285"/>
      <c r="E56" s="2285"/>
      <c r="F56" s="2285"/>
      <c r="G56" s="2198"/>
      <c r="H56" s="2109"/>
      <c r="I56" s="2898"/>
      <c r="J56" s="2109"/>
      <c r="K56" s="2898"/>
      <c r="L56" s="2109"/>
      <c r="M56" s="2898"/>
      <c r="N56" s="2109"/>
      <c r="O56" s="2898"/>
      <c r="P56" s="2109"/>
      <c r="Q56" s="2898"/>
      <c r="R56" s="2109"/>
      <c r="S56" s="2898"/>
      <c r="T56" s="2109"/>
      <c r="U56" s="2898"/>
      <c r="V56" s="2109"/>
      <c r="W56" s="2898"/>
      <c r="X56" s="2109"/>
      <c r="Y56" s="2898"/>
      <c r="Z56" s="2109"/>
      <c r="AA56" s="2898"/>
      <c r="AB56" s="2109"/>
      <c r="AC56" s="2898"/>
      <c r="AD56" s="2109"/>
      <c r="AE56" s="2109"/>
      <c r="AF56" s="2109"/>
      <c r="AG56" s="2898"/>
    </row>
    <row r="57" spans="1:33" ht="14.5" x14ac:dyDescent="0.35">
      <c r="A57" s="2895"/>
      <c r="B57" s="2899"/>
      <c r="C57" s="2902"/>
      <c r="D57" s="2285"/>
      <c r="E57" s="2285"/>
      <c r="F57" s="2285"/>
      <c r="G57" s="2198"/>
      <c r="H57" s="2109"/>
      <c r="I57" s="2866"/>
      <c r="J57" s="2109"/>
      <c r="K57" s="2866"/>
      <c r="L57" s="2109"/>
      <c r="M57" s="2866"/>
      <c r="N57" s="2109"/>
      <c r="O57" s="2866"/>
      <c r="P57" s="2109"/>
      <c r="Q57" s="2866"/>
      <c r="R57" s="2109"/>
      <c r="S57" s="2866"/>
      <c r="T57" s="2109"/>
      <c r="U57" s="2866"/>
      <c r="V57" s="2109"/>
      <c r="W57" s="2866"/>
      <c r="X57" s="2109"/>
      <c r="Y57" s="2866"/>
      <c r="Z57" s="2109"/>
      <c r="AA57" s="2866"/>
      <c r="AB57" s="2109"/>
      <c r="AC57" s="2866"/>
      <c r="AD57" s="2109"/>
      <c r="AE57" s="2109"/>
      <c r="AF57" s="2109"/>
      <c r="AG57" s="2866"/>
    </row>
    <row r="58" spans="1:33" ht="14.5" x14ac:dyDescent="0.35">
      <c r="A58" s="2895"/>
      <c r="B58" s="2899" t="s">
        <v>3265</v>
      </c>
      <c r="C58" s="2902"/>
      <c r="D58" s="2285"/>
      <c r="E58" s="2285"/>
      <c r="F58" s="2285"/>
      <c r="G58" s="2198"/>
      <c r="H58" s="2109"/>
      <c r="I58" s="2866"/>
      <c r="J58" s="2109"/>
      <c r="K58" s="2866"/>
      <c r="L58" s="2109"/>
      <c r="M58" s="2866"/>
      <c r="N58" s="2109"/>
      <c r="O58" s="2866"/>
      <c r="P58" s="2109"/>
      <c r="Q58" s="2866"/>
      <c r="R58" s="2109"/>
      <c r="S58" s="2866"/>
      <c r="T58" s="2109"/>
      <c r="U58" s="2866"/>
      <c r="V58" s="2109"/>
      <c r="W58" s="2866"/>
      <c r="X58" s="2109"/>
      <c r="Y58" s="2866"/>
      <c r="Z58" s="2109"/>
      <c r="AA58" s="2866"/>
      <c r="AB58" s="2109"/>
      <c r="AC58" s="2866"/>
      <c r="AD58" s="2109"/>
      <c r="AE58" s="2109"/>
      <c r="AF58" s="2109"/>
      <c r="AG58" s="2866"/>
    </row>
    <row r="59" spans="1:33" ht="14.5" x14ac:dyDescent="0.35">
      <c r="A59" s="2895"/>
      <c r="B59" s="2900" t="s">
        <v>3266</v>
      </c>
      <c r="C59" s="2902"/>
      <c r="D59" s="2285"/>
      <c r="E59" s="2285"/>
      <c r="F59" s="2285"/>
      <c r="G59" s="2198"/>
      <c r="H59" s="2109" t="s">
        <v>669</v>
      </c>
      <c r="I59" s="2866"/>
      <c r="J59" s="2109" t="s">
        <v>669</v>
      </c>
      <c r="K59" s="2866"/>
      <c r="L59" s="2109" t="s">
        <v>669</v>
      </c>
      <c r="M59" s="2866"/>
      <c r="N59" s="2109" t="s">
        <v>669</v>
      </c>
      <c r="O59" s="2866"/>
      <c r="P59" s="2109" t="s">
        <v>669</v>
      </c>
      <c r="Q59" s="2866"/>
      <c r="R59" s="2109" t="s">
        <v>669</v>
      </c>
      <c r="S59" s="2866"/>
      <c r="T59" s="2109" t="s">
        <v>669</v>
      </c>
      <c r="U59" s="2866"/>
      <c r="V59" s="2109" t="s">
        <v>669</v>
      </c>
      <c r="W59" s="2866"/>
      <c r="X59" s="2109" t="s">
        <v>669</v>
      </c>
      <c r="Y59" s="2866"/>
      <c r="Z59" s="2109" t="s">
        <v>669</v>
      </c>
      <c r="AA59" s="2866"/>
      <c r="AB59" s="2109" t="s">
        <v>669</v>
      </c>
      <c r="AC59" s="2866"/>
      <c r="AD59" s="2109"/>
      <c r="AE59" s="2109"/>
      <c r="AF59" s="2109"/>
      <c r="AG59" s="2866"/>
    </row>
    <row r="60" spans="1:33" ht="14.5" x14ac:dyDescent="0.35">
      <c r="A60" s="2895"/>
      <c r="B60" s="2900" t="s">
        <v>3267</v>
      </c>
      <c r="C60" s="2902"/>
      <c r="D60" s="2285"/>
      <c r="E60" s="2285"/>
      <c r="F60" s="2285"/>
      <c r="G60" s="2198"/>
      <c r="H60" s="2109" t="s">
        <v>669</v>
      </c>
      <c r="I60" s="2866" t="s">
        <v>3268</v>
      </c>
      <c r="J60" s="2109" t="s">
        <v>669</v>
      </c>
      <c r="K60" s="2866" t="s">
        <v>3268</v>
      </c>
      <c r="L60" s="2109" t="s">
        <v>669</v>
      </c>
      <c r="M60" s="2866" t="s">
        <v>3268</v>
      </c>
      <c r="N60" s="2109" t="s">
        <v>669</v>
      </c>
      <c r="O60" s="2866"/>
      <c r="P60" s="2109" t="s">
        <v>669</v>
      </c>
      <c r="Q60" s="2866"/>
      <c r="R60" s="2109" t="s">
        <v>669</v>
      </c>
      <c r="S60" s="2866"/>
      <c r="T60" s="2109" t="s">
        <v>669</v>
      </c>
      <c r="U60" s="2866"/>
      <c r="V60" s="2109" t="s">
        <v>669</v>
      </c>
      <c r="W60" s="2866"/>
      <c r="X60" s="2109" t="s">
        <v>669</v>
      </c>
      <c r="Y60" s="2866"/>
      <c r="Z60" s="2109" t="s">
        <v>669</v>
      </c>
      <c r="AA60" s="2866"/>
      <c r="AB60" s="2109" t="s">
        <v>669</v>
      </c>
      <c r="AC60" s="2866"/>
      <c r="AD60" s="2109"/>
      <c r="AE60" s="2109"/>
      <c r="AF60" s="2109"/>
      <c r="AG60" s="2866"/>
    </row>
    <row r="61" spans="1:33" ht="14.5" x14ac:dyDescent="0.35">
      <c r="A61" s="2895"/>
      <c r="B61" s="2900" t="s">
        <v>3269</v>
      </c>
      <c r="C61" s="2902" t="s">
        <v>3270</v>
      </c>
      <c r="D61" s="2285"/>
      <c r="E61" s="2285"/>
      <c r="F61" s="2285"/>
      <c r="G61" s="2198"/>
      <c r="H61" s="2109" t="s">
        <v>669</v>
      </c>
      <c r="I61" s="2898"/>
      <c r="J61" s="2109" t="s">
        <v>669</v>
      </c>
      <c r="K61" s="2898"/>
      <c r="L61" s="2109" t="s">
        <v>669</v>
      </c>
      <c r="M61" s="2866"/>
      <c r="N61" s="2109" t="s">
        <v>669</v>
      </c>
      <c r="O61" s="2898"/>
      <c r="P61" s="2109" t="s">
        <v>669</v>
      </c>
      <c r="Q61" s="2898"/>
      <c r="R61" s="2109" t="s">
        <v>669</v>
      </c>
      <c r="S61" s="2898"/>
      <c r="T61" s="2109" t="s">
        <v>669</v>
      </c>
      <c r="U61" s="2898"/>
      <c r="V61" s="2109" t="s">
        <v>669</v>
      </c>
      <c r="W61" s="2898"/>
      <c r="X61" s="2109" t="s">
        <v>669</v>
      </c>
      <c r="Y61" s="2898"/>
      <c r="Z61" s="2109" t="s">
        <v>669</v>
      </c>
      <c r="AA61" s="2898"/>
      <c r="AB61" s="2109" t="s">
        <v>669</v>
      </c>
      <c r="AC61" s="2898"/>
      <c r="AD61" s="2109"/>
      <c r="AE61" s="2109"/>
      <c r="AF61" s="2109"/>
      <c r="AG61" s="2898"/>
    </row>
    <row r="62" spans="1:33" ht="14.5" x14ac:dyDescent="0.35">
      <c r="A62" s="2895"/>
      <c r="B62" s="2900" t="s">
        <v>3271</v>
      </c>
      <c r="C62" s="2902"/>
      <c r="D62" s="2285"/>
      <c r="E62" s="2285"/>
      <c r="F62" s="2285"/>
      <c r="G62" s="2198"/>
      <c r="H62" s="2109" t="s">
        <v>669</v>
      </c>
      <c r="I62" s="2866"/>
      <c r="J62" s="2109" t="s">
        <v>669</v>
      </c>
      <c r="K62" s="2866"/>
      <c r="L62" s="2109" t="s">
        <v>669</v>
      </c>
      <c r="M62" s="2866"/>
      <c r="N62" s="2109" t="s">
        <v>669</v>
      </c>
      <c r="O62" s="2866"/>
      <c r="P62" s="2109" t="s">
        <v>669</v>
      </c>
      <c r="Q62" s="2866"/>
      <c r="R62" s="2109" t="s">
        <v>669</v>
      </c>
      <c r="S62" s="2866"/>
      <c r="T62" s="2109" t="s">
        <v>669</v>
      </c>
      <c r="U62" s="2866"/>
      <c r="V62" s="2109" t="s">
        <v>669</v>
      </c>
      <c r="W62" s="2866"/>
      <c r="X62" s="2109" t="s">
        <v>669</v>
      </c>
      <c r="Y62" s="2866"/>
      <c r="Z62" s="2109" t="s">
        <v>669</v>
      </c>
      <c r="AA62" s="2866"/>
      <c r="AB62" s="2109" t="s">
        <v>669</v>
      </c>
      <c r="AC62" s="2866"/>
      <c r="AD62" s="2109"/>
      <c r="AE62" s="2109"/>
      <c r="AF62" s="2109"/>
      <c r="AG62" s="2866"/>
    </row>
    <row r="63" spans="1:33" ht="14.5" x14ac:dyDescent="0.35">
      <c r="A63" s="2895"/>
      <c r="B63" s="2900" t="s">
        <v>3272</v>
      </c>
      <c r="C63" s="2902"/>
      <c r="D63" s="2285"/>
      <c r="E63" s="2285"/>
      <c r="F63" s="2285"/>
      <c r="G63" s="2198"/>
      <c r="H63" s="2109" t="s">
        <v>669</v>
      </c>
      <c r="I63" s="2898"/>
      <c r="J63" s="2109" t="s">
        <v>669</v>
      </c>
      <c r="K63" s="2898"/>
      <c r="L63" s="2109" t="s">
        <v>669</v>
      </c>
      <c r="M63" s="2866"/>
      <c r="N63" s="2109" t="s">
        <v>669</v>
      </c>
      <c r="O63" s="2898"/>
      <c r="P63" s="2109" t="s">
        <v>669</v>
      </c>
      <c r="Q63" s="2898"/>
      <c r="R63" s="2109" t="s">
        <v>669</v>
      </c>
      <c r="S63" s="2898"/>
      <c r="T63" s="2109" t="s">
        <v>669</v>
      </c>
      <c r="U63" s="2898"/>
      <c r="V63" s="2109" t="s">
        <v>669</v>
      </c>
      <c r="W63" s="2898"/>
      <c r="X63" s="2109" t="s">
        <v>669</v>
      </c>
      <c r="Y63" s="2898"/>
      <c r="Z63" s="2109" t="s">
        <v>669</v>
      </c>
      <c r="AA63" s="2898"/>
      <c r="AB63" s="2109" t="s">
        <v>669</v>
      </c>
      <c r="AC63" s="2898"/>
      <c r="AD63" s="2109"/>
      <c r="AE63" s="2109"/>
      <c r="AF63" s="2109"/>
      <c r="AG63" s="2898"/>
    </row>
    <row r="64" spans="1:33" ht="14.5" x14ac:dyDescent="0.35">
      <c r="A64" s="2895"/>
      <c r="B64" s="2900" t="s">
        <v>3273</v>
      </c>
      <c r="C64" s="2902"/>
      <c r="D64" s="2285"/>
      <c r="E64" s="2285"/>
      <c r="F64" s="2285"/>
      <c r="G64" s="2198"/>
      <c r="H64" s="2038" t="s">
        <v>669</v>
      </c>
      <c r="I64" s="2898"/>
      <c r="J64" s="2038" t="s">
        <v>669</v>
      </c>
      <c r="K64" s="2898"/>
      <c r="L64" s="2038" t="s">
        <v>669</v>
      </c>
      <c r="M64" s="2866"/>
      <c r="N64" s="2038" t="s">
        <v>669</v>
      </c>
      <c r="O64" s="2898"/>
      <c r="P64" s="2038" t="s">
        <v>669</v>
      </c>
      <c r="Q64" s="2898"/>
      <c r="R64" s="2038" t="s">
        <v>669</v>
      </c>
      <c r="S64" s="2898"/>
      <c r="T64" s="2038" t="s">
        <v>669</v>
      </c>
      <c r="U64" s="2898"/>
      <c r="V64" s="2038" t="s">
        <v>669</v>
      </c>
      <c r="W64" s="2898"/>
      <c r="X64" s="2038" t="s">
        <v>669</v>
      </c>
      <c r="Y64" s="2898"/>
      <c r="Z64" s="2038" t="s">
        <v>669</v>
      </c>
      <c r="AA64" s="2898"/>
      <c r="AB64" s="2038" t="s">
        <v>669</v>
      </c>
      <c r="AC64" s="2898"/>
      <c r="AD64" s="2109"/>
      <c r="AE64" s="2109"/>
      <c r="AF64" s="2109"/>
      <c r="AG64" s="2898"/>
    </row>
    <row r="65" spans="1:33" ht="14.5" x14ac:dyDescent="0.35">
      <c r="A65" s="2895"/>
      <c r="B65" s="2900" t="s">
        <v>3274</v>
      </c>
      <c r="C65" s="2902"/>
      <c r="D65" s="2285"/>
      <c r="E65" s="2285"/>
      <c r="F65" s="2285"/>
      <c r="G65" s="2198"/>
      <c r="H65" s="2038" t="s">
        <v>669</v>
      </c>
      <c r="I65" s="2898"/>
      <c r="J65" s="2038" t="s">
        <v>669</v>
      </c>
      <c r="K65" s="2898"/>
      <c r="L65" s="2038" t="s">
        <v>669</v>
      </c>
      <c r="M65" s="2866"/>
      <c r="N65" s="2038" t="s">
        <v>669</v>
      </c>
      <c r="O65" s="2898"/>
      <c r="P65" s="2038" t="s">
        <v>669</v>
      </c>
      <c r="Q65" s="2898"/>
      <c r="R65" s="2038" t="s">
        <v>669</v>
      </c>
      <c r="S65" s="2898"/>
      <c r="T65" s="2038" t="s">
        <v>669</v>
      </c>
      <c r="U65" s="2898"/>
      <c r="V65" s="2038"/>
      <c r="W65" s="2898"/>
      <c r="X65" s="2038"/>
      <c r="Y65" s="2898"/>
      <c r="Z65" s="2038"/>
      <c r="AA65" s="2898"/>
      <c r="AB65" s="2038"/>
      <c r="AC65" s="2898"/>
      <c r="AD65" s="2109"/>
      <c r="AE65" s="2109"/>
      <c r="AF65" s="2109"/>
      <c r="AG65" s="2898"/>
    </row>
    <row r="66" spans="1:33" ht="14.5" x14ac:dyDescent="0.35">
      <c r="A66" s="2895"/>
      <c r="B66" s="2900" t="s">
        <v>3275</v>
      </c>
      <c r="C66" s="2902"/>
      <c r="D66" s="2285"/>
      <c r="E66" s="2285"/>
      <c r="F66" s="2285"/>
      <c r="G66" s="2198"/>
      <c r="H66" s="2109" t="s">
        <v>669</v>
      </c>
      <c r="I66" s="2866"/>
      <c r="J66" s="2109" t="s">
        <v>669</v>
      </c>
      <c r="K66" s="2866"/>
      <c r="L66" s="2109" t="s">
        <v>669</v>
      </c>
      <c r="M66" s="2866"/>
      <c r="N66" s="2109" t="s">
        <v>669</v>
      </c>
      <c r="O66" s="2866"/>
      <c r="P66" s="2109" t="s">
        <v>669</v>
      </c>
      <c r="Q66" s="2866"/>
      <c r="R66" s="2109" t="s">
        <v>669</v>
      </c>
      <c r="S66" s="2866"/>
      <c r="T66" s="2109" t="s">
        <v>669</v>
      </c>
      <c r="U66" s="2866"/>
      <c r="V66" s="2109" t="s">
        <v>669</v>
      </c>
      <c r="W66" s="2866"/>
      <c r="X66" s="2109" t="s">
        <v>669</v>
      </c>
      <c r="Y66" s="2866"/>
      <c r="Z66" s="2109" t="s">
        <v>669</v>
      </c>
      <c r="AA66" s="2866"/>
      <c r="AB66" s="2109" t="s">
        <v>669</v>
      </c>
      <c r="AC66" s="2866"/>
      <c r="AD66" s="2109"/>
      <c r="AE66" s="2109"/>
      <c r="AF66" s="2109"/>
      <c r="AG66" s="2866"/>
    </row>
    <row r="67" spans="1:33" ht="14.5" x14ac:dyDescent="0.35">
      <c r="A67" s="2895"/>
      <c r="B67" s="2900" t="s">
        <v>3276</v>
      </c>
      <c r="C67" s="2902"/>
      <c r="D67" s="2285"/>
      <c r="E67" s="2285"/>
      <c r="F67" s="2285"/>
      <c r="G67" s="2198"/>
      <c r="H67" s="2109" t="s">
        <v>669</v>
      </c>
      <c r="I67" s="2866"/>
      <c r="J67" s="2109" t="s">
        <v>669</v>
      </c>
      <c r="K67" s="2866"/>
      <c r="L67" s="2109" t="s">
        <v>669</v>
      </c>
      <c r="M67" s="2866"/>
      <c r="N67" s="2109" t="s">
        <v>669</v>
      </c>
      <c r="O67" s="2866"/>
      <c r="P67" s="2109" t="s">
        <v>669</v>
      </c>
      <c r="Q67" s="2866"/>
      <c r="R67" s="2109" t="s">
        <v>669</v>
      </c>
      <c r="S67" s="2866"/>
      <c r="T67" s="2109" t="s">
        <v>669</v>
      </c>
      <c r="U67" s="2866"/>
      <c r="V67" s="2109" t="s">
        <v>669</v>
      </c>
      <c r="W67" s="2866"/>
      <c r="X67" s="2109" t="s">
        <v>669</v>
      </c>
      <c r="Y67" s="2866"/>
      <c r="Z67" s="2109" t="s">
        <v>669</v>
      </c>
      <c r="AA67" s="2866"/>
      <c r="AB67" s="2109" t="s">
        <v>669</v>
      </c>
      <c r="AC67" s="2866"/>
      <c r="AD67" s="2109"/>
      <c r="AE67" s="2109"/>
      <c r="AF67" s="2109"/>
      <c r="AG67" s="2866"/>
    </row>
    <row r="68" spans="1:33" ht="14.5" x14ac:dyDescent="0.35">
      <c r="A68" s="2895"/>
      <c r="B68" s="2900" t="s">
        <v>3277</v>
      </c>
      <c r="C68" s="2902"/>
      <c r="D68" s="2285"/>
      <c r="E68" s="2285"/>
      <c r="F68" s="2285"/>
      <c r="G68" s="2198"/>
      <c r="H68" s="2109" t="s">
        <v>669</v>
      </c>
      <c r="I68" s="2866"/>
      <c r="J68" s="2109" t="s">
        <v>669</v>
      </c>
      <c r="K68" s="2866"/>
      <c r="L68" s="2109" t="s">
        <v>669</v>
      </c>
      <c r="M68" s="2866"/>
      <c r="N68" s="2109" t="s">
        <v>669</v>
      </c>
      <c r="O68" s="2866"/>
      <c r="P68" s="2109" t="s">
        <v>669</v>
      </c>
      <c r="Q68" s="2866"/>
      <c r="R68" s="2109" t="s">
        <v>669</v>
      </c>
      <c r="S68" s="2866"/>
      <c r="T68" s="2109" t="s">
        <v>669</v>
      </c>
      <c r="U68" s="2866"/>
      <c r="V68" s="2109" t="s">
        <v>669</v>
      </c>
      <c r="W68" s="2866"/>
      <c r="X68" s="2109" t="s">
        <v>669</v>
      </c>
      <c r="Y68" s="2866"/>
      <c r="Z68" s="2109" t="s">
        <v>669</v>
      </c>
      <c r="AA68" s="2866"/>
      <c r="AB68" s="2109" t="s">
        <v>669</v>
      </c>
      <c r="AC68" s="2866"/>
      <c r="AD68" s="2109"/>
      <c r="AE68" s="2109"/>
      <c r="AF68" s="2109"/>
      <c r="AG68" s="2866"/>
    </row>
    <row r="69" spans="1:33" ht="14.5" x14ac:dyDescent="0.35">
      <c r="A69" s="2895"/>
      <c r="B69" s="2900" t="s">
        <v>3278</v>
      </c>
      <c r="C69" s="2902"/>
      <c r="D69" s="2285"/>
      <c r="E69" s="2285"/>
      <c r="F69" s="2285"/>
      <c r="G69" s="2198"/>
      <c r="H69" s="2109" t="s">
        <v>669</v>
      </c>
      <c r="I69" s="2866"/>
      <c r="J69" s="2109" t="s">
        <v>669</v>
      </c>
      <c r="K69" s="2866"/>
      <c r="L69" s="2109" t="s">
        <v>669</v>
      </c>
      <c r="M69" s="2866"/>
      <c r="N69" s="2109" t="s">
        <v>669</v>
      </c>
      <c r="O69" s="2866"/>
      <c r="P69" s="2109" t="s">
        <v>669</v>
      </c>
      <c r="Q69" s="2866"/>
      <c r="R69" s="2109" t="s">
        <v>669</v>
      </c>
      <c r="S69" s="2866"/>
      <c r="T69" s="2109" t="s">
        <v>669</v>
      </c>
      <c r="U69" s="2866"/>
      <c r="V69" s="2109" t="s">
        <v>669</v>
      </c>
      <c r="W69" s="2894"/>
      <c r="X69" s="2109" t="s">
        <v>669</v>
      </c>
      <c r="Y69" s="2894"/>
      <c r="Z69" s="2109" t="s">
        <v>669</v>
      </c>
      <c r="AA69" s="2894"/>
      <c r="AB69" s="2109" t="s">
        <v>669</v>
      </c>
      <c r="AC69" s="2866"/>
      <c r="AD69" s="2109"/>
      <c r="AE69" s="2109"/>
      <c r="AF69" s="2109"/>
      <c r="AG69" s="2866"/>
    </row>
    <row r="70" spans="1:33" ht="14.5" x14ac:dyDescent="0.35">
      <c r="A70" s="2895"/>
      <c r="B70" s="2900" t="s">
        <v>3279</v>
      </c>
      <c r="C70" s="2902" t="s">
        <v>3280</v>
      </c>
      <c r="D70" s="2285"/>
      <c r="E70" s="2285"/>
      <c r="F70" s="2285"/>
      <c r="G70" s="2198"/>
      <c r="H70" s="2109" t="s">
        <v>669</v>
      </c>
      <c r="I70" s="2866"/>
      <c r="J70" s="2109" t="s">
        <v>669</v>
      </c>
      <c r="K70" s="2866"/>
      <c r="L70" s="2109" t="s">
        <v>669</v>
      </c>
      <c r="M70" s="2866"/>
      <c r="N70" s="2109" t="s">
        <v>669</v>
      </c>
      <c r="O70" s="2866"/>
      <c r="P70" s="2109" t="s">
        <v>669</v>
      </c>
      <c r="Q70" s="2866"/>
      <c r="R70" s="2109" t="s">
        <v>669</v>
      </c>
      <c r="S70" s="2866"/>
      <c r="T70" s="2109" t="s">
        <v>669</v>
      </c>
      <c r="U70" s="2866"/>
      <c r="V70" s="2109" t="s">
        <v>669</v>
      </c>
      <c r="W70" s="2894"/>
      <c r="X70" s="2109" t="s">
        <v>669</v>
      </c>
      <c r="Y70" s="2894"/>
      <c r="Z70" s="2109" t="s">
        <v>669</v>
      </c>
      <c r="AA70" s="2894"/>
      <c r="AB70" s="2109" t="s">
        <v>669</v>
      </c>
      <c r="AC70" s="2866"/>
      <c r="AD70" s="2109"/>
      <c r="AE70" s="2109"/>
      <c r="AF70" s="2109"/>
      <c r="AG70" s="2866"/>
    </row>
    <row r="71" spans="1:33" ht="14.5" x14ac:dyDescent="0.35">
      <c r="A71" s="2895"/>
      <c r="B71" s="2900" t="s">
        <v>3281</v>
      </c>
      <c r="C71" s="2902" t="s">
        <v>3282</v>
      </c>
      <c r="D71" s="2285"/>
      <c r="E71" s="2285"/>
      <c r="F71" s="2285"/>
      <c r="G71" s="2198"/>
      <c r="H71" s="2109" t="s">
        <v>669</v>
      </c>
      <c r="I71" s="2894"/>
      <c r="J71" s="2109" t="s">
        <v>669</v>
      </c>
      <c r="K71" s="2894"/>
      <c r="L71" s="2109" t="s">
        <v>669</v>
      </c>
      <c r="M71" s="2894"/>
      <c r="N71" s="2109" t="s">
        <v>669</v>
      </c>
      <c r="O71" s="2894"/>
      <c r="P71" s="2109" t="s">
        <v>669</v>
      </c>
      <c r="Q71" s="2894"/>
      <c r="R71" s="2109" t="s">
        <v>669</v>
      </c>
      <c r="S71" s="2894"/>
      <c r="T71" s="2109" t="s">
        <v>669</v>
      </c>
      <c r="U71" s="2894"/>
      <c r="V71" s="2109" t="s">
        <v>669</v>
      </c>
      <c r="W71" s="2894"/>
      <c r="X71" s="2109" t="s">
        <v>669</v>
      </c>
      <c r="Y71" s="2894"/>
      <c r="Z71" s="2109" t="s">
        <v>669</v>
      </c>
      <c r="AA71" s="2894"/>
      <c r="AB71" s="2109" t="s">
        <v>669</v>
      </c>
      <c r="AC71" s="2866"/>
      <c r="AD71" s="2109"/>
      <c r="AE71" s="2109"/>
      <c r="AF71" s="2109"/>
      <c r="AG71" s="2866"/>
    </row>
    <row r="72" spans="1:33" ht="14.5" x14ac:dyDescent="0.35">
      <c r="A72" s="2895"/>
      <c r="B72" s="2905" t="s">
        <v>3283</v>
      </c>
      <c r="C72" s="2902"/>
      <c r="D72" s="2285"/>
      <c r="E72" s="2285"/>
      <c r="F72" s="2285"/>
      <c r="G72" s="2198"/>
      <c r="H72" s="2038" t="s">
        <v>671</v>
      </c>
      <c r="I72" s="2894"/>
      <c r="J72" s="2038" t="s">
        <v>671</v>
      </c>
      <c r="K72" s="2894"/>
      <c r="L72" s="2038" t="s">
        <v>671</v>
      </c>
      <c r="M72" s="2894"/>
      <c r="N72" s="2038" t="s">
        <v>671</v>
      </c>
      <c r="O72" s="2894"/>
      <c r="P72" s="2038" t="s">
        <v>671</v>
      </c>
      <c r="Q72" s="2894"/>
      <c r="R72" s="2038" t="s">
        <v>671</v>
      </c>
      <c r="S72" s="2894"/>
      <c r="T72" s="2038" t="s">
        <v>671</v>
      </c>
      <c r="U72" s="2894"/>
      <c r="V72" s="2038" t="s">
        <v>671</v>
      </c>
      <c r="W72" s="2866"/>
      <c r="X72" s="2038" t="s">
        <v>671</v>
      </c>
      <c r="Y72" s="2866"/>
      <c r="Z72" s="2038" t="s">
        <v>671</v>
      </c>
      <c r="AA72" s="2894"/>
      <c r="AB72" s="2038" t="s">
        <v>671</v>
      </c>
      <c r="AC72" s="2866"/>
      <c r="AD72" s="2109"/>
      <c r="AE72" s="2109"/>
      <c r="AF72" s="2109"/>
      <c r="AG72" s="2866"/>
    </row>
    <row r="73" spans="1:33" ht="14.5" x14ac:dyDescent="0.35">
      <c r="A73" s="2895"/>
      <c r="B73" s="2900" t="s">
        <v>3284</v>
      </c>
      <c r="C73" s="2902"/>
      <c r="D73" s="2285"/>
      <c r="E73" s="2285"/>
      <c r="F73" s="2285"/>
      <c r="G73" s="2198"/>
      <c r="H73" s="2109" t="s">
        <v>669</v>
      </c>
      <c r="I73" s="2894"/>
      <c r="J73" s="2109" t="s">
        <v>669</v>
      </c>
      <c r="K73" s="2894"/>
      <c r="L73" s="2109" t="s">
        <v>669</v>
      </c>
      <c r="M73" s="2894"/>
      <c r="N73" s="2109" t="s">
        <v>669</v>
      </c>
      <c r="O73" s="2894"/>
      <c r="P73" s="2109" t="s">
        <v>669</v>
      </c>
      <c r="Q73" s="2894"/>
      <c r="R73" s="2109" t="s">
        <v>669</v>
      </c>
      <c r="S73" s="2894"/>
      <c r="T73" s="2109" t="s">
        <v>669</v>
      </c>
      <c r="U73" s="2894"/>
      <c r="V73" s="2109" t="s">
        <v>669</v>
      </c>
      <c r="W73" s="2866"/>
      <c r="X73" s="2109" t="s">
        <v>669</v>
      </c>
      <c r="Y73" s="2866"/>
      <c r="Z73" s="2109" t="s">
        <v>669</v>
      </c>
      <c r="AA73" s="2866"/>
      <c r="AB73" s="2109" t="s">
        <v>669</v>
      </c>
      <c r="AC73" s="2866"/>
      <c r="AD73" s="2109"/>
      <c r="AE73" s="2109"/>
      <c r="AF73" s="2109"/>
      <c r="AG73" s="2866"/>
    </row>
    <row r="74" spans="1:33" ht="14.5" x14ac:dyDescent="0.35">
      <c r="A74" s="2895"/>
      <c r="B74" s="2900" t="s">
        <v>3285</v>
      </c>
      <c r="C74" s="2902"/>
      <c r="D74" s="2285"/>
      <c r="E74" s="2285"/>
      <c r="F74" s="2285"/>
      <c r="G74" s="2198"/>
      <c r="H74" s="2038" t="s">
        <v>671</v>
      </c>
      <c r="I74" s="2866"/>
      <c r="J74" s="2038" t="s">
        <v>671</v>
      </c>
      <c r="K74" s="2866"/>
      <c r="L74" s="2038" t="s">
        <v>671</v>
      </c>
      <c r="M74" s="2866"/>
      <c r="N74" s="2038" t="s">
        <v>671</v>
      </c>
      <c r="O74" s="2866"/>
      <c r="P74" s="2038" t="s">
        <v>671</v>
      </c>
      <c r="Q74" s="2866"/>
      <c r="R74" s="2038" t="s">
        <v>671</v>
      </c>
      <c r="S74" s="2866"/>
      <c r="T74" s="2038" t="s">
        <v>671</v>
      </c>
      <c r="U74" s="2866"/>
      <c r="V74" s="2038"/>
      <c r="W74" s="2866"/>
      <c r="X74" s="2038"/>
      <c r="Y74" s="2866"/>
      <c r="Z74" s="2038"/>
      <c r="AA74" s="2866"/>
      <c r="AB74" s="2038"/>
      <c r="AC74" s="2866"/>
      <c r="AD74" s="2109"/>
      <c r="AE74" s="2109"/>
      <c r="AF74" s="2109"/>
      <c r="AG74" s="2866"/>
    </row>
    <row r="75" spans="1:33" ht="14.5" x14ac:dyDescent="0.35">
      <c r="A75" s="2895"/>
      <c r="B75" s="2900" t="s">
        <v>3286</v>
      </c>
      <c r="C75" s="2902"/>
      <c r="D75" s="2285"/>
      <c r="E75" s="2285"/>
      <c r="F75" s="2285"/>
      <c r="G75" s="2198"/>
      <c r="H75" s="2038" t="s">
        <v>671</v>
      </c>
      <c r="I75" s="2898"/>
      <c r="J75" s="2038" t="s">
        <v>671</v>
      </c>
      <c r="K75" s="2898"/>
      <c r="L75" s="2038" t="s">
        <v>671</v>
      </c>
      <c r="M75" s="2866"/>
      <c r="N75" s="2038" t="s">
        <v>671</v>
      </c>
      <c r="O75" s="2898"/>
      <c r="P75" s="2038" t="s">
        <v>671</v>
      </c>
      <c r="Q75" s="2898"/>
      <c r="R75" s="2038" t="s">
        <v>671</v>
      </c>
      <c r="S75" s="2898"/>
      <c r="T75" s="2038" t="s">
        <v>671</v>
      </c>
      <c r="U75" s="2898"/>
      <c r="V75" s="2038" t="s">
        <v>671</v>
      </c>
      <c r="W75" s="2898"/>
      <c r="X75" s="2038" t="s">
        <v>671</v>
      </c>
      <c r="Y75" s="2898"/>
      <c r="Z75" s="2038" t="s">
        <v>671</v>
      </c>
      <c r="AA75" s="2898"/>
      <c r="AB75" s="2038" t="s">
        <v>671</v>
      </c>
      <c r="AC75" s="2898"/>
      <c r="AD75" s="2109"/>
      <c r="AE75" s="2109"/>
      <c r="AF75" s="2109"/>
      <c r="AG75" s="2898"/>
    </row>
    <row r="76" spans="1:33" ht="14.5" x14ac:dyDescent="0.35">
      <c r="A76" s="2895"/>
      <c r="B76" s="2900" t="s">
        <v>3287</v>
      </c>
      <c r="C76" s="2902"/>
      <c r="D76" s="2285"/>
      <c r="E76" s="2285"/>
      <c r="F76" s="2906"/>
      <c r="G76" s="2907"/>
      <c r="H76" s="2038" t="s">
        <v>669</v>
      </c>
      <c r="I76" s="2866"/>
      <c r="J76" s="2038" t="s">
        <v>669</v>
      </c>
      <c r="K76" s="2866"/>
      <c r="L76" s="2038" t="s">
        <v>669</v>
      </c>
      <c r="M76" s="2866"/>
      <c r="N76" s="2038" t="s">
        <v>669</v>
      </c>
      <c r="O76" s="2866"/>
      <c r="P76" s="2038" t="s">
        <v>669</v>
      </c>
      <c r="Q76" s="2866"/>
      <c r="R76" s="2038" t="s">
        <v>669</v>
      </c>
      <c r="S76" s="2866"/>
      <c r="T76" s="2038" t="s">
        <v>669</v>
      </c>
      <c r="U76" s="2866"/>
      <c r="V76" s="2038" t="s">
        <v>669</v>
      </c>
      <c r="W76" s="2866"/>
      <c r="X76" s="2038" t="s">
        <v>669</v>
      </c>
      <c r="Y76" s="2866"/>
      <c r="Z76" s="2038" t="s">
        <v>669</v>
      </c>
      <c r="AA76" s="2866"/>
      <c r="AB76" s="2038" t="s">
        <v>669</v>
      </c>
      <c r="AC76" s="2866"/>
      <c r="AD76" s="2109"/>
      <c r="AE76" s="2109"/>
      <c r="AF76" s="2109"/>
      <c r="AG76" s="2866"/>
    </row>
    <row r="77" spans="1:33" ht="14.5" x14ac:dyDescent="0.35">
      <c r="A77" s="2895"/>
      <c r="B77" s="2900" t="s">
        <v>3288</v>
      </c>
      <c r="C77" s="2902"/>
      <c r="D77" s="2285"/>
      <c r="E77" s="2285"/>
      <c r="F77" s="2906"/>
      <c r="G77" s="2907"/>
      <c r="H77" s="2038" t="s">
        <v>669</v>
      </c>
      <c r="I77" s="2898"/>
      <c r="J77" s="2038" t="s">
        <v>669</v>
      </c>
      <c r="K77" s="2898"/>
      <c r="L77" s="2038" t="s">
        <v>669</v>
      </c>
      <c r="M77" s="2866"/>
      <c r="N77" s="2038" t="s">
        <v>669</v>
      </c>
      <c r="O77" s="2898"/>
      <c r="P77" s="2038" t="s">
        <v>669</v>
      </c>
      <c r="Q77" s="2898"/>
      <c r="R77" s="2038" t="s">
        <v>669</v>
      </c>
      <c r="S77" s="2898"/>
      <c r="T77" s="2038" t="s">
        <v>669</v>
      </c>
      <c r="U77" s="2898"/>
      <c r="V77" s="2038" t="s">
        <v>669</v>
      </c>
      <c r="W77" s="2898"/>
      <c r="X77" s="2038" t="s">
        <v>669</v>
      </c>
      <c r="Y77" s="2898"/>
      <c r="Z77" s="2038" t="s">
        <v>669</v>
      </c>
      <c r="AA77" s="2898"/>
      <c r="AB77" s="2038" t="s">
        <v>669</v>
      </c>
      <c r="AC77" s="2898"/>
      <c r="AD77" s="2109"/>
      <c r="AE77" s="2109"/>
      <c r="AF77" s="2109"/>
      <c r="AG77" s="2898"/>
    </row>
    <row r="78" spans="1:33" ht="14.5" x14ac:dyDescent="0.35">
      <c r="A78" s="2895"/>
      <c r="B78" s="2900" t="s">
        <v>3289</v>
      </c>
      <c r="C78" s="2902"/>
      <c r="D78" s="2285"/>
      <c r="E78" s="2285"/>
      <c r="F78" s="2906"/>
      <c r="G78" s="2907"/>
      <c r="H78" s="2038" t="s">
        <v>669</v>
      </c>
      <c r="I78" s="2898"/>
      <c r="J78" s="2038" t="s">
        <v>669</v>
      </c>
      <c r="K78" s="2898"/>
      <c r="L78" s="2038" t="s">
        <v>669</v>
      </c>
      <c r="M78" s="2866"/>
      <c r="N78" s="2038" t="s">
        <v>669</v>
      </c>
      <c r="O78" s="2898"/>
      <c r="P78" s="2038" t="s">
        <v>669</v>
      </c>
      <c r="Q78" s="2898"/>
      <c r="R78" s="2038" t="s">
        <v>669</v>
      </c>
      <c r="S78" s="2898"/>
      <c r="T78" s="2038" t="s">
        <v>669</v>
      </c>
      <c r="U78" s="2898"/>
      <c r="V78" s="2038" t="s">
        <v>669</v>
      </c>
      <c r="W78" s="2898"/>
      <c r="X78" s="2038" t="s">
        <v>669</v>
      </c>
      <c r="Y78" s="2898"/>
      <c r="Z78" s="2038" t="s">
        <v>669</v>
      </c>
      <c r="AA78" s="2898"/>
      <c r="AB78" s="2038" t="s">
        <v>669</v>
      </c>
      <c r="AC78" s="2898"/>
      <c r="AD78" s="2109"/>
      <c r="AE78" s="2109"/>
      <c r="AF78" s="2109"/>
      <c r="AG78" s="2898"/>
    </row>
    <row r="79" spans="1:33" ht="14.5" x14ac:dyDescent="0.35">
      <c r="A79" s="2895"/>
      <c r="B79" s="2900" t="s">
        <v>3290</v>
      </c>
      <c r="C79" s="2902"/>
      <c r="D79" s="2285"/>
      <c r="E79" s="2285"/>
      <c r="F79" s="2906"/>
      <c r="G79" s="2907"/>
      <c r="H79" s="2109" t="s">
        <v>671</v>
      </c>
      <c r="I79" s="2866"/>
      <c r="J79" s="2109" t="s">
        <v>671</v>
      </c>
      <c r="K79" s="2866"/>
      <c r="L79" s="2109" t="s">
        <v>671</v>
      </c>
      <c r="M79" s="2866"/>
      <c r="N79" s="2109" t="s">
        <v>671</v>
      </c>
      <c r="O79" s="2866"/>
      <c r="P79" s="2109" t="s">
        <v>671</v>
      </c>
      <c r="Q79" s="2866"/>
      <c r="R79" s="2109" t="s">
        <v>671</v>
      </c>
      <c r="S79" s="2866"/>
      <c r="T79" s="2109" t="s">
        <v>671</v>
      </c>
      <c r="U79" s="2866"/>
      <c r="V79" s="2109" t="s">
        <v>671</v>
      </c>
      <c r="W79" s="2866"/>
      <c r="X79" s="2109" t="s">
        <v>671</v>
      </c>
      <c r="Y79" s="2866"/>
      <c r="Z79" s="2109" t="s">
        <v>671</v>
      </c>
      <c r="AA79" s="2866"/>
      <c r="AB79" s="2109" t="s">
        <v>671</v>
      </c>
      <c r="AC79" s="2866"/>
      <c r="AD79" s="2109"/>
      <c r="AE79" s="2109"/>
      <c r="AF79" s="2109" t="s">
        <v>669</v>
      </c>
      <c r="AG79" s="2866"/>
    </row>
    <row r="80" spans="1:33" ht="14.5" x14ac:dyDescent="0.35">
      <c r="A80" s="2895"/>
      <c r="B80" s="2900" t="s">
        <v>3291</v>
      </c>
      <c r="C80" s="2902"/>
      <c r="D80" s="2908"/>
      <c r="E80" s="2285"/>
      <c r="F80" s="2906"/>
      <c r="G80" s="2909"/>
      <c r="H80" s="2109" t="s">
        <v>671</v>
      </c>
      <c r="I80" s="2866"/>
      <c r="J80" s="2109" t="s">
        <v>671</v>
      </c>
      <c r="K80" s="2866"/>
      <c r="L80" s="2109" t="s">
        <v>671</v>
      </c>
      <c r="M80" s="2866"/>
      <c r="N80" s="2109" t="s">
        <v>671</v>
      </c>
      <c r="O80" s="2866"/>
      <c r="P80" s="2109" t="s">
        <v>671</v>
      </c>
      <c r="Q80" s="2866"/>
      <c r="R80" s="2109" t="s">
        <v>671</v>
      </c>
      <c r="S80" s="2866"/>
      <c r="T80" s="2109" t="s">
        <v>671</v>
      </c>
      <c r="U80" s="2866"/>
      <c r="V80" s="2109" t="s">
        <v>671</v>
      </c>
      <c r="W80" s="2866"/>
      <c r="X80" s="2109" t="s">
        <v>671</v>
      </c>
      <c r="Y80" s="2866"/>
      <c r="Z80" s="2109" t="s">
        <v>671</v>
      </c>
      <c r="AA80" s="2866"/>
      <c r="AB80" s="2109" t="s">
        <v>671</v>
      </c>
      <c r="AC80" s="2866"/>
      <c r="AD80" s="2109"/>
      <c r="AE80" s="2109"/>
      <c r="AF80" s="2109" t="s">
        <v>669</v>
      </c>
      <c r="AG80" s="2866"/>
    </row>
    <row r="81" spans="1:33" ht="14.5" x14ac:dyDescent="0.35">
      <c r="A81" s="2895"/>
      <c r="B81" s="2905" t="s">
        <v>3292</v>
      </c>
      <c r="C81" s="2902"/>
      <c r="D81" s="2908"/>
      <c r="E81" s="2285"/>
      <c r="F81" s="2906"/>
      <c r="G81" s="2909"/>
      <c r="H81" s="2109"/>
      <c r="I81" s="2898"/>
      <c r="J81" s="2109"/>
      <c r="K81" s="2898"/>
      <c r="L81" s="2109"/>
      <c r="M81" s="2898"/>
      <c r="N81" s="2109"/>
      <c r="O81" s="2898"/>
      <c r="P81" s="2109"/>
      <c r="Q81" s="2898"/>
      <c r="R81" s="2109"/>
      <c r="S81" s="2898"/>
      <c r="T81" s="2109"/>
      <c r="U81" s="2898"/>
      <c r="V81" s="2109"/>
      <c r="W81" s="2898"/>
      <c r="X81" s="2109"/>
      <c r="Y81" s="2898"/>
      <c r="Z81" s="2109"/>
      <c r="AA81" s="2898"/>
      <c r="AB81" s="2109"/>
      <c r="AC81" s="2898"/>
      <c r="AD81" s="2109"/>
      <c r="AE81" s="2109"/>
      <c r="AF81" s="2109"/>
      <c r="AG81" s="2898"/>
    </row>
    <row r="82" spans="1:33" ht="14.5" x14ac:dyDescent="0.35">
      <c r="A82" s="2895"/>
      <c r="B82" s="2900"/>
      <c r="C82" s="2902"/>
      <c r="D82" s="2908"/>
      <c r="E82" s="2285"/>
      <c r="F82" s="2906"/>
      <c r="G82" s="2909"/>
      <c r="H82" s="2109"/>
      <c r="I82" s="2898"/>
      <c r="J82" s="2109"/>
      <c r="K82" s="2898"/>
      <c r="L82" s="2109"/>
      <c r="M82" s="2866"/>
      <c r="N82" s="2109"/>
      <c r="O82" s="2898"/>
      <c r="P82" s="2109"/>
      <c r="Q82" s="2898"/>
      <c r="R82" s="2109"/>
      <c r="S82" s="2898"/>
      <c r="T82" s="2109"/>
      <c r="U82" s="2898"/>
      <c r="V82" s="2109"/>
      <c r="W82" s="2898"/>
      <c r="X82" s="2109"/>
      <c r="Y82" s="2898"/>
      <c r="Z82" s="2109"/>
      <c r="AA82" s="2898"/>
      <c r="AB82" s="2109"/>
      <c r="AC82" s="2898"/>
      <c r="AD82" s="2109"/>
      <c r="AE82" s="2109"/>
      <c r="AF82" s="2109"/>
      <c r="AG82" s="2898"/>
    </row>
    <row r="83" spans="1:33" ht="14.5" x14ac:dyDescent="0.35">
      <c r="A83" s="2895"/>
      <c r="B83" s="2900" t="s">
        <v>3293</v>
      </c>
      <c r="C83" s="2902"/>
      <c r="D83" s="2285"/>
      <c r="E83" s="2285"/>
      <c r="F83" s="2285"/>
      <c r="G83" s="2198"/>
      <c r="H83" s="2109"/>
      <c r="I83" s="2866"/>
      <c r="J83" s="2109"/>
      <c r="K83" s="2866"/>
      <c r="L83" s="2109"/>
      <c r="M83" s="2866"/>
      <c r="N83" s="2109"/>
      <c r="O83" s="2866"/>
      <c r="P83" s="2109"/>
      <c r="Q83" s="2866"/>
      <c r="R83" s="2109"/>
      <c r="S83" s="2866"/>
      <c r="T83" s="2109"/>
      <c r="U83" s="2866"/>
      <c r="V83" s="2109"/>
      <c r="W83" s="2866"/>
      <c r="X83" s="2109"/>
      <c r="Y83" s="2866"/>
      <c r="Z83" s="2109"/>
      <c r="AA83" s="2866"/>
      <c r="AB83" s="2109"/>
      <c r="AC83" s="2866"/>
      <c r="AD83" s="2109"/>
      <c r="AE83" s="2109"/>
      <c r="AF83" s="2109"/>
      <c r="AG83" s="2866"/>
    </row>
    <row r="84" spans="1:33" ht="14.5" x14ac:dyDescent="0.35">
      <c r="A84" s="2895"/>
      <c r="B84" s="2900" t="s">
        <v>3294</v>
      </c>
      <c r="C84" s="2902"/>
      <c r="D84" s="2285"/>
      <c r="E84" s="2285"/>
      <c r="F84" s="2285"/>
      <c r="G84" s="2907"/>
      <c r="H84" s="2109" t="s">
        <v>669</v>
      </c>
      <c r="I84" s="2866"/>
      <c r="J84" s="2109" t="s">
        <v>669</v>
      </c>
      <c r="K84" s="2866"/>
      <c r="L84" s="2109" t="s">
        <v>669</v>
      </c>
      <c r="M84" s="2866"/>
      <c r="N84" s="2109" t="s">
        <v>669</v>
      </c>
      <c r="O84" s="2866"/>
      <c r="P84" s="2109" t="s">
        <v>669</v>
      </c>
      <c r="Q84" s="2866"/>
      <c r="R84" s="2109" t="s">
        <v>669</v>
      </c>
      <c r="S84" s="2866"/>
      <c r="T84" s="2109" t="s">
        <v>669</v>
      </c>
      <c r="U84" s="2866"/>
      <c r="V84" s="2109" t="s">
        <v>669</v>
      </c>
      <c r="W84" s="2866"/>
      <c r="X84" s="2109" t="s">
        <v>669</v>
      </c>
      <c r="Y84" s="2866"/>
      <c r="Z84" s="2109" t="s">
        <v>669</v>
      </c>
      <c r="AA84" s="2866"/>
      <c r="AB84" s="2109" t="s">
        <v>669</v>
      </c>
      <c r="AC84" s="2866"/>
      <c r="AD84" s="2109"/>
      <c r="AE84" s="2109"/>
      <c r="AF84" s="2109"/>
      <c r="AG84" s="2866"/>
    </row>
    <row r="85" spans="1:33" ht="14.5" x14ac:dyDescent="0.35">
      <c r="A85" s="2895"/>
      <c r="B85" s="2900" t="s">
        <v>3194</v>
      </c>
      <c r="C85" s="2902"/>
      <c r="D85" s="2285"/>
      <c r="E85" s="2285"/>
      <c r="F85" s="2906"/>
      <c r="G85" s="2907"/>
      <c r="H85" s="2109" t="s">
        <v>669</v>
      </c>
      <c r="I85" s="2866"/>
      <c r="J85" s="2109" t="s">
        <v>669</v>
      </c>
      <c r="K85" s="2866"/>
      <c r="L85" s="2109" t="s">
        <v>669</v>
      </c>
      <c r="M85" s="2866"/>
      <c r="N85" s="2109" t="s">
        <v>669</v>
      </c>
      <c r="O85" s="2866"/>
      <c r="P85" s="2109" t="s">
        <v>669</v>
      </c>
      <c r="Q85" s="2866"/>
      <c r="R85" s="2109" t="s">
        <v>669</v>
      </c>
      <c r="S85" s="2866"/>
      <c r="T85" s="2109" t="s">
        <v>669</v>
      </c>
      <c r="U85" s="2866"/>
      <c r="V85" s="2109" t="s">
        <v>669</v>
      </c>
      <c r="W85" s="2866"/>
      <c r="X85" s="2109" t="s">
        <v>669</v>
      </c>
      <c r="Y85" s="2866"/>
      <c r="Z85" s="2109" t="s">
        <v>669</v>
      </c>
      <c r="AA85" s="2866"/>
      <c r="AB85" s="2109" t="s">
        <v>669</v>
      </c>
      <c r="AC85" s="2866"/>
      <c r="AD85" s="2109"/>
      <c r="AE85" s="2109"/>
      <c r="AF85" s="2109"/>
      <c r="AG85" s="2866"/>
    </row>
    <row r="86" spans="1:33" ht="14.5" x14ac:dyDescent="0.35">
      <c r="A86" s="2895"/>
      <c r="B86" s="2900" t="s">
        <v>3295</v>
      </c>
      <c r="C86" s="2902"/>
      <c r="D86" s="2285"/>
      <c r="E86" s="2285"/>
      <c r="F86" s="2285"/>
      <c r="G86" s="2198"/>
      <c r="H86" s="2109" t="s">
        <v>669</v>
      </c>
      <c r="I86" s="2866"/>
      <c r="J86" s="2109" t="s">
        <v>669</v>
      </c>
      <c r="K86" s="2866"/>
      <c r="L86" s="2109" t="s">
        <v>669</v>
      </c>
      <c r="M86" s="2866"/>
      <c r="N86" s="2109" t="s">
        <v>669</v>
      </c>
      <c r="O86" s="2866"/>
      <c r="P86" s="2109" t="s">
        <v>669</v>
      </c>
      <c r="Q86" s="2866"/>
      <c r="R86" s="2109" t="s">
        <v>669</v>
      </c>
      <c r="S86" s="2866"/>
      <c r="T86" s="2109" t="s">
        <v>669</v>
      </c>
      <c r="U86" s="2866"/>
      <c r="V86" s="2109" t="s">
        <v>669</v>
      </c>
      <c r="W86" s="2866"/>
      <c r="X86" s="2109" t="s">
        <v>669</v>
      </c>
      <c r="Y86" s="2866"/>
      <c r="Z86" s="2109" t="s">
        <v>669</v>
      </c>
      <c r="AA86" s="2866"/>
      <c r="AB86" s="2109" t="s">
        <v>669</v>
      </c>
      <c r="AC86" s="2866"/>
      <c r="AD86" s="2109"/>
      <c r="AE86" s="2109"/>
      <c r="AF86" s="2109"/>
      <c r="AG86" s="2866"/>
    </row>
    <row r="87" spans="1:33" ht="14.5" x14ac:dyDescent="0.35">
      <c r="A87" s="2895"/>
      <c r="B87" s="2900" t="s">
        <v>3296</v>
      </c>
      <c r="C87" s="2902"/>
      <c r="D87" s="2285"/>
      <c r="E87" s="2285"/>
      <c r="F87" s="2285"/>
      <c r="G87" s="2198"/>
      <c r="H87" s="2109" t="s">
        <v>671</v>
      </c>
      <c r="I87" s="2898"/>
      <c r="J87" s="2109" t="s">
        <v>671</v>
      </c>
      <c r="K87" s="2898"/>
      <c r="L87" s="2109" t="s">
        <v>671</v>
      </c>
      <c r="M87" s="2866"/>
      <c r="N87" s="2109" t="s">
        <v>671</v>
      </c>
      <c r="O87" s="2898"/>
      <c r="P87" s="2109" t="s">
        <v>671</v>
      </c>
      <c r="Q87" s="2898"/>
      <c r="R87" s="2109" t="s">
        <v>671</v>
      </c>
      <c r="S87" s="2898"/>
      <c r="T87" s="2109" t="s">
        <v>671</v>
      </c>
      <c r="U87" s="2898"/>
      <c r="V87" s="2109" t="s">
        <v>671</v>
      </c>
      <c r="W87" s="2898"/>
      <c r="X87" s="2109" t="s">
        <v>671</v>
      </c>
      <c r="Y87" s="2898"/>
      <c r="Z87" s="2109" t="s">
        <v>671</v>
      </c>
      <c r="AA87" s="2898"/>
      <c r="AB87" s="2109" t="s">
        <v>671</v>
      </c>
      <c r="AC87" s="2898"/>
      <c r="AD87" s="2109"/>
      <c r="AE87" s="2109"/>
      <c r="AF87" s="2109"/>
      <c r="AG87" s="2898"/>
    </row>
    <row r="88" spans="1:33" ht="14.5" x14ac:dyDescent="0.35">
      <c r="A88" s="2895"/>
      <c r="B88" s="2896"/>
      <c r="C88" s="2902"/>
      <c r="D88" s="2285"/>
      <c r="E88" s="2285"/>
      <c r="F88" s="2285"/>
      <c r="G88" s="2198"/>
      <c r="H88" s="2109"/>
      <c r="I88" s="2866"/>
      <c r="J88" s="2109"/>
      <c r="K88" s="2866"/>
      <c r="L88" s="2109"/>
      <c r="M88" s="2866"/>
      <c r="N88" s="2109"/>
      <c r="O88" s="2866"/>
      <c r="P88" s="2109"/>
      <c r="Q88" s="2866"/>
      <c r="R88" s="2109"/>
      <c r="S88" s="2866"/>
      <c r="T88" s="2109"/>
      <c r="U88" s="2866"/>
      <c r="V88" s="2109"/>
      <c r="W88" s="2910"/>
      <c r="X88" s="2109"/>
      <c r="Y88" s="2910">
        <v>6758500</v>
      </c>
      <c r="Z88" s="2109"/>
      <c r="AA88" s="2866"/>
      <c r="AB88" s="2109"/>
      <c r="AC88" s="2866"/>
      <c r="AD88" s="2109"/>
      <c r="AE88" s="2109"/>
      <c r="AF88" s="2109"/>
      <c r="AG88" s="2866"/>
    </row>
    <row r="89" spans="1:33" ht="14.5" x14ac:dyDescent="0.35">
      <c r="A89" s="2895"/>
      <c r="B89" s="2899" t="s">
        <v>3297</v>
      </c>
      <c r="C89" s="2902"/>
      <c r="D89" s="2285"/>
      <c r="E89" s="2285"/>
      <c r="F89" s="2285"/>
      <c r="G89" s="2198"/>
      <c r="H89" s="2109" t="s">
        <v>669</v>
      </c>
      <c r="I89" s="2910">
        <v>1933282</v>
      </c>
      <c r="J89" s="2109" t="s">
        <v>669</v>
      </c>
      <c r="K89" s="2910">
        <v>1991580</v>
      </c>
      <c r="L89" s="2109" t="s">
        <v>669</v>
      </c>
      <c r="M89" s="2910">
        <v>2004556</v>
      </c>
      <c r="N89" s="2109" t="s">
        <v>669</v>
      </c>
      <c r="O89" s="2910">
        <v>2367570</v>
      </c>
      <c r="P89" s="2109" t="s">
        <v>669</v>
      </c>
      <c r="Q89" s="2910">
        <f>808171+804246+804136</f>
        <v>2416553</v>
      </c>
      <c r="R89" s="2109" t="s">
        <v>669</v>
      </c>
      <c r="S89" s="2910">
        <f>808171+804246+804136</f>
        <v>2416553</v>
      </c>
      <c r="T89" s="2109" t="s">
        <v>669</v>
      </c>
      <c r="U89" s="2910">
        <f>808171+804246+804136</f>
        <v>2416553</v>
      </c>
      <c r="V89" s="2109" t="s">
        <v>669</v>
      </c>
      <c r="W89" s="2866"/>
      <c r="X89" s="2109" t="s">
        <v>669</v>
      </c>
      <c r="Y89" s="2866"/>
      <c r="Z89" s="2109" t="s">
        <v>669</v>
      </c>
      <c r="AA89" s="2910">
        <f>1220000*3</f>
        <v>3660000</v>
      </c>
      <c r="AB89" s="2109" t="s">
        <v>669</v>
      </c>
      <c r="AC89" s="2866"/>
      <c r="AD89" s="2109"/>
      <c r="AE89" s="2109"/>
      <c r="AF89" s="2109"/>
      <c r="AG89" s="2866"/>
    </row>
    <row r="90" spans="1:33" ht="14.5" x14ac:dyDescent="0.35">
      <c r="A90" s="2895"/>
      <c r="B90" s="2896" t="s">
        <v>3298</v>
      </c>
      <c r="C90" s="2902"/>
      <c r="D90" s="2285"/>
      <c r="E90" s="2285"/>
      <c r="F90" s="2285"/>
      <c r="G90" s="2198"/>
      <c r="H90" s="2109" t="s">
        <v>669</v>
      </c>
      <c r="I90" s="2910"/>
      <c r="J90" s="2109" t="s">
        <v>669</v>
      </c>
      <c r="K90" s="2910"/>
      <c r="L90" s="2109" t="s">
        <v>669</v>
      </c>
      <c r="M90" s="2910"/>
      <c r="N90" s="2109" t="s">
        <v>669</v>
      </c>
      <c r="O90" s="2910"/>
      <c r="P90" s="2109" t="s">
        <v>669</v>
      </c>
      <c r="Q90" s="2910"/>
      <c r="R90" s="2109" t="s">
        <v>669</v>
      </c>
      <c r="S90" s="2910"/>
      <c r="T90" s="2109" t="s">
        <v>669</v>
      </c>
      <c r="U90" s="2910"/>
      <c r="V90" s="2109" t="s">
        <v>669</v>
      </c>
      <c r="W90" s="2898"/>
      <c r="X90" s="2109" t="s">
        <v>669</v>
      </c>
      <c r="Y90" s="2898"/>
      <c r="Z90" s="2109" t="s">
        <v>669</v>
      </c>
      <c r="AA90" s="2898"/>
      <c r="AB90" s="2109" t="s">
        <v>669</v>
      </c>
      <c r="AC90" s="2898"/>
      <c r="AD90" s="2109"/>
      <c r="AE90" s="2109"/>
      <c r="AF90" s="2109"/>
      <c r="AG90" s="2898"/>
    </row>
    <row r="91" spans="1:33" ht="14.5" x14ac:dyDescent="0.35">
      <c r="A91" s="2895"/>
      <c r="B91" s="2896" t="s">
        <v>544</v>
      </c>
      <c r="C91" s="2902" t="s">
        <v>3299</v>
      </c>
      <c r="D91" s="2285"/>
      <c r="E91" s="2285"/>
      <c r="F91" s="2285"/>
      <c r="G91" s="2198"/>
      <c r="H91" s="2109" t="s">
        <v>669</v>
      </c>
      <c r="I91" s="2910"/>
      <c r="J91" s="2109" t="s">
        <v>669</v>
      </c>
      <c r="K91" s="2910"/>
      <c r="L91" s="2109" t="s">
        <v>669</v>
      </c>
      <c r="M91" s="2910"/>
      <c r="N91" s="2109" t="s">
        <v>669</v>
      </c>
      <c r="O91" s="2910"/>
      <c r="P91" s="2109" t="s">
        <v>669</v>
      </c>
      <c r="Q91" s="2910"/>
      <c r="R91" s="2109" t="s">
        <v>669</v>
      </c>
      <c r="S91" s="2910"/>
      <c r="T91" s="2109" t="s">
        <v>669</v>
      </c>
      <c r="U91" s="2910"/>
      <c r="V91" s="2109" t="s">
        <v>669</v>
      </c>
      <c r="W91" s="2898"/>
      <c r="X91" s="2109" t="s">
        <v>669</v>
      </c>
      <c r="Y91" s="2898"/>
      <c r="Z91" s="2109" t="s">
        <v>669</v>
      </c>
      <c r="AA91" s="2898"/>
      <c r="AB91" s="2109" t="s">
        <v>669</v>
      </c>
      <c r="AC91" s="2898"/>
      <c r="AD91" s="2109"/>
      <c r="AE91" s="2109"/>
      <c r="AF91" s="2109"/>
      <c r="AG91" s="2898"/>
    </row>
    <row r="92" spans="1:33" ht="14.5" x14ac:dyDescent="0.35">
      <c r="A92" s="2895"/>
      <c r="B92" s="2896" t="s">
        <v>3300</v>
      </c>
      <c r="C92" s="2902"/>
      <c r="D92" s="2285"/>
      <c r="E92" s="2285"/>
      <c r="F92" s="2285"/>
      <c r="G92" s="2198"/>
      <c r="H92" s="2109" t="s">
        <v>669</v>
      </c>
      <c r="I92" s="2910"/>
      <c r="J92" s="2109" t="s">
        <v>669</v>
      </c>
      <c r="K92" s="2910"/>
      <c r="L92" s="2109" t="s">
        <v>669</v>
      </c>
      <c r="M92" s="2910"/>
      <c r="N92" s="2109" t="s">
        <v>669</v>
      </c>
      <c r="O92" s="2910"/>
      <c r="P92" s="2109" t="s">
        <v>669</v>
      </c>
      <c r="Q92" s="2910"/>
      <c r="R92" s="2109" t="s">
        <v>669</v>
      </c>
      <c r="S92" s="2910"/>
      <c r="T92" s="2109" t="s">
        <v>669</v>
      </c>
      <c r="U92" s="2910"/>
      <c r="V92" s="2109" t="s">
        <v>669</v>
      </c>
      <c r="W92" s="2898"/>
      <c r="X92" s="2109" t="s">
        <v>669</v>
      </c>
      <c r="Y92" s="2898"/>
      <c r="Z92" s="2109" t="s">
        <v>669</v>
      </c>
      <c r="AA92" s="2898"/>
      <c r="AB92" s="2109" t="s">
        <v>669</v>
      </c>
      <c r="AC92" s="2898"/>
      <c r="AD92" s="2109"/>
      <c r="AE92" s="2109"/>
      <c r="AF92" s="2109"/>
      <c r="AG92" s="2898"/>
    </row>
    <row r="93" spans="1:33" ht="14.5" x14ac:dyDescent="0.35">
      <c r="A93" s="2895"/>
      <c r="B93" s="2896"/>
      <c r="C93" s="2902"/>
      <c r="D93" s="2285"/>
      <c r="E93" s="2285"/>
      <c r="F93" s="2285"/>
      <c r="G93" s="2198"/>
      <c r="H93" s="2109"/>
      <c r="I93" s="2910"/>
      <c r="J93" s="2109"/>
      <c r="K93" s="2910"/>
      <c r="L93" s="2109"/>
      <c r="M93" s="2910"/>
      <c r="N93" s="2109"/>
      <c r="O93" s="2910"/>
      <c r="P93" s="2109"/>
      <c r="Q93" s="2910"/>
      <c r="R93" s="2109"/>
      <c r="S93" s="2910"/>
      <c r="T93" s="2109"/>
      <c r="U93" s="2910"/>
      <c r="V93" s="2109"/>
      <c r="W93" s="2898"/>
      <c r="X93" s="2109"/>
      <c r="Y93" s="2898"/>
      <c r="Z93" s="2109"/>
      <c r="AA93" s="2898"/>
      <c r="AB93" s="2109"/>
      <c r="AC93" s="2898"/>
      <c r="AD93" s="2109"/>
      <c r="AE93" s="2109"/>
      <c r="AF93" s="2109"/>
      <c r="AG93" s="2898"/>
    </row>
    <row r="94" spans="1:33" ht="14.5" x14ac:dyDescent="0.35">
      <c r="A94" s="2895"/>
      <c r="B94" s="2899" t="s">
        <v>3301</v>
      </c>
      <c r="C94" s="2902"/>
      <c r="D94" s="2285"/>
      <c r="E94" s="2285"/>
      <c r="F94" s="2285"/>
      <c r="G94" s="2198"/>
      <c r="H94" s="2109" t="s">
        <v>669</v>
      </c>
      <c r="I94" s="2910">
        <v>1922360</v>
      </c>
      <c r="J94" s="2109" t="s">
        <v>669</v>
      </c>
      <c r="K94" s="2910">
        <v>1980328</v>
      </c>
      <c r="L94" s="2109" t="s">
        <v>669</v>
      </c>
      <c r="M94" s="2910">
        <v>1993230</v>
      </c>
      <c r="N94" s="2109" t="s">
        <v>669</v>
      </c>
      <c r="O94" s="2910">
        <v>2354194</v>
      </c>
      <c r="P94" s="2109" t="s">
        <v>669</v>
      </c>
      <c r="Q94" s="2910">
        <f>982677+977222</f>
        <v>1959899</v>
      </c>
      <c r="R94" s="2109" t="s">
        <v>669</v>
      </c>
      <c r="S94" s="2910">
        <f>982677+977222</f>
        <v>1959899</v>
      </c>
      <c r="T94" s="2109" t="s">
        <v>669</v>
      </c>
      <c r="U94" s="2910">
        <f>982677+977222</f>
        <v>1959899</v>
      </c>
      <c r="V94" s="2109" t="s">
        <v>669</v>
      </c>
      <c r="W94" s="2898"/>
      <c r="X94" s="2109" t="s">
        <v>669</v>
      </c>
      <c r="Y94" s="2898"/>
      <c r="Z94" s="2109" t="s">
        <v>669</v>
      </c>
      <c r="AA94" s="2910">
        <f>1760000*2</f>
        <v>3520000</v>
      </c>
      <c r="AB94" s="2109" t="s">
        <v>669</v>
      </c>
      <c r="AC94" s="2898"/>
      <c r="AD94" s="2109"/>
      <c r="AE94" s="2109"/>
      <c r="AF94" s="2109"/>
      <c r="AG94" s="2898"/>
    </row>
    <row r="95" spans="1:33" ht="14.5" x14ac:dyDescent="0.35">
      <c r="A95" s="2895"/>
      <c r="B95" s="2896" t="s">
        <v>3298</v>
      </c>
      <c r="C95" s="2902"/>
      <c r="D95" s="2285"/>
      <c r="E95" s="2285"/>
      <c r="F95" s="2285"/>
      <c r="G95" s="2198"/>
      <c r="H95" s="2109" t="s">
        <v>669</v>
      </c>
      <c r="I95" s="2910"/>
      <c r="J95" s="2109" t="s">
        <v>669</v>
      </c>
      <c r="K95" s="2910"/>
      <c r="L95" s="2109" t="s">
        <v>669</v>
      </c>
      <c r="M95" s="2910"/>
      <c r="N95" s="2109" t="s">
        <v>669</v>
      </c>
      <c r="O95" s="2910"/>
      <c r="P95" s="2109" t="s">
        <v>669</v>
      </c>
      <c r="Q95" s="2910"/>
      <c r="R95" s="2109" t="s">
        <v>669</v>
      </c>
      <c r="S95" s="2910"/>
      <c r="T95" s="2109" t="s">
        <v>669</v>
      </c>
      <c r="U95" s="2910"/>
      <c r="V95" s="2109" t="s">
        <v>669</v>
      </c>
      <c r="W95" s="2898"/>
      <c r="X95" s="2109" t="s">
        <v>669</v>
      </c>
      <c r="Y95" s="2898"/>
      <c r="Z95" s="2109" t="s">
        <v>669</v>
      </c>
      <c r="AA95" s="2898"/>
      <c r="AB95" s="2109" t="s">
        <v>669</v>
      </c>
      <c r="AC95" s="2898"/>
      <c r="AD95" s="2109"/>
      <c r="AE95" s="2109"/>
      <c r="AF95" s="2109"/>
      <c r="AG95" s="2898"/>
    </row>
    <row r="96" spans="1:33" ht="14.5" x14ac:dyDescent="0.35">
      <c r="A96" s="2895"/>
      <c r="B96" s="2896" t="s">
        <v>544</v>
      </c>
      <c r="C96" s="2902"/>
      <c r="D96" s="2285"/>
      <c r="E96" s="2285"/>
      <c r="F96" s="2285"/>
      <c r="G96" s="2198"/>
      <c r="H96" s="2109" t="s">
        <v>669</v>
      </c>
      <c r="I96" s="2910"/>
      <c r="J96" s="2109" t="s">
        <v>669</v>
      </c>
      <c r="K96" s="2910"/>
      <c r="L96" s="2109" t="s">
        <v>669</v>
      </c>
      <c r="M96" s="2910"/>
      <c r="N96" s="2109" t="s">
        <v>669</v>
      </c>
      <c r="O96" s="2910"/>
      <c r="P96" s="2109" t="s">
        <v>669</v>
      </c>
      <c r="Q96" s="2910"/>
      <c r="R96" s="2109" t="s">
        <v>669</v>
      </c>
      <c r="S96" s="2910"/>
      <c r="T96" s="2109" t="s">
        <v>669</v>
      </c>
      <c r="U96" s="2910"/>
      <c r="V96" s="2109" t="s">
        <v>669</v>
      </c>
      <c r="W96" s="2898"/>
      <c r="X96" s="2109" t="s">
        <v>669</v>
      </c>
      <c r="Y96" s="2898"/>
      <c r="Z96" s="2109" t="s">
        <v>669</v>
      </c>
      <c r="AA96" s="2898"/>
      <c r="AB96" s="2109" t="s">
        <v>669</v>
      </c>
      <c r="AC96" s="2898"/>
      <c r="AD96" s="2109"/>
      <c r="AE96" s="2109"/>
      <c r="AF96" s="2109"/>
      <c r="AG96" s="2898"/>
    </row>
    <row r="97" spans="1:33" ht="14.5" x14ac:dyDescent="0.35">
      <c r="A97" s="2895"/>
      <c r="B97" s="2896" t="s">
        <v>3300</v>
      </c>
      <c r="C97" s="2902"/>
      <c r="D97" s="2285"/>
      <c r="E97" s="2285"/>
      <c r="F97" s="2285"/>
      <c r="G97" s="2198"/>
      <c r="H97" s="2109" t="s">
        <v>669</v>
      </c>
      <c r="I97" s="2910"/>
      <c r="J97" s="2109" t="s">
        <v>669</v>
      </c>
      <c r="K97" s="2910"/>
      <c r="L97" s="2109" t="s">
        <v>669</v>
      </c>
      <c r="M97" s="2910"/>
      <c r="N97" s="2109" t="s">
        <v>669</v>
      </c>
      <c r="O97" s="2910"/>
      <c r="P97" s="2109" t="s">
        <v>669</v>
      </c>
      <c r="Q97" s="2910"/>
      <c r="R97" s="2109" t="s">
        <v>669</v>
      </c>
      <c r="S97" s="2910"/>
      <c r="T97" s="2109" t="s">
        <v>669</v>
      </c>
      <c r="U97" s="2910"/>
      <c r="V97" s="2109" t="s">
        <v>669</v>
      </c>
      <c r="W97" s="2898"/>
      <c r="X97" s="2109" t="s">
        <v>669</v>
      </c>
      <c r="Y97" s="2898"/>
      <c r="Z97" s="2109" t="s">
        <v>669</v>
      </c>
      <c r="AA97" s="2898"/>
      <c r="AB97" s="2109" t="s">
        <v>669</v>
      </c>
      <c r="AC97" s="2898"/>
      <c r="AD97" s="2109"/>
      <c r="AE97" s="2109"/>
      <c r="AF97" s="2109"/>
      <c r="AG97" s="2898"/>
    </row>
    <row r="98" spans="1:33" ht="14.5" x14ac:dyDescent="0.35">
      <c r="A98" s="2895"/>
      <c r="B98" s="2896"/>
      <c r="C98" s="2902"/>
      <c r="D98" s="2285"/>
      <c r="E98" s="2285"/>
      <c r="F98" s="2285"/>
      <c r="G98" s="2198"/>
      <c r="H98" s="2109"/>
      <c r="I98" s="2910"/>
      <c r="J98" s="2109"/>
      <c r="K98" s="2910"/>
      <c r="L98" s="2109"/>
      <c r="M98" s="2910"/>
      <c r="N98" s="2109"/>
      <c r="O98" s="2910"/>
      <c r="P98" s="2109"/>
      <c r="Q98" s="2910"/>
      <c r="R98" s="2109"/>
      <c r="S98" s="2910"/>
      <c r="T98" s="2109"/>
      <c r="U98" s="2910"/>
      <c r="V98" s="2109"/>
      <c r="W98" s="2898"/>
      <c r="X98" s="2109"/>
      <c r="Y98" s="2898"/>
      <c r="Z98" s="2109"/>
      <c r="AA98" s="2898"/>
      <c r="AB98" s="2109"/>
      <c r="AC98" s="2898"/>
      <c r="AD98" s="2109"/>
      <c r="AE98" s="2109"/>
      <c r="AF98" s="2109"/>
      <c r="AG98" s="2898"/>
    </row>
    <row r="99" spans="1:33" ht="14.5" x14ac:dyDescent="0.35">
      <c r="A99" s="2895"/>
      <c r="B99" s="2899" t="s">
        <v>3302</v>
      </c>
      <c r="C99" s="2902"/>
      <c r="D99" s="2285"/>
      <c r="E99" s="2285"/>
      <c r="F99" s="2285"/>
      <c r="G99" s="2198"/>
      <c r="H99" s="2109" t="s">
        <v>669</v>
      </c>
      <c r="I99" s="2910">
        <v>862877</v>
      </c>
      <c r="J99" s="2109" t="s">
        <v>669</v>
      </c>
      <c r="K99" s="2910">
        <v>888897</v>
      </c>
      <c r="L99" s="2109" t="s">
        <v>669</v>
      </c>
      <c r="M99" s="2910">
        <v>894689</v>
      </c>
      <c r="N99" s="2109" t="s">
        <v>669</v>
      </c>
      <c r="O99" s="2910">
        <v>1056712</v>
      </c>
      <c r="P99" s="2109" t="s">
        <v>669</v>
      </c>
      <c r="Q99" s="2910">
        <v>827749</v>
      </c>
      <c r="R99" s="2109" t="s">
        <v>669</v>
      </c>
      <c r="S99" s="2910">
        <v>827749</v>
      </c>
      <c r="T99" s="2109" t="s">
        <v>669</v>
      </c>
      <c r="U99" s="2910">
        <v>827749</v>
      </c>
      <c r="V99" s="2109" t="s">
        <v>669</v>
      </c>
      <c r="W99" s="2898"/>
      <c r="X99" s="2109" t="s">
        <v>669</v>
      </c>
      <c r="Y99" s="2898"/>
      <c r="Z99" s="2109" t="s">
        <v>669</v>
      </c>
      <c r="AA99" s="2910">
        <v>1524000</v>
      </c>
      <c r="AB99" s="2109" t="s">
        <v>669</v>
      </c>
      <c r="AC99" s="2898"/>
      <c r="AD99" s="2109"/>
      <c r="AE99" s="2109"/>
      <c r="AF99" s="2109"/>
      <c r="AG99" s="2898"/>
    </row>
    <row r="100" spans="1:33" ht="14.5" x14ac:dyDescent="0.35">
      <c r="A100" s="2895"/>
      <c r="B100" s="2896" t="s">
        <v>3298</v>
      </c>
      <c r="C100" s="2902"/>
      <c r="D100" s="2285"/>
      <c r="E100" s="2285"/>
      <c r="F100" s="2285"/>
      <c r="G100" s="2198"/>
      <c r="H100" s="2109" t="s">
        <v>669</v>
      </c>
      <c r="I100" s="2910"/>
      <c r="J100" s="2109" t="s">
        <v>669</v>
      </c>
      <c r="K100" s="2910"/>
      <c r="L100" s="2109" t="s">
        <v>669</v>
      </c>
      <c r="M100" s="2910"/>
      <c r="N100" s="2109" t="s">
        <v>669</v>
      </c>
      <c r="O100" s="2910"/>
      <c r="P100" s="2109" t="s">
        <v>669</v>
      </c>
      <c r="Q100" s="2910"/>
      <c r="R100" s="2109" t="s">
        <v>669</v>
      </c>
      <c r="S100" s="2910"/>
      <c r="T100" s="2109" t="s">
        <v>669</v>
      </c>
      <c r="U100" s="2910"/>
      <c r="V100" s="2109" t="s">
        <v>669</v>
      </c>
      <c r="W100" s="2898"/>
      <c r="X100" s="2109" t="s">
        <v>669</v>
      </c>
      <c r="Y100" s="2898"/>
      <c r="Z100" s="2109" t="s">
        <v>669</v>
      </c>
      <c r="AA100" s="2898"/>
      <c r="AB100" s="2109" t="s">
        <v>669</v>
      </c>
      <c r="AC100" s="2898"/>
      <c r="AD100" s="2109"/>
      <c r="AE100" s="2109"/>
      <c r="AF100" s="2109"/>
      <c r="AG100" s="2898"/>
    </row>
    <row r="101" spans="1:33" ht="14.5" x14ac:dyDescent="0.35">
      <c r="A101" s="2895"/>
      <c r="B101" s="2896" t="s">
        <v>544</v>
      </c>
      <c r="C101" s="2902"/>
      <c r="D101" s="2285"/>
      <c r="E101" s="2285"/>
      <c r="F101" s="2285"/>
      <c r="G101" s="2198"/>
      <c r="H101" s="2109" t="s">
        <v>669</v>
      </c>
      <c r="I101" s="2910"/>
      <c r="J101" s="2109" t="s">
        <v>669</v>
      </c>
      <c r="K101" s="2910"/>
      <c r="L101" s="2109" t="s">
        <v>669</v>
      </c>
      <c r="M101" s="2910"/>
      <c r="N101" s="2109" t="s">
        <v>669</v>
      </c>
      <c r="O101" s="2910"/>
      <c r="P101" s="2109" t="s">
        <v>669</v>
      </c>
      <c r="Q101" s="2910"/>
      <c r="R101" s="2109" t="s">
        <v>669</v>
      </c>
      <c r="S101" s="2910"/>
      <c r="T101" s="2109" t="s">
        <v>669</v>
      </c>
      <c r="U101" s="2910"/>
      <c r="V101" s="2109" t="s">
        <v>669</v>
      </c>
      <c r="W101" s="2898"/>
      <c r="X101" s="2109" t="s">
        <v>669</v>
      </c>
      <c r="Y101" s="2898"/>
      <c r="Z101" s="2109" t="s">
        <v>669</v>
      </c>
      <c r="AA101" s="2898"/>
      <c r="AB101" s="2109" t="s">
        <v>669</v>
      </c>
      <c r="AC101" s="2898"/>
      <c r="AD101" s="2109"/>
      <c r="AE101" s="2109"/>
      <c r="AF101" s="2109"/>
      <c r="AG101" s="2898"/>
    </row>
    <row r="102" spans="1:33" ht="14.5" x14ac:dyDescent="0.35">
      <c r="A102" s="2895"/>
      <c r="B102" s="2896" t="s">
        <v>3300</v>
      </c>
      <c r="C102" s="2902"/>
      <c r="D102" s="2285"/>
      <c r="E102" s="2285"/>
      <c r="F102" s="2285"/>
      <c r="G102" s="2198"/>
      <c r="H102" s="2109" t="s">
        <v>669</v>
      </c>
      <c r="I102" s="2910"/>
      <c r="J102" s="2109" t="s">
        <v>669</v>
      </c>
      <c r="K102" s="2910"/>
      <c r="L102" s="2109" t="s">
        <v>669</v>
      </c>
      <c r="M102" s="2910"/>
      <c r="N102" s="2109" t="s">
        <v>669</v>
      </c>
      <c r="O102" s="2910"/>
      <c r="P102" s="2109" t="s">
        <v>669</v>
      </c>
      <c r="Q102" s="2910"/>
      <c r="R102" s="2109" t="s">
        <v>669</v>
      </c>
      <c r="S102" s="2910"/>
      <c r="T102" s="2109" t="s">
        <v>669</v>
      </c>
      <c r="U102" s="2910"/>
      <c r="V102" s="2109" t="s">
        <v>669</v>
      </c>
      <c r="W102" s="2898"/>
      <c r="X102" s="2109" t="s">
        <v>669</v>
      </c>
      <c r="Y102" s="2898"/>
      <c r="Z102" s="2109" t="s">
        <v>669</v>
      </c>
      <c r="AA102" s="2898"/>
      <c r="AB102" s="2109" t="s">
        <v>669</v>
      </c>
      <c r="AC102" s="2898"/>
      <c r="AD102" s="2109"/>
      <c r="AE102" s="2109"/>
      <c r="AF102" s="2109"/>
      <c r="AG102" s="2898"/>
    </row>
    <row r="103" spans="1:33" ht="14.5" x14ac:dyDescent="0.35">
      <c r="A103" s="2895"/>
      <c r="B103" s="2896"/>
      <c r="C103" s="2902"/>
      <c r="D103" s="2285"/>
      <c r="E103" s="2285"/>
      <c r="F103" s="2285"/>
      <c r="G103" s="2198"/>
      <c r="H103" s="2109"/>
      <c r="I103" s="2910"/>
      <c r="J103" s="2109"/>
      <c r="K103" s="2910"/>
      <c r="L103" s="2109"/>
      <c r="M103" s="2910"/>
      <c r="N103" s="2109"/>
      <c r="O103" s="2910"/>
      <c r="P103" s="2109"/>
      <c r="Q103" s="2910"/>
      <c r="R103" s="2109"/>
      <c r="S103" s="2910"/>
      <c r="T103" s="2109"/>
      <c r="U103" s="2910"/>
      <c r="V103" s="2109"/>
      <c r="W103" s="2898"/>
      <c r="X103" s="2109"/>
      <c r="Y103" s="2898"/>
      <c r="Z103" s="2109"/>
      <c r="AA103" s="2898"/>
      <c r="AB103" s="2109"/>
      <c r="AC103" s="2898"/>
      <c r="AD103" s="2109"/>
      <c r="AE103" s="2109"/>
      <c r="AF103" s="2109"/>
      <c r="AG103" s="2898"/>
    </row>
    <row r="104" spans="1:33" ht="14.5" x14ac:dyDescent="0.35">
      <c r="A104" s="2895"/>
      <c r="B104" s="2899" t="s">
        <v>3303</v>
      </c>
      <c r="C104" s="2902"/>
      <c r="D104" s="2285"/>
      <c r="E104" s="2285"/>
      <c r="F104" s="2285"/>
      <c r="G104" s="2198"/>
      <c r="H104" s="2109" t="s">
        <v>669</v>
      </c>
      <c r="I104" s="2910">
        <v>114913</v>
      </c>
      <c r="J104" s="2109" t="s">
        <v>669</v>
      </c>
      <c r="K104" s="2910">
        <v>119751</v>
      </c>
      <c r="L104" s="2109" t="s">
        <v>669</v>
      </c>
      <c r="M104" s="2910">
        <v>119751</v>
      </c>
      <c r="N104" s="2109" t="s">
        <v>669</v>
      </c>
      <c r="O104" s="2910">
        <v>114873</v>
      </c>
      <c r="P104" s="2109" t="s">
        <v>669</v>
      </c>
      <c r="Q104" s="2910">
        <v>208022</v>
      </c>
      <c r="R104" s="2109" t="s">
        <v>669</v>
      </c>
      <c r="S104" s="2910">
        <v>208022</v>
      </c>
      <c r="T104" s="2109" t="s">
        <v>669</v>
      </c>
      <c r="U104" s="2910">
        <v>208022</v>
      </c>
      <c r="V104" s="2109" t="s">
        <v>669</v>
      </c>
      <c r="W104" s="2910"/>
      <c r="X104" s="2109" t="s">
        <v>669</v>
      </c>
      <c r="Y104" s="2910">
        <v>154050</v>
      </c>
      <c r="Z104" s="2109" t="s">
        <v>669</v>
      </c>
      <c r="AA104" s="2898">
        <v>114000</v>
      </c>
      <c r="AB104" s="2109" t="s">
        <v>669</v>
      </c>
      <c r="AC104" s="2898"/>
      <c r="AD104" s="2109"/>
      <c r="AE104" s="2109"/>
      <c r="AF104" s="2109"/>
      <c r="AG104" s="2898"/>
    </row>
    <row r="105" spans="1:33" ht="14.5" x14ac:dyDescent="0.35">
      <c r="A105" s="2895"/>
      <c r="B105" s="2896" t="s">
        <v>3304</v>
      </c>
      <c r="C105" s="2902"/>
      <c r="D105" s="940"/>
      <c r="E105" s="2285"/>
      <c r="F105" s="2285"/>
      <c r="G105" s="2198"/>
      <c r="H105" s="2109" t="s">
        <v>669</v>
      </c>
      <c r="I105" s="2898"/>
      <c r="J105" s="2109" t="s">
        <v>669</v>
      </c>
      <c r="K105" s="2898"/>
      <c r="L105" s="2109" t="s">
        <v>669</v>
      </c>
      <c r="M105" s="2866"/>
      <c r="N105" s="2109" t="s">
        <v>669</v>
      </c>
      <c r="O105" s="2898"/>
      <c r="P105" s="2109" t="s">
        <v>669</v>
      </c>
      <c r="Q105" s="2898"/>
      <c r="R105" s="2109" t="s">
        <v>669</v>
      </c>
      <c r="S105" s="2898"/>
      <c r="T105" s="2109" t="s">
        <v>669</v>
      </c>
      <c r="U105" s="2898"/>
      <c r="V105" s="2109" t="s">
        <v>669</v>
      </c>
      <c r="W105" s="2898"/>
      <c r="X105" s="2109" t="s">
        <v>669</v>
      </c>
      <c r="Y105" s="2898"/>
      <c r="Z105" s="2109" t="s">
        <v>669</v>
      </c>
      <c r="AA105" s="2898"/>
      <c r="AB105" s="2109" t="s">
        <v>669</v>
      </c>
      <c r="AC105" s="2898"/>
      <c r="AD105" s="2109"/>
      <c r="AE105" s="2109"/>
      <c r="AF105" s="2109"/>
      <c r="AG105" s="2898"/>
    </row>
    <row r="106" spans="1:33" ht="14.5" x14ac:dyDescent="0.35">
      <c r="A106" s="2895"/>
      <c r="B106" s="2911" t="s">
        <v>3305</v>
      </c>
      <c r="C106" s="2902" t="s">
        <v>2777</v>
      </c>
      <c r="D106" s="337"/>
      <c r="E106" s="2695"/>
      <c r="F106" s="2285"/>
      <c r="G106" s="2198"/>
      <c r="H106" s="2109" t="s">
        <v>669</v>
      </c>
      <c r="I106" s="2898"/>
      <c r="J106" s="2109" t="s">
        <v>669</v>
      </c>
      <c r="K106" s="2898"/>
      <c r="L106" s="2109" t="s">
        <v>669</v>
      </c>
      <c r="M106" s="2866"/>
      <c r="N106" s="2109" t="s">
        <v>669</v>
      </c>
      <c r="O106" s="2898"/>
      <c r="P106" s="2109" t="s">
        <v>669</v>
      </c>
      <c r="Q106" s="2898"/>
      <c r="R106" s="2109" t="s">
        <v>669</v>
      </c>
      <c r="S106" s="2898"/>
      <c r="T106" s="2109" t="s">
        <v>669</v>
      </c>
      <c r="U106" s="2898"/>
      <c r="V106" s="2109" t="s">
        <v>669</v>
      </c>
      <c r="W106" s="2898"/>
      <c r="X106" s="2109" t="s">
        <v>669</v>
      </c>
      <c r="Y106" s="2898"/>
      <c r="Z106" s="2109" t="s">
        <v>669</v>
      </c>
      <c r="AA106" s="2898"/>
      <c r="AB106" s="2109" t="s">
        <v>669</v>
      </c>
      <c r="AC106" s="2898"/>
      <c r="AD106" s="2109"/>
      <c r="AE106" s="2109"/>
      <c r="AF106" s="2109"/>
      <c r="AG106" s="2898"/>
    </row>
    <row r="107" spans="1:33" ht="14.5" x14ac:dyDescent="0.35">
      <c r="A107" s="2895"/>
      <c r="B107" s="2896"/>
      <c r="C107" s="2201"/>
      <c r="D107" s="2912"/>
      <c r="E107" s="2285"/>
      <c r="F107" s="2285"/>
      <c r="G107" s="2198"/>
      <c r="H107" s="2109"/>
      <c r="I107" s="2898"/>
      <c r="J107" s="2109"/>
      <c r="K107" s="2898"/>
      <c r="L107" s="2109"/>
      <c r="M107" s="2866"/>
      <c r="N107" s="2109"/>
      <c r="O107" s="2898"/>
      <c r="P107" s="2109"/>
      <c r="Q107" s="2910"/>
      <c r="R107" s="2109"/>
      <c r="S107" s="2910"/>
      <c r="T107" s="2109"/>
      <c r="U107" s="2910"/>
      <c r="V107" s="2109"/>
      <c r="W107" s="2898"/>
      <c r="X107" s="2109"/>
      <c r="Y107" s="2898"/>
      <c r="Z107" s="2109"/>
      <c r="AA107" s="2898"/>
      <c r="AB107" s="2109"/>
      <c r="AC107" s="2898"/>
      <c r="AD107" s="2109"/>
      <c r="AE107" s="2109"/>
      <c r="AF107" s="2109"/>
      <c r="AG107" s="2898"/>
    </row>
    <row r="108" spans="1:33" ht="14.5" x14ac:dyDescent="0.35">
      <c r="A108" s="2895"/>
      <c r="B108" s="2899" t="s">
        <v>3306</v>
      </c>
      <c r="C108" s="2201"/>
      <c r="D108" s="2285"/>
      <c r="E108" s="2285"/>
      <c r="F108" s="2285"/>
      <c r="G108" s="2198"/>
      <c r="H108" s="2109" t="s">
        <v>669</v>
      </c>
      <c r="I108" s="2898"/>
      <c r="J108" s="2109" t="s">
        <v>669</v>
      </c>
      <c r="K108" s="2898"/>
      <c r="L108" s="2109" t="s">
        <v>669</v>
      </c>
      <c r="M108" s="2866"/>
      <c r="N108" s="2109" t="s">
        <v>669</v>
      </c>
      <c r="O108" s="2898"/>
      <c r="P108" s="2109" t="s">
        <v>669</v>
      </c>
      <c r="Q108" s="2910">
        <v>14903</v>
      </c>
      <c r="R108" s="2109" t="s">
        <v>669</v>
      </c>
      <c r="S108" s="2910">
        <v>14903</v>
      </c>
      <c r="T108" s="2109" t="s">
        <v>669</v>
      </c>
      <c r="U108" s="2910">
        <v>14903</v>
      </c>
      <c r="V108" s="2109" t="s">
        <v>669</v>
      </c>
      <c r="W108" s="2910"/>
      <c r="X108" s="2109" t="s">
        <v>669</v>
      </c>
      <c r="Y108" s="2910">
        <v>8050</v>
      </c>
      <c r="Z108" s="2109" t="s">
        <v>669</v>
      </c>
      <c r="AA108" s="2898">
        <v>18000</v>
      </c>
      <c r="AB108" s="2109" t="s">
        <v>669</v>
      </c>
      <c r="AC108" s="2898"/>
      <c r="AD108" s="2109"/>
      <c r="AE108" s="2109"/>
      <c r="AF108" s="2109"/>
      <c r="AG108" s="2898"/>
    </row>
    <row r="109" spans="1:33" ht="14.5" x14ac:dyDescent="0.35">
      <c r="A109" s="2895"/>
      <c r="B109" s="2896" t="s">
        <v>3307</v>
      </c>
      <c r="C109" s="2201"/>
      <c r="D109" s="2285"/>
      <c r="E109" s="2285"/>
      <c r="F109" s="2285"/>
      <c r="G109" s="2198"/>
      <c r="H109" s="2109" t="s">
        <v>669</v>
      </c>
      <c r="I109" s="2898"/>
      <c r="J109" s="2109" t="s">
        <v>669</v>
      </c>
      <c r="K109" s="2898"/>
      <c r="L109" s="2109" t="s">
        <v>669</v>
      </c>
      <c r="M109" s="2866"/>
      <c r="N109" s="2109" t="s">
        <v>669</v>
      </c>
      <c r="O109" s="2898"/>
      <c r="P109" s="2109" t="s">
        <v>669</v>
      </c>
      <c r="Q109" s="2910"/>
      <c r="R109" s="2109" t="s">
        <v>669</v>
      </c>
      <c r="S109" s="2910"/>
      <c r="T109" s="2109" t="s">
        <v>669</v>
      </c>
      <c r="U109" s="2910"/>
      <c r="V109" s="2109" t="s">
        <v>669</v>
      </c>
      <c r="W109" s="2898"/>
      <c r="X109" s="2109" t="s">
        <v>669</v>
      </c>
      <c r="Y109" s="2898"/>
      <c r="Z109" s="2109" t="s">
        <v>669</v>
      </c>
      <c r="AA109" s="2898"/>
      <c r="AB109" s="2109" t="s">
        <v>669</v>
      </c>
      <c r="AC109" s="2898"/>
      <c r="AD109" s="2109"/>
      <c r="AE109" s="2109"/>
      <c r="AF109" s="2109"/>
      <c r="AG109" s="2898"/>
    </row>
    <row r="110" spans="1:33" ht="14.5" x14ac:dyDescent="0.35">
      <c r="A110" s="2895"/>
      <c r="B110" s="2896" t="s">
        <v>3308</v>
      </c>
      <c r="C110" s="2201"/>
      <c r="D110" s="2285"/>
      <c r="E110" s="2285"/>
      <c r="F110" s="2285"/>
      <c r="G110" s="2198"/>
      <c r="H110" s="2109"/>
      <c r="I110" s="2898"/>
      <c r="J110" s="2109"/>
      <c r="K110" s="2898"/>
      <c r="L110" s="2109" t="s">
        <v>669</v>
      </c>
      <c r="M110" s="2910">
        <v>115941</v>
      </c>
      <c r="N110" s="2109"/>
      <c r="O110" s="2898"/>
      <c r="P110" s="2109" t="s">
        <v>669</v>
      </c>
      <c r="Q110" s="2910"/>
      <c r="R110" s="2109" t="s">
        <v>669</v>
      </c>
      <c r="S110" s="2910"/>
      <c r="T110" s="2109" t="s">
        <v>669</v>
      </c>
      <c r="U110" s="2910"/>
      <c r="V110" s="2109"/>
      <c r="W110" s="2910"/>
      <c r="X110" s="2109"/>
      <c r="Y110" s="2910"/>
      <c r="Z110" s="2109"/>
      <c r="AA110" s="2898"/>
      <c r="AB110" s="2109"/>
      <c r="AC110" s="2898"/>
      <c r="AD110" s="2109"/>
      <c r="AE110" s="2109"/>
      <c r="AF110" s="2109"/>
      <c r="AG110" s="2898"/>
    </row>
    <row r="111" spans="1:33" ht="14.5" x14ac:dyDescent="0.35">
      <c r="A111" s="2895"/>
      <c r="B111" s="2899" t="s">
        <v>3309</v>
      </c>
      <c r="C111" s="2201"/>
      <c r="D111" s="2285"/>
      <c r="E111" s="2285"/>
      <c r="F111" s="2285"/>
      <c r="G111" s="2198"/>
      <c r="H111" s="2109"/>
      <c r="I111" s="2898"/>
      <c r="J111" s="2109"/>
      <c r="K111" s="2898"/>
      <c r="L111" s="2109"/>
      <c r="M111" s="2910"/>
      <c r="N111" s="2109"/>
      <c r="O111" s="2898"/>
      <c r="P111" s="2038" t="s">
        <v>654</v>
      </c>
      <c r="Q111" s="2910">
        <f>Y111</f>
        <v>16800</v>
      </c>
      <c r="R111" s="2038" t="s">
        <v>654</v>
      </c>
      <c r="S111" s="2913">
        <f>Q111</f>
        <v>16800</v>
      </c>
      <c r="T111" s="2038" t="s">
        <v>669</v>
      </c>
      <c r="U111" s="2913">
        <f>S111</f>
        <v>16800</v>
      </c>
      <c r="V111" s="2109" t="s">
        <v>669</v>
      </c>
      <c r="W111" s="2910"/>
      <c r="X111" s="2109" t="s">
        <v>669</v>
      </c>
      <c r="Y111" s="2910">
        <v>16800</v>
      </c>
      <c r="Z111" s="2109"/>
      <c r="AA111" s="2898"/>
      <c r="AB111" s="2109"/>
      <c r="AC111" s="2898"/>
      <c r="AD111" s="2109"/>
      <c r="AE111" s="2109"/>
      <c r="AF111" s="2109"/>
      <c r="AG111" s="2898"/>
    </row>
    <row r="112" spans="1:33" ht="14.5" x14ac:dyDescent="0.35">
      <c r="A112" s="2895"/>
      <c r="B112" s="2899" t="s">
        <v>3310</v>
      </c>
      <c r="C112" s="2201"/>
      <c r="D112" s="2285"/>
      <c r="E112" s="2285"/>
      <c r="F112" s="2285"/>
      <c r="G112" s="2198"/>
      <c r="H112" s="2109"/>
      <c r="I112" s="2898"/>
      <c r="J112" s="2109"/>
      <c r="K112" s="2898"/>
      <c r="L112" s="2109"/>
      <c r="M112" s="2910"/>
      <c r="N112" s="2109"/>
      <c r="O112" s="2898"/>
      <c r="P112" s="2038" t="s">
        <v>654</v>
      </c>
      <c r="Q112" s="2910">
        <f>Y112</f>
        <v>13125</v>
      </c>
      <c r="R112" s="2038" t="s">
        <v>654</v>
      </c>
      <c r="S112" s="2913">
        <f>Q112</f>
        <v>13125</v>
      </c>
      <c r="T112" s="2038" t="s">
        <v>669</v>
      </c>
      <c r="U112" s="2913">
        <f>S112</f>
        <v>13125</v>
      </c>
      <c r="V112" s="2109" t="s">
        <v>669</v>
      </c>
      <c r="W112" s="2910"/>
      <c r="X112" s="2109" t="s">
        <v>669</v>
      </c>
      <c r="Y112" s="2910">
        <v>13125</v>
      </c>
      <c r="Z112" s="2109"/>
      <c r="AA112" s="2898"/>
      <c r="AB112" s="2109"/>
      <c r="AC112" s="2898"/>
      <c r="AD112" s="2109"/>
      <c r="AE112" s="2109"/>
      <c r="AF112" s="2109"/>
      <c r="AG112" s="2898"/>
    </row>
    <row r="113" spans="1:33" ht="14.5" x14ac:dyDescent="0.35">
      <c r="A113" s="2895"/>
      <c r="B113" s="2899" t="s">
        <v>3311</v>
      </c>
      <c r="C113" s="2201"/>
      <c r="D113" s="2285"/>
      <c r="E113" s="2285"/>
      <c r="F113" s="2285"/>
      <c r="G113" s="2198"/>
      <c r="H113" s="2109"/>
      <c r="I113" s="2914"/>
      <c r="J113" s="2109"/>
      <c r="K113" s="2914"/>
      <c r="L113" s="2109"/>
      <c r="M113" s="2914"/>
      <c r="N113" s="2109"/>
      <c r="O113" s="2914"/>
      <c r="P113" s="2109" t="s">
        <v>669</v>
      </c>
      <c r="Q113" s="2910">
        <v>27959</v>
      </c>
      <c r="R113" s="2109" t="s">
        <v>669</v>
      </c>
      <c r="S113" s="2910">
        <v>27959</v>
      </c>
      <c r="T113" s="2109" t="s">
        <v>669</v>
      </c>
      <c r="U113" s="2910">
        <v>27959</v>
      </c>
      <c r="V113" s="2109" t="s">
        <v>669</v>
      </c>
      <c r="W113" s="2910"/>
      <c r="X113" s="2109" t="s">
        <v>669</v>
      </c>
      <c r="Y113" s="2910">
        <v>10300</v>
      </c>
      <c r="Z113" s="2109"/>
      <c r="AA113" s="2914">
        <v>22000</v>
      </c>
      <c r="AB113" s="2109"/>
      <c r="AC113" s="2866"/>
      <c r="AD113" s="2109"/>
      <c r="AE113" s="2109"/>
      <c r="AF113" s="2109"/>
      <c r="AG113" s="2866"/>
    </row>
    <row r="114" spans="1:33" ht="14.5" x14ac:dyDescent="0.35">
      <c r="A114" s="2895"/>
      <c r="B114" s="2896" t="s">
        <v>3312</v>
      </c>
      <c r="C114" s="2201"/>
      <c r="D114" s="2285"/>
      <c r="E114" s="2285"/>
      <c r="F114" s="2285"/>
      <c r="G114" s="2198"/>
      <c r="H114" s="2038"/>
      <c r="I114" s="2866"/>
      <c r="J114" s="2038"/>
      <c r="K114" s="2866"/>
      <c r="L114" s="2038"/>
      <c r="M114" s="2866"/>
      <c r="N114" s="2038"/>
      <c r="O114" s="2866"/>
      <c r="P114" s="2038" t="s">
        <v>654</v>
      </c>
      <c r="Q114" s="2910">
        <v>25000</v>
      </c>
      <c r="R114" s="2038" t="s">
        <v>654</v>
      </c>
      <c r="S114" s="2913">
        <v>25000</v>
      </c>
      <c r="T114" s="2038" t="s">
        <v>669</v>
      </c>
      <c r="U114" s="2913">
        <v>25000</v>
      </c>
      <c r="V114" s="2038" t="s">
        <v>654</v>
      </c>
      <c r="W114" s="2910">
        <v>25000</v>
      </c>
      <c r="X114" s="2038" t="s">
        <v>654</v>
      </c>
      <c r="Y114" s="2910">
        <v>25000</v>
      </c>
      <c r="Z114" s="2038"/>
      <c r="AA114" s="2866"/>
      <c r="AB114" s="2038"/>
      <c r="AC114" s="2866"/>
      <c r="AD114" s="2109"/>
      <c r="AE114" s="2109"/>
      <c r="AF114" s="2109"/>
      <c r="AG114" s="2866"/>
    </row>
    <row r="115" spans="1:33" ht="14.5" x14ac:dyDescent="0.35">
      <c r="A115" s="2892"/>
      <c r="B115" s="2896" t="s">
        <v>3313</v>
      </c>
      <c r="C115" s="2915"/>
      <c r="D115" s="2912"/>
      <c r="E115" s="2912"/>
      <c r="F115" s="2912"/>
      <c r="G115" s="2916"/>
      <c r="H115" s="2917"/>
      <c r="I115" s="2898"/>
      <c r="J115" s="2917"/>
      <c r="K115" s="2898"/>
      <c r="L115" s="2917"/>
      <c r="M115" s="2898"/>
      <c r="N115" s="2917"/>
      <c r="O115" s="2898"/>
      <c r="P115" s="2917" t="s">
        <v>669</v>
      </c>
      <c r="Q115" s="2910">
        <v>250000</v>
      </c>
      <c r="R115" s="2917" t="s">
        <v>669</v>
      </c>
      <c r="S115" s="2910">
        <v>250000</v>
      </c>
      <c r="T115" s="2917" t="s">
        <v>669</v>
      </c>
      <c r="U115" s="2910">
        <v>250000</v>
      </c>
      <c r="V115" s="2917"/>
      <c r="W115" s="2910"/>
      <c r="X115" s="2917"/>
      <c r="Y115" s="2910"/>
      <c r="Z115" s="2917"/>
      <c r="AA115" s="2898"/>
      <c r="AB115" s="2917"/>
      <c r="AC115" s="2898"/>
      <c r="AD115" s="2918"/>
      <c r="AE115" s="2918"/>
      <c r="AF115" s="2918"/>
      <c r="AG115" s="2898"/>
    </row>
    <row r="116" spans="1:33" ht="14.5" x14ac:dyDescent="0.35">
      <c r="A116" s="2892"/>
      <c r="B116" s="2896" t="s">
        <v>1789</v>
      </c>
      <c r="C116" s="2915"/>
      <c r="D116" s="2912"/>
      <c r="E116" s="2912"/>
      <c r="F116" s="2912"/>
      <c r="G116" s="2916"/>
      <c r="H116" s="2917"/>
      <c r="I116" s="2884"/>
      <c r="J116" s="2917"/>
      <c r="K116" s="2884"/>
      <c r="L116" s="2917"/>
      <c r="M116" s="2884"/>
      <c r="N116" s="2917"/>
      <c r="O116" s="2884"/>
      <c r="P116" s="2917"/>
      <c r="Q116" s="2910"/>
      <c r="R116" s="2917"/>
      <c r="S116" s="2910"/>
      <c r="T116" s="2917" t="s">
        <v>669</v>
      </c>
      <c r="U116" s="2919">
        <v>-300000</v>
      </c>
      <c r="V116" s="2917"/>
      <c r="W116" s="2910"/>
      <c r="X116" s="2917"/>
      <c r="Y116" s="2910"/>
      <c r="Z116" s="2917"/>
      <c r="AA116" s="2884"/>
      <c r="AB116" s="2917"/>
      <c r="AC116" s="2884"/>
      <c r="AD116" s="2918"/>
      <c r="AE116" s="2918"/>
      <c r="AF116" s="2918"/>
      <c r="AG116" s="2884"/>
    </row>
    <row r="117" spans="1:33" ht="14.5" x14ac:dyDescent="0.35">
      <c r="A117" s="14"/>
      <c r="B117" s="15"/>
      <c r="C117" s="16"/>
      <c r="D117" s="16"/>
      <c r="E117" s="17"/>
      <c r="F117" s="18" t="s">
        <v>715</v>
      </c>
      <c r="G117" s="19"/>
      <c r="H117" s="20"/>
      <c r="I117" s="50">
        <f>SUM(I28:I114)</f>
        <v>4833432</v>
      </c>
      <c r="J117" s="20"/>
      <c r="K117" s="50">
        <f>SUM(K28:K114)</f>
        <v>4980556</v>
      </c>
      <c r="L117" s="20"/>
      <c r="M117" s="50">
        <f>SUM(M28:M114)</f>
        <v>5128167</v>
      </c>
      <c r="N117" s="20"/>
      <c r="O117" s="50">
        <f>SUM(O28:O114)</f>
        <v>5893349</v>
      </c>
      <c r="P117" s="20"/>
      <c r="Q117" s="50">
        <f>SUM(Q28:Q115)</f>
        <v>5760010</v>
      </c>
      <c r="R117" s="20"/>
      <c r="S117" s="50">
        <f>SUM(S28:S115)</f>
        <v>4934210</v>
      </c>
      <c r="T117" s="20"/>
      <c r="U117" s="50">
        <f>SUM(U28:U116)</f>
        <v>4634210</v>
      </c>
      <c r="V117" s="20"/>
      <c r="W117" s="50">
        <f>SUM(W28:W114)</f>
        <v>6425000</v>
      </c>
      <c r="X117" s="20"/>
      <c r="Y117" s="50">
        <f>SUM(Y28:Y114)</f>
        <v>6985825</v>
      </c>
      <c r="Z117" s="20"/>
      <c r="AA117" s="50">
        <f>SUM(AA28:AA114)</f>
        <v>8858000</v>
      </c>
      <c r="AB117" s="20"/>
      <c r="AC117" s="50">
        <f>SUM(AC28:AC114)</f>
        <v>6026000</v>
      </c>
      <c r="AD117" s="20"/>
      <c r="AE117" s="50">
        <f>SUM(AE28:AE114)</f>
        <v>0</v>
      </c>
      <c r="AF117" s="20"/>
      <c r="AG117" s="50">
        <f>SUM(AG28:AG114)</f>
        <v>42768</v>
      </c>
    </row>
    <row r="118" spans="1:33" ht="14.5" x14ac:dyDescent="0.35">
      <c r="A118" s="2239"/>
      <c r="B118" s="2240"/>
      <c r="C118" s="2241"/>
      <c r="D118" s="2241"/>
      <c r="E118" s="2242"/>
      <c r="F118" s="2243" t="s">
        <v>716</v>
      </c>
      <c r="G118" s="2244"/>
      <c r="H118" s="2065">
        <v>0</v>
      </c>
      <c r="I118" s="960"/>
      <c r="J118" s="2065">
        <v>0</v>
      </c>
      <c r="K118" s="960"/>
      <c r="L118" s="2065">
        <v>0</v>
      </c>
      <c r="M118" s="960"/>
      <c r="N118" s="2065">
        <v>0</v>
      </c>
      <c r="O118" s="960"/>
      <c r="P118" s="2065">
        <v>0</v>
      </c>
      <c r="Q118" s="960"/>
      <c r="R118" s="2065">
        <v>0</v>
      </c>
      <c r="S118" s="960"/>
      <c r="T118" s="2065">
        <v>0</v>
      </c>
      <c r="U118" s="960"/>
      <c r="V118" s="2065">
        <v>0</v>
      </c>
      <c r="W118" s="960"/>
      <c r="X118" s="2065">
        <v>0</v>
      </c>
      <c r="Y118" s="960"/>
      <c r="Z118" s="2065">
        <v>0</v>
      </c>
      <c r="AA118" s="960"/>
      <c r="AB118" s="2065">
        <v>0</v>
      </c>
      <c r="AC118" s="960"/>
      <c r="AD118" s="2065">
        <v>0</v>
      </c>
      <c r="AE118" s="960"/>
      <c r="AF118" s="2065">
        <v>0</v>
      </c>
      <c r="AG118" s="960"/>
    </row>
    <row r="119" spans="1:33" ht="14.5" x14ac:dyDescent="0.35">
      <c r="A119" s="2239"/>
      <c r="B119" s="2240"/>
      <c r="C119" s="2241"/>
      <c r="D119" s="2241"/>
      <c r="E119" s="2242"/>
      <c r="F119" s="2243" t="s">
        <v>717</v>
      </c>
      <c r="G119" s="2244"/>
      <c r="H119" s="2066"/>
      <c r="I119" s="2070">
        <f>I117*H118</f>
        <v>0</v>
      </c>
      <c r="J119" s="2066"/>
      <c r="K119" s="2070">
        <f>K117*J118</f>
        <v>0</v>
      </c>
      <c r="L119" s="2066"/>
      <c r="M119" s="2070">
        <f>M117*L118</f>
        <v>0</v>
      </c>
      <c r="N119" s="2066"/>
      <c r="O119" s="2070">
        <f>O117*N118</f>
        <v>0</v>
      </c>
      <c r="P119" s="2066"/>
      <c r="Q119" s="2070">
        <f>Q117*P118</f>
        <v>0</v>
      </c>
      <c r="R119" s="2066"/>
      <c r="S119" s="2070">
        <f>S117*R118</f>
        <v>0</v>
      </c>
      <c r="T119" s="2066"/>
      <c r="U119" s="2070">
        <f>U117*T118</f>
        <v>0</v>
      </c>
      <c r="V119" s="2066"/>
      <c r="W119" s="2070">
        <f>W117*V118</f>
        <v>0</v>
      </c>
      <c r="X119" s="2066"/>
      <c r="Y119" s="2070">
        <f>Y117*X118</f>
        <v>0</v>
      </c>
      <c r="Z119" s="2066"/>
      <c r="AA119" s="2070">
        <f>AA117*Z118</f>
        <v>0</v>
      </c>
      <c r="AB119" s="2066"/>
      <c r="AC119" s="2070">
        <f>AC117*AB118</f>
        <v>0</v>
      </c>
      <c r="AD119" s="2066"/>
      <c r="AE119" s="2070">
        <f>AE117*AD118</f>
        <v>0</v>
      </c>
      <c r="AF119" s="2066"/>
      <c r="AG119" s="2070">
        <f>AG117*AF118</f>
        <v>0</v>
      </c>
    </row>
    <row r="120" spans="1:33" ht="14.5" x14ac:dyDescent="0.35">
      <c r="A120" s="2239"/>
      <c r="B120" s="2240"/>
      <c r="C120" s="2241"/>
      <c r="D120" s="2241"/>
      <c r="E120" s="2242"/>
      <c r="F120" s="2243"/>
      <c r="G120" s="2244"/>
      <c r="H120" s="2066"/>
      <c r="I120" s="2068"/>
      <c r="J120" s="2066"/>
      <c r="K120" s="2068"/>
      <c r="L120" s="2066"/>
      <c r="M120" s="2068"/>
      <c r="N120" s="2066"/>
      <c r="O120" s="2068"/>
      <c r="P120" s="2066"/>
      <c r="Q120" s="2068"/>
      <c r="R120" s="2066"/>
      <c r="S120" s="2068"/>
      <c r="T120" s="2066"/>
      <c r="U120" s="2068"/>
      <c r="V120" s="2066"/>
      <c r="W120" s="2068"/>
      <c r="X120" s="2066"/>
      <c r="Y120" s="2068"/>
      <c r="Z120" s="2066"/>
      <c r="AA120" s="2068"/>
      <c r="AB120" s="2066"/>
      <c r="AC120" s="2068"/>
      <c r="AD120" s="2066"/>
      <c r="AE120" s="2068"/>
      <c r="AF120" s="2066"/>
      <c r="AG120" s="2068"/>
    </row>
    <row r="121" spans="1:33" ht="14.5" x14ac:dyDescent="0.35">
      <c r="A121" s="2239"/>
      <c r="B121" s="2240"/>
      <c r="C121" s="2241"/>
      <c r="D121" s="2241"/>
      <c r="E121" s="2242"/>
      <c r="F121" s="2243" t="s">
        <v>718</v>
      </c>
      <c r="G121" s="2244"/>
      <c r="H121" s="2069"/>
      <c r="I121" s="2070">
        <f>SUM(I117:I119)</f>
        <v>4833432</v>
      </c>
      <c r="J121" s="2069"/>
      <c r="K121" s="2070">
        <f>SUM(K117:K119)</f>
        <v>4980556</v>
      </c>
      <c r="L121" s="2069"/>
      <c r="M121" s="2070">
        <f>SUM(M117:M119)</f>
        <v>5128167</v>
      </c>
      <c r="N121" s="2069"/>
      <c r="O121" s="2070">
        <f>SUM(O117:O119)</f>
        <v>5893349</v>
      </c>
      <c r="P121" s="2069"/>
      <c r="Q121" s="2070">
        <f>SUM(Q117:Q119)</f>
        <v>5760010</v>
      </c>
      <c r="R121" s="2069"/>
      <c r="S121" s="2070">
        <f>SUM(S117:S119)</f>
        <v>4934210</v>
      </c>
      <c r="T121" s="2069"/>
      <c r="U121" s="2070">
        <f>SUM(U117:U119)</f>
        <v>4634210</v>
      </c>
      <c r="V121" s="2069"/>
      <c r="W121" s="2070">
        <f>SUM(W117:W119)</f>
        <v>6425000</v>
      </c>
      <c r="X121" s="2069"/>
      <c r="Y121" s="2070">
        <f>SUM(Y117:Y119)</f>
        <v>6985825</v>
      </c>
      <c r="Z121" s="2069"/>
      <c r="AA121" s="2070">
        <f>SUM(AA117:AA119)</f>
        <v>8858000</v>
      </c>
      <c r="AB121" s="2069"/>
      <c r="AC121" s="2070">
        <f>SUM(AC117:AC119)</f>
        <v>6026000</v>
      </c>
      <c r="AD121" s="2069"/>
      <c r="AE121" s="2070">
        <f>SUM(AE117:AE119)</f>
        <v>0</v>
      </c>
      <c r="AF121" s="2069"/>
      <c r="AG121" s="2070">
        <f>SUM(AG117:AG119)</f>
        <v>42768</v>
      </c>
    </row>
    <row r="122" spans="1:33" ht="14.5" x14ac:dyDescent="0.35">
      <c r="A122" s="2239"/>
      <c r="B122" s="2240"/>
      <c r="C122" s="2241"/>
      <c r="D122" s="2241"/>
      <c r="E122" s="2242"/>
      <c r="F122" s="2255" t="s">
        <v>719</v>
      </c>
      <c r="G122" s="2256"/>
      <c r="H122" s="2073"/>
      <c r="I122" s="2074" t="e">
        <f>I121/#REF!</f>
        <v>#REF!</v>
      </c>
      <c r="J122" s="2073"/>
      <c r="K122" s="2074" t="e">
        <f>K121/#REF!</f>
        <v>#REF!</v>
      </c>
      <c r="L122" s="2073"/>
      <c r="M122" s="2074" t="e">
        <f>M121/#REF!</f>
        <v>#REF!</v>
      </c>
      <c r="N122" s="2073"/>
      <c r="O122" s="2074" t="e">
        <f>O121/#REF!</f>
        <v>#REF!</v>
      </c>
      <c r="P122" s="2073"/>
      <c r="Q122" s="2074" t="e">
        <f>Q121/#REF!</f>
        <v>#REF!</v>
      </c>
      <c r="R122" s="2073"/>
      <c r="S122" s="2074" t="e">
        <f>S121/#REF!</f>
        <v>#REF!</v>
      </c>
      <c r="T122" s="2073"/>
      <c r="U122" s="2074" t="e">
        <f>U121/#REF!</f>
        <v>#REF!</v>
      </c>
      <c r="V122" s="2073"/>
      <c r="W122" s="2074" t="e">
        <f>W121/#REF!</f>
        <v>#REF!</v>
      </c>
      <c r="X122" s="2073"/>
      <c r="Y122" s="2074" t="e">
        <f>Y121/#REF!</f>
        <v>#REF!</v>
      </c>
      <c r="Z122" s="2073"/>
      <c r="AA122" s="2074" t="e">
        <f>AA121/#REF!</f>
        <v>#REF!</v>
      </c>
      <c r="AB122" s="2073"/>
      <c r="AC122" s="2074" t="e">
        <f>AC121/#REF!</f>
        <v>#REF!</v>
      </c>
      <c r="AD122" s="2073"/>
      <c r="AE122" s="2074" t="e">
        <f>AE121/#REF!</f>
        <v>#REF!</v>
      </c>
      <c r="AF122" s="2073"/>
      <c r="AG122" s="2074" t="e">
        <f>AG121/#REF!</f>
        <v>#REF!</v>
      </c>
    </row>
    <row r="123" spans="1:33" ht="14.5" x14ac:dyDescent="0.35">
      <c r="A123" s="2239"/>
      <c r="B123" s="2240"/>
      <c r="C123" s="2241"/>
      <c r="D123" s="2241"/>
      <c r="E123" s="2242"/>
      <c r="F123" s="2255" t="s">
        <v>720</v>
      </c>
      <c r="G123" s="2260"/>
      <c r="H123" s="2073"/>
      <c r="I123" s="2074" t="e">
        <f>I121/#REF!</f>
        <v>#REF!</v>
      </c>
      <c r="J123" s="2073"/>
      <c r="K123" s="2074" t="e">
        <f>K121/#REF!</f>
        <v>#REF!</v>
      </c>
      <c r="L123" s="2073"/>
      <c r="M123" s="2074" t="e">
        <f>M121/#REF!</f>
        <v>#REF!</v>
      </c>
      <c r="N123" s="2073"/>
      <c r="O123" s="2074" t="e">
        <f>O121/#REF!</f>
        <v>#REF!</v>
      </c>
      <c r="P123" s="2073"/>
      <c r="Q123" s="2074" t="e">
        <f>Q121/#REF!</f>
        <v>#REF!</v>
      </c>
      <c r="R123" s="2073"/>
      <c r="S123" s="2074" t="e">
        <f>S121/#REF!</f>
        <v>#REF!</v>
      </c>
      <c r="T123" s="2073"/>
      <c r="U123" s="2074" t="e">
        <f>U121/#REF!</f>
        <v>#REF!</v>
      </c>
      <c r="V123" s="2073"/>
      <c r="W123" s="2074" t="e">
        <f>W121/#REF!</f>
        <v>#REF!</v>
      </c>
      <c r="X123" s="2073"/>
      <c r="Y123" s="2074" t="e">
        <f>Y121/#REF!</f>
        <v>#REF!</v>
      </c>
      <c r="Z123" s="2073"/>
      <c r="AA123" s="2074" t="e">
        <f>AA121/#REF!</f>
        <v>#REF!</v>
      </c>
      <c r="AB123" s="2073"/>
      <c r="AC123" s="2074" t="e">
        <f>AC121/#REF!</f>
        <v>#REF!</v>
      </c>
      <c r="AD123" s="2073"/>
      <c r="AE123" s="2074" t="e">
        <f>AE121/#REF!</f>
        <v>#REF!</v>
      </c>
      <c r="AF123" s="2073"/>
      <c r="AG123" s="2074" t="e">
        <f>AG121/#REF!</f>
        <v>#REF!</v>
      </c>
    </row>
    <row r="124" spans="1:33" ht="14.5" x14ac:dyDescent="0.35">
      <c r="A124" s="2239"/>
      <c r="B124" s="2240"/>
      <c r="C124" s="2241"/>
      <c r="D124" s="2241"/>
      <c r="E124" s="2242"/>
      <c r="F124" s="2255"/>
      <c r="G124" s="2260"/>
      <c r="H124" s="2073"/>
      <c r="I124" s="2920"/>
      <c r="J124" s="2073"/>
      <c r="K124" s="2920"/>
      <c r="L124" s="2073"/>
      <c r="M124" s="2920"/>
      <c r="N124" s="2073"/>
      <c r="O124" s="2920"/>
      <c r="P124" s="2073"/>
      <c r="Q124" s="2920"/>
      <c r="R124" s="2073"/>
      <c r="S124" s="2920"/>
      <c r="T124" s="2073"/>
      <c r="U124" s="2920"/>
      <c r="V124" s="2073"/>
      <c r="W124" s="2920"/>
      <c r="X124" s="2073"/>
      <c r="Y124" s="2920"/>
      <c r="Z124" s="2073"/>
      <c r="AA124" s="2920"/>
      <c r="AB124" s="2073"/>
      <c r="AC124" s="2920"/>
      <c r="AD124" s="2073"/>
      <c r="AE124" s="2920"/>
      <c r="AF124" s="2073"/>
      <c r="AG124" s="2920"/>
    </row>
    <row r="125" spans="1:33" ht="14.5" x14ac:dyDescent="0.35">
      <c r="A125" s="2239"/>
      <c r="B125" s="2240"/>
      <c r="C125" s="2241"/>
      <c r="D125" s="2241"/>
      <c r="E125" s="2242"/>
      <c r="F125" s="2243"/>
      <c r="G125" s="2261"/>
      <c r="H125" s="2079"/>
      <c r="I125" s="2921"/>
      <c r="J125" s="2079"/>
      <c r="K125" s="2921"/>
      <c r="L125" s="2079"/>
      <c r="M125" s="2921"/>
      <c r="N125" s="2079"/>
      <c r="O125" s="2921"/>
      <c r="P125" s="2079"/>
      <c r="Q125" s="2921"/>
      <c r="R125" s="2079"/>
      <c r="S125" s="2921"/>
      <c r="T125" s="2079"/>
      <c r="U125" s="2921"/>
      <c r="V125" s="2079"/>
      <c r="W125" s="2921"/>
      <c r="X125" s="2079"/>
      <c r="Y125" s="2921"/>
      <c r="Z125" s="2079"/>
      <c r="AA125" s="2921"/>
      <c r="AB125" s="2079"/>
      <c r="AC125" s="2921"/>
      <c r="AD125" s="2079"/>
      <c r="AE125" s="2921"/>
      <c r="AF125" s="2079"/>
      <c r="AG125" s="2921"/>
    </row>
    <row r="126" spans="1:33" ht="14.5" x14ac:dyDescent="0.35">
      <c r="A126" s="3764" t="s">
        <v>721</v>
      </c>
      <c r="B126" s="3765"/>
      <c r="C126" s="12"/>
      <c r="D126" s="12"/>
      <c r="E126" s="12"/>
      <c r="F126" s="12"/>
      <c r="G126" s="13"/>
      <c r="H126" s="21"/>
      <c r="I126" s="21"/>
      <c r="J126" s="21"/>
      <c r="K126" s="21"/>
      <c r="L126" s="21"/>
      <c r="M126" s="21"/>
      <c r="N126" s="21"/>
      <c r="O126" s="21"/>
      <c r="P126" s="21"/>
      <c r="Q126" s="21"/>
      <c r="R126" s="21"/>
      <c r="S126" s="21"/>
      <c r="T126" s="21"/>
      <c r="U126" s="21"/>
      <c r="V126" s="42"/>
      <c r="W126" s="21"/>
      <c r="X126" s="42"/>
      <c r="Y126" s="21"/>
      <c r="Z126" s="42"/>
      <c r="AA126" s="21"/>
      <c r="AB126" s="21"/>
      <c r="AC126" s="21"/>
      <c r="AD126" s="21"/>
      <c r="AE126" s="21"/>
      <c r="AF126" s="21"/>
      <c r="AG126" s="21"/>
    </row>
    <row r="127" spans="1:33" ht="14.5" x14ac:dyDescent="0.35">
      <c r="A127" s="2922"/>
      <c r="B127" s="2284"/>
      <c r="C127" s="2709"/>
      <c r="D127" s="2709"/>
      <c r="E127" s="2709"/>
      <c r="F127" s="2709"/>
      <c r="G127" s="2863"/>
      <c r="H127" s="2923"/>
      <c r="I127" s="2923"/>
      <c r="J127" s="2923"/>
      <c r="K127" s="2923"/>
      <c r="L127" s="2923"/>
      <c r="M127" s="2923"/>
      <c r="N127" s="2923"/>
      <c r="O127" s="2923"/>
      <c r="P127" s="2923"/>
      <c r="Q127" s="2923"/>
      <c r="R127" s="2923"/>
      <c r="S127" s="2923"/>
      <c r="T127" s="2923"/>
      <c r="U127" s="2923"/>
      <c r="V127" s="2924"/>
      <c r="W127" s="2923"/>
      <c r="X127" s="2924"/>
      <c r="Y127" s="2923"/>
      <c r="Z127" s="2924"/>
      <c r="AA127" s="2923"/>
      <c r="AB127" s="2923"/>
      <c r="AC127" s="2923"/>
      <c r="AD127" s="2923"/>
      <c r="AE127" s="2923"/>
      <c r="AF127" s="2923"/>
      <c r="AG127" s="2923"/>
    </row>
    <row r="128" spans="1:33" ht="14.5" x14ac:dyDescent="0.35">
      <c r="A128" s="2922"/>
      <c r="B128" s="2284"/>
      <c r="C128" s="2912"/>
      <c r="D128" s="2912"/>
      <c r="E128" s="2912"/>
      <c r="F128" s="2912"/>
      <c r="G128" s="2863"/>
      <c r="H128" s="2923"/>
      <c r="I128" s="2923"/>
      <c r="J128" s="2923"/>
      <c r="K128" s="2923"/>
      <c r="L128" s="2923"/>
      <c r="M128" s="2923"/>
      <c r="N128" s="2923"/>
      <c r="O128" s="2923"/>
      <c r="P128" s="2923"/>
      <c r="Q128" s="2923"/>
      <c r="R128" s="2923"/>
      <c r="S128" s="2923"/>
      <c r="T128" s="2923"/>
      <c r="U128" s="2923"/>
      <c r="V128" s="2924"/>
      <c r="W128" s="2923"/>
      <c r="X128" s="2924"/>
      <c r="Y128" s="2923"/>
      <c r="Z128" s="2924"/>
      <c r="AA128" s="2923"/>
      <c r="AB128" s="2923"/>
      <c r="AC128" s="2923"/>
      <c r="AD128" s="2923"/>
      <c r="AE128" s="2923"/>
      <c r="AF128" s="2923"/>
      <c r="AG128" s="2923"/>
    </row>
    <row r="129" spans="1:33" ht="14.5" x14ac:dyDescent="0.35">
      <c r="A129" s="2922"/>
      <c r="B129" s="2284"/>
      <c r="C129" s="2912"/>
      <c r="D129" s="2912"/>
      <c r="E129" s="2912"/>
      <c r="F129" s="2912"/>
      <c r="G129" s="2863"/>
      <c r="H129" s="2923"/>
      <c r="I129" s="2923"/>
      <c r="J129" s="2923"/>
      <c r="K129" s="2923"/>
      <c r="L129" s="2923"/>
      <c r="M129" s="2923"/>
      <c r="N129" s="2923"/>
      <c r="O129" s="2923"/>
      <c r="P129" s="2923"/>
      <c r="Q129" s="2923"/>
      <c r="R129" s="2923"/>
      <c r="S129" s="2923"/>
      <c r="T129" s="2923"/>
      <c r="U129" s="2923"/>
      <c r="V129" s="2924"/>
      <c r="W129" s="2923"/>
      <c r="X129" s="2924"/>
      <c r="Y129" s="2923"/>
      <c r="Z129" s="2924"/>
      <c r="AA129" s="2923"/>
      <c r="AB129" s="2923"/>
      <c r="AC129" s="2923"/>
      <c r="AD129" s="2923"/>
      <c r="AE129" s="2923"/>
      <c r="AF129" s="2923"/>
      <c r="AG129" s="2923"/>
    </row>
    <row r="130" spans="1:33" s="2" customFormat="1" ht="14.5" x14ac:dyDescent="0.35">
      <c r="A130" s="3764" t="s">
        <v>722</v>
      </c>
      <c r="B130" s="3765"/>
      <c r="C130" s="12"/>
      <c r="D130" s="12"/>
      <c r="E130" s="12"/>
      <c r="F130" s="12"/>
      <c r="G130" s="13"/>
      <c r="H130" s="21"/>
      <c r="I130" s="21"/>
      <c r="J130" s="21"/>
      <c r="K130" s="21"/>
      <c r="L130" s="21"/>
      <c r="M130" s="21"/>
      <c r="N130" s="21"/>
      <c r="O130" s="21"/>
      <c r="P130" s="21"/>
      <c r="Q130" s="21"/>
      <c r="R130" s="21"/>
      <c r="S130" s="21"/>
      <c r="T130" s="21"/>
      <c r="U130" s="21"/>
      <c r="V130" s="42"/>
      <c r="W130" s="21"/>
      <c r="X130" s="42"/>
      <c r="Y130" s="21"/>
      <c r="Z130" s="42"/>
      <c r="AA130" s="21"/>
      <c r="AB130" s="21"/>
      <c r="AC130" s="21"/>
      <c r="AD130" s="21"/>
      <c r="AE130" s="21"/>
      <c r="AF130" s="21"/>
      <c r="AG130" s="21"/>
    </row>
    <row r="131" spans="1:33" s="2" customFormat="1" ht="14.5" x14ac:dyDescent="0.35">
      <c r="A131" s="2922"/>
      <c r="B131" s="2284"/>
      <c r="C131" s="2912"/>
      <c r="D131" s="2912"/>
      <c r="E131" s="2912"/>
      <c r="F131" s="2912"/>
      <c r="G131" s="2863"/>
      <c r="H131" s="2923"/>
      <c r="I131" s="2923"/>
      <c r="J131" s="2923"/>
      <c r="K131" s="2923"/>
      <c r="L131" s="2923"/>
      <c r="M131" s="2923"/>
      <c r="N131" s="2923"/>
      <c r="O131" s="2923"/>
      <c r="P131" s="2923"/>
      <c r="Q131" s="2923"/>
      <c r="R131" s="2923"/>
      <c r="S131" s="2923"/>
      <c r="T131" s="2923"/>
      <c r="U131" s="2923"/>
      <c r="V131" s="2924"/>
      <c r="W131" s="2923"/>
      <c r="X131" s="2924"/>
      <c r="Y131" s="2923"/>
      <c r="Z131" s="2924"/>
      <c r="AA131" s="2923"/>
      <c r="AB131" s="2923"/>
      <c r="AC131" s="2923"/>
      <c r="AD131" s="2923"/>
      <c r="AE131" s="2923"/>
      <c r="AF131" s="2923"/>
      <c r="AG131" s="2923"/>
    </row>
    <row r="132" spans="1:33" s="2" customFormat="1" ht="14.5" x14ac:dyDescent="0.35">
      <c r="A132" s="2922"/>
      <c r="B132" s="2284"/>
      <c r="C132" s="2912"/>
      <c r="D132" s="2912"/>
      <c r="E132" s="2912"/>
      <c r="F132" s="2912"/>
      <c r="G132" s="2863"/>
      <c r="H132" s="2923"/>
      <c r="I132" s="2923"/>
      <c r="J132" s="2923"/>
      <c r="K132" s="2923"/>
      <c r="L132" s="2923"/>
      <c r="M132" s="2923"/>
      <c r="N132" s="2923"/>
      <c r="O132" s="2923"/>
      <c r="P132" s="2923"/>
      <c r="Q132" s="2923"/>
      <c r="R132" s="2923"/>
      <c r="S132" s="2923"/>
      <c r="T132" s="2923"/>
      <c r="U132" s="2923"/>
      <c r="V132" s="2924"/>
      <c r="W132" s="2923"/>
      <c r="X132" s="2924"/>
      <c r="Y132" s="2923"/>
      <c r="Z132" s="2924"/>
      <c r="AA132" s="2923"/>
      <c r="AB132" s="2923"/>
      <c r="AC132" s="2923"/>
      <c r="AD132" s="2923"/>
      <c r="AE132" s="2923"/>
      <c r="AF132" s="2923"/>
      <c r="AG132" s="2923"/>
    </row>
    <row r="133" spans="1:33" ht="14.5" x14ac:dyDescent="0.35">
      <c r="A133" s="2922"/>
      <c r="B133" s="2284"/>
      <c r="C133" s="2912"/>
      <c r="D133" s="2912"/>
      <c r="E133" s="2912"/>
      <c r="F133" s="2912"/>
      <c r="G133" s="2863"/>
      <c r="H133" s="2923"/>
      <c r="I133" s="2923"/>
      <c r="J133" s="2923"/>
      <c r="K133" s="2923"/>
      <c r="L133" s="2923"/>
      <c r="M133" s="2923"/>
      <c r="N133" s="2923"/>
      <c r="O133" s="2923"/>
      <c r="P133" s="2923"/>
      <c r="Q133" s="2923"/>
      <c r="R133" s="2923"/>
      <c r="S133" s="2923"/>
      <c r="T133" s="2923"/>
      <c r="U133" s="2923"/>
      <c r="V133" s="2924"/>
      <c r="W133" s="2923"/>
      <c r="X133" s="2924"/>
      <c r="Y133" s="2923"/>
      <c r="Z133" s="2924"/>
      <c r="AA133" s="2923"/>
      <c r="AB133" s="2923"/>
      <c r="AC133" s="2923"/>
      <c r="AD133" s="2923"/>
      <c r="AE133" s="2923"/>
      <c r="AF133" s="2923"/>
      <c r="AG133" s="2923"/>
    </row>
    <row r="134" spans="1:33" s="2" customFormat="1" ht="14.5" x14ac:dyDescent="0.35">
      <c r="A134" s="3764" t="s">
        <v>723</v>
      </c>
      <c r="B134" s="3765"/>
      <c r="C134" s="12"/>
      <c r="D134" s="12"/>
      <c r="E134" s="12"/>
      <c r="F134" s="12"/>
      <c r="G134" s="13"/>
      <c r="H134" s="21"/>
      <c r="I134" s="21"/>
      <c r="J134" s="21"/>
      <c r="K134" s="21"/>
      <c r="L134" s="21"/>
      <c r="M134" s="21"/>
      <c r="N134" s="21"/>
      <c r="O134" s="21"/>
      <c r="P134" s="21"/>
      <c r="Q134" s="21"/>
      <c r="R134" s="21"/>
      <c r="S134" s="21"/>
      <c r="T134" s="21"/>
      <c r="U134" s="21"/>
      <c r="V134" s="42"/>
      <c r="W134" s="21"/>
      <c r="X134" s="42"/>
      <c r="Y134" s="21"/>
      <c r="Z134" s="42"/>
      <c r="AA134" s="21"/>
      <c r="AB134" s="21"/>
      <c r="AC134" s="21"/>
      <c r="AD134" s="21"/>
      <c r="AE134" s="21"/>
      <c r="AF134" s="21"/>
      <c r="AG134" s="21"/>
    </row>
    <row r="135" spans="1:33" s="2" customFormat="1" ht="14.5" x14ac:dyDescent="0.35">
      <c r="A135" s="2922"/>
      <c r="B135" s="2284" t="s">
        <v>3314</v>
      </c>
      <c r="C135" s="2912"/>
      <c r="D135" s="2912"/>
      <c r="E135" s="2912"/>
      <c r="F135" s="2912"/>
      <c r="G135" s="2863"/>
      <c r="H135" s="2923"/>
      <c r="I135" s="2923"/>
      <c r="J135" s="2923"/>
      <c r="K135" s="2923"/>
      <c r="L135" s="2923"/>
      <c r="M135" s="2923"/>
      <c r="N135" s="2923"/>
      <c r="O135" s="2923"/>
      <c r="P135" s="2923"/>
      <c r="Q135" s="2923"/>
      <c r="R135" s="2923"/>
      <c r="S135" s="2923"/>
      <c r="T135" s="2923"/>
      <c r="U135" s="2923"/>
      <c r="V135" s="2924"/>
      <c r="W135" s="2923">
        <v>75070</v>
      </c>
      <c r="X135" s="2924"/>
      <c r="Y135" s="2923">
        <v>75070</v>
      </c>
      <c r="Z135" s="2924"/>
      <c r="AA135" s="2923"/>
      <c r="AB135" s="2923"/>
      <c r="AC135" s="2923"/>
      <c r="AD135" s="2923"/>
      <c r="AE135" s="2923"/>
      <c r="AF135" s="2923"/>
      <c r="AG135" s="2923"/>
    </row>
    <row r="136" spans="1:33" s="2" customFormat="1" ht="14.5" x14ac:dyDescent="0.35">
      <c r="A136" s="2922"/>
      <c r="B136" s="2284"/>
      <c r="C136" s="2912"/>
      <c r="D136" s="2912"/>
      <c r="E136" s="2912"/>
      <c r="F136" s="2912"/>
      <c r="G136" s="2916"/>
      <c r="H136" s="2923"/>
      <c r="I136" s="2923"/>
      <c r="J136" s="2923"/>
      <c r="K136" s="2923"/>
      <c r="L136" s="2923"/>
      <c r="M136" s="2923"/>
      <c r="N136" s="2923"/>
      <c r="O136" s="2923"/>
      <c r="P136" s="2923"/>
      <c r="Q136" s="2923"/>
      <c r="R136" s="2923"/>
      <c r="S136" s="2923"/>
      <c r="T136" s="2923"/>
      <c r="U136" s="2923"/>
      <c r="V136" s="2924"/>
      <c r="W136" s="2923"/>
      <c r="X136" s="2924"/>
      <c r="Y136" s="2923"/>
      <c r="Z136" s="2924"/>
      <c r="AA136" s="2923"/>
      <c r="AB136" s="2923"/>
      <c r="AC136" s="2923"/>
      <c r="AD136" s="2923"/>
      <c r="AE136" s="2923"/>
      <c r="AF136" s="2923"/>
      <c r="AG136" s="2923"/>
    </row>
    <row r="137" spans="1:33" s="2" customFormat="1" ht="14.5" x14ac:dyDescent="0.35">
      <c r="A137" s="2922"/>
      <c r="B137" s="2284"/>
      <c r="C137" s="2912"/>
      <c r="D137" s="2912"/>
      <c r="E137" s="2912"/>
      <c r="F137" s="2912"/>
      <c r="G137" s="2916"/>
      <c r="H137" s="2923"/>
      <c r="I137" s="2923"/>
      <c r="J137" s="2923"/>
      <c r="K137" s="2923"/>
      <c r="L137" s="2923"/>
      <c r="M137" s="2923"/>
      <c r="N137" s="2923"/>
      <c r="O137" s="2923"/>
      <c r="P137" s="2923"/>
      <c r="Q137" s="2923"/>
      <c r="R137" s="2923"/>
      <c r="S137" s="2923"/>
      <c r="T137" s="2923"/>
      <c r="U137" s="2923"/>
      <c r="V137" s="2924"/>
      <c r="W137" s="2923"/>
      <c r="X137" s="2924"/>
      <c r="Y137" s="2923"/>
      <c r="Z137" s="2924"/>
      <c r="AA137" s="2923"/>
      <c r="AB137" s="2923"/>
      <c r="AC137" s="2923"/>
      <c r="AD137" s="2923"/>
      <c r="AE137" s="2923"/>
      <c r="AF137" s="2923"/>
      <c r="AG137" s="2923"/>
    </row>
    <row r="138" spans="1:33" s="2" customFormat="1" ht="14.5" x14ac:dyDescent="0.35">
      <c r="A138" s="2922"/>
      <c r="B138" s="2284" t="s">
        <v>3315</v>
      </c>
      <c r="C138" s="2912"/>
      <c r="D138" s="2912"/>
      <c r="E138" s="2912"/>
      <c r="F138" s="2912"/>
      <c r="G138" s="2916"/>
      <c r="H138" s="2923"/>
      <c r="I138" s="2923"/>
      <c r="J138" s="2923"/>
      <c r="K138" s="2923"/>
      <c r="L138" s="2923"/>
      <c r="M138" s="2923"/>
      <c r="N138" s="2923"/>
      <c r="O138" s="2923">
        <v>31410</v>
      </c>
      <c r="P138" s="2923"/>
      <c r="Q138" s="2923">
        <v>31410</v>
      </c>
      <c r="R138" s="2923"/>
      <c r="S138" s="2923">
        <v>31410</v>
      </c>
      <c r="T138" s="2923"/>
      <c r="U138" s="2923">
        <v>31410</v>
      </c>
      <c r="V138" s="2924"/>
      <c r="W138" s="2923"/>
      <c r="X138" s="2924"/>
      <c r="Y138" s="2923"/>
      <c r="Z138" s="2924"/>
      <c r="AA138" s="2923"/>
      <c r="AB138" s="2923"/>
      <c r="AC138" s="2923"/>
      <c r="AD138" s="2923"/>
      <c r="AE138" s="2923"/>
      <c r="AF138" s="2923"/>
      <c r="AG138" s="2923"/>
    </row>
    <row r="139" spans="1:33" s="2" customFormat="1" ht="14.5" x14ac:dyDescent="0.35">
      <c r="A139" s="2922"/>
      <c r="B139" s="2284" t="s">
        <v>3316</v>
      </c>
      <c r="C139" s="2912"/>
      <c r="D139" s="2912"/>
      <c r="E139" s="2912"/>
      <c r="F139" s="2912"/>
      <c r="G139" s="2916"/>
      <c r="H139" s="2923"/>
      <c r="I139" s="2923"/>
      <c r="J139" s="2923"/>
      <c r="K139" s="2923"/>
      <c r="L139" s="2923"/>
      <c r="M139" s="2923"/>
      <c r="N139" s="2923"/>
      <c r="O139" s="2923">
        <v>44698</v>
      </c>
      <c r="P139" s="2923"/>
      <c r="Q139" s="2923">
        <v>44698</v>
      </c>
      <c r="R139" s="2923"/>
      <c r="S139" s="2923">
        <v>44698</v>
      </c>
      <c r="T139" s="2923"/>
      <c r="U139" s="2923">
        <v>44698</v>
      </c>
      <c r="V139" s="2924"/>
      <c r="W139" s="2923"/>
      <c r="X139" s="2924"/>
      <c r="Y139" s="2923"/>
      <c r="Z139" s="2924"/>
      <c r="AA139" s="2923"/>
      <c r="AB139" s="2923"/>
      <c r="AC139" s="2923"/>
      <c r="AD139" s="2923"/>
      <c r="AE139" s="2923"/>
      <c r="AF139" s="2923"/>
      <c r="AG139" s="2923"/>
    </row>
    <row r="140" spans="1:33" s="2" customFormat="1" ht="14.5" x14ac:dyDescent="0.35">
      <c r="A140" s="2922"/>
      <c r="B140" s="2284" t="s">
        <v>3317</v>
      </c>
      <c r="C140" s="2912"/>
      <c r="D140" s="2912"/>
      <c r="E140" s="2912"/>
      <c r="F140" s="2912"/>
      <c r="G140" s="2916"/>
      <c r="H140" s="2923"/>
      <c r="I140" s="2923"/>
      <c r="J140" s="2923"/>
      <c r="K140" s="2923"/>
      <c r="L140" s="2923"/>
      <c r="M140" s="2923"/>
      <c r="N140" s="2923"/>
      <c r="O140" s="2923">
        <v>134075</v>
      </c>
      <c r="P140" s="2923"/>
      <c r="Q140" s="2923">
        <v>134075</v>
      </c>
      <c r="R140" s="2923"/>
      <c r="S140" s="2923">
        <v>134075</v>
      </c>
      <c r="T140" s="2923"/>
      <c r="U140" s="2923">
        <v>134075</v>
      </c>
      <c r="V140" s="2924"/>
      <c r="W140" s="2923"/>
      <c r="X140" s="2924"/>
      <c r="Y140" s="2923"/>
      <c r="Z140" s="2924"/>
      <c r="AA140" s="2923"/>
      <c r="AB140" s="2923"/>
      <c r="AC140" s="2923"/>
      <c r="AD140" s="2923"/>
      <c r="AE140" s="2923"/>
      <c r="AF140" s="2923"/>
      <c r="AG140" s="2923"/>
    </row>
    <row r="141" spans="1:33" s="2" customFormat="1" ht="14.5" x14ac:dyDescent="0.35">
      <c r="A141" s="2922"/>
      <c r="B141" s="367" t="s">
        <v>3318</v>
      </c>
      <c r="C141" s="2912"/>
      <c r="D141" s="2912"/>
      <c r="E141" s="2912"/>
      <c r="F141" s="2912"/>
      <c r="G141" s="2916"/>
      <c r="H141" s="2923"/>
      <c r="I141" s="2923"/>
      <c r="J141" s="2923"/>
      <c r="K141" s="2923"/>
      <c r="L141" s="2923"/>
      <c r="M141" s="2923"/>
      <c r="N141" s="2923"/>
      <c r="O141" s="2923">
        <v>16830</v>
      </c>
      <c r="P141" s="2923"/>
      <c r="Q141" s="2923">
        <v>16830</v>
      </c>
      <c r="R141" s="2923"/>
      <c r="S141" s="2923">
        <v>16830</v>
      </c>
      <c r="T141" s="2923"/>
      <c r="U141" s="2923">
        <v>16830</v>
      </c>
      <c r="V141" s="2924"/>
      <c r="W141" s="2923"/>
      <c r="X141" s="2924"/>
      <c r="Y141" s="2923"/>
      <c r="Z141" s="2924"/>
      <c r="AA141" s="2923"/>
      <c r="AB141" s="2923"/>
      <c r="AC141" s="2923"/>
      <c r="AD141" s="2923"/>
      <c r="AE141" s="2923"/>
      <c r="AF141" s="2923"/>
      <c r="AG141" s="2923"/>
    </row>
    <row r="142" spans="1:33" s="2" customFormat="1" ht="14.5" x14ac:dyDescent="0.35">
      <c r="A142" s="2922"/>
      <c r="B142" s="367" t="s">
        <v>3319</v>
      </c>
      <c r="C142" s="2912"/>
      <c r="D142" s="2912"/>
      <c r="E142" s="2912"/>
      <c r="F142" s="2912"/>
      <c r="G142" s="2916"/>
      <c r="H142" s="2923"/>
      <c r="I142" s="2923"/>
      <c r="J142" s="2923"/>
      <c r="K142" s="2923"/>
      <c r="L142" s="2923"/>
      <c r="M142" s="2923"/>
      <c r="N142" s="2923"/>
      <c r="O142" s="2923">
        <v>4372</v>
      </c>
      <c r="P142" s="2923"/>
      <c r="Q142" s="2923">
        <v>4372</v>
      </c>
      <c r="R142" s="2923"/>
      <c r="S142" s="2923">
        <v>4372</v>
      </c>
      <c r="T142" s="2923"/>
      <c r="U142" s="2923">
        <v>4372</v>
      </c>
      <c r="V142" s="2924"/>
      <c r="W142" s="2923"/>
      <c r="X142" s="2924"/>
      <c r="Y142" s="2923"/>
      <c r="Z142" s="2924"/>
      <c r="AA142" s="2923"/>
      <c r="AB142" s="2923"/>
      <c r="AC142" s="2923"/>
      <c r="AD142" s="2923"/>
      <c r="AE142" s="2923"/>
      <c r="AF142" s="2923"/>
      <c r="AG142" s="2923"/>
    </row>
    <row r="143" spans="1:33" s="2" customFormat="1" ht="14.5" x14ac:dyDescent="0.35">
      <c r="A143" s="2286"/>
      <c r="B143" s="2284"/>
      <c r="C143" s="2285"/>
      <c r="D143" s="2285"/>
      <c r="E143" s="2285"/>
      <c r="F143" s="2285"/>
      <c r="G143" s="2198"/>
      <c r="H143" s="2081"/>
      <c r="I143" s="2081"/>
      <c r="J143" s="2081"/>
      <c r="K143" s="2081"/>
      <c r="L143" s="2081"/>
      <c r="M143" s="2081"/>
      <c r="N143" s="2081"/>
      <c r="O143" s="2081"/>
      <c r="P143" s="2081"/>
      <c r="Q143" s="2081"/>
      <c r="R143" s="2081"/>
      <c r="S143" s="2081"/>
      <c r="T143" s="2081"/>
      <c r="U143" s="2081"/>
      <c r="V143" s="2268"/>
      <c r="W143" s="2081"/>
      <c r="X143" s="2268"/>
      <c r="Y143" s="2081"/>
      <c r="Z143" s="2268"/>
      <c r="AA143" s="2081"/>
      <c r="AB143" s="2081"/>
      <c r="AC143" s="2081"/>
      <c r="AD143" s="2081"/>
      <c r="AE143" s="2081"/>
      <c r="AF143" s="2081"/>
      <c r="AG143" s="2081"/>
    </row>
    <row r="144" spans="1:33" s="2" customFormat="1" ht="14.5" x14ac:dyDescent="0.35">
      <c r="A144" s="2269"/>
      <c r="B144" s="2270"/>
      <c r="C144" s="2285"/>
      <c r="D144" s="2285"/>
      <c r="E144" s="2285"/>
      <c r="F144" s="2285"/>
      <c r="G144" s="2198"/>
      <c r="H144" s="2084"/>
      <c r="I144" s="2084"/>
      <c r="J144" s="2084"/>
      <c r="K144" s="2084"/>
      <c r="L144" s="2084"/>
      <c r="M144" s="2084"/>
      <c r="N144" s="2084"/>
      <c r="O144" s="2084"/>
      <c r="P144" s="2084"/>
      <c r="Q144" s="2084"/>
      <c r="R144" s="2084"/>
      <c r="S144" s="2084"/>
      <c r="T144" s="2084"/>
      <c r="U144" s="2084"/>
      <c r="V144" s="2272"/>
      <c r="W144" s="2084"/>
      <c r="X144" s="2272"/>
      <c r="Y144" s="2084"/>
      <c r="Z144" s="2272"/>
      <c r="AA144" s="2084"/>
      <c r="AB144" s="2084"/>
      <c r="AC144" s="2084"/>
      <c r="AD144" s="2084"/>
      <c r="AE144" s="2084"/>
      <c r="AF144" s="2084"/>
      <c r="AG144" s="2084"/>
    </row>
    <row r="145" spans="1:33" s="2" customFormat="1" ht="14.5" x14ac:dyDescent="0.35">
      <c r="A145" s="3764" t="s">
        <v>724</v>
      </c>
      <c r="B145" s="3765"/>
      <c r="C145" s="12"/>
      <c r="D145" s="12"/>
      <c r="E145" s="12"/>
      <c r="F145" s="12"/>
      <c r="G145" s="13"/>
      <c r="H145" s="21"/>
      <c r="I145" s="21"/>
      <c r="J145" s="21"/>
      <c r="K145" s="21"/>
      <c r="L145" s="21"/>
      <c r="M145" s="21"/>
      <c r="N145" s="21"/>
      <c r="O145" s="21"/>
      <c r="P145" s="21"/>
      <c r="Q145" s="21"/>
      <c r="R145" s="21"/>
      <c r="S145" s="21"/>
      <c r="T145" s="21"/>
      <c r="U145" s="21"/>
      <c r="V145" s="42"/>
      <c r="W145" s="21"/>
      <c r="X145" s="42"/>
      <c r="Y145" s="21"/>
      <c r="Z145" s="42"/>
      <c r="AA145" s="21"/>
      <c r="AB145" s="21"/>
      <c r="AC145" s="21"/>
      <c r="AD145" s="21"/>
      <c r="AE145" s="21"/>
      <c r="AF145" s="21"/>
      <c r="AG145" s="21"/>
    </row>
    <row r="146" spans="1:33" s="2" customFormat="1" ht="14.5" x14ac:dyDescent="0.35">
      <c r="A146" s="2922"/>
      <c r="B146" s="2284" t="s">
        <v>3320</v>
      </c>
      <c r="C146" s="2912"/>
      <c r="D146" s="2912"/>
      <c r="E146" s="2912"/>
      <c r="F146" s="2912"/>
      <c r="G146" s="2916"/>
      <c r="H146" s="2923"/>
      <c r="I146" s="2923"/>
      <c r="J146" s="2923"/>
      <c r="K146" s="2923"/>
      <c r="L146" s="2923"/>
      <c r="M146" s="2923"/>
      <c r="N146" s="2923"/>
      <c r="O146" s="2923"/>
      <c r="P146" s="2923"/>
      <c r="Q146" s="2923"/>
      <c r="R146" s="2923"/>
      <c r="S146" s="2923"/>
      <c r="T146" s="2923"/>
      <c r="U146" s="2923"/>
      <c r="V146" s="2924"/>
      <c r="W146" s="2923"/>
      <c r="X146" s="2924"/>
      <c r="Y146" s="2923"/>
      <c r="Z146" s="2924"/>
      <c r="AA146" s="2923"/>
      <c r="AB146" s="2923"/>
      <c r="AC146" s="2923"/>
      <c r="AD146" s="2923"/>
      <c r="AE146" s="2923"/>
      <c r="AF146" s="2923"/>
      <c r="AG146" s="2923"/>
    </row>
    <row r="147" spans="1:33" s="2" customFormat="1" ht="14.5" x14ac:dyDescent="0.35">
      <c r="A147" s="2922"/>
      <c r="B147" s="2284" t="s">
        <v>3321</v>
      </c>
      <c r="C147" s="2912"/>
      <c r="D147" s="2912"/>
      <c r="E147" s="2912"/>
      <c r="F147" s="2912"/>
      <c r="G147" s="2916"/>
      <c r="H147" s="2923"/>
      <c r="I147" s="2923"/>
      <c r="J147" s="2923"/>
      <c r="K147" s="2923"/>
      <c r="L147" s="2923"/>
      <c r="M147" s="2923"/>
      <c r="N147" s="2923"/>
      <c r="O147" s="2923"/>
      <c r="P147" s="2923"/>
      <c r="Q147" s="2923"/>
      <c r="R147" s="2923"/>
      <c r="S147" s="2923"/>
      <c r="T147" s="2923"/>
      <c r="U147" s="2923"/>
      <c r="V147" s="2924"/>
      <c r="W147" s="2923"/>
      <c r="X147" s="2924"/>
      <c r="Y147" s="2923"/>
      <c r="Z147" s="2924"/>
      <c r="AA147" s="2923"/>
      <c r="AB147" s="2923"/>
      <c r="AC147" s="2923"/>
      <c r="AD147" s="2923"/>
      <c r="AE147" s="2923"/>
      <c r="AF147" s="2923"/>
      <c r="AG147" s="2923"/>
    </row>
    <row r="148" spans="1:33" s="2" customFormat="1" ht="29" x14ac:dyDescent="0.35">
      <c r="A148" s="2922"/>
      <c r="B148" s="2284" t="s">
        <v>3322</v>
      </c>
      <c r="C148" s="2912"/>
      <c r="D148" s="2912"/>
      <c r="E148" s="2912"/>
      <c r="F148" s="2912"/>
      <c r="G148" s="2916"/>
      <c r="H148" s="2923"/>
      <c r="I148" s="2923"/>
      <c r="J148" s="2923"/>
      <c r="K148" s="2923"/>
      <c r="L148" s="2923"/>
      <c r="M148" s="2923"/>
      <c r="N148" s="2923"/>
      <c r="O148" s="2923"/>
      <c r="P148" s="2923"/>
      <c r="Q148" s="2923"/>
      <c r="R148" s="2923"/>
      <c r="S148" s="2923"/>
      <c r="T148" s="2923"/>
      <c r="U148" s="2923"/>
      <c r="V148" s="2924"/>
      <c r="W148" s="2923"/>
      <c r="X148" s="2924"/>
      <c r="Y148" s="2923"/>
      <c r="Z148" s="2924"/>
      <c r="AA148" s="2923"/>
      <c r="AB148" s="2923"/>
      <c r="AC148" s="2923"/>
      <c r="AD148" s="2923"/>
      <c r="AE148" s="2923"/>
      <c r="AF148" s="2923"/>
      <c r="AG148" s="2923"/>
    </row>
    <row r="149" spans="1:33" s="2" customFormat="1" ht="14.5" x14ac:dyDescent="0.35">
      <c r="A149" s="2922"/>
      <c r="B149" s="2284" t="s">
        <v>3323</v>
      </c>
      <c r="C149" s="2912"/>
      <c r="D149" s="2912"/>
      <c r="E149" s="2912"/>
      <c r="F149" s="2912"/>
      <c r="G149" s="2916"/>
      <c r="H149" s="2923"/>
      <c r="I149" s="2923"/>
      <c r="J149" s="2923"/>
      <c r="K149" s="2923"/>
      <c r="L149" s="2923"/>
      <c r="M149" s="2923"/>
      <c r="N149" s="2923"/>
      <c r="O149" s="2923"/>
      <c r="P149" s="2923"/>
      <c r="Q149" s="2894">
        <v>-133990</v>
      </c>
      <c r="R149" s="2923"/>
      <c r="S149" s="2894">
        <v>-133990</v>
      </c>
      <c r="T149" s="2923"/>
      <c r="U149" s="2894">
        <v>-133990</v>
      </c>
      <c r="V149" s="2924"/>
      <c r="W149" s="2923"/>
      <c r="X149" s="2924"/>
      <c r="Y149" s="2923"/>
      <c r="Z149" s="2924"/>
      <c r="AA149" s="2923"/>
      <c r="AB149" s="2923"/>
      <c r="AC149" s="2923"/>
      <c r="AD149" s="2923"/>
      <c r="AE149" s="2923"/>
      <c r="AF149" s="2923"/>
      <c r="AG149" s="2923"/>
    </row>
    <row r="150" spans="1:33" s="2" customFormat="1" ht="14.5" x14ac:dyDescent="0.35">
      <c r="A150" s="2922"/>
      <c r="B150" s="2284" t="s">
        <v>3324</v>
      </c>
      <c r="C150" s="2912"/>
      <c r="D150" s="2912"/>
      <c r="E150" s="2912"/>
      <c r="F150" s="2912"/>
      <c r="G150" s="2916"/>
      <c r="H150" s="2923"/>
      <c r="I150" s="2923"/>
      <c r="J150" s="2923"/>
      <c r="K150" s="2923"/>
      <c r="L150" s="2923"/>
      <c r="M150" s="2923"/>
      <c r="N150" s="2923"/>
      <c r="O150" s="2923"/>
      <c r="P150" s="2923"/>
      <c r="Q150" s="2894">
        <v>-72626</v>
      </c>
      <c r="R150" s="2923"/>
      <c r="S150" s="2894">
        <v>-72626</v>
      </c>
      <c r="T150" s="2923"/>
      <c r="U150" s="2894">
        <v>-72626</v>
      </c>
      <c r="V150" s="2924"/>
      <c r="W150" s="2923"/>
      <c r="X150" s="2924"/>
      <c r="Y150" s="2923"/>
      <c r="Z150" s="2924"/>
      <c r="AA150" s="2923"/>
      <c r="AB150" s="2923"/>
      <c r="AC150" s="2923"/>
      <c r="AD150" s="2923"/>
      <c r="AE150" s="2923"/>
      <c r="AF150" s="2923"/>
      <c r="AG150" s="2923"/>
    </row>
    <row r="151" spans="1:33" s="2" customFormat="1" ht="14.5" x14ac:dyDescent="0.35">
      <c r="A151" s="2922"/>
      <c r="B151" s="2925"/>
      <c r="C151" s="2912"/>
      <c r="D151" s="2912"/>
      <c r="E151" s="2912"/>
      <c r="F151" s="2912"/>
      <c r="G151" s="2916"/>
      <c r="H151" s="2923"/>
      <c r="I151" s="2923"/>
      <c r="J151" s="2923"/>
      <c r="K151" s="2923"/>
      <c r="L151" s="2923"/>
      <c r="M151" s="2923"/>
      <c r="N151" s="2923"/>
      <c r="O151" s="2923"/>
      <c r="P151" s="2923"/>
      <c r="Q151" s="2894"/>
      <c r="R151" s="2923"/>
      <c r="S151" s="2894"/>
      <c r="T151" s="2923"/>
      <c r="U151" s="2894"/>
      <c r="V151" s="2924"/>
      <c r="W151" s="2924"/>
      <c r="X151" s="2924"/>
      <c r="Y151" s="2924"/>
      <c r="Z151" s="2924"/>
      <c r="AA151" s="2924"/>
      <c r="AB151" s="2923"/>
      <c r="AC151" s="2923"/>
      <c r="AD151" s="2923"/>
      <c r="AE151" s="2923"/>
      <c r="AF151" s="2923"/>
      <c r="AG151" s="2923"/>
    </row>
    <row r="152" spans="1:33" ht="14.5" x14ac:dyDescent="0.35">
      <c r="A152" s="2926">
        <v>1</v>
      </c>
      <c r="B152" s="2927" t="s">
        <v>3325</v>
      </c>
      <c r="C152" s="2709"/>
      <c r="D152" s="2709"/>
      <c r="E152" s="2709"/>
      <c r="F152" s="2709"/>
      <c r="G152" s="2863"/>
      <c r="H152" s="2923"/>
      <c r="I152" s="2923"/>
      <c r="J152" s="2923"/>
      <c r="K152" s="2923"/>
      <c r="L152" s="2923"/>
      <c r="M152" s="2923"/>
      <c r="N152" s="2923"/>
      <c r="O152" s="2923">
        <v>31410</v>
      </c>
      <c r="P152" s="2923"/>
      <c r="Q152" s="2928">
        <v>31410</v>
      </c>
      <c r="R152" s="2923"/>
      <c r="S152" s="2928">
        <v>31410</v>
      </c>
      <c r="T152" s="2923"/>
      <c r="U152" s="2928">
        <v>31410</v>
      </c>
      <c r="V152" s="2924"/>
      <c r="W152" s="2894">
        <v>-41580</v>
      </c>
      <c r="X152" s="2924"/>
      <c r="Y152" s="2894">
        <v>-41580</v>
      </c>
      <c r="Z152" s="2924"/>
      <c r="AA152" s="2894"/>
      <c r="AB152" s="2923"/>
      <c r="AC152" s="2923"/>
      <c r="AD152" s="2923"/>
      <c r="AE152" s="2923"/>
      <c r="AF152" s="2923"/>
      <c r="AG152" s="2923"/>
    </row>
    <row r="153" spans="1:33" ht="14.5" x14ac:dyDescent="0.35">
      <c r="A153" s="2269">
        <v>2</v>
      </c>
      <c r="B153" s="2927" t="s">
        <v>3326</v>
      </c>
      <c r="C153" s="2285"/>
      <c r="D153" s="2285"/>
      <c r="E153" s="2285"/>
      <c r="F153" s="2285"/>
      <c r="G153" s="2198"/>
      <c r="H153" s="2087"/>
      <c r="I153" s="2087"/>
      <c r="J153" s="2087"/>
      <c r="K153" s="2087"/>
      <c r="L153" s="2087"/>
      <c r="M153" s="2087"/>
      <c r="N153" s="2087"/>
      <c r="O153" s="2087"/>
      <c r="P153" s="2087"/>
      <c r="Q153" s="2929"/>
      <c r="R153" s="2087"/>
      <c r="S153" s="2929"/>
      <c r="T153" s="2087"/>
      <c r="U153" s="2929"/>
      <c r="V153" s="2274"/>
      <c r="W153" s="2894">
        <v>-190740</v>
      </c>
      <c r="X153" s="2274"/>
      <c r="Y153" s="2894">
        <v>-190740</v>
      </c>
      <c r="Z153" s="2274"/>
      <c r="AA153" s="2894"/>
      <c r="AB153" s="2087"/>
      <c r="AC153" s="2087"/>
      <c r="AD153" s="2087"/>
      <c r="AE153" s="2087"/>
      <c r="AF153" s="2087"/>
      <c r="AG153" s="2087"/>
    </row>
    <row r="154" spans="1:33" ht="14.5" x14ac:dyDescent="0.35">
      <c r="A154" s="2269">
        <v>3</v>
      </c>
      <c r="B154" s="2927" t="s">
        <v>3327</v>
      </c>
      <c r="C154" s="2285"/>
      <c r="D154" s="2285"/>
      <c r="E154" s="2285"/>
      <c r="F154" s="2285"/>
      <c r="G154" s="2198"/>
      <c r="H154" s="2087"/>
      <c r="I154" s="2087"/>
      <c r="J154" s="2087"/>
      <c r="K154" s="2087"/>
      <c r="L154" s="2087"/>
      <c r="M154" s="2087"/>
      <c r="N154" s="2087"/>
      <c r="O154" s="2087"/>
      <c r="P154" s="2087"/>
      <c r="Q154" s="2929"/>
      <c r="R154" s="2087"/>
      <c r="S154" s="2929"/>
      <c r="T154" s="2087"/>
      <c r="U154" s="2929"/>
      <c r="V154" s="2274"/>
      <c r="W154" s="2894">
        <v>-88200</v>
      </c>
      <c r="X154" s="2274"/>
      <c r="Y154" s="2894">
        <v>-88200</v>
      </c>
      <c r="Z154" s="2274"/>
      <c r="AA154" s="2894"/>
      <c r="AB154" s="2087"/>
      <c r="AC154" s="2087"/>
      <c r="AD154" s="2087"/>
      <c r="AE154" s="2087"/>
      <c r="AF154" s="2087"/>
      <c r="AG154" s="2087"/>
    </row>
    <row r="155" spans="1:33" ht="14.5" x14ac:dyDescent="0.35">
      <c r="A155" s="2269">
        <v>4</v>
      </c>
      <c r="B155" s="2927" t="s">
        <v>3328</v>
      </c>
      <c r="C155" s="2285"/>
      <c r="D155" s="2285"/>
      <c r="E155" s="2285"/>
      <c r="F155" s="2285"/>
      <c r="G155" s="2198"/>
      <c r="H155" s="2087"/>
      <c r="I155" s="2087"/>
      <c r="J155" s="2087"/>
      <c r="K155" s="2087"/>
      <c r="L155" s="2087"/>
      <c r="M155" s="2087"/>
      <c r="N155" s="2087"/>
      <c r="O155" s="2894"/>
      <c r="P155" s="2087"/>
      <c r="Q155" s="2930"/>
      <c r="R155" s="2087"/>
      <c r="S155" s="2930"/>
      <c r="T155" s="2087"/>
      <c r="U155" s="2930"/>
      <c r="V155" s="2274"/>
      <c r="W155" s="2894">
        <v>-130080</v>
      </c>
      <c r="X155" s="2274"/>
      <c r="Y155" s="2894">
        <v>-130080</v>
      </c>
      <c r="Z155" s="2274"/>
      <c r="AA155" s="2894"/>
      <c r="AB155" s="2087"/>
      <c r="AC155" s="2087"/>
      <c r="AD155" s="2087"/>
      <c r="AE155" s="2087"/>
      <c r="AF155" s="2087"/>
      <c r="AG155" s="2087"/>
    </row>
    <row r="156" spans="1:33" ht="14.5" x14ac:dyDescent="0.35">
      <c r="A156" s="2269">
        <v>5</v>
      </c>
      <c r="B156" s="2927" t="s">
        <v>3329</v>
      </c>
      <c r="C156" s="2285"/>
      <c r="D156" s="2285"/>
      <c r="E156" s="2285"/>
      <c r="F156" s="2285"/>
      <c r="G156" s="2198"/>
      <c r="H156" s="2087"/>
      <c r="I156" s="2087"/>
      <c r="J156" s="2087"/>
      <c r="K156" s="2087"/>
      <c r="L156" s="2087"/>
      <c r="M156" s="2087"/>
      <c r="N156" s="2087"/>
      <c r="O156" s="2894">
        <v>-7452</v>
      </c>
      <c r="P156" s="2087"/>
      <c r="Q156" s="2930">
        <v>-7452</v>
      </c>
      <c r="R156" s="2087"/>
      <c r="S156" s="2930">
        <v>-7452</v>
      </c>
      <c r="T156" s="2087"/>
      <c r="U156" s="2930">
        <v>-7452</v>
      </c>
      <c r="V156" s="2274"/>
      <c r="W156" s="2894"/>
      <c r="X156" s="2274"/>
      <c r="Y156" s="2894"/>
      <c r="Z156" s="2274"/>
      <c r="AA156" s="2894"/>
      <c r="AB156" s="2087"/>
      <c r="AC156" s="2087"/>
      <c r="AD156" s="2087"/>
      <c r="AE156" s="2087"/>
      <c r="AF156" s="2087"/>
      <c r="AG156" s="2087"/>
    </row>
    <row r="157" spans="1:33" ht="14.5" x14ac:dyDescent="0.35">
      <c r="A157" s="2269">
        <v>6</v>
      </c>
      <c r="B157" s="2927" t="s">
        <v>3330</v>
      </c>
      <c r="C157" s="2285"/>
      <c r="D157" s="2285"/>
      <c r="E157" s="2285"/>
      <c r="F157" s="2285"/>
      <c r="G157" s="2198"/>
      <c r="H157" s="2087"/>
      <c r="I157" s="2087"/>
      <c r="J157" s="2087"/>
      <c r="K157" s="2087"/>
      <c r="L157" s="2087"/>
      <c r="M157" s="2087"/>
      <c r="N157" s="2087"/>
      <c r="O157" s="2894">
        <v>-225106</v>
      </c>
      <c r="P157" s="2087"/>
      <c r="Q157" s="2930">
        <v>-225106</v>
      </c>
      <c r="R157" s="2087"/>
      <c r="S157" s="2930">
        <v>-225106</v>
      </c>
      <c r="T157" s="2087"/>
      <c r="U157" s="2930">
        <v>-225106</v>
      </c>
      <c r="V157" s="2274"/>
      <c r="W157" s="2894"/>
      <c r="X157" s="2274"/>
      <c r="Y157" s="2894"/>
      <c r="Z157" s="2274"/>
      <c r="AA157" s="2894"/>
      <c r="AB157" s="2087"/>
      <c r="AC157" s="2087"/>
      <c r="AD157" s="2087"/>
      <c r="AE157" s="2087"/>
      <c r="AF157" s="2087"/>
      <c r="AG157" s="2087"/>
    </row>
    <row r="158" spans="1:33" ht="14.5" x14ac:dyDescent="0.35">
      <c r="A158" s="2269">
        <v>7</v>
      </c>
      <c r="B158" s="2927" t="s">
        <v>3331</v>
      </c>
      <c r="C158" s="2285"/>
      <c r="D158" s="2285"/>
      <c r="E158" s="2285"/>
      <c r="F158" s="2285"/>
      <c r="G158" s="2198"/>
      <c r="H158" s="2087"/>
      <c r="I158" s="2087"/>
      <c r="J158" s="2087"/>
      <c r="K158" s="2087"/>
      <c r="L158" s="2087"/>
      <c r="M158" s="2087"/>
      <c r="N158" s="2087"/>
      <c r="O158" s="2894">
        <v>-174991</v>
      </c>
      <c r="P158" s="2087"/>
      <c r="Q158" s="2930">
        <v>-174991</v>
      </c>
      <c r="R158" s="2087"/>
      <c r="S158" s="2930">
        <v>-174991</v>
      </c>
      <c r="T158" s="2087"/>
      <c r="U158" s="2930">
        <v>-174991</v>
      </c>
      <c r="V158" s="2274"/>
      <c r="W158" s="2894"/>
      <c r="X158" s="2274"/>
      <c r="Y158" s="2894"/>
      <c r="Z158" s="2274"/>
      <c r="AA158" s="2894"/>
      <c r="AB158" s="2087"/>
      <c r="AC158" s="2087"/>
      <c r="AD158" s="2087"/>
      <c r="AE158" s="2087"/>
      <c r="AF158" s="2087"/>
      <c r="AG158" s="2087"/>
    </row>
    <row r="159" spans="1:33" ht="14.5" x14ac:dyDescent="0.35">
      <c r="A159" s="2926">
        <v>8</v>
      </c>
      <c r="B159" s="2927" t="s">
        <v>3332</v>
      </c>
      <c r="C159" s="2285"/>
      <c r="D159" s="2285"/>
      <c r="E159" s="2285"/>
      <c r="F159" s="2285"/>
      <c r="G159" s="2198"/>
      <c r="H159" s="2087"/>
      <c r="I159" s="2087"/>
      <c r="J159" s="2087"/>
      <c r="K159" s="2087"/>
      <c r="L159" s="2087"/>
      <c r="M159" s="2087"/>
      <c r="N159" s="2087"/>
      <c r="O159" s="2894">
        <v>-19707</v>
      </c>
      <c r="P159" s="2087"/>
      <c r="Q159" s="2930">
        <v>-19707</v>
      </c>
      <c r="R159" s="2087"/>
      <c r="S159" s="2930">
        <v>-19707</v>
      </c>
      <c r="T159" s="2087"/>
      <c r="U159" s="2930">
        <v>-19707</v>
      </c>
      <c r="V159" s="2274"/>
      <c r="W159" s="2894"/>
      <c r="X159" s="2274"/>
      <c r="Y159" s="2894"/>
      <c r="Z159" s="2274"/>
      <c r="AA159" s="2894"/>
      <c r="AB159" s="2087"/>
      <c r="AC159" s="2087"/>
      <c r="AD159" s="2087"/>
      <c r="AE159" s="2087"/>
      <c r="AF159" s="2087"/>
      <c r="AG159" s="2087"/>
    </row>
    <row r="160" spans="1:33" ht="14.5" x14ac:dyDescent="0.35">
      <c r="A160" s="2269">
        <v>9</v>
      </c>
      <c r="B160" s="2927" t="s">
        <v>3333</v>
      </c>
      <c r="C160" s="2285"/>
      <c r="D160" s="2285"/>
      <c r="E160" s="2285"/>
      <c r="F160" s="2285"/>
      <c r="G160" s="2198"/>
      <c r="H160" s="2087"/>
      <c r="I160" s="2087"/>
      <c r="J160" s="2087"/>
      <c r="K160" s="2087"/>
      <c r="L160" s="2087"/>
      <c r="M160" s="2087"/>
      <c r="N160" s="2087"/>
      <c r="O160" s="2894">
        <v>-11858</v>
      </c>
      <c r="P160" s="2087"/>
      <c r="Q160" s="2930">
        <v>-11858</v>
      </c>
      <c r="R160" s="2087"/>
      <c r="S160" s="2930">
        <v>-11858</v>
      </c>
      <c r="T160" s="2087"/>
      <c r="U160" s="2930">
        <v>-11858</v>
      </c>
      <c r="V160" s="2274"/>
      <c r="W160" s="2894"/>
      <c r="X160" s="2274"/>
      <c r="Y160" s="2894"/>
      <c r="Z160" s="2274"/>
      <c r="AA160" s="2894"/>
      <c r="AB160" s="2087"/>
      <c r="AC160" s="2087"/>
      <c r="AD160" s="2087"/>
      <c r="AE160" s="2087"/>
      <c r="AF160" s="2087"/>
      <c r="AG160" s="2087"/>
    </row>
    <row r="161" spans="1:33" ht="29" x14ac:dyDescent="0.35">
      <c r="A161" s="2269">
        <v>10</v>
      </c>
      <c r="B161" s="2927" t="s">
        <v>3334</v>
      </c>
      <c r="C161" s="2285"/>
      <c r="D161" s="2285"/>
      <c r="E161" s="2285"/>
      <c r="F161" s="2285"/>
      <c r="G161" s="2198"/>
      <c r="H161" s="2087"/>
      <c r="I161" s="2087"/>
      <c r="J161" s="2087"/>
      <c r="K161" s="2087"/>
      <c r="L161" s="2087"/>
      <c r="M161" s="2087"/>
      <c r="N161" s="2087"/>
      <c r="O161" s="2894">
        <v>-22499</v>
      </c>
      <c r="P161" s="2087"/>
      <c r="Q161" s="2930">
        <v>-22499</v>
      </c>
      <c r="R161" s="2087"/>
      <c r="S161" s="2930">
        <v>-22499</v>
      </c>
      <c r="T161" s="2087"/>
      <c r="U161" s="2930">
        <v>-22499</v>
      </c>
      <c r="V161" s="2274"/>
      <c r="W161" s="2894"/>
      <c r="X161" s="2274"/>
      <c r="Y161" s="2894"/>
      <c r="Z161" s="2274"/>
      <c r="AA161" s="2894"/>
      <c r="AB161" s="2087"/>
      <c r="AC161" s="2087"/>
      <c r="AD161" s="2087"/>
      <c r="AE161" s="2087"/>
      <c r="AF161" s="2087"/>
      <c r="AG161" s="2087"/>
    </row>
    <row r="162" spans="1:33" ht="29" x14ac:dyDescent="0.35">
      <c r="A162" s="2269">
        <v>11</v>
      </c>
      <c r="B162" s="2927" t="s">
        <v>3335</v>
      </c>
      <c r="C162" s="2285"/>
      <c r="D162" s="2285"/>
      <c r="E162" s="2285"/>
      <c r="F162" s="2285"/>
      <c r="G162" s="2198"/>
      <c r="H162" s="2087"/>
      <c r="I162" s="2087"/>
      <c r="J162" s="2087"/>
      <c r="K162" s="2087"/>
      <c r="L162" s="2087"/>
      <c r="M162" s="2087"/>
      <c r="N162" s="2087"/>
      <c r="O162" s="2894">
        <v>-25170</v>
      </c>
      <c r="P162" s="2087"/>
      <c r="Q162" s="2930">
        <v>-25170</v>
      </c>
      <c r="R162" s="2087"/>
      <c r="S162" s="2930">
        <v>-25170</v>
      </c>
      <c r="T162" s="2087"/>
      <c r="U162" s="2930">
        <v>-25170</v>
      </c>
      <c r="V162" s="2274"/>
      <c r="W162" s="2894"/>
      <c r="X162" s="2274"/>
      <c r="Y162" s="2894"/>
      <c r="Z162" s="2274"/>
      <c r="AA162" s="2894"/>
      <c r="AB162" s="2087"/>
      <c r="AC162" s="2087"/>
      <c r="AD162" s="2087"/>
      <c r="AE162" s="2087"/>
      <c r="AF162" s="2087"/>
      <c r="AG162" s="2087"/>
    </row>
    <row r="163" spans="1:33" ht="29" x14ac:dyDescent="0.35">
      <c r="A163" s="2269">
        <v>12</v>
      </c>
      <c r="B163" s="2927" t="s">
        <v>3336</v>
      </c>
      <c r="C163" s="2285"/>
      <c r="D163" s="2285"/>
      <c r="E163" s="2285"/>
      <c r="F163" s="2285"/>
      <c r="G163" s="2198"/>
      <c r="H163" s="2087"/>
      <c r="I163" s="2087"/>
      <c r="J163" s="2087"/>
      <c r="K163" s="2087"/>
      <c r="L163" s="2087"/>
      <c r="M163" s="2087"/>
      <c r="N163" s="2087"/>
      <c r="O163" s="2894">
        <v>-94344</v>
      </c>
      <c r="P163" s="2087"/>
      <c r="Q163" s="2930">
        <v>-94344</v>
      </c>
      <c r="R163" s="2087"/>
      <c r="S163" s="2930">
        <v>-94344</v>
      </c>
      <c r="T163" s="2087"/>
      <c r="U163" s="2930">
        <v>-94344</v>
      </c>
      <c r="V163" s="2274"/>
      <c r="W163" s="2894"/>
      <c r="X163" s="2274"/>
      <c r="Y163" s="2894"/>
      <c r="Z163" s="2274"/>
      <c r="AA163" s="2894"/>
      <c r="AB163" s="2087"/>
      <c r="AC163" s="2087"/>
      <c r="AD163" s="2087"/>
      <c r="AE163" s="2087"/>
      <c r="AF163" s="2087"/>
      <c r="AG163" s="2087"/>
    </row>
    <row r="164" spans="1:33" ht="14.5" x14ac:dyDescent="0.35">
      <c r="A164" s="2269">
        <v>13</v>
      </c>
      <c r="B164" s="2927" t="s">
        <v>3337</v>
      </c>
      <c r="C164" s="2285"/>
      <c r="D164" s="2285"/>
      <c r="E164" s="2285"/>
      <c r="F164" s="2285"/>
      <c r="G164" s="2198"/>
      <c r="H164" s="2087"/>
      <c r="I164" s="2087"/>
      <c r="J164" s="2087"/>
      <c r="K164" s="2087"/>
      <c r="L164" s="2087"/>
      <c r="M164" s="2087"/>
      <c r="N164" s="2087"/>
      <c r="O164" s="2894">
        <v>-35359</v>
      </c>
      <c r="P164" s="2087"/>
      <c r="Q164" s="2930">
        <v>-35359</v>
      </c>
      <c r="R164" s="2087"/>
      <c r="S164" s="2930">
        <v>-35359</v>
      </c>
      <c r="T164" s="2087"/>
      <c r="U164" s="2930">
        <v>-35359</v>
      </c>
      <c r="V164" s="2274"/>
      <c r="W164" s="2894"/>
      <c r="X164" s="2274"/>
      <c r="Y164" s="2894"/>
      <c r="Z164" s="2274"/>
      <c r="AA164" s="2894"/>
      <c r="AB164" s="2087"/>
      <c r="AC164" s="2087"/>
      <c r="AD164" s="2087"/>
      <c r="AE164" s="2087"/>
      <c r="AF164" s="2087"/>
      <c r="AG164" s="2087"/>
    </row>
    <row r="165" spans="1:33" ht="14.5" x14ac:dyDescent="0.35">
      <c r="A165" s="2269"/>
      <c r="B165" s="2927" t="s">
        <v>3338</v>
      </c>
      <c r="C165" s="2285"/>
      <c r="D165" s="2285"/>
      <c r="E165" s="2285"/>
      <c r="F165" s="2285"/>
      <c r="G165" s="2198"/>
      <c r="H165" s="2087"/>
      <c r="I165" s="2087"/>
      <c r="J165" s="2087"/>
      <c r="K165" s="2087"/>
      <c r="L165" s="2087"/>
      <c r="M165" s="2087"/>
      <c r="N165" s="2087"/>
      <c r="O165" s="2894">
        <v>16830</v>
      </c>
      <c r="P165" s="2087"/>
      <c r="Q165" s="2930">
        <v>16830</v>
      </c>
      <c r="R165" s="2087"/>
      <c r="S165" s="2930">
        <v>16830</v>
      </c>
      <c r="T165" s="2087"/>
      <c r="U165" s="2930">
        <v>16830</v>
      </c>
      <c r="V165" s="2274"/>
      <c r="W165" s="2894"/>
      <c r="X165" s="2274"/>
      <c r="Y165" s="2894"/>
      <c r="Z165" s="2274"/>
      <c r="AA165" s="2894"/>
      <c r="AB165" s="2087"/>
      <c r="AC165" s="2087"/>
      <c r="AD165" s="2087"/>
      <c r="AE165" s="2087"/>
      <c r="AF165" s="2087"/>
      <c r="AG165" s="2087"/>
    </row>
    <row r="166" spans="1:33" thickBot="1" x14ac:dyDescent="0.4">
      <c r="A166" s="2269"/>
      <c r="B166" s="2931"/>
      <c r="C166" s="2285"/>
      <c r="D166" s="2285"/>
      <c r="E166" s="2285"/>
      <c r="F166" s="2285"/>
      <c r="G166" s="2198"/>
      <c r="H166" s="2087"/>
      <c r="I166" s="2087"/>
      <c r="J166" s="2087"/>
      <c r="K166" s="2087"/>
      <c r="L166" s="2087"/>
      <c r="M166" s="2087"/>
      <c r="N166" s="2087"/>
      <c r="O166" s="2894"/>
      <c r="P166" s="2087"/>
      <c r="Q166" s="2894"/>
      <c r="R166" s="2087"/>
      <c r="S166" s="2894"/>
      <c r="T166" s="2087"/>
      <c r="U166" s="2894"/>
      <c r="V166" s="2274"/>
      <c r="W166" s="2894"/>
      <c r="X166" s="2274"/>
      <c r="Y166" s="2894"/>
      <c r="Z166" s="2274"/>
      <c r="AA166" s="2894"/>
      <c r="AB166" s="2087"/>
      <c r="AC166" s="2087"/>
      <c r="AD166" s="2087"/>
      <c r="AE166" s="2087"/>
      <c r="AF166" s="2087"/>
      <c r="AG166" s="2087"/>
    </row>
    <row r="167" spans="1:33" ht="14.5" hidden="1" x14ac:dyDescent="0.35">
      <c r="A167" s="2269"/>
      <c r="B167" s="2931"/>
      <c r="C167" s="2285"/>
      <c r="D167" s="2285"/>
      <c r="E167" s="2285"/>
      <c r="F167" s="2285"/>
      <c r="G167" s="2198"/>
      <c r="H167" s="2087"/>
      <c r="I167" s="2087"/>
      <c r="J167" s="2087"/>
      <c r="K167" s="2087"/>
      <c r="L167" s="2087"/>
      <c r="M167" s="2087"/>
      <c r="N167" s="2087"/>
      <c r="O167" s="2087"/>
      <c r="P167" s="2087"/>
      <c r="Q167" s="2087"/>
      <c r="R167" s="2087"/>
      <c r="S167" s="2087"/>
      <c r="T167" s="2087"/>
      <c r="U167" s="2087"/>
      <c r="V167" s="2274"/>
      <c r="W167" s="2894"/>
      <c r="X167" s="2274"/>
      <c r="Y167" s="2894"/>
      <c r="Z167" s="2274"/>
      <c r="AA167" s="2894"/>
      <c r="AB167" s="2087"/>
      <c r="AC167" s="2087"/>
      <c r="AD167" s="2087"/>
      <c r="AE167" s="2087"/>
      <c r="AF167" s="2087"/>
      <c r="AG167" s="2087"/>
    </row>
    <row r="168" spans="1:33" ht="14.5" hidden="1" x14ac:dyDescent="0.35">
      <c r="A168" s="2269"/>
      <c r="B168" s="2931"/>
      <c r="C168" s="2285"/>
      <c r="D168" s="2285"/>
      <c r="E168" s="2285"/>
      <c r="F168" s="2285"/>
      <c r="G168" s="2198"/>
      <c r="H168" s="2087"/>
      <c r="I168" s="2087"/>
      <c r="J168" s="2087"/>
      <c r="K168" s="2087"/>
      <c r="L168" s="2087"/>
      <c r="M168" s="2087"/>
      <c r="N168" s="2087"/>
      <c r="O168" s="2087"/>
      <c r="P168" s="2087"/>
      <c r="Q168" s="2087"/>
      <c r="R168" s="2087"/>
      <c r="S168" s="2087"/>
      <c r="T168" s="2087"/>
      <c r="U168" s="2087"/>
      <c r="V168" s="2274"/>
      <c r="W168" s="2894"/>
      <c r="X168" s="2274"/>
      <c r="Y168" s="2894"/>
      <c r="Z168" s="2274"/>
      <c r="AA168" s="2894"/>
      <c r="AB168" s="2087"/>
      <c r="AC168" s="2087"/>
      <c r="AD168" s="2087"/>
      <c r="AE168" s="2087"/>
      <c r="AF168" s="2087"/>
      <c r="AG168" s="2087"/>
    </row>
    <row r="169" spans="1:33" ht="14.5" hidden="1" x14ac:dyDescent="0.35">
      <c r="A169" s="2269"/>
      <c r="B169" s="2931"/>
      <c r="C169" s="2285"/>
      <c r="D169" s="2285"/>
      <c r="E169" s="2285"/>
      <c r="F169" s="2285"/>
      <c r="G169" s="2198"/>
      <c r="H169" s="2087"/>
      <c r="I169" s="2087"/>
      <c r="J169" s="2087"/>
      <c r="K169" s="2087"/>
      <c r="L169" s="2087"/>
      <c r="M169" s="2087"/>
      <c r="N169" s="2087"/>
      <c r="O169" s="2087"/>
      <c r="P169" s="2087"/>
      <c r="Q169" s="2087"/>
      <c r="R169" s="2087"/>
      <c r="S169" s="2087"/>
      <c r="T169" s="2087"/>
      <c r="U169" s="2087"/>
      <c r="V169" s="2274"/>
      <c r="W169" s="2894"/>
      <c r="X169" s="2274"/>
      <c r="Y169" s="2894"/>
      <c r="Z169" s="2274"/>
      <c r="AA169" s="2894"/>
      <c r="AB169" s="2087"/>
      <c r="AC169" s="2087"/>
      <c r="AD169" s="2087"/>
      <c r="AE169" s="2087"/>
      <c r="AF169" s="2087"/>
      <c r="AG169" s="2087"/>
    </row>
    <row r="170" spans="1:33" ht="14.5" hidden="1" x14ac:dyDescent="0.35">
      <c r="A170" s="2269"/>
      <c r="B170" s="2931"/>
      <c r="C170" s="2285"/>
      <c r="D170" s="2285"/>
      <c r="E170" s="2285"/>
      <c r="F170" s="2285"/>
      <c r="G170" s="2198"/>
      <c r="H170" s="2087"/>
      <c r="I170" s="2087"/>
      <c r="J170" s="2087"/>
      <c r="K170" s="2087"/>
      <c r="L170" s="2087"/>
      <c r="M170" s="2087"/>
      <c r="N170" s="2087"/>
      <c r="O170" s="2087"/>
      <c r="P170" s="2087"/>
      <c r="Q170" s="2087"/>
      <c r="R170" s="2087"/>
      <c r="S170" s="2087"/>
      <c r="T170" s="2087"/>
      <c r="U170" s="2087"/>
      <c r="V170" s="2274"/>
      <c r="W170" s="2894"/>
      <c r="X170" s="2274"/>
      <c r="Y170" s="2894"/>
      <c r="Z170" s="2274"/>
      <c r="AA170" s="2894"/>
      <c r="AB170" s="2087"/>
      <c r="AC170" s="2087"/>
      <c r="AD170" s="2087"/>
      <c r="AE170" s="2087"/>
      <c r="AF170" s="2087"/>
      <c r="AG170" s="2087"/>
    </row>
    <row r="171" spans="1:33" ht="14.5" hidden="1" x14ac:dyDescent="0.35">
      <c r="A171" s="2269"/>
      <c r="B171" s="2270"/>
      <c r="C171" s="2285"/>
      <c r="D171" s="2285"/>
      <c r="E171" s="2285"/>
      <c r="F171" s="2285"/>
      <c r="G171" s="2198"/>
      <c r="H171" s="2087"/>
      <c r="I171" s="2087"/>
      <c r="J171" s="2087"/>
      <c r="K171" s="2087"/>
      <c r="L171" s="2087"/>
      <c r="M171" s="2087"/>
      <c r="N171" s="2087"/>
      <c r="O171" s="2087"/>
      <c r="P171" s="2087"/>
      <c r="Q171" s="2087"/>
      <c r="R171" s="2087"/>
      <c r="S171" s="2087"/>
      <c r="T171" s="2087"/>
      <c r="U171" s="2087"/>
      <c r="V171" s="2274"/>
      <c r="W171" s="2894"/>
      <c r="X171" s="2274"/>
      <c r="Y171" s="2894"/>
      <c r="Z171" s="2274"/>
      <c r="AA171" s="2894"/>
      <c r="AB171" s="2087"/>
      <c r="AC171" s="2087"/>
      <c r="AD171" s="2087"/>
      <c r="AE171" s="2087"/>
      <c r="AF171" s="2087"/>
      <c r="AG171" s="2087"/>
    </row>
    <row r="172" spans="1:33" ht="15.5" thickTop="1" thickBot="1" x14ac:dyDescent="0.4">
      <c r="A172" s="3764" t="s">
        <v>725</v>
      </c>
      <c r="B172" s="3765"/>
      <c r="C172" s="12"/>
      <c r="D172" s="12"/>
      <c r="E172" s="12"/>
      <c r="F172" s="12"/>
      <c r="G172" s="13"/>
      <c r="H172" s="21"/>
      <c r="I172" s="21"/>
      <c r="J172" s="21"/>
      <c r="K172" s="21"/>
      <c r="L172" s="21"/>
      <c r="M172" s="21"/>
      <c r="N172" s="21"/>
      <c r="O172" s="21"/>
      <c r="P172" s="21"/>
      <c r="Q172" s="21"/>
      <c r="R172" s="21"/>
      <c r="S172" s="21"/>
      <c r="T172" s="21"/>
      <c r="U172" s="21"/>
      <c r="V172" s="42"/>
      <c r="W172" s="21"/>
      <c r="X172" s="42"/>
      <c r="Y172" s="21"/>
      <c r="Z172" s="42"/>
      <c r="AA172" s="21"/>
      <c r="AB172" s="21"/>
      <c r="AC172" s="21"/>
      <c r="AD172" s="21"/>
      <c r="AE172" s="21"/>
      <c r="AF172" s="21"/>
      <c r="AG172" s="21"/>
    </row>
    <row r="173" spans="1:33" thickTop="1" x14ac:dyDescent="0.35">
      <c r="A173" s="2286"/>
      <c r="B173" s="2284" t="s">
        <v>726</v>
      </c>
      <c r="C173" s="2285"/>
      <c r="D173" s="2285"/>
      <c r="E173" s="2285"/>
      <c r="F173" s="2285"/>
      <c r="G173" s="2198"/>
      <c r="H173" s="2087"/>
      <c r="I173" s="2087"/>
      <c r="J173" s="2087"/>
      <c r="K173" s="2087"/>
      <c r="L173" s="2087"/>
      <c r="M173" s="2087"/>
      <c r="N173" s="2087"/>
      <c r="O173" s="2087"/>
      <c r="P173" s="2087"/>
      <c r="Q173" s="2087"/>
      <c r="R173" s="2087"/>
      <c r="S173" s="2087"/>
      <c r="T173" s="2087"/>
      <c r="U173" s="2087"/>
      <c r="V173" s="2274"/>
      <c r="W173" s="2087"/>
      <c r="X173" s="2274"/>
      <c r="Y173" s="2087"/>
      <c r="Z173" s="2274"/>
      <c r="AA173" s="2087"/>
      <c r="AB173" s="2087"/>
      <c r="AC173" s="2087"/>
      <c r="AD173" s="2087"/>
      <c r="AE173" s="2087"/>
      <c r="AF173" s="2087"/>
      <c r="AG173" s="2087"/>
    </row>
    <row r="174" spans="1:33" ht="14.5" x14ac:dyDescent="0.35">
      <c r="A174" s="2286"/>
      <c r="B174" s="2284" t="s">
        <v>727</v>
      </c>
      <c r="C174" s="2285"/>
      <c r="D174" s="2285"/>
      <c r="E174" s="2285"/>
      <c r="F174" s="2285"/>
      <c r="G174" s="2198"/>
      <c r="H174" s="2087"/>
      <c r="I174" s="2087"/>
      <c r="J174" s="2087"/>
      <c r="K174" s="2087"/>
      <c r="L174" s="2087"/>
      <c r="M174" s="2087"/>
      <c r="N174" s="2087"/>
      <c r="O174" s="2087"/>
      <c r="P174" s="2087"/>
      <c r="Q174" s="2087"/>
      <c r="R174" s="2087"/>
      <c r="S174" s="2087"/>
      <c r="T174" s="2087"/>
      <c r="U174" s="2087"/>
      <c r="V174" s="2274"/>
      <c r="W174" s="2087"/>
      <c r="X174" s="2274"/>
      <c r="Y174" s="2087"/>
      <c r="Z174" s="2274"/>
      <c r="AA174" s="2087"/>
      <c r="AB174" s="2087"/>
      <c r="AC174" s="2087"/>
      <c r="AD174" s="2087"/>
      <c r="AE174" s="2087"/>
      <c r="AF174" s="2087"/>
      <c r="AG174" s="2087"/>
    </row>
    <row r="175" spans="1:33" ht="14.5" x14ac:dyDescent="0.35">
      <c r="A175" s="2286"/>
      <c r="B175" s="2284" t="s">
        <v>728</v>
      </c>
      <c r="C175" s="2285"/>
      <c r="D175" s="2285"/>
      <c r="E175" s="2285"/>
      <c r="F175" s="2285"/>
      <c r="G175" s="2198"/>
      <c r="H175" s="2087"/>
      <c r="I175" s="2087"/>
      <c r="J175" s="2087"/>
      <c r="K175" s="2087"/>
      <c r="L175" s="2087"/>
      <c r="M175" s="2087"/>
      <c r="N175" s="2087"/>
      <c r="O175" s="2087"/>
      <c r="P175" s="2087"/>
      <c r="Q175" s="2087"/>
      <c r="R175" s="2087"/>
      <c r="S175" s="2087"/>
      <c r="T175" s="2087"/>
      <c r="U175" s="2087"/>
      <c r="V175" s="2274"/>
      <c r="W175" s="2087"/>
      <c r="X175" s="2274"/>
      <c r="Y175" s="2087"/>
      <c r="Z175" s="2274"/>
      <c r="AA175" s="2087"/>
      <c r="AB175" s="2087"/>
      <c r="AC175" s="2087"/>
      <c r="AD175" s="2087"/>
      <c r="AE175" s="2087"/>
      <c r="AF175" s="2087"/>
      <c r="AG175" s="2087"/>
    </row>
    <row r="176" spans="1:33" ht="14.5" x14ac:dyDescent="0.35">
      <c r="A176" s="2286"/>
      <c r="B176" s="2284" t="s">
        <v>729</v>
      </c>
      <c r="C176" s="2285"/>
      <c r="D176" s="2285"/>
      <c r="E176" s="2285"/>
      <c r="F176" s="2285"/>
      <c r="G176" s="2198"/>
      <c r="H176" s="2087"/>
      <c r="I176" s="2087"/>
      <c r="J176" s="2087"/>
      <c r="K176" s="2087"/>
      <c r="L176" s="2087"/>
      <c r="M176" s="2087"/>
      <c r="N176" s="2087"/>
      <c r="O176" s="2087"/>
      <c r="P176" s="2087"/>
      <c r="Q176" s="2087"/>
      <c r="R176" s="2087"/>
      <c r="S176" s="2087"/>
      <c r="T176" s="2087"/>
      <c r="U176" s="2087"/>
      <c r="V176" s="2274"/>
      <c r="W176" s="2087"/>
      <c r="X176" s="2274"/>
      <c r="Y176" s="2087"/>
      <c r="Z176" s="2274"/>
      <c r="AA176" s="2087"/>
      <c r="AB176" s="2087"/>
      <c r="AC176" s="2087"/>
      <c r="AD176" s="2087"/>
      <c r="AE176" s="2087"/>
      <c r="AF176" s="2087"/>
      <c r="AG176" s="2087"/>
    </row>
    <row r="177" spans="1:33" ht="14.5" x14ac:dyDescent="0.35">
      <c r="A177" s="978"/>
      <c r="B177" s="939"/>
      <c r="C177" s="940"/>
      <c r="D177" s="940"/>
      <c r="E177" s="940"/>
      <c r="F177" s="940"/>
      <c r="G177" s="1039"/>
      <c r="H177" s="981"/>
      <c r="I177" s="981"/>
      <c r="J177" s="981"/>
      <c r="K177" s="981"/>
      <c r="L177" s="981"/>
      <c r="M177" s="981"/>
      <c r="N177" s="981"/>
      <c r="O177" s="981"/>
      <c r="P177" s="981"/>
      <c r="Q177" s="981"/>
      <c r="R177" s="981"/>
      <c r="S177" s="981"/>
      <c r="T177" s="981"/>
      <c r="U177" s="981"/>
      <c r="V177" s="980"/>
      <c r="W177" s="981"/>
      <c r="X177" s="980"/>
      <c r="Y177" s="981"/>
      <c r="Z177" s="980"/>
      <c r="AA177" s="981"/>
      <c r="AB177" s="981"/>
      <c r="AC177" s="981"/>
      <c r="AD177" s="981"/>
      <c r="AE177" s="981"/>
      <c r="AF177" s="981"/>
      <c r="AG177" s="981"/>
    </row>
    <row r="178" spans="1:33" ht="14.5" x14ac:dyDescent="0.35">
      <c r="A178" s="7" t="s">
        <v>730</v>
      </c>
      <c r="B178" s="8"/>
      <c r="C178" s="12"/>
      <c r="D178" s="12"/>
      <c r="E178" s="12"/>
      <c r="F178" s="12"/>
      <c r="G178" s="13"/>
      <c r="H178" s="21"/>
      <c r="I178" s="21"/>
      <c r="J178" s="21"/>
      <c r="K178" s="21"/>
      <c r="L178" s="21"/>
      <c r="M178" s="21"/>
      <c r="N178" s="21"/>
      <c r="O178" s="21"/>
      <c r="P178" s="21"/>
      <c r="Q178" s="21"/>
      <c r="R178" s="21"/>
      <c r="S178" s="21"/>
      <c r="T178" s="21"/>
      <c r="U178" s="21"/>
      <c r="V178" s="42"/>
      <c r="W178" s="21"/>
      <c r="X178" s="42"/>
      <c r="Y178" s="21"/>
      <c r="Z178" s="42"/>
      <c r="AA178" s="21"/>
      <c r="AB178" s="21"/>
      <c r="AC178" s="21"/>
      <c r="AD178" s="21"/>
      <c r="AE178" s="21"/>
      <c r="AF178" s="21"/>
      <c r="AG178" s="21"/>
    </row>
    <row r="179" spans="1:33" ht="14.5" x14ac:dyDescent="0.35">
      <c r="A179" s="2922"/>
      <c r="B179" s="2714" t="s">
        <v>731</v>
      </c>
      <c r="C179" s="2709"/>
      <c r="D179" s="2709"/>
      <c r="E179" s="2709"/>
      <c r="F179" s="2709"/>
      <c r="G179" s="2863"/>
      <c r="H179" s="2707"/>
      <c r="I179" s="2707"/>
      <c r="J179" s="2707"/>
      <c r="K179" s="2707"/>
      <c r="L179" s="2707"/>
      <c r="M179" s="2707"/>
      <c r="N179" s="2707"/>
      <c r="O179" s="2707"/>
      <c r="P179" s="2707"/>
      <c r="Q179" s="2707"/>
      <c r="R179" s="2707"/>
      <c r="S179" s="2707"/>
      <c r="T179" s="2707"/>
      <c r="U179" s="2707"/>
      <c r="V179" s="2866"/>
      <c r="W179" s="2707"/>
      <c r="X179" s="2866"/>
      <c r="Y179" s="2707"/>
      <c r="Z179" s="2866"/>
      <c r="AA179" s="2707"/>
      <c r="AB179" s="2707"/>
      <c r="AC179" s="2707"/>
      <c r="AD179" s="2707"/>
      <c r="AE179" s="2707"/>
      <c r="AF179" s="2707"/>
      <c r="AG179" s="2707"/>
    </row>
    <row r="180" spans="1:33" ht="14.5" x14ac:dyDescent="0.35">
      <c r="A180" s="2286"/>
      <c r="B180" s="2284" t="s">
        <v>732</v>
      </c>
      <c r="C180" s="2285"/>
      <c r="D180" s="2285"/>
      <c r="E180" s="2285"/>
      <c r="F180" s="2285"/>
      <c r="G180" s="2198"/>
      <c r="H180" s="2158"/>
      <c r="I180" s="2158"/>
      <c r="J180" s="2158"/>
      <c r="K180" s="2158"/>
      <c r="L180" s="2158"/>
      <c r="M180" s="2158"/>
      <c r="N180" s="2158"/>
      <c r="O180" s="2158"/>
      <c r="P180" s="2158"/>
      <c r="Q180" s="2158"/>
      <c r="R180" s="2158"/>
      <c r="S180" s="2158"/>
      <c r="T180" s="2158"/>
      <c r="U180" s="2158"/>
      <c r="V180" s="2276"/>
      <c r="W180" s="2158"/>
      <c r="X180" s="2276"/>
      <c r="Y180" s="2158"/>
      <c r="Z180" s="2276"/>
      <c r="AA180" s="2158"/>
      <c r="AB180" s="2158"/>
      <c r="AC180" s="2158"/>
      <c r="AD180" s="2158"/>
      <c r="AE180" s="2158"/>
      <c r="AF180" s="2158"/>
      <c r="AG180" s="2158"/>
    </row>
    <row r="181" spans="1:33" ht="14.5" x14ac:dyDescent="0.35">
      <c r="A181" s="2089"/>
      <c r="B181" s="2090" t="s">
        <v>733</v>
      </c>
      <c r="C181" s="2091"/>
      <c r="D181" s="2091"/>
      <c r="E181" s="2091"/>
      <c r="F181" s="2091"/>
      <c r="G181" s="2092"/>
      <c r="H181" s="2093"/>
      <c r="I181" s="2093"/>
      <c r="J181" s="2093"/>
      <c r="K181" s="2093"/>
      <c r="L181" s="2093"/>
      <c r="M181" s="2093"/>
      <c r="N181" s="2093"/>
      <c r="O181" s="2093"/>
      <c r="P181" s="2093"/>
      <c r="Q181" s="2093"/>
      <c r="R181" s="2093"/>
      <c r="S181" s="2093"/>
      <c r="T181" s="2093"/>
      <c r="U181" s="2093"/>
      <c r="V181" s="2277"/>
      <c r="W181" s="2093"/>
      <c r="X181" s="2277"/>
      <c r="Y181" s="2093"/>
      <c r="Z181" s="2277"/>
      <c r="AA181" s="2093"/>
      <c r="AB181" s="2093"/>
      <c r="AC181" s="2093"/>
      <c r="AD181" s="2093"/>
      <c r="AE181" s="2093"/>
      <c r="AF181" s="2093"/>
      <c r="AG181" s="2093"/>
    </row>
    <row r="182" spans="1:33" ht="14.5" x14ac:dyDescent="0.35"/>
    <row r="183" spans="1:33" ht="14.5" x14ac:dyDescent="0.35">
      <c r="A183" s="78" t="s">
        <v>734</v>
      </c>
      <c r="B183" s="80"/>
      <c r="C183" s="2" t="s">
        <v>20</v>
      </c>
      <c r="D183" s="2" t="s">
        <v>429</v>
      </c>
    </row>
    <row r="184" spans="1:33" ht="14.5" x14ac:dyDescent="0.35">
      <c r="A184" s="79" t="s">
        <v>632</v>
      </c>
      <c r="B184" s="2094" t="str">
        <f>P4</f>
        <v>Alpadex</v>
      </c>
    </row>
    <row r="185" spans="1:33" ht="14.5" x14ac:dyDescent="0.35">
      <c r="A185" s="2279" t="s">
        <v>636</v>
      </c>
      <c r="B185" s="2094" t="str">
        <f>P5</f>
        <v>Luis Crespo</v>
      </c>
    </row>
    <row r="186" spans="1:33" ht="14.5" x14ac:dyDescent="0.35">
      <c r="A186" s="2096" t="s">
        <v>639</v>
      </c>
      <c r="B186" s="2097" t="str">
        <f>P6</f>
        <v>(561) 889-0400</v>
      </c>
    </row>
    <row r="187" spans="1:33" ht="14.5" x14ac:dyDescent="0.35">
      <c r="A187" s="2096" t="s">
        <v>642</v>
      </c>
      <c r="B187" s="2159" t="str">
        <f>P7</f>
        <v>estimating@alpadex.com</v>
      </c>
    </row>
    <row r="188" spans="1:33" ht="14.5" x14ac:dyDescent="0.35">
      <c r="A188" s="2099" t="s">
        <v>735</v>
      </c>
      <c r="B188" s="2100">
        <f>P8-C188-D188</f>
        <v>5479201</v>
      </c>
      <c r="C188" s="344">
        <f>Q104+Q111+Q112+Q113</f>
        <v>265906</v>
      </c>
      <c r="D188" s="344">
        <f>Q108</f>
        <v>14903</v>
      </c>
    </row>
    <row r="189" spans="1:33" ht="14.5" x14ac:dyDescent="0.35"/>
    <row r="190" spans="1:33" ht="14.5" x14ac:dyDescent="0.35">
      <c r="A190" s="81"/>
      <c r="B190" s="1" t="s">
        <v>736</v>
      </c>
    </row>
    <row r="191" spans="1:33" ht="14.5" x14ac:dyDescent="0.35">
      <c r="A191" s="82"/>
      <c r="B191" s="1" t="s">
        <v>737</v>
      </c>
    </row>
  </sheetData>
  <mergeCells count="96">
    <mergeCell ref="V7:W7"/>
    <mergeCell ref="V8:W8"/>
    <mergeCell ref="V2:W2"/>
    <mergeCell ref="V3:W3"/>
    <mergeCell ref="V4:W4"/>
    <mergeCell ref="V5:W5"/>
    <mergeCell ref="V6:W6"/>
    <mergeCell ref="J2:K2"/>
    <mergeCell ref="J3:K3"/>
    <mergeCell ref="J4:K4"/>
    <mergeCell ref="J5:K5"/>
    <mergeCell ref="A145:B145"/>
    <mergeCell ref="H2:I2"/>
    <mergeCell ref="H3:I3"/>
    <mergeCell ref="H4:I4"/>
    <mergeCell ref="H5:I5"/>
    <mergeCell ref="H7:I7"/>
    <mergeCell ref="H8:I8"/>
    <mergeCell ref="A172:B172"/>
    <mergeCell ref="J6:K6"/>
    <mergeCell ref="J7:K7"/>
    <mergeCell ref="J8:K8"/>
    <mergeCell ref="AD8:AE8"/>
    <mergeCell ref="A126:B126"/>
    <mergeCell ref="A130:B130"/>
    <mergeCell ref="A134:B134"/>
    <mergeCell ref="X8:Y8"/>
    <mergeCell ref="X6:Y6"/>
    <mergeCell ref="X7:Y7"/>
    <mergeCell ref="N7:O7"/>
    <mergeCell ref="N8:O8"/>
    <mergeCell ref="L7:M7"/>
    <mergeCell ref="L8:M8"/>
    <mergeCell ref="H6:I6"/>
    <mergeCell ref="AD5:AE5"/>
    <mergeCell ref="Z4:AA4"/>
    <mergeCell ref="AB4:AC4"/>
    <mergeCell ref="AD4:AE4"/>
    <mergeCell ref="AF8:AG8"/>
    <mergeCell ref="Z8:AA8"/>
    <mergeCell ref="AF7:AG7"/>
    <mergeCell ref="Z6:AA6"/>
    <mergeCell ref="AB6:AC6"/>
    <mergeCell ref="AD6:AE6"/>
    <mergeCell ref="AF6:AG6"/>
    <mergeCell ref="Z7:AA7"/>
    <mergeCell ref="AB7:AC7"/>
    <mergeCell ref="AD7:AE7"/>
    <mergeCell ref="AB8:AC8"/>
    <mergeCell ref="X4:Y4"/>
    <mergeCell ref="X5:Y5"/>
    <mergeCell ref="AF2:AG2"/>
    <mergeCell ref="Z3:AA3"/>
    <mergeCell ref="AB3:AC3"/>
    <mergeCell ref="AD3:AE3"/>
    <mergeCell ref="AF3:AG3"/>
    <mergeCell ref="Z2:AA2"/>
    <mergeCell ref="AB2:AC2"/>
    <mergeCell ref="AD2:AE2"/>
    <mergeCell ref="X2:Y2"/>
    <mergeCell ref="X3:Y3"/>
    <mergeCell ref="AF4:AG4"/>
    <mergeCell ref="AF5:AG5"/>
    <mergeCell ref="Z5:AA5"/>
    <mergeCell ref="AB5:AC5"/>
    <mergeCell ref="N2:O2"/>
    <mergeCell ref="N3:O3"/>
    <mergeCell ref="N4:O4"/>
    <mergeCell ref="N5:O5"/>
    <mergeCell ref="N6:O6"/>
    <mergeCell ref="L2:M2"/>
    <mergeCell ref="L3:M3"/>
    <mergeCell ref="L4:M4"/>
    <mergeCell ref="L5:M5"/>
    <mergeCell ref="L6:M6"/>
    <mergeCell ref="P7:Q7"/>
    <mergeCell ref="P8:Q8"/>
    <mergeCell ref="P2:Q2"/>
    <mergeCell ref="P3:Q3"/>
    <mergeCell ref="P4:Q4"/>
    <mergeCell ref="P5:Q5"/>
    <mergeCell ref="P6:Q6"/>
    <mergeCell ref="R7:S7"/>
    <mergeCell ref="R8:S8"/>
    <mergeCell ref="R2:S2"/>
    <mergeCell ref="R3:S3"/>
    <mergeCell ref="R4:S4"/>
    <mergeCell ref="R5:S5"/>
    <mergeCell ref="R6:S6"/>
    <mergeCell ref="T7:U7"/>
    <mergeCell ref="T8:U8"/>
    <mergeCell ref="T2:U2"/>
    <mergeCell ref="T3:U3"/>
    <mergeCell ref="T4:U4"/>
    <mergeCell ref="T5:U5"/>
    <mergeCell ref="T6:U6"/>
  </mergeCells>
  <conditionalFormatting sqref="H28:H37">
    <cfRule type="cellIs" dxfId="455" priority="11" operator="equal">
      <formula>"X"</formula>
    </cfRule>
    <cfRule type="cellIs" dxfId="454" priority="12" operator="equal">
      <formula>"I"</formula>
    </cfRule>
  </conditionalFormatting>
  <conditionalFormatting sqref="H39:H116">
    <cfRule type="cellIs" dxfId="453" priority="13" operator="equal">
      <formula>"X"</formula>
    </cfRule>
    <cfRule type="cellIs" dxfId="452" priority="14" operator="equal">
      <formula>"I"</formula>
    </cfRule>
  </conditionalFormatting>
  <conditionalFormatting sqref="J28:J37">
    <cfRule type="cellIs" dxfId="451" priority="21" operator="equal">
      <formula>"X"</formula>
    </cfRule>
    <cfRule type="cellIs" dxfId="450" priority="22" operator="equal">
      <formula>"I"</formula>
    </cfRule>
  </conditionalFormatting>
  <conditionalFormatting sqref="L28:L37">
    <cfRule type="cellIs" dxfId="449" priority="15" operator="equal">
      <formula>"X"</formula>
    </cfRule>
    <cfRule type="cellIs" dxfId="448" priority="16" operator="equal">
      <formula>"I"</formula>
    </cfRule>
  </conditionalFormatting>
  <conditionalFormatting sqref="L39:L116">
    <cfRule type="cellIs" dxfId="447" priority="17" operator="equal">
      <formula>"X"</formula>
    </cfRule>
    <cfRule type="cellIs" dxfId="446" priority="18" operator="equal">
      <formula>"I"</formula>
    </cfRule>
  </conditionalFormatting>
  <conditionalFormatting sqref="N28:N37 N39:N116">
    <cfRule type="cellIs" dxfId="445" priority="23" operator="equal">
      <formula>"X"</formula>
    </cfRule>
    <cfRule type="cellIs" dxfId="444" priority="24" operator="equal">
      <formula>"I"</formula>
    </cfRule>
  </conditionalFormatting>
  <conditionalFormatting sqref="P28:P37 P39:P116">
    <cfRule type="cellIs" dxfId="443" priority="9" operator="equal">
      <formula>"X"</formula>
    </cfRule>
    <cfRule type="cellIs" dxfId="442" priority="10" operator="equal">
      <formula>"I"</formula>
    </cfRule>
  </conditionalFormatting>
  <conditionalFormatting sqref="R28:R37 R39:R116">
    <cfRule type="cellIs" dxfId="441" priority="3" operator="equal">
      <formula>"X"</formula>
    </cfRule>
    <cfRule type="cellIs" dxfId="440" priority="4" operator="equal">
      <formula>"I"</formula>
    </cfRule>
  </conditionalFormatting>
  <conditionalFormatting sqref="T28:T37 T39:T116">
    <cfRule type="cellIs" dxfId="439" priority="1" operator="equal">
      <formula>"X"</formula>
    </cfRule>
    <cfRule type="cellIs" dxfId="438" priority="2" operator="equal">
      <formula>"I"</formula>
    </cfRule>
  </conditionalFormatting>
  <conditionalFormatting sqref="V28:V37">
    <cfRule type="cellIs" dxfId="437" priority="5" operator="equal">
      <formula>"X"</formula>
    </cfRule>
    <cfRule type="cellIs" dxfId="436" priority="6" operator="equal">
      <formula>"I"</formula>
    </cfRule>
  </conditionalFormatting>
  <conditionalFormatting sqref="V39:V116">
    <cfRule type="cellIs" dxfId="435" priority="7" operator="equal">
      <formula>"X"</formula>
    </cfRule>
    <cfRule type="cellIs" dxfId="434" priority="8" operator="equal">
      <formula>"I"</formula>
    </cfRule>
  </conditionalFormatting>
  <conditionalFormatting sqref="X28:X37">
    <cfRule type="cellIs" dxfId="433" priority="19" operator="equal">
      <formula>"X"</formula>
    </cfRule>
    <cfRule type="cellIs" dxfId="432" priority="20" operator="equal">
      <formula>"I"</formula>
    </cfRule>
  </conditionalFormatting>
  <conditionalFormatting sqref="Z28:Z37">
    <cfRule type="cellIs" dxfId="431" priority="29" operator="equal">
      <formula>"X"</formula>
    </cfRule>
    <cfRule type="cellIs" dxfId="430" priority="30" operator="equal">
      <formula>"I"</formula>
    </cfRule>
  </conditionalFormatting>
  <conditionalFormatting sqref="AB28:AB37">
    <cfRule type="cellIs" dxfId="429" priority="31" operator="equal">
      <formula>"X"</formula>
    </cfRule>
    <cfRule type="cellIs" dxfId="428" priority="32" operator="equal">
      <formula>"I"</formula>
    </cfRule>
  </conditionalFormatting>
  <conditionalFormatting sqref="AD28:AD37">
    <cfRule type="cellIs" dxfId="427" priority="33" operator="equal">
      <formula>"X"</formula>
    </cfRule>
    <cfRule type="cellIs" dxfId="426" priority="34" operator="equal">
      <formula>"I"</formula>
    </cfRule>
  </conditionalFormatting>
  <conditionalFormatting sqref="AD39 AF39:AF58 J39:J116 X39:X116 Z39:Z116 AB39:AB116 AD40:AE58 AD59:AF116">
    <cfRule type="cellIs" dxfId="425" priority="25" operator="equal">
      <formula>"X"</formula>
    </cfRule>
    <cfRule type="cellIs" dxfId="424" priority="26" operator="equal">
      <formula>"I"</formula>
    </cfRule>
  </conditionalFormatting>
  <conditionalFormatting sqref="AF28:AF37">
    <cfRule type="cellIs" dxfId="423" priority="35" operator="equal">
      <formula>"X"</formula>
    </cfRule>
    <cfRule type="cellIs" dxfId="422" priority="36" operator="equal">
      <formula>"I"</formula>
    </cfRule>
  </conditionalFormatting>
  <hyperlinks>
    <hyperlink ref="B3" location="'Cost Summary'!A1" display="BACK TO SUMMARY SHEET" xr:uid="{29C96B6A-6DF8-456C-859F-76E5CCF39974}"/>
    <hyperlink ref="J7" r:id="rId1" xr:uid="{EB9E2519-DD70-4995-BFD1-CB9F6B4D66E1}"/>
    <hyperlink ref="X7" r:id="rId2" xr:uid="{4025AB1F-F1A8-4821-A89B-0E49C518BF5F}"/>
    <hyperlink ref="N7" r:id="rId3" xr:uid="{7D91263F-BE4B-42C4-875D-E3EA4A2278D5}"/>
    <hyperlink ref="L7" r:id="rId4" xr:uid="{C2DB77F9-0FA9-4232-9885-21F7D1D04505}"/>
    <hyperlink ref="H7" r:id="rId5" xr:uid="{24660D03-09EF-4210-BD10-D1EED465D13E}"/>
    <hyperlink ref="AF7" r:id="rId6" xr:uid="{0EAC5BA2-AD35-42CB-9F27-2C155CE1AA52}"/>
    <hyperlink ref="Z7:AA7" r:id="rId7" display="cjanssen@medicairsystems.com" xr:uid="{A0C5621B-8235-4262-8752-1D8BCCD4D954}"/>
    <hyperlink ref="P7" r:id="rId8" xr:uid="{2800C423-865B-42D3-AED3-94F885B391F4}"/>
    <hyperlink ref="V7" r:id="rId9" xr:uid="{D7580D93-05A9-4F16-B8A5-2904EE150B44}"/>
    <hyperlink ref="AB7" r:id="rId10" xr:uid="{AE5481C7-5FE4-4E93-B381-5F223D7D272A}"/>
    <hyperlink ref="R7" r:id="rId11" xr:uid="{F1E1B0AC-BC3C-4B58-8BFB-1254A0A14BBF}"/>
    <hyperlink ref="T7" r:id="rId12" xr:uid="{FA016449-7A53-4CD7-BDC7-E6B1B48BF522}"/>
  </hyperlinks>
  <pageMargins left="0.7" right="0.7" top="0.75" bottom="0.75" header="0.3" footer="0.3"/>
  <pageSetup orientation="portrait" r:id="rId1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04C-5E10-4F64-9C8D-35B2752A3E7D}">
  <sheetPr>
    <tabColor rgb="FF92D050"/>
    <pageSetUpPr fitToPage="1"/>
  </sheetPr>
  <dimension ref="A1:BD124"/>
  <sheetViews>
    <sheetView zoomScale="96" zoomScaleNormal="96" workbookViewId="0">
      <pane xSplit="5" ySplit="19" topLeftCell="J70" activePane="bottomRight" state="frozen"/>
      <selection pane="topRight"/>
      <selection pane="bottomLeft" activeCell="A10" sqref="A10"/>
      <selection pane="bottomRight" activeCell="AG8" sqref="AG8:AH8"/>
    </sheetView>
  </sheetViews>
  <sheetFormatPr defaultColWidth="9.1796875" defaultRowHeight="14.5" x14ac:dyDescent="0.35"/>
  <cols>
    <col min="1" max="1" width="13.1796875" customWidth="1"/>
    <col min="2" max="2" width="77.453125" style="1" bestFit="1" customWidth="1"/>
    <col min="3" max="3" width="15" style="2" bestFit="1" customWidth="1"/>
    <col min="4" max="4" width="8.7265625" style="2" bestFit="1" customWidth="1"/>
    <col min="5" max="5" width="7.54296875" style="2" customWidth="1"/>
    <col min="6" max="6" width="16.54296875" style="2" bestFit="1" customWidth="1"/>
    <col min="7" max="7" width="13.26953125" style="2" bestFit="1" customWidth="1"/>
    <col min="8" max="8" width="7.453125" style="2" hidden="1" customWidth="1"/>
    <col min="9" max="9" width="14.81640625" style="2" hidden="1" customWidth="1"/>
    <col min="10" max="10" width="7.453125" style="2" customWidth="1"/>
    <col min="11" max="11" width="13.453125" style="2" bestFit="1" customWidth="1"/>
    <col min="12" max="12" width="7.453125" style="2" customWidth="1"/>
    <col min="13" max="13" width="14.81640625" style="2" customWidth="1"/>
    <col min="14" max="14" width="7.453125" style="2" customWidth="1"/>
    <col min="15" max="15" width="14.81640625" style="2" customWidth="1"/>
    <col min="16" max="16" width="7.453125" style="2" customWidth="1"/>
    <col min="17" max="17" width="14.81640625" style="2" customWidth="1"/>
    <col min="18" max="18" width="7.453125" style="2" customWidth="1"/>
    <col min="19" max="19" width="14.81640625" style="2" customWidth="1"/>
    <col min="20" max="20" width="7.453125" style="2" hidden="1" customWidth="1"/>
    <col min="21" max="21" width="14.81640625" style="2" hidden="1" customWidth="1"/>
    <col min="22" max="22" width="6" style="2" hidden="1" customWidth="1"/>
    <col min="23" max="23" width="12.26953125" style="2" hidden="1" customWidth="1"/>
    <col min="24" max="24" width="6" style="2" customWidth="1"/>
    <col min="25" max="25" width="12.26953125" style="2" customWidth="1"/>
    <col min="26" max="26" width="7.453125" style="2" customWidth="1"/>
    <col min="27" max="27" width="14.81640625" style="2" customWidth="1"/>
    <col min="28" max="28" width="7.453125" style="2" customWidth="1"/>
    <col min="29" max="29" width="14.7265625" style="2" customWidth="1"/>
    <col min="30" max="30" width="14.81640625" style="2" hidden="1" customWidth="1"/>
    <col min="31" max="31" width="7.453125" style="2" customWidth="1"/>
    <col min="32" max="32" width="14.81640625" style="2" customWidth="1"/>
    <col min="33" max="33" width="7.453125" style="2" customWidth="1"/>
    <col min="34" max="34" width="14.81640625" style="2" customWidth="1"/>
    <col min="35" max="35" width="7.453125" style="2" customWidth="1"/>
    <col min="36" max="36" width="14.81640625" style="2" customWidth="1"/>
    <col min="37" max="37" width="7.453125" style="2" customWidth="1"/>
    <col min="38" max="38" width="14.81640625" style="2" customWidth="1"/>
    <col min="39" max="39" width="7.453125" style="2" customWidth="1"/>
    <col min="40" max="40" width="14.81640625" style="2" customWidth="1"/>
    <col min="41" max="41" width="7.453125" style="2" customWidth="1"/>
    <col min="42" max="42" width="14.81640625" style="2" customWidth="1"/>
    <col min="43" max="43" width="7.453125" style="2" customWidth="1"/>
    <col min="44" max="44" width="14.81640625" style="2" customWidth="1"/>
    <col min="45" max="45" width="7.453125" style="130" customWidth="1"/>
    <col min="46" max="46" width="15.7265625" style="2" customWidth="1"/>
    <col min="47" max="47" width="7.453125" style="2" customWidth="1"/>
    <col min="48" max="48" width="14.81640625" style="2" customWidth="1"/>
    <col min="49" max="49" width="7.453125" style="2" hidden="1" customWidth="1"/>
    <col min="50" max="50" width="14.81640625" style="2" hidden="1" customWidth="1"/>
    <col min="51" max="51" width="7.453125" style="2" hidden="1" customWidth="1"/>
    <col min="52" max="52" width="14.81640625" style="2" hidden="1" customWidth="1"/>
    <col min="53" max="54" width="9.1796875" hidden="1" customWidth="1"/>
    <col min="55" max="55" width="11" hidden="1" customWidth="1"/>
    <col min="56" max="56" width="0" hidden="1" customWidth="1"/>
  </cols>
  <sheetData>
    <row r="1" spans="1:56" x14ac:dyDescent="0.35">
      <c r="E1" s="152"/>
      <c r="F1" s="125"/>
      <c r="G1" s="123" t="s">
        <v>621</v>
      </c>
      <c r="O1" s="2" t="s">
        <v>770</v>
      </c>
      <c r="S1" s="2" t="s">
        <v>770</v>
      </c>
      <c r="Y1" s="2" t="s">
        <v>770</v>
      </c>
    </row>
    <row r="2" spans="1:56" ht="15.75" customHeight="1" x14ac:dyDescent="0.35">
      <c r="E2" s="152"/>
      <c r="F2" s="122" t="s">
        <v>622</v>
      </c>
      <c r="G2" s="123" t="s">
        <v>451</v>
      </c>
      <c r="H2" s="3866" t="s">
        <v>3339</v>
      </c>
      <c r="I2" s="3866"/>
      <c r="J2" s="3866">
        <v>5166524272</v>
      </c>
      <c r="K2" s="3866"/>
      <c r="L2" s="3866">
        <v>5166524272</v>
      </c>
      <c r="M2" s="3866"/>
      <c r="N2" s="3866" t="s">
        <v>3340</v>
      </c>
      <c r="O2" s="3866"/>
      <c r="P2" s="3866"/>
      <c r="Q2" s="3866"/>
      <c r="R2" s="3866"/>
      <c r="S2" s="3866"/>
      <c r="T2" s="3866"/>
      <c r="U2" s="3866"/>
      <c r="V2" s="3866"/>
      <c r="W2" s="3866"/>
      <c r="X2" s="3866"/>
      <c r="Y2" s="3866"/>
      <c r="Z2" s="3751"/>
      <c r="AA2" s="3751"/>
      <c r="AB2" s="3751"/>
      <c r="AC2" s="3751"/>
      <c r="AD2" s="391"/>
      <c r="AE2" s="3866"/>
      <c r="AF2" s="3866"/>
      <c r="AG2" s="3751"/>
      <c r="AH2" s="3751"/>
      <c r="AI2" s="3751"/>
      <c r="AJ2" s="3751"/>
      <c r="AK2" s="3751"/>
      <c r="AL2" s="3751"/>
      <c r="AM2" s="3751">
        <v>5613868215</v>
      </c>
      <c r="AN2" s="3751"/>
      <c r="AO2" s="3751"/>
      <c r="AP2" s="3751"/>
      <c r="AQ2" s="3751"/>
      <c r="AR2" s="3751"/>
      <c r="AS2" s="3866"/>
      <c r="AT2" s="3866"/>
      <c r="AU2" s="3751"/>
      <c r="AV2" s="3751"/>
      <c r="AW2" s="3751"/>
      <c r="AX2" s="3751"/>
      <c r="AY2" s="3751"/>
      <c r="AZ2" s="3751"/>
    </row>
    <row r="3" spans="1:56" ht="19.5" x14ac:dyDescent="0.35">
      <c r="B3" s="137" t="s">
        <v>623</v>
      </c>
      <c r="E3" s="152"/>
      <c r="F3" s="124" t="s">
        <v>624</v>
      </c>
      <c r="G3" s="123" t="s">
        <v>557</v>
      </c>
      <c r="H3" s="3754" t="s">
        <v>625</v>
      </c>
      <c r="I3" s="3755"/>
      <c r="J3" s="3754" t="s">
        <v>625</v>
      </c>
      <c r="K3" s="3755"/>
      <c r="L3" s="3772" t="s">
        <v>625</v>
      </c>
      <c r="M3" s="3773"/>
      <c r="N3" s="3754" t="s">
        <v>626</v>
      </c>
      <c r="O3" s="3755"/>
      <c r="P3" s="3754" t="s">
        <v>626</v>
      </c>
      <c r="Q3" s="3755"/>
      <c r="R3" s="3754" t="s">
        <v>626</v>
      </c>
      <c r="S3" s="3755"/>
      <c r="T3" s="3754" t="s">
        <v>627</v>
      </c>
      <c r="U3" s="3755"/>
      <c r="V3" s="3754" t="s">
        <v>627</v>
      </c>
      <c r="W3" s="3755"/>
      <c r="X3" s="3754" t="s">
        <v>627</v>
      </c>
      <c r="Y3" s="3755"/>
      <c r="Z3" s="3754" t="s">
        <v>628</v>
      </c>
      <c r="AA3" s="3755"/>
      <c r="AB3" s="3754" t="s">
        <v>628</v>
      </c>
      <c r="AC3" s="3755"/>
      <c r="AD3" s="711"/>
      <c r="AE3" s="3754" t="s">
        <v>627</v>
      </c>
      <c r="AF3" s="3755"/>
      <c r="AG3" s="3754" t="s">
        <v>628</v>
      </c>
      <c r="AH3" s="3755"/>
      <c r="AI3" s="3754" t="s">
        <v>772</v>
      </c>
      <c r="AJ3" s="3755"/>
      <c r="AK3" s="3754" t="s">
        <v>772</v>
      </c>
      <c r="AL3" s="3755"/>
      <c r="AM3" s="3754" t="s">
        <v>773</v>
      </c>
      <c r="AN3" s="3755"/>
      <c r="AO3" s="3754" t="s">
        <v>1550</v>
      </c>
      <c r="AP3" s="3755"/>
      <c r="AQ3" s="3891" t="s">
        <v>628</v>
      </c>
      <c r="AR3" s="3892"/>
      <c r="AS3" s="3754" t="s">
        <v>772</v>
      </c>
      <c r="AT3" s="3755"/>
      <c r="AU3" s="3754" t="s">
        <v>773</v>
      </c>
      <c r="AV3" s="3755"/>
      <c r="AW3" s="3754" t="s">
        <v>3341</v>
      </c>
      <c r="AX3" s="3755"/>
      <c r="AY3" s="3754" t="s">
        <v>626</v>
      </c>
      <c r="AZ3" s="3755"/>
    </row>
    <row r="4" spans="1:56" ht="15.75" customHeight="1" x14ac:dyDescent="0.35">
      <c r="A4" s="3" t="s">
        <v>631</v>
      </c>
      <c r="B4" s="4" t="str">
        <f>'AREA CALC''s'!B4</f>
        <v>Alton Hilltop Gardens</v>
      </c>
      <c r="C4" s="5"/>
      <c r="D4" s="5"/>
      <c r="E4" s="5"/>
      <c r="F4" s="5"/>
      <c r="G4" s="6" t="s">
        <v>632</v>
      </c>
      <c r="H4" s="3752" t="s">
        <v>3342</v>
      </c>
      <c r="I4" s="3753"/>
      <c r="J4" s="3752" t="s">
        <v>3343</v>
      </c>
      <c r="K4" s="3753"/>
      <c r="L4" s="3752" t="s">
        <v>3344</v>
      </c>
      <c r="M4" s="3753"/>
      <c r="N4" s="3752" t="s">
        <v>3345</v>
      </c>
      <c r="O4" s="3753"/>
      <c r="P4" s="3752" t="s">
        <v>3346</v>
      </c>
      <c r="Q4" s="3753"/>
      <c r="R4" s="3752" t="s">
        <v>3346</v>
      </c>
      <c r="S4" s="3753"/>
      <c r="T4" s="3752" t="s">
        <v>3347</v>
      </c>
      <c r="U4" s="3753"/>
      <c r="V4" s="3752" t="s">
        <v>3348</v>
      </c>
      <c r="W4" s="3753"/>
      <c r="X4" s="3752" t="s">
        <v>3348</v>
      </c>
      <c r="Y4" s="3753"/>
      <c r="Z4" s="3752" t="s">
        <v>3349</v>
      </c>
      <c r="AA4" s="3753"/>
      <c r="AB4" s="3752" t="s">
        <v>3350</v>
      </c>
      <c r="AC4" s="3753"/>
      <c r="AD4" s="710"/>
      <c r="AE4" s="3752" t="s">
        <v>3351</v>
      </c>
      <c r="AF4" s="3753"/>
      <c r="AG4" s="3752" t="s">
        <v>3349</v>
      </c>
      <c r="AH4" s="3753"/>
      <c r="AI4" s="3752" t="s">
        <v>3352</v>
      </c>
      <c r="AJ4" s="3753"/>
      <c r="AK4" s="3752" t="s">
        <v>3353</v>
      </c>
      <c r="AL4" s="3753"/>
      <c r="AM4" s="3752" t="s">
        <v>3226</v>
      </c>
      <c r="AN4" s="3753"/>
      <c r="AO4" s="3752" t="s">
        <v>3354</v>
      </c>
      <c r="AP4" s="3753"/>
      <c r="AQ4" s="3752" t="s">
        <v>3355</v>
      </c>
      <c r="AR4" s="3753"/>
      <c r="AS4" s="3752"/>
      <c r="AT4" s="3753"/>
      <c r="AU4" s="3796"/>
      <c r="AV4" s="3753"/>
      <c r="AW4" s="3796" t="s">
        <v>3356</v>
      </c>
      <c r="AX4" s="3753"/>
      <c r="AY4" s="3796" t="s">
        <v>3357</v>
      </c>
      <c r="AZ4" s="3753"/>
      <c r="BA4" s="3796" t="s">
        <v>3358</v>
      </c>
      <c r="BB4" s="3753"/>
      <c r="BC4" s="3752" t="s">
        <v>3359</v>
      </c>
      <c r="BD4" s="3753"/>
    </row>
    <row r="5" spans="1:56" x14ac:dyDescent="0.35">
      <c r="A5" s="2283" t="s">
        <v>634</v>
      </c>
      <c r="B5" s="2284" t="s">
        <v>547</v>
      </c>
      <c r="C5" s="2285"/>
      <c r="D5" s="2285"/>
      <c r="E5" s="2285"/>
      <c r="F5" s="2285"/>
      <c r="G5" s="2194" t="s">
        <v>636</v>
      </c>
      <c r="H5" s="3931" t="s">
        <v>3360</v>
      </c>
      <c r="I5" s="3932"/>
      <c r="J5" s="3931" t="s">
        <v>3361</v>
      </c>
      <c r="K5" s="3932"/>
      <c r="L5" s="3931" t="s">
        <v>3361</v>
      </c>
      <c r="M5" s="3932"/>
      <c r="N5" s="3931" t="s">
        <v>3360</v>
      </c>
      <c r="O5" s="3932"/>
      <c r="P5" s="3931" t="s">
        <v>3362</v>
      </c>
      <c r="Q5" s="3932"/>
      <c r="R5" s="3931" t="s">
        <v>3362</v>
      </c>
      <c r="S5" s="3932"/>
      <c r="T5" s="3931" t="s">
        <v>3363</v>
      </c>
      <c r="U5" s="3932"/>
      <c r="V5" s="3931" t="s">
        <v>3363</v>
      </c>
      <c r="W5" s="3932"/>
      <c r="X5" s="4075" t="s">
        <v>3363</v>
      </c>
      <c r="Y5" s="4076"/>
      <c r="Z5" s="3931" t="s">
        <v>3364</v>
      </c>
      <c r="AA5" s="3932"/>
      <c r="AB5" s="3931" t="s">
        <v>3364</v>
      </c>
      <c r="AC5" s="3932"/>
      <c r="AD5" s="4067"/>
      <c r="AE5" s="3931" t="s">
        <v>3365</v>
      </c>
      <c r="AF5" s="3932"/>
      <c r="AG5" s="3931" t="s">
        <v>3364</v>
      </c>
      <c r="AH5" s="3932"/>
      <c r="AI5" s="3931" t="s">
        <v>3366</v>
      </c>
      <c r="AJ5" s="3932"/>
      <c r="AK5" s="3931" t="s">
        <v>3366</v>
      </c>
      <c r="AL5" s="3932"/>
      <c r="AM5" s="3931" t="s">
        <v>3367</v>
      </c>
      <c r="AN5" s="3932"/>
      <c r="AO5" s="3931" t="s">
        <v>3368</v>
      </c>
      <c r="AP5" s="3932"/>
      <c r="AQ5" s="3931" t="s">
        <v>3369</v>
      </c>
      <c r="AR5" s="3932"/>
      <c r="AS5" s="3931"/>
      <c r="AT5" s="3932"/>
      <c r="AU5" s="3933"/>
      <c r="AV5" s="3932"/>
      <c r="AW5" s="3933" t="s">
        <v>3370</v>
      </c>
      <c r="AX5" s="3932"/>
      <c r="AY5" s="3933" t="s">
        <v>3371</v>
      </c>
      <c r="AZ5" s="3932"/>
      <c r="BA5" s="3933" t="s">
        <v>3372</v>
      </c>
      <c r="BB5" s="3932"/>
      <c r="BC5" s="3931" t="s">
        <v>3373</v>
      </c>
      <c r="BD5" s="3932"/>
    </row>
    <row r="6" spans="1:56" x14ac:dyDescent="0.35">
      <c r="A6" s="2283" t="s">
        <v>638</v>
      </c>
      <c r="B6" s="2195" t="s">
        <v>546</v>
      </c>
      <c r="C6" s="2285"/>
      <c r="D6" s="2285"/>
      <c r="E6" s="2285"/>
      <c r="F6" s="2285"/>
      <c r="G6" s="2194" t="s">
        <v>639</v>
      </c>
      <c r="H6" s="3937" t="s">
        <v>3374</v>
      </c>
      <c r="I6" s="3938"/>
      <c r="J6" s="3937">
        <v>4079017477</v>
      </c>
      <c r="K6" s="3938"/>
      <c r="L6" s="3937">
        <v>4079017477</v>
      </c>
      <c r="M6" s="3938"/>
      <c r="N6" s="3937" t="s">
        <v>3374</v>
      </c>
      <c r="O6" s="3938"/>
      <c r="P6" s="3937">
        <v>3059718864</v>
      </c>
      <c r="Q6" s="3938"/>
      <c r="R6" s="3937">
        <v>3059718864</v>
      </c>
      <c r="S6" s="3938"/>
      <c r="T6" s="3937">
        <v>6789517243</v>
      </c>
      <c r="U6" s="3938"/>
      <c r="V6" s="3937">
        <v>6789517243</v>
      </c>
      <c r="W6" s="3938"/>
      <c r="X6" s="4077">
        <v>6789517243</v>
      </c>
      <c r="Y6" s="4078"/>
      <c r="Z6" s="3937">
        <v>9544168627</v>
      </c>
      <c r="AA6" s="3938"/>
      <c r="AB6" s="3937">
        <v>9544168627</v>
      </c>
      <c r="AC6" s="3938"/>
      <c r="AD6" s="4068"/>
      <c r="AE6" s="3937"/>
      <c r="AF6" s="3938"/>
      <c r="AG6" s="3937">
        <v>9544168627</v>
      </c>
      <c r="AH6" s="3938"/>
      <c r="AI6" s="3937">
        <v>4707382431</v>
      </c>
      <c r="AJ6" s="3938"/>
      <c r="AK6" s="3937">
        <v>4707382431</v>
      </c>
      <c r="AL6" s="3938"/>
      <c r="AM6" s="3937">
        <v>5616297749</v>
      </c>
      <c r="AN6" s="3938"/>
      <c r="AO6" s="3937">
        <v>736200868</v>
      </c>
      <c r="AP6" s="3938"/>
      <c r="AQ6" s="3937">
        <v>8139551067</v>
      </c>
      <c r="AR6" s="3938"/>
      <c r="AS6" s="3937"/>
      <c r="AT6" s="3938"/>
      <c r="AU6" s="3939"/>
      <c r="AV6" s="3938"/>
      <c r="AW6" s="3939">
        <v>9549681288</v>
      </c>
      <c r="AX6" s="3938"/>
      <c r="AY6" s="3939">
        <v>9549677200</v>
      </c>
      <c r="AZ6" s="3938"/>
      <c r="BA6" s="3939">
        <v>3867602346</v>
      </c>
      <c r="BB6" s="3938"/>
      <c r="BC6" s="3937">
        <v>3058253004</v>
      </c>
      <c r="BD6" s="3938"/>
    </row>
    <row r="7" spans="1:56" x14ac:dyDescent="0.35">
      <c r="A7" s="2283" t="s">
        <v>641</v>
      </c>
      <c r="B7" s="2196"/>
      <c r="C7" s="2285"/>
      <c r="D7" s="2285"/>
      <c r="E7" s="2285"/>
      <c r="F7" s="2285"/>
      <c r="G7" s="2194" t="s">
        <v>642</v>
      </c>
      <c r="H7" s="3934" t="s">
        <v>3375</v>
      </c>
      <c r="I7" s="3935"/>
      <c r="J7" s="3934" t="s">
        <v>3376</v>
      </c>
      <c r="K7" s="3935"/>
      <c r="L7" s="3934" t="s">
        <v>3376</v>
      </c>
      <c r="M7" s="3935"/>
      <c r="N7" s="3934" t="s">
        <v>3375</v>
      </c>
      <c r="O7" s="3935"/>
      <c r="P7" s="3934" t="s">
        <v>3377</v>
      </c>
      <c r="Q7" s="3935"/>
      <c r="R7" s="3934" t="s">
        <v>3377</v>
      </c>
      <c r="S7" s="3935"/>
      <c r="T7" s="3934" t="s">
        <v>3378</v>
      </c>
      <c r="U7" s="3935"/>
      <c r="V7" s="3934" t="s">
        <v>3378</v>
      </c>
      <c r="W7" s="3935"/>
      <c r="X7" s="4079" t="s">
        <v>3378</v>
      </c>
      <c r="Y7" s="4080"/>
      <c r="Z7" s="3934" t="s">
        <v>3379</v>
      </c>
      <c r="AA7" s="3935"/>
      <c r="AB7" s="3934" t="s">
        <v>3379</v>
      </c>
      <c r="AC7" s="3935"/>
      <c r="AD7" s="4069"/>
      <c r="AE7" s="3934" t="s">
        <v>3380</v>
      </c>
      <c r="AF7" s="3935"/>
      <c r="AG7" s="3934" t="s">
        <v>3379</v>
      </c>
      <c r="AH7" s="3935"/>
      <c r="AI7" s="3934" t="s">
        <v>3381</v>
      </c>
      <c r="AJ7" s="3935"/>
      <c r="AK7" s="3934" t="s">
        <v>3381</v>
      </c>
      <c r="AL7" s="3935"/>
      <c r="AM7" s="3934" t="s">
        <v>3382</v>
      </c>
      <c r="AN7" s="3935"/>
      <c r="AO7" s="3990" t="s">
        <v>3383</v>
      </c>
      <c r="AP7" s="3935"/>
      <c r="AQ7" s="3934" t="s">
        <v>3384</v>
      </c>
      <c r="AR7" s="3935"/>
      <c r="AS7" s="3934"/>
      <c r="AT7" s="3935"/>
      <c r="AU7" s="3936"/>
      <c r="AV7" s="3935"/>
      <c r="AW7" s="3936" t="s">
        <v>3385</v>
      </c>
      <c r="AX7" s="3935"/>
      <c r="AY7" s="3936" t="s">
        <v>3386</v>
      </c>
      <c r="AZ7" s="3935"/>
      <c r="BA7" s="3936" t="s">
        <v>3387</v>
      </c>
      <c r="BB7" s="3935"/>
      <c r="BC7" s="3934" t="s">
        <v>3388</v>
      </c>
      <c r="BD7" s="3935"/>
    </row>
    <row r="8" spans="1:56" x14ac:dyDescent="0.35">
      <c r="A8" s="938" t="s">
        <v>644</v>
      </c>
      <c r="B8" s="939"/>
      <c r="C8" s="940"/>
      <c r="D8" s="940"/>
      <c r="E8" s="940"/>
      <c r="F8" s="940"/>
      <c r="G8" s="1024" t="s">
        <v>644</v>
      </c>
      <c r="H8" s="3926">
        <f>I85</f>
        <v>3042412</v>
      </c>
      <c r="I8" s="3989"/>
      <c r="J8" s="3926">
        <f>K85</f>
        <v>3299000</v>
      </c>
      <c r="K8" s="3989"/>
      <c r="L8" s="3926">
        <f>M85</f>
        <v>3007000</v>
      </c>
      <c r="M8" s="3989"/>
      <c r="N8" s="3926">
        <f>O85</f>
        <v>3169616</v>
      </c>
      <c r="O8" s="3989"/>
      <c r="P8" s="3926">
        <f>Q85</f>
        <v>3280000</v>
      </c>
      <c r="Q8" s="3927"/>
      <c r="R8" s="3926">
        <f>S85</f>
        <v>3357000</v>
      </c>
      <c r="S8" s="3927"/>
      <c r="T8" s="3988">
        <f>U85</f>
        <v>3767045</v>
      </c>
      <c r="U8" s="3988"/>
      <c r="V8" s="3988">
        <f>W85</f>
        <v>3521342</v>
      </c>
      <c r="W8" s="3988"/>
      <c r="X8" s="4081">
        <f>Y85</f>
        <v>3022640</v>
      </c>
      <c r="Y8" s="4081"/>
      <c r="Z8" s="3988">
        <f>AA85</f>
        <v>3985968</v>
      </c>
      <c r="AA8" s="3988"/>
      <c r="AB8" s="3988">
        <f>AC85</f>
        <v>3181543</v>
      </c>
      <c r="AC8" s="3988"/>
      <c r="AD8" s="4070"/>
      <c r="AE8" s="3988">
        <f>AF85</f>
        <v>3908194</v>
      </c>
      <c r="AF8" s="3988"/>
      <c r="AG8" s="3988">
        <f>AH85</f>
        <v>3985968</v>
      </c>
      <c r="AH8" s="3988"/>
      <c r="AI8" s="3988">
        <f>AJ85</f>
        <v>4132334</v>
      </c>
      <c r="AJ8" s="3988"/>
      <c r="AK8" s="3988">
        <f>AL85</f>
        <v>3558780</v>
      </c>
      <c r="AL8" s="3988"/>
      <c r="AM8" s="3988">
        <f>AN85</f>
        <v>4450000</v>
      </c>
      <c r="AN8" s="3988"/>
      <c r="AO8" s="3988">
        <f>AP85</f>
        <v>5340445</v>
      </c>
      <c r="AP8" s="3988"/>
      <c r="AQ8" s="3988">
        <f>AR85</f>
        <v>5320000</v>
      </c>
      <c r="AR8" s="3988"/>
      <c r="AS8" s="3988">
        <f>AT85</f>
        <v>0</v>
      </c>
      <c r="AT8" s="3988"/>
      <c r="AU8" s="3988">
        <f>AV85</f>
        <v>0</v>
      </c>
      <c r="AV8" s="3988"/>
      <c r="AW8" s="3988">
        <v>0</v>
      </c>
      <c r="AX8" s="3988"/>
      <c r="AY8" s="3926">
        <v>0</v>
      </c>
      <c r="AZ8" s="3989"/>
      <c r="BA8" s="3988">
        <v>0</v>
      </c>
      <c r="BB8" s="3988"/>
    </row>
    <row r="9" spans="1:56"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c r="AE9" s="11" t="s">
        <v>651</v>
      </c>
      <c r="AF9" s="11" t="s">
        <v>652</v>
      </c>
      <c r="AG9" s="11" t="s">
        <v>651</v>
      </c>
      <c r="AH9" s="11" t="s">
        <v>652</v>
      </c>
      <c r="AI9" s="11" t="s">
        <v>651</v>
      </c>
      <c r="AJ9" s="11" t="s">
        <v>652</v>
      </c>
      <c r="AK9" s="11" t="s">
        <v>651</v>
      </c>
      <c r="AL9" s="11" t="s">
        <v>652</v>
      </c>
      <c r="AM9" s="11" t="s">
        <v>651</v>
      </c>
      <c r="AN9" s="11" t="s">
        <v>652</v>
      </c>
      <c r="AO9" s="11" t="s">
        <v>651</v>
      </c>
      <c r="AP9" s="11" t="s">
        <v>652</v>
      </c>
      <c r="AQ9" s="11" t="s">
        <v>651</v>
      </c>
      <c r="AR9" s="11" t="s">
        <v>652</v>
      </c>
      <c r="AS9" s="11" t="s">
        <v>651</v>
      </c>
      <c r="AT9" s="11" t="s">
        <v>652</v>
      </c>
      <c r="AU9" s="11" t="s">
        <v>651</v>
      </c>
      <c r="AV9" s="11" t="s">
        <v>652</v>
      </c>
      <c r="AW9" s="11" t="s">
        <v>651</v>
      </c>
      <c r="AX9" s="11" t="s">
        <v>652</v>
      </c>
      <c r="AY9" s="11" t="s">
        <v>651</v>
      </c>
      <c r="AZ9" s="11" t="s">
        <v>652</v>
      </c>
    </row>
    <row r="10" spans="1:56" hidden="1" x14ac:dyDescent="0.35">
      <c r="A10" s="2286"/>
      <c r="B10" s="2932" t="s">
        <v>653</v>
      </c>
      <c r="C10" s="2285"/>
      <c r="D10" s="2285"/>
      <c r="E10" s="2285"/>
      <c r="F10" s="2285"/>
      <c r="G10" s="2198"/>
      <c r="H10" s="2107"/>
      <c r="I10" s="2107"/>
      <c r="J10" s="2107"/>
      <c r="K10" s="2107"/>
      <c r="L10" s="2107"/>
      <c r="M10" s="2107"/>
      <c r="N10" s="2107"/>
      <c r="O10" s="2107"/>
      <c r="P10" s="2107"/>
      <c r="Q10" s="2107"/>
      <c r="R10" s="2107"/>
      <c r="S10" s="2107"/>
      <c r="T10" s="2107"/>
      <c r="U10" s="2107"/>
      <c r="V10" s="2107"/>
      <c r="W10" s="2107"/>
      <c r="X10" s="4042"/>
      <c r="Y10" s="4042"/>
      <c r="Z10" s="2107"/>
      <c r="AA10" s="2107"/>
      <c r="AB10" s="2107"/>
      <c r="AC10" s="2107"/>
      <c r="AD10" s="4042"/>
      <c r="AE10" s="2107"/>
      <c r="AF10" s="2107"/>
      <c r="AG10" s="2107"/>
      <c r="AH10" s="2107"/>
      <c r="AI10" s="2107"/>
      <c r="AJ10" s="2107"/>
      <c r="AK10" s="2107"/>
      <c r="AL10" s="2107"/>
      <c r="AM10" s="2107"/>
      <c r="AN10" s="2107"/>
      <c r="AO10" s="2107"/>
      <c r="AP10" s="2107"/>
      <c r="AQ10" s="2107"/>
      <c r="AR10" s="2107"/>
      <c r="AS10" s="2933"/>
      <c r="AT10" s="2107"/>
      <c r="AU10" s="2107"/>
      <c r="AV10" s="2107"/>
      <c r="AW10" s="2107"/>
      <c r="AX10" s="2107"/>
      <c r="AY10" s="2107"/>
      <c r="AZ10" s="2107"/>
    </row>
    <row r="11" spans="1:56" hidden="1" x14ac:dyDescent="0.35">
      <c r="A11" s="2286"/>
      <c r="B11" s="2284" t="s">
        <v>3389</v>
      </c>
      <c r="C11" s="2201" t="s">
        <v>654</v>
      </c>
      <c r="D11" s="2285"/>
      <c r="E11" s="2285"/>
      <c r="F11" s="2285"/>
      <c r="G11" s="2198"/>
      <c r="H11" s="2107"/>
      <c r="I11" s="2107"/>
      <c r="J11" s="2107"/>
      <c r="K11" s="2107"/>
      <c r="L11" s="2107"/>
      <c r="M11" s="2107"/>
      <c r="N11" s="2107"/>
      <c r="O11" s="2107"/>
      <c r="P11" s="2107"/>
      <c r="Q11" s="2107"/>
      <c r="R11" s="2107"/>
      <c r="S11" s="2107"/>
      <c r="T11" s="2107"/>
      <c r="U11" s="2107"/>
      <c r="V11" s="2107"/>
      <c r="W11" s="2107"/>
      <c r="X11" s="4042"/>
      <c r="Y11" s="4042"/>
      <c r="Z11" s="2107"/>
      <c r="AA11" s="2107"/>
      <c r="AB11" s="2107"/>
      <c r="AC11" s="2107"/>
      <c r="AD11" s="4042"/>
      <c r="AE11" s="2107"/>
      <c r="AF11" s="2107"/>
      <c r="AG11" s="2107"/>
      <c r="AH11" s="2107"/>
      <c r="AI11" s="2107"/>
      <c r="AJ11" s="2107"/>
      <c r="AK11" s="2107"/>
      <c r="AL11" s="2107"/>
      <c r="AM11" s="2107"/>
      <c r="AN11" s="2107"/>
      <c r="AO11" s="2107"/>
      <c r="AP11" s="2107"/>
      <c r="AQ11" s="2107"/>
      <c r="AR11" s="2107"/>
      <c r="AS11" s="2933"/>
      <c r="AT11" s="2107"/>
      <c r="AU11" s="2107"/>
      <c r="AV11" s="2107"/>
      <c r="AW11" s="2107"/>
      <c r="AX11" s="2107"/>
      <c r="AY11" s="2107"/>
      <c r="AZ11" s="2107"/>
    </row>
    <row r="12" spans="1:56" hidden="1" x14ac:dyDescent="0.35">
      <c r="A12" s="2286"/>
      <c r="B12" s="2284" t="s">
        <v>3390</v>
      </c>
      <c r="C12" s="2201" t="s">
        <v>654</v>
      </c>
      <c r="D12" s="2285"/>
      <c r="E12" s="2285"/>
      <c r="F12" s="2285"/>
      <c r="G12" s="2198"/>
      <c r="H12" s="2107"/>
      <c r="I12" s="2107"/>
      <c r="J12" s="2107"/>
      <c r="K12" s="2107"/>
      <c r="L12" s="2107"/>
      <c r="M12" s="2107"/>
      <c r="N12" s="2107"/>
      <c r="O12" s="2107"/>
      <c r="P12" s="2107"/>
      <c r="Q12" s="2107"/>
      <c r="R12" s="2107"/>
      <c r="S12" s="2107"/>
      <c r="T12" s="2107"/>
      <c r="U12" s="2107"/>
      <c r="V12" s="2107"/>
      <c r="W12" s="2107"/>
      <c r="X12" s="4042"/>
      <c r="Y12" s="4042"/>
      <c r="Z12" s="2107"/>
      <c r="AA12" s="2107"/>
      <c r="AB12" s="2107"/>
      <c r="AC12" s="2107"/>
      <c r="AD12" s="4042"/>
      <c r="AE12" s="2107"/>
      <c r="AF12" s="2107"/>
      <c r="AG12" s="2107"/>
      <c r="AH12" s="2107"/>
      <c r="AI12" s="2107"/>
      <c r="AJ12" s="2107"/>
      <c r="AK12" s="2107"/>
      <c r="AL12" s="2107"/>
      <c r="AM12" s="2107"/>
      <c r="AN12" s="2107"/>
      <c r="AO12" s="2107"/>
      <c r="AP12" s="2107"/>
      <c r="AQ12" s="2107"/>
      <c r="AR12" s="2107"/>
      <c r="AS12" s="2933"/>
      <c r="AT12" s="2107"/>
      <c r="AU12" s="2107"/>
      <c r="AV12" s="2107"/>
      <c r="AW12" s="2107"/>
      <c r="AX12" s="2107"/>
      <c r="AY12" s="2107"/>
      <c r="AZ12" s="2107"/>
    </row>
    <row r="13" spans="1:56" hidden="1" x14ac:dyDescent="0.35">
      <c r="A13" s="2286"/>
      <c r="B13" s="2284" t="s">
        <v>3391</v>
      </c>
      <c r="C13" s="2201" t="s">
        <v>654</v>
      </c>
      <c r="D13" s="2285"/>
      <c r="E13" s="2285"/>
      <c r="F13" s="2285"/>
      <c r="G13" s="2198"/>
      <c r="H13" s="2107"/>
      <c r="I13" s="2107"/>
      <c r="J13" s="2107"/>
      <c r="K13" s="2107"/>
      <c r="L13" s="2107"/>
      <c r="M13" s="2107"/>
      <c r="N13" s="2107"/>
      <c r="O13" s="2107"/>
      <c r="P13" s="2107"/>
      <c r="Q13" s="2107"/>
      <c r="R13" s="2107"/>
      <c r="S13" s="2107"/>
      <c r="T13" s="2107"/>
      <c r="U13" s="2107"/>
      <c r="V13" s="2107"/>
      <c r="W13" s="2107"/>
      <c r="X13" s="4042"/>
      <c r="Y13" s="4042"/>
      <c r="Z13" s="2107"/>
      <c r="AA13" s="2107"/>
      <c r="AB13" s="2107"/>
      <c r="AC13" s="2107"/>
      <c r="AD13" s="4042"/>
      <c r="AE13" s="2107"/>
      <c r="AF13" s="2107"/>
      <c r="AG13" s="2107"/>
      <c r="AH13" s="2107"/>
      <c r="AI13" s="2107"/>
      <c r="AJ13" s="2107"/>
      <c r="AK13" s="2107"/>
      <c r="AL13" s="2107"/>
      <c r="AM13" s="2107"/>
      <c r="AN13" s="2107"/>
      <c r="AO13" s="2107"/>
      <c r="AP13" s="2107"/>
      <c r="AQ13" s="2107"/>
      <c r="AR13" s="2107"/>
      <c r="AS13" s="2933"/>
      <c r="AT13" s="2107"/>
      <c r="AU13" s="2107"/>
      <c r="AV13" s="2107"/>
      <c r="AW13" s="2107"/>
      <c r="AX13" s="2107"/>
      <c r="AY13" s="2107"/>
      <c r="AZ13" s="2107"/>
    </row>
    <row r="14" spans="1:56" hidden="1" x14ac:dyDescent="0.35">
      <c r="A14" s="2286"/>
      <c r="B14" s="2284" t="s">
        <v>3392</v>
      </c>
      <c r="C14" s="2201" t="s">
        <v>654</v>
      </c>
      <c r="D14" s="2285"/>
      <c r="E14" s="2285"/>
      <c r="F14" s="2285"/>
      <c r="G14" s="2198"/>
      <c r="H14" s="2107"/>
      <c r="I14" s="2107"/>
      <c r="J14" s="2107"/>
      <c r="K14" s="2107"/>
      <c r="L14" s="2107"/>
      <c r="M14" s="2107"/>
      <c r="N14" s="2107"/>
      <c r="O14" s="2107"/>
      <c r="P14" s="2107"/>
      <c r="Q14" s="2107"/>
      <c r="R14" s="2107"/>
      <c r="S14" s="2107"/>
      <c r="T14" s="2107"/>
      <c r="U14" s="2107"/>
      <c r="V14" s="2107"/>
      <c r="W14" s="2107"/>
      <c r="X14" s="4042"/>
      <c r="Y14" s="4042"/>
      <c r="Z14" s="2107"/>
      <c r="AA14" s="2107"/>
      <c r="AB14" s="2107"/>
      <c r="AC14" s="2107"/>
      <c r="AD14" s="4042"/>
      <c r="AE14" s="2107"/>
      <c r="AF14" s="2107"/>
      <c r="AG14" s="2107"/>
      <c r="AH14" s="2107"/>
      <c r="AI14" s="2107"/>
      <c r="AJ14" s="2107"/>
      <c r="AK14" s="2107"/>
      <c r="AL14" s="2107"/>
      <c r="AM14" s="2107"/>
      <c r="AN14" s="2107"/>
      <c r="AO14" s="2107"/>
      <c r="AP14" s="2107"/>
      <c r="AQ14" s="2107"/>
      <c r="AR14" s="2107"/>
      <c r="AS14" s="2933"/>
      <c r="AT14" s="2107"/>
      <c r="AU14" s="2107"/>
      <c r="AV14" s="2107"/>
      <c r="AW14" s="2107"/>
      <c r="AX14" s="2107"/>
      <c r="AY14" s="2107"/>
      <c r="AZ14" s="2107"/>
    </row>
    <row r="15" spans="1:56" hidden="1" x14ac:dyDescent="0.35">
      <c r="A15" s="2286"/>
      <c r="B15" s="2284" t="s">
        <v>3393</v>
      </c>
      <c r="C15" s="2201" t="s">
        <v>654</v>
      </c>
      <c r="D15" s="2285"/>
      <c r="E15" s="2285"/>
      <c r="F15" s="2285"/>
      <c r="G15" s="2198"/>
      <c r="H15" s="2107"/>
      <c r="I15" s="2107"/>
      <c r="J15" s="2107"/>
      <c r="K15" s="2107"/>
      <c r="L15" s="2107"/>
      <c r="M15" s="2107"/>
      <c r="N15" s="2107"/>
      <c r="O15" s="2107"/>
      <c r="P15" s="2107"/>
      <c r="Q15" s="2107"/>
      <c r="R15" s="2107"/>
      <c r="S15" s="2107"/>
      <c r="T15" s="2107"/>
      <c r="U15" s="2107"/>
      <c r="V15" s="2107"/>
      <c r="W15" s="2107"/>
      <c r="X15" s="4042"/>
      <c r="Y15" s="4042"/>
      <c r="Z15" s="2107"/>
      <c r="AA15" s="2107"/>
      <c r="AB15" s="2107"/>
      <c r="AC15" s="2107"/>
      <c r="AD15" s="4042"/>
      <c r="AE15" s="2107"/>
      <c r="AF15" s="2107"/>
      <c r="AG15" s="2107"/>
      <c r="AH15" s="2107"/>
      <c r="AI15" s="2107"/>
      <c r="AJ15" s="2107"/>
      <c r="AK15" s="2107"/>
      <c r="AL15" s="2107"/>
      <c r="AM15" s="2107"/>
      <c r="AN15" s="2107"/>
      <c r="AO15" s="2107"/>
      <c r="AP15" s="2107"/>
      <c r="AQ15" s="2107"/>
      <c r="AR15" s="2107"/>
      <c r="AS15" s="2933"/>
      <c r="AT15" s="2107"/>
      <c r="AU15" s="2107"/>
      <c r="AV15" s="2107"/>
      <c r="AW15" s="2107"/>
      <c r="AX15" s="2107"/>
      <c r="AY15" s="2107"/>
      <c r="AZ15" s="2107"/>
    </row>
    <row r="16" spans="1:56" hidden="1" x14ac:dyDescent="0.35">
      <c r="A16" s="2286"/>
      <c r="B16" s="2284" t="s">
        <v>3394</v>
      </c>
      <c r="C16" s="2201" t="s">
        <v>654</v>
      </c>
      <c r="D16" s="2285"/>
      <c r="E16" s="2285"/>
      <c r="F16" s="2285"/>
      <c r="G16" s="2198"/>
      <c r="H16" s="2107"/>
      <c r="I16" s="2107"/>
      <c r="J16" s="2107"/>
      <c r="K16" s="2107"/>
      <c r="L16" s="2107"/>
      <c r="M16" s="2107"/>
      <c r="N16" s="2107"/>
      <c r="O16" s="2107"/>
      <c r="P16" s="2107"/>
      <c r="Q16" s="2107"/>
      <c r="R16" s="2107"/>
      <c r="S16" s="2107"/>
      <c r="T16" s="2107"/>
      <c r="U16" s="2107"/>
      <c r="V16" s="2107"/>
      <c r="W16" s="2107"/>
      <c r="X16" s="4042"/>
      <c r="Y16" s="4042"/>
      <c r="Z16" s="2107"/>
      <c r="AA16" s="2107"/>
      <c r="AB16" s="2107"/>
      <c r="AC16" s="2107"/>
      <c r="AD16" s="4042"/>
      <c r="AE16" s="2107"/>
      <c r="AF16" s="2107"/>
      <c r="AG16" s="2107"/>
      <c r="AH16" s="2107"/>
      <c r="AI16" s="2107"/>
      <c r="AJ16" s="2107"/>
      <c r="AK16" s="2107"/>
      <c r="AL16" s="2107"/>
      <c r="AM16" s="2107"/>
      <c r="AN16" s="2107"/>
      <c r="AO16" s="2107"/>
      <c r="AP16" s="2107"/>
      <c r="AQ16" s="2107"/>
      <c r="AR16" s="2107"/>
      <c r="AS16" s="2933"/>
      <c r="AT16" s="2107"/>
      <c r="AU16" s="2107"/>
      <c r="AV16" s="2107"/>
      <c r="AW16" s="2107"/>
      <c r="AX16" s="2107"/>
      <c r="AY16" s="2107"/>
      <c r="AZ16" s="2107"/>
    </row>
    <row r="17" spans="1:52" hidden="1" x14ac:dyDescent="0.35">
      <c r="A17" s="2286"/>
      <c r="B17" s="2284" t="e">
        <f>#REF!</f>
        <v>#REF!</v>
      </c>
      <c r="C17" s="2201" t="s">
        <v>654</v>
      </c>
      <c r="D17" s="2285"/>
      <c r="E17" s="2285"/>
      <c r="F17" s="2285"/>
      <c r="G17" s="2198"/>
      <c r="H17" s="2107"/>
      <c r="I17" s="2107"/>
      <c r="J17" s="2107"/>
      <c r="K17" s="2107"/>
      <c r="L17" s="2107"/>
      <c r="M17" s="2107"/>
      <c r="N17" s="2107"/>
      <c r="O17" s="2107"/>
      <c r="P17" s="2107"/>
      <c r="Q17" s="2107"/>
      <c r="R17" s="2107"/>
      <c r="S17" s="2107"/>
      <c r="T17" s="2107"/>
      <c r="U17" s="2107"/>
      <c r="V17" s="2107"/>
      <c r="W17" s="2107"/>
      <c r="X17" s="4042"/>
      <c r="Y17" s="4042"/>
      <c r="Z17" s="2107"/>
      <c r="AA17" s="2107"/>
      <c r="AB17" s="2107"/>
      <c r="AC17" s="2107"/>
      <c r="AD17" s="4042"/>
      <c r="AE17" s="2107"/>
      <c r="AF17" s="2107"/>
      <c r="AG17" s="2107"/>
      <c r="AH17" s="2107"/>
      <c r="AI17" s="2107"/>
      <c r="AJ17" s="2107"/>
      <c r="AK17" s="2107"/>
      <c r="AL17" s="2107"/>
      <c r="AM17" s="2107"/>
      <c r="AN17" s="2107"/>
      <c r="AO17" s="2107"/>
      <c r="AP17" s="2107"/>
      <c r="AQ17" s="2107"/>
      <c r="AR17" s="2107"/>
      <c r="AS17" s="2933"/>
      <c r="AT17" s="2107"/>
      <c r="AU17" s="2107"/>
      <c r="AV17" s="2107"/>
      <c r="AW17" s="2107"/>
      <c r="AX17" s="2107"/>
      <c r="AY17" s="2107"/>
      <c r="AZ17" s="2107"/>
    </row>
    <row r="18" spans="1:52" hidden="1" x14ac:dyDescent="0.35">
      <c r="A18" s="2286"/>
      <c r="B18" s="2284" t="s">
        <v>3395</v>
      </c>
      <c r="C18" s="2201" t="s">
        <v>654</v>
      </c>
      <c r="D18" s="2285"/>
      <c r="E18" s="2285"/>
      <c r="F18" s="2285"/>
      <c r="G18" s="2198"/>
      <c r="H18" s="2107"/>
      <c r="I18" s="2107"/>
      <c r="J18" s="2107"/>
      <c r="K18" s="2107"/>
      <c r="L18" s="2107"/>
      <c r="M18" s="2107"/>
      <c r="N18" s="2107"/>
      <c r="O18" s="2107"/>
      <c r="P18" s="2107"/>
      <c r="Q18" s="2107"/>
      <c r="R18" s="2107"/>
      <c r="S18" s="2107"/>
      <c r="T18" s="2107"/>
      <c r="U18" s="2107"/>
      <c r="V18" s="2107"/>
      <c r="W18" s="2107"/>
      <c r="X18" s="4042"/>
      <c r="Y18" s="4042"/>
      <c r="Z18" s="2107"/>
      <c r="AA18" s="2107"/>
      <c r="AB18" s="2107"/>
      <c r="AC18" s="2107"/>
      <c r="AD18" s="4042"/>
      <c r="AE18" s="2107"/>
      <c r="AF18" s="2107"/>
      <c r="AG18" s="2107"/>
      <c r="AH18" s="2107"/>
      <c r="AI18" s="2107"/>
      <c r="AJ18" s="2107"/>
      <c r="AK18" s="2107"/>
      <c r="AL18" s="2107"/>
      <c r="AM18" s="2107"/>
      <c r="AN18" s="2107"/>
      <c r="AO18" s="2107"/>
      <c r="AP18" s="2107"/>
      <c r="AQ18" s="2107"/>
      <c r="AR18" s="2107"/>
      <c r="AS18" s="2933"/>
      <c r="AT18" s="2107"/>
      <c r="AU18" s="2107"/>
      <c r="AV18" s="2107"/>
      <c r="AW18" s="2107"/>
      <c r="AX18" s="2107"/>
      <c r="AY18" s="2107"/>
      <c r="AZ18" s="2107"/>
    </row>
    <row r="19" spans="1:52" hidden="1" x14ac:dyDescent="0.35">
      <c r="A19" s="2286"/>
      <c r="B19" s="2284" t="s">
        <v>3396</v>
      </c>
      <c r="C19" s="2201" t="s">
        <v>654</v>
      </c>
      <c r="D19" s="2285"/>
      <c r="E19" s="2285"/>
      <c r="F19" s="2285"/>
      <c r="G19" s="2198"/>
      <c r="H19" s="2107"/>
      <c r="I19" s="2107"/>
      <c r="J19" s="2107"/>
      <c r="K19" s="2107"/>
      <c r="L19" s="2107"/>
      <c r="M19" s="2107"/>
      <c r="N19" s="2107"/>
      <c r="O19" s="2107"/>
      <c r="P19" s="2107"/>
      <c r="Q19" s="2107"/>
      <c r="R19" s="2107"/>
      <c r="S19" s="2107"/>
      <c r="T19" s="2107"/>
      <c r="U19" s="2107"/>
      <c r="V19" s="2107"/>
      <c r="W19" s="2107"/>
      <c r="X19" s="4042"/>
      <c r="Y19" s="4042"/>
      <c r="Z19" s="2107"/>
      <c r="AA19" s="2107"/>
      <c r="AB19" s="2107"/>
      <c r="AC19" s="2107"/>
      <c r="AD19" s="4042"/>
      <c r="AE19" s="2107"/>
      <c r="AF19" s="2107"/>
      <c r="AG19" s="2107"/>
      <c r="AH19" s="2107"/>
      <c r="AI19" s="2107"/>
      <c r="AJ19" s="2107"/>
      <c r="AK19" s="2107"/>
      <c r="AL19" s="2107"/>
      <c r="AM19" s="2107"/>
      <c r="AN19" s="2107"/>
      <c r="AO19" s="2107"/>
      <c r="AP19" s="2107"/>
      <c r="AQ19" s="2107"/>
      <c r="AR19" s="2107"/>
      <c r="AS19" s="2933"/>
      <c r="AT19" s="2107"/>
      <c r="AU19" s="2107"/>
      <c r="AV19" s="2107"/>
      <c r="AW19" s="2107"/>
      <c r="AX19" s="2107"/>
      <c r="AY19" s="2107"/>
      <c r="AZ19" s="2107"/>
    </row>
    <row r="20" spans="1:52" ht="15" thickTop="1" x14ac:dyDescent="0.35">
      <c r="A20" s="2286"/>
      <c r="B20" s="2284"/>
      <c r="C20" s="2201"/>
      <c r="D20" s="2285"/>
      <c r="E20" s="2285"/>
      <c r="F20" s="2285"/>
      <c r="G20" s="2198"/>
      <c r="H20" s="2109"/>
      <c r="I20" s="2107"/>
      <c r="J20" s="2109"/>
      <c r="K20" s="2107"/>
      <c r="L20" s="2109"/>
      <c r="M20" s="2107"/>
      <c r="N20" s="2109"/>
      <c r="O20" s="2107"/>
      <c r="P20" s="2109"/>
      <c r="Q20" s="2107"/>
      <c r="R20" s="2505"/>
      <c r="S20" s="2107"/>
      <c r="T20" s="2109"/>
      <c r="U20" s="2107"/>
      <c r="V20" s="2109"/>
      <c r="W20" s="2107"/>
      <c r="X20" s="4053"/>
      <c r="Y20" s="4042"/>
      <c r="Z20" s="2109"/>
      <c r="AA20" s="2107"/>
      <c r="AB20" s="2109"/>
      <c r="AC20" s="2107"/>
      <c r="AD20" s="4042"/>
      <c r="AE20" s="2109"/>
      <c r="AF20" s="2107"/>
      <c r="AG20" s="2109"/>
      <c r="AH20" s="2107"/>
      <c r="AI20" s="2109"/>
      <c r="AJ20" s="2107"/>
      <c r="AK20" s="2109"/>
      <c r="AL20" s="2107"/>
      <c r="AM20" s="2109"/>
      <c r="AN20" s="2107"/>
      <c r="AO20" s="2109"/>
      <c r="AP20" s="2107"/>
      <c r="AQ20" s="2109"/>
      <c r="AR20" s="2107"/>
      <c r="AS20" s="2109"/>
      <c r="AT20" s="2107"/>
      <c r="AU20" s="2109"/>
      <c r="AV20" s="2107"/>
      <c r="AW20" s="2107"/>
      <c r="AX20" s="2107"/>
      <c r="AY20" s="2107"/>
      <c r="AZ20" s="2107"/>
    </row>
    <row r="21" spans="1:52" ht="15" thickBot="1" x14ac:dyDescent="0.4">
      <c r="A21" s="2286"/>
      <c r="B21" s="2203" t="s">
        <v>547</v>
      </c>
      <c r="C21" s="2201"/>
      <c r="D21" s="2285"/>
      <c r="E21" s="2285"/>
      <c r="F21" s="2285"/>
      <c r="G21" s="2198"/>
      <c r="H21" s="2109"/>
      <c r="I21" s="2107"/>
      <c r="J21" s="2109"/>
      <c r="K21" s="2107"/>
      <c r="L21" s="2109"/>
      <c r="M21" s="2107"/>
      <c r="N21" s="2109"/>
      <c r="O21" s="2107"/>
      <c r="P21" s="2109"/>
      <c r="Q21" s="2107"/>
      <c r="R21" s="2505"/>
      <c r="S21" s="2107"/>
      <c r="T21" s="2109"/>
      <c r="U21" s="2107"/>
      <c r="V21" s="2109"/>
      <c r="W21" s="2107"/>
      <c r="X21" s="4053"/>
      <c r="Y21" s="4042"/>
      <c r="Z21" s="2109"/>
      <c r="AA21" s="2107"/>
      <c r="AB21" s="2109"/>
      <c r="AC21" s="2107"/>
      <c r="AD21" s="4042"/>
      <c r="AE21" s="2109"/>
      <c r="AF21" s="2107"/>
      <c r="AG21" s="2109"/>
      <c r="AH21" s="2107"/>
      <c r="AI21" s="2109"/>
      <c r="AJ21" s="2107"/>
      <c r="AK21" s="2109"/>
      <c r="AL21" s="2107"/>
      <c r="AM21" s="2109"/>
      <c r="AN21" s="2107"/>
      <c r="AO21" s="2109"/>
      <c r="AP21" s="2107"/>
      <c r="AQ21" s="2109"/>
      <c r="AR21" s="2107"/>
      <c r="AS21" s="2109"/>
      <c r="AT21" s="2107"/>
      <c r="AU21" s="2109"/>
      <c r="AV21" s="2107"/>
      <c r="AW21" s="2107"/>
      <c r="AX21" s="2107"/>
      <c r="AY21" s="2107"/>
      <c r="AZ21" s="2107"/>
    </row>
    <row r="22" spans="1:52" x14ac:dyDescent="0.35">
      <c r="A22" s="2934"/>
      <c r="B22" s="606" t="s">
        <v>657</v>
      </c>
      <c r="C22" s="2201"/>
      <c r="D22" s="2285"/>
      <c r="E22" s="2285"/>
      <c r="F22" s="2285"/>
      <c r="G22" s="2198"/>
      <c r="H22" s="2109"/>
      <c r="I22" s="2898"/>
      <c r="J22" s="2109"/>
      <c r="K22" s="2898"/>
      <c r="L22" s="2109"/>
      <c r="M22" s="2898"/>
      <c r="N22" s="2109"/>
      <c r="O22" s="2898"/>
      <c r="P22" s="2109"/>
      <c r="Q22" s="2898"/>
      <c r="R22" s="2505"/>
      <c r="S22" s="2898"/>
      <c r="T22" s="2109"/>
      <c r="U22" s="2898"/>
      <c r="V22" s="2109"/>
      <c r="W22" s="2898"/>
      <c r="X22" s="4053"/>
      <c r="Y22" s="4030"/>
      <c r="Z22" s="2109"/>
      <c r="AA22" s="2898"/>
      <c r="AB22" s="2109"/>
      <c r="AC22" s="2898"/>
      <c r="AD22" s="4089"/>
      <c r="AE22" s="2109"/>
      <c r="AF22" s="2898"/>
      <c r="AG22" s="2109"/>
      <c r="AH22" s="2898"/>
      <c r="AI22" s="2109"/>
      <c r="AJ22" s="2898"/>
      <c r="AK22" s="2109"/>
      <c r="AL22" s="2898"/>
      <c r="AM22" s="2109"/>
      <c r="AN22" s="2898"/>
      <c r="AO22" s="2109"/>
      <c r="AP22" s="2898"/>
      <c r="AQ22" s="2109"/>
      <c r="AR22" s="2898"/>
      <c r="AS22" s="2109"/>
      <c r="AT22" s="2898"/>
      <c r="AU22" s="2109"/>
      <c r="AV22" s="2898"/>
      <c r="AW22" s="2898"/>
      <c r="AX22" s="2898"/>
      <c r="AY22" s="2898"/>
      <c r="AZ22" s="2898"/>
    </row>
    <row r="23" spans="1:52" x14ac:dyDescent="0.35">
      <c r="A23" s="2934"/>
      <c r="B23" s="2935" t="s">
        <v>658</v>
      </c>
      <c r="C23" s="2201"/>
      <c r="D23" s="2695"/>
      <c r="E23" s="2285"/>
      <c r="F23" s="2285"/>
      <c r="G23" s="2198"/>
      <c r="H23" s="2109" t="s">
        <v>669</v>
      </c>
      <c r="I23" s="2936"/>
      <c r="J23" s="2109"/>
      <c r="K23" s="2936"/>
      <c r="L23" s="2109"/>
      <c r="M23" s="2936"/>
      <c r="N23" s="2109" t="s">
        <v>669</v>
      </c>
      <c r="O23" s="2936"/>
      <c r="P23" s="2109"/>
      <c r="Q23" s="2936"/>
      <c r="R23" s="2505"/>
      <c r="S23" s="2936"/>
      <c r="T23" s="2109"/>
      <c r="U23" s="2936"/>
      <c r="V23" s="2109"/>
      <c r="W23" s="2936"/>
      <c r="X23" s="4053"/>
      <c r="Y23" s="4040"/>
      <c r="Z23" s="2109"/>
      <c r="AA23" s="2898"/>
      <c r="AB23" s="2109"/>
      <c r="AC23" s="2898"/>
      <c r="AD23" s="4089"/>
      <c r="AE23" s="2109"/>
      <c r="AF23" s="2936"/>
      <c r="AG23" s="2109"/>
      <c r="AH23" s="2898"/>
      <c r="AI23" s="2109"/>
      <c r="AJ23" s="2898"/>
      <c r="AK23" s="2109"/>
      <c r="AL23" s="2898"/>
      <c r="AM23" s="2109"/>
      <c r="AN23" s="2898"/>
      <c r="AO23" s="2109"/>
      <c r="AP23" s="2898"/>
      <c r="AQ23" s="2109"/>
      <c r="AR23" s="2898"/>
      <c r="AS23" s="2109"/>
      <c r="AT23" s="2898"/>
      <c r="AU23" s="2109"/>
      <c r="AV23" s="2898"/>
      <c r="AW23" s="2898"/>
      <c r="AX23" s="2898"/>
      <c r="AY23" s="2898"/>
      <c r="AZ23" s="2898"/>
    </row>
    <row r="24" spans="1:52" x14ac:dyDescent="0.35">
      <c r="A24" s="2934"/>
      <c r="B24" s="2935" t="s">
        <v>659</v>
      </c>
      <c r="C24" s="2937"/>
      <c r="D24" s="2695"/>
      <c r="E24" s="2285"/>
      <c r="F24" s="2285"/>
      <c r="G24" s="2198"/>
      <c r="H24" s="2109" t="s">
        <v>669</v>
      </c>
      <c r="I24" s="2936"/>
      <c r="J24" s="2109"/>
      <c r="K24" s="2936"/>
      <c r="L24" s="2109"/>
      <c r="M24" s="2936"/>
      <c r="N24" s="2109" t="s">
        <v>669</v>
      </c>
      <c r="O24" s="2936"/>
      <c r="P24" s="2109"/>
      <c r="Q24" s="2936"/>
      <c r="R24" s="2505"/>
      <c r="S24" s="2936"/>
      <c r="T24" s="2109"/>
      <c r="U24" s="2936"/>
      <c r="V24" s="2109"/>
      <c r="W24" s="2936"/>
      <c r="X24" s="4053"/>
      <c r="Y24" s="4040"/>
      <c r="Z24" s="2109"/>
      <c r="AA24" s="2936"/>
      <c r="AB24" s="2109"/>
      <c r="AC24" s="2936"/>
      <c r="AD24" s="4090"/>
      <c r="AE24" s="2109"/>
      <c r="AF24" s="2936"/>
      <c r="AG24" s="2109"/>
      <c r="AH24" s="2936"/>
      <c r="AI24" s="2109"/>
      <c r="AJ24" s="2936"/>
      <c r="AK24" s="2109"/>
      <c r="AL24" s="2936"/>
      <c r="AM24" s="2109"/>
      <c r="AN24" s="2936"/>
      <c r="AO24" s="2109"/>
      <c r="AP24" s="2936"/>
      <c r="AQ24" s="2109"/>
      <c r="AR24" s="2936"/>
      <c r="AS24" s="2109"/>
      <c r="AT24" s="2936"/>
      <c r="AU24" s="2109"/>
      <c r="AV24" s="2936"/>
      <c r="AW24" s="2898"/>
      <c r="AX24" s="2936"/>
      <c r="AY24" s="2331" t="s">
        <v>654</v>
      </c>
      <c r="AZ24" s="2936"/>
    </row>
    <row r="25" spans="1:52" x14ac:dyDescent="0.35">
      <c r="A25" s="2934"/>
      <c r="B25" s="2938" t="s">
        <v>660</v>
      </c>
      <c r="C25" s="2937"/>
      <c r="D25" s="2695"/>
      <c r="E25" s="2285"/>
      <c r="F25" s="2285"/>
      <c r="G25" s="2198"/>
      <c r="H25" s="2109" t="s">
        <v>671</v>
      </c>
      <c r="I25" s="2936"/>
      <c r="J25" s="2109"/>
      <c r="K25" s="2936"/>
      <c r="L25" s="2109"/>
      <c r="M25" s="2936"/>
      <c r="N25" s="2109" t="s">
        <v>671</v>
      </c>
      <c r="O25" s="2936"/>
      <c r="P25" s="2109"/>
      <c r="Q25" s="2936"/>
      <c r="R25" s="2505"/>
      <c r="S25" s="2936"/>
      <c r="T25" s="2109"/>
      <c r="U25" s="2936"/>
      <c r="V25" s="2109"/>
      <c r="W25" s="2936"/>
      <c r="X25" s="4053"/>
      <c r="Y25" s="4040"/>
      <c r="Z25" s="2109"/>
      <c r="AA25" s="2936"/>
      <c r="AB25" s="2109"/>
      <c r="AC25" s="2936"/>
      <c r="AD25" s="4090"/>
      <c r="AE25" s="2109"/>
      <c r="AF25" s="2936"/>
      <c r="AG25" s="2109"/>
      <c r="AH25" s="2936"/>
      <c r="AI25" s="2109"/>
      <c r="AJ25" s="2936"/>
      <c r="AK25" s="2109"/>
      <c r="AL25" s="2936"/>
      <c r="AM25" s="2109"/>
      <c r="AN25" s="2936"/>
      <c r="AO25" s="2109"/>
      <c r="AP25" s="2936"/>
      <c r="AQ25" s="2109"/>
      <c r="AR25" s="2936"/>
      <c r="AS25" s="2109"/>
      <c r="AT25" s="2936"/>
      <c r="AU25" s="2109"/>
      <c r="AV25" s="2936"/>
      <c r="AW25" s="2898"/>
      <c r="AX25" s="2936"/>
      <c r="AY25" s="2331"/>
      <c r="AZ25" s="2936"/>
    </row>
    <row r="26" spans="1:52" x14ac:dyDescent="0.35">
      <c r="A26" s="2934"/>
      <c r="B26" s="2938" t="s">
        <v>661</v>
      </c>
      <c r="C26" s="2937"/>
      <c r="D26" s="2695"/>
      <c r="E26" s="2285"/>
      <c r="F26" s="2285"/>
      <c r="G26" s="2198"/>
      <c r="H26" s="2109" t="s">
        <v>669</v>
      </c>
      <c r="I26" s="2936"/>
      <c r="J26" s="2109"/>
      <c r="K26" s="2936"/>
      <c r="L26" s="2109"/>
      <c r="M26" s="2936"/>
      <c r="N26" s="2109" t="s">
        <v>669</v>
      </c>
      <c r="O26" s="2936"/>
      <c r="P26" s="2109"/>
      <c r="Q26" s="2936"/>
      <c r="R26" s="2505"/>
      <c r="S26" s="2936"/>
      <c r="T26" s="2109"/>
      <c r="U26" s="2936"/>
      <c r="V26" s="2109"/>
      <c r="W26" s="2936"/>
      <c r="X26" s="4053"/>
      <c r="Y26" s="4040"/>
      <c r="Z26" s="2109"/>
      <c r="AA26" s="2898"/>
      <c r="AB26" s="2109"/>
      <c r="AC26" s="2898"/>
      <c r="AD26" s="4089"/>
      <c r="AE26" s="2109"/>
      <c r="AF26" s="2936"/>
      <c r="AG26" s="2109"/>
      <c r="AH26" s="2898"/>
      <c r="AI26" s="2109"/>
      <c r="AJ26" s="2898"/>
      <c r="AK26" s="2109"/>
      <c r="AL26" s="2898"/>
      <c r="AM26" s="2109"/>
      <c r="AN26" s="2898"/>
      <c r="AO26" s="2109"/>
      <c r="AP26" s="2898"/>
      <c r="AQ26" s="2109"/>
      <c r="AR26" s="2898"/>
      <c r="AS26" s="2109"/>
      <c r="AT26" s="2898"/>
      <c r="AU26" s="2109"/>
      <c r="AV26" s="2898"/>
      <c r="AW26" s="2898"/>
      <c r="AX26" s="2898"/>
      <c r="AY26" s="2331" t="s">
        <v>654</v>
      </c>
      <c r="AZ26" s="2936"/>
    </row>
    <row r="27" spans="1:52" x14ac:dyDescent="0.35">
      <c r="A27" s="2934"/>
      <c r="B27" s="2938" t="s">
        <v>662</v>
      </c>
      <c r="C27" s="2937"/>
      <c r="D27" s="2695"/>
      <c r="E27" s="2285"/>
      <c r="F27" s="2285"/>
      <c r="G27" s="2198"/>
      <c r="H27" s="2109" t="s">
        <v>669</v>
      </c>
      <c r="I27" s="2936"/>
      <c r="J27" s="2109"/>
      <c r="K27" s="2936"/>
      <c r="L27" s="2109"/>
      <c r="M27" s="2936"/>
      <c r="N27" s="2109" t="s">
        <v>669</v>
      </c>
      <c r="O27" s="2936"/>
      <c r="P27" s="2109"/>
      <c r="Q27" s="2936"/>
      <c r="R27" s="2505"/>
      <c r="S27" s="2936"/>
      <c r="T27" s="2109"/>
      <c r="U27" s="2936"/>
      <c r="V27" s="2109"/>
      <c r="W27" s="2936"/>
      <c r="X27" s="4053"/>
      <c r="Y27" s="4040"/>
      <c r="Z27" s="2109"/>
      <c r="AA27" s="2898"/>
      <c r="AB27" s="2109"/>
      <c r="AC27" s="2898"/>
      <c r="AD27" s="4089"/>
      <c r="AE27" s="2109"/>
      <c r="AF27" s="2936"/>
      <c r="AG27" s="2109"/>
      <c r="AH27" s="2898"/>
      <c r="AI27" s="2109"/>
      <c r="AJ27" s="2898"/>
      <c r="AK27" s="2109"/>
      <c r="AL27" s="2898"/>
      <c r="AM27" s="2109"/>
      <c r="AN27" s="2898"/>
      <c r="AO27" s="2109"/>
      <c r="AP27" s="2898"/>
      <c r="AQ27" s="2109"/>
      <c r="AR27" s="2898"/>
      <c r="AS27" s="2109"/>
      <c r="AT27" s="2898"/>
      <c r="AU27" s="2109"/>
      <c r="AV27" s="2898"/>
      <c r="AW27" s="2898"/>
      <c r="AX27" s="2898"/>
      <c r="AY27" s="2331" t="s">
        <v>654</v>
      </c>
      <c r="AZ27" s="2898"/>
    </row>
    <row r="28" spans="1:52" x14ac:dyDescent="0.35">
      <c r="A28" s="2934"/>
      <c r="B28" s="2938" t="s">
        <v>663</v>
      </c>
      <c r="C28" s="2937"/>
      <c r="D28" s="2695"/>
      <c r="E28" s="2285"/>
      <c r="F28" s="2285"/>
      <c r="G28" s="2198"/>
      <c r="H28" s="2109" t="s">
        <v>669</v>
      </c>
      <c r="I28" s="2936"/>
      <c r="J28" s="2109"/>
      <c r="K28" s="2936"/>
      <c r="L28" s="2109"/>
      <c r="M28" s="2936"/>
      <c r="N28" s="2109" t="s">
        <v>669</v>
      </c>
      <c r="O28" s="2936"/>
      <c r="P28" s="2109"/>
      <c r="Q28" s="2936"/>
      <c r="R28" s="2505"/>
      <c r="S28" s="2936"/>
      <c r="T28" s="2109"/>
      <c r="U28" s="2936"/>
      <c r="V28" s="2109"/>
      <c r="W28" s="2936"/>
      <c r="X28" s="4053"/>
      <c r="Y28" s="4040"/>
      <c r="Z28" s="2109"/>
      <c r="AA28" s="2898"/>
      <c r="AB28" s="2109"/>
      <c r="AC28" s="2898"/>
      <c r="AD28" s="4089"/>
      <c r="AE28" s="2109"/>
      <c r="AF28" s="2936"/>
      <c r="AG28" s="2109"/>
      <c r="AH28" s="2898"/>
      <c r="AI28" s="2109"/>
      <c r="AJ28" s="2898"/>
      <c r="AK28" s="2109"/>
      <c r="AL28" s="2898"/>
      <c r="AM28" s="2109"/>
      <c r="AN28" s="2898"/>
      <c r="AO28" s="2109"/>
      <c r="AP28" s="2898"/>
      <c r="AQ28" s="2109"/>
      <c r="AR28" s="2898"/>
      <c r="AS28" s="2109"/>
      <c r="AT28" s="2898"/>
      <c r="AU28" s="2109"/>
      <c r="AV28" s="2898"/>
      <c r="AW28" s="2898"/>
      <c r="AX28" s="2898"/>
      <c r="AY28" s="2331" t="s">
        <v>654</v>
      </c>
      <c r="AZ28" s="2898"/>
    </row>
    <row r="29" spans="1:52" x14ac:dyDescent="0.35">
      <c r="A29" s="2939"/>
      <c r="B29" s="2938" t="s">
        <v>789</v>
      </c>
      <c r="C29" s="2937"/>
      <c r="D29" s="2695"/>
      <c r="E29" s="2285"/>
      <c r="F29" s="2285"/>
      <c r="G29" s="2198"/>
      <c r="H29" s="2109" t="s">
        <v>671</v>
      </c>
      <c r="I29" s="2936" t="s">
        <v>3397</v>
      </c>
      <c r="J29" s="2109"/>
      <c r="K29" s="2936"/>
      <c r="L29" s="2109"/>
      <c r="M29" s="2936"/>
      <c r="N29" s="2109" t="s">
        <v>671</v>
      </c>
      <c r="O29" s="2936" t="s">
        <v>3397</v>
      </c>
      <c r="P29" s="2109"/>
      <c r="Q29" s="2936"/>
      <c r="R29" s="2505"/>
      <c r="S29" s="2936"/>
      <c r="T29" s="2109"/>
      <c r="U29" s="2936"/>
      <c r="V29" s="2109"/>
      <c r="W29" s="2936"/>
      <c r="X29" s="4053"/>
      <c r="Y29" s="4040"/>
      <c r="Z29" s="2109"/>
      <c r="AA29" s="2898"/>
      <c r="AB29" s="2109"/>
      <c r="AC29" s="2898"/>
      <c r="AD29" s="4089"/>
      <c r="AE29" s="2109"/>
      <c r="AF29" s="2936"/>
      <c r="AG29" s="2109"/>
      <c r="AH29" s="2898"/>
      <c r="AI29" s="2109"/>
      <c r="AJ29" s="2898"/>
      <c r="AK29" s="2109"/>
      <c r="AL29" s="2898"/>
      <c r="AM29" s="2109"/>
      <c r="AN29" s="2898"/>
      <c r="AO29" s="2109"/>
      <c r="AP29" s="2898"/>
      <c r="AQ29" s="2109"/>
      <c r="AR29" s="2898"/>
      <c r="AS29" s="2109"/>
      <c r="AT29" s="2898"/>
      <c r="AU29" s="2109"/>
      <c r="AV29" s="2898"/>
      <c r="AW29" s="2898"/>
      <c r="AX29" s="2898"/>
      <c r="AY29" s="2331"/>
      <c r="AZ29" s="2898"/>
    </row>
    <row r="30" spans="1:52" x14ac:dyDescent="0.35">
      <c r="A30" s="2939"/>
      <c r="B30" s="2938" t="s">
        <v>790</v>
      </c>
      <c r="C30" s="2937"/>
      <c r="D30" s="2695"/>
      <c r="E30" s="2285"/>
      <c r="F30" s="2285"/>
      <c r="G30" s="2198"/>
      <c r="H30" s="2109"/>
      <c r="I30" s="2936"/>
      <c r="J30" s="2109"/>
      <c r="K30" s="2936"/>
      <c r="L30" s="2109"/>
      <c r="M30" s="2936"/>
      <c r="N30" s="2109"/>
      <c r="O30" s="2936"/>
      <c r="P30" s="2109"/>
      <c r="Q30" s="2936"/>
      <c r="R30" s="2505"/>
      <c r="S30" s="2936"/>
      <c r="T30" s="2109"/>
      <c r="U30" s="2936"/>
      <c r="V30" s="2109"/>
      <c r="W30" s="2936"/>
      <c r="X30" s="4053"/>
      <c r="Y30" s="4040"/>
      <c r="Z30" s="2109"/>
      <c r="AA30" s="2898"/>
      <c r="AB30" s="2109"/>
      <c r="AC30" s="2898"/>
      <c r="AD30" s="4089"/>
      <c r="AE30" s="2109"/>
      <c r="AF30" s="2936"/>
      <c r="AG30" s="2109"/>
      <c r="AH30" s="2898"/>
      <c r="AI30" s="2109"/>
      <c r="AJ30" s="2898"/>
      <c r="AK30" s="2109"/>
      <c r="AL30" s="2898"/>
      <c r="AM30" s="2109"/>
      <c r="AN30" s="2898"/>
      <c r="AO30" s="2109"/>
      <c r="AP30" s="2898"/>
      <c r="AQ30" s="2109"/>
      <c r="AR30" s="2898"/>
      <c r="AS30" s="2109"/>
      <c r="AT30" s="2898"/>
      <c r="AU30" s="2109"/>
      <c r="AV30" s="2898"/>
      <c r="AW30" s="2898"/>
      <c r="AX30" s="2898"/>
      <c r="AY30" s="2331"/>
      <c r="AZ30" s="2898"/>
    </row>
    <row r="31" spans="1:52" x14ac:dyDescent="0.35">
      <c r="A31" s="2934"/>
      <c r="B31" s="2938" t="s">
        <v>791</v>
      </c>
      <c r="C31" s="2937"/>
      <c r="D31" s="2695"/>
      <c r="E31" s="2285"/>
      <c r="F31" s="2285"/>
      <c r="G31" s="2198"/>
      <c r="H31" s="2109"/>
      <c r="I31" s="2936"/>
      <c r="J31" s="2109"/>
      <c r="K31" s="2936"/>
      <c r="L31" s="2109"/>
      <c r="M31" s="2936"/>
      <c r="N31" s="2109"/>
      <c r="O31" s="2936"/>
      <c r="P31" s="2109"/>
      <c r="Q31" s="2936"/>
      <c r="R31" s="2505"/>
      <c r="S31" s="2936"/>
      <c r="T31" s="2109"/>
      <c r="U31" s="2936"/>
      <c r="V31" s="2109"/>
      <c r="W31" s="2936"/>
      <c r="X31" s="4053"/>
      <c r="Y31" s="4040"/>
      <c r="Z31" s="2109"/>
      <c r="AA31" s="2898"/>
      <c r="AB31" s="2109"/>
      <c r="AC31" s="2898"/>
      <c r="AD31" s="4089"/>
      <c r="AE31" s="2109"/>
      <c r="AF31" s="2936"/>
      <c r="AG31" s="2109"/>
      <c r="AH31" s="2898"/>
      <c r="AI31" s="2109"/>
      <c r="AJ31" s="2898"/>
      <c r="AK31" s="2109"/>
      <c r="AL31" s="2898"/>
      <c r="AM31" s="2109"/>
      <c r="AN31" s="2898"/>
      <c r="AO31" s="2109"/>
      <c r="AP31" s="2898"/>
      <c r="AQ31" s="2109"/>
      <c r="AR31" s="2898"/>
      <c r="AS31" s="2109"/>
      <c r="AT31" s="2898"/>
      <c r="AU31" s="2109"/>
      <c r="AV31" s="2898"/>
      <c r="AW31" s="2898"/>
      <c r="AX31" s="2898"/>
      <c r="AY31" s="2331"/>
      <c r="AZ31" s="2898"/>
    </row>
    <row r="32" spans="1:52" x14ac:dyDescent="0.35">
      <c r="A32" s="2934"/>
      <c r="B32" s="2940" t="s">
        <v>664</v>
      </c>
      <c r="C32" s="2937"/>
      <c r="D32" s="2695"/>
      <c r="E32" s="2285"/>
      <c r="F32" s="2285"/>
      <c r="G32" s="2198"/>
      <c r="H32" s="2109"/>
      <c r="I32" s="2898"/>
      <c r="J32" s="2109"/>
      <c r="K32" s="2898"/>
      <c r="L32" s="2109"/>
      <c r="M32" s="2898"/>
      <c r="N32" s="2109"/>
      <c r="O32" s="2898"/>
      <c r="P32" s="2109"/>
      <c r="Q32" s="2898"/>
      <c r="R32" s="2505"/>
      <c r="S32" s="2898"/>
      <c r="T32" s="2109"/>
      <c r="U32" s="2898"/>
      <c r="V32" s="2109"/>
      <c r="W32" s="2898"/>
      <c r="X32" s="4053"/>
      <c r="Y32" s="4030"/>
      <c r="Z32" s="2109"/>
      <c r="AA32" s="2898"/>
      <c r="AB32" s="2109"/>
      <c r="AC32" s="2898"/>
      <c r="AD32" s="4089"/>
      <c r="AE32" s="2109"/>
      <c r="AF32" s="2898"/>
      <c r="AG32" s="2109"/>
      <c r="AH32" s="2898"/>
      <c r="AI32" s="2109"/>
      <c r="AJ32" s="2898"/>
      <c r="AK32" s="2109"/>
      <c r="AL32" s="2898"/>
      <c r="AM32" s="2109"/>
      <c r="AN32" s="2898"/>
      <c r="AO32" s="2109"/>
      <c r="AP32" s="2898"/>
      <c r="AQ32" s="2109"/>
      <c r="AR32" s="2898"/>
      <c r="AS32" s="2109"/>
      <c r="AT32" s="2898"/>
      <c r="AU32" s="2109"/>
      <c r="AV32" s="2898"/>
      <c r="AW32" s="2898"/>
      <c r="AX32" s="2898"/>
      <c r="AY32" s="2331" t="s">
        <v>654</v>
      </c>
      <c r="AZ32" s="2898"/>
    </row>
    <row r="33" spans="1:56" x14ac:dyDescent="0.35">
      <c r="A33" s="2934"/>
      <c r="B33" s="2941" t="s">
        <v>665</v>
      </c>
      <c r="C33" s="2942"/>
      <c r="D33" s="2943"/>
      <c r="E33" s="2888"/>
      <c r="F33" s="2944"/>
      <c r="G33" s="2945"/>
      <c r="H33" s="2946"/>
      <c r="I33" s="2947">
        <v>2844228</v>
      </c>
      <c r="J33" s="2946"/>
      <c r="K33" s="2947">
        <f>2809000+138000+92000+41000</f>
        <v>3080000</v>
      </c>
      <c r="L33" s="2946"/>
      <c r="M33" s="2947">
        <f>2505000+138000+92000+41000</f>
        <v>2776000</v>
      </c>
      <c r="N33" s="2946"/>
      <c r="O33" s="2947">
        <v>2888945</v>
      </c>
      <c r="P33" s="2946"/>
      <c r="Q33" s="2947">
        <v>3200000</v>
      </c>
      <c r="R33" s="2946"/>
      <c r="S33" s="2947">
        <v>3277000</v>
      </c>
      <c r="T33" s="2288"/>
      <c r="U33" s="2947">
        <v>3277775</v>
      </c>
      <c r="V33" s="2288"/>
      <c r="W33" s="2947">
        <v>3061498</v>
      </c>
      <c r="X33" s="4054"/>
      <c r="Y33" s="3530">
        <v>2625313</v>
      </c>
      <c r="Z33" s="2948"/>
      <c r="AA33" s="2947">
        <v>3985968</v>
      </c>
      <c r="AB33" s="2948"/>
      <c r="AC33" s="2947">
        <v>3985968</v>
      </c>
      <c r="AD33" s="4094"/>
      <c r="AE33" s="2288"/>
      <c r="AF33" s="2947">
        <v>3882773</v>
      </c>
      <c r="AG33" s="2948"/>
      <c r="AH33" s="2947">
        <v>3985968</v>
      </c>
      <c r="AI33" s="2948"/>
      <c r="AJ33" s="2947">
        <v>4132334</v>
      </c>
      <c r="AK33" s="2948"/>
      <c r="AL33" s="2947">
        <v>3558780</v>
      </c>
      <c r="AM33" s="2948"/>
      <c r="AN33" s="2947">
        <v>4450000</v>
      </c>
      <c r="AO33" s="2948"/>
      <c r="AP33" s="2947">
        <v>5340445</v>
      </c>
      <c r="AQ33" s="2948"/>
      <c r="AR33" s="2949">
        <v>5320000</v>
      </c>
      <c r="AS33" s="2950"/>
      <c r="AT33" s="2949"/>
      <c r="AU33" s="2951"/>
      <c r="AV33" s="2949"/>
      <c r="AW33" s="2951"/>
      <c r="AX33" s="2951"/>
      <c r="AY33" s="2288" t="s">
        <v>654</v>
      </c>
      <c r="AZ33" s="2951"/>
      <c r="BA33" s="163"/>
      <c r="BB33" s="163"/>
      <c r="BC33" s="163"/>
      <c r="BD33" s="163"/>
    </row>
    <row r="34" spans="1:56" x14ac:dyDescent="0.35">
      <c r="A34" s="2934"/>
      <c r="B34" s="2893" t="s">
        <v>874</v>
      </c>
      <c r="C34" s="2937"/>
      <c r="D34" s="2952"/>
      <c r="E34" s="2285"/>
      <c r="F34" s="2232"/>
      <c r="G34" s="2233"/>
      <c r="H34" s="2109"/>
      <c r="I34" s="2898"/>
      <c r="J34" s="2109"/>
      <c r="K34" s="2898"/>
      <c r="L34" s="2109"/>
      <c r="M34" s="2898"/>
      <c r="N34" s="2109"/>
      <c r="O34" s="2898"/>
      <c r="P34" s="2109"/>
      <c r="Q34" s="2898"/>
      <c r="R34" s="2505"/>
      <c r="S34" s="2898"/>
      <c r="T34" s="2109"/>
      <c r="U34" s="2898"/>
      <c r="V34" s="2109"/>
      <c r="W34" s="2898"/>
      <c r="X34" s="4053"/>
      <c r="Y34" s="4030"/>
      <c r="Z34" s="2109"/>
      <c r="AA34" s="2898"/>
      <c r="AB34" s="2109"/>
      <c r="AC34" s="2898"/>
      <c r="AD34" s="4089"/>
      <c r="AE34" s="2109"/>
      <c r="AF34" s="2898"/>
      <c r="AG34" s="2109"/>
      <c r="AH34" s="2898"/>
      <c r="AI34" s="2109"/>
      <c r="AJ34" s="2898"/>
      <c r="AK34" s="2109"/>
      <c r="AL34" s="2898"/>
      <c r="AM34" s="2109"/>
      <c r="AN34" s="2898"/>
      <c r="AO34" s="2109"/>
      <c r="AP34" s="2898"/>
      <c r="AQ34" s="2109"/>
      <c r="AR34" s="2898"/>
      <c r="AS34" s="2109"/>
      <c r="AT34" s="2898"/>
      <c r="AU34" s="2109"/>
      <c r="AV34" s="2898"/>
      <c r="AW34" s="2898"/>
      <c r="AX34" s="2898"/>
      <c r="AY34" s="2331" t="s">
        <v>654</v>
      </c>
      <c r="AZ34" s="2898"/>
    </row>
    <row r="35" spans="1:56" x14ac:dyDescent="0.35">
      <c r="A35" s="2934"/>
      <c r="B35" s="2893" t="s">
        <v>3398</v>
      </c>
      <c r="C35" s="2937"/>
      <c r="D35" s="2952"/>
      <c r="E35" s="2285"/>
      <c r="F35" s="2232"/>
      <c r="G35" s="2233"/>
      <c r="H35" s="2109" t="s">
        <v>669</v>
      </c>
      <c r="I35" s="2898"/>
      <c r="J35" s="2109" t="s">
        <v>669</v>
      </c>
      <c r="K35" s="2898"/>
      <c r="L35" s="2109" t="s">
        <v>669</v>
      </c>
      <c r="M35" s="2898"/>
      <c r="N35" s="2109" t="s">
        <v>669</v>
      </c>
      <c r="O35" s="2898"/>
      <c r="P35" s="2109" t="s">
        <v>669</v>
      </c>
      <c r="Q35" s="2898"/>
      <c r="R35" s="2505" t="s">
        <v>669</v>
      </c>
      <c r="S35" s="2898"/>
      <c r="T35" s="2109" t="s">
        <v>669</v>
      </c>
      <c r="U35" s="2898"/>
      <c r="V35" s="2109" t="s">
        <v>669</v>
      </c>
      <c r="W35" s="2898"/>
      <c r="X35" s="4053" t="s">
        <v>669</v>
      </c>
      <c r="Y35" s="4030"/>
      <c r="Z35" s="2109" t="s">
        <v>669</v>
      </c>
      <c r="AA35" s="2898"/>
      <c r="AB35" s="2109" t="s">
        <v>669</v>
      </c>
      <c r="AC35" s="2898"/>
      <c r="AD35" s="4089"/>
      <c r="AE35" s="2109" t="s">
        <v>669</v>
      </c>
      <c r="AF35" s="2898"/>
      <c r="AG35" s="2109" t="s">
        <v>669</v>
      </c>
      <c r="AH35" s="2898"/>
      <c r="AI35" s="2109" t="s">
        <v>669</v>
      </c>
      <c r="AJ35" s="2898"/>
      <c r="AK35" s="2109" t="s">
        <v>669</v>
      </c>
      <c r="AL35" s="2898"/>
      <c r="AM35" s="2109" t="s">
        <v>669</v>
      </c>
      <c r="AN35" s="2898"/>
      <c r="AO35" s="2109" t="s">
        <v>669</v>
      </c>
      <c r="AP35" s="2898"/>
      <c r="AQ35" s="2109" t="s">
        <v>669</v>
      </c>
      <c r="AR35" s="2898"/>
      <c r="AS35" s="2109"/>
      <c r="AT35" s="2898"/>
      <c r="AU35" s="2109"/>
      <c r="AV35" s="2898"/>
      <c r="AW35" s="2898"/>
      <c r="AX35" s="2898"/>
      <c r="AY35" s="2331"/>
      <c r="AZ35" s="2898"/>
    </row>
    <row r="36" spans="1:56" x14ac:dyDescent="0.35">
      <c r="A36" s="2953"/>
      <c r="B36" s="2954" t="s">
        <v>3399</v>
      </c>
      <c r="C36" s="2955" t="s">
        <v>3400</v>
      </c>
      <c r="D36" s="2952"/>
      <c r="E36" s="2285"/>
      <c r="F36" s="2232"/>
      <c r="G36" s="2233"/>
      <c r="H36" s="2109" t="s">
        <v>669</v>
      </c>
      <c r="I36" s="2898"/>
      <c r="J36" s="2109" t="s">
        <v>669</v>
      </c>
      <c r="K36" s="2898"/>
      <c r="L36" s="2109" t="s">
        <v>669</v>
      </c>
      <c r="M36" s="2898"/>
      <c r="N36" s="2109" t="s">
        <v>669</v>
      </c>
      <c r="O36" s="2898"/>
      <c r="P36" s="2109" t="s">
        <v>669</v>
      </c>
      <c r="Q36" s="2898"/>
      <c r="R36" s="2505" t="s">
        <v>669</v>
      </c>
      <c r="S36" s="2898"/>
      <c r="T36" s="2109" t="s">
        <v>669</v>
      </c>
      <c r="U36" s="2898"/>
      <c r="V36" s="2109" t="s">
        <v>669</v>
      </c>
      <c r="W36" s="2898"/>
      <c r="X36" s="4053" t="s">
        <v>669</v>
      </c>
      <c r="Y36" s="4030"/>
      <c r="Z36" s="2109" t="s">
        <v>669</v>
      </c>
      <c r="AA36" s="2898"/>
      <c r="AB36" s="2109" t="s">
        <v>669</v>
      </c>
      <c r="AC36" s="2898"/>
      <c r="AD36" s="4089"/>
      <c r="AE36" s="2109" t="s">
        <v>669</v>
      </c>
      <c r="AF36" s="2898"/>
      <c r="AG36" s="2109" t="s">
        <v>669</v>
      </c>
      <c r="AH36" s="2898"/>
      <c r="AI36" s="2109" t="s">
        <v>669</v>
      </c>
      <c r="AJ36" s="2898"/>
      <c r="AK36" s="2109" t="s">
        <v>669</v>
      </c>
      <c r="AL36" s="2898"/>
      <c r="AM36" s="2109" t="s">
        <v>669</v>
      </c>
      <c r="AN36" s="2898"/>
      <c r="AO36" s="2109" t="s">
        <v>669</v>
      </c>
      <c r="AP36" s="2898"/>
      <c r="AQ36" s="2109" t="s">
        <v>669</v>
      </c>
      <c r="AR36" s="2898"/>
      <c r="AS36" s="2109"/>
      <c r="AT36" s="2898"/>
      <c r="AU36" s="2109"/>
      <c r="AV36" s="2898"/>
      <c r="AW36" s="2898"/>
      <c r="AX36" s="2898"/>
      <c r="AY36" s="2331"/>
      <c r="AZ36" s="2898"/>
    </row>
    <row r="37" spans="1:56" x14ac:dyDescent="0.35">
      <c r="A37" s="2953"/>
      <c r="B37" s="2954" t="s">
        <v>3401</v>
      </c>
      <c r="C37" s="2955" t="s">
        <v>3400</v>
      </c>
      <c r="D37" s="2952"/>
      <c r="E37" s="2285"/>
      <c r="F37" s="2232"/>
      <c r="G37" s="2233"/>
      <c r="H37" s="2109" t="s">
        <v>669</v>
      </c>
      <c r="I37" s="2898"/>
      <c r="J37" s="2109" t="s">
        <v>669</v>
      </c>
      <c r="K37" s="2898"/>
      <c r="L37" s="2109" t="s">
        <v>669</v>
      </c>
      <c r="M37" s="2898"/>
      <c r="N37" s="2109" t="s">
        <v>669</v>
      </c>
      <c r="O37" s="2898"/>
      <c r="P37" s="2109" t="s">
        <v>669</v>
      </c>
      <c r="Q37" s="2898"/>
      <c r="R37" s="2505" t="s">
        <v>669</v>
      </c>
      <c r="S37" s="2898"/>
      <c r="T37" s="2109" t="s">
        <v>669</v>
      </c>
      <c r="U37" s="2898"/>
      <c r="V37" s="2109" t="s">
        <v>669</v>
      </c>
      <c r="W37" s="2898"/>
      <c r="X37" s="4053" t="s">
        <v>669</v>
      </c>
      <c r="Y37" s="4030"/>
      <c r="Z37" s="2109" t="s">
        <v>669</v>
      </c>
      <c r="AA37" s="2898"/>
      <c r="AB37" s="2109" t="s">
        <v>669</v>
      </c>
      <c r="AC37" s="2898"/>
      <c r="AD37" s="4089"/>
      <c r="AE37" s="2109" t="s">
        <v>669</v>
      </c>
      <c r="AF37" s="2898"/>
      <c r="AG37" s="2109" t="s">
        <v>669</v>
      </c>
      <c r="AH37" s="2898"/>
      <c r="AI37" s="2109" t="s">
        <v>669</v>
      </c>
      <c r="AJ37" s="2898"/>
      <c r="AK37" s="2109" t="s">
        <v>669</v>
      </c>
      <c r="AL37" s="2898"/>
      <c r="AM37" s="2109" t="s">
        <v>669</v>
      </c>
      <c r="AN37" s="2898"/>
      <c r="AO37" s="2109" t="s">
        <v>669</v>
      </c>
      <c r="AP37" s="2898"/>
      <c r="AQ37" s="2109" t="s">
        <v>669</v>
      </c>
      <c r="AR37" s="2898"/>
      <c r="AS37" s="2109"/>
      <c r="AT37" s="2898"/>
      <c r="AU37" s="2109"/>
      <c r="AV37" s="2898"/>
      <c r="AW37" s="2898"/>
      <c r="AX37" s="2898"/>
      <c r="AY37" s="2331"/>
      <c r="AZ37" s="2898"/>
    </row>
    <row r="38" spans="1:56" x14ac:dyDescent="0.35">
      <c r="A38" s="2953"/>
      <c r="B38" s="2954" t="s">
        <v>3402</v>
      </c>
      <c r="C38" s="2955"/>
      <c r="D38" s="2952"/>
      <c r="E38" s="2285"/>
      <c r="F38" s="2232"/>
      <c r="G38" s="2233"/>
      <c r="H38" s="2109" t="s">
        <v>669</v>
      </c>
      <c r="I38" s="2898"/>
      <c r="J38" s="2109" t="s">
        <v>669</v>
      </c>
      <c r="K38" s="2898"/>
      <c r="L38" s="2109" t="s">
        <v>669</v>
      </c>
      <c r="M38" s="2898"/>
      <c r="N38" s="2109" t="s">
        <v>669</v>
      </c>
      <c r="O38" s="2898"/>
      <c r="P38" s="2109" t="s">
        <v>669</v>
      </c>
      <c r="Q38" s="2898"/>
      <c r="R38" s="2505" t="s">
        <v>669</v>
      </c>
      <c r="S38" s="2898"/>
      <c r="T38" s="2109" t="s">
        <v>669</v>
      </c>
      <c r="U38" s="2898"/>
      <c r="V38" s="2109" t="s">
        <v>669</v>
      </c>
      <c r="W38" s="2898"/>
      <c r="X38" s="4053" t="s">
        <v>669</v>
      </c>
      <c r="Y38" s="4030"/>
      <c r="Z38" s="2109" t="s">
        <v>669</v>
      </c>
      <c r="AA38" s="2898"/>
      <c r="AB38" s="2109" t="s">
        <v>669</v>
      </c>
      <c r="AC38" s="2898"/>
      <c r="AD38" s="4089"/>
      <c r="AE38" s="2109" t="s">
        <v>669</v>
      </c>
      <c r="AF38" s="2898"/>
      <c r="AG38" s="2109" t="s">
        <v>669</v>
      </c>
      <c r="AH38" s="2898"/>
      <c r="AI38" s="2109" t="s">
        <v>669</v>
      </c>
      <c r="AJ38" s="2898"/>
      <c r="AK38" s="2109" t="s">
        <v>669</v>
      </c>
      <c r="AL38" s="2898"/>
      <c r="AM38" s="2109" t="s">
        <v>669</v>
      </c>
      <c r="AN38" s="2898"/>
      <c r="AO38" s="2109" t="s">
        <v>669</v>
      </c>
      <c r="AP38" s="2898"/>
      <c r="AQ38" s="2109" t="s">
        <v>669</v>
      </c>
      <c r="AR38" s="2898"/>
      <c r="AS38" s="2109"/>
      <c r="AT38" s="2898"/>
      <c r="AU38" s="2109"/>
      <c r="AV38" s="2898"/>
      <c r="AW38" s="2898"/>
      <c r="AX38" s="2898"/>
      <c r="AY38" s="2331"/>
      <c r="AZ38" s="2898"/>
    </row>
    <row r="39" spans="1:56" x14ac:dyDescent="0.35">
      <c r="A39" s="2953"/>
      <c r="B39" s="2954" t="s">
        <v>3403</v>
      </c>
      <c r="C39" s="2955"/>
      <c r="D39" s="2952"/>
      <c r="E39" s="2285"/>
      <c r="F39" s="2232"/>
      <c r="G39" s="2233"/>
      <c r="H39" s="2109" t="s">
        <v>669</v>
      </c>
      <c r="I39" s="2898"/>
      <c r="J39" s="2109" t="s">
        <v>669</v>
      </c>
      <c r="K39" s="2898"/>
      <c r="L39" s="2109" t="s">
        <v>669</v>
      </c>
      <c r="M39" s="2898"/>
      <c r="N39" s="2109" t="s">
        <v>669</v>
      </c>
      <c r="O39" s="2898"/>
      <c r="P39" s="2109" t="s">
        <v>669</v>
      </c>
      <c r="Q39" s="2898"/>
      <c r="R39" s="2505" t="s">
        <v>669</v>
      </c>
      <c r="S39" s="2898"/>
      <c r="T39" s="2109" t="s">
        <v>669</v>
      </c>
      <c r="U39" s="2898"/>
      <c r="V39" s="2109" t="s">
        <v>669</v>
      </c>
      <c r="W39" s="2898"/>
      <c r="X39" s="4053" t="s">
        <v>669</v>
      </c>
      <c r="Y39" s="4030"/>
      <c r="Z39" s="2109" t="s">
        <v>669</v>
      </c>
      <c r="AA39" s="2898"/>
      <c r="AB39" s="2109" t="s">
        <v>669</v>
      </c>
      <c r="AC39" s="2898"/>
      <c r="AD39" s="4089"/>
      <c r="AE39" s="2109" t="s">
        <v>669</v>
      </c>
      <c r="AF39" s="2898"/>
      <c r="AG39" s="2109" t="s">
        <v>669</v>
      </c>
      <c r="AH39" s="2898"/>
      <c r="AI39" s="2109" t="s">
        <v>669</v>
      </c>
      <c r="AJ39" s="2898"/>
      <c r="AK39" s="2109" t="s">
        <v>669</v>
      </c>
      <c r="AL39" s="2898"/>
      <c r="AM39" s="2109" t="s">
        <v>669</v>
      </c>
      <c r="AN39" s="2898"/>
      <c r="AO39" s="2109" t="s">
        <v>669</v>
      </c>
      <c r="AP39" s="2898"/>
      <c r="AQ39" s="2109" t="s">
        <v>669</v>
      </c>
      <c r="AR39" s="2898"/>
      <c r="AS39" s="2109"/>
      <c r="AT39" s="2898"/>
      <c r="AU39" s="2109"/>
      <c r="AV39" s="2898"/>
      <c r="AW39" s="2898"/>
      <c r="AX39" s="2898"/>
      <c r="AY39" s="2331"/>
      <c r="AZ39" s="2898"/>
    </row>
    <row r="40" spans="1:56" x14ac:dyDescent="0.35">
      <c r="A40" s="2953"/>
      <c r="B40" s="2954" t="s">
        <v>3404</v>
      </c>
      <c r="C40" s="2955"/>
      <c r="D40" s="2952"/>
      <c r="E40" s="2285"/>
      <c r="F40" s="2232"/>
      <c r="G40" s="2233"/>
      <c r="H40" s="2109" t="s">
        <v>669</v>
      </c>
      <c r="I40" s="2898"/>
      <c r="J40" s="2109" t="s">
        <v>671</v>
      </c>
      <c r="K40" s="2898"/>
      <c r="L40" s="2109" t="s">
        <v>671</v>
      </c>
      <c r="M40" s="2898"/>
      <c r="N40" s="2109" t="s">
        <v>671</v>
      </c>
      <c r="O40" s="2898"/>
      <c r="P40" s="2109" t="s">
        <v>671</v>
      </c>
      <c r="Q40" s="2956"/>
      <c r="R40" s="2505" t="s">
        <v>671</v>
      </c>
      <c r="S40" s="2956"/>
      <c r="T40" s="2109" t="s">
        <v>669</v>
      </c>
      <c r="U40" s="2898"/>
      <c r="V40" s="2109" t="s">
        <v>669</v>
      </c>
      <c r="W40" s="2898"/>
      <c r="X40" s="4053" t="s">
        <v>669</v>
      </c>
      <c r="Y40" s="4030"/>
      <c r="Z40" s="2109" t="s">
        <v>669</v>
      </c>
      <c r="AA40" s="2898"/>
      <c r="AB40" s="2109" t="s">
        <v>669</v>
      </c>
      <c r="AC40" s="2898"/>
      <c r="AD40" s="4089"/>
      <c r="AE40" s="2109" t="s">
        <v>669</v>
      </c>
      <c r="AF40" s="2898"/>
      <c r="AG40" s="2109" t="s">
        <v>669</v>
      </c>
      <c r="AH40" s="2898"/>
      <c r="AI40" s="2109" t="s">
        <v>669</v>
      </c>
      <c r="AJ40" s="2898"/>
      <c r="AK40" s="2109" t="s">
        <v>669</v>
      </c>
      <c r="AL40" s="2898"/>
      <c r="AM40" s="2109" t="s">
        <v>669</v>
      </c>
      <c r="AN40" s="2898"/>
      <c r="AO40" s="2109" t="s">
        <v>669</v>
      </c>
      <c r="AP40" s="2898"/>
      <c r="AQ40" s="2109" t="s">
        <v>669</v>
      </c>
      <c r="AR40" s="2898"/>
      <c r="AS40" s="2109"/>
      <c r="AT40" s="2898"/>
      <c r="AU40" s="2109"/>
      <c r="AV40" s="2898"/>
      <c r="AW40" s="2898"/>
      <c r="AX40" s="2898"/>
      <c r="AY40" s="2331"/>
      <c r="AZ40" s="2898"/>
    </row>
    <row r="41" spans="1:56" x14ac:dyDescent="0.35">
      <c r="A41" s="2953"/>
      <c r="B41" s="2284" t="s">
        <v>3405</v>
      </c>
      <c r="C41" s="2955" t="s">
        <v>3406</v>
      </c>
      <c r="D41" s="2952"/>
      <c r="E41" s="2285"/>
      <c r="F41" s="2232"/>
      <c r="G41" s="2233"/>
      <c r="H41" s="2109" t="s">
        <v>669</v>
      </c>
      <c r="I41" s="2936"/>
      <c r="J41" s="2109" t="s">
        <v>669</v>
      </c>
      <c r="K41" s="2936"/>
      <c r="L41" s="2109" t="s">
        <v>669</v>
      </c>
      <c r="M41" s="2936"/>
      <c r="N41" s="2109" t="s">
        <v>669</v>
      </c>
      <c r="O41" s="2936"/>
      <c r="P41" s="2109" t="s">
        <v>669</v>
      </c>
      <c r="Q41" s="2936"/>
      <c r="R41" s="2505" t="s">
        <v>669</v>
      </c>
      <c r="S41" s="2936"/>
      <c r="T41" s="2109" t="s">
        <v>669</v>
      </c>
      <c r="U41" s="2898"/>
      <c r="V41" s="2109" t="s">
        <v>669</v>
      </c>
      <c r="W41" s="2898"/>
      <c r="X41" s="4053" t="s">
        <v>669</v>
      </c>
      <c r="Y41" s="4030"/>
      <c r="Z41" s="2109" t="s">
        <v>669</v>
      </c>
      <c r="AA41" s="2898"/>
      <c r="AB41" s="2109" t="s">
        <v>669</v>
      </c>
      <c r="AC41" s="2898"/>
      <c r="AD41" s="4089"/>
      <c r="AE41" s="2109" t="s">
        <v>669</v>
      </c>
      <c r="AF41" s="2898"/>
      <c r="AG41" s="2109" t="s">
        <v>669</v>
      </c>
      <c r="AH41" s="2898"/>
      <c r="AI41" s="2109" t="s">
        <v>669</v>
      </c>
      <c r="AJ41" s="2898"/>
      <c r="AK41" s="2109" t="s">
        <v>669</v>
      </c>
      <c r="AL41" s="2898"/>
      <c r="AM41" s="2109" t="s">
        <v>669</v>
      </c>
      <c r="AN41" s="2898"/>
      <c r="AO41" s="2109" t="s">
        <v>669</v>
      </c>
      <c r="AP41" s="2898"/>
      <c r="AQ41" s="2109" t="s">
        <v>669</v>
      </c>
      <c r="AR41" s="2898"/>
      <c r="AS41" s="2109"/>
      <c r="AT41" s="2898"/>
      <c r="AU41" s="2109"/>
      <c r="AV41" s="2898"/>
      <c r="AW41" s="2898"/>
      <c r="AX41" s="2898"/>
      <c r="AY41" s="2331"/>
      <c r="AZ41" s="2898"/>
    </row>
    <row r="42" spans="1:56" x14ac:dyDescent="0.35">
      <c r="A42" s="2953"/>
      <c r="B42" s="2284" t="s">
        <v>3407</v>
      </c>
      <c r="C42" s="2955"/>
      <c r="D42" s="2952"/>
      <c r="E42" s="2285"/>
      <c r="F42" s="2232"/>
      <c r="G42" s="2233"/>
      <c r="H42" s="2109"/>
      <c r="I42" s="2936"/>
      <c r="J42" s="2109"/>
      <c r="K42" s="2936"/>
      <c r="L42" s="2109"/>
      <c r="M42" s="2936"/>
      <c r="N42" s="2109"/>
      <c r="O42" s="2936"/>
      <c r="P42" s="2109" t="s">
        <v>669</v>
      </c>
      <c r="Q42" s="2936"/>
      <c r="R42" s="2505" t="s">
        <v>669</v>
      </c>
      <c r="S42" s="2936"/>
      <c r="T42" s="2109"/>
      <c r="U42" s="2898"/>
      <c r="V42" s="2109"/>
      <c r="W42" s="2898"/>
      <c r="X42" s="4053"/>
      <c r="Y42" s="4030"/>
      <c r="Z42" s="2109"/>
      <c r="AA42" s="2898"/>
      <c r="AB42" s="2109"/>
      <c r="AC42" s="2898"/>
      <c r="AD42" s="4089"/>
      <c r="AE42" s="2109"/>
      <c r="AF42" s="2898"/>
      <c r="AG42" s="2109"/>
      <c r="AH42" s="2898"/>
      <c r="AI42" s="2109"/>
      <c r="AJ42" s="2898"/>
      <c r="AK42" s="2109"/>
      <c r="AL42" s="2898"/>
      <c r="AM42" s="2109"/>
      <c r="AN42" s="2898"/>
      <c r="AO42" s="2109"/>
      <c r="AP42" s="2898"/>
      <c r="AQ42" s="2109"/>
      <c r="AR42" s="2898"/>
      <c r="AS42" s="2109"/>
      <c r="AT42" s="2898"/>
      <c r="AU42" s="2109"/>
      <c r="AV42" s="2898"/>
      <c r="AW42" s="2898"/>
      <c r="AX42" s="2898"/>
      <c r="AY42" s="2331"/>
      <c r="AZ42" s="2898"/>
    </row>
    <row r="43" spans="1:56" x14ac:dyDescent="0.35">
      <c r="A43" s="2953"/>
      <c r="B43" s="2284"/>
      <c r="C43" s="2955"/>
      <c r="D43" s="2952"/>
      <c r="E43" s="2285"/>
      <c r="F43" s="2232"/>
      <c r="G43" s="2233"/>
      <c r="H43" s="2109"/>
      <c r="I43" s="2936"/>
      <c r="J43" s="2109"/>
      <c r="K43" s="2936"/>
      <c r="L43" s="2109"/>
      <c r="M43" s="2936"/>
      <c r="N43" s="2109"/>
      <c r="O43" s="2936"/>
      <c r="P43" s="2109"/>
      <c r="Q43" s="2936"/>
      <c r="R43" s="2505"/>
      <c r="S43" s="2936"/>
      <c r="T43" s="2109"/>
      <c r="U43" s="2898"/>
      <c r="V43" s="2109"/>
      <c r="W43" s="2898"/>
      <c r="X43" s="4053"/>
      <c r="Y43" s="4030"/>
      <c r="Z43" s="2109"/>
      <c r="AA43" s="2898"/>
      <c r="AB43" s="2109"/>
      <c r="AC43" s="2898"/>
      <c r="AD43" s="4089"/>
      <c r="AE43" s="2109"/>
      <c r="AF43" s="2898"/>
      <c r="AG43" s="2109"/>
      <c r="AH43" s="2898"/>
      <c r="AI43" s="2109"/>
      <c r="AJ43" s="2898"/>
      <c r="AK43" s="2109"/>
      <c r="AL43" s="2898"/>
      <c r="AM43" s="2109"/>
      <c r="AN43" s="2898"/>
      <c r="AO43" s="2109"/>
      <c r="AP43" s="2898"/>
      <c r="AQ43" s="2109"/>
      <c r="AR43" s="2898"/>
      <c r="AS43" s="2109"/>
      <c r="AT43" s="2898"/>
      <c r="AU43" s="2109"/>
      <c r="AV43" s="2898"/>
      <c r="AW43" s="2898"/>
      <c r="AX43" s="2898"/>
      <c r="AY43" s="2331"/>
      <c r="AZ43" s="2898"/>
    </row>
    <row r="44" spans="1:56" x14ac:dyDescent="0.35">
      <c r="A44" s="2953"/>
      <c r="B44" s="2957" t="s">
        <v>3408</v>
      </c>
      <c r="C44" s="2955"/>
      <c r="D44" s="2952"/>
      <c r="E44" s="2285"/>
      <c r="F44" s="2232"/>
      <c r="G44" s="2233"/>
      <c r="H44" s="2109"/>
      <c r="I44" s="2898"/>
      <c r="J44" s="2109"/>
      <c r="K44" s="2898"/>
      <c r="L44" s="2109"/>
      <c r="M44" s="2898"/>
      <c r="N44" s="2109"/>
      <c r="O44" s="2898"/>
      <c r="P44" s="2109"/>
      <c r="Q44" s="2898"/>
      <c r="R44" s="2505"/>
      <c r="S44" s="2898"/>
      <c r="T44" s="2109"/>
      <c r="U44" s="2898"/>
      <c r="V44" s="2109"/>
      <c r="W44" s="2898"/>
      <c r="X44" s="4053"/>
      <c r="Y44" s="4030"/>
      <c r="Z44" s="2109"/>
      <c r="AA44" s="2898"/>
      <c r="AB44" s="2109"/>
      <c r="AC44" s="2898"/>
      <c r="AD44" s="4089"/>
      <c r="AE44" s="2109"/>
      <c r="AF44" s="2898"/>
      <c r="AG44" s="2109"/>
      <c r="AH44" s="2898"/>
      <c r="AI44" s="2109"/>
      <c r="AJ44" s="2898"/>
      <c r="AK44" s="2109"/>
      <c r="AL44" s="2898"/>
      <c r="AM44" s="2109"/>
      <c r="AN44" s="2898"/>
      <c r="AO44" s="2109"/>
      <c r="AP44" s="2898"/>
      <c r="AQ44" s="2109"/>
      <c r="AR44" s="2898"/>
      <c r="AS44" s="2109"/>
      <c r="AT44" s="2898"/>
      <c r="AU44" s="2109"/>
      <c r="AV44" s="2898"/>
      <c r="AW44" s="2898"/>
      <c r="AX44" s="2898"/>
      <c r="AY44" s="2331"/>
      <c r="AZ44" s="2898"/>
    </row>
    <row r="45" spans="1:56" x14ac:dyDescent="0.35">
      <c r="A45" s="2939"/>
      <c r="B45" s="2954" t="s">
        <v>3409</v>
      </c>
      <c r="C45" s="2937"/>
      <c r="D45" s="2952"/>
      <c r="E45" s="2285"/>
      <c r="F45" s="2232"/>
      <c r="G45" s="2233"/>
      <c r="H45" s="2109" t="s">
        <v>669</v>
      </c>
      <c r="I45" s="2898"/>
      <c r="J45" s="2109" t="s">
        <v>669</v>
      </c>
      <c r="K45" s="2898"/>
      <c r="L45" s="2109" t="s">
        <v>669</v>
      </c>
      <c r="M45" s="2898"/>
      <c r="N45" s="2109" t="s">
        <v>669</v>
      </c>
      <c r="O45" s="2898"/>
      <c r="P45" s="2109" t="s">
        <v>669</v>
      </c>
      <c r="Q45" s="2898"/>
      <c r="R45" s="2505" t="s">
        <v>669</v>
      </c>
      <c r="S45" s="2898"/>
      <c r="T45" s="2109" t="s">
        <v>669</v>
      </c>
      <c r="U45" s="2898"/>
      <c r="V45" s="2109" t="s">
        <v>669</v>
      </c>
      <c r="W45" s="2898"/>
      <c r="X45" s="4053" t="s">
        <v>669</v>
      </c>
      <c r="Y45" s="4030"/>
      <c r="Z45" s="2109" t="s">
        <v>669</v>
      </c>
      <c r="AA45" s="2898"/>
      <c r="AB45" s="2109" t="s">
        <v>669</v>
      </c>
      <c r="AC45" s="2898"/>
      <c r="AD45" s="4089"/>
      <c r="AE45" s="2109" t="s">
        <v>669</v>
      </c>
      <c r="AF45" s="2898"/>
      <c r="AG45" s="2109" t="s">
        <v>669</v>
      </c>
      <c r="AH45" s="2898"/>
      <c r="AI45" s="2109" t="s">
        <v>669</v>
      </c>
      <c r="AJ45" s="2898"/>
      <c r="AK45" s="2109" t="s">
        <v>669</v>
      </c>
      <c r="AL45" s="2898"/>
      <c r="AM45" s="2109" t="s">
        <v>669</v>
      </c>
      <c r="AN45" s="2898"/>
      <c r="AO45" s="2109" t="s">
        <v>669</v>
      </c>
      <c r="AP45" s="2898"/>
      <c r="AQ45" s="2109" t="s">
        <v>669</v>
      </c>
      <c r="AR45" s="2898"/>
      <c r="AS45" s="2109"/>
      <c r="AT45" s="2898"/>
      <c r="AU45" s="2109"/>
      <c r="AV45" s="2898"/>
      <c r="AW45" s="2898"/>
      <c r="AX45" s="2898"/>
      <c r="AY45" s="2331"/>
      <c r="AZ45" s="2898"/>
    </row>
    <row r="46" spans="1:56" x14ac:dyDescent="0.35">
      <c r="A46" s="2934"/>
      <c r="B46" s="2954" t="s">
        <v>3410</v>
      </c>
      <c r="C46" s="2937"/>
      <c r="D46" s="2952"/>
      <c r="E46" s="2285"/>
      <c r="F46" s="2232"/>
      <c r="G46" s="2233"/>
      <c r="H46" s="2109" t="s">
        <v>669</v>
      </c>
      <c r="I46" s="2898"/>
      <c r="J46" s="2109" t="s">
        <v>669</v>
      </c>
      <c r="K46" s="2898"/>
      <c r="L46" s="2109" t="s">
        <v>669</v>
      </c>
      <c r="M46" s="2898"/>
      <c r="N46" s="2109" t="s">
        <v>669</v>
      </c>
      <c r="O46" s="2898"/>
      <c r="P46" s="2109" t="s">
        <v>669</v>
      </c>
      <c r="Q46" s="2898"/>
      <c r="R46" s="2505" t="s">
        <v>669</v>
      </c>
      <c r="S46" s="2898"/>
      <c r="T46" s="2109" t="s">
        <v>669</v>
      </c>
      <c r="U46" s="2898"/>
      <c r="V46" s="2109" t="s">
        <v>669</v>
      </c>
      <c r="W46" s="2898"/>
      <c r="X46" s="4053" t="s">
        <v>669</v>
      </c>
      <c r="Y46" s="4030"/>
      <c r="Z46" s="2109" t="s">
        <v>669</v>
      </c>
      <c r="AA46" s="2898"/>
      <c r="AB46" s="2109" t="s">
        <v>669</v>
      </c>
      <c r="AC46" s="2898"/>
      <c r="AD46" s="4089"/>
      <c r="AE46" s="2109" t="s">
        <v>669</v>
      </c>
      <c r="AF46" s="2898"/>
      <c r="AG46" s="2109" t="s">
        <v>669</v>
      </c>
      <c r="AH46" s="2898"/>
      <c r="AI46" s="2109" t="s">
        <v>669</v>
      </c>
      <c r="AJ46" s="2898"/>
      <c r="AK46" s="2109" t="s">
        <v>669</v>
      </c>
      <c r="AL46" s="2898"/>
      <c r="AM46" s="2109" t="s">
        <v>669</v>
      </c>
      <c r="AN46" s="2898"/>
      <c r="AO46" s="2109" t="s">
        <v>669</v>
      </c>
      <c r="AP46" s="2898"/>
      <c r="AQ46" s="2109" t="s">
        <v>669</v>
      </c>
      <c r="AR46" s="2898"/>
      <c r="AS46" s="2109"/>
      <c r="AT46" s="2898"/>
      <c r="AU46" s="2109"/>
      <c r="AV46" s="2898"/>
      <c r="AW46" s="2898"/>
      <c r="AX46" s="2898"/>
      <c r="AY46" s="2331"/>
      <c r="AZ46" s="2898"/>
    </row>
    <row r="47" spans="1:56" x14ac:dyDescent="0.35">
      <c r="A47" s="2934"/>
      <c r="B47" s="2954" t="s">
        <v>3411</v>
      </c>
      <c r="C47" s="2937" t="s">
        <v>3412</v>
      </c>
      <c r="D47" s="2952"/>
      <c r="E47" s="2285"/>
      <c r="F47" s="2232"/>
      <c r="G47" s="2233"/>
      <c r="H47" s="2109" t="s">
        <v>669</v>
      </c>
      <c r="I47" s="2898"/>
      <c r="J47" s="2109" t="s">
        <v>669</v>
      </c>
      <c r="K47" s="2898"/>
      <c r="L47" s="2109" t="s">
        <v>669</v>
      </c>
      <c r="M47" s="2898"/>
      <c r="N47" s="2109" t="s">
        <v>669</v>
      </c>
      <c r="O47" s="2898"/>
      <c r="P47" s="2109" t="s">
        <v>669</v>
      </c>
      <c r="Q47" s="2898"/>
      <c r="R47" s="2505" t="s">
        <v>669</v>
      </c>
      <c r="S47" s="2898"/>
      <c r="T47" s="2109" t="s">
        <v>669</v>
      </c>
      <c r="U47" s="2898"/>
      <c r="V47" s="2109" t="s">
        <v>669</v>
      </c>
      <c r="W47" s="2898"/>
      <c r="X47" s="4053" t="s">
        <v>669</v>
      </c>
      <c r="Y47" s="4030"/>
      <c r="Z47" s="2109" t="s">
        <v>669</v>
      </c>
      <c r="AA47" s="2898"/>
      <c r="AB47" s="2109" t="s">
        <v>669</v>
      </c>
      <c r="AC47" s="2898"/>
      <c r="AD47" s="4089"/>
      <c r="AE47" s="2109" t="s">
        <v>669</v>
      </c>
      <c r="AF47" s="2898"/>
      <c r="AG47" s="2109" t="s">
        <v>669</v>
      </c>
      <c r="AH47" s="2898"/>
      <c r="AI47" s="2109" t="s">
        <v>669</v>
      </c>
      <c r="AJ47" s="2898"/>
      <c r="AK47" s="2109" t="s">
        <v>669</v>
      </c>
      <c r="AL47" s="2898"/>
      <c r="AM47" s="2109" t="s">
        <v>669</v>
      </c>
      <c r="AN47" s="2898"/>
      <c r="AO47" s="2109" t="s">
        <v>669</v>
      </c>
      <c r="AP47" s="2898"/>
      <c r="AQ47" s="2109" t="s">
        <v>669</v>
      </c>
      <c r="AR47" s="2898"/>
      <c r="AS47" s="2109"/>
      <c r="AT47" s="2898"/>
      <c r="AU47" s="2109"/>
      <c r="AV47" s="2898"/>
      <c r="AW47" s="2898"/>
      <c r="AX47" s="2898"/>
      <c r="AY47" s="2331"/>
      <c r="AZ47" s="2898"/>
    </row>
    <row r="48" spans="1:56" ht="25" x14ac:dyDescent="0.35">
      <c r="A48" s="2934"/>
      <c r="B48" s="2954" t="s">
        <v>3413</v>
      </c>
      <c r="C48" s="2937" t="s">
        <v>3412</v>
      </c>
      <c r="D48" s="2952"/>
      <c r="E48" s="2285"/>
      <c r="F48" s="2232"/>
      <c r="G48" s="2233"/>
      <c r="H48" s="2109" t="s">
        <v>669</v>
      </c>
      <c r="I48" s="2898"/>
      <c r="J48" s="2109" t="s">
        <v>669</v>
      </c>
      <c r="K48" s="2898"/>
      <c r="L48" s="2109" t="s">
        <v>669</v>
      </c>
      <c r="M48" s="2898"/>
      <c r="N48" s="2109" t="s">
        <v>669</v>
      </c>
      <c r="O48" s="2898"/>
      <c r="P48" s="2109" t="s">
        <v>669</v>
      </c>
      <c r="Q48" s="2898"/>
      <c r="R48" s="2505" t="s">
        <v>669</v>
      </c>
      <c r="S48" s="2898"/>
      <c r="T48" s="2109" t="s">
        <v>669</v>
      </c>
      <c r="U48" s="2898"/>
      <c r="V48" s="2109" t="s">
        <v>669</v>
      </c>
      <c r="W48" s="2898"/>
      <c r="X48" s="4053" t="s">
        <v>669</v>
      </c>
      <c r="Y48" s="4030"/>
      <c r="Z48" s="2109" t="s">
        <v>669</v>
      </c>
      <c r="AA48" s="2898"/>
      <c r="AB48" s="2109" t="s">
        <v>669</v>
      </c>
      <c r="AC48" s="2898"/>
      <c r="AD48" s="4089"/>
      <c r="AE48" s="2109" t="s">
        <v>669</v>
      </c>
      <c r="AF48" s="2898"/>
      <c r="AG48" s="2109" t="s">
        <v>669</v>
      </c>
      <c r="AH48" s="2898"/>
      <c r="AI48" s="2109" t="s">
        <v>669</v>
      </c>
      <c r="AJ48" s="2898"/>
      <c r="AK48" s="2109" t="s">
        <v>669</v>
      </c>
      <c r="AL48" s="2898"/>
      <c r="AM48" s="2109" t="s">
        <v>669</v>
      </c>
      <c r="AN48" s="2898"/>
      <c r="AO48" s="2109" t="s">
        <v>669</v>
      </c>
      <c r="AP48" s="2898"/>
      <c r="AQ48" s="2109" t="s">
        <v>669</v>
      </c>
      <c r="AR48" s="2898"/>
      <c r="AS48" s="2109"/>
      <c r="AT48" s="2898"/>
      <c r="AU48" s="2109"/>
      <c r="AV48" s="2898"/>
      <c r="AW48" s="2898"/>
      <c r="AX48" s="2898"/>
      <c r="AY48" s="2331"/>
      <c r="AZ48" s="2898"/>
    </row>
    <row r="49" spans="1:52" x14ac:dyDescent="0.35">
      <c r="A49" s="2934"/>
      <c r="B49" s="2954" t="s">
        <v>3414</v>
      </c>
      <c r="C49" s="2937" t="s">
        <v>3412</v>
      </c>
      <c r="D49" s="2952"/>
      <c r="E49" s="2285"/>
      <c r="F49" s="2232"/>
      <c r="G49" s="2233"/>
      <c r="H49" s="2109"/>
      <c r="I49" s="2898"/>
      <c r="J49" s="2109"/>
      <c r="K49" s="2898"/>
      <c r="L49" s="2109"/>
      <c r="M49" s="2898"/>
      <c r="N49" s="2109"/>
      <c r="O49" s="2898"/>
      <c r="P49" s="2109"/>
      <c r="Q49" s="2898"/>
      <c r="R49" s="2505"/>
      <c r="S49" s="2898"/>
      <c r="T49" s="2109"/>
      <c r="U49" s="2898"/>
      <c r="V49" s="2109"/>
      <c r="W49" s="2898"/>
      <c r="X49" s="4053"/>
      <c r="Y49" s="4030"/>
      <c r="Z49" s="2109"/>
      <c r="AA49" s="2898"/>
      <c r="AB49" s="2109"/>
      <c r="AC49" s="2898"/>
      <c r="AD49" s="4089"/>
      <c r="AE49" s="2109"/>
      <c r="AF49" s="2898"/>
      <c r="AG49" s="2109"/>
      <c r="AH49" s="2898"/>
      <c r="AI49" s="2109"/>
      <c r="AJ49" s="2898"/>
      <c r="AK49" s="2109"/>
      <c r="AL49" s="2898"/>
      <c r="AM49" s="2109"/>
      <c r="AN49" s="2898"/>
      <c r="AO49" s="2109"/>
      <c r="AP49" s="2898"/>
      <c r="AQ49" s="2109"/>
      <c r="AR49" s="2898"/>
      <c r="AS49" s="2109"/>
      <c r="AT49" s="2898"/>
      <c r="AU49" s="2109"/>
      <c r="AV49" s="2898"/>
      <c r="AW49" s="2898"/>
      <c r="AX49" s="2898"/>
      <c r="AY49" s="2331"/>
      <c r="AZ49" s="2898"/>
    </row>
    <row r="50" spans="1:52" x14ac:dyDescent="0.35">
      <c r="A50" s="2934"/>
      <c r="B50" s="2954" t="s">
        <v>3415</v>
      </c>
      <c r="C50" s="2937"/>
      <c r="D50" s="2952"/>
      <c r="E50" s="2285"/>
      <c r="F50" s="2232"/>
      <c r="G50" s="2233"/>
      <c r="H50" s="2109" t="s">
        <v>669</v>
      </c>
      <c r="I50" s="2898"/>
      <c r="J50" s="2109" t="s">
        <v>669</v>
      </c>
      <c r="K50" s="2898"/>
      <c r="L50" s="2109" t="s">
        <v>669</v>
      </c>
      <c r="M50" s="2898"/>
      <c r="N50" s="2109" t="s">
        <v>669</v>
      </c>
      <c r="O50" s="2898"/>
      <c r="P50" s="2109" t="s">
        <v>669</v>
      </c>
      <c r="Q50" s="2898"/>
      <c r="R50" s="2505" t="s">
        <v>669</v>
      </c>
      <c r="S50" s="2898"/>
      <c r="T50" s="2109" t="s">
        <v>669</v>
      </c>
      <c r="U50" s="2898"/>
      <c r="V50" s="2109" t="s">
        <v>669</v>
      </c>
      <c r="W50" s="2898"/>
      <c r="X50" s="4053" t="s">
        <v>669</v>
      </c>
      <c r="Y50" s="4030"/>
      <c r="Z50" s="2109" t="s">
        <v>669</v>
      </c>
      <c r="AA50" s="2898"/>
      <c r="AB50" s="2109" t="s">
        <v>669</v>
      </c>
      <c r="AC50" s="2898"/>
      <c r="AD50" s="4089"/>
      <c r="AE50" s="2109" t="s">
        <v>669</v>
      </c>
      <c r="AF50" s="2898"/>
      <c r="AG50" s="2109" t="s">
        <v>669</v>
      </c>
      <c r="AH50" s="2898"/>
      <c r="AI50" s="2109" t="s">
        <v>669</v>
      </c>
      <c r="AJ50" s="2898"/>
      <c r="AK50" s="2109" t="s">
        <v>669</v>
      </c>
      <c r="AL50" s="2898"/>
      <c r="AM50" s="2109" t="s">
        <v>669</v>
      </c>
      <c r="AN50" s="2898"/>
      <c r="AO50" s="2109" t="s">
        <v>669</v>
      </c>
      <c r="AP50" s="2898"/>
      <c r="AQ50" s="2109" t="s">
        <v>669</v>
      </c>
      <c r="AR50" s="2898"/>
      <c r="AS50" s="2109"/>
      <c r="AT50" s="2898"/>
      <c r="AU50" s="2109"/>
      <c r="AV50" s="2898"/>
      <c r="AW50" s="2898"/>
      <c r="AX50" s="2898"/>
      <c r="AY50" s="2331"/>
      <c r="AZ50" s="2898"/>
    </row>
    <row r="51" spans="1:52" x14ac:dyDescent="0.35">
      <c r="A51" s="2939"/>
      <c r="B51" s="2954" t="s">
        <v>3416</v>
      </c>
      <c r="C51" s="2937"/>
      <c r="D51" s="2952"/>
      <c r="E51" s="2285"/>
      <c r="F51" s="2232"/>
      <c r="G51" s="2233"/>
      <c r="H51" s="2109" t="s">
        <v>669</v>
      </c>
      <c r="I51" s="2898"/>
      <c r="J51" s="2109" t="s">
        <v>669</v>
      </c>
      <c r="K51" s="2898"/>
      <c r="L51" s="2109" t="s">
        <v>669</v>
      </c>
      <c r="M51" s="2898"/>
      <c r="N51" s="2109" t="s">
        <v>669</v>
      </c>
      <c r="O51" s="2898"/>
      <c r="P51" s="2109" t="s">
        <v>669</v>
      </c>
      <c r="Q51" s="2898"/>
      <c r="R51" s="2505" t="s">
        <v>669</v>
      </c>
      <c r="S51" s="2898"/>
      <c r="T51" s="2109" t="s">
        <v>669</v>
      </c>
      <c r="U51" s="2898"/>
      <c r="V51" s="2109" t="s">
        <v>669</v>
      </c>
      <c r="W51" s="2898"/>
      <c r="X51" s="4053" t="s">
        <v>669</v>
      </c>
      <c r="Y51" s="4030"/>
      <c r="Z51" s="2109" t="s">
        <v>669</v>
      </c>
      <c r="AA51" s="2898"/>
      <c r="AB51" s="2109" t="s">
        <v>669</v>
      </c>
      <c r="AC51" s="2898"/>
      <c r="AD51" s="4089"/>
      <c r="AE51" s="2109" t="s">
        <v>669</v>
      </c>
      <c r="AF51" s="2898"/>
      <c r="AG51" s="2109" t="s">
        <v>669</v>
      </c>
      <c r="AH51" s="2898"/>
      <c r="AI51" s="2109" t="s">
        <v>669</v>
      </c>
      <c r="AJ51" s="2898"/>
      <c r="AK51" s="2109" t="s">
        <v>669</v>
      </c>
      <c r="AL51" s="2898"/>
      <c r="AM51" s="2109" t="s">
        <v>669</v>
      </c>
      <c r="AN51" s="2898"/>
      <c r="AO51" s="2109" t="s">
        <v>669</v>
      </c>
      <c r="AP51" s="2898"/>
      <c r="AQ51" s="2109" t="s">
        <v>669</v>
      </c>
      <c r="AR51" s="2898"/>
      <c r="AS51" s="2109"/>
      <c r="AT51" s="2898"/>
      <c r="AU51" s="2109"/>
      <c r="AV51" s="2898"/>
      <c r="AW51" s="2898"/>
      <c r="AX51" s="2898"/>
      <c r="AY51" s="2331"/>
      <c r="AZ51" s="2898"/>
    </row>
    <row r="52" spans="1:52" x14ac:dyDescent="0.35">
      <c r="A52" s="2934"/>
      <c r="B52" s="2954" t="s">
        <v>3417</v>
      </c>
      <c r="C52" s="2937"/>
      <c r="D52" s="2952"/>
      <c r="E52" s="2285"/>
      <c r="F52" s="2232"/>
      <c r="G52" s="2233"/>
      <c r="H52" s="2109" t="s">
        <v>669</v>
      </c>
      <c r="I52" s="2898"/>
      <c r="J52" s="2109" t="s">
        <v>669</v>
      </c>
      <c r="K52" s="2898"/>
      <c r="L52" s="2109" t="s">
        <v>669</v>
      </c>
      <c r="M52" s="2898"/>
      <c r="N52" s="2109" t="s">
        <v>669</v>
      </c>
      <c r="O52" s="2898"/>
      <c r="P52" s="2109" t="s">
        <v>669</v>
      </c>
      <c r="Q52" s="2898"/>
      <c r="R52" s="2505" t="s">
        <v>669</v>
      </c>
      <c r="S52" s="2898"/>
      <c r="T52" s="2109" t="s">
        <v>669</v>
      </c>
      <c r="U52" s="2898"/>
      <c r="V52" s="2109" t="s">
        <v>669</v>
      </c>
      <c r="W52" s="2898"/>
      <c r="X52" s="4053" t="s">
        <v>669</v>
      </c>
      <c r="Y52" s="4030"/>
      <c r="Z52" s="2109" t="s">
        <v>669</v>
      </c>
      <c r="AA52" s="2898"/>
      <c r="AB52" s="2109" t="s">
        <v>669</v>
      </c>
      <c r="AC52" s="2898"/>
      <c r="AD52" s="4089"/>
      <c r="AE52" s="2109" t="s">
        <v>669</v>
      </c>
      <c r="AF52" s="2898"/>
      <c r="AG52" s="2109" t="s">
        <v>669</v>
      </c>
      <c r="AH52" s="2898"/>
      <c r="AI52" s="2109" t="s">
        <v>669</v>
      </c>
      <c r="AJ52" s="2898"/>
      <c r="AK52" s="2109" t="s">
        <v>669</v>
      </c>
      <c r="AL52" s="2898"/>
      <c r="AM52" s="2109" t="s">
        <v>669</v>
      </c>
      <c r="AN52" s="2898"/>
      <c r="AO52" s="2109" t="s">
        <v>669</v>
      </c>
      <c r="AP52" s="2898"/>
      <c r="AQ52" s="2109" t="s">
        <v>669</v>
      </c>
      <c r="AR52" s="2898"/>
      <c r="AS52" s="2109"/>
      <c r="AT52" s="2898"/>
      <c r="AU52" s="2109"/>
      <c r="AV52" s="2898"/>
      <c r="AW52" s="2898"/>
      <c r="AX52" s="2898"/>
      <c r="AY52" s="2331"/>
      <c r="AZ52" s="2898"/>
    </row>
    <row r="53" spans="1:52" x14ac:dyDescent="0.35">
      <c r="A53" s="2934"/>
      <c r="B53" s="2954" t="s">
        <v>3418</v>
      </c>
      <c r="C53" s="2937"/>
      <c r="D53" s="2952"/>
      <c r="E53" s="2285"/>
      <c r="F53" s="2232"/>
      <c r="G53" s="2233"/>
      <c r="H53" s="2109"/>
      <c r="I53" s="2898"/>
      <c r="J53" s="2109" t="s">
        <v>669</v>
      </c>
      <c r="K53" s="2898"/>
      <c r="L53" s="2109" t="s">
        <v>669</v>
      </c>
      <c r="M53" s="2898"/>
      <c r="N53" s="2109" t="s">
        <v>669</v>
      </c>
      <c r="O53" s="2898"/>
      <c r="P53" s="2109" t="s">
        <v>669</v>
      </c>
      <c r="Q53" s="2898"/>
      <c r="R53" s="2505" t="s">
        <v>669</v>
      </c>
      <c r="S53" s="2898"/>
      <c r="T53" s="2109"/>
      <c r="U53" s="2898"/>
      <c r="V53" s="2109"/>
      <c r="W53" s="2898"/>
      <c r="X53" s="4053"/>
      <c r="Y53" s="4030"/>
      <c r="Z53" s="2109"/>
      <c r="AA53" s="2898"/>
      <c r="AB53" s="2109"/>
      <c r="AC53" s="2898"/>
      <c r="AD53" s="4089"/>
      <c r="AE53" s="2109"/>
      <c r="AF53" s="2898"/>
      <c r="AG53" s="2109"/>
      <c r="AH53" s="2898"/>
      <c r="AI53" s="2109"/>
      <c r="AJ53" s="2898"/>
      <c r="AK53" s="2109"/>
      <c r="AL53" s="2898"/>
      <c r="AM53" s="2109"/>
      <c r="AN53" s="2898"/>
      <c r="AO53" s="2109"/>
      <c r="AP53" s="2898"/>
      <c r="AQ53" s="2109"/>
      <c r="AR53" s="2898"/>
      <c r="AS53" s="2109"/>
      <c r="AT53" s="2898"/>
      <c r="AU53" s="2109"/>
      <c r="AV53" s="2898"/>
      <c r="AW53" s="2898"/>
      <c r="AX53" s="2898"/>
      <c r="AY53" s="2331"/>
      <c r="AZ53" s="2898"/>
    </row>
    <row r="54" spans="1:52" x14ac:dyDescent="0.35">
      <c r="A54" s="2934"/>
      <c r="B54" s="2954" t="s">
        <v>3419</v>
      </c>
      <c r="C54" s="2937"/>
      <c r="D54" s="2952"/>
      <c r="E54" s="2285"/>
      <c r="F54" s="2232"/>
      <c r="G54" s="2233"/>
      <c r="H54" s="2109"/>
      <c r="I54" s="2898"/>
      <c r="J54" s="2109" t="s">
        <v>669</v>
      </c>
      <c r="K54" s="2898"/>
      <c r="L54" s="2109" t="s">
        <v>669</v>
      </c>
      <c r="M54" s="2898"/>
      <c r="N54" s="2109" t="s">
        <v>669</v>
      </c>
      <c r="O54" s="2898"/>
      <c r="P54" s="2109" t="s">
        <v>669</v>
      </c>
      <c r="Q54" s="2898"/>
      <c r="R54" s="2505" t="s">
        <v>669</v>
      </c>
      <c r="S54" s="2898"/>
      <c r="T54" s="2109"/>
      <c r="U54" s="2898"/>
      <c r="V54" s="2109"/>
      <c r="W54" s="2898"/>
      <c r="X54" s="4053"/>
      <c r="Y54" s="4030"/>
      <c r="Z54" s="2109"/>
      <c r="AA54" s="2898"/>
      <c r="AB54" s="2109"/>
      <c r="AC54" s="2898"/>
      <c r="AD54" s="4089"/>
      <c r="AE54" s="2109"/>
      <c r="AF54" s="2898"/>
      <c r="AG54" s="2109"/>
      <c r="AH54" s="2898"/>
      <c r="AI54" s="2109"/>
      <c r="AJ54" s="2898"/>
      <c r="AK54" s="2109"/>
      <c r="AL54" s="2898"/>
      <c r="AM54" s="2109"/>
      <c r="AN54" s="2898"/>
      <c r="AO54" s="2109"/>
      <c r="AP54" s="2898"/>
      <c r="AQ54" s="2109"/>
      <c r="AR54" s="2898"/>
      <c r="AS54" s="2109"/>
      <c r="AT54" s="2898"/>
      <c r="AU54" s="2109"/>
      <c r="AV54" s="2898"/>
      <c r="AW54" s="2898"/>
      <c r="AX54" s="2898"/>
      <c r="AY54" s="2331"/>
      <c r="AZ54" s="2898"/>
    </row>
    <row r="55" spans="1:52" x14ac:dyDescent="0.35">
      <c r="A55" s="2953"/>
      <c r="B55" s="2954"/>
      <c r="C55" s="2955"/>
      <c r="D55" s="2952"/>
      <c r="E55" s="2285"/>
      <c r="F55" s="2232"/>
      <c r="G55" s="2233"/>
      <c r="H55" s="2109"/>
      <c r="I55" s="2898"/>
      <c r="J55" s="2109"/>
      <c r="K55" s="2898"/>
      <c r="L55" s="2109"/>
      <c r="M55" s="2898"/>
      <c r="N55" s="2109"/>
      <c r="O55" s="2898"/>
      <c r="P55" s="2109"/>
      <c r="Q55" s="2898"/>
      <c r="R55" s="2505"/>
      <c r="S55" s="2898"/>
      <c r="T55" s="2109"/>
      <c r="U55" s="2898"/>
      <c r="V55" s="2109"/>
      <c r="W55" s="2898"/>
      <c r="X55" s="4053"/>
      <c r="Y55" s="4030"/>
      <c r="Z55" s="2109"/>
      <c r="AA55" s="2898"/>
      <c r="AB55" s="2109"/>
      <c r="AC55" s="2898"/>
      <c r="AD55" s="4089"/>
      <c r="AE55" s="2109"/>
      <c r="AF55" s="2898"/>
      <c r="AG55" s="2109"/>
      <c r="AH55" s="2898"/>
      <c r="AI55" s="2109"/>
      <c r="AJ55" s="2898"/>
      <c r="AK55" s="2109"/>
      <c r="AL55" s="2898"/>
      <c r="AM55" s="2109"/>
      <c r="AN55" s="2898"/>
      <c r="AO55" s="2109"/>
      <c r="AP55" s="2898"/>
      <c r="AQ55" s="2109"/>
      <c r="AR55" s="2898"/>
      <c r="AS55" s="2109"/>
      <c r="AT55" s="2898"/>
      <c r="AU55" s="2109"/>
      <c r="AV55" s="2898"/>
      <c r="AW55" s="2898"/>
      <c r="AX55" s="2898"/>
      <c r="AY55" s="2331"/>
      <c r="AZ55" s="2898"/>
    </row>
    <row r="56" spans="1:52" x14ac:dyDescent="0.35">
      <c r="A56" s="2953"/>
      <c r="B56" s="2957" t="s">
        <v>3420</v>
      </c>
      <c r="C56" s="2955"/>
      <c r="D56" s="2952"/>
      <c r="E56" s="2285"/>
      <c r="F56" s="2232"/>
      <c r="G56" s="2233"/>
      <c r="H56" s="2109"/>
      <c r="I56" s="2898"/>
      <c r="J56" s="2109"/>
      <c r="K56" s="2898"/>
      <c r="L56" s="2109"/>
      <c r="M56" s="2898"/>
      <c r="N56" s="2109"/>
      <c r="O56" s="2898"/>
      <c r="P56" s="2109"/>
      <c r="Q56" s="2898"/>
      <c r="R56" s="2505"/>
      <c r="S56" s="2898"/>
      <c r="T56" s="2109"/>
      <c r="U56" s="2898"/>
      <c r="V56" s="2109"/>
      <c r="W56" s="2898"/>
      <c r="X56" s="4053"/>
      <c r="Y56" s="4030"/>
      <c r="Z56" s="2109"/>
      <c r="AA56" s="2898"/>
      <c r="AB56" s="2109"/>
      <c r="AC56" s="2898"/>
      <c r="AD56" s="4089"/>
      <c r="AE56" s="2109"/>
      <c r="AF56" s="2898"/>
      <c r="AG56" s="2109"/>
      <c r="AH56" s="2898"/>
      <c r="AI56" s="2109"/>
      <c r="AJ56" s="2898"/>
      <c r="AK56" s="2109"/>
      <c r="AL56" s="2898"/>
      <c r="AM56" s="2109"/>
      <c r="AN56" s="2898"/>
      <c r="AO56" s="2109"/>
      <c r="AP56" s="2898"/>
      <c r="AQ56" s="2109"/>
      <c r="AR56" s="2898"/>
      <c r="AS56" s="2109"/>
      <c r="AT56" s="2898"/>
      <c r="AU56" s="2109"/>
      <c r="AV56" s="2898"/>
      <c r="AW56" s="2898"/>
      <c r="AX56" s="2898"/>
      <c r="AY56" s="2331"/>
      <c r="AZ56" s="2898"/>
    </row>
    <row r="57" spans="1:52" x14ac:dyDescent="0.35">
      <c r="A57" s="2934"/>
      <c r="B57" s="2954" t="s">
        <v>3421</v>
      </c>
      <c r="C57" s="2937"/>
      <c r="D57" s="2952"/>
      <c r="E57" s="2285"/>
      <c r="F57" s="2232"/>
      <c r="G57" s="2233"/>
      <c r="H57" s="2109" t="s">
        <v>669</v>
      </c>
      <c r="I57" s="2898"/>
      <c r="J57" s="2109" t="s">
        <v>669</v>
      </c>
      <c r="K57" s="2898"/>
      <c r="L57" s="2109" t="s">
        <v>669</v>
      </c>
      <c r="M57" s="2898"/>
      <c r="N57" s="2109" t="s">
        <v>669</v>
      </c>
      <c r="O57" s="2898"/>
      <c r="P57" s="2109" t="s">
        <v>669</v>
      </c>
      <c r="Q57" s="2898"/>
      <c r="R57" s="2505" t="s">
        <v>669</v>
      </c>
      <c r="S57" s="2898"/>
      <c r="T57" s="2109" t="s">
        <v>669</v>
      </c>
      <c r="U57" s="2898"/>
      <c r="V57" s="2109" t="s">
        <v>669</v>
      </c>
      <c r="W57" s="2898"/>
      <c r="X57" s="4053" t="s">
        <v>669</v>
      </c>
      <c r="Y57" s="4030"/>
      <c r="Z57" s="2109" t="s">
        <v>669</v>
      </c>
      <c r="AA57" s="2898"/>
      <c r="AB57" s="2109" t="s">
        <v>669</v>
      </c>
      <c r="AC57" s="2898"/>
      <c r="AD57" s="4089"/>
      <c r="AE57" s="2109" t="s">
        <v>669</v>
      </c>
      <c r="AF57" s="2898"/>
      <c r="AG57" s="2109" t="s">
        <v>669</v>
      </c>
      <c r="AH57" s="2898"/>
      <c r="AI57" s="2109" t="s">
        <v>669</v>
      </c>
      <c r="AJ57" s="2898"/>
      <c r="AK57" s="2109" t="s">
        <v>669</v>
      </c>
      <c r="AL57" s="2898"/>
      <c r="AM57" s="2109" t="s">
        <v>669</v>
      </c>
      <c r="AN57" s="2898"/>
      <c r="AO57" s="2109" t="s">
        <v>669</v>
      </c>
      <c r="AP57" s="2898"/>
      <c r="AQ57" s="2109" t="s">
        <v>669</v>
      </c>
      <c r="AR57" s="2898"/>
      <c r="AS57" s="2109"/>
      <c r="AT57" s="2898"/>
      <c r="AU57" s="2109"/>
      <c r="AV57" s="2898"/>
      <c r="AW57" s="2898"/>
      <c r="AX57" s="2898"/>
      <c r="AY57" s="2331"/>
      <c r="AZ57" s="2898"/>
    </row>
    <row r="58" spans="1:52" x14ac:dyDescent="0.35">
      <c r="A58" s="2934"/>
      <c r="B58" s="2954" t="s">
        <v>3422</v>
      </c>
      <c r="C58" s="2937"/>
      <c r="D58" s="2952"/>
      <c r="E58" s="2285"/>
      <c r="F58" s="2232"/>
      <c r="G58" s="2233"/>
      <c r="H58" s="2109" t="s">
        <v>669</v>
      </c>
      <c r="I58" s="2898"/>
      <c r="J58" s="2109" t="s">
        <v>669</v>
      </c>
      <c r="K58" s="2898"/>
      <c r="L58" s="2109" t="s">
        <v>669</v>
      </c>
      <c r="M58" s="2898"/>
      <c r="N58" s="2109" t="s">
        <v>669</v>
      </c>
      <c r="O58" s="2898"/>
      <c r="P58" s="2109" t="s">
        <v>669</v>
      </c>
      <c r="Q58" s="2898"/>
      <c r="R58" s="2505" t="s">
        <v>669</v>
      </c>
      <c r="S58" s="2898"/>
      <c r="T58" s="2109" t="s">
        <v>669</v>
      </c>
      <c r="U58" s="2898"/>
      <c r="V58" s="2109" t="s">
        <v>669</v>
      </c>
      <c r="W58" s="2898"/>
      <c r="X58" s="4053" t="s">
        <v>669</v>
      </c>
      <c r="Y58" s="4030"/>
      <c r="Z58" s="2109" t="s">
        <v>669</v>
      </c>
      <c r="AA58" s="2898"/>
      <c r="AB58" s="2109" t="s">
        <v>669</v>
      </c>
      <c r="AC58" s="2898"/>
      <c r="AD58" s="4089"/>
      <c r="AE58" s="2109" t="s">
        <v>669</v>
      </c>
      <c r="AF58" s="2898"/>
      <c r="AG58" s="2109" t="s">
        <v>669</v>
      </c>
      <c r="AH58" s="2898"/>
      <c r="AI58" s="2109" t="s">
        <v>669</v>
      </c>
      <c r="AJ58" s="2898"/>
      <c r="AK58" s="2109" t="s">
        <v>669</v>
      </c>
      <c r="AL58" s="2898"/>
      <c r="AM58" s="2109" t="s">
        <v>669</v>
      </c>
      <c r="AN58" s="2898"/>
      <c r="AO58" s="2109" t="s">
        <v>669</v>
      </c>
      <c r="AP58" s="2898"/>
      <c r="AQ58" s="2109" t="s">
        <v>669</v>
      </c>
      <c r="AR58" s="2898"/>
      <c r="AS58" s="2109"/>
      <c r="AT58" s="2898"/>
      <c r="AU58" s="2109"/>
      <c r="AV58" s="2898"/>
      <c r="AW58" s="2898"/>
      <c r="AX58" s="2898"/>
      <c r="AY58" s="2331"/>
      <c r="AZ58" s="2898"/>
    </row>
    <row r="59" spans="1:52" x14ac:dyDescent="0.35">
      <c r="A59" s="2934"/>
      <c r="B59" s="2954" t="s">
        <v>3423</v>
      </c>
      <c r="C59" s="2937"/>
      <c r="D59" s="2952"/>
      <c r="E59" s="2285"/>
      <c r="F59" s="2232"/>
      <c r="G59" s="2233"/>
      <c r="H59" s="2109" t="s">
        <v>669</v>
      </c>
      <c r="I59" s="2898"/>
      <c r="J59" s="2109" t="s">
        <v>669</v>
      </c>
      <c r="K59" s="2898"/>
      <c r="L59" s="2109" t="s">
        <v>669</v>
      </c>
      <c r="M59" s="2898"/>
      <c r="N59" s="2109" t="s">
        <v>669</v>
      </c>
      <c r="O59" s="2898"/>
      <c r="P59" s="2109" t="s">
        <v>669</v>
      </c>
      <c r="Q59" s="2898"/>
      <c r="R59" s="2505" t="s">
        <v>669</v>
      </c>
      <c r="S59" s="2898"/>
      <c r="T59" s="2109" t="s">
        <v>669</v>
      </c>
      <c r="U59" s="2898"/>
      <c r="V59" s="2109" t="s">
        <v>669</v>
      </c>
      <c r="W59" s="2898"/>
      <c r="X59" s="4053" t="s">
        <v>669</v>
      </c>
      <c r="Y59" s="4030"/>
      <c r="Z59" s="2109" t="s">
        <v>669</v>
      </c>
      <c r="AA59" s="2898"/>
      <c r="AB59" s="2109" t="s">
        <v>669</v>
      </c>
      <c r="AC59" s="2898"/>
      <c r="AD59" s="4089"/>
      <c r="AE59" s="2109" t="s">
        <v>669</v>
      </c>
      <c r="AF59" s="2898"/>
      <c r="AG59" s="2109" t="s">
        <v>669</v>
      </c>
      <c r="AH59" s="2898"/>
      <c r="AI59" s="2109" t="s">
        <v>669</v>
      </c>
      <c r="AJ59" s="2898"/>
      <c r="AK59" s="2109" t="s">
        <v>669</v>
      </c>
      <c r="AL59" s="2898"/>
      <c r="AM59" s="2109" t="s">
        <v>669</v>
      </c>
      <c r="AN59" s="2898"/>
      <c r="AO59" s="2109" t="s">
        <v>669</v>
      </c>
      <c r="AP59" s="2898"/>
      <c r="AQ59" s="2109" t="s">
        <v>669</v>
      </c>
      <c r="AR59" s="2898"/>
      <c r="AS59" s="2109"/>
      <c r="AT59" s="2898"/>
      <c r="AU59" s="2109"/>
      <c r="AV59" s="2898"/>
      <c r="AW59" s="2898"/>
      <c r="AX59" s="2898"/>
      <c r="AY59" s="2331"/>
      <c r="AZ59" s="2898"/>
    </row>
    <row r="60" spans="1:52" x14ac:dyDescent="0.35">
      <c r="A60" s="2934"/>
      <c r="B60" s="2954" t="s">
        <v>3424</v>
      </c>
      <c r="C60" s="2937"/>
      <c r="D60" s="2952"/>
      <c r="E60" s="2285"/>
      <c r="F60" s="2232"/>
      <c r="G60" s="2233"/>
      <c r="H60" s="2109" t="s">
        <v>669</v>
      </c>
      <c r="I60" s="2898"/>
      <c r="J60" s="2109" t="s">
        <v>669</v>
      </c>
      <c r="K60" s="2898"/>
      <c r="L60" s="2109" t="s">
        <v>669</v>
      </c>
      <c r="M60" s="2898"/>
      <c r="N60" s="2109" t="s">
        <v>669</v>
      </c>
      <c r="O60" s="2898"/>
      <c r="P60" s="2109" t="s">
        <v>669</v>
      </c>
      <c r="Q60" s="2898"/>
      <c r="R60" s="2505" t="s">
        <v>669</v>
      </c>
      <c r="S60" s="2898"/>
      <c r="T60" s="2109" t="s">
        <v>669</v>
      </c>
      <c r="U60" s="2898"/>
      <c r="V60" s="2109" t="s">
        <v>669</v>
      </c>
      <c r="W60" s="2898"/>
      <c r="X60" s="4053" t="s">
        <v>669</v>
      </c>
      <c r="Y60" s="4030"/>
      <c r="Z60" s="2109" t="s">
        <v>669</v>
      </c>
      <c r="AA60" s="2958"/>
      <c r="AB60" s="2109" t="s">
        <v>669</v>
      </c>
      <c r="AC60" s="2958"/>
      <c r="AD60" s="4091"/>
      <c r="AE60" s="2109" t="s">
        <v>669</v>
      </c>
      <c r="AF60" s="2898"/>
      <c r="AG60" s="2109" t="s">
        <v>669</v>
      </c>
      <c r="AH60" s="2958"/>
      <c r="AI60" s="2109" t="s">
        <v>669</v>
      </c>
      <c r="AJ60" s="2958"/>
      <c r="AK60" s="2109" t="s">
        <v>669</v>
      </c>
      <c r="AL60" s="2958"/>
      <c r="AM60" s="2109" t="s">
        <v>669</v>
      </c>
      <c r="AN60" s="2958"/>
      <c r="AO60" s="2109" t="s">
        <v>669</v>
      </c>
      <c r="AP60" s="2958"/>
      <c r="AQ60" s="2109" t="s">
        <v>669</v>
      </c>
      <c r="AR60" s="2958"/>
      <c r="AS60" s="2109"/>
      <c r="AT60" s="2958"/>
      <c r="AU60" s="2109"/>
      <c r="AV60" s="2898"/>
      <c r="AW60" s="2898"/>
      <c r="AX60" s="2898"/>
      <c r="AY60" s="2331"/>
      <c r="AZ60" s="2898"/>
    </row>
    <row r="61" spans="1:52" x14ac:dyDescent="0.35">
      <c r="A61" s="2934"/>
      <c r="B61" s="2954" t="s">
        <v>3425</v>
      </c>
      <c r="C61" s="2937"/>
      <c r="D61" s="2952"/>
      <c r="E61" s="2285"/>
      <c r="F61" s="2232"/>
      <c r="G61" s="2233"/>
      <c r="H61" s="2109" t="s">
        <v>669</v>
      </c>
      <c r="I61" s="2898"/>
      <c r="J61" s="2109" t="s">
        <v>669</v>
      </c>
      <c r="K61" s="2898"/>
      <c r="L61" s="2109" t="s">
        <v>669</v>
      </c>
      <c r="M61" s="2898"/>
      <c r="N61" s="2109" t="s">
        <v>669</v>
      </c>
      <c r="O61" s="2898"/>
      <c r="P61" s="2109" t="s">
        <v>669</v>
      </c>
      <c r="Q61" s="2898"/>
      <c r="R61" s="2505" t="s">
        <v>669</v>
      </c>
      <c r="S61" s="2898"/>
      <c r="T61" s="2109" t="s">
        <v>669</v>
      </c>
      <c r="U61" s="2898"/>
      <c r="V61" s="2109" t="s">
        <v>669</v>
      </c>
      <c r="W61" s="2898"/>
      <c r="X61" s="4053" t="s">
        <v>669</v>
      </c>
      <c r="Y61" s="4030"/>
      <c r="Z61" s="2109" t="s">
        <v>669</v>
      </c>
      <c r="AA61" s="2898"/>
      <c r="AB61" s="2109" t="s">
        <v>669</v>
      </c>
      <c r="AC61" s="2898"/>
      <c r="AD61" s="4089"/>
      <c r="AE61" s="2109" t="s">
        <v>669</v>
      </c>
      <c r="AF61" s="2898"/>
      <c r="AG61" s="2109" t="s">
        <v>669</v>
      </c>
      <c r="AH61" s="2898"/>
      <c r="AI61" s="2109" t="s">
        <v>669</v>
      </c>
      <c r="AJ61" s="2898"/>
      <c r="AK61" s="2109" t="s">
        <v>669</v>
      </c>
      <c r="AL61" s="2898"/>
      <c r="AM61" s="2109" t="s">
        <v>669</v>
      </c>
      <c r="AN61" s="2898"/>
      <c r="AO61" s="2109" t="s">
        <v>669</v>
      </c>
      <c r="AP61" s="2958"/>
      <c r="AQ61" s="2109" t="s">
        <v>669</v>
      </c>
      <c r="AR61" s="2958"/>
      <c r="AS61" s="2109"/>
      <c r="AT61" s="2958"/>
      <c r="AU61" s="2109"/>
      <c r="AV61" s="2958"/>
      <c r="AW61" s="2898"/>
      <c r="AX61" s="2898"/>
      <c r="AY61" s="2331"/>
      <c r="AZ61" s="2898"/>
    </row>
    <row r="62" spans="1:52" x14ac:dyDescent="0.35">
      <c r="A62" s="2934"/>
      <c r="B62" s="2959" t="s">
        <v>3426</v>
      </c>
      <c r="C62" s="2937"/>
      <c r="D62" s="2952"/>
      <c r="E62" s="2285"/>
      <c r="F62" s="2232"/>
      <c r="G62" s="2233"/>
      <c r="H62" s="2109" t="s">
        <v>669</v>
      </c>
      <c r="I62" s="2898"/>
      <c r="J62" s="2109" t="s">
        <v>669</v>
      </c>
      <c r="K62" s="2898"/>
      <c r="L62" s="2960" t="s">
        <v>654</v>
      </c>
      <c r="M62" s="2936">
        <v>12000</v>
      </c>
      <c r="N62" s="2109" t="s">
        <v>669</v>
      </c>
      <c r="O62" s="2898"/>
      <c r="P62" s="2109" t="s">
        <v>669</v>
      </c>
      <c r="Q62" s="2936">
        <v>12000</v>
      </c>
      <c r="R62" s="2505" t="s">
        <v>669</v>
      </c>
      <c r="S62" s="2936">
        <v>12000</v>
      </c>
      <c r="T62" s="2109" t="s">
        <v>669</v>
      </c>
      <c r="U62" s="2898"/>
      <c r="V62" s="2109" t="s">
        <v>669</v>
      </c>
      <c r="W62" s="2898"/>
      <c r="X62" s="4053" t="s">
        <v>669</v>
      </c>
      <c r="Y62" s="4030"/>
      <c r="Z62" s="2109" t="s">
        <v>669</v>
      </c>
      <c r="AA62" s="2898"/>
      <c r="AB62" s="2109" t="s">
        <v>669</v>
      </c>
      <c r="AC62" s="2898"/>
      <c r="AD62" s="4089"/>
      <c r="AE62" s="2109" t="s">
        <v>669</v>
      </c>
      <c r="AF62" s="2898"/>
      <c r="AG62" s="2109" t="s">
        <v>669</v>
      </c>
      <c r="AH62" s="2898"/>
      <c r="AI62" s="2109" t="s">
        <v>669</v>
      </c>
      <c r="AJ62" s="2898"/>
      <c r="AK62" s="2109" t="s">
        <v>669</v>
      </c>
      <c r="AL62" s="2898"/>
      <c r="AM62" s="2109" t="s">
        <v>669</v>
      </c>
      <c r="AN62" s="2898"/>
      <c r="AO62" s="2109" t="s">
        <v>669</v>
      </c>
      <c r="AP62" s="2958"/>
      <c r="AQ62" s="2109" t="s">
        <v>669</v>
      </c>
      <c r="AR62" s="2958"/>
      <c r="AS62" s="2109"/>
      <c r="AT62" s="2958"/>
      <c r="AU62" s="2109"/>
      <c r="AV62" s="2958"/>
      <c r="AW62" s="2898"/>
      <c r="AX62" s="2898"/>
      <c r="AY62" s="2331"/>
      <c r="AZ62" s="2898"/>
    </row>
    <row r="63" spans="1:52" x14ac:dyDescent="0.35">
      <c r="A63" s="2934"/>
      <c r="B63" s="2961" t="s">
        <v>3427</v>
      </c>
      <c r="C63" s="2955" t="s">
        <v>3428</v>
      </c>
      <c r="D63" s="2952"/>
      <c r="E63" s="2285"/>
      <c r="F63" s="2232"/>
      <c r="G63" s="2233"/>
      <c r="H63" s="2109" t="s">
        <v>669</v>
      </c>
      <c r="I63" s="2898"/>
      <c r="J63" s="2109" t="s">
        <v>669</v>
      </c>
      <c r="K63" s="2898"/>
      <c r="L63" s="2109" t="s">
        <v>669</v>
      </c>
      <c r="M63" s="2898"/>
      <c r="N63" s="2109" t="s">
        <v>669</v>
      </c>
      <c r="O63" s="2898"/>
      <c r="P63" s="2109" t="s">
        <v>669</v>
      </c>
      <c r="Q63" s="2898"/>
      <c r="R63" s="2505" t="s">
        <v>669</v>
      </c>
      <c r="S63" s="2898"/>
      <c r="T63" s="2109" t="s">
        <v>669</v>
      </c>
      <c r="U63" s="2898"/>
      <c r="V63" s="2109" t="s">
        <v>669</v>
      </c>
      <c r="W63" s="2898"/>
      <c r="X63" s="4053" t="s">
        <v>669</v>
      </c>
      <c r="Y63" s="4030"/>
      <c r="Z63" s="2109" t="s">
        <v>669</v>
      </c>
      <c r="AA63" s="2898"/>
      <c r="AB63" s="2109" t="s">
        <v>669</v>
      </c>
      <c r="AC63" s="2898"/>
      <c r="AD63" s="4089"/>
      <c r="AE63" s="2109" t="s">
        <v>669</v>
      </c>
      <c r="AF63" s="2898"/>
      <c r="AG63" s="2109" t="s">
        <v>669</v>
      </c>
      <c r="AH63" s="2898"/>
      <c r="AI63" s="2109" t="s">
        <v>669</v>
      </c>
      <c r="AJ63" s="2898"/>
      <c r="AK63" s="2109" t="s">
        <v>669</v>
      </c>
      <c r="AL63" s="2898"/>
      <c r="AM63" s="2109" t="s">
        <v>669</v>
      </c>
      <c r="AN63" s="2898"/>
      <c r="AO63" s="2109" t="s">
        <v>669</v>
      </c>
      <c r="AP63" s="2958"/>
      <c r="AQ63" s="2109" t="s">
        <v>669</v>
      </c>
      <c r="AR63" s="2958"/>
      <c r="AS63" s="2109"/>
      <c r="AT63" s="2958"/>
      <c r="AU63" s="2109"/>
      <c r="AV63" s="2958"/>
      <c r="AW63" s="2898"/>
      <c r="AX63" s="2898"/>
      <c r="AY63" s="2331"/>
      <c r="AZ63" s="2898"/>
    </row>
    <row r="64" spans="1:52" x14ac:dyDescent="0.35">
      <c r="A64" s="2934"/>
      <c r="B64" s="2954" t="s">
        <v>3429</v>
      </c>
      <c r="C64" s="2955" t="s">
        <v>3430</v>
      </c>
      <c r="D64" s="2952"/>
      <c r="E64" s="2285"/>
      <c r="F64" s="2232"/>
      <c r="G64" s="2233"/>
      <c r="H64" s="2109" t="s">
        <v>669</v>
      </c>
      <c r="I64" s="2898"/>
      <c r="J64" s="2109" t="s">
        <v>669</v>
      </c>
      <c r="K64" s="2898"/>
      <c r="L64" s="2109" t="s">
        <v>669</v>
      </c>
      <c r="M64" s="2898"/>
      <c r="N64" s="2109" t="s">
        <v>669</v>
      </c>
      <c r="O64" s="2898"/>
      <c r="P64" s="2109" t="s">
        <v>669</v>
      </c>
      <c r="Q64" s="2898"/>
      <c r="R64" s="2505" t="s">
        <v>669</v>
      </c>
      <c r="S64" s="2898"/>
      <c r="T64" s="2109" t="s">
        <v>669</v>
      </c>
      <c r="U64" s="2898"/>
      <c r="V64" s="2109" t="s">
        <v>669</v>
      </c>
      <c r="W64" s="2898"/>
      <c r="X64" s="4053" t="s">
        <v>669</v>
      </c>
      <c r="Y64" s="4030"/>
      <c r="Z64" s="2109" t="s">
        <v>669</v>
      </c>
      <c r="AA64" s="2898"/>
      <c r="AB64" s="2109" t="s">
        <v>669</v>
      </c>
      <c r="AC64" s="2898"/>
      <c r="AD64" s="4089"/>
      <c r="AE64" s="2109" t="s">
        <v>669</v>
      </c>
      <c r="AF64" s="2898"/>
      <c r="AG64" s="2109" t="s">
        <v>669</v>
      </c>
      <c r="AH64" s="2898"/>
      <c r="AI64" s="2109" t="s">
        <v>669</v>
      </c>
      <c r="AJ64" s="2898"/>
      <c r="AK64" s="2109" t="s">
        <v>669</v>
      </c>
      <c r="AL64" s="2898"/>
      <c r="AM64" s="2109" t="s">
        <v>669</v>
      </c>
      <c r="AN64" s="2898"/>
      <c r="AO64" s="2109" t="s">
        <v>669</v>
      </c>
      <c r="AP64" s="2958"/>
      <c r="AQ64" s="2109" t="s">
        <v>669</v>
      </c>
      <c r="AR64" s="2958"/>
      <c r="AS64" s="2109"/>
      <c r="AT64" s="2958"/>
      <c r="AU64" s="2109"/>
      <c r="AV64" s="2958"/>
      <c r="AW64" s="2898"/>
      <c r="AX64" s="2898"/>
      <c r="AY64" s="2331"/>
      <c r="AZ64" s="2898"/>
    </row>
    <row r="65" spans="1:52" x14ac:dyDescent="0.35">
      <c r="A65" s="2934"/>
      <c r="B65" s="2961" t="s">
        <v>3431</v>
      </c>
      <c r="C65" s="2937" t="s">
        <v>3432</v>
      </c>
      <c r="D65" s="2952"/>
      <c r="E65" s="2285"/>
      <c r="F65" s="2232"/>
      <c r="G65" s="2233"/>
      <c r="H65" s="2109" t="s">
        <v>669</v>
      </c>
      <c r="I65" s="2898"/>
      <c r="J65" s="2109" t="s">
        <v>669</v>
      </c>
      <c r="K65" s="2898"/>
      <c r="L65" s="2109" t="s">
        <v>669</v>
      </c>
      <c r="M65" s="2898"/>
      <c r="N65" s="2109" t="s">
        <v>669</v>
      </c>
      <c r="O65" s="2898"/>
      <c r="P65" s="2109" t="s">
        <v>669</v>
      </c>
      <c r="Q65" s="2898"/>
      <c r="R65" s="2505" t="s">
        <v>669</v>
      </c>
      <c r="S65" s="2898"/>
      <c r="T65" s="2109" t="s">
        <v>669</v>
      </c>
      <c r="U65" s="2898"/>
      <c r="V65" s="2109" t="s">
        <v>669</v>
      </c>
      <c r="W65" s="2898"/>
      <c r="X65" s="4053" t="s">
        <v>669</v>
      </c>
      <c r="Y65" s="4030"/>
      <c r="Z65" s="2109" t="s">
        <v>669</v>
      </c>
      <c r="AA65" s="2898"/>
      <c r="AB65" s="2109" t="s">
        <v>669</v>
      </c>
      <c r="AC65" s="2898"/>
      <c r="AD65" s="4089"/>
      <c r="AE65" s="2109" t="s">
        <v>669</v>
      </c>
      <c r="AF65" s="2898"/>
      <c r="AG65" s="2109" t="s">
        <v>669</v>
      </c>
      <c r="AH65" s="2898"/>
      <c r="AI65" s="2109" t="s">
        <v>669</v>
      </c>
      <c r="AJ65" s="2898"/>
      <c r="AK65" s="2109" t="s">
        <v>669</v>
      </c>
      <c r="AL65" s="2898"/>
      <c r="AM65" s="2109" t="s">
        <v>669</v>
      </c>
      <c r="AN65" s="2898"/>
      <c r="AO65" s="2109" t="s">
        <v>669</v>
      </c>
      <c r="AP65" s="2958"/>
      <c r="AQ65" s="2109" t="s">
        <v>669</v>
      </c>
      <c r="AR65" s="2958"/>
      <c r="AS65" s="2109"/>
      <c r="AT65" s="2958"/>
      <c r="AU65" s="2109"/>
      <c r="AV65" s="2958"/>
      <c r="AW65" s="2898"/>
      <c r="AX65" s="2898"/>
      <c r="AY65" s="2331"/>
      <c r="AZ65" s="2898"/>
    </row>
    <row r="66" spans="1:52" x14ac:dyDescent="0.35">
      <c r="A66" s="2934"/>
      <c r="B66" s="2961" t="s">
        <v>3433</v>
      </c>
      <c r="C66" s="2937" t="s">
        <v>3434</v>
      </c>
      <c r="D66" s="2952"/>
      <c r="E66" s="2285"/>
      <c r="F66" s="2232"/>
      <c r="G66" s="2233"/>
      <c r="H66" s="2109" t="s">
        <v>669</v>
      </c>
      <c r="I66" s="2898"/>
      <c r="J66" s="2109" t="s">
        <v>669</v>
      </c>
      <c r="K66" s="2898"/>
      <c r="L66" s="2109" t="s">
        <v>669</v>
      </c>
      <c r="M66" s="2898"/>
      <c r="N66" s="2109" t="s">
        <v>669</v>
      </c>
      <c r="O66" s="2898"/>
      <c r="P66" s="2109" t="s">
        <v>669</v>
      </c>
      <c r="Q66" s="2898"/>
      <c r="R66" s="2505" t="s">
        <v>669</v>
      </c>
      <c r="S66" s="2898"/>
      <c r="T66" s="2109" t="s">
        <v>669</v>
      </c>
      <c r="U66" s="2898"/>
      <c r="V66" s="2109" t="s">
        <v>669</v>
      </c>
      <c r="W66" s="2898"/>
      <c r="X66" s="4053" t="s">
        <v>669</v>
      </c>
      <c r="Y66" s="4030"/>
      <c r="Z66" s="2109" t="s">
        <v>669</v>
      </c>
      <c r="AA66" s="2898"/>
      <c r="AB66" s="2109" t="s">
        <v>669</v>
      </c>
      <c r="AC66" s="2898"/>
      <c r="AD66" s="4089"/>
      <c r="AE66" s="2109" t="s">
        <v>669</v>
      </c>
      <c r="AF66" s="2898"/>
      <c r="AG66" s="2109" t="s">
        <v>669</v>
      </c>
      <c r="AH66" s="2898"/>
      <c r="AI66" s="2109" t="s">
        <v>669</v>
      </c>
      <c r="AJ66" s="2898"/>
      <c r="AK66" s="2109" t="s">
        <v>669</v>
      </c>
      <c r="AL66" s="2898"/>
      <c r="AM66" s="2109" t="s">
        <v>669</v>
      </c>
      <c r="AN66" s="2898"/>
      <c r="AO66" s="2109" t="s">
        <v>669</v>
      </c>
      <c r="AP66" s="2958"/>
      <c r="AQ66" s="2109" t="s">
        <v>669</v>
      </c>
      <c r="AR66" s="2958"/>
      <c r="AS66" s="2109"/>
      <c r="AT66" s="2958"/>
      <c r="AU66" s="2109"/>
      <c r="AV66" s="2958"/>
      <c r="AW66" s="2898"/>
      <c r="AX66" s="2898"/>
      <c r="AY66" s="2331"/>
      <c r="AZ66" s="2898"/>
    </row>
    <row r="67" spans="1:52" x14ac:dyDescent="0.35">
      <c r="A67" s="2934"/>
      <c r="B67" s="2961" t="s">
        <v>3435</v>
      </c>
      <c r="C67" s="2937" t="s">
        <v>3434</v>
      </c>
      <c r="D67" s="2952"/>
      <c r="E67" s="2285"/>
      <c r="F67" s="2232"/>
      <c r="G67" s="2233"/>
      <c r="H67" s="2109" t="s">
        <v>669</v>
      </c>
      <c r="I67" s="2898"/>
      <c r="J67" s="2109" t="s">
        <v>669</v>
      </c>
      <c r="K67" s="2898"/>
      <c r="L67" s="2109" t="s">
        <v>669</v>
      </c>
      <c r="M67" s="2898"/>
      <c r="N67" s="2109" t="s">
        <v>669</v>
      </c>
      <c r="O67" s="2898"/>
      <c r="P67" s="2109" t="s">
        <v>669</v>
      </c>
      <c r="Q67" s="2898"/>
      <c r="R67" s="2505" t="s">
        <v>669</v>
      </c>
      <c r="S67" s="2898"/>
      <c r="T67" s="2109" t="s">
        <v>669</v>
      </c>
      <c r="U67" s="2898"/>
      <c r="V67" s="2109" t="s">
        <v>669</v>
      </c>
      <c r="W67" s="2898"/>
      <c r="X67" s="4053" t="s">
        <v>669</v>
      </c>
      <c r="Y67" s="4030"/>
      <c r="Z67" s="2109" t="s">
        <v>669</v>
      </c>
      <c r="AA67" s="2898"/>
      <c r="AB67" s="2109" t="s">
        <v>669</v>
      </c>
      <c r="AC67" s="2898"/>
      <c r="AD67" s="4089"/>
      <c r="AE67" s="2109" t="s">
        <v>669</v>
      </c>
      <c r="AF67" s="2898"/>
      <c r="AG67" s="2109" t="s">
        <v>669</v>
      </c>
      <c r="AH67" s="2898"/>
      <c r="AI67" s="2109" t="s">
        <v>669</v>
      </c>
      <c r="AJ67" s="2898"/>
      <c r="AK67" s="2109" t="s">
        <v>669</v>
      </c>
      <c r="AL67" s="2898"/>
      <c r="AM67" s="2109" t="s">
        <v>669</v>
      </c>
      <c r="AN67" s="2898"/>
      <c r="AO67" s="2109" t="s">
        <v>669</v>
      </c>
      <c r="AP67" s="2958"/>
      <c r="AQ67" s="2109" t="s">
        <v>669</v>
      </c>
      <c r="AR67" s="2958"/>
      <c r="AS67" s="2109"/>
      <c r="AT67" s="2958"/>
      <c r="AU67" s="2109"/>
      <c r="AV67" s="2958"/>
      <c r="AW67" s="2898"/>
      <c r="AX67" s="2898"/>
      <c r="AY67" s="2331"/>
      <c r="AZ67" s="2898"/>
    </row>
    <row r="68" spans="1:52" x14ac:dyDescent="0.35">
      <c r="A68" s="2934"/>
      <c r="B68" s="2961" t="s">
        <v>3436</v>
      </c>
      <c r="C68" s="2937"/>
      <c r="D68" s="2952"/>
      <c r="E68" s="2285"/>
      <c r="F68" s="2232"/>
      <c r="G68" s="2233"/>
      <c r="H68" s="2109" t="s">
        <v>669</v>
      </c>
      <c r="I68" s="2898"/>
      <c r="J68" s="2109" t="s">
        <v>669</v>
      </c>
      <c r="K68" s="2898"/>
      <c r="L68" s="2109" t="s">
        <v>669</v>
      </c>
      <c r="M68" s="2898"/>
      <c r="N68" s="2109" t="s">
        <v>669</v>
      </c>
      <c r="O68" s="2898"/>
      <c r="P68" s="2109" t="s">
        <v>669</v>
      </c>
      <c r="Q68" s="2898"/>
      <c r="R68" s="2505" t="s">
        <v>669</v>
      </c>
      <c r="S68" s="2898"/>
      <c r="T68" s="2109" t="s">
        <v>669</v>
      </c>
      <c r="U68" s="2898"/>
      <c r="V68" s="2109" t="s">
        <v>669</v>
      </c>
      <c r="W68" s="2898"/>
      <c r="X68" s="4053" t="s">
        <v>669</v>
      </c>
      <c r="Y68" s="4030"/>
      <c r="Z68" s="2109" t="s">
        <v>669</v>
      </c>
      <c r="AA68" s="2898"/>
      <c r="AB68" s="2109" t="s">
        <v>669</v>
      </c>
      <c r="AC68" s="2898"/>
      <c r="AD68" s="4089"/>
      <c r="AE68" s="2109" t="s">
        <v>669</v>
      </c>
      <c r="AF68" s="2898"/>
      <c r="AG68" s="2109" t="s">
        <v>669</v>
      </c>
      <c r="AH68" s="2898"/>
      <c r="AI68" s="2109" t="s">
        <v>669</v>
      </c>
      <c r="AJ68" s="2898"/>
      <c r="AK68" s="2109" t="s">
        <v>669</v>
      </c>
      <c r="AL68" s="2898"/>
      <c r="AM68" s="2109" t="s">
        <v>669</v>
      </c>
      <c r="AN68" s="2898"/>
      <c r="AO68" s="2109" t="s">
        <v>669</v>
      </c>
      <c r="AP68" s="2958"/>
      <c r="AQ68" s="2109" t="s">
        <v>669</v>
      </c>
      <c r="AR68" s="2958"/>
      <c r="AS68" s="2109"/>
      <c r="AT68" s="2958"/>
      <c r="AU68" s="2109"/>
      <c r="AV68" s="2958"/>
      <c r="AW68" s="2898"/>
      <c r="AX68" s="2898"/>
      <c r="AY68" s="2331"/>
      <c r="AZ68" s="2898"/>
    </row>
    <row r="69" spans="1:52" x14ac:dyDescent="0.35">
      <c r="A69" s="2934"/>
      <c r="B69" s="2961" t="s">
        <v>3437</v>
      </c>
      <c r="C69" s="2937"/>
      <c r="D69" s="2952"/>
      <c r="E69" s="2285"/>
      <c r="F69" s="2232"/>
      <c r="G69" s="2233"/>
      <c r="H69" s="2109" t="s">
        <v>669</v>
      </c>
      <c r="I69" s="2898"/>
      <c r="J69" s="2109" t="s">
        <v>669</v>
      </c>
      <c r="K69" s="2898"/>
      <c r="L69" s="2109" t="s">
        <v>669</v>
      </c>
      <c r="M69" s="2898"/>
      <c r="N69" s="2109" t="s">
        <v>669</v>
      </c>
      <c r="O69" s="2898"/>
      <c r="P69" s="2109" t="s">
        <v>669</v>
      </c>
      <c r="Q69" s="2898"/>
      <c r="R69" s="2505" t="s">
        <v>669</v>
      </c>
      <c r="S69" s="2898"/>
      <c r="T69" s="2109" t="s">
        <v>669</v>
      </c>
      <c r="U69" s="2898"/>
      <c r="V69" s="2109" t="s">
        <v>669</v>
      </c>
      <c r="W69" s="2898"/>
      <c r="X69" s="4053" t="s">
        <v>669</v>
      </c>
      <c r="Y69" s="4030"/>
      <c r="Z69" s="2109" t="s">
        <v>669</v>
      </c>
      <c r="AA69" s="2958"/>
      <c r="AB69" s="2109" t="s">
        <v>669</v>
      </c>
      <c r="AC69" s="2958"/>
      <c r="AD69" s="4091"/>
      <c r="AE69" s="2109" t="s">
        <v>669</v>
      </c>
      <c r="AF69" s="2898"/>
      <c r="AG69" s="2109" t="s">
        <v>669</v>
      </c>
      <c r="AH69" s="2958"/>
      <c r="AI69" s="2109" t="s">
        <v>669</v>
      </c>
      <c r="AJ69" s="2958"/>
      <c r="AK69" s="2109" t="s">
        <v>669</v>
      </c>
      <c r="AL69" s="2958"/>
      <c r="AM69" s="2109" t="s">
        <v>669</v>
      </c>
      <c r="AN69" s="2958"/>
      <c r="AO69" s="2109" t="s">
        <v>669</v>
      </c>
      <c r="AP69" s="2958"/>
      <c r="AQ69" s="2109" t="s">
        <v>669</v>
      </c>
      <c r="AR69" s="2958"/>
      <c r="AS69" s="2109"/>
      <c r="AT69" s="2958"/>
      <c r="AU69" s="2109"/>
      <c r="AV69" s="2958"/>
      <c r="AW69" s="2898"/>
      <c r="AX69" s="2898"/>
      <c r="AY69" s="2331"/>
      <c r="AZ69" s="2898"/>
    </row>
    <row r="70" spans="1:52" x14ac:dyDescent="0.35">
      <c r="A70" s="2934"/>
      <c r="B70" s="2961" t="s">
        <v>3438</v>
      </c>
      <c r="C70" s="2937"/>
      <c r="D70" s="2952"/>
      <c r="E70" s="2285"/>
      <c r="F70" s="2232"/>
      <c r="G70" s="2233"/>
      <c r="H70" s="2109" t="s">
        <v>669</v>
      </c>
      <c r="I70" s="2898"/>
      <c r="J70" s="2109" t="s">
        <v>669</v>
      </c>
      <c r="K70" s="2898"/>
      <c r="L70" s="2109" t="s">
        <v>669</v>
      </c>
      <c r="M70" s="2898"/>
      <c r="N70" s="2109" t="s">
        <v>669</v>
      </c>
      <c r="O70" s="2898"/>
      <c r="P70" s="2109" t="s">
        <v>669</v>
      </c>
      <c r="Q70" s="2898"/>
      <c r="R70" s="2505" t="s">
        <v>669</v>
      </c>
      <c r="S70" s="2898"/>
      <c r="T70" s="2109" t="s">
        <v>669</v>
      </c>
      <c r="U70" s="2898"/>
      <c r="V70" s="2109" t="s">
        <v>669</v>
      </c>
      <c r="W70" s="2898"/>
      <c r="X70" s="4053" t="s">
        <v>669</v>
      </c>
      <c r="Y70" s="4030"/>
      <c r="Z70" s="2109" t="s">
        <v>669</v>
      </c>
      <c r="AA70" s="2898"/>
      <c r="AB70" s="2109" t="s">
        <v>669</v>
      </c>
      <c r="AC70" s="2898"/>
      <c r="AD70" s="4089"/>
      <c r="AE70" s="2109" t="s">
        <v>669</v>
      </c>
      <c r="AF70" s="2898"/>
      <c r="AG70" s="2109" t="s">
        <v>669</v>
      </c>
      <c r="AH70" s="2898"/>
      <c r="AI70" s="2109" t="s">
        <v>669</v>
      </c>
      <c r="AJ70" s="2898"/>
      <c r="AK70" s="2109" t="s">
        <v>669</v>
      </c>
      <c r="AL70" s="2898"/>
      <c r="AM70" s="2109" t="s">
        <v>669</v>
      </c>
      <c r="AN70" s="2898"/>
      <c r="AO70" s="2109" t="s">
        <v>669</v>
      </c>
      <c r="AP70" s="2958"/>
      <c r="AQ70" s="2109" t="s">
        <v>669</v>
      </c>
      <c r="AR70" s="2958"/>
      <c r="AS70" s="2109"/>
      <c r="AT70" s="2958"/>
      <c r="AU70" s="2109"/>
      <c r="AV70" s="2958"/>
      <c r="AW70" s="2898"/>
      <c r="AX70" s="2898"/>
      <c r="AY70" s="2331"/>
      <c r="AZ70" s="2898"/>
    </row>
    <row r="71" spans="1:52" x14ac:dyDescent="0.35">
      <c r="A71" s="2934"/>
      <c r="B71" s="2962" t="s">
        <v>3439</v>
      </c>
      <c r="C71" s="2937"/>
      <c r="D71" s="2952"/>
      <c r="E71" s="2285"/>
      <c r="F71" s="2232"/>
      <c r="G71" s="2233"/>
      <c r="H71" s="2109"/>
      <c r="I71" s="2898"/>
      <c r="J71" s="2109"/>
      <c r="K71" s="2898"/>
      <c r="L71" s="2109"/>
      <c r="M71" s="2898"/>
      <c r="N71" s="2109"/>
      <c r="O71" s="2898"/>
      <c r="P71" s="2109" t="s">
        <v>669</v>
      </c>
      <c r="Q71" s="2936">
        <v>15000</v>
      </c>
      <c r="R71" s="2505" t="s">
        <v>669</v>
      </c>
      <c r="S71" s="2936">
        <v>15000</v>
      </c>
      <c r="T71" s="2109"/>
      <c r="U71" s="2898"/>
      <c r="V71" s="2109"/>
      <c r="W71" s="2898"/>
      <c r="X71" s="4053"/>
      <c r="Y71" s="4030"/>
      <c r="Z71" s="2109"/>
      <c r="AA71" s="2898"/>
      <c r="AB71" s="2109"/>
      <c r="AC71" s="2898"/>
      <c r="AD71" s="4089"/>
      <c r="AE71" s="2109"/>
      <c r="AF71" s="2898"/>
      <c r="AG71" s="2109"/>
      <c r="AH71" s="2898"/>
      <c r="AI71" s="2109"/>
      <c r="AJ71" s="2898"/>
      <c r="AK71" s="2109"/>
      <c r="AL71" s="2898"/>
      <c r="AM71" s="2109"/>
      <c r="AN71" s="2898"/>
      <c r="AO71" s="2109"/>
      <c r="AP71" s="2958"/>
      <c r="AQ71" s="2109"/>
      <c r="AR71" s="2958"/>
      <c r="AS71" s="2109"/>
      <c r="AT71" s="2958"/>
      <c r="AU71" s="2109"/>
      <c r="AV71" s="2958"/>
      <c r="AW71" s="2898"/>
      <c r="AX71" s="2898"/>
      <c r="AY71" s="2331"/>
      <c r="AZ71" s="2898"/>
    </row>
    <row r="72" spans="1:52" x14ac:dyDescent="0.35">
      <c r="A72" s="4082"/>
      <c r="B72" s="4093" t="s">
        <v>15</v>
      </c>
      <c r="C72" s="4083"/>
      <c r="D72" s="4084"/>
      <c r="E72" s="4085"/>
      <c r="F72" s="4086"/>
      <c r="G72" s="4087"/>
      <c r="H72" s="4088"/>
      <c r="I72" s="4089"/>
      <c r="J72" s="4088"/>
      <c r="K72" s="4089"/>
      <c r="L72" s="4088"/>
      <c r="M72" s="4089"/>
      <c r="N72" s="4088"/>
      <c r="O72" s="4089"/>
      <c r="P72" s="4088"/>
      <c r="Q72" s="4090"/>
      <c r="R72" s="4053"/>
      <c r="S72" s="4090"/>
      <c r="T72" s="4088"/>
      <c r="U72" s="4089"/>
      <c r="V72" s="4088"/>
      <c r="W72" s="4089"/>
      <c r="X72" s="4053"/>
      <c r="Y72" s="4089"/>
      <c r="Z72" s="4088"/>
      <c r="AA72" s="4089"/>
      <c r="AB72" s="4088"/>
      <c r="AC72" s="4089"/>
      <c r="AD72" s="4089"/>
      <c r="AE72" s="4088"/>
      <c r="AF72" s="4089"/>
      <c r="AG72" s="4088"/>
      <c r="AH72" s="4089"/>
      <c r="AI72" s="4088"/>
      <c r="AJ72" s="4089"/>
      <c r="AK72" s="4088"/>
      <c r="AL72" s="4089"/>
      <c r="AM72" s="4088"/>
      <c r="AN72" s="4089"/>
      <c r="AO72" s="4088"/>
      <c r="AP72" s="4091"/>
      <c r="AQ72" s="4088"/>
      <c r="AR72" s="4091"/>
      <c r="AS72" s="4088"/>
      <c r="AT72" s="4091"/>
      <c r="AU72" s="4088"/>
      <c r="AV72" s="4091"/>
      <c r="AW72" s="4089"/>
      <c r="AX72" s="4089"/>
      <c r="AY72" s="4092"/>
      <c r="AZ72" s="4089"/>
    </row>
    <row r="73" spans="1:52" x14ac:dyDescent="0.35">
      <c r="A73" s="2934"/>
      <c r="B73" s="2893" t="s">
        <v>3440</v>
      </c>
      <c r="C73" s="2937"/>
      <c r="D73" s="2952">
        <v>140</v>
      </c>
      <c r="E73" s="2285" t="s">
        <v>666</v>
      </c>
      <c r="F73" s="2232"/>
      <c r="G73" s="2233"/>
      <c r="H73" s="2109" t="s">
        <v>669</v>
      </c>
      <c r="I73" s="2898"/>
      <c r="J73" s="2109" t="s">
        <v>669</v>
      </c>
      <c r="K73" s="2898"/>
      <c r="L73" s="2109" t="s">
        <v>669</v>
      </c>
      <c r="M73" s="2898"/>
      <c r="N73" s="2109" t="s">
        <v>669</v>
      </c>
      <c r="O73" s="2898"/>
      <c r="P73" s="2109" t="s">
        <v>669</v>
      </c>
      <c r="Q73" s="2898"/>
      <c r="R73" s="2505" t="s">
        <v>669</v>
      </c>
      <c r="S73" s="2898"/>
      <c r="T73" s="2109" t="s">
        <v>669</v>
      </c>
      <c r="U73" s="2898"/>
      <c r="V73" s="2109" t="s">
        <v>669</v>
      </c>
      <c r="W73" s="2898"/>
      <c r="X73" s="4053" t="s">
        <v>669</v>
      </c>
      <c r="Y73" s="4030"/>
      <c r="Z73" s="2109" t="s">
        <v>669</v>
      </c>
      <c r="AA73" s="2898"/>
      <c r="AB73" s="2109" t="s">
        <v>669</v>
      </c>
      <c r="AC73" s="2898"/>
      <c r="AD73" s="4089"/>
      <c r="AE73" s="2109" t="s">
        <v>669</v>
      </c>
      <c r="AF73" s="2898"/>
      <c r="AG73" s="2109" t="s">
        <v>669</v>
      </c>
      <c r="AH73" s="2898"/>
      <c r="AI73" s="2109" t="s">
        <v>669</v>
      </c>
      <c r="AJ73" s="2898"/>
      <c r="AK73" s="2109" t="s">
        <v>669</v>
      </c>
      <c r="AL73" s="2898"/>
      <c r="AM73" s="2109" t="s">
        <v>669</v>
      </c>
      <c r="AN73" s="2898"/>
      <c r="AO73" s="2109" t="s">
        <v>669</v>
      </c>
      <c r="AP73" s="2898"/>
      <c r="AQ73" s="2109" t="s">
        <v>669</v>
      </c>
      <c r="AR73" s="2898"/>
      <c r="AS73" s="2109"/>
      <c r="AT73" s="2898"/>
      <c r="AU73" s="2109"/>
      <c r="AV73" s="2898"/>
      <c r="AW73" s="2898"/>
      <c r="AX73" s="2898"/>
      <c r="AY73" s="2331"/>
      <c r="AZ73" s="2898"/>
    </row>
    <row r="74" spans="1:52" x14ac:dyDescent="0.35">
      <c r="A74" s="2953"/>
      <c r="B74" s="2957" t="s">
        <v>3441</v>
      </c>
      <c r="C74" s="2955"/>
      <c r="D74" s="2952"/>
      <c r="E74" s="2285"/>
      <c r="F74" s="2232"/>
      <c r="G74" s="2233"/>
      <c r="H74" s="2109" t="s">
        <v>669</v>
      </c>
      <c r="I74" s="2898"/>
      <c r="J74" s="2109" t="s">
        <v>669</v>
      </c>
      <c r="K74" s="2898"/>
      <c r="L74" s="2109" t="s">
        <v>669</v>
      </c>
      <c r="M74" s="2898"/>
      <c r="N74" s="2109" t="s">
        <v>669</v>
      </c>
      <c r="O74" s="2898"/>
      <c r="P74" s="2109" t="s">
        <v>669</v>
      </c>
      <c r="Q74" s="2898"/>
      <c r="R74" s="2505" t="s">
        <v>669</v>
      </c>
      <c r="S74" s="2898"/>
      <c r="T74" s="2109" t="s">
        <v>669</v>
      </c>
      <c r="U74" s="2898"/>
      <c r="V74" s="2109" t="s">
        <v>669</v>
      </c>
      <c r="W74" s="2898"/>
      <c r="X74" s="4053" t="s">
        <v>669</v>
      </c>
      <c r="Y74" s="4030"/>
      <c r="Z74" s="2109" t="s">
        <v>669</v>
      </c>
      <c r="AA74" s="2898"/>
      <c r="AB74" s="2109" t="s">
        <v>669</v>
      </c>
      <c r="AC74" s="2898"/>
      <c r="AD74" s="4089"/>
      <c r="AE74" s="2109" t="s">
        <v>669</v>
      </c>
      <c r="AF74" s="2898"/>
      <c r="AG74" s="2109" t="s">
        <v>669</v>
      </c>
      <c r="AH74" s="2898"/>
      <c r="AI74" s="2109" t="s">
        <v>669</v>
      </c>
      <c r="AJ74" s="2898"/>
      <c r="AK74" s="2109" t="s">
        <v>669</v>
      </c>
      <c r="AL74" s="2898"/>
      <c r="AM74" s="2109" t="s">
        <v>669</v>
      </c>
      <c r="AN74" s="2898"/>
      <c r="AO74" s="2109" t="s">
        <v>669</v>
      </c>
      <c r="AP74" s="2898"/>
      <c r="AQ74" s="2109" t="s">
        <v>669</v>
      </c>
      <c r="AR74" s="2898"/>
      <c r="AS74" s="2109"/>
      <c r="AT74" s="2898"/>
      <c r="AU74" s="2109"/>
      <c r="AV74" s="2898"/>
      <c r="AW74" s="2898"/>
      <c r="AX74" s="2898"/>
      <c r="AY74" s="2331"/>
      <c r="AZ74" s="2898"/>
    </row>
    <row r="75" spans="1:52" x14ac:dyDescent="0.35">
      <c r="A75" s="2953"/>
      <c r="B75" s="2957" t="s">
        <v>3442</v>
      </c>
      <c r="C75" s="2955"/>
      <c r="D75" s="2952"/>
      <c r="E75" s="2285"/>
      <c r="F75" s="2232"/>
      <c r="G75" s="2233"/>
      <c r="H75" s="2109" t="s">
        <v>669</v>
      </c>
      <c r="I75" s="2898"/>
      <c r="J75" s="2109" t="s">
        <v>669</v>
      </c>
      <c r="K75" s="2898"/>
      <c r="L75" s="2109" t="s">
        <v>669</v>
      </c>
      <c r="M75" s="2898"/>
      <c r="N75" s="2109" t="s">
        <v>669</v>
      </c>
      <c r="O75" s="2898"/>
      <c r="P75" s="2109" t="s">
        <v>669</v>
      </c>
      <c r="Q75" s="2898"/>
      <c r="R75" s="2505" t="s">
        <v>669</v>
      </c>
      <c r="S75" s="2898"/>
      <c r="T75" s="2109" t="s">
        <v>669</v>
      </c>
      <c r="U75" s="2898"/>
      <c r="V75" s="2109" t="s">
        <v>669</v>
      </c>
      <c r="W75" s="2898"/>
      <c r="X75" s="4053" t="s">
        <v>669</v>
      </c>
      <c r="Y75" s="4030"/>
      <c r="Z75" s="2109" t="s">
        <v>669</v>
      </c>
      <c r="AA75" s="2898"/>
      <c r="AB75" s="2109" t="s">
        <v>669</v>
      </c>
      <c r="AC75" s="2898"/>
      <c r="AD75" s="4089"/>
      <c r="AE75" s="2109" t="s">
        <v>669</v>
      </c>
      <c r="AF75" s="2898"/>
      <c r="AG75" s="2109" t="s">
        <v>669</v>
      </c>
      <c r="AH75" s="2898"/>
      <c r="AI75" s="2109" t="s">
        <v>669</v>
      </c>
      <c r="AJ75" s="2898"/>
      <c r="AK75" s="2109" t="s">
        <v>669</v>
      </c>
      <c r="AL75" s="2898"/>
      <c r="AM75" s="2109" t="s">
        <v>669</v>
      </c>
      <c r="AN75" s="2898"/>
      <c r="AO75" s="2109" t="s">
        <v>669</v>
      </c>
      <c r="AP75" s="2898"/>
      <c r="AQ75" s="2109" t="s">
        <v>669</v>
      </c>
      <c r="AR75" s="2898"/>
      <c r="AS75" s="2109"/>
      <c r="AT75" s="2898"/>
      <c r="AU75" s="2109"/>
      <c r="AV75" s="2898"/>
      <c r="AW75" s="2898"/>
      <c r="AX75" s="2898"/>
      <c r="AY75" s="2331"/>
      <c r="AZ75" s="2898"/>
    </row>
    <row r="76" spans="1:52" x14ac:dyDescent="0.35">
      <c r="A76" s="2953"/>
      <c r="B76" s="2957" t="s">
        <v>3443</v>
      </c>
      <c r="C76" s="2955"/>
      <c r="D76" s="2952"/>
      <c r="E76" s="2285"/>
      <c r="F76" s="2232"/>
      <c r="G76" s="2233"/>
      <c r="H76" s="2109" t="s">
        <v>669</v>
      </c>
      <c r="I76" s="2936">
        <v>198184</v>
      </c>
      <c r="J76" s="2109" t="s">
        <v>669</v>
      </c>
      <c r="K76" s="2936">
        <v>180000</v>
      </c>
      <c r="L76" s="2109" t="s">
        <v>669</v>
      </c>
      <c r="M76" s="2936">
        <v>180000</v>
      </c>
      <c r="N76" s="2109" t="s">
        <v>669</v>
      </c>
      <c r="O76" s="2936">
        <v>240325</v>
      </c>
      <c r="P76" s="2109" t="s">
        <v>669</v>
      </c>
      <c r="Q76" s="2936"/>
      <c r="R76" s="2505" t="s">
        <v>669</v>
      </c>
      <c r="S76" s="2936"/>
      <c r="T76" s="2109" t="s">
        <v>669</v>
      </c>
      <c r="U76" s="2936">
        <v>452667</v>
      </c>
      <c r="V76" s="2109" t="s">
        <v>669</v>
      </c>
      <c r="W76" s="2936">
        <v>434423</v>
      </c>
      <c r="X76" s="4053" t="s">
        <v>669</v>
      </c>
      <c r="Y76" s="4040">
        <v>371906</v>
      </c>
      <c r="Z76" s="2109" t="s">
        <v>669</v>
      </c>
      <c r="AA76" s="2898"/>
      <c r="AB76" s="2109" t="s">
        <v>669</v>
      </c>
      <c r="AC76" s="2898"/>
      <c r="AD76" s="4089"/>
      <c r="AE76" s="2109" t="s">
        <v>669</v>
      </c>
      <c r="AF76" s="2936"/>
      <c r="AG76" s="2109" t="s">
        <v>669</v>
      </c>
      <c r="AH76" s="2898"/>
      <c r="AI76" s="2109" t="s">
        <v>669</v>
      </c>
      <c r="AJ76" s="2898"/>
      <c r="AK76" s="2109" t="s">
        <v>669</v>
      </c>
      <c r="AL76" s="2898"/>
      <c r="AM76" s="2109" t="s">
        <v>669</v>
      </c>
      <c r="AN76" s="2898"/>
      <c r="AO76" s="2109" t="s">
        <v>669</v>
      </c>
      <c r="AP76" s="2898"/>
      <c r="AQ76" s="2109" t="s">
        <v>669</v>
      </c>
      <c r="AR76" s="2898"/>
      <c r="AS76" s="2109"/>
      <c r="AT76" s="2898"/>
      <c r="AU76" s="2109"/>
      <c r="AV76" s="2898"/>
      <c r="AW76" s="2898"/>
      <c r="AX76" s="2898"/>
      <c r="AY76" s="2331"/>
      <c r="AZ76" s="2898"/>
    </row>
    <row r="77" spans="1:52" x14ac:dyDescent="0.35">
      <c r="A77" s="2953"/>
      <c r="B77" s="2963" t="s">
        <v>3444</v>
      </c>
      <c r="C77" s="2955"/>
      <c r="D77" s="2952"/>
      <c r="E77" s="2285"/>
      <c r="F77" s="2232"/>
      <c r="G77" s="2233"/>
      <c r="H77" s="2109"/>
      <c r="I77" s="2898"/>
      <c r="J77" s="2109" t="s">
        <v>669</v>
      </c>
      <c r="K77" s="2936">
        <v>10000</v>
      </c>
      <c r="L77" s="2109" t="s">
        <v>669</v>
      </c>
      <c r="M77" s="2936">
        <v>10000</v>
      </c>
      <c r="N77" s="2109" t="s">
        <v>669</v>
      </c>
      <c r="O77" s="2936">
        <v>9241</v>
      </c>
      <c r="P77" s="2109" t="s">
        <v>669</v>
      </c>
      <c r="Q77" s="2936"/>
      <c r="R77" s="2505" t="s">
        <v>669</v>
      </c>
      <c r="S77" s="2936"/>
      <c r="T77" s="2109" t="s">
        <v>669</v>
      </c>
      <c r="U77" s="2898"/>
      <c r="V77" s="2109" t="s">
        <v>669</v>
      </c>
      <c r="W77" s="2898"/>
      <c r="X77" s="4053" t="s">
        <v>669</v>
      </c>
      <c r="Y77" s="4030"/>
      <c r="Z77" s="2109"/>
      <c r="AA77" s="2898"/>
      <c r="AB77" s="2109"/>
      <c r="AC77" s="2898"/>
      <c r="AD77" s="4089"/>
      <c r="AE77" s="2109" t="s">
        <v>669</v>
      </c>
      <c r="AF77" s="2898"/>
      <c r="AG77" s="2109"/>
      <c r="AH77" s="2898"/>
      <c r="AI77" s="2109"/>
      <c r="AJ77" s="2898"/>
      <c r="AK77" s="2109"/>
      <c r="AL77" s="2898"/>
      <c r="AM77" s="2109"/>
      <c r="AN77" s="2898"/>
      <c r="AO77" s="2109"/>
      <c r="AP77" s="2898"/>
      <c r="AQ77" s="2109"/>
      <c r="AR77" s="2898"/>
      <c r="AS77" s="2109"/>
      <c r="AT77" s="2898"/>
      <c r="AU77" s="2109"/>
      <c r="AV77" s="2898"/>
      <c r="AW77" s="2898"/>
      <c r="AX77" s="2898"/>
      <c r="AY77" s="2331"/>
      <c r="AZ77" s="2898"/>
    </row>
    <row r="78" spans="1:52" x14ac:dyDescent="0.35">
      <c r="A78" s="2953"/>
      <c r="B78" s="2961" t="s">
        <v>794</v>
      </c>
      <c r="C78" s="2955"/>
      <c r="D78" s="2952"/>
      <c r="E78" s="2285"/>
      <c r="F78" s="2232"/>
      <c r="G78" s="2233"/>
      <c r="H78" s="2109"/>
      <c r="I78" s="2898"/>
      <c r="J78" s="2109" t="s">
        <v>669</v>
      </c>
      <c r="K78" s="2936">
        <v>29000</v>
      </c>
      <c r="L78" s="2109" t="s">
        <v>669</v>
      </c>
      <c r="M78" s="2936">
        <v>29000</v>
      </c>
      <c r="N78" s="2109" t="s">
        <v>669</v>
      </c>
      <c r="O78" s="2936">
        <v>31105</v>
      </c>
      <c r="P78" s="2109" t="s">
        <v>669</v>
      </c>
      <c r="Q78" s="2936"/>
      <c r="R78" s="2505" t="s">
        <v>669</v>
      </c>
      <c r="S78" s="2936"/>
      <c r="T78" s="2109" t="s">
        <v>669</v>
      </c>
      <c r="U78" s="2936">
        <v>36603</v>
      </c>
      <c r="V78" s="2109" t="s">
        <v>669</v>
      </c>
      <c r="W78" s="2936">
        <v>25421</v>
      </c>
      <c r="X78" s="4053" t="s">
        <v>669</v>
      </c>
      <c r="Y78" s="4040">
        <v>25421</v>
      </c>
      <c r="Z78" s="2109"/>
      <c r="AA78" s="2958"/>
      <c r="AB78" s="2109"/>
      <c r="AC78" s="2958"/>
      <c r="AD78" s="4091"/>
      <c r="AE78" s="2960" t="s">
        <v>654</v>
      </c>
      <c r="AF78" s="2936">
        <f>W78</f>
        <v>25421</v>
      </c>
      <c r="AG78" s="2109"/>
      <c r="AH78" s="2958"/>
      <c r="AI78" s="2109"/>
      <c r="AJ78" s="2958"/>
      <c r="AK78" s="2109"/>
      <c r="AL78" s="2958"/>
      <c r="AM78" s="2109"/>
      <c r="AN78" s="2958"/>
      <c r="AO78" s="2109"/>
      <c r="AP78" s="2958"/>
      <c r="AQ78" s="2109"/>
      <c r="AR78" s="2958"/>
      <c r="AS78" s="2109"/>
      <c r="AT78" s="2958"/>
      <c r="AU78" s="2109"/>
      <c r="AV78" s="2958"/>
      <c r="AW78" s="2898"/>
      <c r="AX78" s="2898"/>
      <c r="AY78" s="2331" t="s">
        <v>654</v>
      </c>
      <c r="AZ78" s="2898"/>
    </row>
    <row r="79" spans="1:52" x14ac:dyDescent="0.35">
      <c r="A79" s="2953"/>
      <c r="B79" s="2961" t="s">
        <v>3445</v>
      </c>
      <c r="C79" s="638"/>
      <c r="D79" s="639"/>
      <c r="E79" s="2964"/>
      <c r="F79" s="2965"/>
      <c r="G79" s="2966"/>
      <c r="H79" s="2967"/>
      <c r="I79" s="2898"/>
      <c r="J79" s="2968"/>
      <c r="K79" s="2936"/>
      <c r="L79" s="2968" t="s">
        <v>669</v>
      </c>
      <c r="M79" s="2936"/>
      <c r="N79" s="2968" t="s">
        <v>669</v>
      </c>
      <c r="O79" s="2936"/>
      <c r="P79" s="2967" t="s">
        <v>669</v>
      </c>
      <c r="Q79" s="2936">
        <v>53000</v>
      </c>
      <c r="R79" s="2969" t="s">
        <v>669</v>
      </c>
      <c r="S79" s="2936">
        <v>53000</v>
      </c>
      <c r="T79" s="2967"/>
      <c r="U79" s="2898"/>
      <c r="V79" s="2967"/>
      <c r="W79" s="2898"/>
      <c r="X79" s="4072"/>
      <c r="Y79" s="4030"/>
      <c r="Z79" s="2967"/>
      <c r="AA79" s="2958"/>
      <c r="AB79" s="2967"/>
      <c r="AC79" s="2958"/>
      <c r="AD79" s="4091"/>
      <c r="AE79" s="2967"/>
      <c r="AF79" s="2898"/>
      <c r="AG79" s="2967"/>
      <c r="AH79" s="2958"/>
      <c r="AI79" s="2967"/>
      <c r="AJ79" s="2958"/>
      <c r="AK79" s="2967"/>
      <c r="AL79" s="2958"/>
      <c r="AM79" s="2967"/>
      <c r="AN79" s="2958"/>
      <c r="AO79" s="2967" t="s">
        <v>669</v>
      </c>
      <c r="AP79" s="2958">
        <v>79351</v>
      </c>
      <c r="AQ79" s="2967"/>
      <c r="AR79" s="2958"/>
      <c r="AS79" s="2967"/>
      <c r="AT79" s="2958"/>
      <c r="AU79" s="2967"/>
      <c r="AV79" s="2958"/>
      <c r="AW79" s="2898"/>
      <c r="AX79" s="2898"/>
      <c r="AY79" s="2970"/>
      <c r="AZ79" s="2898"/>
    </row>
    <row r="80" spans="1:52" x14ac:dyDescent="0.35">
      <c r="A80" s="2953"/>
      <c r="B80" s="563" t="s">
        <v>2945</v>
      </c>
      <c r="C80" s="638"/>
      <c r="D80" s="639"/>
      <c r="E80" s="2964"/>
      <c r="F80" s="2965"/>
      <c r="G80" s="2966"/>
      <c r="H80" s="2967"/>
      <c r="I80" s="2898"/>
      <c r="J80" s="2968"/>
      <c r="K80" s="2936"/>
      <c r="L80" s="2968"/>
      <c r="M80" s="2936"/>
      <c r="N80" s="2968"/>
      <c r="O80" s="2936"/>
      <c r="P80" s="2967"/>
      <c r="Q80" s="2936"/>
      <c r="R80" s="2969"/>
      <c r="S80" s="2936"/>
      <c r="T80" s="2967"/>
      <c r="U80" s="2898"/>
      <c r="V80" s="2967"/>
      <c r="W80" s="2898"/>
      <c r="X80" s="4072"/>
      <c r="Y80" s="4030"/>
      <c r="Z80" s="2967"/>
      <c r="AA80" s="2971"/>
      <c r="AB80" s="2967"/>
      <c r="AC80" s="2972">
        <f>3181543-3985968</f>
        <v>-804425</v>
      </c>
      <c r="AD80" s="4095"/>
      <c r="AE80" s="2967"/>
      <c r="AF80" s="2898"/>
      <c r="AG80" s="2967"/>
      <c r="AH80" s="2971"/>
      <c r="AI80" s="2967"/>
      <c r="AJ80" s="2971"/>
      <c r="AK80" s="2967"/>
      <c r="AL80" s="2971"/>
      <c r="AM80" s="2967"/>
      <c r="AN80" s="2971"/>
      <c r="AO80" s="2967"/>
      <c r="AP80" s="2971"/>
      <c r="AQ80" s="2967"/>
      <c r="AR80" s="2971"/>
      <c r="AS80" s="2967"/>
      <c r="AT80" s="2971"/>
      <c r="AU80" s="2967"/>
      <c r="AV80" s="2971"/>
      <c r="AW80" s="2898"/>
      <c r="AX80" s="2898"/>
      <c r="AY80" s="2970"/>
      <c r="AZ80" s="2898"/>
    </row>
    <row r="81" spans="1:52" x14ac:dyDescent="0.35">
      <c r="A81" s="14"/>
      <c r="B81" s="15"/>
      <c r="C81" s="16"/>
      <c r="D81" s="16"/>
      <c r="E81" s="17"/>
      <c r="F81" s="18" t="s">
        <v>715</v>
      </c>
      <c r="G81" s="85"/>
      <c r="H81" s="20"/>
      <c r="I81" s="50">
        <f>SUM(I23:I78)</f>
        <v>3042412</v>
      </c>
      <c r="J81" s="20"/>
      <c r="K81" s="50">
        <f>SUM(K33:K79)</f>
        <v>3299000</v>
      </c>
      <c r="L81" s="20"/>
      <c r="M81" s="50">
        <f>SUM(M33:M80)</f>
        <v>3007000</v>
      </c>
      <c r="N81" s="20"/>
      <c r="O81" s="50">
        <f>SUM(O23:P80)</f>
        <v>3169616</v>
      </c>
      <c r="P81" s="20"/>
      <c r="Q81" s="50">
        <f>SUM(Q23:Q80)</f>
        <v>3280000</v>
      </c>
      <c r="R81" s="20"/>
      <c r="S81" s="50">
        <f>SUM(S23:S80)</f>
        <v>3357000</v>
      </c>
      <c r="T81" s="20"/>
      <c r="U81" s="50">
        <f>SUM(U24:U78)</f>
        <v>3767045</v>
      </c>
      <c r="V81" s="20"/>
      <c r="W81" s="50">
        <f>SUM(W24:W78)</f>
        <v>3521342</v>
      </c>
      <c r="X81" s="20"/>
      <c r="Y81" s="50">
        <f>SUM(Y24:Y78)</f>
        <v>3022640</v>
      </c>
      <c r="Z81" s="20"/>
      <c r="AA81" s="20">
        <f>SUM(AA33:AA78)</f>
        <v>3985968</v>
      </c>
      <c r="AB81" s="20"/>
      <c r="AC81" s="20">
        <f>SUM(AC33:AC80)</f>
        <v>3181543</v>
      </c>
      <c r="AD81" s="20"/>
      <c r="AE81" s="20"/>
      <c r="AF81" s="50">
        <f>SUM(AF24:AF78)</f>
        <v>3908194</v>
      </c>
      <c r="AG81" s="20"/>
      <c r="AH81" s="20">
        <f>SUM(AH33:AH78)</f>
        <v>3985968</v>
      </c>
      <c r="AI81" s="20"/>
      <c r="AJ81" s="20">
        <f>SUM(AJ33:AJ78)</f>
        <v>4132334</v>
      </c>
      <c r="AK81" s="20"/>
      <c r="AL81" s="20">
        <f>SUM(AL33:AL78)</f>
        <v>3558780</v>
      </c>
      <c r="AM81" s="20"/>
      <c r="AN81" s="20">
        <f>SUM(AN33:AN78)</f>
        <v>4450000</v>
      </c>
      <c r="AO81" s="20"/>
      <c r="AP81" s="20">
        <f>SUM(AP33:AP78)</f>
        <v>5340445</v>
      </c>
      <c r="AQ81" s="20"/>
      <c r="AR81" s="20">
        <f>SUM(AR33:AR78)</f>
        <v>5320000</v>
      </c>
      <c r="AS81" s="170"/>
      <c r="AT81" s="50">
        <f>SUM(AT24:AT78)</f>
        <v>0</v>
      </c>
      <c r="AU81" s="20"/>
      <c r="AV81" s="20">
        <f>SUM(AV33:AV78)</f>
        <v>0</v>
      </c>
      <c r="AW81" s="20"/>
      <c r="AX81" s="20">
        <v>0</v>
      </c>
      <c r="AY81" s="20"/>
      <c r="AZ81" s="50">
        <v>0</v>
      </c>
    </row>
    <row r="82" spans="1:52" x14ac:dyDescent="0.35">
      <c r="A82" s="2973"/>
      <c r="B82" s="2974"/>
      <c r="C82" s="2975"/>
      <c r="D82" s="2975"/>
      <c r="E82" s="2976"/>
      <c r="F82" s="2977" t="s">
        <v>716</v>
      </c>
      <c r="G82" s="2978"/>
      <c r="H82" s="2979">
        <v>0</v>
      </c>
      <c r="I82" s="2980"/>
      <c r="J82" s="2979">
        <v>0</v>
      </c>
      <c r="K82" s="2980"/>
      <c r="L82" s="2979">
        <v>0</v>
      </c>
      <c r="M82" s="2980"/>
      <c r="N82" s="2979">
        <v>0</v>
      </c>
      <c r="O82" s="2980"/>
      <c r="P82" s="2979">
        <v>0</v>
      </c>
      <c r="Q82" s="2980"/>
      <c r="R82" s="2979">
        <v>0</v>
      </c>
      <c r="S82" s="2980"/>
      <c r="T82" s="2979">
        <v>0</v>
      </c>
      <c r="U82" s="2980"/>
      <c r="V82" s="2979">
        <v>0</v>
      </c>
      <c r="W82" s="2980"/>
      <c r="X82" s="4073">
        <v>0</v>
      </c>
      <c r="Y82" s="4043"/>
      <c r="Z82" s="2979">
        <v>0</v>
      </c>
      <c r="AA82" s="2981"/>
      <c r="AB82" s="2979">
        <v>0</v>
      </c>
      <c r="AC82" s="2981"/>
      <c r="AD82" s="4056"/>
      <c r="AE82" s="2979">
        <v>0</v>
      </c>
      <c r="AF82" s="2980"/>
      <c r="AG82" s="2979">
        <v>0</v>
      </c>
      <c r="AH82" s="2981"/>
      <c r="AI82" s="2979">
        <v>0</v>
      </c>
      <c r="AJ82" s="2981"/>
      <c r="AK82" s="2979">
        <v>0</v>
      </c>
      <c r="AL82" s="2981"/>
      <c r="AM82" s="2979">
        <v>0</v>
      </c>
      <c r="AN82" s="2981"/>
      <c r="AO82" s="2979">
        <v>0</v>
      </c>
      <c r="AP82" s="2981"/>
      <c r="AQ82" s="2979">
        <v>0</v>
      </c>
      <c r="AR82" s="2981"/>
      <c r="AS82" s="2982">
        <v>0</v>
      </c>
      <c r="AT82" s="2980"/>
      <c r="AU82" s="2979">
        <v>0</v>
      </c>
      <c r="AV82" s="2981"/>
      <c r="AW82" s="2979">
        <v>0.02</v>
      </c>
      <c r="AX82" s="2981"/>
      <c r="AY82" s="2979">
        <v>0</v>
      </c>
      <c r="AZ82" s="2980"/>
    </row>
    <row r="83" spans="1:52" x14ac:dyDescent="0.35">
      <c r="A83" s="2973"/>
      <c r="B83" s="2974"/>
      <c r="C83" s="2975"/>
      <c r="D83" s="2975"/>
      <c r="E83" s="2976"/>
      <c r="F83" s="2977" t="s">
        <v>717</v>
      </c>
      <c r="G83" s="2978"/>
      <c r="H83" s="2983"/>
      <c r="I83" s="2984">
        <v>0</v>
      </c>
      <c r="J83" s="2983"/>
      <c r="K83" s="2984">
        <v>0</v>
      </c>
      <c r="L83" s="2983"/>
      <c r="M83" s="2984">
        <v>0</v>
      </c>
      <c r="N83" s="2983"/>
      <c r="O83" s="2984">
        <v>0</v>
      </c>
      <c r="P83" s="2983"/>
      <c r="Q83" s="2984">
        <v>0</v>
      </c>
      <c r="R83" s="2983"/>
      <c r="S83" s="2984">
        <v>0</v>
      </c>
      <c r="T83" s="2983"/>
      <c r="U83" s="2984">
        <f>U81*T82</f>
        <v>0</v>
      </c>
      <c r="V83" s="2983"/>
      <c r="W83" s="2984">
        <f>W81*V82</f>
        <v>0</v>
      </c>
      <c r="X83" s="4057"/>
      <c r="Y83" s="4044">
        <f>Y81*X82</f>
        <v>0</v>
      </c>
      <c r="Z83" s="2983"/>
      <c r="AA83" s="2984">
        <f>AA81*Z82</f>
        <v>0</v>
      </c>
      <c r="AB83" s="2983"/>
      <c r="AC83" s="2984">
        <f>AC81*AB82</f>
        <v>0</v>
      </c>
      <c r="AD83" s="4044"/>
      <c r="AE83" s="2983"/>
      <c r="AF83" s="2984">
        <f>AF81*AE82</f>
        <v>0</v>
      </c>
      <c r="AG83" s="2983"/>
      <c r="AH83" s="2984">
        <f>AH81*AG82</f>
        <v>0</v>
      </c>
      <c r="AI83" s="2983"/>
      <c r="AJ83" s="2984">
        <f>AJ81*AI82</f>
        <v>0</v>
      </c>
      <c r="AK83" s="2983"/>
      <c r="AL83" s="2984">
        <f>AL81*AK82</f>
        <v>0</v>
      </c>
      <c r="AM83" s="2983"/>
      <c r="AN83" s="2984">
        <f>AN81*AM82</f>
        <v>0</v>
      </c>
      <c r="AO83" s="2983"/>
      <c r="AP83" s="2984">
        <f>AP81*AO82</f>
        <v>0</v>
      </c>
      <c r="AQ83" s="2983"/>
      <c r="AR83" s="2984">
        <f>AR81*AQ82</f>
        <v>0</v>
      </c>
      <c r="AS83" s="2985"/>
      <c r="AT83" s="2984">
        <v>0</v>
      </c>
      <c r="AU83" s="2983"/>
      <c r="AV83" s="2984">
        <v>0</v>
      </c>
      <c r="AW83" s="2983"/>
      <c r="AX83" s="2984">
        <v>0</v>
      </c>
      <c r="AY83" s="2983"/>
      <c r="AZ83" s="2984">
        <v>0</v>
      </c>
    </row>
    <row r="84" spans="1:52" x14ac:dyDescent="0.35">
      <c r="A84" s="2973"/>
      <c r="B84" s="2974"/>
      <c r="C84" s="2975"/>
      <c r="D84" s="2975"/>
      <c r="E84" s="2976"/>
      <c r="F84" s="2977"/>
      <c r="G84" s="2978"/>
      <c r="H84" s="2983"/>
      <c r="I84" s="2986"/>
      <c r="J84" s="2983"/>
      <c r="K84" s="2986"/>
      <c r="L84" s="2983"/>
      <c r="M84" s="2986"/>
      <c r="N84" s="2983"/>
      <c r="O84" s="2986"/>
      <c r="P84" s="2983"/>
      <c r="Q84" s="2986"/>
      <c r="R84" s="2983"/>
      <c r="S84" s="2986"/>
      <c r="T84" s="2983"/>
      <c r="U84" s="2986"/>
      <c r="V84" s="2983"/>
      <c r="W84" s="2986"/>
      <c r="X84" s="4057"/>
      <c r="Y84" s="4045"/>
      <c r="Z84" s="2983"/>
      <c r="AA84" s="2983"/>
      <c r="AB84" s="2983"/>
      <c r="AC84" s="2983"/>
      <c r="AD84" s="4057"/>
      <c r="AE84" s="2983"/>
      <c r="AF84" s="2986"/>
      <c r="AG84" s="2983"/>
      <c r="AH84" s="2983"/>
      <c r="AI84" s="2983"/>
      <c r="AJ84" s="2983"/>
      <c r="AK84" s="2983"/>
      <c r="AL84" s="2983"/>
      <c r="AM84" s="2983"/>
      <c r="AN84" s="2983"/>
      <c r="AO84" s="2983"/>
      <c r="AP84" s="2983"/>
      <c r="AQ84" s="2983"/>
      <c r="AR84" s="2983"/>
      <c r="AS84" s="2985"/>
      <c r="AT84" s="2986"/>
      <c r="AU84" s="2983"/>
      <c r="AV84" s="2983"/>
      <c r="AW84" s="2983"/>
      <c r="AX84" s="2983"/>
      <c r="AY84" s="2983"/>
      <c r="AZ84" s="2986"/>
    </row>
    <row r="85" spans="1:52" x14ac:dyDescent="0.35">
      <c r="A85" s="2973"/>
      <c r="B85" s="2974"/>
      <c r="C85" s="2975"/>
      <c r="D85" s="2975"/>
      <c r="E85" s="2976"/>
      <c r="F85" s="2977" t="s">
        <v>718</v>
      </c>
      <c r="G85" s="2978"/>
      <c r="H85" s="2987"/>
      <c r="I85" s="2988">
        <f>SUM(I81:I84)</f>
        <v>3042412</v>
      </c>
      <c r="J85" s="2987"/>
      <c r="K85" s="2988">
        <f>SUM(K81:K84)</f>
        <v>3299000</v>
      </c>
      <c r="L85" s="2987"/>
      <c r="M85" s="2988">
        <f>SUM(M81:M84)</f>
        <v>3007000</v>
      </c>
      <c r="N85" s="2987"/>
      <c r="O85" s="2988">
        <f>SUM(O81:O84)</f>
        <v>3169616</v>
      </c>
      <c r="P85" s="2987"/>
      <c r="Q85" s="2988">
        <f>SUM(Q81:Q84)</f>
        <v>3280000</v>
      </c>
      <c r="R85" s="2987"/>
      <c r="S85" s="2988">
        <f>SUM(S81:S84)</f>
        <v>3357000</v>
      </c>
      <c r="T85" s="2987"/>
      <c r="U85" s="2988">
        <f>SUM(U81:U84)</f>
        <v>3767045</v>
      </c>
      <c r="V85" s="2987"/>
      <c r="W85" s="2988">
        <f>SUM(W81:W84)</f>
        <v>3521342</v>
      </c>
      <c r="X85" s="4058"/>
      <c r="Y85" s="4046">
        <f>SUM(Y81:Y84)</f>
        <v>3022640</v>
      </c>
      <c r="Z85" s="2987"/>
      <c r="AA85" s="2989">
        <f>SUM(AA81:AA83)</f>
        <v>3985968</v>
      </c>
      <c r="AB85" s="2987"/>
      <c r="AC85" s="2989">
        <f>SUM(AC81:AC83)</f>
        <v>3181543</v>
      </c>
      <c r="AD85" s="4096"/>
      <c r="AE85" s="2987"/>
      <c r="AF85" s="2988">
        <f>SUM(AF81:AF84)</f>
        <v>3908194</v>
      </c>
      <c r="AG85" s="2987"/>
      <c r="AH85" s="2989">
        <f>SUM(AH81:AH83)</f>
        <v>3985968</v>
      </c>
      <c r="AI85" s="2987"/>
      <c r="AJ85" s="2989">
        <f>SUM(AJ81:AJ83)</f>
        <v>4132334</v>
      </c>
      <c r="AK85" s="2987"/>
      <c r="AL85" s="2989">
        <f>SUM(AL81:AL83)</f>
        <v>3558780</v>
      </c>
      <c r="AM85" s="2987"/>
      <c r="AN85" s="2989">
        <f>SUM(AN81:AN83)</f>
        <v>4450000</v>
      </c>
      <c r="AO85" s="2987"/>
      <c r="AP85" s="2989">
        <f>SUM(AP81:AP84)</f>
        <v>5340445</v>
      </c>
      <c r="AQ85" s="2987"/>
      <c r="AR85" s="2989">
        <f>SUM(AR81:AR84)</f>
        <v>5320000</v>
      </c>
      <c r="AS85" s="2990"/>
      <c r="AT85" s="2988">
        <f>SUM(AT81:AT84)</f>
        <v>0</v>
      </c>
      <c r="AU85" s="2987"/>
      <c r="AV85" s="2989">
        <f>SUM(AV81:AV83)</f>
        <v>0</v>
      </c>
      <c r="AW85" s="2987"/>
      <c r="AX85" s="2989">
        <v>0</v>
      </c>
      <c r="AY85" s="2987"/>
      <c r="AZ85" s="2988">
        <v>0</v>
      </c>
    </row>
    <row r="86" spans="1:52" x14ac:dyDescent="0.35">
      <c r="A86" s="2973"/>
      <c r="B86" s="2974"/>
      <c r="C86" s="2975"/>
      <c r="D86" s="2975"/>
      <c r="E86" s="2976"/>
      <c r="F86" s="2991" t="s">
        <v>719</v>
      </c>
      <c r="G86" s="2992"/>
      <c r="H86" s="2993"/>
      <c r="I86" s="2994" t="e">
        <f>I85/#REF!</f>
        <v>#REF!</v>
      </c>
      <c r="J86" s="2993"/>
      <c r="K86" s="2994" t="e">
        <f>K85/#REF!</f>
        <v>#REF!</v>
      </c>
      <c r="L86" s="2993"/>
      <c r="M86" s="2994" t="e">
        <f>M85/#REF!</f>
        <v>#REF!</v>
      </c>
      <c r="N86" s="2993"/>
      <c r="O86" s="2994" t="e">
        <f>O85/#REF!</f>
        <v>#REF!</v>
      </c>
      <c r="P86" s="2993"/>
      <c r="Q86" s="2994" t="e">
        <f>Q85/#REF!</f>
        <v>#REF!</v>
      </c>
      <c r="R86" s="2993"/>
      <c r="S86" s="2994" t="e">
        <f>S85/#REF!</f>
        <v>#REF!</v>
      </c>
      <c r="T86" s="2993"/>
      <c r="U86" s="2994" t="e">
        <f>U85/#REF!</f>
        <v>#REF!</v>
      </c>
      <c r="V86" s="2993"/>
      <c r="W86" s="2994" t="e">
        <f>W85/#REF!</f>
        <v>#REF!</v>
      </c>
      <c r="X86" s="4059"/>
      <c r="Y86" s="4047" t="e">
        <f>Y85/#REF!</f>
        <v>#REF!</v>
      </c>
      <c r="Z86" s="2993"/>
      <c r="AA86" s="2994" t="e">
        <f>AA85/#REF!</f>
        <v>#REF!</v>
      </c>
      <c r="AB86" s="2993"/>
      <c r="AC86" s="2994" t="e">
        <f>AC85/#REF!</f>
        <v>#REF!</v>
      </c>
      <c r="AD86" s="4047"/>
      <c r="AE86" s="2993"/>
      <c r="AF86" s="2994" t="e">
        <f>AF85/#REF!</f>
        <v>#REF!</v>
      </c>
      <c r="AG86" s="2993"/>
      <c r="AH86" s="2994" t="e">
        <f>AH85/#REF!</f>
        <v>#REF!</v>
      </c>
      <c r="AI86" s="2993"/>
      <c r="AJ86" s="2994" t="e">
        <f>AJ85/#REF!</f>
        <v>#REF!</v>
      </c>
      <c r="AK86" s="2993"/>
      <c r="AL86" s="2994" t="e">
        <f>AL85/#REF!</f>
        <v>#REF!</v>
      </c>
      <c r="AM86" s="2993"/>
      <c r="AN86" s="2994" t="e">
        <f>AN85/#REF!</f>
        <v>#REF!</v>
      </c>
      <c r="AO86" s="2993"/>
      <c r="AP86" s="2994" t="e">
        <f>AP85/#REF!</f>
        <v>#REF!</v>
      </c>
      <c r="AQ86" s="2993"/>
      <c r="AR86" s="2994" t="e">
        <f>AR85/#REF!</f>
        <v>#REF!</v>
      </c>
      <c r="AS86" s="2993"/>
      <c r="AT86" s="2994" t="e">
        <f>AT85/#REF!</f>
        <v>#REF!</v>
      </c>
      <c r="AU86" s="2993"/>
      <c r="AV86" s="2994" t="e">
        <f>AV85/#REF!</f>
        <v>#REF!</v>
      </c>
      <c r="AW86" s="2993"/>
      <c r="AX86" s="2993">
        <v>0</v>
      </c>
      <c r="AY86" s="2993"/>
      <c r="AZ86" s="2994">
        <v>0</v>
      </c>
    </row>
    <row r="87" spans="1:52" x14ac:dyDescent="0.35">
      <c r="A87" s="2973"/>
      <c r="B87" s="2974"/>
      <c r="C87" s="2975"/>
      <c r="D87" s="2975"/>
      <c r="E87" s="2976"/>
      <c r="F87" s="2991" t="s">
        <v>720</v>
      </c>
      <c r="G87" s="2995"/>
      <c r="H87" s="2993"/>
      <c r="I87" s="2994" t="e">
        <f>I85/#REF!</f>
        <v>#REF!</v>
      </c>
      <c r="J87" s="2993"/>
      <c r="K87" s="2994" t="e">
        <f>K85/#REF!</f>
        <v>#REF!</v>
      </c>
      <c r="L87" s="2993"/>
      <c r="M87" s="2994" t="e">
        <f>M85/#REF!</f>
        <v>#REF!</v>
      </c>
      <c r="N87" s="2993"/>
      <c r="O87" s="2994" t="e">
        <f>O85/#REF!</f>
        <v>#REF!</v>
      </c>
      <c r="P87" s="2993"/>
      <c r="Q87" s="2994" t="e">
        <f>Q85/#REF!</f>
        <v>#REF!</v>
      </c>
      <c r="R87" s="2993"/>
      <c r="S87" s="2994" t="e">
        <f>S85/#REF!</f>
        <v>#REF!</v>
      </c>
      <c r="T87" s="2993"/>
      <c r="U87" s="2994" t="e">
        <f>U85/#REF!</f>
        <v>#REF!</v>
      </c>
      <c r="V87" s="2993"/>
      <c r="W87" s="2994" t="e">
        <f>W85/#REF!</f>
        <v>#REF!</v>
      </c>
      <c r="X87" s="4059"/>
      <c r="Y87" s="4047" t="e">
        <f>Y85/#REF!</f>
        <v>#REF!</v>
      </c>
      <c r="Z87" s="2993"/>
      <c r="AA87" s="2994" t="e">
        <f>AA85/#REF!</f>
        <v>#REF!</v>
      </c>
      <c r="AB87" s="2993"/>
      <c r="AC87" s="2994" t="e">
        <f>AC85/#REF!</f>
        <v>#REF!</v>
      </c>
      <c r="AD87" s="4047"/>
      <c r="AE87" s="2993"/>
      <c r="AF87" s="2994" t="e">
        <f>AF85/#REF!</f>
        <v>#REF!</v>
      </c>
      <c r="AG87" s="2993"/>
      <c r="AH87" s="2994" t="e">
        <f>AH85/#REF!</f>
        <v>#REF!</v>
      </c>
      <c r="AI87" s="2993"/>
      <c r="AJ87" s="2994" t="e">
        <f>AJ85/#REF!</f>
        <v>#REF!</v>
      </c>
      <c r="AK87" s="2993"/>
      <c r="AL87" s="2994" t="e">
        <f>AL85/#REF!</f>
        <v>#REF!</v>
      </c>
      <c r="AM87" s="2993"/>
      <c r="AN87" s="2994" t="e">
        <f>AN85/#REF!</f>
        <v>#REF!</v>
      </c>
      <c r="AO87" s="2993"/>
      <c r="AP87" s="2994" t="e">
        <f>AP85/#REF!</f>
        <v>#REF!</v>
      </c>
      <c r="AQ87" s="2993"/>
      <c r="AR87" s="2994" t="e">
        <f>AR85/#REF!</f>
        <v>#REF!</v>
      </c>
      <c r="AS87" s="2993"/>
      <c r="AT87" s="2994" t="e">
        <f>AT85/#REF!</f>
        <v>#REF!</v>
      </c>
      <c r="AU87" s="2993"/>
      <c r="AV87" s="2994" t="e">
        <f>AV85/#REF!</f>
        <v>#REF!</v>
      </c>
      <c r="AW87" s="2993"/>
      <c r="AX87" s="2993">
        <v>0</v>
      </c>
      <c r="AY87" s="2993"/>
      <c r="AZ87" s="2994">
        <v>0</v>
      </c>
    </row>
    <row r="88" spans="1:52" ht="15" thickBot="1" x14ac:dyDescent="0.4">
      <c r="A88" s="2973"/>
      <c r="B88" s="2974"/>
      <c r="C88" s="2975"/>
      <c r="D88" s="2975"/>
      <c r="E88" s="2976"/>
      <c r="F88" s="2977"/>
      <c r="G88" s="2261"/>
      <c r="H88" s="2077"/>
      <c r="I88" s="2996"/>
      <c r="J88" s="2077"/>
      <c r="K88" s="2996"/>
      <c r="L88" s="2077"/>
      <c r="M88" s="2996"/>
      <c r="N88" s="2077"/>
      <c r="O88" s="2996"/>
      <c r="P88" s="2077"/>
      <c r="Q88" s="2996"/>
      <c r="R88" s="2077"/>
      <c r="S88" s="2996"/>
      <c r="T88" s="2077"/>
      <c r="U88" s="2077"/>
      <c r="V88" s="2077"/>
      <c r="W88" s="2077"/>
      <c r="X88" s="4060"/>
      <c r="Y88" s="4060"/>
      <c r="Z88" s="2997"/>
      <c r="AA88" s="2997"/>
      <c r="AB88" s="2997"/>
      <c r="AC88" s="2997"/>
      <c r="AD88" s="4071"/>
      <c r="AE88" s="2077"/>
      <c r="AF88" s="2077"/>
      <c r="AG88" s="2997"/>
      <c r="AH88" s="2997"/>
      <c r="AI88" s="2997"/>
      <c r="AJ88" s="2997"/>
      <c r="AK88" s="2997"/>
      <c r="AL88" s="2997"/>
      <c r="AM88" s="2997"/>
      <c r="AN88" s="2997"/>
      <c r="AO88" s="2997"/>
      <c r="AP88" s="2997"/>
      <c r="AQ88" s="2997"/>
      <c r="AR88" s="2997"/>
      <c r="AS88" s="2997"/>
      <c r="AT88" s="2997"/>
      <c r="AU88" s="2997"/>
      <c r="AV88" s="2997"/>
      <c r="AW88" s="2997"/>
      <c r="AX88" s="2997"/>
      <c r="AY88" s="2997"/>
      <c r="AZ88" s="2997"/>
    </row>
    <row r="89" spans="1:52" ht="15.5" thickTop="1" thickBot="1" x14ac:dyDescent="0.4">
      <c r="A89" s="3764" t="s">
        <v>721</v>
      </c>
      <c r="B89" s="3765"/>
      <c r="C89" s="12"/>
      <c r="D89" s="12"/>
      <c r="E89" s="12"/>
      <c r="F89" s="12"/>
      <c r="G89" s="13"/>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171"/>
      <c r="AT89" s="21"/>
      <c r="AU89" s="21"/>
      <c r="AV89" s="21"/>
      <c r="AW89" s="21"/>
      <c r="AX89" s="21"/>
      <c r="AY89" s="21"/>
      <c r="AZ89" s="21"/>
    </row>
    <row r="90" spans="1:52" ht="15" thickTop="1" x14ac:dyDescent="0.35">
      <c r="A90" s="2998"/>
      <c r="B90" s="2284"/>
      <c r="C90" s="2964"/>
      <c r="D90" s="2964"/>
      <c r="E90" s="2964"/>
      <c r="F90" s="2964"/>
      <c r="G90" s="2999"/>
      <c r="H90" s="3000"/>
      <c r="I90" s="3000"/>
      <c r="J90" s="3000"/>
      <c r="K90" s="3000"/>
      <c r="L90" s="3000"/>
      <c r="M90" s="3000"/>
      <c r="N90" s="3000"/>
      <c r="O90" s="3000"/>
      <c r="P90" s="3000"/>
      <c r="Q90" s="3000"/>
      <c r="R90" s="3000"/>
      <c r="S90" s="3000"/>
      <c r="T90" s="3000"/>
      <c r="U90" s="3000"/>
      <c r="V90" s="3000"/>
      <c r="W90" s="3000"/>
      <c r="X90" s="3543"/>
      <c r="Y90" s="3543"/>
      <c r="Z90" s="3000"/>
      <c r="AA90" s="3000"/>
      <c r="AB90" s="3000"/>
      <c r="AC90" s="3000"/>
      <c r="AD90" s="4097"/>
      <c r="AE90" s="3000"/>
      <c r="AF90" s="3000"/>
      <c r="AG90" s="3000"/>
      <c r="AH90" s="3000"/>
      <c r="AI90" s="3000"/>
      <c r="AJ90" s="3000"/>
      <c r="AK90" s="3000"/>
      <c r="AL90" s="3000"/>
      <c r="AM90" s="3000"/>
      <c r="AN90" s="3000"/>
      <c r="AO90" s="3000"/>
      <c r="AP90" s="3000"/>
      <c r="AQ90" s="3000"/>
      <c r="AR90" s="3000"/>
      <c r="AS90" s="3001"/>
      <c r="AT90" s="3000"/>
      <c r="AU90" s="3000"/>
      <c r="AV90" s="3000"/>
      <c r="AW90" s="3000"/>
      <c r="AX90" s="3000"/>
      <c r="AY90" s="3000"/>
      <c r="AZ90" s="3000"/>
    </row>
    <row r="91" spans="1:52" hidden="1" x14ac:dyDescent="0.35">
      <c r="A91" s="2998"/>
      <c r="B91" s="2284"/>
      <c r="C91" s="2964"/>
      <c r="D91" s="2964"/>
      <c r="E91" s="2964"/>
      <c r="F91" s="2964"/>
      <c r="G91" s="2999"/>
      <c r="H91" s="3002" t="s">
        <v>654</v>
      </c>
      <c r="I91" s="3000"/>
      <c r="J91" s="3002" t="s">
        <v>654</v>
      </c>
      <c r="K91" s="3000"/>
      <c r="L91" s="3002" t="s">
        <v>654</v>
      </c>
      <c r="M91" s="3000"/>
      <c r="N91" s="3002" t="s">
        <v>654</v>
      </c>
      <c r="O91" s="3000"/>
      <c r="P91" s="3002" t="s">
        <v>654</v>
      </c>
      <c r="Q91" s="3000"/>
      <c r="R91" s="3002" t="s">
        <v>654</v>
      </c>
      <c r="S91" s="3000"/>
      <c r="T91" s="3000"/>
      <c r="U91" s="3000"/>
      <c r="V91" s="3000"/>
      <c r="W91" s="3000"/>
      <c r="X91" s="3543"/>
      <c r="Y91" s="3543"/>
      <c r="Z91" s="3000"/>
      <c r="AA91" s="3000"/>
      <c r="AB91" s="3000"/>
      <c r="AC91" s="3000"/>
      <c r="AD91" s="4097"/>
      <c r="AE91" s="3000"/>
      <c r="AF91" s="3000"/>
      <c r="AG91" s="3000"/>
      <c r="AH91" s="3000"/>
      <c r="AI91" s="3000"/>
      <c r="AJ91" s="3000"/>
      <c r="AK91" s="3000"/>
      <c r="AL91" s="3000"/>
      <c r="AM91" s="3000"/>
      <c r="AN91" s="3000"/>
      <c r="AO91" s="3000"/>
      <c r="AP91" s="3000"/>
      <c r="AQ91" s="3000"/>
      <c r="AR91" s="3000"/>
      <c r="AS91" s="3001"/>
      <c r="AT91" s="3000"/>
      <c r="AU91" s="3000"/>
      <c r="AV91" s="3000"/>
      <c r="AW91" s="3000"/>
      <c r="AX91" s="3000"/>
      <c r="AY91" s="3003"/>
      <c r="AZ91" s="3003"/>
    </row>
    <row r="92" spans="1:52" hidden="1" x14ac:dyDescent="0.35">
      <c r="A92" s="2998"/>
      <c r="B92" s="2284"/>
      <c r="C92" s="2964"/>
      <c r="D92" s="2964"/>
      <c r="E92" s="2964"/>
      <c r="F92" s="2964"/>
      <c r="G92" s="2999"/>
      <c r="H92" s="3004"/>
      <c r="I92" s="3000"/>
      <c r="J92" s="3004"/>
      <c r="K92" s="3000"/>
      <c r="L92" s="3004"/>
      <c r="M92" s="3000"/>
      <c r="N92" s="3004"/>
      <c r="O92" s="3000"/>
      <c r="P92" s="3004"/>
      <c r="Q92" s="3000"/>
      <c r="R92" s="3004"/>
      <c r="S92" s="3000"/>
      <c r="T92" s="3000"/>
      <c r="U92" s="3000"/>
      <c r="V92" s="3000"/>
      <c r="W92" s="3000"/>
      <c r="X92" s="3543"/>
      <c r="Y92" s="3543"/>
      <c r="Z92" s="3000"/>
      <c r="AA92" s="3000"/>
      <c r="AB92" s="3000"/>
      <c r="AC92" s="3000"/>
      <c r="AD92" s="4097"/>
      <c r="AE92" s="3000"/>
      <c r="AF92" s="3000"/>
      <c r="AG92" s="3000"/>
      <c r="AH92" s="3000"/>
      <c r="AI92" s="3000"/>
      <c r="AJ92" s="3000"/>
      <c r="AK92" s="3000"/>
      <c r="AL92" s="3000"/>
      <c r="AM92" s="3000"/>
      <c r="AN92" s="3000"/>
      <c r="AO92" s="3000"/>
      <c r="AP92" s="3000"/>
      <c r="AQ92" s="3000"/>
      <c r="AR92" s="3000"/>
      <c r="AS92" s="3001"/>
      <c r="AT92" s="3000"/>
      <c r="AU92" s="3000"/>
      <c r="AV92" s="3000"/>
      <c r="AW92" s="3000"/>
      <c r="AX92" s="3000"/>
      <c r="AY92" s="3003"/>
      <c r="AZ92" s="3003"/>
    </row>
    <row r="93" spans="1:52" s="2" customFormat="1" hidden="1" x14ac:dyDescent="0.35">
      <c r="A93" s="3764" t="s">
        <v>722</v>
      </c>
      <c r="B93" s="3765"/>
      <c r="C93" s="12"/>
      <c r="D93" s="12"/>
      <c r="E93" s="12"/>
      <c r="F93" s="12"/>
      <c r="G93" s="13"/>
      <c r="H93" s="42"/>
      <c r="I93" s="21"/>
      <c r="J93" s="42"/>
      <c r="K93" s="21"/>
      <c r="L93" s="42"/>
      <c r="M93" s="21"/>
      <c r="N93" s="42"/>
      <c r="O93" s="21"/>
      <c r="P93" s="42"/>
      <c r="Q93" s="21"/>
      <c r="R93" s="42"/>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171"/>
      <c r="AT93" s="21"/>
      <c r="AU93" s="21"/>
      <c r="AV93" s="21"/>
      <c r="AW93" s="21"/>
      <c r="AX93" s="21"/>
      <c r="AY93" s="3005"/>
      <c r="AZ93" s="3005"/>
    </row>
    <row r="94" spans="1:52" s="2" customFormat="1" x14ac:dyDescent="0.35">
      <c r="A94" s="2998"/>
      <c r="B94" s="2284"/>
      <c r="C94" s="2964"/>
      <c r="D94" s="2964"/>
      <c r="E94" s="2964"/>
      <c r="F94" s="2964"/>
      <c r="G94" s="2999"/>
      <c r="H94" s="3006"/>
      <c r="I94" s="3000"/>
      <c r="J94" s="3006"/>
      <c r="K94" s="3000"/>
      <c r="L94" s="3006"/>
      <c r="M94" s="3000"/>
      <c r="N94" s="3006"/>
      <c r="O94" s="3000"/>
      <c r="P94" s="3006"/>
      <c r="Q94" s="3000"/>
      <c r="R94" s="3006"/>
      <c r="S94" s="3000"/>
      <c r="T94" s="3000"/>
      <c r="U94" s="3000"/>
      <c r="V94" s="3000"/>
      <c r="W94" s="3000"/>
      <c r="X94" s="3543"/>
      <c r="Y94" s="3543"/>
      <c r="Z94" s="3000"/>
      <c r="AA94" s="3000"/>
      <c r="AB94" s="3000"/>
      <c r="AC94" s="3000"/>
      <c r="AD94" s="4097"/>
      <c r="AE94" s="3000"/>
      <c r="AF94" s="3000"/>
      <c r="AG94" s="3000"/>
      <c r="AH94" s="3000"/>
      <c r="AI94" s="3000"/>
      <c r="AJ94" s="3000"/>
      <c r="AK94" s="3000"/>
      <c r="AL94" s="3000"/>
      <c r="AM94" s="3000"/>
      <c r="AN94" s="3000"/>
      <c r="AO94" s="3000"/>
      <c r="AP94" s="3000"/>
      <c r="AQ94" s="3000"/>
      <c r="AR94" s="3000"/>
      <c r="AS94" s="3001"/>
      <c r="AT94" s="3000"/>
      <c r="AU94" s="3000"/>
      <c r="AV94" s="3000"/>
      <c r="AW94" s="3000"/>
      <c r="AX94" s="3000"/>
      <c r="AY94" s="3007"/>
      <c r="AZ94" s="3007"/>
    </row>
    <row r="95" spans="1:52" s="2" customFormat="1" ht="15" thickBot="1" x14ac:dyDescent="0.4">
      <c r="A95" s="2998"/>
      <c r="B95" s="2284"/>
      <c r="C95" s="2964"/>
      <c r="D95" s="2964"/>
      <c r="E95" s="2964"/>
      <c r="F95" s="2964"/>
      <c r="G95" s="2999"/>
      <c r="H95" s="3006"/>
      <c r="I95" s="3000"/>
      <c r="J95" s="3006"/>
      <c r="K95" s="3000"/>
      <c r="L95" s="3006"/>
      <c r="M95" s="3000"/>
      <c r="N95" s="3006"/>
      <c r="O95" s="3000"/>
      <c r="P95" s="3006"/>
      <c r="Q95" s="3000"/>
      <c r="R95" s="3006"/>
      <c r="S95" s="3000"/>
      <c r="T95" s="3000"/>
      <c r="U95" s="3000"/>
      <c r="V95" s="3000"/>
      <c r="W95" s="3000"/>
      <c r="X95" s="3543"/>
      <c r="Y95" s="3543"/>
      <c r="Z95" s="3000"/>
      <c r="AA95" s="3000"/>
      <c r="AB95" s="3000"/>
      <c r="AC95" s="3000"/>
      <c r="AD95" s="4097"/>
      <c r="AE95" s="3000"/>
      <c r="AF95" s="3000"/>
      <c r="AG95" s="3000"/>
      <c r="AH95" s="3000"/>
      <c r="AI95" s="3000"/>
      <c r="AJ95" s="3000"/>
      <c r="AK95" s="3000"/>
      <c r="AL95" s="3000"/>
      <c r="AM95" s="3000"/>
      <c r="AN95" s="3000"/>
      <c r="AO95" s="3000"/>
      <c r="AP95" s="3000"/>
      <c r="AQ95" s="3000"/>
      <c r="AR95" s="3000"/>
      <c r="AS95" s="3001"/>
      <c r="AT95" s="3000"/>
      <c r="AU95" s="3000"/>
      <c r="AV95" s="3000"/>
      <c r="AW95" s="3000"/>
      <c r="AX95" s="3000"/>
      <c r="AY95" s="3007"/>
      <c r="AZ95" s="3007"/>
    </row>
    <row r="96" spans="1:52" x14ac:dyDescent="0.35">
      <c r="A96" s="2998"/>
      <c r="B96" s="2284"/>
      <c r="C96" s="2964"/>
      <c r="D96" s="2964"/>
      <c r="E96" s="2964"/>
      <c r="F96" s="2964"/>
      <c r="G96" s="2999"/>
      <c r="H96" s="3006"/>
      <c r="I96" s="3000"/>
      <c r="J96" s="3006"/>
      <c r="K96" s="3000"/>
      <c r="L96" s="3006"/>
      <c r="M96" s="3000"/>
      <c r="N96" s="3006"/>
      <c r="O96" s="3000"/>
      <c r="P96" s="3006"/>
      <c r="Q96" s="3000"/>
      <c r="R96" s="3006"/>
      <c r="S96" s="3000"/>
      <c r="T96" s="3000"/>
      <c r="U96" s="3000"/>
      <c r="V96" s="3000"/>
      <c r="W96" s="3000"/>
      <c r="X96" s="3543"/>
      <c r="Y96" s="3543"/>
      <c r="Z96" s="3000"/>
      <c r="AA96" s="3000"/>
      <c r="AB96" s="3000"/>
      <c r="AC96" s="3000"/>
      <c r="AD96" s="4097"/>
      <c r="AE96" s="3000"/>
      <c r="AF96" s="3000"/>
      <c r="AG96" s="3000"/>
      <c r="AH96" s="3000"/>
      <c r="AI96" s="3000"/>
      <c r="AJ96" s="3000"/>
      <c r="AK96" s="3000"/>
      <c r="AL96" s="3000"/>
      <c r="AM96" s="3000"/>
      <c r="AN96" s="3000"/>
      <c r="AO96" s="3000"/>
      <c r="AP96" s="3000"/>
      <c r="AQ96" s="3000"/>
      <c r="AR96" s="3000"/>
      <c r="AS96" s="3001"/>
      <c r="AT96" s="3000"/>
      <c r="AU96" s="3000"/>
      <c r="AV96" s="3000"/>
      <c r="AW96" s="3000"/>
      <c r="AX96" s="3000"/>
      <c r="AY96" s="21"/>
      <c r="AZ96" s="21"/>
    </row>
    <row r="97" spans="1:52" s="2" customFormat="1" x14ac:dyDescent="0.35">
      <c r="A97" s="3764" t="s">
        <v>723</v>
      </c>
      <c r="B97" s="3765"/>
      <c r="C97" s="12"/>
      <c r="D97" s="12"/>
      <c r="E97" s="12"/>
      <c r="F97" s="12"/>
      <c r="G97" s="13"/>
      <c r="H97" s="342"/>
      <c r="I97" s="21"/>
      <c r="J97" s="342"/>
      <c r="K97" s="21"/>
      <c r="L97" s="342"/>
      <c r="M97" s="21"/>
      <c r="N97" s="342"/>
      <c r="O97" s="21"/>
      <c r="P97" s="342"/>
      <c r="Q97" s="21"/>
      <c r="R97" s="342"/>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171"/>
      <c r="AT97" s="21"/>
      <c r="AU97" s="21"/>
      <c r="AV97" s="21"/>
      <c r="AW97" s="21"/>
      <c r="AX97" s="21"/>
      <c r="AY97" s="3000"/>
      <c r="AZ97" s="3000"/>
    </row>
    <row r="98" spans="1:52" s="2" customFormat="1" x14ac:dyDescent="0.35">
      <c r="A98" s="2998"/>
      <c r="B98" s="2284" t="s">
        <v>3446</v>
      </c>
      <c r="C98" s="2964"/>
      <c r="D98" s="2964"/>
      <c r="E98" s="2964"/>
      <c r="F98" s="2964"/>
      <c r="G98" s="2999"/>
      <c r="H98" s="3006"/>
      <c r="I98" s="3008"/>
      <c r="J98" s="3006"/>
      <c r="K98" s="3008"/>
      <c r="L98" s="3006"/>
      <c r="M98" s="3008"/>
      <c r="N98" s="3006"/>
      <c r="O98" s="3008"/>
      <c r="P98" s="3006"/>
      <c r="Q98" s="3008"/>
      <c r="R98" s="3006"/>
      <c r="S98" s="3008"/>
      <c r="T98" s="3006"/>
      <c r="U98" s="3000"/>
      <c r="V98" s="3006"/>
      <c r="W98" s="3000"/>
      <c r="X98" s="4074"/>
      <c r="Y98" s="3543"/>
      <c r="Z98" s="3000"/>
      <c r="AA98" s="3000"/>
      <c r="AB98" s="3000"/>
      <c r="AC98" s="3000"/>
      <c r="AD98" s="4098"/>
      <c r="AE98" s="3006"/>
      <c r="AF98" s="3000"/>
      <c r="AG98" s="3000"/>
      <c r="AH98" s="3000"/>
      <c r="AI98" s="3000"/>
      <c r="AJ98" s="3000"/>
      <c r="AK98" s="3000"/>
      <c r="AL98" s="3000"/>
      <c r="AM98" s="3000"/>
      <c r="AN98" s="3000"/>
      <c r="AO98" s="3000"/>
      <c r="AP98" s="3000"/>
      <c r="AQ98" s="3000"/>
      <c r="AR98" s="3000"/>
      <c r="AS98" s="3001"/>
      <c r="AT98" s="3000"/>
      <c r="AU98" s="3000"/>
      <c r="AV98" s="3000"/>
      <c r="AW98" s="3000"/>
      <c r="AX98" s="3000"/>
      <c r="AY98" s="3009"/>
      <c r="AZ98" s="3009"/>
    </row>
    <row r="99" spans="1:52" s="2" customFormat="1" x14ac:dyDescent="0.35">
      <c r="A99" s="2286"/>
      <c r="B99" s="2284"/>
      <c r="C99" s="2285"/>
      <c r="D99" s="2285"/>
      <c r="E99" s="2285"/>
      <c r="F99" s="2285"/>
      <c r="G99" s="2198"/>
      <c r="H99" s="3010"/>
      <c r="I99" s="3003">
        <v>228267</v>
      </c>
      <c r="J99" s="3010"/>
      <c r="K99" s="3003">
        <v>228267</v>
      </c>
      <c r="L99" s="3010"/>
      <c r="M99" s="3003">
        <v>228267</v>
      </c>
      <c r="N99" s="3010"/>
      <c r="O99" s="3003">
        <v>228267</v>
      </c>
      <c r="P99" s="3010"/>
      <c r="Q99" s="3003"/>
      <c r="R99" s="3010"/>
      <c r="S99" s="3003"/>
      <c r="T99" s="3003"/>
      <c r="U99" s="3003"/>
      <c r="V99" s="3003"/>
      <c r="W99" s="3003"/>
      <c r="X99" s="4048"/>
      <c r="Y99" s="4048"/>
      <c r="Z99" s="3003"/>
      <c r="AA99" s="3003"/>
      <c r="AB99" s="3003"/>
      <c r="AC99" s="3003"/>
      <c r="AD99" s="4048"/>
      <c r="AE99" s="3003"/>
      <c r="AF99" s="3003"/>
      <c r="AG99" s="3003"/>
      <c r="AH99" s="3003"/>
      <c r="AI99" s="3003"/>
      <c r="AJ99" s="3003"/>
      <c r="AK99" s="3003"/>
      <c r="AL99" s="3003"/>
      <c r="AM99" s="3003"/>
      <c r="AN99" s="3003"/>
      <c r="AO99" s="3003"/>
      <c r="AP99" s="3003"/>
      <c r="AQ99" s="3003"/>
      <c r="AR99" s="3003"/>
      <c r="AS99" s="3011"/>
      <c r="AT99" s="3003"/>
      <c r="AU99" s="3003"/>
      <c r="AV99" s="3003"/>
      <c r="AW99" s="3003"/>
      <c r="AX99" s="3003"/>
      <c r="AY99" s="3009"/>
      <c r="AZ99" s="3009"/>
    </row>
    <row r="100" spans="1:52" s="2" customFormat="1" x14ac:dyDescent="0.35">
      <c r="A100" s="3012"/>
      <c r="B100" s="2284"/>
      <c r="C100" s="2285"/>
      <c r="D100" s="2285"/>
      <c r="E100" s="2285"/>
      <c r="F100" s="2285"/>
      <c r="G100" s="2198"/>
      <c r="H100" s="3013"/>
      <c r="I100" s="3007"/>
      <c r="J100" s="3013"/>
      <c r="K100" s="3007"/>
      <c r="L100" s="3013"/>
      <c r="M100" s="3007"/>
      <c r="N100" s="3013"/>
      <c r="O100" s="3007"/>
      <c r="P100" s="3013"/>
      <c r="Q100" s="3007"/>
      <c r="R100" s="3013"/>
      <c r="S100" s="3007"/>
      <c r="T100" s="3007"/>
      <c r="U100" s="3007"/>
      <c r="V100" s="3007"/>
      <c r="W100" s="3007"/>
      <c r="X100" s="4049"/>
      <c r="Y100" s="4049"/>
      <c r="Z100" s="3007"/>
      <c r="AA100" s="3007"/>
      <c r="AB100" s="3007"/>
      <c r="AC100" s="3007"/>
      <c r="AD100" s="4049"/>
      <c r="AE100" s="3007"/>
      <c r="AF100" s="3007"/>
      <c r="AG100" s="3007"/>
      <c r="AH100" s="3007"/>
      <c r="AI100" s="3007"/>
      <c r="AJ100" s="3007"/>
      <c r="AK100" s="3007"/>
      <c r="AL100" s="3007"/>
      <c r="AM100" s="3007"/>
      <c r="AN100" s="3007"/>
      <c r="AO100" s="3007"/>
      <c r="AP100" s="3007"/>
      <c r="AQ100" s="3007"/>
      <c r="AR100" s="3007"/>
      <c r="AS100" s="3014"/>
      <c r="AT100" s="3007"/>
      <c r="AU100" s="3007"/>
      <c r="AV100" s="3007"/>
      <c r="AW100" s="3007"/>
      <c r="AX100" s="3007"/>
      <c r="AY100" s="3009"/>
      <c r="AZ100" s="3009"/>
    </row>
    <row r="101" spans="1:52" s="2" customFormat="1" x14ac:dyDescent="0.35">
      <c r="A101" s="3764" t="s">
        <v>724</v>
      </c>
      <c r="B101" s="3765"/>
      <c r="C101" s="12"/>
      <c r="D101" s="12"/>
      <c r="E101" s="12"/>
      <c r="F101" s="12"/>
      <c r="G101" s="13"/>
      <c r="H101" s="342"/>
      <c r="I101" s="21"/>
      <c r="J101" s="342"/>
      <c r="K101" s="21"/>
      <c r="L101" s="342"/>
      <c r="M101" s="21"/>
      <c r="N101" s="342"/>
      <c r="O101" s="21"/>
      <c r="P101" s="342"/>
      <c r="Q101" s="21"/>
      <c r="R101" s="342"/>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171"/>
      <c r="AT101" s="21"/>
      <c r="AU101" s="21"/>
      <c r="AV101" s="21"/>
      <c r="AW101" s="21"/>
      <c r="AX101" s="21"/>
      <c r="AY101" s="3009"/>
      <c r="AZ101" s="3009"/>
    </row>
    <row r="102" spans="1:52" x14ac:dyDescent="0.35">
      <c r="A102" s="3015"/>
      <c r="B102" s="3016" t="s">
        <v>3447</v>
      </c>
      <c r="C102" s="2964"/>
      <c r="D102" s="2964"/>
      <c r="E102" s="2964"/>
      <c r="F102" s="2964"/>
      <c r="G102" s="2999"/>
      <c r="H102" s="3006"/>
      <c r="I102" s="3017">
        <v>-105125</v>
      </c>
      <c r="J102" s="3006"/>
      <c r="K102" s="3017"/>
      <c r="L102" s="3006"/>
      <c r="M102" s="3017"/>
      <c r="N102" s="3006"/>
      <c r="O102" s="3017">
        <v>-105125</v>
      </c>
      <c r="P102" s="3006"/>
      <c r="Q102" s="3017"/>
      <c r="R102" s="3006"/>
      <c r="S102" s="3017"/>
      <c r="T102" s="3000"/>
      <c r="U102" s="3000"/>
      <c r="V102" s="3000"/>
      <c r="W102" s="3000"/>
      <c r="X102" s="3543"/>
      <c r="Y102" s="3543"/>
      <c r="Z102" s="3000"/>
      <c r="AA102" s="3000"/>
      <c r="AB102" s="3000"/>
      <c r="AC102" s="3000"/>
      <c r="AD102" s="4097"/>
      <c r="AE102" s="3000"/>
      <c r="AF102" s="3000"/>
      <c r="AG102" s="3000"/>
      <c r="AH102" s="3000"/>
      <c r="AI102" s="3000"/>
      <c r="AJ102" s="3000"/>
      <c r="AK102" s="3000"/>
      <c r="AL102" s="3000"/>
      <c r="AM102" s="3000"/>
      <c r="AN102" s="3000"/>
      <c r="AO102" s="3000"/>
      <c r="AP102" s="3000"/>
      <c r="AQ102" s="3000"/>
      <c r="AR102" s="3000"/>
      <c r="AS102" s="3001"/>
      <c r="AT102" s="3000"/>
      <c r="AU102" s="3000"/>
      <c r="AV102" s="3000"/>
      <c r="AW102" s="3000"/>
      <c r="AX102" s="3000"/>
      <c r="AY102" s="3018"/>
      <c r="AZ102" s="3018"/>
    </row>
    <row r="103" spans="1:52" x14ac:dyDescent="0.35">
      <c r="A103" s="3012"/>
      <c r="B103" s="3019" t="s">
        <v>3448</v>
      </c>
      <c r="C103" s="2285"/>
      <c r="D103" s="2285"/>
      <c r="E103" s="2285"/>
      <c r="F103" s="2285"/>
      <c r="G103" s="2198"/>
      <c r="H103" s="3020"/>
      <c r="I103" s="3009"/>
      <c r="J103" s="3020"/>
      <c r="K103" s="3009"/>
      <c r="L103" s="3020"/>
      <c r="M103" s="3009"/>
      <c r="N103" s="3020"/>
      <c r="O103" s="3009"/>
      <c r="P103" s="3020"/>
      <c r="Q103" s="3009">
        <v>-291000</v>
      </c>
      <c r="R103" s="3020"/>
      <c r="S103" s="3009">
        <v>-291000</v>
      </c>
      <c r="T103" s="3009"/>
      <c r="U103" s="3009"/>
      <c r="V103" s="3009"/>
      <c r="W103" s="3009"/>
      <c r="X103" s="4050"/>
      <c r="Y103" s="4050"/>
      <c r="Z103" s="3009"/>
      <c r="AA103" s="3009"/>
      <c r="AB103" s="3009"/>
      <c r="AC103" s="3009"/>
      <c r="AD103" s="4050"/>
      <c r="AE103" s="3009"/>
      <c r="AF103" s="3009"/>
      <c r="AG103" s="3009"/>
      <c r="AH103" s="3009"/>
      <c r="AI103" s="3009"/>
      <c r="AJ103" s="3009"/>
      <c r="AK103" s="3009"/>
      <c r="AL103" s="3009"/>
      <c r="AM103" s="3009"/>
      <c r="AN103" s="3009"/>
      <c r="AO103" s="3009"/>
      <c r="AP103" s="3009"/>
      <c r="AQ103" s="3009"/>
      <c r="AR103" s="3009"/>
      <c r="AS103" s="3011"/>
      <c r="AT103" s="3009"/>
      <c r="AU103" s="3009"/>
      <c r="AV103" s="3009"/>
      <c r="AW103" s="3009"/>
      <c r="AX103" s="3009"/>
      <c r="AY103" s="3009"/>
      <c r="AZ103" s="3009"/>
    </row>
    <row r="104" spans="1:52" x14ac:dyDescent="0.35">
      <c r="A104" s="3012"/>
      <c r="B104" s="3019"/>
      <c r="C104" s="2285"/>
      <c r="D104" s="2285"/>
      <c r="E104" s="2285"/>
      <c r="F104" s="2285"/>
      <c r="G104" s="2198"/>
      <c r="H104" s="3020"/>
      <c r="I104" s="3009"/>
      <c r="J104" s="3020"/>
      <c r="K104" s="3009"/>
      <c r="L104" s="3020"/>
      <c r="M104" s="3009"/>
      <c r="N104" s="3020"/>
      <c r="O104" s="3009"/>
      <c r="P104" s="3020"/>
      <c r="Q104" s="3009"/>
      <c r="R104" s="3020"/>
      <c r="S104" s="3009"/>
      <c r="T104" s="3009"/>
      <c r="U104" s="3009"/>
      <c r="V104" s="3009"/>
      <c r="W104" s="3009"/>
      <c r="X104" s="4050"/>
      <c r="Y104" s="4050"/>
      <c r="Z104" s="3009"/>
      <c r="AA104" s="3009"/>
      <c r="AB104" s="3009"/>
      <c r="AC104" s="3009"/>
      <c r="AD104" s="4050"/>
      <c r="AE104" s="3009"/>
      <c r="AF104" s="3009"/>
      <c r="AG104" s="3009"/>
      <c r="AH104" s="3009"/>
      <c r="AI104" s="3009"/>
      <c r="AJ104" s="3009"/>
      <c r="AK104" s="3009"/>
      <c r="AL104" s="3009"/>
      <c r="AM104" s="3009"/>
      <c r="AN104" s="3009"/>
      <c r="AO104" s="3009"/>
      <c r="AP104" s="3009"/>
      <c r="AQ104" s="3009"/>
      <c r="AR104" s="3009"/>
      <c r="AS104" s="3011"/>
      <c r="AT104" s="3009"/>
      <c r="AU104" s="3009"/>
      <c r="AV104" s="3009"/>
      <c r="AW104" s="3009"/>
      <c r="AX104" s="3009"/>
      <c r="AY104" s="3009"/>
      <c r="AZ104" s="3009"/>
    </row>
    <row r="105" spans="1:52" x14ac:dyDescent="0.35">
      <c r="A105" s="3764" t="s">
        <v>725</v>
      </c>
      <c r="B105" s="3765"/>
      <c r="C105" s="12"/>
      <c r="D105" s="12"/>
      <c r="E105" s="12"/>
      <c r="F105" s="12"/>
      <c r="G105" s="13"/>
      <c r="H105" s="342"/>
      <c r="I105" s="21"/>
      <c r="J105" s="342"/>
      <c r="K105" s="21"/>
      <c r="L105" s="342"/>
      <c r="M105" s="21"/>
      <c r="N105" s="342"/>
      <c r="O105" s="21"/>
      <c r="P105" s="342"/>
      <c r="Q105" s="21"/>
      <c r="R105" s="342"/>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171"/>
      <c r="AT105" s="21"/>
      <c r="AU105" s="21"/>
      <c r="AV105" s="21"/>
      <c r="AW105" s="21"/>
      <c r="AX105" s="21"/>
      <c r="AY105" s="3009"/>
      <c r="AZ105" s="3009"/>
    </row>
    <row r="106" spans="1:52" x14ac:dyDescent="0.35">
      <c r="A106" s="2286"/>
      <c r="B106" s="2284" t="s">
        <v>726</v>
      </c>
      <c r="C106" s="2285"/>
      <c r="D106" s="2285"/>
      <c r="E106" s="2285"/>
      <c r="F106" s="2285"/>
      <c r="G106" s="2198"/>
      <c r="H106" s="3020"/>
      <c r="I106" s="3009"/>
      <c r="J106" s="3020"/>
      <c r="K106" s="3009"/>
      <c r="L106" s="3020"/>
      <c r="M106" s="3009"/>
      <c r="N106" s="3020"/>
      <c r="O106" s="3009"/>
      <c r="P106" s="3020"/>
      <c r="Q106" s="3009"/>
      <c r="R106" s="3020"/>
      <c r="S106" s="3009"/>
      <c r="T106" s="3009"/>
      <c r="U106" s="3009"/>
      <c r="V106" s="3009"/>
      <c r="W106" s="3009"/>
      <c r="X106" s="4050"/>
      <c r="Y106" s="4050"/>
      <c r="Z106" s="3009"/>
      <c r="AA106" s="3009"/>
      <c r="AB106" s="3009"/>
      <c r="AC106" s="3009"/>
      <c r="AD106" s="4050"/>
      <c r="AE106" s="3009"/>
      <c r="AF106" s="3009"/>
      <c r="AG106" s="3009"/>
      <c r="AH106" s="3009"/>
      <c r="AI106" s="3009"/>
      <c r="AJ106" s="3009"/>
      <c r="AK106" s="3009"/>
      <c r="AL106" s="3009"/>
      <c r="AM106" s="3009"/>
      <c r="AN106" s="3009"/>
      <c r="AO106" s="3009"/>
      <c r="AP106" s="3009"/>
      <c r="AQ106" s="3009"/>
      <c r="AR106" s="3009"/>
      <c r="AS106" s="3011"/>
      <c r="AT106" s="3009"/>
      <c r="AU106" s="3009"/>
      <c r="AV106" s="3009"/>
      <c r="AW106" s="3009"/>
      <c r="AX106" s="3009"/>
      <c r="AY106" s="3009"/>
      <c r="AZ106" s="3009"/>
    </row>
    <row r="107" spans="1:52" x14ac:dyDescent="0.35">
      <c r="A107" s="2286"/>
      <c r="B107" s="2284" t="s">
        <v>727</v>
      </c>
      <c r="C107" s="2285"/>
      <c r="D107" s="2285"/>
      <c r="E107" s="2285"/>
      <c r="F107" s="2285"/>
      <c r="G107" s="2198"/>
      <c r="H107" s="3020"/>
      <c r="I107" s="3009"/>
      <c r="J107" s="3020"/>
      <c r="K107" s="3009"/>
      <c r="L107" s="3020"/>
      <c r="M107" s="3009"/>
      <c r="N107" s="3020"/>
      <c r="O107" s="3009"/>
      <c r="P107" s="3020"/>
      <c r="Q107" s="3009"/>
      <c r="R107" s="3020"/>
      <c r="S107" s="3009"/>
      <c r="T107" s="3009"/>
      <c r="U107" s="3009"/>
      <c r="V107" s="3009"/>
      <c r="W107" s="3009"/>
      <c r="X107" s="4050"/>
      <c r="Y107" s="4050"/>
      <c r="Z107" s="3009"/>
      <c r="AA107" s="3009"/>
      <c r="AB107" s="3009"/>
      <c r="AC107" s="3009"/>
      <c r="AD107" s="4050"/>
      <c r="AE107" s="3009"/>
      <c r="AF107" s="3009"/>
      <c r="AG107" s="3009"/>
      <c r="AH107" s="3009"/>
      <c r="AI107" s="3009"/>
      <c r="AJ107" s="3009"/>
      <c r="AK107" s="3009"/>
      <c r="AL107" s="3009"/>
      <c r="AM107" s="3009"/>
      <c r="AN107" s="3009"/>
      <c r="AO107" s="3009"/>
      <c r="AP107" s="3009"/>
      <c r="AQ107" s="3009"/>
      <c r="AR107" s="3009"/>
      <c r="AS107" s="3011"/>
      <c r="AT107" s="3009"/>
      <c r="AU107" s="3009"/>
      <c r="AV107" s="3009"/>
      <c r="AW107" s="3009"/>
      <c r="AX107" s="3009"/>
      <c r="AY107" s="981"/>
      <c r="AZ107" s="981"/>
    </row>
    <row r="108" spans="1:52" x14ac:dyDescent="0.35">
      <c r="A108" s="2286"/>
      <c r="B108" s="2284" t="s">
        <v>728</v>
      </c>
      <c r="C108" s="2285"/>
      <c r="D108" s="2285"/>
      <c r="E108" s="2285"/>
      <c r="F108" s="2285"/>
      <c r="G108" s="2198"/>
      <c r="H108" s="3020"/>
      <c r="I108" s="3009"/>
      <c r="J108" s="3020"/>
      <c r="K108" s="3009"/>
      <c r="L108" s="3020"/>
      <c r="M108" s="3009"/>
      <c r="N108" s="3020"/>
      <c r="O108" s="3009"/>
      <c r="P108" s="3020"/>
      <c r="Q108" s="3009"/>
      <c r="R108" s="3020"/>
      <c r="S108" s="3009"/>
      <c r="T108" s="3009"/>
      <c r="U108" s="3009"/>
      <c r="V108" s="3009"/>
      <c r="W108" s="3009"/>
      <c r="X108" s="4050"/>
      <c r="Y108" s="4050"/>
      <c r="Z108" s="3009"/>
      <c r="AA108" s="3009"/>
      <c r="AB108" s="3009"/>
      <c r="AC108" s="3009"/>
      <c r="AD108" s="4050"/>
      <c r="AE108" s="3009"/>
      <c r="AF108" s="3009"/>
      <c r="AG108" s="3009"/>
      <c r="AH108" s="3009"/>
      <c r="AI108" s="3009"/>
      <c r="AJ108" s="3009"/>
      <c r="AK108" s="3009"/>
      <c r="AL108" s="3009"/>
      <c r="AM108" s="3009"/>
      <c r="AN108" s="3009"/>
      <c r="AO108" s="3009"/>
      <c r="AP108" s="3009"/>
      <c r="AQ108" s="3009"/>
      <c r="AR108" s="3009"/>
      <c r="AS108" s="3011"/>
      <c r="AT108" s="3009"/>
      <c r="AU108" s="3009"/>
      <c r="AV108" s="3009"/>
      <c r="AW108" s="3009"/>
      <c r="AX108" s="3009"/>
      <c r="AY108" s="21"/>
      <c r="AZ108" s="21"/>
    </row>
    <row r="109" spans="1:52" x14ac:dyDescent="0.35">
      <c r="A109" s="2286"/>
      <c r="B109" s="2284" t="s">
        <v>729</v>
      </c>
      <c r="C109" s="2285"/>
      <c r="D109" s="2285"/>
      <c r="E109" s="2285"/>
      <c r="F109" s="2285"/>
      <c r="G109" s="2198"/>
      <c r="H109" s="3020"/>
      <c r="I109" s="3009"/>
      <c r="J109" s="3020"/>
      <c r="K109" s="3009"/>
      <c r="L109" s="3020"/>
      <c r="M109" s="3009"/>
      <c r="N109" s="3020"/>
      <c r="O109" s="3009"/>
      <c r="P109" s="3020"/>
      <c r="Q109" s="3009"/>
      <c r="R109" s="3020"/>
      <c r="S109" s="3009"/>
      <c r="T109" s="3009"/>
      <c r="U109" s="3009"/>
      <c r="V109" s="3009"/>
      <c r="W109" s="3009"/>
      <c r="X109" s="4050"/>
      <c r="Y109" s="4050"/>
      <c r="Z109" s="3009"/>
      <c r="AA109" s="3009"/>
      <c r="AB109" s="3009"/>
      <c r="AC109" s="3009"/>
      <c r="AD109" s="4050"/>
      <c r="AE109" s="3009"/>
      <c r="AF109" s="3009"/>
      <c r="AG109" s="3009"/>
      <c r="AH109" s="3009"/>
      <c r="AI109" s="3009"/>
      <c r="AJ109" s="3009"/>
      <c r="AK109" s="3009"/>
      <c r="AL109" s="3009"/>
      <c r="AM109" s="3009"/>
      <c r="AN109" s="3009"/>
      <c r="AO109" s="3009"/>
      <c r="AP109" s="3009"/>
      <c r="AQ109" s="3009"/>
      <c r="AR109" s="3009"/>
      <c r="AS109" s="3011"/>
      <c r="AT109" s="3009"/>
      <c r="AU109" s="3009"/>
      <c r="AV109" s="3009"/>
      <c r="AW109" s="3009"/>
      <c r="AX109" s="3009"/>
      <c r="AY109" s="3021"/>
      <c r="AZ109" s="3021"/>
    </row>
    <row r="110" spans="1:52" x14ac:dyDescent="0.35">
      <c r="A110" s="978"/>
      <c r="B110" s="939"/>
      <c r="C110" s="940"/>
      <c r="D110" s="940"/>
      <c r="E110" s="940"/>
      <c r="F110" s="940"/>
      <c r="G110" s="1039"/>
      <c r="H110" s="640"/>
      <c r="I110" s="981"/>
      <c r="J110" s="640"/>
      <c r="K110" s="981"/>
      <c r="L110" s="640"/>
      <c r="M110" s="981"/>
      <c r="N110" s="640"/>
      <c r="O110" s="981"/>
      <c r="P110" s="640"/>
      <c r="Q110" s="981"/>
      <c r="R110" s="640"/>
      <c r="S110" s="981"/>
      <c r="T110" s="981"/>
      <c r="U110" s="981"/>
      <c r="V110" s="981"/>
      <c r="W110" s="981"/>
      <c r="X110" s="981"/>
      <c r="Y110" s="981"/>
      <c r="Z110" s="981"/>
      <c r="AA110" s="981"/>
      <c r="AB110" s="981"/>
      <c r="AC110" s="981"/>
      <c r="AD110" s="981"/>
      <c r="AE110" s="981"/>
      <c r="AF110" s="981"/>
      <c r="AG110" s="981"/>
      <c r="AH110" s="981"/>
      <c r="AI110" s="981"/>
      <c r="AJ110" s="981"/>
      <c r="AK110" s="981"/>
      <c r="AL110" s="981"/>
      <c r="AM110" s="981"/>
      <c r="AN110" s="981"/>
      <c r="AO110" s="981"/>
      <c r="AP110" s="981"/>
      <c r="AQ110" s="981"/>
      <c r="AR110" s="981"/>
      <c r="AS110" s="3022"/>
      <c r="AT110" s="981"/>
      <c r="AU110" s="981"/>
      <c r="AV110" s="981"/>
      <c r="AW110" s="981"/>
      <c r="AX110" s="981"/>
      <c r="AY110" s="2158"/>
      <c r="AZ110" s="2158"/>
    </row>
    <row r="111" spans="1:52" x14ac:dyDescent="0.35">
      <c r="A111" s="7" t="s">
        <v>730</v>
      </c>
      <c r="B111" s="8"/>
      <c r="C111" s="12"/>
      <c r="D111" s="12"/>
      <c r="E111" s="12"/>
      <c r="F111" s="12"/>
      <c r="G111" s="13"/>
      <c r="H111" s="341"/>
      <c r="I111" s="21"/>
      <c r="J111" s="341"/>
      <c r="K111" s="21"/>
      <c r="L111" s="341"/>
      <c r="M111" s="21"/>
      <c r="N111" s="341"/>
      <c r="O111" s="21"/>
      <c r="P111" s="341"/>
      <c r="Q111" s="21"/>
      <c r="R111" s="34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171"/>
      <c r="AT111" s="21"/>
      <c r="AU111" s="21"/>
      <c r="AV111" s="21"/>
      <c r="AW111" s="21"/>
      <c r="AX111" s="21"/>
      <c r="AY111" s="2093"/>
      <c r="AZ111" s="2093"/>
    </row>
    <row r="112" spans="1:52" x14ac:dyDescent="0.35">
      <c r="A112" s="2998"/>
      <c r="B112" s="3023" t="s">
        <v>731</v>
      </c>
      <c r="C112" s="2964"/>
      <c r="D112" s="2964"/>
      <c r="E112" s="2964"/>
      <c r="F112" s="2964"/>
      <c r="G112" s="2999"/>
      <c r="H112" s="3024"/>
      <c r="I112" s="3021"/>
      <c r="J112" s="3024"/>
      <c r="K112" s="3021"/>
      <c r="L112" s="3024"/>
      <c r="M112" s="3021"/>
      <c r="N112" s="3024"/>
      <c r="O112" s="3021"/>
      <c r="P112" s="3024"/>
      <c r="Q112" s="3021"/>
      <c r="R112" s="3024"/>
      <c r="S112" s="3021"/>
      <c r="T112" s="3021"/>
      <c r="U112" s="3021"/>
      <c r="V112" s="3021"/>
      <c r="W112" s="3021"/>
      <c r="X112" s="3547"/>
      <c r="Y112" s="3547"/>
      <c r="Z112" s="3021"/>
      <c r="AA112" s="3021"/>
      <c r="AB112" s="3021"/>
      <c r="AC112" s="3021"/>
      <c r="AD112" s="4099"/>
      <c r="AE112" s="3021"/>
      <c r="AF112" s="3021"/>
      <c r="AG112" s="3021"/>
      <c r="AH112" s="3021"/>
      <c r="AI112" s="3021"/>
      <c r="AJ112" s="3021"/>
      <c r="AK112" s="3021"/>
      <c r="AL112" s="3021"/>
      <c r="AM112" s="3021"/>
      <c r="AN112" s="3021"/>
      <c r="AO112" s="3021"/>
      <c r="AP112" s="3021"/>
      <c r="AQ112" s="3021"/>
      <c r="AR112" s="3021"/>
      <c r="AS112" s="3025"/>
      <c r="AT112" s="3021"/>
      <c r="AU112" s="3021"/>
      <c r="AV112" s="3021"/>
      <c r="AW112" s="3021"/>
      <c r="AX112" s="3021"/>
    </row>
    <row r="113" spans="1:50" x14ac:dyDescent="0.35">
      <c r="A113" s="2286"/>
      <c r="B113" s="2284" t="s">
        <v>732</v>
      </c>
      <c r="C113" s="2285"/>
      <c r="D113" s="2285"/>
      <c r="E113" s="2285"/>
      <c r="F113" s="2285"/>
      <c r="G113" s="2198"/>
      <c r="H113" s="3026"/>
      <c r="I113" s="2158"/>
      <c r="J113" s="3026"/>
      <c r="K113" s="2158"/>
      <c r="L113" s="3026"/>
      <c r="M113" s="2158"/>
      <c r="N113" s="3026"/>
      <c r="O113" s="2158"/>
      <c r="P113" s="3026"/>
      <c r="Q113" s="2158"/>
      <c r="R113" s="3026"/>
      <c r="S113" s="2158"/>
      <c r="T113" s="2158"/>
      <c r="U113" s="2158"/>
      <c r="V113" s="2158"/>
      <c r="W113" s="2158"/>
      <c r="X113" s="4051"/>
      <c r="Y113" s="4051"/>
      <c r="Z113" s="2158"/>
      <c r="AA113" s="2158"/>
      <c r="AB113" s="2158"/>
      <c r="AC113" s="2158"/>
      <c r="AD113" s="4051"/>
      <c r="AE113" s="2158"/>
      <c r="AF113" s="2158"/>
      <c r="AG113" s="2158"/>
      <c r="AH113" s="2158"/>
      <c r="AI113" s="2158"/>
      <c r="AJ113" s="2158"/>
      <c r="AK113" s="2158"/>
      <c r="AL113" s="2158"/>
      <c r="AM113" s="2158"/>
      <c r="AN113" s="2158"/>
      <c r="AO113" s="2158"/>
      <c r="AP113" s="2158"/>
      <c r="AQ113" s="2158"/>
      <c r="AR113" s="2158"/>
      <c r="AS113" s="2094"/>
      <c r="AT113" s="2158"/>
      <c r="AU113" s="2158"/>
      <c r="AV113" s="2158"/>
      <c r="AW113" s="2158"/>
      <c r="AX113" s="2158"/>
    </row>
    <row r="114" spans="1:50" x14ac:dyDescent="0.35">
      <c r="A114" s="2089"/>
      <c r="B114" s="2090" t="s">
        <v>733</v>
      </c>
      <c r="C114" s="2091"/>
      <c r="D114" s="2091"/>
      <c r="E114" s="2091"/>
      <c r="F114" s="2091"/>
      <c r="G114" s="2092"/>
      <c r="H114" s="3027"/>
      <c r="I114" s="2093"/>
      <c r="J114" s="3027"/>
      <c r="K114" s="2093"/>
      <c r="L114" s="3027"/>
      <c r="M114" s="2093"/>
      <c r="N114" s="3027"/>
      <c r="O114" s="2093"/>
      <c r="P114" s="3027"/>
      <c r="Q114" s="2093"/>
      <c r="R114" s="3027"/>
      <c r="S114" s="2093"/>
      <c r="T114" s="2093"/>
      <c r="U114" s="2093"/>
      <c r="V114" s="2093"/>
      <c r="W114" s="2093"/>
      <c r="X114" s="4052"/>
      <c r="Y114" s="4052"/>
      <c r="Z114" s="2093"/>
      <c r="AA114" s="2093"/>
      <c r="AB114" s="2093"/>
      <c r="AC114" s="2093"/>
      <c r="AD114" s="4052"/>
      <c r="AE114" s="2093"/>
      <c r="AF114" s="2093"/>
      <c r="AG114" s="2093"/>
      <c r="AH114" s="2093"/>
      <c r="AI114" s="2093"/>
      <c r="AJ114" s="2093"/>
      <c r="AK114" s="2093"/>
      <c r="AL114" s="2093"/>
      <c r="AM114" s="2093"/>
      <c r="AN114" s="2093"/>
      <c r="AO114" s="2093"/>
      <c r="AP114" s="2093"/>
      <c r="AQ114" s="2093"/>
      <c r="AR114" s="2093"/>
      <c r="AS114" s="3028"/>
      <c r="AT114" s="2093"/>
      <c r="AU114" s="2093"/>
      <c r="AV114" s="2093"/>
      <c r="AW114" s="2093"/>
      <c r="AX114" s="2093"/>
    </row>
    <row r="116" spans="1:50" x14ac:dyDescent="0.35">
      <c r="A116" s="78" t="s">
        <v>734</v>
      </c>
      <c r="B116" s="80"/>
      <c r="C116" s="2" t="s">
        <v>20</v>
      </c>
      <c r="D116" s="2" t="s">
        <v>429</v>
      </c>
      <c r="E116" s="2" t="s">
        <v>746</v>
      </c>
    </row>
    <row r="117" spans="1:50" x14ac:dyDescent="0.35">
      <c r="A117" s="79" t="s">
        <v>632</v>
      </c>
      <c r="B117" s="2094" t="str">
        <f>L4</f>
        <v>Armstrong R1</v>
      </c>
    </row>
    <row r="118" spans="1:50" x14ac:dyDescent="0.35">
      <c r="A118" s="3029" t="s">
        <v>636</v>
      </c>
      <c r="B118" s="2094" t="str">
        <f>L5</f>
        <v>Daniel Barrers</v>
      </c>
    </row>
    <row r="119" spans="1:50" x14ac:dyDescent="0.35">
      <c r="A119" s="2096" t="s">
        <v>639</v>
      </c>
      <c r="B119" s="2097">
        <f>L6</f>
        <v>4079017477</v>
      </c>
    </row>
    <row r="120" spans="1:50" x14ac:dyDescent="0.35">
      <c r="A120" s="2096" t="s">
        <v>642</v>
      </c>
      <c r="B120" s="2098" t="str">
        <f>L7</f>
        <v>dbarrera@armstrongairinc.com</v>
      </c>
    </row>
    <row r="121" spans="1:50" x14ac:dyDescent="0.35">
      <c r="A121" s="2099" t="s">
        <v>735</v>
      </c>
      <c r="B121" s="2100">
        <f>M33</f>
        <v>2776000</v>
      </c>
      <c r="C121" s="333">
        <f>K76</f>
        <v>180000</v>
      </c>
      <c r="D121" s="333">
        <f>K78</f>
        <v>29000</v>
      </c>
      <c r="E121" s="333">
        <f>K77</f>
        <v>10000</v>
      </c>
    </row>
    <row r="122" spans="1:50" x14ac:dyDescent="0.35">
      <c r="B122" s="173">
        <f>N8</f>
        <v>3169616</v>
      </c>
    </row>
    <row r="123" spans="1:50" x14ac:dyDescent="0.35">
      <c r="A123" s="81"/>
      <c r="B123" s="1" t="s">
        <v>736</v>
      </c>
    </row>
    <row r="124" spans="1:50" x14ac:dyDescent="0.35">
      <c r="A124" s="82"/>
      <c r="B124" s="1" t="s">
        <v>737</v>
      </c>
    </row>
  </sheetData>
  <mergeCells count="168">
    <mergeCell ref="X6:Y6"/>
    <mergeCell ref="X7:Y7"/>
    <mergeCell ref="X8:Y8"/>
    <mergeCell ref="AM4:AN4"/>
    <mergeCell ref="AM5:AN5"/>
    <mergeCell ref="AM6:AN6"/>
    <mergeCell ref="AM7:AN7"/>
    <mergeCell ref="AM8:AN8"/>
    <mergeCell ref="V8:W8"/>
    <mergeCell ref="N2:O2"/>
    <mergeCell ref="N3:O3"/>
    <mergeCell ref="P6:Q6"/>
    <mergeCell ref="P7:Q7"/>
    <mergeCell ref="P8:Q8"/>
    <mergeCell ref="R8:S8"/>
    <mergeCell ref="Z8:AA8"/>
    <mergeCell ref="AB4:AC4"/>
    <mergeCell ref="AB5:AC5"/>
    <mergeCell ref="AB6:AC6"/>
    <mergeCell ref="AB7:AC7"/>
    <mergeCell ref="AB8:AC8"/>
    <mergeCell ref="R4:S4"/>
    <mergeCell ref="AK4:AL4"/>
    <mergeCell ref="AK5:AL5"/>
    <mergeCell ref="AK6:AL6"/>
    <mergeCell ref="AK7:AL7"/>
    <mergeCell ref="AK8:AL8"/>
    <mergeCell ref="L6:M6"/>
    <mergeCell ref="L7:M7"/>
    <mergeCell ref="L8:M8"/>
    <mergeCell ref="Z2:AA2"/>
    <mergeCell ref="Z3:AA3"/>
    <mergeCell ref="AB2:AC2"/>
    <mergeCell ref="AB3:AC3"/>
    <mergeCell ref="R2:S2"/>
    <mergeCell ref="R3:S3"/>
    <mergeCell ref="R5:S5"/>
    <mergeCell ref="R6:S6"/>
    <mergeCell ref="R7:S7"/>
    <mergeCell ref="V2:W2"/>
    <mergeCell ref="V3:W3"/>
    <mergeCell ref="V6:W6"/>
    <mergeCell ref="V7:W7"/>
    <mergeCell ref="Z4:AA4"/>
    <mergeCell ref="Z5:AA5"/>
    <mergeCell ref="Z6:AA6"/>
    <mergeCell ref="Z7:AA7"/>
    <mergeCell ref="X2:Y2"/>
    <mergeCell ref="X3:Y3"/>
    <mergeCell ref="X4:Y4"/>
    <mergeCell ref="X5:Y5"/>
    <mergeCell ref="A93:B93"/>
    <mergeCell ref="A97:B97"/>
    <mergeCell ref="A101:B101"/>
    <mergeCell ref="A105:B105"/>
    <mergeCell ref="AO4:AP4"/>
    <mergeCell ref="AO5:AP5"/>
    <mergeCell ref="AO6:AP6"/>
    <mergeCell ref="AO7:AP7"/>
    <mergeCell ref="AO8:AP8"/>
    <mergeCell ref="H8:I8"/>
    <mergeCell ref="AG7:AH7"/>
    <mergeCell ref="AG4:AH4"/>
    <mergeCell ref="AG5:AH5"/>
    <mergeCell ref="AG6:AH6"/>
    <mergeCell ref="T6:U6"/>
    <mergeCell ref="T7:U7"/>
    <mergeCell ref="T8:U8"/>
    <mergeCell ref="AI4:AJ4"/>
    <mergeCell ref="AI5:AJ5"/>
    <mergeCell ref="AI6:AJ6"/>
    <mergeCell ref="AI7:AJ7"/>
    <mergeCell ref="AI8:AJ8"/>
    <mergeCell ref="V4:W4"/>
    <mergeCell ref="V5:W5"/>
    <mergeCell ref="A89:B89"/>
    <mergeCell ref="BA8:BB8"/>
    <mergeCell ref="AQ8:AR8"/>
    <mergeCell ref="AQ4:AR4"/>
    <mergeCell ref="AQ5:AR5"/>
    <mergeCell ref="AQ6:AR6"/>
    <mergeCell ref="AQ7:AR7"/>
    <mergeCell ref="AG8:AH8"/>
    <mergeCell ref="N6:O6"/>
    <mergeCell ref="N7:O7"/>
    <mergeCell ref="N8:O8"/>
    <mergeCell ref="H6:I6"/>
    <mergeCell ref="H7:I7"/>
    <mergeCell ref="J7:K7"/>
    <mergeCell ref="J8:K8"/>
    <mergeCell ref="J6:K6"/>
    <mergeCell ref="AE4:AF4"/>
    <mergeCell ref="AE5:AF5"/>
    <mergeCell ref="AE6:AF6"/>
    <mergeCell ref="AE7:AF7"/>
    <mergeCell ref="AE8:AF8"/>
    <mergeCell ref="AY8:AZ8"/>
    <mergeCell ref="AS8:AT8"/>
    <mergeCell ref="AU8:AV8"/>
    <mergeCell ref="BC4:BD4"/>
    <mergeCell ref="BC5:BD5"/>
    <mergeCell ref="BC6:BD6"/>
    <mergeCell ref="BC7:BD7"/>
    <mergeCell ref="BA4:BB4"/>
    <mergeCell ref="BA5:BB5"/>
    <mergeCell ref="BA6:BB6"/>
    <mergeCell ref="BA7:BB7"/>
    <mergeCell ref="AU4:AV4"/>
    <mergeCell ref="AU5:AV5"/>
    <mergeCell ref="AU6:AV6"/>
    <mergeCell ref="AU7:AV7"/>
    <mergeCell ref="AW8:AX8"/>
    <mergeCell ref="AQ2:AR2"/>
    <mergeCell ref="AU3:AV3"/>
    <mergeCell ref="AW2:AX2"/>
    <mergeCell ref="AW3:AX3"/>
    <mergeCell ref="AU2:AV2"/>
    <mergeCell ref="AS7:AT7"/>
    <mergeCell ref="AY2:AZ2"/>
    <mergeCell ref="AS2:AT2"/>
    <mergeCell ref="AW4:AX4"/>
    <mergeCell ref="AW5:AX5"/>
    <mergeCell ref="AW6:AX6"/>
    <mergeCell ref="AW7:AX7"/>
    <mergeCell ref="AS4:AT4"/>
    <mergeCell ref="AS5:AT5"/>
    <mergeCell ref="AS6:AT6"/>
    <mergeCell ref="AY3:AZ3"/>
    <mergeCell ref="AS3:AT3"/>
    <mergeCell ref="AY4:AZ4"/>
    <mergeCell ref="AY5:AZ5"/>
    <mergeCell ref="AY6:AZ6"/>
    <mergeCell ref="AY7:AZ7"/>
    <mergeCell ref="AO2:AP2"/>
    <mergeCell ref="AO3:AP3"/>
    <mergeCell ref="AI2:AJ2"/>
    <mergeCell ref="AI3:AJ3"/>
    <mergeCell ref="AQ3:AR3"/>
    <mergeCell ref="AE2:AF2"/>
    <mergeCell ref="AE3:AF3"/>
    <mergeCell ref="AM2:AN2"/>
    <mergeCell ref="AM3:AN3"/>
    <mergeCell ref="AK2:AL2"/>
    <mergeCell ref="AK3:AL3"/>
    <mergeCell ref="AG2:AH2"/>
    <mergeCell ref="AG3:AH3"/>
    <mergeCell ref="H2:I2"/>
    <mergeCell ref="H3:I3"/>
    <mergeCell ref="T4:U4"/>
    <mergeCell ref="H4:I4"/>
    <mergeCell ref="T3:U3"/>
    <mergeCell ref="N4:O4"/>
    <mergeCell ref="N5:O5"/>
    <mergeCell ref="H5:I5"/>
    <mergeCell ref="J2:K2"/>
    <mergeCell ref="J3:K3"/>
    <mergeCell ref="J4:K4"/>
    <mergeCell ref="J5:K5"/>
    <mergeCell ref="T5:U5"/>
    <mergeCell ref="T2:U2"/>
    <mergeCell ref="P2:Q2"/>
    <mergeCell ref="P3:Q3"/>
    <mergeCell ref="P4:Q4"/>
    <mergeCell ref="P5:Q5"/>
    <mergeCell ref="L2:M2"/>
    <mergeCell ref="L3:M3"/>
    <mergeCell ref="L4:M4"/>
    <mergeCell ref="L5:M5"/>
  </mergeCells>
  <conditionalFormatting sqref="H20:H32 H34:H80 N34:N80 P34:P80 T34:T80 V34:V80 AE34:AE80 AG34:AG80 AI34:AI80 AO34:AO80 AQ34:AQ80 AS34:AS80 AU34:AU80">
    <cfRule type="cellIs" dxfId="421" priority="61" operator="equal">
      <formula>"X"</formula>
    </cfRule>
    <cfRule type="cellIs" dxfId="420" priority="62" operator="equal">
      <formula>"I"</formula>
    </cfRule>
  </conditionalFormatting>
  <conditionalFormatting sqref="J20:J32">
    <cfRule type="cellIs" dxfId="419" priority="53" operator="equal">
      <formula>"X"</formula>
    </cfRule>
    <cfRule type="cellIs" dxfId="418" priority="54" operator="equal">
      <formula>"I"</formula>
    </cfRule>
  </conditionalFormatting>
  <conditionalFormatting sqref="J34:J80">
    <cfRule type="cellIs" dxfId="417" priority="31" operator="equal">
      <formula>"X"</formula>
    </cfRule>
    <cfRule type="cellIs" dxfId="416" priority="32" operator="equal">
      <formula>"I"</formula>
    </cfRule>
  </conditionalFormatting>
  <conditionalFormatting sqref="L20:L32">
    <cfRule type="cellIs" dxfId="415" priority="27" operator="equal">
      <formula>"X"</formula>
    </cfRule>
    <cfRule type="cellIs" dxfId="414" priority="28" operator="equal">
      <formula>"I"</formula>
    </cfRule>
  </conditionalFormatting>
  <conditionalFormatting sqref="L34:L80">
    <cfRule type="cellIs" dxfId="413" priority="25" operator="equal">
      <formula>"X"</formula>
    </cfRule>
    <cfRule type="cellIs" dxfId="412" priority="26" operator="equal">
      <formula>"I"</formula>
    </cfRule>
  </conditionalFormatting>
  <conditionalFormatting sqref="N20:N32">
    <cfRule type="cellIs" dxfId="411" priority="57" operator="equal">
      <formula>"X"</formula>
    </cfRule>
    <cfRule type="cellIs" dxfId="410" priority="58" operator="equal">
      <formula>"I"</formula>
    </cfRule>
  </conditionalFormatting>
  <conditionalFormatting sqref="P20:P32">
    <cfRule type="cellIs" dxfId="409" priority="33" operator="equal">
      <formula>"X"</formula>
    </cfRule>
    <cfRule type="cellIs" dxfId="408" priority="34" operator="equal">
      <formula>"I"</formula>
    </cfRule>
  </conditionalFormatting>
  <conditionalFormatting sqref="T20:T32">
    <cfRule type="cellIs" dxfId="407" priority="69" operator="equal">
      <formula>"X"</formula>
    </cfRule>
    <cfRule type="cellIs" dxfId="406" priority="70" operator="equal">
      <formula>"I"</formula>
    </cfRule>
  </conditionalFormatting>
  <conditionalFormatting sqref="V20:V32">
    <cfRule type="cellIs" dxfId="405" priority="51" operator="equal">
      <formula>"X"</formula>
    </cfRule>
    <cfRule type="cellIs" dxfId="404" priority="52" operator="equal">
      <formula>"I"</formula>
    </cfRule>
  </conditionalFormatting>
  <conditionalFormatting sqref="AE20:AE32">
    <cfRule type="cellIs" dxfId="403" priority="39" operator="equal">
      <formula>"X"</formula>
    </cfRule>
    <cfRule type="cellIs" dxfId="402" priority="40" operator="equal">
      <formula>"I"</formula>
    </cfRule>
  </conditionalFormatting>
  <conditionalFormatting sqref="AG20:AG32">
    <cfRule type="cellIs" dxfId="401" priority="83" operator="equal">
      <formula>"X"</formula>
    </cfRule>
    <cfRule type="cellIs" dxfId="400" priority="84" operator="equal">
      <formula>"I"</formula>
    </cfRule>
  </conditionalFormatting>
  <conditionalFormatting sqref="AI20:AI32">
    <cfRule type="cellIs" dxfId="399" priority="43" operator="equal">
      <formula>"X"</formula>
    </cfRule>
    <cfRule type="cellIs" dxfId="398" priority="44" operator="equal">
      <formula>"I"</formula>
    </cfRule>
  </conditionalFormatting>
  <conditionalFormatting sqref="AM20:AM32">
    <cfRule type="cellIs" dxfId="397" priority="21" operator="equal">
      <formula>"X"</formula>
    </cfRule>
    <cfRule type="cellIs" dxfId="396" priority="22" operator="equal">
      <formula>"I"</formula>
    </cfRule>
  </conditionalFormatting>
  <conditionalFormatting sqref="AM34:AM80">
    <cfRule type="cellIs" dxfId="395" priority="23" operator="equal">
      <formula>"X"</formula>
    </cfRule>
    <cfRule type="cellIs" dxfId="394" priority="24" operator="equal">
      <formula>"I"</formula>
    </cfRule>
  </conditionalFormatting>
  <conditionalFormatting sqref="AO20:AO32">
    <cfRule type="cellIs" dxfId="393" priority="47" operator="equal">
      <formula>"X"</formula>
    </cfRule>
    <cfRule type="cellIs" dxfId="392" priority="48" operator="equal">
      <formula>"I"</formula>
    </cfRule>
  </conditionalFormatting>
  <conditionalFormatting sqref="AQ20:AQ32">
    <cfRule type="cellIs" dxfId="391" priority="77" operator="equal">
      <formula>"X"</formula>
    </cfRule>
    <cfRule type="cellIs" dxfId="390" priority="78" operator="equal">
      <formula>"I"</formula>
    </cfRule>
  </conditionalFormatting>
  <conditionalFormatting sqref="AS20:AS32">
    <cfRule type="cellIs" dxfId="389" priority="75" operator="equal">
      <formula>"X"</formula>
    </cfRule>
    <cfRule type="cellIs" dxfId="388" priority="76" operator="equal">
      <formula>"I"</formula>
    </cfRule>
  </conditionalFormatting>
  <conditionalFormatting sqref="AU20:AU32">
    <cfRule type="cellIs" dxfId="387" priority="73" operator="equal">
      <formula>"X"</formula>
    </cfRule>
    <cfRule type="cellIs" dxfId="386" priority="74" operator="equal">
      <formula>"I"</formula>
    </cfRule>
  </conditionalFormatting>
  <conditionalFormatting sqref="AK34:AK80">
    <cfRule type="cellIs" dxfId="385" priority="19" operator="equal">
      <formula>"X"</formula>
    </cfRule>
    <cfRule type="cellIs" dxfId="384" priority="20" operator="equal">
      <formula>"I"</formula>
    </cfRule>
  </conditionalFormatting>
  <conditionalFormatting sqref="AK20:AK32">
    <cfRule type="cellIs" dxfId="383" priority="17" operator="equal">
      <formula>"X"</formula>
    </cfRule>
    <cfRule type="cellIs" dxfId="382" priority="18" operator="equal">
      <formula>"I"</formula>
    </cfRule>
  </conditionalFormatting>
  <conditionalFormatting sqref="Z34:Z80">
    <cfRule type="cellIs" dxfId="381" priority="13" operator="equal">
      <formula>"X"</formula>
    </cfRule>
    <cfRule type="cellIs" dxfId="380" priority="14" operator="equal">
      <formula>"I"</formula>
    </cfRule>
  </conditionalFormatting>
  <conditionalFormatting sqref="Z20:Z32">
    <cfRule type="cellIs" dxfId="379" priority="15" operator="equal">
      <formula>"X"</formula>
    </cfRule>
    <cfRule type="cellIs" dxfId="378" priority="16" operator="equal">
      <formula>"I"</formula>
    </cfRule>
  </conditionalFormatting>
  <conditionalFormatting sqref="AB34:AB80">
    <cfRule type="cellIs" dxfId="377" priority="9" operator="equal">
      <formula>"X"</formula>
    </cfRule>
    <cfRule type="cellIs" dxfId="376" priority="10" operator="equal">
      <formula>"I"</formula>
    </cfRule>
  </conditionalFormatting>
  <conditionalFormatting sqref="AB20:AB32">
    <cfRule type="cellIs" dxfId="375" priority="11" operator="equal">
      <formula>"X"</formula>
    </cfRule>
    <cfRule type="cellIs" dxfId="374" priority="12" operator="equal">
      <formula>"I"</formula>
    </cfRule>
  </conditionalFormatting>
  <conditionalFormatting sqref="R34:R80">
    <cfRule type="cellIs" dxfId="373" priority="7" operator="equal">
      <formula>"X"</formula>
    </cfRule>
    <cfRule type="cellIs" dxfId="372" priority="8" operator="equal">
      <formula>"I"</formula>
    </cfRule>
  </conditionalFormatting>
  <conditionalFormatting sqref="R20:R32">
    <cfRule type="cellIs" dxfId="371" priority="5" operator="equal">
      <formula>"X"</formula>
    </cfRule>
    <cfRule type="cellIs" dxfId="370" priority="6" operator="equal">
      <formula>"I"</formula>
    </cfRule>
  </conditionalFormatting>
  <conditionalFormatting sqref="X34:X80">
    <cfRule type="cellIs" dxfId="369" priority="3" operator="equal">
      <formula>"X"</formula>
    </cfRule>
    <cfRule type="cellIs" dxfId="368" priority="4" operator="equal">
      <formula>"I"</formula>
    </cfRule>
  </conditionalFormatting>
  <conditionalFormatting sqref="X20:X32">
    <cfRule type="cellIs" dxfId="367" priority="1" operator="equal">
      <formula>"X"</formula>
    </cfRule>
    <cfRule type="cellIs" dxfId="366" priority="2" operator="equal">
      <formula>"I"</formula>
    </cfRule>
  </conditionalFormatting>
  <hyperlinks>
    <hyperlink ref="AW7" r:id="rId1" xr:uid="{E318A2A2-8A3C-4401-A933-82A0079F6CBD}"/>
    <hyperlink ref="AY7" r:id="rId2" display="mailto:gschmidt.sms@gmail.com" xr:uid="{5763B4C8-97A4-4A59-BCE2-E1050331D868}"/>
    <hyperlink ref="BA7" r:id="rId3" xr:uid="{40986CA0-0865-4A06-9248-1F5FA9BA2156}"/>
    <hyperlink ref="BC7" r:id="rId4" display="mailto:info@mastermechanicalservices.com" xr:uid="{4B2B8E40-AC0A-4C08-B147-F2F050BF06D0}"/>
    <hyperlink ref="B3" location="'Cost Summary'!A1" display="BACK TO SUMMARY SHEET" xr:uid="{E4DB86A9-F814-42BE-B9C7-10010718EB0B}"/>
    <hyperlink ref="AG7" r:id="rId5" xr:uid="{A8C639AE-3114-4CEF-8FFB-28D0FAD91406}"/>
    <hyperlink ref="T7:U7" r:id="rId6" display="mitchell@triadmechanical.com" xr:uid="{67D07493-479C-476E-85ED-8A9CE71DC59D}"/>
    <hyperlink ref="AQ7:AR7" r:id="rId7" display="jburgasser@powerdesigninc.us" xr:uid="{C7E260A0-609B-4F93-B193-9087CE0C6D39}"/>
    <hyperlink ref="H7:I7" r:id="rId8" display="btewksbury@stradaservices.com" xr:uid="{9EC6BF72-E07F-43D2-963A-055599D38654}"/>
    <hyperlink ref="N7:O7" r:id="rId9" display="btewksbury@stradaservices.com" xr:uid="{1A44A914-E06D-4C1A-8EB4-61B746D0AFC1}"/>
    <hyperlink ref="J7" r:id="rId10" xr:uid="{BC06A2D4-8FA2-43BA-B6C0-499E241647E7}"/>
    <hyperlink ref="V7:W7" r:id="rId11" display="mitchell@triadmechanical.com" xr:uid="{41E4C633-D340-4637-8184-A2FC334A3F63}"/>
    <hyperlink ref="AO7" r:id="rId12" xr:uid="{5DEFAF5B-6AF8-44BE-8A0A-F41B70E3E2C4}"/>
    <hyperlink ref="AI7" r:id="rId13" xr:uid="{2D0BAB3B-64A7-41C2-8E5A-9E84D873E331}"/>
    <hyperlink ref="AE7" r:id="rId14" xr:uid="{F21FC547-518C-4D64-8ECD-160752264FFB}"/>
    <hyperlink ref="L7" r:id="rId15" xr:uid="{8BA4197F-D729-4E30-B3FA-ACF53F202C7C}"/>
    <hyperlink ref="P7" r:id="rId16" xr:uid="{412A8A83-56C0-40F7-A210-5FF566981928}"/>
    <hyperlink ref="AM7" r:id="rId17" xr:uid="{FC69A351-CE26-4F90-8768-E6764E55FA58}"/>
    <hyperlink ref="AK7" r:id="rId18" xr:uid="{B0F5F539-174E-4762-9E2C-B847120DEDCE}"/>
    <hyperlink ref="Z7" r:id="rId19" xr:uid="{0CA3765F-17AF-4D2F-9803-CF01927F37B6}"/>
    <hyperlink ref="AB7" r:id="rId20" xr:uid="{9F937B57-B098-4944-A72B-19A9290F97E1}"/>
    <hyperlink ref="R7" r:id="rId21" display="mailto:LeilaCP@swecinc.com" xr:uid="{5BD3C77F-B4A9-444A-9726-2C4CCEFA7CBD}"/>
    <hyperlink ref="X7:Y7" r:id="rId22" display="mitchell@triadmechanical.com" xr:uid="{D1874352-EBAF-47EC-A511-49321A96792E}"/>
  </hyperlinks>
  <pageMargins left="0.7" right="0.7" top="0.75" bottom="0.75" header="0.3" footer="0.3"/>
  <pageSetup paperSize="3" scale="30" orientation="portrait" horizontalDpi="1200" verticalDpi="1200" r:id="rId23"/>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817-CF9C-4828-ABD2-1020E0A36F75}">
  <sheetPr>
    <tabColor rgb="FF92D050"/>
    <pageSetUpPr fitToPage="1"/>
  </sheetPr>
  <dimension ref="A1:AM203"/>
  <sheetViews>
    <sheetView zoomScale="96" zoomScaleNormal="96" workbookViewId="0">
      <pane xSplit="2" ySplit="9" topLeftCell="E174" activePane="bottomRight" state="frozen"/>
      <selection pane="topRight" activeCell="C1" sqref="C1"/>
      <selection pane="bottomLeft" activeCell="A10" sqref="A10"/>
      <selection pane="bottomRight" activeCell="W32" sqref="W32"/>
    </sheetView>
  </sheetViews>
  <sheetFormatPr defaultRowHeight="14.5" x14ac:dyDescent="0.35"/>
  <cols>
    <col min="1" max="1" width="11" customWidth="1"/>
    <col min="2" max="2" width="80.54296875" style="1" customWidth="1"/>
    <col min="3" max="3" width="10.81640625" style="2" bestFit="1" customWidth="1"/>
    <col min="4" max="4" width="11.453125" style="2" customWidth="1"/>
    <col min="5" max="5" width="7.54296875" style="2" customWidth="1"/>
    <col min="6" max="6" width="10.54296875" style="2" customWidth="1"/>
    <col min="7" max="7" width="13.26953125" style="2" bestFit="1"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4.81640625" style="2" customWidth="1"/>
    <col min="14" max="14" width="7.453125" style="2" hidden="1" customWidth="1"/>
    <col min="15" max="15" width="14.81640625" style="2" hidden="1" customWidth="1"/>
    <col min="16" max="16" width="7.453125" style="2" customWidth="1"/>
    <col min="17" max="17" width="14.81640625" style="2" customWidth="1"/>
    <col min="18" max="18" width="7.453125" style="2" hidden="1" customWidth="1"/>
    <col min="19" max="19" width="14.81640625" style="2" hidden="1" customWidth="1"/>
    <col min="20" max="20" width="7.453125" style="2" customWidth="1"/>
    <col min="21" max="21" width="14.81640625" style="2" customWidth="1"/>
    <col min="22" max="22" width="7.453125" style="2" customWidth="1"/>
    <col min="23" max="23" width="14.81640625" style="2" customWidth="1"/>
    <col min="24" max="24" width="7.453125" style="2" customWidth="1"/>
    <col min="25" max="25" width="14.81640625" style="2" customWidth="1"/>
    <col min="26" max="26" width="7.453125" style="2" customWidth="1"/>
    <col min="27" max="27" width="14.81640625" style="2" customWidth="1"/>
    <col min="28" max="28" width="7.453125" style="2" customWidth="1"/>
    <col min="29" max="29" width="14.81640625" style="2" customWidth="1"/>
    <col min="30" max="30" width="7.453125" style="2" customWidth="1"/>
    <col min="31" max="31" width="14.81640625" style="2" customWidth="1"/>
    <col min="32" max="32" width="7.453125" style="2" hidden="1" customWidth="1"/>
    <col min="33" max="33" width="14.81640625" style="2" hidden="1" customWidth="1"/>
    <col min="34" max="34" width="7.453125" style="2" hidden="1" customWidth="1"/>
    <col min="35" max="35" width="14.81640625" style="2" hidden="1" customWidth="1"/>
    <col min="36" max="36" width="7.453125" style="2" hidden="1" customWidth="1"/>
    <col min="37" max="37" width="14.81640625" style="2" hidden="1" customWidth="1"/>
    <col min="38" max="38" width="7.453125" style="2" hidden="1" customWidth="1"/>
    <col min="39" max="39" width="16.7265625" style="2" hidden="1" customWidth="1"/>
  </cols>
  <sheetData>
    <row r="1" spans="1:39" x14ac:dyDescent="0.35">
      <c r="E1" s="152"/>
      <c r="F1" s="125"/>
      <c r="G1" s="123" t="s">
        <v>621</v>
      </c>
      <c r="M1" s="2" t="s">
        <v>770</v>
      </c>
      <c r="Q1" s="2" t="s">
        <v>770</v>
      </c>
      <c r="W1" s="2" t="s">
        <v>770</v>
      </c>
    </row>
    <row r="2" spans="1:39" x14ac:dyDescent="0.35">
      <c r="E2" s="152"/>
      <c r="F2" s="122" t="s">
        <v>622</v>
      </c>
      <c r="G2" s="123" t="s">
        <v>451</v>
      </c>
      <c r="H2" s="3866">
        <v>5017033122</v>
      </c>
      <c r="I2" s="3866"/>
      <c r="J2" s="3866">
        <v>5017033122</v>
      </c>
      <c r="K2" s="3866"/>
      <c r="L2" s="3866">
        <v>5017033122</v>
      </c>
      <c r="M2" s="3866"/>
      <c r="N2" s="3866">
        <v>3865466109</v>
      </c>
      <c r="O2" s="3866"/>
      <c r="P2" s="3866">
        <v>3865466109</v>
      </c>
      <c r="Q2" s="3866"/>
      <c r="R2" s="3751"/>
      <c r="S2" s="3751"/>
      <c r="T2" s="3751" t="s">
        <v>3449</v>
      </c>
      <c r="U2" s="3751"/>
      <c r="V2" s="3751" t="s">
        <v>3450</v>
      </c>
      <c r="W2" s="3751"/>
      <c r="X2" s="3866">
        <v>6828629373</v>
      </c>
      <c r="Y2" s="3866"/>
      <c r="Z2" s="3866"/>
      <c r="AA2" s="3866"/>
      <c r="AB2" s="3866"/>
      <c r="AC2" s="3866"/>
      <c r="AD2" s="3866"/>
      <c r="AE2" s="3866"/>
      <c r="AF2" s="3751"/>
      <c r="AG2" s="3751"/>
      <c r="AH2" s="3751"/>
      <c r="AI2" s="3751"/>
      <c r="AJ2" s="3994"/>
      <c r="AK2" s="3751"/>
      <c r="AL2" s="3996"/>
      <c r="AM2" s="3785"/>
    </row>
    <row r="3" spans="1:39" ht="19.5" x14ac:dyDescent="0.35">
      <c r="B3" s="137" t="s">
        <v>623</v>
      </c>
      <c r="F3" s="124" t="s">
        <v>624</v>
      </c>
      <c r="G3" s="123" t="s">
        <v>557</v>
      </c>
      <c r="H3" s="3772" t="s">
        <v>625</v>
      </c>
      <c r="I3" s="3773"/>
      <c r="J3" s="3772" t="s">
        <v>625</v>
      </c>
      <c r="K3" s="3773"/>
      <c r="L3" s="3772" t="s">
        <v>625</v>
      </c>
      <c r="M3" s="3773"/>
      <c r="N3" s="3754" t="s">
        <v>626</v>
      </c>
      <c r="O3" s="3755"/>
      <c r="P3" s="3754" t="s">
        <v>626</v>
      </c>
      <c r="Q3" s="3755"/>
      <c r="R3" s="3754" t="s">
        <v>771</v>
      </c>
      <c r="S3" s="3755"/>
      <c r="T3" s="3754" t="s">
        <v>771</v>
      </c>
      <c r="U3" s="3755"/>
      <c r="V3" s="3754" t="s">
        <v>771</v>
      </c>
      <c r="W3" s="3755"/>
      <c r="X3" s="3754" t="s">
        <v>627</v>
      </c>
      <c r="Y3" s="3755"/>
      <c r="Z3" s="3754" t="s">
        <v>628</v>
      </c>
      <c r="AA3" s="3755"/>
      <c r="AB3" s="3754" t="s">
        <v>772</v>
      </c>
      <c r="AC3" s="3755"/>
      <c r="AD3" s="3754" t="s">
        <v>773</v>
      </c>
      <c r="AE3" s="3755"/>
      <c r="AF3" s="3754" t="s">
        <v>773</v>
      </c>
      <c r="AG3" s="3755"/>
      <c r="AH3" s="3754" t="s">
        <v>773</v>
      </c>
      <c r="AI3" s="3755"/>
      <c r="AJ3" s="3891" t="s">
        <v>626</v>
      </c>
      <c r="AK3" s="3892"/>
      <c r="AL3" s="3997" t="s">
        <v>627</v>
      </c>
      <c r="AM3" s="3998"/>
    </row>
    <row r="4" spans="1:39" ht="15.75" customHeight="1" x14ac:dyDescent="0.35">
      <c r="A4" s="3" t="s">
        <v>631</v>
      </c>
      <c r="B4" s="4" t="str">
        <f>'AREA CALC''s'!B4</f>
        <v>Alton Hilltop Gardens</v>
      </c>
      <c r="C4" s="5"/>
      <c r="D4" s="5"/>
      <c r="E4" s="5"/>
      <c r="F4" s="5"/>
      <c r="G4" s="6" t="s">
        <v>632</v>
      </c>
      <c r="H4" s="3752" t="s">
        <v>3346</v>
      </c>
      <c r="I4" s="3753"/>
      <c r="J4" s="3752" t="s">
        <v>3451</v>
      </c>
      <c r="K4" s="3753"/>
      <c r="L4" s="3752" t="s">
        <v>3452</v>
      </c>
      <c r="M4" s="3753"/>
      <c r="N4" s="3752" t="s">
        <v>3453</v>
      </c>
      <c r="O4" s="3753"/>
      <c r="P4" s="3752" t="s">
        <v>3453</v>
      </c>
      <c r="Q4" s="3753"/>
      <c r="R4" s="3752" t="s">
        <v>3454</v>
      </c>
      <c r="S4" s="3753"/>
      <c r="T4" s="3752" t="s">
        <v>3455</v>
      </c>
      <c r="U4" s="3753"/>
      <c r="V4" s="3752" t="s">
        <v>3455</v>
      </c>
      <c r="W4" s="3753"/>
      <c r="X4" s="3752" t="s">
        <v>3456</v>
      </c>
      <c r="Y4" s="3753"/>
      <c r="Z4" s="3752" t="s">
        <v>3457</v>
      </c>
      <c r="AA4" s="3753"/>
      <c r="AB4" s="3752" t="s">
        <v>3458</v>
      </c>
      <c r="AC4" s="3753"/>
      <c r="AD4" s="3752" t="s">
        <v>3459</v>
      </c>
      <c r="AE4" s="3753"/>
      <c r="AF4" s="3752" t="s">
        <v>3460</v>
      </c>
      <c r="AG4" s="3753"/>
      <c r="AH4" s="3752" t="s">
        <v>3461</v>
      </c>
      <c r="AI4" s="3753"/>
      <c r="AJ4" s="3752" t="s">
        <v>3462</v>
      </c>
      <c r="AK4" s="3753"/>
      <c r="AL4" s="3752" t="s">
        <v>3463</v>
      </c>
      <c r="AM4" s="3753"/>
    </row>
    <row r="5" spans="1:39" x14ac:dyDescent="0.35">
      <c r="A5" s="3030" t="s">
        <v>634</v>
      </c>
      <c r="B5" s="3031" t="s">
        <v>3464</v>
      </c>
      <c r="C5" s="3032"/>
      <c r="D5" s="3032"/>
      <c r="E5" s="3032"/>
      <c r="F5" s="3032"/>
      <c r="G5" s="2194" t="s">
        <v>636</v>
      </c>
      <c r="H5" s="3992" t="s">
        <v>3362</v>
      </c>
      <c r="I5" s="3932"/>
      <c r="J5" s="3992" t="s">
        <v>3362</v>
      </c>
      <c r="K5" s="3932"/>
      <c r="L5" s="3992" t="s">
        <v>3362</v>
      </c>
      <c r="M5" s="3932"/>
      <c r="N5" s="3992" t="s">
        <v>3465</v>
      </c>
      <c r="O5" s="3932"/>
      <c r="P5" s="3992" t="s">
        <v>3465</v>
      </c>
      <c r="Q5" s="3932"/>
      <c r="R5" s="3999" t="s">
        <v>3466</v>
      </c>
      <c r="S5" s="3932"/>
      <c r="T5" s="3999" t="s">
        <v>3466</v>
      </c>
      <c r="U5" s="3932"/>
      <c r="V5" s="3999" t="s">
        <v>3466</v>
      </c>
      <c r="W5" s="3932"/>
      <c r="X5" s="3992" t="s">
        <v>3467</v>
      </c>
      <c r="Y5" s="3932"/>
      <c r="Z5" s="3992" t="s">
        <v>3468</v>
      </c>
      <c r="AA5" s="3932"/>
      <c r="AB5" s="3992" t="s">
        <v>3469</v>
      </c>
      <c r="AC5" s="3932"/>
      <c r="AD5" s="3992" t="s">
        <v>3470</v>
      </c>
      <c r="AE5" s="3932"/>
      <c r="AF5" s="3992" t="s">
        <v>3471</v>
      </c>
      <c r="AG5" s="3932"/>
      <c r="AH5" s="3992" t="s">
        <v>3472</v>
      </c>
      <c r="AI5" s="3932"/>
      <c r="AJ5" s="3992" t="s">
        <v>3473</v>
      </c>
      <c r="AK5" s="3932"/>
      <c r="AL5" s="3992" t="s">
        <v>3474</v>
      </c>
      <c r="AM5" s="3932"/>
    </row>
    <row r="6" spans="1:39" x14ac:dyDescent="0.35">
      <c r="A6" s="3030" t="s">
        <v>638</v>
      </c>
      <c r="B6" s="3033" t="s">
        <v>548</v>
      </c>
      <c r="C6" s="3032"/>
      <c r="D6" s="3032"/>
      <c r="E6" s="3032"/>
      <c r="F6" s="3032"/>
      <c r="G6" s="2194" t="s">
        <v>639</v>
      </c>
      <c r="H6" s="3993">
        <v>3059718864</v>
      </c>
      <c r="I6" s="3938"/>
      <c r="J6" s="3993">
        <v>3059718864</v>
      </c>
      <c r="K6" s="3938"/>
      <c r="L6" s="3993">
        <v>3059718864</v>
      </c>
      <c r="M6" s="3938"/>
      <c r="N6" s="3993">
        <v>8445226748</v>
      </c>
      <c r="O6" s="3938"/>
      <c r="P6" s="3993">
        <v>8445226748</v>
      </c>
      <c r="Q6" s="3938"/>
      <c r="R6" s="3993">
        <v>9206349666</v>
      </c>
      <c r="S6" s="3938"/>
      <c r="T6" s="3993">
        <v>9206349666</v>
      </c>
      <c r="U6" s="3938"/>
      <c r="V6" s="3993">
        <v>9206349666</v>
      </c>
      <c r="W6" s="3938"/>
      <c r="X6" s="3993">
        <v>8327060194</v>
      </c>
      <c r="Y6" s="3938"/>
      <c r="Z6" s="3993">
        <v>9549437032</v>
      </c>
      <c r="AA6" s="3938"/>
      <c r="AB6" s="3993">
        <v>7727428788</v>
      </c>
      <c r="AC6" s="3938"/>
      <c r="AD6" s="3993">
        <v>3053088392</v>
      </c>
      <c r="AE6" s="3938"/>
      <c r="AF6" s="3993">
        <v>5618272886</v>
      </c>
      <c r="AG6" s="3938"/>
      <c r="AH6" s="3993">
        <v>8889985337</v>
      </c>
      <c r="AI6" s="3938"/>
      <c r="AJ6" s="3993" t="s">
        <v>3475</v>
      </c>
      <c r="AK6" s="3938"/>
      <c r="AL6" s="3995">
        <v>9543279475</v>
      </c>
      <c r="AM6" s="3938"/>
    </row>
    <row r="7" spans="1:39" x14ac:dyDescent="0.35">
      <c r="A7" s="3030" t="s">
        <v>641</v>
      </c>
      <c r="B7" s="3034"/>
      <c r="C7" s="3032"/>
      <c r="D7" s="3032"/>
      <c r="E7" s="3032"/>
      <c r="F7" s="3032"/>
      <c r="G7" s="2194" t="s">
        <v>642</v>
      </c>
      <c r="H7" s="3991" t="s">
        <v>3377</v>
      </c>
      <c r="I7" s="3935"/>
      <c r="J7" s="3991" t="s">
        <v>3377</v>
      </c>
      <c r="K7" s="3935"/>
      <c r="L7" s="3991" t="s">
        <v>3377</v>
      </c>
      <c r="M7" s="3935"/>
      <c r="N7" s="3991" t="s">
        <v>3476</v>
      </c>
      <c r="O7" s="3935"/>
      <c r="P7" s="3991" t="s">
        <v>3476</v>
      </c>
      <c r="Q7" s="3935"/>
      <c r="R7" s="3991" t="s">
        <v>3477</v>
      </c>
      <c r="S7" s="3935"/>
      <c r="T7" s="3991" t="s">
        <v>3477</v>
      </c>
      <c r="U7" s="3935"/>
      <c r="V7" s="3991" t="s">
        <v>3477</v>
      </c>
      <c r="W7" s="3935"/>
      <c r="X7" s="3991" t="s">
        <v>3478</v>
      </c>
      <c r="Y7" s="3935"/>
      <c r="Z7" s="3991" t="s">
        <v>3479</v>
      </c>
      <c r="AA7" s="3935"/>
      <c r="AB7" s="3991" t="s">
        <v>3480</v>
      </c>
      <c r="AC7" s="3935"/>
      <c r="AD7" s="3991" t="s">
        <v>3481</v>
      </c>
      <c r="AE7" s="3935"/>
      <c r="AF7" s="3991" t="s">
        <v>3482</v>
      </c>
      <c r="AG7" s="3935"/>
      <c r="AH7" s="3991" t="s">
        <v>3483</v>
      </c>
      <c r="AI7" s="3935"/>
      <c r="AJ7" s="4000" t="s">
        <v>3484</v>
      </c>
      <c r="AK7" s="3973"/>
      <c r="AL7" s="3991" t="s">
        <v>3485</v>
      </c>
      <c r="AM7" s="3935"/>
    </row>
    <row r="8" spans="1:39" x14ac:dyDescent="0.35">
      <c r="A8" s="938" t="s">
        <v>644</v>
      </c>
      <c r="B8" s="939"/>
      <c r="C8" s="940"/>
      <c r="D8" s="940"/>
      <c r="E8" s="940"/>
      <c r="F8" s="940"/>
      <c r="G8" s="1024" t="s">
        <v>644</v>
      </c>
      <c r="H8" s="3926">
        <f>I164</f>
        <v>9286519</v>
      </c>
      <c r="I8" s="3927"/>
      <c r="J8" s="3926">
        <f>K164</f>
        <v>9420000</v>
      </c>
      <c r="K8" s="3927"/>
      <c r="L8" s="3926">
        <f>M164</f>
        <v>8750000</v>
      </c>
      <c r="M8" s="3927"/>
      <c r="N8" s="3926">
        <f>O164</f>
        <v>8697590</v>
      </c>
      <c r="O8" s="3927"/>
      <c r="P8" s="3926">
        <f>Q164</f>
        <v>8797415</v>
      </c>
      <c r="Q8" s="3927"/>
      <c r="R8" s="3926">
        <f>S164</f>
        <v>9395000</v>
      </c>
      <c r="S8" s="3927"/>
      <c r="T8" s="3926">
        <f>U164</f>
        <v>9280000</v>
      </c>
      <c r="U8" s="3927"/>
      <c r="V8" s="3926">
        <f>W164</f>
        <v>8380000</v>
      </c>
      <c r="W8" s="3927"/>
      <c r="X8" s="3926">
        <f>Y164</f>
        <v>9892544</v>
      </c>
      <c r="Y8" s="3927"/>
      <c r="Z8" s="3926">
        <f>AA164</f>
        <v>9937206</v>
      </c>
      <c r="AA8" s="3927"/>
      <c r="AB8" s="3926">
        <f>AC164</f>
        <v>11300000</v>
      </c>
      <c r="AC8" s="3927"/>
      <c r="AD8" s="3926">
        <f>AE164</f>
        <v>13445565</v>
      </c>
      <c r="AE8" s="3927"/>
      <c r="AF8" s="3926">
        <f>AG164</f>
        <v>1179055</v>
      </c>
      <c r="AG8" s="3927"/>
      <c r="AH8" s="3926">
        <f>AI164</f>
        <v>962983</v>
      </c>
      <c r="AI8" s="3927"/>
      <c r="AJ8" s="3926">
        <f>AK164</f>
        <v>6937600</v>
      </c>
      <c r="AK8" s="3927"/>
      <c r="AL8" s="3926">
        <f>AM164</f>
        <v>8349020</v>
      </c>
      <c r="AM8" s="3927"/>
    </row>
    <row r="9" spans="1:39"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t="s">
        <v>651</v>
      </c>
      <c r="AE9" s="11" t="s">
        <v>652</v>
      </c>
      <c r="AF9" s="11" t="s">
        <v>651</v>
      </c>
      <c r="AG9" s="11" t="s">
        <v>652</v>
      </c>
      <c r="AH9" s="11" t="s">
        <v>651</v>
      </c>
      <c r="AI9" s="11" t="s">
        <v>652</v>
      </c>
      <c r="AJ9" s="11" t="s">
        <v>651</v>
      </c>
      <c r="AK9" s="11" t="s">
        <v>652</v>
      </c>
      <c r="AL9" s="11" t="s">
        <v>651</v>
      </c>
      <c r="AM9" s="11" t="s">
        <v>652</v>
      </c>
    </row>
    <row r="10" spans="1:39" hidden="1" x14ac:dyDescent="0.35">
      <c r="A10" s="3035"/>
      <c r="B10" s="2932" t="s">
        <v>653</v>
      </c>
      <c r="C10" s="3032"/>
      <c r="D10" s="3032"/>
      <c r="E10" s="3032"/>
      <c r="F10" s="3032"/>
      <c r="G10" s="2198"/>
      <c r="H10" s="2107"/>
      <c r="I10" s="2107"/>
      <c r="J10" s="2107"/>
      <c r="K10" s="2107"/>
      <c r="L10" s="2107"/>
      <c r="M10" s="2107"/>
      <c r="N10" s="2107"/>
      <c r="O10" s="2107"/>
      <c r="P10" s="2107"/>
      <c r="Q10" s="2107"/>
      <c r="R10" s="2107"/>
      <c r="S10" s="2107"/>
      <c r="T10" s="2107"/>
      <c r="U10" s="2107"/>
      <c r="V10" s="2107"/>
      <c r="W10" s="2107"/>
      <c r="X10" s="2107"/>
      <c r="Y10" s="2107"/>
      <c r="Z10" s="2107"/>
      <c r="AA10" s="2107"/>
      <c r="AB10" s="2107"/>
      <c r="AC10" s="2107"/>
      <c r="AD10" s="2107"/>
      <c r="AE10" s="2107"/>
      <c r="AF10" s="2107"/>
      <c r="AG10" s="2107"/>
      <c r="AH10" s="2107"/>
      <c r="AI10" s="2107"/>
      <c r="AJ10" s="2107"/>
      <c r="AK10" s="2107"/>
      <c r="AL10" s="2107"/>
      <c r="AM10" s="2107"/>
    </row>
    <row r="11" spans="1:39" hidden="1" x14ac:dyDescent="0.35">
      <c r="A11" s="3035"/>
      <c r="B11" s="3031" t="e">
        <f>#REF!</f>
        <v>#REF!</v>
      </c>
      <c r="C11" s="3036" t="s">
        <v>654</v>
      </c>
      <c r="D11" s="3032"/>
      <c r="E11" s="3032"/>
      <c r="F11" s="3032"/>
      <c r="G11" s="2198"/>
      <c r="H11" s="2107"/>
      <c r="I11" s="2107"/>
      <c r="J11" s="2107"/>
      <c r="K11" s="2107"/>
      <c r="L11" s="2107"/>
      <c r="M11" s="2107"/>
      <c r="N11" s="2107"/>
      <c r="O11" s="2107"/>
      <c r="P11" s="2107"/>
      <c r="Q11" s="2107"/>
      <c r="R11" s="2107"/>
      <c r="S11" s="2107"/>
      <c r="T11" s="2107"/>
      <c r="U11" s="2107"/>
      <c r="V11" s="2107"/>
      <c r="W11" s="2107"/>
      <c r="X11" s="2107"/>
      <c r="Y11" s="2107"/>
      <c r="Z11" s="2107"/>
      <c r="AA11" s="2107"/>
      <c r="AB11" s="2107"/>
      <c r="AC11" s="2107"/>
      <c r="AD11" s="2107"/>
      <c r="AE11" s="2107"/>
      <c r="AF11" s="2107"/>
      <c r="AG11" s="2107"/>
      <c r="AH11" s="2107"/>
      <c r="AI11" s="2107"/>
      <c r="AJ11" s="2107"/>
      <c r="AK11" s="2107"/>
      <c r="AL11" s="2107"/>
      <c r="AM11" s="2107"/>
    </row>
    <row r="12" spans="1:39" hidden="1" x14ac:dyDescent="0.35">
      <c r="A12" s="3035"/>
      <c r="B12" s="3031" t="e">
        <f>#REF!</f>
        <v>#REF!</v>
      </c>
      <c r="C12" s="3036" t="s">
        <v>654</v>
      </c>
      <c r="D12" s="3032"/>
      <c r="E12" s="3032"/>
      <c r="F12" s="3032"/>
      <c r="G12" s="2198"/>
      <c r="H12" s="2107"/>
      <c r="I12" s="2107"/>
      <c r="J12" s="2107"/>
      <c r="K12" s="2107"/>
      <c r="L12" s="2107"/>
      <c r="M12" s="2107"/>
      <c r="N12" s="2107"/>
      <c r="O12" s="2107"/>
      <c r="P12" s="2107"/>
      <c r="Q12" s="2107"/>
      <c r="R12" s="2107"/>
      <c r="S12" s="2107"/>
      <c r="T12" s="2107"/>
      <c r="U12" s="2107"/>
      <c r="V12" s="2107"/>
      <c r="W12" s="2107"/>
      <c r="X12" s="2107"/>
      <c r="Y12" s="2107"/>
      <c r="Z12" s="2107"/>
      <c r="AA12" s="2107"/>
      <c r="AB12" s="2107"/>
      <c r="AC12" s="2107"/>
      <c r="AD12" s="2107"/>
      <c r="AE12" s="2107"/>
      <c r="AF12" s="2107"/>
      <c r="AG12" s="2107"/>
      <c r="AH12" s="2107"/>
      <c r="AI12" s="2107"/>
      <c r="AJ12" s="2107"/>
      <c r="AK12" s="2107"/>
      <c r="AL12" s="2107"/>
      <c r="AM12" s="2107"/>
    </row>
    <row r="13" spans="1:39" hidden="1" x14ac:dyDescent="0.35">
      <c r="A13" s="3035"/>
      <c r="B13" s="3031" t="e">
        <f>#REF!</f>
        <v>#REF!</v>
      </c>
      <c r="C13" s="3036" t="s">
        <v>654</v>
      </c>
      <c r="D13" s="3032"/>
      <c r="E13" s="3032"/>
      <c r="F13" s="3032"/>
      <c r="G13" s="2198"/>
      <c r="H13" s="2107"/>
      <c r="I13" s="2107"/>
      <c r="J13" s="2107"/>
      <c r="K13" s="2107"/>
      <c r="L13" s="2107"/>
      <c r="M13" s="2107"/>
      <c r="N13" s="2107"/>
      <c r="O13" s="2107"/>
      <c r="P13" s="2107"/>
      <c r="Q13" s="2107"/>
      <c r="R13" s="2107"/>
      <c r="S13" s="2107"/>
      <c r="T13" s="2107"/>
      <c r="U13" s="2107"/>
      <c r="V13" s="2107"/>
      <c r="W13" s="2107"/>
      <c r="X13" s="2107"/>
      <c r="Y13" s="2107"/>
      <c r="Z13" s="2107"/>
      <c r="AA13" s="2107"/>
      <c r="AB13" s="2107"/>
      <c r="AC13" s="2107"/>
      <c r="AD13" s="2107"/>
      <c r="AE13" s="2107"/>
      <c r="AF13" s="2107"/>
      <c r="AG13" s="2107"/>
      <c r="AH13" s="2107"/>
      <c r="AI13" s="2107"/>
      <c r="AJ13" s="2107"/>
      <c r="AK13" s="2107"/>
      <c r="AL13" s="2107"/>
      <c r="AM13" s="2107"/>
    </row>
    <row r="14" spans="1:39" ht="15" hidden="1" customHeight="1" x14ac:dyDescent="0.35">
      <c r="A14" s="3035"/>
      <c r="B14" s="3031" t="e">
        <f>#REF!</f>
        <v>#REF!</v>
      </c>
      <c r="C14" s="3036" t="s">
        <v>654</v>
      </c>
      <c r="D14" s="3032"/>
      <c r="E14" s="3032"/>
      <c r="F14" s="3032"/>
      <c r="G14" s="2198"/>
      <c r="H14" s="2107"/>
      <c r="I14" s="2107"/>
      <c r="J14" s="2107"/>
      <c r="K14" s="2107"/>
      <c r="L14" s="2107"/>
      <c r="M14" s="2107"/>
      <c r="N14" s="2107"/>
      <c r="O14" s="2107"/>
      <c r="P14" s="2107"/>
      <c r="Q14" s="2107"/>
      <c r="R14" s="2107"/>
      <c r="S14" s="2107"/>
      <c r="T14" s="2107"/>
      <c r="U14" s="2107"/>
      <c r="V14" s="2107"/>
      <c r="W14" s="2107"/>
      <c r="X14" s="2107"/>
      <c r="Y14" s="2107"/>
      <c r="Z14" s="2107"/>
      <c r="AA14" s="2107"/>
      <c r="AB14" s="2107"/>
      <c r="AC14" s="2107"/>
      <c r="AD14" s="2107"/>
      <c r="AE14" s="2107"/>
      <c r="AF14" s="2107"/>
      <c r="AG14" s="2107"/>
      <c r="AH14" s="2107"/>
      <c r="AI14" s="2107"/>
      <c r="AJ14" s="2107"/>
      <c r="AK14" s="2107"/>
      <c r="AL14" s="2107"/>
      <c r="AM14" s="2107"/>
    </row>
    <row r="15" spans="1:39" hidden="1" x14ac:dyDescent="0.35">
      <c r="A15" s="3035"/>
      <c r="B15" s="3031" t="e">
        <f>#REF!</f>
        <v>#REF!</v>
      </c>
      <c r="C15" s="3036" t="s">
        <v>654</v>
      </c>
      <c r="D15" s="3032"/>
      <c r="E15" s="3032"/>
      <c r="F15" s="3032"/>
      <c r="G15" s="2198"/>
      <c r="H15" s="2107"/>
      <c r="I15" s="2107"/>
      <c r="J15" s="2107"/>
      <c r="K15" s="2107"/>
      <c r="L15" s="2107"/>
      <c r="M15" s="2107"/>
      <c r="N15" s="2107"/>
      <c r="O15" s="2107"/>
      <c r="P15" s="2107"/>
      <c r="Q15" s="2107"/>
      <c r="R15" s="2107"/>
      <c r="S15" s="2107"/>
      <c r="T15" s="2107"/>
      <c r="U15" s="2107"/>
      <c r="V15" s="2107"/>
      <c r="W15" s="2107"/>
      <c r="X15" s="2107"/>
      <c r="Y15" s="2107"/>
      <c r="Z15" s="2107"/>
      <c r="AA15" s="2107"/>
      <c r="AB15" s="2107"/>
      <c r="AC15" s="2107"/>
      <c r="AD15" s="2107"/>
      <c r="AE15" s="2107"/>
      <c r="AF15" s="2107"/>
      <c r="AG15" s="2107"/>
      <c r="AH15" s="2107"/>
      <c r="AI15" s="2107"/>
      <c r="AJ15" s="2107"/>
      <c r="AK15" s="2107"/>
      <c r="AL15" s="2107"/>
      <c r="AM15" s="2107"/>
    </row>
    <row r="16" spans="1:39" hidden="1" x14ac:dyDescent="0.35">
      <c r="A16" s="3035"/>
      <c r="B16" s="3031" t="e">
        <f>#REF!</f>
        <v>#REF!</v>
      </c>
      <c r="C16" s="3036" t="s">
        <v>654</v>
      </c>
      <c r="D16" s="3032"/>
      <c r="E16" s="3032"/>
      <c r="F16" s="3032"/>
      <c r="G16" s="2198"/>
      <c r="H16" s="2107"/>
      <c r="I16" s="2107"/>
      <c r="J16" s="2107"/>
      <c r="K16" s="2107"/>
      <c r="L16" s="2107"/>
      <c r="M16" s="2107"/>
      <c r="N16" s="2107"/>
      <c r="O16" s="2107"/>
      <c r="P16" s="2107"/>
      <c r="Q16" s="2107"/>
      <c r="R16" s="2107"/>
      <c r="S16" s="2107"/>
      <c r="T16" s="2107"/>
      <c r="U16" s="2107"/>
      <c r="V16" s="2107"/>
      <c r="W16" s="2107"/>
      <c r="X16" s="2107"/>
      <c r="Y16" s="2107"/>
      <c r="Z16" s="2107"/>
      <c r="AA16" s="2107"/>
      <c r="AB16" s="2107"/>
      <c r="AC16" s="2107"/>
      <c r="AD16" s="2107"/>
      <c r="AE16" s="2107"/>
      <c r="AF16" s="2107"/>
      <c r="AG16" s="2107"/>
      <c r="AH16" s="2107"/>
      <c r="AI16" s="2107"/>
      <c r="AJ16" s="2107"/>
      <c r="AK16" s="2107"/>
      <c r="AL16" s="2107"/>
      <c r="AM16" s="2107"/>
    </row>
    <row r="17" spans="1:39" hidden="1" x14ac:dyDescent="0.35">
      <c r="A17" s="3035"/>
      <c r="B17" s="3031" t="e">
        <f>#REF!</f>
        <v>#REF!</v>
      </c>
      <c r="C17" s="3036" t="s">
        <v>654</v>
      </c>
      <c r="D17" s="3032"/>
      <c r="E17" s="3032"/>
      <c r="F17" s="3032"/>
      <c r="G17" s="2198"/>
      <c r="H17" s="2107"/>
      <c r="I17" s="2107"/>
      <c r="J17" s="2107"/>
      <c r="K17" s="2107"/>
      <c r="L17" s="2107"/>
      <c r="M17" s="2107"/>
      <c r="N17" s="2107"/>
      <c r="O17" s="2107"/>
      <c r="P17" s="2107"/>
      <c r="Q17" s="2107"/>
      <c r="R17" s="2107"/>
      <c r="S17" s="2107"/>
      <c r="T17" s="2107"/>
      <c r="U17" s="2107"/>
      <c r="V17" s="2107"/>
      <c r="W17" s="2107"/>
      <c r="X17" s="2107"/>
      <c r="Y17" s="2107"/>
      <c r="Z17" s="2107"/>
      <c r="AA17" s="2107"/>
      <c r="AB17" s="2107"/>
      <c r="AC17" s="2107"/>
      <c r="AD17" s="2107"/>
      <c r="AE17" s="2107"/>
      <c r="AF17" s="2107"/>
      <c r="AG17" s="2107"/>
      <c r="AH17" s="2107"/>
      <c r="AI17" s="2107"/>
      <c r="AJ17" s="2107"/>
      <c r="AK17" s="2107"/>
      <c r="AL17" s="2107"/>
      <c r="AM17" s="2107"/>
    </row>
    <row r="18" spans="1:39" hidden="1" x14ac:dyDescent="0.35">
      <c r="A18" s="3035"/>
      <c r="B18" s="3031" t="e">
        <f>#REF!</f>
        <v>#REF!</v>
      </c>
      <c r="C18" s="3036" t="s">
        <v>654</v>
      </c>
      <c r="D18" s="3032"/>
      <c r="E18" s="3032"/>
      <c r="F18" s="3032"/>
      <c r="G18" s="2198"/>
      <c r="H18" s="2107"/>
      <c r="I18" s="2107"/>
      <c r="J18" s="2107"/>
      <c r="K18" s="2107"/>
      <c r="L18" s="2107"/>
      <c r="M18" s="2107"/>
      <c r="N18" s="2107"/>
      <c r="O18" s="2107"/>
      <c r="P18" s="2107"/>
      <c r="Q18" s="2107"/>
      <c r="R18" s="2107"/>
      <c r="S18" s="2107"/>
      <c r="T18" s="2107"/>
      <c r="U18" s="2107"/>
      <c r="V18" s="2107"/>
      <c r="W18" s="2107"/>
      <c r="X18" s="2107"/>
      <c r="Y18" s="2107"/>
      <c r="Z18" s="2107"/>
      <c r="AA18" s="2107"/>
      <c r="AB18" s="2107"/>
      <c r="AC18" s="2107"/>
      <c r="AD18" s="2107"/>
      <c r="AE18" s="2107"/>
      <c r="AF18" s="2107"/>
      <c r="AG18" s="2107"/>
      <c r="AH18" s="2107"/>
      <c r="AI18" s="2107"/>
      <c r="AJ18" s="2107"/>
      <c r="AK18" s="2107"/>
      <c r="AL18" s="2107"/>
      <c r="AM18" s="2107"/>
    </row>
    <row r="19" spans="1:39" ht="15" hidden="1" customHeight="1" x14ac:dyDescent="0.35">
      <c r="A19" s="3035"/>
      <c r="B19" s="3031" t="e">
        <f>#REF!</f>
        <v>#REF!</v>
      </c>
      <c r="C19" s="3036" t="s">
        <v>654</v>
      </c>
      <c r="D19" s="3032"/>
      <c r="E19" s="3032"/>
      <c r="F19" s="3032"/>
      <c r="G19" s="2198"/>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2107"/>
      <c r="AD19" s="2107"/>
      <c r="AE19" s="2107"/>
      <c r="AF19" s="2107"/>
      <c r="AG19" s="2107"/>
      <c r="AH19" s="2107"/>
      <c r="AI19" s="2107"/>
      <c r="AJ19" s="2107"/>
      <c r="AK19" s="2107"/>
      <c r="AL19" s="2107"/>
      <c r="AM19" s="2107"/>
    </row>
    <row r="20" spans="1:39" ht="15" customHeight="1" x14ac:dyDescent="0.35">
      <c r="A20" s="3035"/>
      <c r="B20" s="3031"/>
      <c r="C20" s="3036"/>
      <c r="D20" s="3032"/>
      <c r="E20" s="3032"/>
      <c r="F20" s="3032"/>
      <c r="G20" s="2198"/>
      <c r="H20" s="2109"/>
      <c r="I20" s="2107"/>
      <c r="J20" s="2109"/>
      <c r="K20" s="2107"/>
      <c r="L20" s="2109"/>
      <c r="M20" s="2107"/>
      <c r="N20" s="2109"/>
      <c r="O20" s="2107"/>
      <c r="P20" s="2109"/>
      <c r="Q20" s="2107"/>
      <c r="R20" s="2109"/>
      <c r="S20" s="2107"/>
      <c r="T20" s="2109"/>
      <c r="U20" s="2107"/>
      <c r="V20" s="2109"/>
      <c r="W20" s="2107"/>
      <c r="X20" s="2109"/>
      <c r="Y20" s="2107"/>
      <c r="Z20" s="2109"/>
      <c r="AA20" s="2107"/>
      <c r="AB20" s="2109"/>
      <c r="AC20" s="2107"/>
      <c r="AD20" s="2109"/>
      <c r="AE20" s="2107"/>
      <c r="AF20" s="2109"/>
      <c r="AG20" s="2107"/>
      <c r="AH20" s="2109"/>
      <c r="AI20" s="2107"/>
      <c r="AJ20" s="2109"/>
      <c r="AK20" s="2107"/>
      <c r="AL20" s="2109"/>
      <c r="AM20" s="2107"/>
    </row>
    <row r="21" spans="1:39" ht="15" customHeight="1" x14ac:dyDescent="0.35">
      <c r="A21" s="3035"/>
      <c r="B21" s="3037" t="s">
        <v>3464</v>
      </c>
      <c r="C21" s="3036"/>
      <c r="D21" s="3032"/>
      <c r="E21" s="3032"/>
      <c r="F21" s="3032"/>
      <c r="G21" s="2198"/>
      <c r="H21" s="2109"/>
      <c r="I21" s="2107"/>
      <c r="J21" s="2109"/>
      <c r="K21" s="2107"/>
      <c r="L21" s="2109"/>
      <c r="M21" s="2107"/>
      <c r="N21" s="2109"/>
      <c r="O21" s="2107"/>
      <c r="P21" s="2109"/>
      <c r="Q21" s="2107"/>
      <c r="R21" s="2109"/>
      <c r="S21" s="2107"/>
      <c r="T21" s="2109"/>
      <c r="U21" s="2107"/>
      <c r="V21" s="2109"/>
      <c r="W21" s="2107"/>
      <c r="X21" s="2109"/>
      <c r="Y21" s="2107"/>
      <c r="Z21" s="2109"/>
      <c r="AA21" s="2107"/>
      <c r="AB21" s="2109"/>
      <c r="AC21" s="2107"/>
      <c r="AD21" s="2109"/>
      <c r="AE21" s="2107"/>
      <c r="AF21" s="2109"/>
      <c r="AG21" s="2107"/>
      <c r="AH21" s="2109"/>
      <c r="AI21" s="2107"/>
      <c r="AJ21" s="2109"/>
      <c r="AK21" s="2107"/>
      <c r="AL21" s="2109"/>
      <c r="AM21" s="2107"/>
    </row>
    <row r="22" spans="1:39" ht="15" hidden="1" customHeight="1" x14ac:dyDescent="0.35">
      <c r="A22" s="3035"/>
      <c r="B22" s="3031" t="e">
        <f>#REF!</f>
        <v>#REF!</v>
      </c>
      <c r="C22" s="3036" t="s">
        <v>654</v>
      </c>
      <c r="D22" s="3032"/>
      <c r="E22" s="3032"/>
      <c r="F22" s="3032"/>
      <c r="G22" s="2198"/>
      <c r="H22" s="2109"/>
      <c r="I22" s="2107"/>
      <c r="J22" s="2109"/>
      <c r="K22" s="2107"/>
      <c r="L22" s="2109"/>
      <c r="M22" s="2107"/>
      <c r="N22" s="2109"/>
      <c r="O22" s="2107"/>
      <c r="P22" s="2109"/>
      <c r="Q22" s="2107"/>
      <c r="R22" s="2109"/>
      <c r="S22" s="2107"/>
      <c r="T22" s="2109"/>
      <c r="U22" s="2107"/>
      <c r="V22" s="2109"/>
      <c r="W22" s="2107"/>
      <c r="X22" s="2109"/>
      <c r="Y22" s="2107"/>
      <c r="Z22" s="2109"/>
      <c r="AA22" s="2107"/>
      <c r="AB22" s="2109"/>
      <c r="AC22" s="2107"/>
      <c r="AD22" s="2109"/>
      <c r="AE22" s="2107"/>
      <c r="AF22" s="2109"/>
      <c r="AG22" s="2107"/>
      <c r="AH22" s="2109"/>
      <c r="AI22" s="2107"/>
      <c r="AJ22" s="2109"/>
      <c r="AK22" s="2107"/>
      <c r="AL22" s="2109"/>
      <c r="AM22" s="2107"/>
    </row>
    <row r="23" spans="1:39" ht="15" hidden="1" customHeight="1" x14ac:dyDescent="0.35">
      <c r="A23" s="3035"/>
      <c r="B23" s="3031" t="e">
        <f>#REF!</f>
        <v>#REF!</v>
      </c>
      <c r="C23" s="3036" t="s">
        <v>654</v>
      </c>
      <c r="D23" s="3032"/>
      <c r="E23" s="3032"/>
      <c r="F23" s="3032"/>
      <c r="G23" s="2198"/>
      <c r="H23" s="2109"/>
      <c r="I23" s="2107"/>
      <c r="J23" s="2109"/>
      <c r="K23" s="2107"/>
      <c r="L23" s="2109"/>
      <c r="M23" s="2107"/>
      <c r="N23" s="2109"/>
      <c r="O23" s="2107"/>
      <c r="P23" s="2109"/>
      <c r="Q23" s="2107"/>
      <c r="R23" s="2109"/>
      <c r="S23" s="2107"/>
      <c r="T23" s="2109"/>
      <c r="U23" s="2107"/>
      <c r="V23" s="2109"/>
      <c r="W23" s="2107"/>
      <c r="X23" s="2109"/>
      <c r="Y23" s="2107"/>
      <c r="Z23" s="2109"/>
      <c r="AA23" s="2107"/>
      <c r="AB23" s="2109"/>
      <c r="AC23" s="2107"/>
      <c r="AD23" s="2109"/>
      <c r="AE23" s="2107"/>
      <c r="AF23" s="2109"/>
      <c r="AG23" s="2107"/>
      <c r="AH23" s="2109"/>
      <c r="AI23" s="2107"/>
      <c r="AJ23" s="2109"/>
      <c r="AK23" s="2107"/>
      <c r="AL23" s="2109"/>
      <c r="AM23" s="2107"/>
    </row>
    <row r="24" spans="1:39" ht="15" hidden="1" customHeight="1" x14ac:dyDescent="0.35">
      <c r="A24" s="3035"/>
      <c r="B24" s="3031" t="e">
        <f>#REF!</f>
        <v>#REF!</v>
      </c>
      <c r="C24" s="3036" t="s">
        <v>654</v>
      </c>
      <c r="D24" s="3032"/>
      <c r="E24" s="3032"/>
      <c r="F24" s="3032"/>
      <c r="G24" s="2198"/>
      <c r="H24" s="2109"/>
      <c r="I24" s="2107"/>
      <c r="J24" s="2109"/>
      <c r="K24" s="2107"/>
      <c r="L24" s="2109"/>
      <c r="M24" s="2107"/>
      <c r="N24" s="2109"/>
      <c r="O24" s="2107"/>
      <c r="P24" s="2109"/>
      <c r="Q24" s="2107"/>
      <c r="R24" s="2109"/>
      <c r="S24" s="2107"/>
      <c r="T24" s="2109"/>
      <c r="U24" s="2107"/>
      <c r="V24" s="2109"/>
      <c r="W24" s="2107"/>
      <c r="X24" s="2109"/>
      <c r="Y24" s="2107"/>
      <c r="Z24" s="2109"/>
      <c r="AA24" s="2107"/>
      <c r="AB24" s="2109"/>
      <c r="AC24" s="2107"/>
      <c r="AD24" s="2109"/>
      <c r="AE24" s="2107"/>
      <c r="AF24" s="2109"/>
      <c r="AG24" s="2107"/>
      <c r="AH24" s="2109"/>
      <c r="AI24" s="2107"/>
      <c r="AJ24" s="2109"/>
      <c r="AK24" s="2107"/>
      <c r="AL24" s="2109"/>
      <c r="AM24" s="2107"/>
    </row>
    <row r="25" spans="1:39" hidden="1" x14ac:dyDescent="0.35">
      <c r="A25" s="3035"/>
      <c r="B25" s="3031" t="e">
        <f>#REF!</f>
        <v>#REF!</v>
      </c>
      <c r="C25" s="3036"/>
      <c r="D25" s="3032"/>
      <c r="E25" s="3032"/>
      <c r="F25" s="3032"/>
      <c r="G25" s="2198"/>
      <c r="H25" s="2109"/>
      <c r="I25" s="2107"/>
      <c r="J25" s="2109"/>
      <c r="K25" s="2107"/>
      <c r="L25" s="2109"/>
      <c r="M25" s="2107"/>
      <c r="N25" s="2109"/>
      <c r="O25" s="2107"/>
      <c r="P25" s="2109"/>
      <c r="Q25" s="2107"/>
      <c r="R25" s="2109"/>
      <c r="S25" s="2107"/>
      <c r="T25" s="2109"/>
      <c r="U25" s="2107"/>
      <c r="V25" s="2109"/>
      <c r="W25" s="2107"/>
      <c r="X25" s="2109"/>
      <c r="Y25" s="2107"/>
      <c r="Z25" s="2109"/>
      <c r="AA25" s="2107"/>
      <c r="AB25" s="2109"/>
      <c r="AC25" s="2107"/>
      <c r="AD25" s="2109"/>
      <c r="AE25" s="2107"/>
      <c r="AF25" s="2109"/>
      <c r="AG25" s="2107"/>
      <c r="AH25" s="2109"/>
      <c r="AI25" s="2107"/>
      <c r="AJ25" s="2109"/>
      <c r="AK25" s="2107"/>
      <c r="AL25" s="2109"/>
      <c r="AM25" s="2107"/>
    </row>
    <row r="26" spans="1:39" hidden="1" x14ac:dyDescent="0.35">
      <c r="A26" s="3035"/>
      <c r="B26" s="3031" t="e">
        <f>#REF!</f>
        <v>#REF!</v>
      </c>
      <c r="C26" s="3036" t="s">
        <v>654</v>
      </c>
      <c r="D26" s="3032"/>
      <c r="E26" s="3032"/>
      <c r="F26" s="3032"/>
      <c r="G26" s="2198"/>
      <c r="H26" s="2109"/>
      <c r="I26" s="2107"/>
      <c r="J26" s="2109"/>
      <c r="K26" s="2107"/>
      <c r="L26" s="2109"/>
      <c r="M26" s="2107"/>
      <c r="N26" s="2109"/>
      <c r="O26" s="2107"/>
      <c r="P26" s="2109"/>
      <c r="Q26" s="2107"/>
      <c r="R26" s="2109"/>
      <c r="S26" s="2107"/>
      <c r="T26" s="2109"/>
      <c r="U26" s="2107"/>
      <c r="V26" s="2109"/>
      <c r="W26" s="2107"/>
      <c r="X26" s="2109"/>
      <c r="Y26" s="2107"/>
      <c r="Z26" s="2109"/>
      <c r="AA26" s="2107"/>
      <c r="AB26" s="2109"/>
      <c r="AC26" s="2107"/>
      <c r="AD26" s="2109"/>
      <c r="AE26" s="2107"/>
      <c r="AF26" s="2109"/>
      <c r="AG26" s="2107"/>
      <c r="AH26" s="2109"/>
      <c r="AI26" s="2107"/>
      <c r="AJ26" s="2109"/>
      <c r="AK26" s="2107"/>
      <c r="AL26" s="2109"/>
      <c r="AM26" s="2107"/>
    </row>
    <row r="27" spans="1:39" hidden="1" x14ac:dyDescent="0.35">
      <c r="A27" s="3035"/>
      <c r="B27" s="3031" t="e">
        <f>#REF!</f>
        <v>#REF!</v>
      </c>
      <c r="C27" s="3036" t="s">
        <v>654</v>
      </c>
      <c r="D27" s="3032"/>
      <c r="E27" s="3032"/>
      <c r="F27" s="3032"/>
      <c r="G27" s="2198"/>
      <c r="H27" s="2109"/>
      <c r="I27" s="2107"/>
      <c r="J27" s="2109"/>
      <c r="K27" s="2107"/>
      <c r="L27" s="2109"/>
      <c r="M27" s="2107"/>
      <c r="N27" s="2109"/>
      <c r="O27" s="2107"/>
      <c r="P27" s="2109"/>
      <c r="Q27" s="2107"/>
      <c r="R27" s="2109"/>
      <c r="S27" s="2107"/>
      <c r="T27" s="2109"/>
      <c r="U27" s="2107"/>
      <c r="V27" s="2109"/>
      <c r="W27" s="2107"/>
      <c r="X27" s="2109"/>
      <c r="Y27" s="2107"/>
      <c r="Z27" s="2109"/>
      <c r="AA27" s="2107"/>
      <c r="AB27" s="2109"/>
      <c r="AC27" s="2107"/>
      <c r="AD27" s="2109"/>
      <c r="AE27" s="2107"/>
      <c r="AF27" s="2109"/>
      <c r="AG27" s="2107"/>
      <c r="AH27" s="2109"/>
      <c r="AI27" s="2107"/>
      <c r="AJ27" s="2109"/>
      <c r="AK27" s="2107"/>
      <c r="AL27" s="2109"/>
      <c r="AM27" s="2107"/>
    </row>
    <row r="28" spans="1:39" ht="30.75" hidden="1" customHeight="1" x14ac:dyDescent="0.35">
      <c r="A28" s="48"/>
      <c r="B28" s="3031" t="e">
        <f>#REF!</f>
        <v>#REF!</v>
      </c>
      <c r="C28" s="45"/>
      <c r="D28" s="46"/>
      <c r="E28" s="46"/>
      <c r="F28" s="46"/>
      <c r="G28" s="52"/>
      <c r="H28" s="2109"/>
      <c r="I28" s="47"/>
      <c r="J28" s="2109"/>
      <c r="K28" s="47"/>
      <c r="L28" s="2109"/>
      <c r="M28" s="47"/>
      <c r="N28" s="2109"/>
      <c r="O28" s="47"/>
      <c r="P28" s="2109"/>
      <c r="Q28" s="47"/>
      <c r="R28" s="2109"/>
      <c r="S28" s="47"/>
      <c r="T28" s="2109"/>
      <c r="U28" s="47"/>
      <c r="V28" s="2109"/>
      <c r="W28" s="47"/>
      <c r="X28" s="2109"/>
      <c r="Y28" s="47"/>
      <c r="Z28" s="2109"/>
      <c r="AA28" s="47"/>
      <c r="AB28" s="2109"/>
      <c r="AC28" s="47"/>
      <c r="AD28" s="2109"/>
      <c r="AE28" s="47"/>
      <c r="AF28" s="2109"/>
      <c r="AG28" s="47"/>
      <c r="AH28" s="2109"/>
      <c r="AI28" s="47"/>
      <c r="AJ28" s="2109"/>
      <c r="AK28" s="47"/>
      <c r="AL28" s="2109"/>
      <c r="AM28" s="47"/>
    </row>
    <row r="29" spans="1:39" x14ac:dyDescent="0.35">
      <c r="A29" s="2934"/>
      <c r="B29" s="606" t="s">
        <v>657</v>
      </c>
      <c r="C29" s="3036"/>
      <c r="D29" s="3032"/>
      <c r="E29" s="3032"/>
      <c r="F29" s="3032"/>
      <c r="G29" s="2198"/>
      <c r="H29" s="2109"/>
      <c r="I29" s="2898"/>
      <c r="J29" s="2109"/>
      <c r="K29" s="2898"/>
      <c r="L29" s="2109"/>
      <c r="M29" s="2898"/>
      <c r="N29" s="2109"/>
      <c r="O29" s="2898"/>
      <c r="P29" s="2109"/>
      <c r="Q29" s="2898"/>
      <c r="R29" s="2109"/>
      <c r="S29" s="2898"/>
      <c r="T29" s="2109"/>
      <c r="U29" s="2898"/>
      <c r="V29" s="2109"/>
      <c r="W29" s="2898"/>
      <c r="X29" s="2109"/>
      <c r="Y29" s="2898"/>
      <c r="Z29" s="2109"/>
      <c r="AA29" s="2898"/>
      <c r="AB29" s="2109"/>
      <c r="AC29" s="2898"/>
      <c r="AD29" s="2109"/>
      <c r="AE29" s="2898"/>
      <c r="AF29" s="2109"/>
      <c r="AG29" s="2898"/>
      <c r="AH29" s="2109"/>
      <c r="AI29" s="2898"/>
      <c r="AJ29" s="2109"/>
      <c r="AK29" s="2898"/>
      <c r="AL29" s="2109"/>
      <c r="AM29" s="2898"/>
    </row>
    <row r="30" spans="1:39" x14ac:dyDescent="0.35">
      <c r="A30" s="2934"/>
      <c r="B30" s="2935" t="s">
        <v>658</v>
      </c>
      <c r="C30" s="3036"/>
      <c r="D30" s="3032"/>
      <c r="E30" s="3032"/>
      <c r="F30" s="3032"/>
      <c r="G30" s="2198"/>
      <c r="H30" s="2109"/>
      <c r="I30" s="2936"/>
      <c r="J30" s="2109"/>
      <c r="K30" s="2936"/>
      <c r="L30" s="2109"/>
      <c r="M30" s="2936"/>
      <c r="N30" s="2109"/>
      <c r="O30" s="2936"/>
      <c r="P30" s="2109"/>
      <c r="Q30" s="2936"/>
      <c r="R30" s="2109" t="s">
        <v>669</v>
      </c>
      <c r="S30" s="2936"/>
      <c r="T30" s="2109" t="s">
        <v>669</v>
      </c>
      <c r="U30" s="2936"/>
      <c r="V30" s="2109" t="s">
        <v>669</v>
      </c>
      <c r="W30" s="2936"/>
      <c r="X30" s="2109"/>
      <c r="Y30" s="2936"/>
      <c r="Z30" s="2109"/>
      <c r="AA30" s="2936"/>
      <c r="AB30" s="2109"/>
      <c r="AC30" s="2936"/>
      <c r="AD30" s="2109"/>
      <c r="AE30" s="2936"/>
      <c r="AF30" s="2109"/>
      <c r="AG30" s="2936"/>
      <c r="AH30" s="2109"/>
      <c r="AI30" s="2936"/>
      <c r="AJ30" s="2109" t="s">
        <v>669</v>
      </c>
      <c r="AK30" s="2936"/>
      <c r="AL30" s="2109"/>
      <c r="AM30" s="2936"/>
    </row>
    <row r="31" spans="1:39" x14ac:dyDescent="0.35">
      <c r="A31" s="2934"/>
      <c r="B31" s="2935" t="s">
        <v>659</v>
      </c>
      <c r="C31" s="3036"/>
      <c r="D31" s="3032"/>
      <c r="E31" s="3032"/>
      <c r="F31" s="3032"/>
      <c r="G31" s="2198"/>
      <c r="H31" s="2109"/>
      <c r="I31" s="2936"/>
      <c r="J31" s="2109"/>
      <c r="K31" s="2936"/>
      <c r="L31" s="2109"/>
      <c r="M31" s="2936"/>
      <c r="N31" s="2109"/>
      <c r="O31" s="2936"/>
      <c r="P31" s="2109"/>
      <c r="Q31" s="2936"/>
      <c r="R31" s="2109" t="s">
        <v>669</v>
      </c>
      <c r="S31" s="2936"/>
      <c r="T31" s="2109" t="s">
        <v>669</v>
      </c>
      <c r="U31" s="2936"/>
      <c r="V31" s="2109" t="s">
        <v>669</v>
      </c>
      <c r="W31" s="2936"/>
      <c r="X31" s="2109"/>
      <c r="Y31" s="2936"/>
      <c r="Z31" s="2109"/>
      <c r="AA31" s="2936"/>
      <c r="AB31" s="2109"/>
      <c r="AC31" s="2936"/>
      <c r="AD31" s="2109"/>
      <c r="AE31" s="2936"/>
      <c r="AF31" s="2109"/>
      <c r="AG31" s="2936"/>
      <c r="AH31" s="2109"/>
      <c r="AI31" s="2936"/>
      <c r="AJ31" s="2109" t="s">
        <v>669</v>
      </c>
      <c r="AK31" s="2936"/>
      <c r="AL31" s="2109"/>
      <c r="AM31" s="2936"/>
    </row>
    <row r="32" spans="1:39" x14ac:dyDescent="0.35">
      <c r="A32" s="2934"/>
      <c r="B32" s="2938" t="s">
        <v>660</v>
      </c>
      <c r="C32" s="3036"/>
      <c r="D32" s="3032"/>
      <c r="E32" s="3032"/>
      <c r="F32" s="3032"/>
      <c r="G32" s="2198"/>
      <c r="H32" s="2109"/>
      <c r="I32" s="2936"/>
      <c r="J32" s="2109"/>
      <c r="K32" s="2936"/>
      <c r="L32" s="2109"/>
      <c r="M32" s="2936"/>
      <c r="N32" s="2109"/>
      <c r="O32" s="2936"/>
      <c r="P32" s="2109"/>
      <c r="Q32" s="2936"/>
      <c r="R32" s="2109" t="s">
        <v>671</v>
      </c>
      <c r="S32" s="2936"/>
      <c r="T32" s="2109" t="s">
        <v>671</v>
      </c>
      <c r="U32" s="2936"/>
      <c r="V32" s="2109" t="s">
        <v>671</v>
      </c>
      <c r="W32" s="2936"/>
      <c r="X32" s="2109"/>
      <c r="Y32" s="2936"/>
      <c r="Z32" s="2109"/>
      <c r="AA32" s="2936"/>
      <c r="AB32" s="2109"/>
      <c r="AC32" s="2936"/>
      <c r="AD32" s="2109"/>
      <c r="AE32" s="2936"/>
      <c r="AF32" s="2109"/>
      <c r="AG32" s="2936"/>
      <c r="AH32" s="2109"/>
      <c r="AI32" s="2936"/>
      <c r="AJ32" s="2109" t="s">
        <v>671</v>
      </c>
      <c r="AK32" s="2936"/>
      <c r="AL32" s="2109"/>
      <c r="AM32" s="2936"/>
    </row>
    <row r="33" spans="1:39" x14ac:dyDescent="0.35">
      <c r="A33" s="2934"/>
      <c r="B33" s="2938" t="s">
        <v>661</v>
      </c>
      <c r="C33" s="3036"/>
      <c r="D33" s="3032"/>
      <c r="E33" s="3032"/>
      <c r="F33" s="3032"/>
      <c r="G33" s="2198"/>
      <c r="H33" s="2109"/>
      <c r="I33" s="2936"/>
      <c r="J33" s="2109"/>
      <c r="K33" s="2936"/>
      <c r="L33" s="2109"/>
      <c r="M33" s="2936"/>
      <c r="N33" s="2109"/>
      <c r="O33" s="2936"/>
      <c r="P33" s="2109"/>
      <c r="Q33" s="2936"/>
      <c r="R33" s="2109" t="s">
        <v>669</v>
      </c>
      <c r="S33" s="2936"/>
      <c r="T33" s="2109" t="s">
        <v>669</v>
      </c>
      <c r="U33" s="2936"/>
      <c r="V33" s="2109" t="s">
        <v>669</v>
      </c>
      <c r="W33" s="2936"/>
      <c r="X33" s="2109"/>
      <c r="Y33" s="2936"/>
      <c r="Z33" s="2109"/>
      <c r="AA33" s="2936"/>
      <c r="AB33" s="2109"/>
      <c r="AC33" s="2936"/>
      <c r="AD33" s="2109"/>
      <c r="AE33" s="2936"/>
      <c r="AF33" s="2109"/>
      <c r="AG33" s="2936"/>
      <c r="AH33" s="2109"/>
      <c r="AI33" s="2936"/>
      <c r="AJ33" s="2109" t="s">
        <v>669</v>
      </c>
      <c r="AK33" s="2936"/>
      <c r="AL33" s="2109"/>
      <c r="AM33" s="2936"/>
    </row>
    <row r="34" spans="1:39" x14ac:dyDescent="0.35">
      <c r="A34" s="2934"/>
      <c r="B34" s="2938" t="s">
        <v>662</v>
      </c>
      <c r="C34" s="3036"/>
      <c r="D34" s="3032"/>
      <c r="E34" s="3032"/>
      <c r="F34" s="3032"/>
      <c r="G34" s="2198"/>
      <c r="H34" s="2109"/>
      <c r="I34" s="2936"/>
      <c r="J34" s="2109"/>
      <c r="K34" s="2936"/>
      <c r="L34" s="2109"/>
      <c r="M34" s="2936"/>
      <c r="N34" s="2109"/>
      <c r="O34" s="2936"/>
      <c r="P34" s="2109"/>
      <c r="Q34" s="2936"/>
      <c r="R34" s="2109" t="s">
        <v>669</v>
      </c>
      <c r="S34" s="2936"/>
      <c r="T34" s="2109" t="s">
        <v>669</v>
      </c>
      <c r="U34" s="2936"/>
      <c r="V34" s="2109" t="s">
        <v>669</v>
      </c>
      <c r="W34" s="2936"/>
      <c r="X34" s="2109"/>
      <c r="Y34" s="2936"/>
      <c r="Z34" s="2109"/>
      <c r="AA34" s="2936"/>
      <c r="AB34" s="2109"/>
      <c r="AC34" s="2936"/>
      <c r="AD34" s="2109"/>
      <c r="AE34" s="2936"/>
      <c r="AF34" s="2109"/>
      <c r="AG34" s="2936"/>
      <c r="AH34" s="2109"/>
      <c r="AI34" s="2936"/>
      <c r="AJ34" s="2109" t="s">
        <v>669</v>
      </c>
      <c r="AK34" s="2936"/>
      <c r="AL34" s="2109"/>
      <c r="AM34" s="2936"/>
    </row>
    <row r="35" spans="1:39" x14ac:dyDescent="0.35">
      <c r="A35" s="2934"/>
      <c r="B35" s="2938" t="s">
        <v>663</v>
      </c>
      <c r="C35" s="3036"/>
      <c r="D35" s="3032"/>
      <c r="E35" s="3032"/>
      <c r="F35" s="3032"/>
      <c r="G35" s="2198"/>
      <c r="H35" s="2109"/>
      <c r="I35" s="2936"/>
      <c r="J35" s="2109"/>
      <c r="K35" s="2936"/>
      <c r="L35" s="2109"/>
      <c r="M35" s="2936"/>
      <c r="N35" s="2109"/>
      <c r="O35" s="2936"/>
      <c r="P35" s="2109"/>
      <c r="Q35" s="2936"/>
      <c r="R35" s="2109" t="s">
        <v>669</v>
      </c>
      <c r="S35" s="2936"/>
      <c r="T35" s="2109" t="s">
        <v>669</v>
      </c>
      <c r="U35" s="2936"/>
      <c r="V35" s="2109" t="s">
        <v>669</v>
      </c>
      <c r="W35" s="2936"/>
      <c r="X35" s="2109"/>
      <c r="Y35" s="2936"/>
      <c r="Z35" s="2109"/>
      <c r="AA35" s="2936"/>
      <c r="AB35" s="2109"/>
      <c r="AC35" s="2936"/>
      <c r="AD35" s="2109"/>
      <c r="AE35" s="2936"/>
      <c r="AF35" s="2109"/>
      <c r="AG35" s="2936"/>
      <c r="AH35" s="2109"/>
      <c r="AI35" s="2936"/>
      <c r="AJ35" s="2109" t="s">
        <v>669</v>
      </c>
      <c r="AK35" s="2936"/>
      <c r="AL35" s="2109"/>
      <c r="AM35" s="2936"/>
    </row>
    <row r="36" spans="1:39" x14ac:dyDescent="0.35">
      <c r="A36" s="2934"/>
      <c r="B36" s="2938" t="s">
        <v>789</v>
      </c>
      <c r="C36" s="3036"/>
      <c r="D36" s="3032"/>
      <c r="E36" s="3032"/>
      <c r="F36" s="3032"/>
      <c r="G36" s="2198"/>
      <c r="H36" s="2109"/>
      <c r="I36" s="2936"/>
      <c r="J36" s="2109"/>
      <c r="K36" s="2936"/>
      <c r="L36" s="2109"/>
      <c r="M36" s="2936"/>
      <c r="N36" s="2109"/>
      <c r="O36" s="2936"/>
      <c r="P36" s="2109"/>
      <c r="Q36" s="2936"/>
      <c r="R36" s="2109" t="s">
        <v>671</v>
      </c>
      <c r="S36" s="2936" t="s">
        <v>3486</v>
      </c>
      <c r="T36" s="2109" t="s">
        <v>671</v>
      </c>
      <c r="U36" s="2936" t="s">
        <v>3486</v>
      </c>
      <c r="V36" s="2109" t="s">
        <v>671</v>
      </c>
      <c r="W36" s="2936" t="s">
        <v>3486</v>
      </c>
      <c r="X36" s="2109"/>
      <c r="Y36" s="2936"/>
      <c r="Z36" s="2109"/>
      <c r="AA36" s="2936"/>
      <c r="AB36" s="2109"/>
      <c r="AC36" s="2936"/>
      <c r="AD36" s="2109"/>
      <c r="AE36" s="2936"/>
      <c r="AF36" s="2109"/>
      <c r="AG36" s="2936"/>
      <c r="AH36" s="2109"/>
      <c r="AI36" s="2936"/>
      <c r="AJ36" s="2109" t="s">
        <v>671</v>
      </c>
      <c r="AK36" s="2936" t="s">
        <v>3487</v>
      </c>
      <c r="AL36" s="2109"/>
      <c r="AM36" s="2936"/>
    </row>
    <row r="37" spans="1:39" x14ac:dyDescent="0.35">
      <c r="A37" s="2939"/>
      <c r="B37" s="2938" t="s">
        <v>790</v>
      </c>
      <c r="C37" s="3036"/>
      <c r="D37" s="3032"/>
      <c r="E37" s="3032"/>
      <c r="F37" s="3032"/>
      <c r="G37" s="2198"/>
      <c r="H37" s="2109"/>
      <c r="I37" s="2936"/>
      <c r="J37" s="2109"/>
      <c r="K37" s="2936"/>
      <c r="L37" s="2109"/>
      <c r="M37" s="2936"/>
      <c r="N37" s="2109"/>
      <c r="O37" s="2936"/>
      <c r="P37" s="2109"/>
      <c r="Q37" s="2936"/>
      <c r="R37" s="2109"/>
      <c r="S37" s="2936"/>
      <c r="T37" s="2109"/>
      <c r="U37" s="2936"/>
      <c r="V37" s="2109"/>
      <c r="W37" s="2936"/>
      <c r="X37" s="2109"/>
      <c r="Y37" s="2936"/>
      <c r="Z37" s="2109"/>
      <c r="AA37" s="2936"/>
      <c r="AB37" s="2109"/>
      <c r="AC37" s="2936"/>
      <c r="AD37" s="2109"/>
      <c r="AE37" s="2936"/>
      <c r="AF37" s="2109"/>
      <c r="AG37" s="2936"/>
      <c r="AH37" s="2109"/>
      <c r="AI37" s="2936"/>
      <c r="AJ37" s="2109"/>
      <c r="AK37" s="2936"/>
      <c r="AL37" s="2109"/>
      <c r="AM37" s="2936"/>
    </row>
    <row r="38" spans="1:39" x14ac:dyDescent="0.35">
      <c r="A38" s="2934"/>
      <c r="B38" s="2938" t="s">
        <v>791</v>
      </c>
      <c r="C38" s="3036"/>
      <c r="D38" s="3032"/>
      <c r="E38" s="3032"/>
      <c r="F38" s="3032"/>
      <c r="G38" s="2198"/>
      <c r="H38" s="2109"/>
      <c r="I38" s="2936"/>
      <c r="J38" s="2109"/>
      <c r="K38" s="2936"/>
      <c r="L38" s="2109"/>
      <c r="M38" s="2936"/>
      <c r="N38" s="2109"/>
      <c r="O38" s="2936"/>
      <c r="P38" s="2109"/>
      <c r="Q38" s="2936"/>
      <c r="R38" s="2109"/>
      <c r="S38" s="2936"/>
      <c r="T38" s="2109"/>
      <c r="U38" s="2936"/>
      <c r="V38" s="2109"/>
      <c r="W38" s="2936"/>
      <c r="X38" s="2109"/>
      <c r="Y38" s="2936"/>
      <c r="Z38" s="2109"/>
      <c r="AA38" s="2936"/>
      <c r="AB38" s="2109"/>
      <c r="AC38" s="2936"/>
      <c r="AD38" s="2109"/>
      <c r="AE38" s="2936"/>
      <c r="AF38" s="2109"/>
      <c r="AG38" s="2936"/>
      <c r="AH38" s="2109"/>
      <c r="AI38" s="2936"/>
      <c r="AJ38" s="2109"/>
      <c r="AK38" s="2936"/>
      <c r="AL38" s="2109"/>
      <c r="AM38" s="2936"/>
    </row>
    <row r="39" spans="1:39" x14ac:dyDescent="0.35">
      <c r="A39" s="2934"/>
      <c r="B39" s="2940" t="s">
        <v>664</v>
      </c>
      <c r="C39" s="3036"/>
      <c r="D39" s="3032"/>
      <c r="E39" s="3032"/>
      <c r="F39" s="3032"/>
      <c r="G39" s="2198"/>
      <c r="H39" s="2109"/>
      <c r="I39" s="2936"/>
      <c r="J39" s="2109"/>
      <c r="K39" s="2936"/>
      <c r="L39" s="2109"/>
      <c r="M39" s="2936"/>
      <c r="N39" s="2109"/>
      <c r="O39" s="2936"/>
      <c r="P39" s="2109"/>
      <c r="Q39" s="2936"/>
      <c r="R39" s="2109"/>
      <c r="S39" s="2936"/>
      <c r="T39" s="2109"/>
      <c r="U39" s="2936"/>
      <c r="V39" s="2109"/>
      <c r="W39" s="2936"/>
      <c r="X39" s="2109"/>
      <c r="Y39" s="2936"/>
      <c r="Z39" s="2109"/>
      <c r="AA39" s="2936"/>
      <c r="AB39" s="2109"/>
      <c r="AC39" s="2936"/>
      <c r="AD39" s="2109"/>
      <c r="AE39" s="2936"/>
      <c r="AF39" s="2109"/>
      <c r="AG39" s="2936"/>
      <c r="AH39" s="2109"/>
      <c r="AI39" s="2936"/>
      <c r="AJ39" s="2109"/>
      <c r="AK39" s="2936"/>
      <c r="AL39" s="2109"/>
      <c r="AM39" s="2936"/>
    </row>
    <row r="40" spans="1:39" x14ac:dyDescent="0.35">
      <c r="A40" s="2934"/>
      <c r="B40" s="2941" t="s">
        <v>665</v>
      </c>
      <c r="C40" s="3038"/>
      <c r="D40" s="3039"/>
      <c r="E40" s="3039"/>
      <c r="F40" s="3039"/>
      <c r="G40" s="2945"/>
      <c r="H40" s="2951"/>
      <c r="I40" s="2947">
        <v>8985600</v>
      </c>
      <c r="J40" s="2951"/>
      <c r="K40" s="2947">
        <v>9300000</v>
      </c>
      <c r="L40" s="2951"/>
      <c r="M40" s="2947">
        <v>9171254</v>
      </c>
      <c r="N40" s="2951"/>
      <c r="O40" s="2947">
        <f>8820195+150000</f>
        <v>8970195</v>
      </c>
      <c r="P40" s="2951"/>
      <c r="Q40" s="2947">
        <v>8385320</v>
      </c>
      <c r="R40" s="2948"/>
      <c r="S40" s="2947">
        <v>8250000</v>
      </c>
      <c r="T40" s="2948"/>
      <c r="U40" s="2947">
        <v>8250000</v>
      </c>
      <c r="V40" s="2948"/>
      <c r="W40" s="2947">
        <v>8250000</v>
      </c>
      <c r="X40" s="2951"/>
      <c r="Y40" s="2947">
        <v>9019000</v>
      </c>
      <c r="Z40" s="2951"/>
      <c r="AA40" s="2947">
        <v>9206291</v>
      </c>
      <c r="AB40" s="2951"/>
      <c r="AC40" s="2947">
        <f>11750000-450000</f>
        <v>11300000</v>
      </c>
      <c r="AD40" s="2951"/>
      <c r="AE40" s="2947">
        <v>13445565</v>
      </c>
      <c r="AF40" s="2951"/>
      <c r="AG40" s="2947">
        <f>46000+44473</f>
        <v>90473</v>
      </c>
      <c r="AH40" s="2951"/>
      <c r="AI40" s="2947"/>
      <c r="AJ40" s="2951"/>
      <c r="AK40" s="2947">
        <v>3979100</v>
      </c>
      <c r="AL40" s="3040"/>
      <c r="AM40" s="2947">
        <v>8349020</v>
      </c>
    </row>
    <row r="41" spans="1:39" x14ac:dyDescent="0.35">
      <c r="A41" s="2934"/>
      <c r="B41" s="3041" t="s">
        <v>874</v>
      </c>
      <c r="C41" s="3042"/>
      <c r="D41" s="3032"/>
      <c r="E41" s="3032"/>
      <c r="F41" s="3032"/>
      <c r="G41" s="2198"/>
      <c r="H41" s="2109"/>
      <c r="I41" s="2936"/>
      <c r="J41" s="2109"/>
      <c r="K41" s="2936"/>
      <c r="L41" s="2109"/>
      <c r="M41" s="2936"/>
      <c r="N41" s="2109"/>
      <c r="O41" s="2936"/>
      <c r="P41" s="2109"/>
      <c r="Q41" s="2936"/>
      <c r="R41" s="2109"/>
      <c r="S41" s="2936"/>
      <c r="T41" s="2109"/>
      <c r="U41" s="2936"/>
      <c r="V41" s="2109"/>
      <c r="W41" s="2936"/>
      <c r="X41" s="2109"/>
      <c r="Y41" s="2936"/>
      <c r="Z41" s="2109"/>
      <c r="AA41" s="2936"/>
      <c r="AB41" s="2109"/>
      <c r="AC41" s="2936"/>
      <c r="AD41" s="2109"/>
      <c r="AE41" s="2936"/>
      <c r="AF41" s="2109"/>
      <c r="AG41" s="2936"/>
      <c r="AH41" s="2109"/>
      <c r="AI41" s="2936"/>
      <c r="AJ41" s="2109"/>
      <c r="AK41" s="2936"/>
      <c r="AL41" s="2109"/>
      <c r="AM41" s="2936"/>
    </row>
    <row r="42" spans="1:39" x14ac:dyDescent="0.35">
      <c r="A42" s="2934"/>
      <c r="B42" s="3043" t="s">
        <v>3488</v>
      </c>
      <c r="C42" s="3044"/>
      <c r="D42" s="3032"/>
      <c r="E42" s="3032"/>
      <c r="F42" s="3032"/>
      <c r="G42" s="2198"/>
      <c r="H42" s="2109" t="s">
        <v>669</v>
      </c>
      <c r="I42" s="2936"/>
      <c r="J42" s="2109" t="s">
        <v>669</v>
      </c>
      <c r="K42" s="2936"/>
      <c r="L42" s="2109" t="s">
        <v>669</v>
      </c>
      <c r="M42" s="2936">
        <v>-671254</v>
      </c>
      <c r="N42" s="2109" t="s">
        <v>669</v>
      </c>
      <c r="O42" s="2936">
        <v>-690000</v>
      </c>
      <c r="P42" s="2109" t="s">
        <v>669</v>
      </c>
      <c r="Q42" s="2936"/>
      <c r="R42" s="2109" t="s">
        <v>669</v>
      </c>
      <c r="S42" s="2936">
        <v>900000</v>
      </c>
      <c r="T42" s="2109" t="s">
        <v>669</v>
      </c>
      <c r="U42" s="2936">
        <v>900000</v>
      </c>
      <c r="V42" s="2109" t="s">
        <v>669</v>
      </c>
      <c r="W42" s="2936"/>
      <c r="X42" s="2109" t="s">
        <v>669</v>
      </c>
      <c r="Y42" s="2936">
        <v>787000</v>
      </c>
      <c r="Z42" s="2109" t="s">
        <v>669</v>
      </c>
      <c r="AA42" s="2936">
        <v>730915</v>
      </c>
      <c r="AB42" s="2109" t="s">
        <v>669</v>
      </c>
      <c r="AC42" s="2936"/>
      <c r="AD42" s="2109" t="s">
        <v>669</v>
      </c>
      <c r="AE42" s="2936"/>
      <c r="AF42" s="2109" t="s">
        <v>669</v>
      </c>
      <c r="AG42" s="2936"/>
      <c r="AH42" s="2109"/>
      <c r="AI42" s="2936"/>
      <c r="AJ42" s="2109"/>
      <c r="AK42" s="2936"/>
      <c r="AL42" s="2109"/>
      <c r="AM42" s="2936"/>
    </row>
    <row r="43" spans="1:39" x14ac:dyDescent="0.35">
      <c r="A43" s="2934"/>
      <c r="B43" s="3045" t="s">
        <v>3489</v>
      </c>
      <c r="C43" s="3044"/>
      <c r="D43" s="3032"/>
      <c r="E43" s="3032"/>
      <c r="F43" s="3032"/>
      <c r="G43" s="2198"/>
      <c r="H43" s="2109"/>
      <c r="I43" s="3046"/>
      <c r="J43" s="2109"/>
      <c r="K43" s="3046"/>
      <c r="L43" s="2109" t="s">
        <v>669</v>
      </c>
      <c r="M43" s="3046"/>
      <c r="N43" s="2109" t="s">
        <v>669</v>
      </c>
      <c r="O43" s="3046"/>
      <c r="P43" s="2109" t="s">
        <v>669</v>
      </c>
      <c r="Q43" s="3046"/>
      <c r="R43" s="2109"/>
      <c r="S43" s="3046"/>
      <c r="T43" s="2109"/>
      <c r="U43" s="3046"/>
      <c r="V43" s="2109"/>
      <c r="W43" s="3046"/>
      <c r="X43" s="2109"/>
      <c r="Y43" s="3046"/>
      <c r="Z43" s="2109"/>
      <c r="AA43" s="3046"/>
      <c r="AB43" s="2109"/>
      <c r="AC43" s="3046"/>
      <c r="AD43" s="2109"/>
      <c r="AE43" s="3046"/>
      <c r="AF43" s="2109"/>
      <c r="AG43" s="3046"/>
      <c r="AH43" s="2109"/>
      <c r="AI43" s="3046"/>
      <c r="AJ43" s="2109"/>
      <c r="AK43" s="3046"/>
      <c r="AL43" s="2109"/>
      <c r="AM43" s="3046"/>
    </row>
    <row r="44" spans="1:39" x14ac:dyDescent="0.35">
      <c r="A44" s="2939"/>
      <c r="B44" s="3044" t="s">
        <v>3490</v>
      </c>
      <c r="C44" s="3044"/>
      <c r="D44" s="3032"/>
      <c r="E44" s="3032"/>
      <c r="F44" s="3032"/>
      <c r="G44" s="2198"/>
      <c r="H44" s="2109" t="s">
        <v>669</v>
      </c>
      <c r="I44" s="2936"/>
      <c r="J44" s="2109" t="s">
        <v>669</v>
      </c>
      <c r="K44" s="2936"/>
      <c r="L44" s="2109" t="s">
        <v>669</v>
      </c>
      <c r="M44" s="2936"/>
      <c r="N44" s="2109" t="s">
        <v>669</v>
      </c>
      <c r="O44" s="2936"/>
      <c r="P44" s="2109" t="s">
        <v>669</v>
      </c>
      <c r="Q44" s="2936"/>
      <c r="R44" s="2109" t="s">
        <v>669</v>
      </c>
      <c r="S44" s="2936"/>
      <c r="T44" s="2109" t="s">
        <v>669</v>
      </c>
      <c r="U44" s="2936"/>
      <c r="V44" s="2109" t="s">
        <v>669</v>
      </c>
      <c r="W44" s="2936"/>
      <c r="X44" s="2109" t="s">
        <v>669</v>
      </c>
      <c r="Y44" s="2936"/>
      <c r="Z44" s="2109" t="s">
        <v>669</v>
      </c>
      <c r="AA44" s="2936"/>
      <c r="AB44" s="2109" t="s">
        <v>669</v>
      </c>
      <c r="AC44" s="2936"/>
      <c r="AD44" s="2109" t="s">
        <v>669</v>
      </c>
      <c r="AE44" s="2936"/>
      <c r="AF44" s="2088" t="s">
        <v>671</v>
      </c>
      <c r="AG44" s="2936"/>
      <c r="AH44" s="2109" t="s">
        <v>669</v>
      </c>
      <c r="AI44" s="2936">
        <v>766948</v>
      </c>
      <c r="AJ44" s="2109"/>
      <c r="AK44" s="2936"/>
      <c r="AL44" s="2109"/>
      <c r="AM44" s="2936"/>
    </row>
    <row r="45" spans="1:39" x14ac:dyDescent="0.35">
      <c r="A45" s="2934"/>
      <c r="B45" s="3044" t="s">
        <v>80</v>
      </c>
      <c r="C45" s="3044"/>
      <c r="D45" s="3032"/>
      <c r="E45" s="3032"/>
      <c r="F45" s="3032"/>
      <c r="G45" s="2198"/>
      <c r="H45" s="2109" t="s">
        <v>669</v>
      </c>
      <c r="I45" s="2936"/>
      <c r="J45" s="2109" t="s">
        <v>669</v>
      </c>
      <c r="K45" s="2936"/>
      <c r="L45" s="2109" t="s">
        <v>669</v>
      </c>
      <c r="M45" s="2936"/>
      <c r="N45" s="2109" t="s">
        <v>669</v>
      </c>
      <c r="O45" s="2936"/>
      <c r="P45" s="2109" t="s">
        <v>669</v>
      </c>
      <c r="Q45" s="2936"/>
      <c r="R45" s="2109" t="s">
        <v>669</v>
      </c>
      <c r="S45" s="2936"/>
      <c r="T45" s="2109" t="s">
        <v>669</v>
      </c>
      <c r="U45" s="2936"/>
      <c r="V45" s="2109" t="s">
        <v>669</v>
      </c>
      <c r="W45" s="2936"/>
      <c r="X45" s="2109" t="s">
        <v>669</v>
      </c>
      <c r="Y45" s="2936"/>
      <c r="Z45" s="2109" t="s">
        <v>669</v>
      </c>
      <c r="AA45" s="2936"/>
      <c r="AB45" s="2109" t="s">
        <v>669</v>
      </c>
      <c r="AC45" s="2936"/>
      <c r="AD45" s="2109" t="s">
        <v>669</v>
      </c>
      <c r="AE45" s="2936"/>
      <c r="AF45" s="2088" t="s">
        <v>669</v>
      </c>
      <c r="AG45" s="2936"/>
      <c r="AH45" s="2109" t="s">
        <v>669</v>
      </c>
      <c r="AI45" s="2936">
        <v>127972</v>
      </c>
      <c r="AJ45" s="2109"/>
      <c r="AK45" s="2936"/>
      <c r="AL45" s="2109"/>
      <c r="AM45" s="2936"/>
    </row>
    <row r="46" spans="1:39" x14ac:dyDescent="0.35">
      <c r="A46" s="2939"/>
      <c r="B46" s="3044" t="s">
        <v>2373</v>
      </c>
      <c r="C46" s="3044"/>
      <c r="D46" s="3032"/>
      <c r="E46" s="3032"/>
      <c r="F46" s="3032"/>
      <c r="G46" s="2198"/>
      <c r="H46" s="2109" t="s">
        <v>669</v>
      </c>
      <c r="I46" s="2936"/>
      <c r="J46" s="2109" t="s">
        <v>669</v>
      </c>
      <c r="K46" s="2936"/>
      <c r="L46" s="2109" t="s">
        <v>669</v>
      </c>
      <c r="M46" s="2936"/>
      <c r="N46" s="2109" t="s">
        <v>669</v>
      </c>
      <c r="O46" s="2936"/>
      <c r="P46" s="2109" t="s">
        <v>669</v>
      </c>
      <c r="Q46" s="2936"/>
      <c r="R46" s="2109" t="s">
        <v>669</v>
      </c>
      <c r="S46" s="2936"/>
      <c r="T46" s="2109" t="s">
        <v>669</v>
      </c>
      <c r="U46" s="2936"/>
      <c r="V46" s="2109" t="s">
        <v>669</v>
      </c>
      <c r="W46" s="2936"/>
      <c r="X46" s="2109" t="s">
        <v>669</v>
      </c>
      <c r="Y46" s="2936"/>
      <c r="Z46" s="2109" t="s">
        <v>669</v>
      </c>
      <c r="AA46" s="2936"/>
      <c r="AB46" s="2109" t="s">
        <v>669</v>
      </c>
      <c r="AC46" s="2936"/>
      <c r="AD46" s="2109" t="s">
        <v>669</v>
      </c>
      <c r="AE46" s="2936"/>
      <c r="AF46" s="2088" t="s">
        <v>671</v>
      </c>
      <c r="AG46" s="2936"/>
      <c r="AH46" s="2109" t="s">
        <v>669</v>
      </c>
      <c r="AI46" s="2936">
        <v>28221</v>
      </c>
      <c r="AJ46" s="2109"/>
      <c r="AK46" s="2936"/>
      <c r="AL46" s="2109"/>
      <c r="AM46" s="2936"/>
    </row>
    <row r="47" spans="1:39" x14ac:dyDescent="0.35">
      <c r="A47" s="2934"/>
      <c r="B47" s="3044" t="s">
        <v>794</v>
      </c>
      <c r="C47" s="3044"/>
      <c r="D47" s="3032"/>
      <c r="E47" s="3032"/>
      <c r="F47" s="3032"/>
      <c r="G47" s="2198"/>
      <c r="H47" s="2109" t="s">
        <v>669</v>
      </c>
      <c r="I47" s="2936"/>
      <c r="J47" s="2109" t="s">
        <v>669</v>
      </c>
      <c r="K47" s="2936"/>
      <c r="L47" s="2109" t="s">
        <v>669</v>
      </c>
      <c r="M47" s="2936"/>
      <c r="N47" s="2109" t="s">
        <v>669</v>
      </c>
      <c r="O47" s="2936"/>
      <c r="P47" s="2109" t="s">
        <v>669</v>
      </c>
      <c r="Q47" s="2936"/>
      <c r="R47" s="2109" t="s">
        <v>669</v>
      </c>
      <c r="S47" s="2936"/>
      <c r="T47" s="2109" t="s">
        <v>669</v>
      </c>
      <c r="U47" s="2936"/>
      <c r="V47" s="2109" t="s">
        <v>669</v>
      </c>
      <c r="W47" s="2936"/>
      <c r="X47" s="2109" t="s">
        <v>669</v>
      </c>
      <c r="Y47" s="2936"/>
      <c r="Z47" s="2109" t="s">
        <v>669</v>
      </c>
      <c r="AA47" s="2936"/>
      <c r="AB47" s="2109" t="s">
        <v>669</v>
      </c>
      <c r="AC47" s="2936"/>
      <c r="AD47" s="2109" t="s">
        <v>669</v>
      </c>
      <c r="AE47" s="2936"/>
      <c r="AF47" s="2088" t="s">
        <v>669</v>
      </c>
      <c r="AG47" s="2936"/>
      <c r="AH47" s="2109" t="s">
        <v>669</v>
      </c>
      <c r="AI47" s="2936">
        <v>39766</v>
      </c>
      <c r="AJ47" s="2109"/>
      <c r="AK47" s="2936"/>
      <c r="AL47" s="2109"/>
      <c r="AM47" s="2936"/>
    </row>
    <row r="48" spans="1:39" x14ac:dyDescent="0.35">
      <c r="A48" s="2934"/>
      <c r="B48" s="3044" t="s">
        <v>795</v>
      </c>
      <c r="C48" s="3044"/>
      <c r="D48" s="3032"/>
      <c r="E48" s="3032"/>
      <c r="F48" s="3032"/>
      <c r="G48" s="2198"/>
      <c r="H48" s="2109" t="s">
        <v>669</v>
      </c>
      <c r="I48" s="2936"/>
      <c r="J48" s="2109" t="s">
        <v>669</v>
      </c>
      <c r="K48" s="2936"/>
      <c r="L48" s="2109" t="s">
        <v>669</v>
      </c>
      <c r="M48" s="2936"/>
      <c r="N48" s="2109" t="s">
        <v>669</v>
      </c>
      <c r="O48" s="2936"/>
      <c r="P48" s="2109" t="s">
        <v>669</v>
      </c>
      <c r="Q48" s="2936"/>
      <c r="R48" s="2109" t="s">
        <v>669</v>
      </c>
      <c r="S48" s="2936"/>
      <c r="T48" s="2109" t="s">
        <v>669</v>
      </c>
      <c r="U48" s="2936"/>
      <c r="V48" s="2109" t="s">
        <v>669</v>
      </c>
      <c r="W48" s="2936"/>
      <c r="X48" s="2109" t="s">
        <v>669</v>
      </c>
      <c r="Y48" s="2936"/>
      <c r="Z48" s="2109" t="s">
        <v>669</v>
      </c>
      <c r="AA48" s="2936"/>
      <c r="AB48" s="2109" t="s">
        <v>669</v>
      </c>
      <c r="AC48" s="2936"/>
      <c r="AD48" s="2109" t="s">
        <v>669</v>
      </c>
      <c r="AE48" s="2936"/>
      <c r="AF48" s="2088" t="s">
        <v>669</v>
      </c>
      <c r="AG48" s="2936"/>
      <c r="AH48" s="2109" t="s">
        <v>669</v>
      </c>
      <c r="AI48" s="2936">
        <v>76</v>
      </c>
      <c r="AJ48" s="2109"/>
      <c r="AK48" s="2936"/>
      <c r="AL48" s="2109"/>
      <c r="AM48" s="2936"/>
    </row>
    <row r="49" spans="1:39" x14ac:dyDescent="0.35">
      <c r="A49" s="2934"/>
      <c r="B49" s="3044" t="s">
        <v>3491</v>
      </c>
      <c r="C49" s="3044"/>
      <c r="D49" s="3032"/>
      <c r="E49" s="3032"/>
      <c r="F49" s="3032"/>
      <c r="G49" s="2198"/>
      <c r="H49" s="2109" t="s">
        <v>669</v>
      </c>
      <c r="I49" s="2936"/>
      <c r="J49" s="2109" t="s">
        <v>669</v>
      </c>
      <c r="K49" s="2936"/>
      <c r="L49" s="2109" t="s">
        <v>669</v>
      </c>
      <c r="M49" s="2936"/>
      <c r="N49" s="2109" t="s">
        <v>669</v>
      </c>
      <c r="O49" s="2936"/>
      <c r="P49" s="2109" t="s">
        <v>669</v>
      </c>
      <c r="Q49" s="2936"/>
      <c r="R49" s="2109" t="s">
        <v>669</v>
      </c>
      <c r="S49" s="2936"/>
      <c r="T49" s="2109" t="s">
        <v>669</v>
      </c>
      <c r="U49" s="2936"/>
      <c r="V49" s="2109" t="s">
        <v>669</v>
      </c>
      <c r="W49" s="2936"/>
      <c r="X49" s="2109" t="s">
        <v>669</v>
      </c>
      <c r="Y49" s="2936"/>
      <c r="Z49" s="2109" t="s">
        <v>669</v>
      </c>
      <c r="AA49" s="2936"/>
      <c r="AB49" s="2109" t="s">
        <v>669</v>
      </c>
      <c r="AC49" s="2936"/>
      <c r="AD49" s="2109" t="s">
        <v>669</v>
      </c>
      <c r="AE49" s="2936"/>
      <c r="AF49" s="2109" t="s">
        <v>671</v>
      </c>
      <c r="AG49" s="2936"/>
      <c r="AH49" s="2109"/>
      <c r="AI49" s="2936"/>
      <c r="AJ49" s="2038" t="s">
        <v>654</v>
      </c>
      <c r="AK49" s="2936">
        <f>432*2000</f>
        <v>864000</v>
      </c>
      <c r="AL49" s="2038" t="s">
        <v>669</v>
      </c>
      <c r="AM49" s="2936"/>
    </row>
    <row r="50" spans="1:39" x14ac:dyDescent="0.35">
      <c r="A50" s="2934"/>
      <c r="B50" s="3044" t="s">
        <v>3492</v>
      </c>
      <c r="C50" s="3044"/>
      <c r="D50" s="3032"/>
      <c r="E50" s="3032"/>
      <c r="F50" s="3032"/>
      <c r="G50" s="2198"/>
      <c r="H50" s="2109" t="s">
        <v>669</v>
      </c>
      <c r="I50" s="2936"/>
      <c r="J50" s="2109" t="s">
        <v>669</v>
      </c>
      <c r="K50" s="2936"/>
      <c r="L50" s="2109" t="s">
        <v>669</v>
      </c>
      <c r="M50" s="2936"/>
      <c r="N50" s="2109" t="s">
        <v>669</v>
      </c>
      <c r="O50" s="2936"/>
      <c r="P50" s="2109" t="s">
        <v>669</v>
      </c>
      <c r="Q50" s="2936"/>
      <c r="R50" s="2109" t="s">
        <v>669</v>
      </c>
      <c r="S50" s="2936"/>
      <c r="T50" s="2109" t="s">
        <v>669</v>
      </c>
      <c r="U50" s="2936"/>
      <c r="V50" s="2109" t="s">
        <v>669</v>
      </c>
      <c r="W50" s="2936"/>
      <c r="X50" s="2109" t="s">
        <v>669</v>
      </c>
      <c r="Y50" s="2936"/>
      <c r="Z50" s="2109" t="s">
        <v>669</v>
      </c>
      <c r="AA50" s="2936"/>
      <c r="AB50" s="2109" t="s">
        <v>669</v>
      </c>
      <c r="AC50" s="2936"/>
      <c r="AD50" s="2109" t="s">
        <v>669</v>
      </c>
      <c r="AE50" s="2936"/>
      <c r="AF50" s="2109" t="s">
        <v>669</v>
      </c>
      <c r="AG50" s="2936"/>
      <c r="AH50" s="2109"/>
      <c r="AI50" s="2936"/>
      <c r="AJ50" s="2038" t="s">
        <v>669</v>
      </c>
      <c r="AK50" s="2936">
        <v>43000</v>
      </c>
      <c r="AL50" s="2038" t="s">
        <v>669</v>
      </c>
      <c r="AM50" s="2936"/>
    </row>
    <row r="51" spans="1:39" x14ac:dyDescent="0.35">
      <c r="A51" s="2934"/>
      <c r="B51" s="3044" t="s">
        <v>3493</v>
      </c>
      <c r="C51" s="3044"/>
      <c r="D51" s="3032"/>
      <c r="E51" s="3032"/>
      <c r="F51" s="3032"/>
      <c r="G51" s="2198"/>
      <c r="H51" s="2038" t="s">
        <v>669</v>
      </c>
      <c r="I51" s="2936"/>
      <c r="J51" s="2038" t="s">
        <v>669</v>
      </c>
      <c r="K51" s="2936"/>
      <c r="L51" s="2038" t="s">
        <v>669</v>
      </c>
      <c r="M51" s="2936"/>
      <c r="N51" s="2038" t="s">
        <v>669</v>
      </c>
      <c r="O51" s="2936"/>
      <c r="P51" s="2038" t="s">
        <v>669</v>
      </c>
      <c r="Q51" s="2936"/>
      <c r="R51" s="2109" t="s">
        <v>669</v>
      </c>
      <c r="S51" s="2936"/>
      <c r="T51" s="2109" t="s">
        <v>669</v>
      </c>
      <c r="U51" s="2936"/>
      <c r="V51" s="2109" t="s">
        <v>669</v>
      </c>
      <c r="W51" s="2936"/>
      <c r="X51" s="2109" t="s">
        <v>669</v>
      </c>
      <c r="Y51" s="2936"/>
      <c r="Z51" s="2109" t="s">
        <v>669</v>
      </c>
      <c r="AA51" s="2936"/>
      <c r="AB51" s="2109" t="s">
        <v>669</v>
      </c>
      <c r="AC51" s="2936"/>
      <c r="AD51" s="2109" t="s">
        <v>669</v>
      </c>
      <c r="AE51" s="2936"/>
      <c r="AF51" s="2109" t="s">
        <v>669</v>
      </c>
      <c r="AG51" s="2936"/>
      <c r="AH51" s="2109"/>
      <c r="AI51" s="2936"/>
      <c r="AJ51" s="2109" t="s">
        <v>669</v>
      </c>
      <c r="AK51" s="2936"/>
      <c r="AL51" s="2109" t="s">
        <v>669</v>
      </c>
      <c r="AM51" s="2936"/>
    </row>
    <row r="52" spans="1:39" x14ac:dyDescent="0.35">
      <c r="A52" s="2934"/>
      <c r="B52" s="3044" t="s">
        <v>3494</v>
      </c>
      <c r="C52" s="3044"/>
      <c r="D52" s="3032"/>
      <c r="E52" s="3032"/>
      <c r="F52" s="3032"/>
      <c r="G52" s="2198"/>
      <c r="H52" s="2038" t="s">
        <v>669</v>
      </c>
      <c r="I52" s="2936"/>
      <c r="J52" s="2038" t="s">
        <v>669</v>
      </c>
      <c r="K52" s="2936"/>
      <c r="L52" s="2038" t="s">
        <v>669</v>
      </c>
      <c r="M52" s="2936"/>
      <c r="N52" s="2038" t="s">
        <v>669</v>
      </c>
      <c r="O52" s="2936"/>
      <c r="P52" s="2038" t="s">
        <v>669</v>
      </c>
      <c r="Q52" s="2936"/>
      <c r="R52" s="2109" t="s">
        <v>669</v>
      </c>
      <c r="S52" s="2936"/>
      <c r="T52" s="2109" t="s">
        <v>669</v>
      </c>
      <c r="U52" s="2936"/>
      <c r="V52" s="2109" t="s">
        <v>669</v>
      </c>
      <c r="W52" s="2936"/>
      <c r="X52" s="2109" t="s">
        <v>669</v>
      </c>
      <c r="Y52" s="2936"/>
      <c r="Z52" s="2109" t="s">
        <v>669</v>
      </c>
      <c r="AA52" s="2936"/>
      <c r="AB52" s="2109" t="s">
        <v>669</v>
      </c>
      <c r="AC52" s="2936"/>
      <c r="AD52" s="2109" t="s">
        <v>669</v>
      </c>
      <c r="AE52" s="2936"/>
      <c r="AF52" s="2109" t="s">
        <v>669</v>
      </c>
      <c r="AG52" s="2936"/>
      <c r="AH52" s="2109"/>
      <c r="AI52" s="2936"/>
      <c r="AJ52" s="2109" t="s">
        <v>669</v>
      </c>
      <c r="AK52" s="2936"/>
      <c r="AL52" s="2109" t="s">
        <v>669</v>
      </c>
      <c r="AM52" s="2936"/>
    </row>
    <row r="53" spans="1:39" x14ac:dyDescent="0.35">
      <c r="A53" s="2934"/>
      <c r="B53" s="3044" t="s">
        <v>3495</v>
      </c>
      <c r="C53" s="3044"/>
      <c r="D53" s="3032"/>
      <c r="E53" s="3032"/>
      <c r="F53" s="3032"/>
      <c r="G53" s="2198"/>
      <c r="H53" s="2109" t="s">
        <v>669</v>
      </c>
      <c r="I53" s="2936"/>
      <c r="J53" s="2109" t="s">
        <v>669</v>
      </c>
      <c r="K53" s="2936"/>
      <c r="L53" s="2109" t="s">
        <v>669</v>
      </c>
      <c r="M53" s="2936"/>
      <c r="N53" s="2109" t="s">
        <v>669</v>
      </c>
      <c r="O53" s="2936"/>
      <c r="P53" s="2109" t="s">
        <v>669</v>
      </c>
      <c r="Q53" s="2936"/>
      <c r="R53" s="2109" t="s">
        <v>669</v>
      </c>
      <c r="S53" s="2936"/>
      <c r="T53" s="2109" t="s">
        <v>669</v>
      </c>
      <c r="U53" s="2936"/>
      <c r="V53" s="2109" t="s">
        <v>669</v>
      </c>
      <c r="W53" s="2936"/>
      <c r="X53" s="2109" t="s">
        <v>669</v>
      </c>
      <c r="Y53" s="2936"/>
      <c r="Z53" s="2109" t="s">
        <v>669</v>
      </c>
      <c r="AA53" s="2936"/>
      <c r="AB53" s="2109" t="s">
        <v>669</v>
      </c>
      <c r="AC53" s="2936"/>
      <c r="AD53" s="2109" t="s">
        <v>669</v>
      </c>
      <c r="AE53" s="2936"/>
      <c r="AF53" s="2109"/>
      <c r="AG53" s="2936"/>
      <c r="AH53" s="2109"/>
      <c r="AI53" s="2936"/>
      <c r="AJ53" s="2109" t="s">
        <v>669</v>
      </c>
      <c r="AK53" s="2936"/>
      <c r="AL53" s="2109" t="s">
        <v>669</v>
      </c>
      <c r="AM53" s="2936"/>
    </row>
    <row r="54" spans="1:39" x14ac:dyDescent="0.35">
      <c r="A54" s="2934"/>
      <c r="B54" s="3047" t="s">
        <v>3496</v>
      </c>
      <c r="C54" s="3044"/>
      <c r="D54" s="3032"/>
      <c r="E54" s="3032"/>
      <c r="F54" s="3032"/>
      <c r="G54" s="2198"/>
      <c r="H54" s="2109"/>
      <c r="I54" s="2936"/>
      <c r="J54" s="2109"/>
      <c r="K54" s="2936"/>
      <c r="L54" s="2109"/>
      <c r="M54" s="2936"/>
      <c r="N54" s="2109"/>
      <c r="O54" s="2936"/>
      <c r="P54" s="2109"/>
      <c r="Q54" s="2936"/>
      <c r="R54" s="2109"/>
      <c r="S54" s="2936"/>
      <c r="T54" s="2109"/>
      <c r="U54" s="2936"/>
      <c r="V54" s="2109"/>
      <c r="W54" s="2936"/>
      <c r="X54" s="2109"/>
      <c r="Y54" s="2936"/>
      <c r="Z54" s="2109"/>
      <c r="AA54" s="2936"/>
      <c r="AB54" s="2109"/>
      <c r="AC54" s="2936"/>
      <c r="AD54" s="2109"/>
      <c r="AE54" s="2936"/>
      <c r="AF54" s="2109"/>
      <c r="AG54" s="2936"/>
      <c r="AH54" s="2109"/>
      <c r="AI54" s="2936"/>
      <c r="AJ54" s="2109"/>
      <c r="AK54" s="2936"/>
      <c r="AL54" s="2109"/>
      <c r="AM54" s="2936"/>
    </row>
    <row r="55" spans="1:39" x14ac:dyDescent="0.35">
      <c r="A55" s="2934"/>
      <c r="B55" s="3044" t="s">
        <v>3497</v>
      </c>
      <c r="C55" s="3044"/>
      <c r="D55" s="3032"/>
      <c r="E55" s="3032"/>
      <c r="F55" s="3032"/>
      <c r="G55" s="2198"/>
      <c r="H55" s="2109" t="s">
        <v>671</v>
      </c>
      <c r="I55" s="2936"/>
      <c r="J55" s="2109" t="s">
        <v>671</v>
      </c>
      <c r="K55" s="2936"/>
      <c r="L55" s="2109" t="s">
        <v>671</v>
      </c>
      <c r="M55" s="2936"/>
      <c r="N55" s="2109" t="s">
        <v>671</v>
      </c>
      <c r="O55" s="2936"/>
      <c r="P55" s="2109" t="s">
        <v>671</v>
      </c>
      <c r="Q55" s="2936"/>
      <c r="R55" s="2109" t="s">
        <v>671</v>
      </c>
      <c r="S55" s="2936"/>
      <c r="T55" s="2109" t="s">
        <v>671</v>
      </c>
      <c r="U55" s="2936"/>
      <c r="V55" s="2109" t="s">
        <v>671</v>
      </c>
      <c r="W55" s="2936"/>
      <c r="X55" s="2109" t="s">
        <v>671</v>
      </c>
      <c r="Y55" s="2936"/>
      <c r="Z55" s="2109" t="s">
        <v>671</v>
      </c>
      <c r="AA55" s="2936"/>
      <c r="AB55" s="2109" t="s">
        <v>671</v>
      </c>
      <c r="AC55" s="2936"/>
      <c r="AD55" s="2109" t="s">
        <v>671</v>
      </c>
      <c r="AE55" s="2936"/>
      <c r="AF55" s="2109"/>
      <c r="AG55" s="2936"/>
      <c r="AH55" s="2109"/>
      <c r="AI55" s="2936"/>
      <c r="AJ55" s="2109" t="s">
        <v>671</v>
      </c>
      <c r="AK55" s="2936"/>
      <c r="AL55" s="2109" t="s">
        <v>671</v>
      </c>
      <c r="AM55" s="2936"/>
    </row>
    <row r="56" spans="1:39" x14ac:dyDescent="0.35">
      <c r="A56" s="2934"/>
      <c r="B56" s="3044" t="s">
        <v>3498</v>
      </c>
      <c r="C56" s="3044"/>
      <c r="D56" s="3032"/>
      <c r="E56" s="3032"/>
      <c r="F56" s="3032"/>
      <c r="G56" s="2198"/>
      <c r="H56" s="2109" t="s">
        <v>669</v>
      </c>
      <c r="I56" s="2936"/>
      <c r="J56" s="2109" t="s">
        <v>669</v>
      </c>
      <c r="K56" s="2936"/>
      <c r="L56" s="2109" t="s">
        <v>669</v>
      </c>
      <c r="M56" s="2936"/>
      <c r="N56" s="2109" t="s">
        <v>669</v>
      </c>
      <c r="O56" s="2936"/>
      <c r="P56" s="2109" t="s">
        <v>669</v>
      </c>
      <c r="Q56" s="2936"/>
      <c r="R56" s="2109" t="s">
        <v>669</v>
      </c>
      <c r="S56" s="2936"/>
      <c r="T56" s="2109" t="s">
        <v>669</v>
      </c>
      <c r="U56" s="2936"/>
      <c r="V56" s="2109" t="s">
        <v>669</v>
      </c>
      <c r="W56" s="2936"/>
      <c r="X56" s="2109" t="s">
        <v>669</v>
      </c>
      <c r="Y56" s="2936"/>
      <c r="Z56" s="2109" t="s">
        <v>669</v>
      </c>
      <c r="AA56" s="2936"/>
      <c r="AB56" s="2109" t="s">
        <v>669</v>
      </c>
      <c r="AC56" s="2936"/>
      <c r="AD56" s="2109" t="s">
        <v>669</v>
      </c>
      <c r="AE56" s="2936"/>
      <c r="AF56" s="2109"/>
      <c r="AG56" s="2936"/>
      <c r="AH56" s="2109"/>
      <c r="AI56" s="2936"/>
      <c r="AJ56" s="2109" t="s">
        <v>669</v>
      </c>
      <c r="AK56" s="2936">
        <v>239000</v>
      </c>
      <c r="AL56" s="2109" t="s">
        <v>669</v>
      </c>
      <c r="AM56" s="2936"/>
    </row>
    <row r="57" spans="1:39" x14ac:dyDescent="0.35">
      <c r="A57" s="2934"/>
      <c r="B57" s="3044" t="s">
        <v>3499</v>
      </c>
      <c r="C57" s="3044"/>
      <c r="D57" s="3032"/>
      <c r="E57" s="3032"/>
      <c r="F57" s="3032"/>
      <c r="G57" s="2198"/>
      <c r="H57" s="2109" t="s">
        <v>669</v>
      </c>
      <c r="I57" s="2936"/>
      <c r="J57" s="2109" t="s">
        <v>669</v>
      </c>
      <c r="K57" s="2936"/>
      <c r="L57" s="2109" t="s">
        <v>669</v>
      </c>
      <c r="M57" s="2936"/>
      <c r="N57" s="2109" t="s">
        <v>669</v>
      </c>
      <c r="O57" s="2936"/>
      <c r="P57" s="2109" t="s">
        <v>669</v>
      </c>
      <c r="Q57" s="2936"/>
      <c r="R57" s="2109" t="s">
        <v>669</v>
      </c>
      <c r="S57" s="2936"/>
      <c r="T57" s="2109" t="s">
        <v>669</v>
      </c>
      <c r="U57" s="2936"/>
      <c r="V57" s="2109" t="s">
        <v>669</v>
      </c>
      <c r="W57" s="2936"/>
      <c r="X57" s="2109" t="s">
        <v>669</v>
      </c>
      <c r="Y57" s="2936"/>
      <c r="Z57" s="2109" t="s">
        <v>669</v>
      </c>
      <c r="AA57" s="2936"/>
      <c r="AB57" s="2109" t="s">
        <v>669</v>
      </c>
      <c r="AC57" s="2936"/>
      <c r="AD57" s="2109" t="s">
        <v>669</v>
      </c>
      <c r="AE57" s="2936"/>
      <c r="AF57" s="2109"/>
      <c r="AG57" s="2936"/>
      <c r="AH57" s="2109"/>
      <c r="AI57" s="2936"/>
      <c r="AJ57" s="2109" t="s">
        <v>669</v>
      </c>
      <c r="AK57" s="2936"/>
      <c r="AL57" s="2109" t="s">
        <v>669</v>
      </c>
      <c r="AM57" s="2936"/>
    </row>
    <row r="58" spans="1:39" x14ac:dyDescent="0.35">
      <c r="A58" s="2934"/>
      <c r="B58" s="3044" t="s">
        <v>3500</v>
      </c>
      <c r="C58" s="3044"/>
      <c r="D58" s="3032"/>
      <c r="E58" s="3032"/>
      <c r="F58" s="3032"/>
      <c r="G58" s="2198"/>
      <c r="H58" s="2109" t="s">
        <v>669</v>
      </c>
      <c r="I58" s="2936"/>
      <c r="J58" s="2109" t="s">
        <v>669</v>
      </c>
      <c r="K58" s="2936"/>
      <c r="L58" s="2109" t="s">
        <v>669</v>
      </c>
      <c r="M58" s="2936"/>
      <c r="N58" s="2109" t="s">
        <v>669</v>
      </c>
      <c r="O58" s="2936"/>
      <c r="P58" s="2109" t="s">
        <v>669</v>
      </c>
      <c r="Q58" s="2936"/>
      <c r="R58" s="2109" t="s">
        <v>669</v>
      </c>
      <c r="S58" s="2936"/>
      <c r="T58" s="2109" t="s">
        <v>669</v>
      </c>
      <c r="U58" s="2936"/>
      <c r="V58" s="2109" t="s">
        <v>669</v>
      </c>
      <c r="W58" s="2936"/>
      <c r="X58" s="2109" t="s">
        <v>669</v>
      </c>
      <c r="Y58" s="2936"/>
      <c r="Z58" s="2109" t="s">
        <v>669</v>
      </c>
      <c r="AA58" s="2936"/>
      <c r="AB58" s="2109" t="s">
        <v>669</v>
      </c>
      <c r="AC58" s="2936"/>
      <c r="AD58" s="2109" t="s">
        <v>669</v>
      </c>
      <c r="AE58" s="2936"/>
      <c r="AF58" s="2109"/>
      <c r="AG58" s="2936"/>
      <c r="AH58" s="2109"/>
      <c r="AI58" s="2936"/>
      <c r="AJ58" s="2109" t="s">
        <v>669</v>
      </c>
      <c r="AK58" s="2936"/>
      <c r="AL58" s="2109" t="s">
        <v>669</v>
      </c>
      <c r="AM58" s="2936"/>
    </row>
    <row r="59" spans="1:39" x14ac:dyDescent="0.35">
      <c r="A59" s="2934"/>
      <c r="B59" s="3044" t="s">
        <v>3501</v>
      </c>
      <c r="C59" s="3044"/>
      <c r="D59" s="3032"/>
      <c r="E59" s="3032"/>
      <c r="F59" s="3032"/>
      <c r="G59" s="2198"/>
      <c r="H59" s="2109" t="s">
        <v>669</v>
      </c>
      <c r="I59" s="2936"/>
      <c r="J59" s="2109" t="s">
        <v>669</v>
      </c>
      <c r="K59" s="2936"/>
      <c r="L59" s="2109" t="s">
        <v>669</v>
      </c>
      <c r="M59" s="2936"/>
      <c r="N59" s="2109" t="s">
        <v>669</v>
      </c>
      <c r="O59" s="2936"/>
      <c r="P59" s="2109" t="s">
        <v>669</v>
      </c>
      <c r="Q59" s="2936"/>
      <c r="R59" s="2109" t="s">
        <v>669</v>
      </c>
      <c r="S59" s="2936"/>
      <c r="T59" s="2109" t="s">
        <v>669</v>
      </c>
      <c r="U59" s="2936"/>
      <c r="V59" s="2109" t="s">
        <v>669</v>
      </c>
      <c r="W59" s="2936"/>
      <c r="X59" s="2109" t="s">
        <v>669</v>
      </c>
      <c r="Y59" s="2936"/>
      <c r="Z59" s="2109" t="s">
        <v>669</v>
      </c>
      <c r="AA59" s="2936"/>
      <c r="AB59" s="2109" t="s">
        <v>669</v>
      </c>
      <c r="AC59" s="2936"/>
      <c r="AD59" s="2109" t="s">
        <v>669</v>
      </c>
      <c r="AE59" s="2936"/>
      <c r="AF59" s="2109"/>
      <c r="AG59" s="2936"/>
      <c r="AH59" s="2109"/>
      <c r="AI59" s="2936"/>
      <c r="AJ59" s="2109" t="s">
        <v>669</v>
      </c>
      <c r="AK59" s="2936"/>
      <c r="AL59" s="2109" t="s">
        <v>669</v>
      </c>
      <c r="AM59" s="2936"/>
    </row>
    <row r="60" spans="1:39" x14ac:dyDescent="0.35">
      <c r="A60" s="2934"/>
      <c r="B60" s="3044" t="s">
        <v>3502</v>
      </c>
      <c r="C60" s="3044"/>
      <c r="D60" s="3032"/>
      <c r="E60" s="3032"/>
      <c r="F60" s="3032"/>
      <c r="G60" s="2198"/>
      <c r="H60" s="2109" t="s">
        <v>671</v>
      </c>
      <c r="I60" s="2936"/>
      <c r="J60" s="2109" t="s">
        <v>671</v>
      </c>
      <c r="K60" s="2936"/>
      <c r="L60" s="2109" t="s">
        <v>671</v>
      </c>
      <c r="M60" s="2936"/>
      <c r="N60" s="2109" t="s">
        <v>671</v>
      </c>
      <c r="O60" s="2936"/>
      <c r="P60" s="2109" t="s">
        <v>671</v>
      </c>
      <c r="Q60" s="2936"/>
      <c r="R60" s="2109" t="s">
        <v>671</v>
      </c>
      <c r="S60" s="2936"/>
      <c r="T60" s="2109" t="s">
        <v>671</v>
      </c>
      <c r="U60" s="2936"/>
      <c r="V60" s="2109" t="s">
        <v>671</v>
      </c>
      <c r="W60" s="2936"/>
      <c r="X60" s="2109" t="s">
        <v>671</v>
      </c>
      <c r="Y60" s="2936"/>
      <c r="Z60" s="2109" t="s">
        <v>671</v>
      </c>
      <c r="AA60" s="2936"/>
      <c r="AB60" s="2109" t="s">
        <v>671</v>
      </c>
      <c r="AC60" s="2936"/>
      <c r="AD60" s="2109" t="s">
        <v>671</v>
      </c>
      <c r="AE60" s="2936"/>
      <c r="AF60" s="2109"/>
      <c r="AG60" s="2936"/>
      <c r="AH60" s="2109"/>
      <c r="AI60" s="2936"/>
      <c r="AJ60" s="2109" t="s">
        <v>671</v>
      </c>
      <c r="AK60" s="2936"/>
      <c r="AL60" s="2109" t="s">
        <v>671</v>
      </c>
      <c r="AM60" s="2936"/>
    </row>
    <row r="61" spans="1:39" x14ac:dyDescent="0.35">
      <c r="A61" s="2934"/>
      <c r="B61" s="3044" t="s">
        <v>3503</v>
      </c>
      <c r="C61" s="3044"/>
      <c r="D61" s="3032"/>
      <c r="E61" s="3032"/>
      <c r="F61" s="3032"/>
      <c r="G61" s="2198"/>
      <c r="H61" s="2109" t="s">
        <v>669</v>
      </c>
      <c r="I61" s="2936"/>
      <c r="J61" s="2109" t="s">
        <v>669</v>
      </c>
      <c r="K61" s="2936"/>
      <c r="L61" s="2109" t="s">
        <v>669</v>
      </c>
      <c r="M61" s="2936"/>
      <c r="N61" s="2109" t="s">
        <v>669</v>
      </c>
      <c r="O61" s="2936"/>
      <c r="P61" s="2109" t="s">
        <v>669</v>
      </c>
      <c r="Q61" s="2936"/>
      <c r="R61" s="2109" t="s">
        <v>669</v>
      </c>
      <c r="S61" s="2936"/>
      <c r="T61" s="2109" t="s">
        <v>669</v>
      </c>
      <c r="U61" s="2936"/>
      <c r="V61" s="2109" t="s">
        <v>669</v>
      </c>
      <c r="W61" s="2936"/>
      <c r="X61" s="2109" t="s">
        <v>669</v>
      </c>
      <c r="Y61" s="2936"/>
      <c r="Z61" s="2109" t="s">
        <v>669</v>
      </c>
      <c r="AA61" s="2936"/>
      <c r="AB61" s="2109" t="s">
        <v>669</v>
      </c>
      <c r="AC61" s="2936"/>
      <c r="AD61" s="2109" t="s">
        <v>669</v>
      </c>
      <c r="AE61" s="2936"/>
      <c r="AF61" s="2109"/>
      <c r="AG61" s="2936"/>
      <c r="AH61" s="2109"/>
      <c r="AI61" s="2936"/>
      <c r="AJ61" s="2109" t="s">
        <v>669</v>
      </c>
      <c r="AK61" s="2936"/>
      <c r="AL61" s="2109" t="s">
        <v>669</v>
      </c>
      <c r="AM61" s="2936"/>
    </row>
    <row r="62" spans="1:39" x14ac:dyDescent="0.35">
      <c r="A62" s="2934"/>
      <c r="B62" s="3044" t="s">
        <v>3504</v>
      </c>
      <c r="C62" s="3044"/>
      <c r="D62" s="3032"/>
      <c r="E62" s="3032"/>
      <c r="F62" s="3032"/>
      <c r="G62" s="2198"/>
      <c r="H62" s="2109" t="s">
        <v>669</v>
      </c>
      <c r="I62" s="2936"/>
      <c r="J62" s="2109" t="s">
        <v>669</v>
      </c>
      <c r="K62" s="2936"/>
      <c r="L62" s="2109" t="s">
        <v>669</v>
      </c>
      <c r="M62" s="2936"/>
      <c r="N62" s="2109" t="s">
        <v>669</v>
      </c>
      <c r="O62" s="2936"/>
      <c r="P62" s="2109" t="s">
        <v>669</v>
      </c>
      <c r="Q62" s="2936"/>
      <c r="R62" s="2109" t="s">
        <v>669</v>
      </c>
      <c r="S62" s="2936"/>
      <c r="T62" s="2109" t="s">
        <v>669</v>
      </c>
      <c r="U62" s="2936"/>
      <c r="V62" s="2109" t="s">
        <v>669</v>
      </c>
      <c r="W62" s="2936"/>
      <c r="X62" s="2109" t="s">
        <v>669</v>
      </c>
      <c r="Y62" s="2936"/>
      <c r="Z62" s="2109" t="s">
        <v>669</v>
      </c>
      <c r="AA62" s="2936"/>
      <c r="AB62" s="2109" t="s">
        <v>669</v>
      </c>
      <c r="AC62" s="2936"/>
      <c r="AD62" s="2109" t="s">
        <v>669</v>
      </c>
      <c r="AE62" s="2936"/>
      <c r="AF62" s="2109"/>
      <c r="AG62" s="2936"/>
      <c r="AH62" s="2109"/>
      <c r="AI62" s="2936"/>
      <c r="AJ62" s="2109" t="s">
        <v>669</v>
      </c>
      <c r="AK62" s="2936"/>
      <c r="AL62" s="2109" t="s">
        <v>669</v>
      </c>
      <c r="AM62" s="2936"/>
    </row>
    <row r="63" spans="1:39" x14ac:dyDescent="0.35">
      <c r="A63" s="2934"/>
      <c r="B63" s="3044" t="s">
        <v>3505</v>
      </c>
      <c r="C63" s="3044"/>
      <c r="D63" s="3032"/>
      <c r="E63" s="3032"/>
      <c r="F63" s="3032"/>
      <c r="G63" s="2198"/>
      <c r="H63" s="2109" t="s">
        <v>669</v>
      </c>
      <c r="I63" s="2936"/>
      <c r="J63" s="2109" t="s">
        <v>669</v>
      </c>
      <c r="K63" s="2936"/>
      <c r="L63" s="2109" t="s">
        <v>669</v>
      </c>
      <c r="M63" s="2936"/>
      <c r="N63" s="2109" t="s">
        <v>669</v>
      </c>
      <c r="O63" s="2936"/>
      <c r="P63" s="2109" t="s">
        <v>669</v>
      </c>
      <c r="Q63" s="2936"/>
      <c r="R63" s="2109" t="s">
        <v>669</v>
      </c>
      <c r="S63" s="2936"/>
      <c r="T63" s="2109" t="s">
        <v>669</v>
      </c>
      <c r="U63" s="2936"/>
      <c r="V63" s="2109" t="s">
        <v>669</v>
      </c>
      <c r="W63" s="2936"/>
      <c r="X63" s="2109" t="s">
        <v>669</v>
      </c>
      <c r="Y63" s="2936"/>
      <c r="Z63" s="2109" t="s">
        <v>669</v>
      </c>
      <c r="AA63" s="2936"/>
      <c r="AB63" s="2109" t="s">
        <v>669</v>
      </c>
      <c r="AC63" s="2936"/>
      <c r="AD63" s="2109" t="s">
        <v>669</v>
      </c>
      <c r="AE63" s="2936"/>
      <c r="AF63" s="2109"/>
      <c r="AG63" s="2936"/>
      <c r="AH63" s="2109"/>
      <c r="AI63" s="2936"/>
      <c r="AJ63" s="2109" t="s">
        <v>669</v>
      </c>
      <c r="AK63" s="2936"/>
      <c r="AL63" s="2109" t="s">
        <v>669</v>
      </c>
      <c r="AM63" s="2936"/>
    </row>
    <row r="64" spans="1:39" x14ac:dyDescent="0.35">
      <c r="A64" s="2934"/>
      <c r="B64" s="3044" t="s">
        <v>3506</v>
      </c>
      <c r="C64" s="3044"/>
      <c r="D64" s="3032"/>
      <c r="E64" s="3032"/>
      <c r="F64" s="3032"/>
      <c r="G64" s="2198"/>
      <c r="H64" s="2038" t="s">
        <v>669</v>
      </c>
      <c r="I64" s="2936">
        <v>60000</v>
      </c>
      <c r="J64" s="2038" t="s">
        <v>669</v>
      </c>
      <c r="K64" s="2936">
        <v>60000</v>
      </c>
      <c r="L64" s="2038" t="s">
        <v>669</v>
      </c>
      <c r="M64" s="2936">
        <v>60000</v>
      </c>
      <c r="N64" s="2109" t="s">
        <v>669</v>
      </c>
      <c r="O64" s="2936">
        <v>159595</v>
      </c>
      <c r="P64" s="2109" t="s">
        <v>669</v>
      </c>
      <c r="Q64" s="2936">
        <v>159595</v>
      </c>
      <c r="R64" s="2109" t="s">
        <v>669</v>
      </c>
      <c r="S64" s="2936"/>
      <c r="T64" s="2109" t="s">
        <v>669</v>
      </c>
      <c r="U64" s="2936">
        <v>45000</v>
      </c>
      <c r="V64" s="2109" t="s">
        <v>669</v>
      </c>
      <c r="W64" s="2936">
        <v>45000</v>
      </c>
      <c r="X64" s="2038" t="s">
        <v>669</v>
      </c>
      <c r="Y64" s="2936"/>
      <c r="Z64" s="2038"/>
      <c r="AA64" s="2936"/>
      <c r="AB64" s="2038"/>
      <c r="AC64" s="2936"/>
      <c r="AD64" s="2038"/>
      <c r="AE64" s="2936"/>
      <c r="AF64" s="2109"/>
      <c r="AG64" s="2936"/>
      <c r="AH64" s="2109"/>
      <c r="AI64" s="2936"/>
      <c r="AJ64" s="2109" t="s">
        <v>669</v>
      </c>
      <c r="AK64" s="2936"/>
      <c r="AL64" s="2109" t="s">
        <v>669</v>
      </c>
      <c r="AM64" s="2936"/>
    </row>
    <row r="65" spans="1:39" x14ac:dyDescent="0.35">
      <c r="A65" s="2934"/>
      <c r="B65" s="3048" t="s">
        <v>3507</v>
      </c>
      <c r="C65" s="3044"/>
      <c r="D65" s="3032"/>
      <c r="E65" s="3032"/>
      <c r="F65" s="3032"/>
      <c r="G65" s="2198"/>
      <c r="H65" s="2038" t="s">
        <v>671</v>
      </c>
      <c r="I65" s="3046">
        <v>100000</v>
      </c>
      <c r="J65" s="2038" t="s">
        <v>671</v>
      </c>
      <c r="K65" s="3046"/>
      <c r="L65" s="2038" t="s">
        <v>671</v>
      </c>
      <c r="M65" s="2936">
        <v>30000</v>
      </c>
      <c r="N65" s="2038" t="s">
        <v>671</v>
      </c>
      <c r="O65" s="3046"/>
      <c r="P65" s="2038" t="s">
        <v>671</v>
      </c>
      <c r="Q65" s="3046"/>
      <c r="R65" s="2038" t="s">
        <v>671</v>
      </c>
      <c r="S65" s="3046"/>
      <c r="T65" s="2038" t="s">
        <v>671</v>
      </c>
      <c r="U65" s="3046">
        <v>30000</v>
      </c>
      <c r="V65" s="2038" t="s">
        <v>671</v>
      </c>
      <c r="W65" s="3046">
        <v>30000</v>
      </c>
      <c r="X65" s="2038" t="s">
        <v>671</v>
      </c>
      <c r="Y65" s="3046"/>
      <c r="Z65" s="2038" t="s">
        <v>671</v>
      </c>
      <c r="AA65" s="3046"/>
      <c r="AB65" s="2038" t="s">
        <v>671</v>
      </c>
      <c r="AC65" s="3046"/>
      <c r="AD65" s="2038" t="s">
        <v>671</v>
      </c>
      <c r="AE65" s="3046"/>
      <c r="AF65" s="2109"/>
      <c r="AG65" s="3046"/>
      <c r="AH65" s="2109"/>
      <c r="AI65" s="3046"/>
      <c r="AJ65" s="2109"/>
      <c r="AK65" s="3046"/>
      <c r="AL65" s="2109"/>
      <c r="AM65" s="3046"/>
    </row>
    <row r="66" spans="1:39" x14ac:dyDescent="0.35">
      <c r="A66" s="2934"/>
      <c r="B66" s="3044" t="s">
        <v>3508</v>
      </c>
      <c r="C66" s="3044"/>
      <c r="D66" s="3032"/>
      <c r="E66" s="3032"/>
      <c r="F66" s="3032"/>
      <c r="G66" s="2198"/>
      <c r="H66" s="2038"/>
      <c r="I66" s="3046"/>
      <c r="J66" s="2038" t="s">
        <v>669</v>
      </c>
      <c r="K66" s="3046">
        <v>60000</v>
      </c>
      <c r="L66" s="2038" t="s">
        <v>669</v>
      </c>
      <c r="M66" s="2936">
        <v>160000</v>
      </c>
      <c r="N66" s="2038" t="s">
        <v>669</v>
      </c>
      <c r="O66" s="3046"/>
      <c r="P66" s="2038" t="s">
        <v>669</v>
      </c>
      <c r="Q66" s="3046"/>
      <c r="R66" s="2038" t="s">
        <v>3509</v>
      </c>
      <c r="S66" s="3046">
        <v>160000</v>
      </c>
      <c r="T66" s="2038" t="s">
        <v>669</v>
      </c>
      <c r="U66" s="3046">
        <v>60000</v>
      </c>
      <c r="V66" s="2038" t="s">
        <v>669</v>
      </c>
      <c r="W66" s="3046">
        <v>60000</v>
      </c>
      <c r="X66" s="2038"/>
      <c r="Y66" s="3046"/>
      <c r="Z66" s="2038"/>
      <c r="AA66" s="3046"/>
      <c r="AB66" s="2038"/>
      <c r="AC66" s="3046"/>
      <c r="AD66" s="2038"/>
      <c r="AE66" s="3046"/>
      <c r="AF66" s="2109"/>
      <c r="AG66" s="3046"/>
      <c r="AH66" s="2109"/>
      <c r="AI66" s="3046"/>
      <c r="AJ66" s="2109"/>
      <c r="AK66" s="3046"/>
      <c r="AL66" s="2109"/>
      <c r="AM66" s="3046"/>
    </row>
    <row r="67" spans="1:39" x14ac:dyDescent="0.35">
      <c r="A67" s="2934"/>
      <c r="B67" s="3044" t="s">
        <v>3510</v>
      </c>
      <c r="C67" s="3044"/>
      <c r="D67" s="3032"/>
      <c r="E67" s="3032"/>
      <c r="F67" s="3032"/>
      <c r="G67" s="2198"/>
      <c r="H67" s="2109" t="s">
        <v>669</v>
      </c>
      <c r="I67" s="2936"/>
      <c r="J67" s="2109" t="s">
        <v>669</v>
      </c>
      <c r="K67" s="2936"/>
      <c r="L67" s="2109" t="s">
        <v>669</v>
      </c>
      <c r="M67" s="2936"/>
      <c r="N67" s="2109" t="s">
        <v>669</v>
      </c>
      <c r="O67" s="2936"/>
      <c r="P67" s="2109" t="s">
        <v>669</v>
      </c>
      <c r="Q67" s="2936"/>
      <c r="R67" s="2109" t="s">
        <v>669</v>
      </c>
      <c r="S67" s="2936"/>
      <c r="T67" s="2109" t="s">
        <v>669</v>
      </c>
      <c r="U67" s="2936"/>
      <c r="V67" s="2109" t="s">
        <v>669</v>
      </c>
      <c r="W67" s="2936"/>
      <c r="X67" s="2109" t="s">
        <v>669</v>
      </c>
      <c r="Y67" s="2936"/>
      <c r="Z67" s="2109" t="s">
        <v>669</v>
      </c>
      <c r="AA67" s="2936"/>
      <c r="AB67" s="2109" t="s">
        <v>669</v>
      </c>
      <c r="AC67" s="2936"/>
      <c r="AD67" s="2109" t="s">
        <v>669</v>
      </c>
      <c r="AE67" s="2936"/>
      <c r="AF67" s="2109"/>
      <c r="AG67" s="2936"/>
      <c r="AH67" s="2109"/>
      <c r="AI67" s="2936"/>
      <c r="AJ67" s="2109"/>
      <c r="AK67" s="2936"/>
      <c r="AL67" s="2109"/>
      <c r="AM67" s="2936"/>
    </row>
    <row r="68" spans="1:39" x14ac:dyDescent="0.35">
      <c r="A68" s="2934"/>
      <c r="B68" s="3044" t="s">
        <v>3511</v>
      </c>
      <c r="C68" s="3044"/>
      <c r="D68" s="3032"/>
      <c r="E68" s="3032"/>
      <c r="F68" s="3032"/>
      <c r="G68" s="2198"/>
      <c r="H68" s="2109" t="s">
        <v>669</v>
      </c>
      <c r="I68" s="2936"/>
      <c r="J68" s="2109" t="s">
        <v>669</v>
      </c>
      <c r="K68" s="2936"/>
      <c r="L68" s="2109" t="s">
        <v>669</v>
      </c>
      <c r="M68" s="2936"/>
      <c r="N68" s="2109" t="s">
        <v>669</v>
      </c>
      <c r="O68" s="2936"/>
      <c r="P68" s="2109" t="s">
        <v>669</v>
      </c>
      <c r="Q68" s="2936"/>
      <c r="R68" s="2109" t="s">
        <v>669</v>
      </c>
      <c r="S68" s="2936"/>
      <c r="T68" s="2109" t="s">
        <v>669</v>
      </c>
      <c r="U68" s="2936"/>
      <c r="V68" s="2109" t="s">
        <v>669</v>
      </c>
      <c r="W68" s="2936"/>
      <c r="X68" s="2109" t="s">
        <v>669</v>
      </c>
      <c r="Y68" s="2936"/>
      <c r="Z68" s="2109" t="s">
        <v>669</v>
      </c>
      <c r="AA68" s="2936"/>
      <c r="AB68" s="2109" t="s">
        <v>669</v>
      </c>
      <c r="AC68" s="2936"/>
      <c r="AD68" s="2109" t="s">
        <v>669</v>
      </c>
      <c r="AE68" s="2936"/>
      <c r="AF68" s="2109"/>
      <c r="AG68" s="2936"/>
      <c r="AH68" s="2109"/>
      <c r="AI68" s="2936"/>
      <c r="AJ68" s="2109"/>
      <c r="AK68" s="2936"/>
      <c r="AL68" s="2109"/>
      <c r="AM68" s="2936"/>
    </row>
    <row r="69" spans="1:39" x14ac:dyDescent="0.35">
      <c r="A69" s="2934"/>
      <c r="B69" s="3044" t="s">
        <v>3512</v>
      </c>
      <c r="C69" s="3044"/>
      <c r="D69" s="3032"/>
      <c r="E69" s="3032"/>
      <c r="F69" s="3032"/>
      <c r="G69" s="2198"/>
      <c r="H69" s="2109" t="s">
        <v>669</v>
      </c>
      <c r="I69" s="2936"/>
      <c r="J69" s="2109" t="s">
        <v>669</v>
      </c>
      <c r="K69" s="2936"/>
      <c r="L69" s="2109" t="s">
        <v>669</v>
      </c>
      <c r="M69" s="2936"/>
      <c r="N69" s="2109" t="s">
        <v>669</v>
      </c>
      <c r="O69" s="2936"/>
      <c r="P69" s="2109" t="s">
        <v>669</v>
      </c>
      <c r="Q69" s="2936"/>
      <c r="R69" s="2109" t="s">
        <v>669</v>
      </c>
      <c r="S69" s="2936"/>
      <c r="T69" s="2109" t="s">
        <v>669</v>
      </c>
      <c r="U69" s="2936"/>
      <c r="V69" s="2109" t="s">
        <v>669</v>
      </c>
      <c r="W69" s="2936"/>
      <c r="X69" s="2038" t="s">
        <v>669</v>
      </c>
      <c r="Y69" s="2936"/>
      <c r="Z69" s="2038"/>
      <c r="AA69" s="2936"/>
      <c r="AB69" s="2038"/>
      <c r="AC69" s="2936"/>
      <c r="AD69" s="2038"/>
      <c r="AE69" s="2936"/>
      <c r="AF69" s="2109"/>
      <c r="AG69" s="2936"/>
      <c r="AH69" s="2109"/>
      <c r="AI69" s="2936"/>
      <c r="AJ69" s="2109" t="s">
        <v>669</v>
      </c>
      <c r="AK69" s="2936"/>
      <c r="AL69" s="2109" t="s">
        <v>669</v>
      </c>
      <c r="AM69" s="2936"/>
    </row>
    <row r="70" spans="1:39" x14ac:dyDescent="0.35">
      <c r="A70" s="2934"/>
      <c r="B70" s="3044" t="s">
        <v>3513</v>
      </c>
      <c r="C70" s="3044"/>
      <c r="D70" s="3032"/>
      <c r="E70" s="3032"/>
      <c r="F70" s="3032"/>
      <c r="G70" s="2198"/>
      <c r="H70" s="2109" t="s">
        <v>669</v>
      </c>
      <c r="I70" s="2936"/>
      <c r="J70" s="2109" t="s">
        <v>669</v>
      </c>
      <c r="K70" s="2936"/>
      <c r="L70" s="2109" t="s">
        <v>669</v>
      </c>
      <c r="M70" s="2936"/>
      <c r="N70" s="2109" t="s">
        <v>669</v>
      </c>
      <c r="O70" s="2936"/>
      <c r="P70" s="2109" t="s">
        <v>669</v>
      </c>
      <c r="Q70" s="2936"/>
      <c r="R70" s="2038" t="s">
        <v>669</v>
      </c>
      <c r="S70" s="2936"/>
      <c r="T70" s="2038" t="s">
        <v>669</v>
      </c>
      <c r="U70" s="2936"/>
      <c r="V70" s="2038" t="s">
        <v>669</v>
      </c>
      <c r="W70" s="2936"/>
      <c r="X70" s="2038" t="s">
        <v>669</v>
      </c>
      <c r="Y70" s="2936"/>
      <c r="Z70" s="2038"/>
      <c r="AA70" s="2936"/>
      <c r="AB70" s="2038"/>
      <c r="AC70" s="2936"/>
      <c r="AD70" s="2038"/>
      <c r="AE70" s="2936"/>
      <c r="AF70" s="2109"/>
      <c r="AG70" s="2936"/>
      <c r="AH70" s="2109"/>
      <c r="AI70" s="2936"/>
      <c r="AJ70" s="2038"/>
      <c r="AK70" s="2936"/>
      <c r="AL70" s="2038"/>
      <c r="AM70" s="2936"/>
    </row>
    <row r="71" spans="1:39" x14ac:dyDescent="0.35">
      <c r="A71" s="2934"/>
      <c r="B71" s="3047" t="s">
        <v>3514</v>
      </c>
      <c r="C71" s="3044"/>
      <c r="D71" s="3032"/>
      <c r="E71" s="3032"/>
      <c r="F71" s="3032"/>
      <c r="G71" s="2198"/>
      <c r="H71" s="2109" t="s">
        <v>669</v>
      </c>
      <c r="I71" s="2936"/>
      <c r="J71" s="2109" t="s">
        <v>669</v>
      </c>
      <c r="K71" s="2936"/>
      <c r="L71" s="2109" t="s">
        <v>669</v>
      </c>
      <c r="M71" s="2936"/>
      <c r="N71" s="2109" t="s">
        <v>669</v>
      </c>
      <c r="O71" s="2936"/>
      <c r="P71" s="2109" t="s">
        <v>669</v>
      </c>
      <c r="Q71" s="2936"/>
      <c r="R71" s="2109" t="s">
        <v>669</v>
      </c>
      <c r="S71" s="2936"/>
      <c r="T71" s="2109" t="s">
        <v>669</v>
      </c>
      <c r="U71" s="2936"/>
      <c r="V71" s="2109" t="s">
        <v>669</v>
      </c>
      <c r="W71" s="2936"/>
      <c r="X71" s="2109" t="s">
        <v>669</v>
      </c>
      <c r="Y71" s="2936"/>
      <c r="Z71" s="2109"/>
      <c r="AA71" s="2936"/>
      <c r="AB71" s="2109"/>
      <c r="AC71" s="2936"/>
      <c r="AD71" s="2109"/>
      <c r="AE71" s="2936"/>
      <c r="AF71" s="2109"/>
      <c r="AG71" s="2936"/>
      <c r="AH71" s="2109"/>
      <c r="AI71" s="2936"/>
      <c r="AJ71" s="2109"/>
      <c r="AK71" s="2936"/>
      <c r="AL71" s="2109"/>
      <c r="AM71" s="2936"/>
    </row>
    <row r="72" spans="1:39" x14ac:dyDescent="0.35">
      <c r="A72" s="2934"/>
      <c r="B72" s="3044" t="s">
        <v>3515</v>
      </c>
      <c r="C72" s="3044"/>
      <c r="D72" s="3032"/>
      <c r="E72" s="3032"/>
      <c r="F72" s="3032"/>
      <c r="G72" s="2198"/>
      <c r="H72" s="2109" t="s">
        <v>669</v>
      </c>
      <c r="I72" s="2936"/>
      <c r="J72" s="2109" t="s">
        <v>669</v>
      </c>
      <c r="K72" s="2936"/>
      <c r="L72" s="2109" t="s">
        <v>669</v>
      </c>
      <c r="M72" s="2936"/>
      <c r="N72" s="2109" t="s">
        <v>669</v>
      </c>
      <c r="O72" s="2936"/>
      <c r="P72" s="2109" t="s">
        <v>669</v>
      </c>
      <c r="Q72" s="2936"/>
      <c r="R72" s="2109" t="s">
        <v>669</v>
      </c>
      <c r="S72" s="2936"/>
      <c r="T72" s="2109" t="s">
        <v>669</v>
      </c>
      <c r="U72" s="2936"/>
      <c r="V72" s="2109" t="s">
        <v>669</v>
      </c>
      <c r="W72" s="2936"/>
      <c r="X72" s="2038" t="s">
        <v>669</v>
      </c>
      <c r="Y72" s="2936"/>
      <c r="Z72" s="2038"/>
      <c r="AA72" s="2936"/>
      <c r="AB72" s="2038"/>
      <c r="AC72" s="2936"/>
      <c r="AD72" s="2038"/>
      <c r="AE72" s="2936"/>
      <c r="AF72" s="2109"/>
      <c r="AG72" s="2936"/>
      <c r="AH72" s="2109"/>
      <c r="AI72" s="2936"/>
      <c r="AJ72" s="2109"/>
      <c r="AK72" s="2936"/>
      <c r="AL72" s="2109"/>
      <c r="AM72" s="2936"/>
    </row>
    <row r="73" spans="1:39" x14ac:dyDescent="0.35">
      <c r="A73" s="2934"/>
      <c r="B73" s="3044" t="s">
        <v>3516</v>
      </c>
      <c r="C73" s="3044"/>
      <c r="D73" s="3032"/>
      <c r="E73" s="3032"/>
      <c r="F73" s="3032"/>
      <c r="G73" s="2198"/>
      <c r="H73" s="2109" t="s">
        <v>669</v>
      </c>
      <c r="I73" s="2936"/>
      <c r="J73" s="2109" t="s">
        <v>669</v>
      </c>
      <c r="K73" s="2936"/>
      <c r="L73" s="2109" t="s">
        <v>669</v>
      </c>
      <c r="M73" s="2936"/>
      <c r="N73" s="2109" t="s">
        <v>669</v>
      </c>
      <c r="O73" s="2936"/>
      <c r="P73" s="2109" t="s">
        <v>669</v>
      </c>
      <c r="Q73" s="2936"/>
      <c r="R73" s="2109" t="s">
        <v>669</v>
      </c>
      <c r="S73" s="2936"/>
      <c r="T73" s="2109" t="s">
        <v>669</v>
      </c>
      <c r="U73" s="2936"/>
      <c r="V73" s="2109" t="s">
        <v>669</v>
      </c>
      <c r="W73" s="2936"/>
      <c r="X73" s="2109" t="s">
        <v>669</v>
      </c>
      <c r="Y73" s="2936"/>
      <c r="Z73" s="2109" t="s">
        <v>669</v>
      </c>
      <c r="AA73" s="2936"/>
      <c r="AB73" s="2109" t="s">
        <v>669</v>
      </c>
      <c r="AC73" s="2936"/>
      <c r="AD73" s="2109" t="s">
        <v>669</v>
      </c>
      <c r="AE73" s="2936"/>
      <c r="AF73" s="2109"/>
      <c r="AG73" s="2936"/>
      <c r="AH73" s="2109"/>
      <c r="AI73" s="2936"/>
      <c r="AJ73" s="2109" t="s">
        <v>669</v>
      </c>
      <c r="AK73" s="2936"/>
      <c r="AL73" s="2109" t="s">
        <v>669</v>
      </c>
      <c r="AM73" s="2936"/>
    </row>
    <row r="74" spans="1:39" x14ac:dyDescent="0.35">
      <c r="A74" s="2934"/>
      <c r="B74" s="3044" t="s">
        <v>3517</v>
      </c>
      <c r="C74" s="3044"/>
      <c r="D74" s="3032"/>
      <c r="E74" s="3032"/>
      <c r="F74" s="3032"/>
      <c r="G74" s="2198"/>
      <c r="H74" s="2109" t="s">
        <v>669</v>
      </c>
      <c r="I74" s="2936"/>
      <c r="J74" s="2109" t="s">
        <v>669</v>
      </c>
      <c r="K74" s="2936"/>
      <c r="L74" s="2109" t="s">
        <v>669</v>
      </c>
      <c r="M74" s="2936"/>
      <c r="N74" s="2109" t="s">
        <v>669</v>
      </c>
      <c r="O74" s="2936"/>
      <c r="P74" s="2109" t="s">
        <v>669</v>
      </c>
      <c r="Q74" s="2936"/>
      <c r="R74" s="2109" t="s">
        <v>669</v>
      </c>
      <c r="S74" s="2936"/>
      <c r="T74" s="2109" t="s">
        <v>669</v>
      </c>
      <c r="U74" s="2936"/>
      <c r="V74" s="2109" t="s">
        <v>669</v>
      </c>
      <c r="W74" s="2936"/>
      <c r="X74" s="2109" t="s">
        <v>669</v>
      </c>
      <c r="Y74" s="2936"/>
      <c r="Z74" s="2109" t="s">
        <v>669</v>
      </c>
      <c r="AA74" s="2936"/>
      <c r="AB74" s="2109" t="s">
        <v>669</v>
      </c>
      <c r="AC74" s="2936"/>
      <c r="AD74" s="2109" t="s">
        <v>669</v>
      </c>
      <c r="AE74" s="2936"/>
      <c r="AF74" s="2109"/>
      <c r="AG74" s="2936"/>
      <c r="AH74" s="2109"/>
      <c r="AI74" s="2936"/>
      <c r="AJ74" s="2109" t="s">
        <v>669</v>
      </c>
      <c r="AK74" s="2936"/>
      <c r="AL74" s="2109" t="s">
        <v>669</v>
      </c>
      <c r="AM74" s="2936"/>
    </row>
    <row r="75" spans="1:39" x14ac:dyDescent="0.35">
      <c r="A75" s="2934"/>
      <c r="B75" s="3044" t="s">
        <v>3518</v>
      </c>
      <c r="C75" s="3044"/>
      <c r="D75" s="3032"/>
      <c r="E75" s="3032"/>
      <c r="F75" s="3032"/>
      <c r="G75" s="2198"/>
      <c r="H75" s="2109" t="s">
        <v>669</v>
      </c>
      <c r="I75" s="2936"/>
      <c r="J75" s="2109" t="s">
        <v>669</v>
      </c>
      <c r="K75" s="2936"/>
      <c r="L75" s="2109" t="s">
        <v>669</v>
      </c>
      <c r="M75" s="2936"/>
      <c r="N75" s="2109" t="s">
        <v>669</v>
      </c>
      <c r="O75" s="2936"/>
      <c r="P75" s="2109" t="s">
        <v>669</v>
      </c>
      <c r="Q75" s="2936"/>
      <c r="R75" s="2109" t="s">
        <v>669</v>
      </c>
      <c r="S75" s="2936"/>
      <c r="T75" s="2109" t="s">
        <v>669</v>
      </c>
      <c r="U75" s="2936"/>
      <c r="V75" s="2109" t="s">
        <v>669</v>
      </c>
      <c r="W75" s="2936"/>
      <c r="X75" s="2109" t="s">
        <v>669</v>
      </c>
      <c r="Y75" s="2936"/>
      <c r="Z75" s="2109" t="s">
        <v>669</v>
      </c>
      <c r="AA75" s="2936"/>
      <c r="AB75" s="2109" t="s">
        <v>669</v>
      </c>
      <c r="AC75" s="2936"/>
      <c r="AD75" s="2109" t="s">
        <v>669</v>
      </c>
      <c r="AE75" s="2936"/>
      <c r="AF75" s="2109"/>
      <c r="AG75" s="2936"/>
      <c r="AH75" s="2109"/>
      <c r="AI75" s="2936"/>
      <c r="AJ75" s="2109" t="s">
        <v>669</v>
      </c>
      <c r="AK75" s="2936"/>
      <c r="AL75" s="2109" t="s">
        <v>669</v>
      </c>
      <c r="AM75" s="2936"/>
    </row>
    <row r="76" spans="1:39" x14ac:dyDescent="0.35">
      <c r="A76" s="2934"/>
      <c r="B76" s="3044" t="s">
        <v>3194</v>
      </c>
      <c r="C76" s="3044"/>
      <c r="D76" s="3032"/>
      <c r="E76" s="3032"/>
      <c r="F76" s="3032"/>
      <c r="G76" s="2198"/>
      <c r="H76" s="2109" t="s">
        <v>669</v>
      </c>
      <c r="I76" s="2936"/>
      <c r="J76" s="2109" t="s">
        <v>669</v>
      </c>
      <c r="K76" s="2936"/>
      <c r="L76" s="2109" t="s">
        <v>669</v>
      </c>
      <c r="M76" s="2936"/>
      <c r="N76" s="2109" t="s">
        <v>669</v>
      </c>
      <c r="O76" s="2936"/>
      <c r="P76" s="2109" t="s">
        <v>669</v>
      </c>
      <c r="Q76" s="2936"/>
      <c r="R76" s="2109" t="s">
        <v>669</v>
      </c>
      <c r="S76" s="2936"/>
      <c r="T76" s="2109" t="s">
        <v>669</v>
      </c>
      <c r="U76" s="2936"/>
      <c r="V76" s="2109" t="s">
        <v>669</v>
      </c>
      <c r="W76" s="2936"/>
      <c r="X76" s="2038" t="s">
        <v>669</v>
      </c>
      <c r="Y76" s="2936"/>
      <c r="Z76" s="2038"/>
      <c r="AA76" s="2936"/>
      <c r="AB76" s="2038"/>
      <c r="AC76" s="2936"/>
      <c r="AD76" s="2038"/>
      <c r="AE76" s="2936"/>
      <c r="AF76" s="2109"/>
      <c r="AG76" s="2936"/>
      <c r="AH76" s="2109"/>
      <c r="AI76" s="2936"/>
      <c r="AJ76" s="2109" t="s">
        <v>669</v>
      </c>
      <c r="AK76" s="2936"/>
      <c r="AL76" s="2109" t="s">
        <v>669</v>
      </c>
      <c r="AM76" s="2936"/>
    </row>
    <row r="77" spans="1:39" x14ac:dyDescent="0.35">
      <c r="A77" s="2934"/>
      <c r="B77" s="3044" t="s">
        <v>3421</v>
      </c>
      <c r="C77" s="3044"/>
      <c r="D77" s="3032"/>
      <c r="E77" s="3032"/>
      <c r="F77" s="3032"/>
      <c r="G77" s="2198"/>
      <c r="H77" s="2109" t="s">
        <v>669</v>
      </c>
      <c r="I77" s="2936"/>
      <c r="J77" s="2109" t="s">
        <v>669</v>
      </c>
      <c r="K77" s="2936"/>
      <c r="L77" s="2109" t="s">
        <v>669</v>
      </c>
      <c r="M77" s="2936"/>
      <c r="N77" s="2109" t="s">
        <v>669</v>
      </c>
      <c r="O77" s="2936"/>
      <c r="P77" s="2109" t="s">
        <v>669</v>
      </c>
      <c r="Q77" s="2936"/>
      <c r="R77" s="2109" t="s">
        <v>669</v>
      </c>
      <c r="S77" s="2936"/>
      <c r="T77" s="2109" t="s">
        <v>669</v>
      </c>
      <c r="U77" s="2936"/>
      <c r="V77" s="2109" t="s">
        <v>669</v>
      </c>
      <c r="W77" s="2936"/>
      <c r="X77" s="2109" t="s">
        <v>669</v>
      </c>
      <c r="Y77" s="2936"/>
      <c r="Z77" s="2109" t="s">
        <v>669</v>
      </c>
      <c r="AA77" s="2936"/>
      <c r="AB77" s="2109" t="s">
        <v>669</v>
      </c>
      <c r="AC77" s="2936"/>
      <c r="AD77" s="2109" t="s">
        <v>669</v>
      </c>
      <c r="AE77" s="2936"/>
      <c r="AF77" s="2109"/>
      <c r="AG77" s="2936"/>
      <c r="AH77" s="2109"/>
      <c r="AI77" s="2936"/>
      <c r="AJ77" s="2109" t="s">
        <v>669</v>
      </c>
      <c r="AK77" s="2936"/>
      <c r="AL77" s="2109" t="s">
        <v>669</v>
      </c>
      <c r="AM77" s="2936"/>
    </row>
    <row r="78" spans="1:39" x14ac:dyDescent="0.35">
      <c r="A78" s="2934"/>
      <c r="B78" s="3044" t="s">
        <v>3519</v>
      </c>
      <c r="C78" s="3044"/>
      <c r="D78" s="3032"/>
      <c r="E78" s="3032"/>
      <c r="F78" s="3032"/>
      <c r="G78" s="2198"/>
      <c r="H78" s="2109"/>
      <c r="I78" s="2936"/>
      <c r="J78" s="2109" t="s">
        <v>669</v>
      </c>
      <c r="K78" s="2936"/>
      <c r="L78" s="2109" t="s">
        <v>669</v>
      </c>
      <c r="M78" s="2936"/>
      <c r="N78" s="2038"/>
      <c r="O78" s="2936"/>
      <c r="P78" s="2038"/>
      <c r="Q78" s="2936"/>
      <c r="R78" s="2038"/>
      <c r="S78" s="2936"/>
      <c r="T78" s="2038"/>
      <c r="U78" s="2936"/>
      <c r="V78" s="2038"/>
      <c r="W78" s="2936"/>
      <c r="X78" s="2109"/>
      <c r="Y78" s="2936"/>
      <c r="Z78" s="2109"/>
      <c r="AA78" s="2936"/>
      <c r="AB78" s="2109"/>
      <c r="AC78" s="2936"/>
      <c r="AD78" s="2109"/>
      <c r="AE78" s="2936"/>
      <c r="AF78" s="2109"/>
      <c r="AG78" s="2936"/>
      <c r="AH78" s="2109"/>
      <c r="AI78" s="2936"/>
      <c r="AJ78" s="2109"/>
      <c r="AK78" s="2936"/>
      <c r="AL78" s="2109"/>
      <c r="AM78" s="2936"/>
    </row>
    <row r="79" spans="1:39" x14ac:dyDescent="0.35">
      <c r="A79" s="2934"/>
      <c r="B79" s="3047" t="s">
        <v>3520</v>
      </c>
      <c r="C79" s="3044"/>
      <c r="D79" s="3032"/>
      <c r="E79" s="3032"/>
      <c r="F79" s="3032"/>
      <c r="G79" s="2198"/>
      <c r="H79" s="2109" t="s">
        <v>671</v>
      </c>
      <c r="I79" s="2936"/>
      <c r="J79" s="2109" t="s">
        <v>671</v>
      </c>
      <c r="K79" s="2936"/>
      <c r="L79" s="2109" t="s">
        <v>671</v>
      </c>
      <c r="M79" s="2936"/>
      <c r="N79" s="2109" t="s">
        <v>671</v>
      </c>
      <c r="O79" s="2936"/>
      <c r="P79" s="2109" t="s">
        <v>671</v>
      </c>
      <c r="Q79" s="2936"/>
      <c r="R79" s="2109" t="s">
        <v>671</v>
      </c>
      <c r="S79" s="2936"/>
      <c r="T79" s="2109" t="s">
        <v>671</v>
      </c>
      <c r="U79" s="2936"/>
      <c r="V79" s="2109" t="s">
        <v>671</v>
      </c>
      <c r="W79" s="2936"/>
      <c r="X79" s="2109" t="s">
        <v>671</v>
      </c>
      <c r="Y79" s="2936"/>
      <c r="Z79" s="2109" t="s">
        <v>671</v>
      </c>
      <c r="AA79" s="2936"/>
      <c r="AB79" s="2109" t="s">
        <v>671</v>
      </c>
      <c r="AC79" s="2936"/>
      <c r="AD79" s="2109" t="s">
        <v>671</v>
      </c>
      <c r="AE79" s="2936"/>
      <c r="AF79" s="2109"/>
      <c r="AG79" s="2936"/>
      <c r="AH79" s="2109"/>
      <c r="AI79" s="2936"/>
      <c r="AJ79" s="2109" t="s">
        <v>671</v>
      </c>
      <c r="AK79" s="2936"/>
      <c r="AL79" s="2109" t="s">
        <v>671</v>
      </c>
      <c r="AM79" s="2936"/>
    </row>
    <row r="80" spans="1:39" x14ac:dyDescent="0.35">
      <c r="A80" s="2934"/>
      <c r="B80" s="3047" t="s">
        <v>3521</v>
      </c>
      <c r="C80" s="3044"/>
      <c r="D80" s="3032"/>
      <c r="E80" s="3032"/>
      <c r="F80" s="3032"/>
      <c r="G80" s="2198"/>
      <c r="H80" s="2109"/>
      <c r="I80" s="2936"/>
      <c r="J80" s="2109"/>
      <c r="K80" s="2936"/>
      <c r="L80" s="2109"/>
      <c r="M80" s="2936"/>
      <c r="N80" s="2109"/>
      <c r="O80" s="2936"/>
      <c r="P80" s="2109"/>
      <c r="Q80" s="2936"/>
      <c r="R80" s="2109"/>
      <c r="S80" s="2936"/>
      <c r="T80" s="2109"/>
      <c r="U80" s="2936"/>
      <c r="V80" s="2109"/>
      <c r="W80" s="2936"/>
      <c r="X80" s="2109"/>
      <c r="Y80" s="2936"/>
      <c r="Z80" s="2109"/>
      <c r="AA80" s="2936"/>
      <c r="AB80" s="2109"/>
      <c r="AC80" s="2936"/>
      <c r="AD80" s="2109"/>
      <c r="AE80" s="2936"/>
      <c r="AF80" s="2109"/>
      <c r="AG80" s="2936">
        <v>661340</v>
      </c>
      <c r="AH80" s="2109"/>
      <c r="AI80" s="2936"/>
      <c r="AJ80" s="2109"/>
      <c r="AK80" s="2936"/>
      <c r="AL80" s="2109"/>
      <c r="AM80" s="2936"/>
    </row>
    <row r="81" spans="1:39" x14ac:dyDescent="0.35">
      <c r="A81" s="2934"/>
      <c r="B81" s="3044" t="s">
        <v>3522</v>
      </c>
      <c r="C81" s="3044"/>
      <c r="D81" s="3032"/>
      <c r="E81" s="3032"/>
      <c r="F81" s="3032"/>
      <c r="G81" s="2198"/>
      <c r="H81" s="2109" t="s">
        <v>669</v>
      </c>
      <c r="I81" s="2936"/>
      <c r="J81" s="2109" t="s">
        <v>669</v>
      </c>
      <c r="K81" s="2936"/>
      <c r="L81" s="2109" t="s">
        <v>669</v>
      </c>
      <c r="M81" s="2936"/>
      <c r="N81" s="2109" t="s">
        <v>669</v>
      </c>
      <c r="O81" s="2936"/>
      <c r="P81" s="2109" t="s">
        <v>669</v>
      </c>
      <c r="Q81" s="2936"/>
      <c r="R81" s="2109" t="s">
        <v>669</v>
      </c>
      <c r="S81" s="2936"/>
      <c r="T81" s="2109" t="s">
        <v>669</v>
      </c>
      <c r="U81" s="2936"/>
      <c r="V81" s="2109" t="s">
        <v>669</v>
      </c>
      <c r="W81" s="2936"/>
      <c r="X81" s="2038" t="s">
        <v>669</v>
      </c>
      <c r="Y81" s="2936"/>
      <c r="Z81" s="2038"/>
      <c r="AA81" s="2936"/>
      <c r="AB81" s="2038" t="s">
        <v>669</v>
      </c>
      <c r="AC81" s="2936"/>
      <c r="AD81" s="2038" t="s">
        <v>669</v>
      </c>
      <c r="AE81" s="2936"/>
      <c r="AF81" s="2109" t="s">
        <v>669</v>
      </c>
      <c r="AG81" s="2936"/>
      <c r="AH81" s="2109"/>
      <c r="AI81" s="2936"/>
      <c r="AJ81" s="2109" t="s">
        <v>669</v>
      </c>
      <c r="AK81" s="2936">
        <v>177000</v>
      </c>
      <c r="AL81" s="2109" t="s">
        <v>669</v>
      </c>
      <c r="AM81" s="2936"/>
    </row>
    <row r="82" spans="1:39" x14ac:dyDescent="0.35">
      <c r="A82" s="2934"/>
      <c r="B82" s="3044" t="s">
        <v>3523</v>
      </c>
      <c r="C82" s="3044"/>
      <c r="D82" s="3032"/>
      <c r="E82" s="3032"/>
      <c r="F82" s="3032"/>
      <c r="G82" s="2198"/>
      <c r="H82" s="2109" t="s">
        <v>669</v>
      </c>
      <c r="I82" s="2936"/>
      <c r="J82" s="2109" t="s">
        <v>669</v>
      </c>
      <c r="K82" s="2936"/>
      <c r="L82" s="2109" t="s">
        <v>669</v>
      </c>
      <c r="M82" s="2936"/>
      <c r="N82" s="2109" t="s">
        <v>669</v>
      </c>
      <c r="O82" s="2936"/>
      <c r="P82" s="2109" t="s">
        <v>669</v>
      </c>
      <c r="Q82" s="2936"/>
      <c r="R82" s="2109" t="s">
        <v>669</v>
      </c>
      <c r="S82" s="2936"/>
      <c r="T82" s="2109" t="s">
        <v>669</v>
      </c>
      <c r="U82" s="2936"/>
      <c r="V82" s="2109" t="s">
        <v>669</v>
      </c>
      <c r="W82" s="2936"/>
      <c r="X82" s="2109" t="s">
        <v>669</v>
      </c>
      <c r="Y82" s="2936"/>
      <c r="Z82" s="2109" t="s">
        <v>669</v>
      </c>
      <c r="AA82" s="2936"/>
      <c r="AB82" s="2109" t="s">
        <v>669</v>
      </c>
      <c r="AC82" s="2936"/>
      <c r="AD82" s="2109" t="s">
        <v>669</v>
      </c>
      <c r="AE82" s="2936"/>
      <c r="AF82" s="2109" t="s">
        <v>669</v>
      </c>
      <c r="AG82" s="2936"/>
      <c r="AH82" s="2109"/>
      <c r="AI82" s="2936"/>
      <c r="AJ82" s="2109" t="s">
        <v>669</v>
      </c>
      <c r="AK82" s="2936">
        <v>24700</v>
      </c>
      <c r="AL82" s="2109" t="s">
        <v>669</v>
      </c>
      <c r="AM82" s="2936"/>
    </row>
    <row r="83" spans="1:39" x14ac:dyDescent="0.35">
      <c r="A83" s="2934"/>
      <c r="B83" s="3044" t="s">
        <v>3524</v>
      </c>
      <c r="C83" s="3044"/>
      <c r="D83" s="3032"/>
      <c r="E83" s="3032"/>
      <c r="F83" s="3032"/>
      <c r="G83" s="2198"/>
      <c r="H83" s="2109" t="s">
        <v>669</v>
      </c>
      <c r="I83" s="2936"/>
      <c r="J83" s="2109" t="s">
        <v>669</v>
      </c>
      <c r="K83" s="2936"/>
      <c r="L83" s="2109" t="s">
        <v>669</v>
      </c>
      <c r="M83" s="2936"/>
      <c r="N83" s="2109" t="s">
        <v>669</v>
      </c>
      <c r="O83" s="2936"/>
      <c r="P83" s="2109" t="s">
        <v>669</v>
      </c>
      <c r="Q83" s="2936"/>
      <c r="R83" s="2109" t="s">
        <v>669</v>
      </c>
      <c r="S83" s="2936"/>
      <c r="T83" s="2109" t="s">
        <v>669</v>
      </c>
      <c r="U83" s="2936"/>
      <c r="V83" s="2109" t="s">
        <v>669</v>
      </c>
      <c r="W83" s="2936"/>
      <c r="X83" s="2109" t="s">
        <v>669</v>
      </c>
      <c r="Y83" s="2936"/>
      <c r="Z83" s="2109" t="s">
        <v>669</v>
      </c>
      <c r="AA83" s="2936"/>
      <c r="AB83" s="2109" t="s">
        <v>669</v>
      </c>
      <c r="AC83" s="2936"/>
      <c r="AD83" s="2109" t="s">
        <v>669</v>
      </c>
      <c r="AE83" s="2936"/>
      <c r="AF83" s="2109" t="s">
        <v>669</v>
      </c>
      <c r="AG83" s="2936"/>
      <c r="AH83" s="2109"/>
      <c r="AI83" s="2936"/>
      <c r="AJ83" s="2109" t="s">
        <v>669</v>
      </c>
      <c r="AK83" s="2936">
        <v>11900</v>
      </c>
      <c r="AL83" s="2109" t="s">
        <v>669</v>
      </c>
      <c r="AM83" s="2936"/>
    </row>
    <row r="84" spans="1:39" x14ac:dyDescent="0.35">
      <c r="A84" s="2934"/>
      <c r="B84" s="3044" t="s">
        <v>3525</v>
      </c>
      <c r="C84" s="3044"/>
      <c r="D84" s="3032"/>
      <c r="E84" s="3032"/>
      <c r="F84" s="3032"/>
      <c r="G84" s="2198"/>
      <c r="H84" s="2109" t="s">
        <v>669</v>
      </c>
      <c r="I84" s="2936"/>
      <c r="J84" s="2109" t="s">
        <v>669</v>
      </c>
      <c r="K84" s="2936"/>
      <c r="L84" s="2109" t="s">
        <v>669</v>
      </c>
      <c r="M84" s="2936"/>
      <c r="N84" s="2109" t="s">
        <v>669</v>
      </c>
      <c r="O84" s="2936"/>
      <c r="P84" s="2109" t="s">
        <v>669</v>
      </c>
      <c r="Q84" s="2936"/>
      <c r="R84" s="2109" t="s">
        <v>669</v>
      </c>
      <c r="S84" s="2936"/>
      <c r="T84" s="2109" t="s">
        <v>669</v>
      </c>
      <c r="U84" s="2936"/>
      <c r="V84" s="2109" t="s">
        <v>669</v>
      </c>
      <c r="W84" s="2936"/>
      <c r="X84" s="2109" t="s">
        <v>669</v>
      </c>
      <c r="Y84" s="2936"/>
      <c r="Z84" s="2109" t="s">
        <v>669</v>
      </c>
      <c r="AA84" s="2936"/>
      <c r="AB84" s="2109" t="s">
        <v>669</v>
      </c>
      <c r="AC84" s="2936"/>
      <c r="AD84" s="2109" t="s">
        <v>669</v>
      </c>
      <c r="AE84" s="2936"/>
      <c r="AF84" s="2109" t="s">
        <v>669</v>
      </c>
      <c r="AG84" s="2936"/>
      <c r="AH84" s="2109"/>
      <c r="AI84" s="2936"/>
      <c r="AJ84" s="2109" t="s">
        <v>669</v>
      </c>
      <c r="AK84" s="2936">
        <v>6400</v>
      </c>
      <c r="AL84" s="2109" t="s">
        <v>669</v>
      </c>
      <c r="AM84" s="2936"/>
    </row>
    <row r="85" spans="1:39" x14ac:dyDescent="0.35">
      <c r="A85" s="2934"/>
      <c r="B85" s="3044" t="s">
        <v>3526</v>
      </c>
      <c r="C85" s="3044"/>
      <c r="D85" s="3032"/>
      <c r="E85" s="3032"/>
      <c r="F85" s="3032"/>
      <c r="G85" s="2198"/>
      <c r="H85" s="2109" t="s">
        <v>669</v>
      </c>
      <c r="I85" s="2936"/>
      <c r="J85" s="2109" t="s">
        <v>669</v>
      </c>
      <c r="K85" s="2936"/>
      <c r="L85" s="2109" t="s">
        <v>669</v>
      </c>
      <c r="M85" s="2936"/>
      <c r="N85" s="2109" t="s">
        <v>669</v>
      </c>
      <c r="O85" s="2936"/>
      <c r="P85" s="2109" t="s">
        <v>669</v>
      </c>
      <c r="Q85" s="2936"/>
      <c r="R85" s="2109" t="s">
        <v>669</v>
      </c>
      <c r="S85" s="2936"/>
      <c r="T85" s="2109" t="s">
        <v>669</v>
      </c>
      <c r="U85" s="2936"/>
      <c r="V85" s="2109" t="s">
        <v>669</v>
      </c>
      <c r="W85" s="2936"/>
      <c r="X85" s="2109"/>
      <c r="Y85" s="2936"/>
      <c r="Z85" s="2109"/>
      <c r="AA85" s="2936"/>
      <c r="AB85" s="2109"/>
      <c r="AC85" s="2936"/>
      <c r="AD85" s="2109"/>
      <c r="AE85" s="2936"/>
      <c r="AF85" s="2109" t="s">
        <v>669</v>
      </c>
      <c r="AG85" s="2936"/>
      <c r="AH85" s="2109"/>
      <c r="AI85" s="2936"/>
      <c r="AJ85" s="2109" t="s">
        <v>669</v>
      </c>
      <c r="AK85" s="2936">
        <v>27900</v>
      </c>
      <c r="AL85" s="2109" t="s">
        <v>669</v>
      </c>
      <c r="AM85" s="2936"/>
    </row>
    <row r="86" spans="1:39" x14ac:dyDescent="0.35">
      <c r="A86" s="2934"/>
      <c r="B86" s="3044" t="s">
        <v>3527</v>
      </c>
      <c r="C86" s="3044"/>
      <c r="D86" s="3032"/>
      <c r="E86" s="3032"/>
      <c r="F86" s="3032"/>
      <c r="G86" s="2198"/>
      <c r="H86" s="2038" t="s">
        <v>669</v>
      </c>
      <c r="I86" s="2936">
        <v>86544</v>
      </c>
      <c r="J86" s="2038" t="s">
        <v>669</v>
      </c>
      <c r="K86" s="2936"/>
      <c r="L86" s="2038" t="s">
        <v>669</v>
      </c>
      <c r="M86" s="2936"/>
      <c r="N86" s="2038" t="s">
        <v>669</v>
      </c>
      <c r="O86" s="2936"/>
      <c r="P86" s="2038" t="s">
        <v>669</v>
      </c>
      <c r="Q86" s="2936">
        <v>252500</v>
      </c>
      <c r="R86" s="2038" t="s">
        <v>669</v>
      </c>
      <c r="S86" s="2936">
        <v>85000</v>
      </c>
      <c r="T86" s="2038" t="s">
        <v>669</v>
      </c>
      <c r="U86" s="2936">
        <v>125000</v>
      </c>
      <c r="V86" s="2038" t="s">
        <v>669</v>
      </c>
      <c r="W86" s="2936">
        <v>125000</v>
      </c>
      <c r="X86" s="2038" t="s">
        <v>654</v>
      </c>
      <c r="Y86" s="2936">
        <f>I86</f>
        <v>86544</v>
      </c>
      <c r="Z86" s="2038"/>
      <c r="AA86" s="2936"/>
      <c r="AB86" s="2038"/>
      <c r="AC86" s="2936"/>
      <c r="AD86" s="2038"/>
      <c r="AE86" s="2936"/>
      <c r="AF86" s="2109" t="s">
        <v>669</v>
      </c>
      <c r="AG86" s="2936"/>
      <c r="AH86" s="2109"/>
      <c r="AI86" s="2936"/>
      <c r="AJ86" s="2038" t="s">
        <v>669</v>
      </c>
      <c r="AK86" s="2936">
        <v>105800</v>
      </c>
      <c r="AL86" s="2038" t="s">
        <v>669</v>
      </c>
      <c r="AM86" s="2936"/>
    </row>
    <row r="87" spans="1:39" x14ac:dyDescent="0.35">
      <c r="A87" s="2934"/>
      <c r="B87" s="3044" t="s">
        <v>3528</v>
      </c>
      <c r="C87" s="3044"/>
      <c r="D87" s="3032"/>
      <c r="E87" s="3032"/>
      <c r="F87" s="3032"/>
      <c r="G87" s="2198"/>
      <c r="H87" s="2109"/>
      <c r="I87" s="2936"/>
      <c r="J87" s="2109"/>
      <c r="K87" s="2936"/>
      <c r="L87" s="2109"/>
      <c r="M87" s="2936"/>
      <c r="N87" s="2088"/>
      <c r="O87" s="3046"/>
      <c r="P87" s="2088"/>
      <c r="Q87" s="3046"/>
      <c r="R87" s="2088"/>
      <c r="S87" s="3046"/>
      <c r="T87" s="2088"/>
      <c r="U87" s="3046"/>
      <c r="V87" s="2088"/>
      <c r="W87" s="3046"/>
      <c r="X87" s="2088"/>
      <c r="Y87" s="3046"/>
      <c r="Z87" s="2088"/>
      <c r="AA87" s="3046"/>
      <c r="AB87" s="2088"/>
      <c r="AC87" s="3046"/>
      <c r="AD87" s="2088"/>
      <c r="AE87" s="3046"/>
      <c r="AF87" s="2109" t="s">
        <v>669</v>
      </c>
      <c r="AG87" s="3046"/>
      <c r="AH87" s="2109"/>
      <c r="AI87" s="3046"/>
      <c r="AJ87" s="2088"/>
      <c r="AK87" s="3046"/>
      <c r="AL87" s="2088"/>
      <c r="AM87" s="3046"/>
    </row>
    <row r="88" spans="1:39" x14ac:dyDescent="0.35">
      <c r="A88" s="2934"/>
      <c r="B88" s="3047" t="s">
        <v>3529</v>
      </c>
      <c r="C88" s="3044"/>
      <c r="D88" s="3032"/>
      <c r="E88" s="3032"/>
      <c r="F88" s="3032"/>
      <c r="G88" s="2198"/>
      <c r="H88" s="2109" t="s">
        <v>669</v>
      </c>
      <c r="I88" s="2936"/>
      <c r="J88" s="2109" t="s">
        <v>669</v>
      </c>
      <c r="K88" s="2936"/>
      <c r="L88" s="2109" t="s">
        <v>669</v>
      </c>
      <c r="M88" s="2936"/>
      <c r="N88" s="2109" t="s">
        <v>669</v>
      </c>
      <c r="O88" s="2936">
        <v>257800</v>
      </c>
      <c r="P88" s="2109" t="s">
        <v>669</v>
      </c>
      <c r="Q88" s="2936"/>
      <c r="R88" s="2109" t="s">
        <v>669</v>
      </c>
      <c r="S88" s="2936"/>
      <c r="T88" s="2109" t="s">
        <v>669</v>
      </c>
      <c r="U88" s="2936"/>
      <c r="V88" s="2109" t="s">
        <v>669</v>
      </c>
      <c r="W88" s="2936"/>
      <c r="X88" s="2038" t="s">
        <v>669</v>
      </c>
      <c r="Y88" s="2936"/>
      <c r="Z88" s="2038"/>
      <c r="AA88" s="2936"/>
      <c r="AB88" s="2038" t="s">
        <v>669</v>
      </c>
      <c r="AC88" s="2936"/>
      <c r="AD88" s="2038" t="s">
        <v>669</v>
      </c>
      <c r="AE88" s="2936"/>
      <c r="AF88" s="2109"/>
      <c r="AG88" s="2936"/>
      <c r="AH88" s="2109"/>
      <c r="AI88" s="2936"/>
      <c r="AJ88" s="2109" t="s">
        <v>669</v>
      </c>
      <c r="AK88" s="2936">
        <f>448300</f>
        <v>448300</v>
      </c>
      <c r="AL88" s="2109" t="s">
        <v>669</v>
      </c>
      <c r="AM88" s="2936"/>
    </row>
    <row r="89" spans="1:39" ht="26" x14ac:dyDescent="0.35">
      <c r="A89" s="2934"/>
      <c r="B89" s="343" t="s">
        <v>3530</v>
      </c>
      <c r="C89" s="3044"/>
      <c r="D89" s="3032"/>
      <c r="E89" s="3032"/>
      <c r="F89" s="3032"/>
      <c r="G89" s="2198"/>
      <c r="H89" s="2109" t="s">
        <v>669</v>
      </c>
      <c r="I89" s="2936"/>
      <c r="J89" s="2109" t="s">
        <v>669</v>
      </c>
      <c r="K89" s="2936"/>
      <c r="L89" s="2109" t="s">
        <v>669</v>
      </c>
      <c r="M89" s="2936"/>
      <c r="N89" s="2109" t="s">
        <v>669</v>
      </c>
      <c r="O89" s="3046"/>
      <c r="P89" s="2109" t="s">
        <v>669</v>
      </c>
      <c r="Q89" s="3046"/>
      <c r="R89" s="2109" t="s">
        <v>669</v>
      </c>
      <c r="S89" s="3046"/>
      <c r="T89" s="2109" t="s">
        <v>669</v>
      </c>
      <c r="U89" s="3046"/>
      <c r="V89" s="2109" t="s">
        <v>669</v>
      </c>
      <c r="W89" s="3046"/>
      <c r="X89" s="2038" t="s">
        <v>669</v>
      </c>
      <c r="Y89" s="3046"/>
      <c r="Z89" s="2038"/>
      <c r="AA89" s="3046"/>
      <c r="AB89" s="2038"/>
      <c r="AC89" s="3046"/>
      <c r="AD89" s="2038"/>
      <c r="AE89" s="3046"/>
      <c r="AF89" s="2109"/>
      <c r="AG89" s="3046"/>
      <c r="AH89" s="2109"/>
      <c r="AI89" s="3046"/>
      <c r="AJ89" s="2109"/>
      <c r="AK89" s="3046"/>
      <c r="AL89" s="2109"/>
      <c r="AM89" s="3046"/>
    </row>
    <row r="90" spans="1:39" x14ac:dyDescent="0.35">
      <c r="A90" s="2934"/>
      <c r="B90" s="3044" t="s">
        <v>3531</v>
      </c>
      <c r="C90" s="3044"/>
      <c r="D90" s="3032"/>
      <c r="E90" s="3032"/>
      <c r="F90" s="3032"/>
      <c r="G90" s="2198"/>
      <c r="H90" s="2109" t="s">
        <v>669</v>
      </c>
      <c r="I90" s="2936"/>
      <c r="J90" s="2109" t="s">
        <v>669</v>
      </c>
      <c r="K90" s="2936"/>
      <c r="L90" s="2109" t="s">
        <v>669</v>
      </c>
      <c r="M90" s="2936"/>
      <c r="N90" s="2109" t="s">
        <v>669</v>
      </c>
      <c r="O90" s="2936"/>
      <c r="P90" s="2109" t="s">
        <v>669</v>
      </c>
      <c r="Q90" s="2936"/>
      <c r="R90" s="2109" t="s">
        <v>669</v>
      </c>
      <c r="S90" s="2936"/>
      <c r="T90" s="2109" t="s">
        <v>669</v>
      </c>
      <c r="U90" s="2936"/>
      <c r="V90" s="2109" t="s">
        <v>669</v>
      </c>
      <c r="W90" s="2936"/>
      <c r="X90" s="2038" t="s">
        <v>669</v>
      </c>
      <c r="Y90" s="2936"/>
      <c r="Z90" s="2038"/>
      <c r="AA90" s="2936"/>
      <c r="AB90" s="2038" t="s">
        <v>669</v>
      </c>
      <c r="AC90" s="2936"/>
      <c r="AD90" s="2038" t="s">
        <v>669</v>
      </c>
      <c r="AE90" s="2936"/>
      <c r="AF90" s="2109"/>
      <c r="AG90" s="2936"/>
      <c r="AH90" s="2109"/>
      <c r="AI90" s="2936"/>
      <c r="AJ90" s="2109" t="s">
        <v>669</v>
      </c>
      <c r="AK90" s="2936"/>
      <c r="AL90" s="2109" t="s">
        <v>669</v>
      </c>
      <c r="AM90" s="2936"/>
    </row>
    <row r="91" spans="1:39" x14ac:dyDescent="0.35">
      <c r="A91" s="2934"/>
      <c r="B91" s="3044" t="s">
        <v>3532</v>
      </c>
      <c r="C91" s="3044"/>
      <c r="D91" s="3032"/>
      <c r="E91" s="3032"/>
      <c r="F91" s="3032"/>
      <c r="G91" s="2233"/>
      <c r="H91" s="2109" t="s">
        <v>669</v>
      </c>
      <c r="I91" s="2936"/>
      <c r="J91" s="2109" t="s">
        <v>669</v>
      </c>
      <c r="K91" s="2936"/>
      <c r="L91" s="2109" t="s">
        <v>669</v>
      </c>
      <c r="M91" s="2936"/>
      <c r="N91" s="2109" t="s">
        <v>669</v>
      </c>
      <c r="O91" s="2936"/>
      <c r="P91" s="2109" t="s">
        <v>669</v>
      </c>
      <c r="Q91" s="2936"/>
      <c r="R91" s="2109" t="s">
        <v>669</v>
      </c>
      <c r="S91" s="2936"/>
      <c r="T91" s="2109" t="s">
        <v>669</v>
      </c>
      <c r="U91" s="2936"/>
      <c r="V91" s="2109" t="s">
        <v>669</v>
      </c>
      <c r="W91" s="2936"/>
      <c r="X91" s="2038" t="s">
        <v>669</v>
      </c>
      <c r="Y91" s="2936"/>
      <c r="Z91" s="2038"/>
      <c r="AA91" s="2936"/>
      <c r="AB91" s="2038" t="s">
        <v>669</v>
      </c>
      <c r="AC91" s="2936"/>
      <c r="AD91" s="2038" t="s">
        <v>669</v>
      </c>
      <c r="AE91" s="2936"/>
      <c r="AF91" s="2109"/>
      <c r="AG91" s="2936"/>
      <c r="AH91" s="2109"/>
      <c r="AI91" s="2936"/>
      <c r="AJ91" s="2109" t="s">
        <v>669</v>
      </c>
      <c r="AK91" s="2936"/>
      <c r="AL91" s="2109" t="s">
        <v>669</v>
      </c>
      <c r="AM91" s="2936"/>
    </row>
    <row r="92" spans="1:39" x14ac:dyDescent="0.35">
      <c r="A92" s="2934"/>
      <c r="B92" s="3044" t="s">
        <v>3533</v>
      </c>
      <c r="C92" s="3044"/>
      <c r="D92" s="3032"/>
      <c r="E92" s="3032"/>
      <c r="F92" s="3032"/>
      <c r="G92" s="2198"/>
      <c r="H92" s="2109" t="s">
        <v>669</v>
      </c>
      <c r="I92" s="2936"/>
      <c r="J92" s="2109" t="s">
        <v>669</v>
      </c>
      <c r="K92" s="2936"/>
      <c r="L92" s="2109" t="s">
        <v>669</v>
      </c>
      <c r="M92" s="2936"/>
      <c r="N92" s="2109" t="s">
        <v>669</v>
      </c>
      <c r="O92" s="2936"/>
      <c r="P92" s="2109" t="s">
        <v>669</v>
      </c>
      <c r="Q92" s="2936"/>
      <c r="R92" s="2109" t="s">
        <v>669</v>
      </c>
      <c r="S92" s="2936"/>
      <c r="T92" s="2109" t="s">
        <v>669</v>
      </c>
      <c r="U92" s="2936"/>
      <c r="V92" s="2109" t="s">
        <v>669</v>
      </c>
      <c r="W92" s="2936"/>
      <c r="X92" s="2038" t="s">
        <v>669</v>
      </c>
      <c r="Y92" s="2936"/>
      <c r="Z92" s="2038"/>
      <c r="AA92" s="2936"/>
      <c r="AB92" s="2038" t="s">
        <v>669</v>
      </c>
      <c r="AC92" s="2936"/>
      <c r="AD92" s="2038" t="s">
        <v>669</v>
      </c>
      <c r="AE92" s="2936"/>
      <c r="AF92" s="2109"/>
      <c r="AG92" s="2936"/>
      <c r="AH92" s="2109"/>
      <c r="AI92" s="2936"/>
      <c r="AJ92" s="2109" t="s">
        <v>669</v>
      </c>
      <c r="AK92" s="2936"/>
      <c r="AL92" s="2109" t="s">
        <v>669</v>
      </c>
      <c r="AM92" s="2936"/>
    </row>
    <row r="93" spans="1:39" x14ac:dyDescent="0.35">
      <c r="A93" s="2934"/>
      <c r="B93" s="3044" t="s">
        <v>3534</v>
      </c>
      <c r="C93" s="3044"/>
      <c r="D93" s="3049"/>
      <c r="E93" s="3032"/>
      <c r="F93" s="3050"/>
      <c r="G93" s="2233"/>
      <c r="H93" s="2109" t="s">
        <v>669</v>
      </c>
      <c r="I93" s="2936"/>
      <c r="J93" s="2109" t="s">
        <v>669</v>
      </c>
      <c r="K93" s="2936"/>
      <c r="L93" s="2109" t="s">
        <v>669</v>
      </c>
      <c r="M93" s="2936"/>
      <c r="N93" s="2109" t="s">
        <v>669</v>
      </c>
      <c r="O93" s="2936"/>
      <c r="P93" s="2109" t="s">
        <v>669</v>
      </c>
      <c r="Q93" s="2936"/>
      <c r="R93" s="2109" t="s">
        <v>669</v>
      </c>
      <c r="S93" s="2936"/>
      <c r="T93" s="2109" t="s">
        <v>669</v>
      </c>
      <c r="U93" s="2936"/>
      <c r="V93" s="2109" t="s">
        <v>669</v>
      </c>
      <c r="W93" s="2936"/>
      <c r="X93" s="2038" t="s">
        <v>669</v>
      </c>
      <c r="Y93" s="2936"/>
      <c r="Z93" s="2038"/>
      <c r="AA93" s="2936"/>
      <c r="AB93" s="2038" t="s">
        <v>669</v>
      </c>
      <c r="AC93" s="2936"/>
      <c r="AD93" s="2038" t="s">
        <v>669</v>
      </c>
      <c r="AE93" s="2936"/>
      <c r="AF93" s="2109"/>
      <c r="AG93" s="2936"/>
      <c r="AH93" s="2109"/>
      <c r="AI93" s="2936"/>
      <c r="AJ93" s="2109" t="s">
        <v>669</v>
      </c>
      <c r="AK93" s="2936"/>
      <c r="AL93" s="2109" t="s">
        <v>669</v>
      </c>
      <c r="AM93" s="2936"/>
    </row>
    <row r="94" spans="1:39" x14ac:dyDescent="0.35">
      <c r="A94" s="2934"/>
      <c r="B94" s="3044" t="s">
        <v>3535</v>
      </c>
      <c r="C94" s="3044"/>
      <c r="D94" s="3049"/>
      <c r="E94" s="3032"/>
      <c r="F94" s="3050"/>
      <c r="G94" s="2233"/>
      <c r="H94" s="2109" t="s">
        <v>669</v>
      </c>
      <c r="I94" s="2936"/>
      <c r="J94" s="2109" t="s">
        <v>669</v>
      </c>
      <c r="K94" s="2936"/>
      <c r="L94" s="2109" t="s">
        <v>669</v>
      </c>
      <c r="M94" s="2936"/>
      <c r="N94" s="2109" t="s">
        <v>669</v>
      </c>
      <c r="O94" s="2936"/>
      <c r="P94" s="2109" t="s">
        <v>669</v>
      </c>
      <c r="Q94" s="2936"/>
      <c r="R94" s="2109" t="s">
        <v>669</v>
      </c>
      <c r="S94" s="2936"/>
      <c r="T94" s="2109" t="s">
        <v>669</v>
      </c>
      <c r="U94" s="2936"/>
      <c r="V94" s="2109" t="s">
        <v>669</v>
      </c>
      <c r="W94" s="2936"/>
      <c r="X94" s="2038" t="s">
        <v>669</v>
      </c>
      <c r="Y94" s="2936"/>
      <c r="Z94" s="2038"/>
      <c r="AA94" s="2936"/>
      <c r="AB94" s="2038" t="s">
        <v>669</v>
      </c>
      <c r="AC94" s="2936"/>
      <c r="AD94" s="2038" t="s">
        <v>669</v>
      </c>
      <c r="AE94" s="2936"/>
      <c r="AF94" s="2109"/>
      <c r="AG94" s="2936"/>
      <c r="AH94" s="2109"/>
      <c r="AI94" s="2936"/>
      <c r="AJ94" s="2109" t="s">
        <v>669</v>
      </c>
      <c r="AK94" s="2936"/>
      <c r="AL94" s="2109" t="s">
        <v>669</v>
      </c>
      <c r="AM94" s="2936"/>
    </row>
    <row r="95" spans="1:39" x14ac:dyDescent="0.35">
      <c r="A95" s="2934"/>
      <c r="B95" s="3044" t="s">
        <v>3536</v>
      </c>
      <c r="C95" s="3044"/>
      <c r="D95" s="3049"/>
      <c r="E95" s="3032"/>
      <c r="F95" s="3050"/>
      <c r="G95" s="2233"/>
      <c r="H95" s="2109" t="s">
        <v>669</v>
      </c>
      <c r="I95" s="2936"/>
      <c r="J95" s="2109" t="s">
        <v>669</v>
      </c>
      <c r="K95" s="2936"/>
      <c r="L95" s="2109" t="s">
        <v>669</v>
      </c>
      <c r="M95" s="2936"/>
      <c r="N95" s="2109" t="s">
        <v>669</v>
      </c>
      <c r="O95" s="2936"/>
      <c r="P95" s="2109" t="s">
        <v>669</v>
      </c>
      <c r="Q95" s="2936"/>
      <c r="R95" s="2109" t="s">
        <v>669</v>
      </c>
      <c r="S95" s="2936"/>
      <c r="T95" s="2109" t="s">
        <v>669</v>
      </c>
      <c r="U95" s="2936"/>
      <c r="V95" s="2109" t="s">
        <v>669</v>
      </c>
      <c r="W95" s="2936"/>
      <c r="X95" s="2038" t="s">
        <v>669</v>
      </c>
      <c r="Y95" s="2936"/>
      <c r="Z95" s="2038"/>
      <c r="AA95" s="2936"/>
      <c r="AB95" s="2038" t="s">
        <v>669</v>
      </c>
      <c r="AC95" s="2936"/>
      <c r="AD95" s="2038" t="s">
        <v>669</v>
      </c>
      <c r="AE95" s="2936"/>
      <c r="AF95" s="2109"/>
      <c r="AG95" s="2936"/>
      <c r="AH95" s="2109"/>
      <c r="AI95" s="2936"/>
      <c r="AJ95" s="2109" t="s">
        <v>669</v>
      </c>
      <c r="AK95" s="2936"/>
      <c r="AL95" s="2109" t="s">
        <v>669</v>
      </c>
      <c r="AM95" s="2936"/>
    </row>
    <row r="96" spans="1:39" x14ac:dyDescent="0.35">
      <c r="A96" s="2934"/>
      <c r="B96" s="3044" t="s">
        <v>3537</v>
      </c>
      <c r="C96" s="3044"/>
      <c r="D96" s="3049"/>
      <c r="E96" s="3032"/>
      <c r="F96" s="3050"/>
      <c r="G96" s="2233"/>
      <c r="H96" s="2109" t="s">
        <v>669</v>
      </c>
      <c r="I96" s="2936"/>
      <c r="J96" s="2109" t="s">
        <v>669</v>
      </c>
      <c r="K96" s="2936"/>
      <c r="L96" s="2109" t="s">
        <v>669</v>
      </c>
      <c r="M96" s="2936"/>
      <c r="N96" s="2109" t="s">
        <v>669</v>
      </c>
      <c r="O96" s="2936"/>
      <c r="P96" s="2109" t="s">
        <v>669</v>
      </c>
      <c r="Q96" s="2936"/>
      <c r="R96" s="2109" t="s">
        <v>669</v>
      </c>
      <c r="S96" s="2936"/>
      <c r="T96" s="2109" t="s">
        <v>669</v>
      </c>
      <c r="U96" s="2936"/>
      <c r="V96" s="2109" t="s">
        <v>669</v>
      </c>
      <c r="W96" s="2936"/>
      <c r="X96" s="2038" t="s">
        <v>669</v>
      </c>
      <c r="Y96" s="2936"/>
      <c r="Z96" s="2038"/>
      <c r="AA96" s="2936"/>
      <c r="AB96" s="2038" t="s">
        <v>669</v>
      </c>
      <c r="AC96" s="2936"/>
      <c r="AD96" s="2038" t="s">
        <v>669</v>
      </c>
      <c r="AE96" s="2936"/>
      <c r="AF96" s="2109"/>
      <c r="AG96" s="2936"/>
      <c r="AH96" s="2109"/>
      <c r="AI96" s="2936"/>
      <c r="AJ96" s="2109" t="s">
        <v>669</v>
      </c>
      <c r="AK96" s="2936">
        <v>98600</v>
      </c>
      <c r="AL96" s="2109" t="s">
        <v>669</v>
      </c>
      <c r="AM96" s="2936"/>
    </row>
    <row r="97" spans="1:39" x14ac:dyDescent="0.35">
      <c r="A97" s="2934"/>
      <c r="B97" s="3044" t="s">
        <v>3538</v>
      </c>
      <c r="C97" s="3044"/>
      <c r="D97" s="3049"/>
      <c r="E97" s="3032"/>
      <c r="F97" s="3050"/>
      <c r="G97" s="2233"/>
      <c r="H97" s="2109"/>
      <c r="I97" s="3046"/>
      <c r="J97" s="2109" t="s">
        <v>669</v>
      </c>
      <c r="K97" s="3046"/>
      <c r="L97" s="2109" t="s">
        <v>669</v>
      </c>
      <c r="M97" s="2936"/>
      <c r="N97" s="2109"/>
      <c r="O97" s="3046"/>
      <c r="P97" s="2109"/>
      <c r="Q97" s="3046"/>
      <c r="R97" s="2109"/>
      <c r="S97" s="3046"/>
      <c r="T97" s="2109"/>
      <c r="U97" s="3046"/>
      <c r="V97" s="2109"/>
      <c r="W97" s="3046"/>
      <c r="X97" s="2038"/>
      <c r="Y97" s="3046"/>
      <c r="Z97" s="2038"/>
      <c r="AA97" s="3046"/>
      <c r="AB97" s="2038"/>
      <c r="AC97" s="3046"/>
      <c r="AD97" s="2038"/>
      <c r="AE97" s="3046"/>
      <c r="AF97" s="2109"/>
      <c r="AG97" s="3046"/>
      <c r="AH97" s="2109"/>
      <c r="AI97" s="3046"/>
      <c r="AJ97" s="2109"/>
      <c r="AK97" s="3046"/>
      <c r="AL97" s="2109"/>
      <c r="AM97" s="3046"/>
    </row>
    <row r="98" spans="1:39" x14ac:dyDescent="0.35">
      <c r="A98" s="2934"/>
      <c r="B98" s="3044"/>
      <c r="C98" s="3044"/>
      <c r="D98" s="3032"/>
      <c r="E98" s="3032"/>
      <c r="F98" s="3032"/>
      <c r="G98" s="2198"/>
      <c r="H98" s="2109"/>
      <c r="I98" s="2936"/>
      <c r="J98" s="2109"/>
      <c r="K98" s="2936"/>
      <c r="L98" s="2109"/>
      <c r="M98" s="2936"/>
      <c r="N98" s="2109"/>
      <c r="O98" s="2936"/>
      <c r="P98" s="2109"/>
      <c r="Q98" s="2936"/>
      <c r="R98" s="2109"/>
      <c r="S98" s="2936"/>
      <c r="T98" s="2109"/>
      <c r="U98" s="2936"/>
      <c r="V98" s="2109"/>
      <c r="W98" s="2936"/>
      <c r="X98" s="2109"/>
      <c r="Y98" s="2936"/>
      <c r="Z98" s="2109"/>
      <c r="AA98" s="2936"/>
      <c r="AB98" s="2109"/>
      <c r="AC98" s="2936"/>
      <c r="AD98" s="2109"/>
      <c r="AE98" s="2936"/>
      <c r="AF98" s="2109"/>
      <c r="AG98" s="2936"/>
      <c r="AH98" s="2109"/>
      <c r="AI98" s="2936"/>
      <c r="AJ98" s="2109"/>
      <c r="AK98" s="2936"/>
      <c r="AL98" s="2109"/>
      <c r="AM98" s="2936"/>
    </row>
    <row r="99" spans="1:39" x14ac:dyDescent="0.35">
      <c r="A99" s="2934"/>
      <c r="B99" s="3047" t="s">
        <v>3539</v>
      </c>
      <c r="C99" s="3044"/>
      <c r="D99" s="3032"/>
      <c r="E99" s="3032"/>
      <c r="F99" s="3032"/>
      <c r="G99" s="2198"/>
      <c r="H99" s="2109" t="s">
        <v>669</v>
      </c>
      <c r="I99" s="2936">
        <v>54375</v>
      </c>
      <c r="J99" s="2109" t="s">
        <v>669</v>
      </c>
      <c r="K99" s="2936"/>
      <c r="L99" s="2109" t="s">
        <v>669</v>
      </c>
      <c r="M99" s="2936"/>
      <c r="N99" s="2109" t="s">
        <v>669</v>
      </c>
      <c r="O99" s="2936"/>
      <c r="P99" s="2109" t="s">
        <v>669</v>
      </c>
      <c r="Q99" s="2936"/>
      <c r="R99" s="2109" t="s">
        <v>669</v>
      </c>
      <c r="S99" s="2936"/>
      <c r="T99" s="2109" t="s">
        <v>669</v>
      </c>
      <c r="U99" s="2936"/>
      <c r="V99" s="2109" t="s">
        <v>669</v>
      </c>
      <c r="W99" s="2936"/>
      <c r="X99" s="2109"/>
      <c r="Y99" s="2936"/>
      <c r="Z99" s="2109"/>
      <c r="AA99" s="2936"/>
      <c r="AB99" s="2109"/>
      <c r="AC99" s="2936"/>
      <c r="AD99" s="2109"/>
      <c r="AE99" s="2936"/>
      <c r="AF99" s="2109"/>
      <c r="AG99" s="2936"/>
      <c r="AH99" s="2109"/>
      <c r="AI99" s="2936"/>
      <c r="AJ99" s="2109" t="s">
        <v>669</v>
      </c>
      <c r="AK99" s="2936">
        <f>120000+91900</f>
        <v>211900</v>
      </c>
      <c r="AL99" s="2109" t="s">
        <v>669</v>
      </c>
      <c r="AM99" s="2936"/>
    </row>
    <row r="100" spans="1:39" x14ac:dyDescent="0.35">
      <c r="A100" s="2934"/>
      <c r="B100" s="3044" t="s">
        <v>3540</v>
      </c>
      <c r="C100" s="3051" t="s">
        <v>3541</v>
      </c>
      <c r="D100" s="3032"/>
      <c r="E100" s="3032"/>
      <c r="F100" s="3032"/>
      <c r="G100" s="2198"/>
      <c r="H100" s="2038" t="s">
        <v>669</v>
      </c>
      <c r="I100" s="2936"/>
      <c r="J100" s="2038" t="s">
        <v>669</v>
      </c>
      <c r="K100" s="2936"/>
      <c r="L100" s="2038" t="s">
        <v>669</v>
      </c>
      <c r="M100" s="2936"/>
      <c r="N100" s="2038" t="s">
        <v>669</v>
      </c>
      <c r="O100" s="3046"/>
      <c r="P100" s="2038" t="s">
        <v>669</v>
      </c>
      <c r="Q100" s="3046"/>
      <c r="R100" s="2109" t="s">
        <v>669</v>
      </c>
      <c r="S100" s="3046"/>
      <c r="T100" s="2109" t="s">
        <v>669</v>
      </c>
      <c r="U100" s="3046"/>
      <c r="V100" s="2109" t="s">
        <v>669</v>
      </c>
      <c r="W100" s="3046"/>
      <c r="X100" s="2038"/>
      <c r="Y100" s="3046"/>
      <c r="Z100" s="2109"/>
      <c r="AA100" s="3046"/>
      <c r="AB100" s="2109"/>
      <c r="AC100" s="3046"/>
      <c r="AD100" s="2109"/>
      <c r="AE100" s="3046"/>
      <c r="AF100"/>
      <c r="AG100"/>
      <c r="AH100"/>
      <c r="AI100"/>
      <c r="AJ100" s="2109"/>
      <c r="AK100" s="3046"/>
      <c r="AL100" s="2109"/>
      <c r="AM100" s="3046"/>
    </row>
    <row r="101" spans="1:39" x14ac:dyDescent="0.35">
      <c r="A101" s="399"/>
      <c r="B101" s="3047" t="s">
        <v>3542</v>
      </c>
      <c r="C101" s="3044"/>
      <c r="D101" s="3032"/>
      <c r="E101" s="3032"/>
      <c r="F101" s="3032"/>
      <c r="G101" s="2198"/>
      <c r="H101" s="2038" t="s">
        <v>669</v>
      </c>
      <c r="I101" s="2936"/>
      <c r="J101" s="2038" t="s">
        <v>669</v>
      </c>
      <c r="K101" s="2936"/>
      <c r="L101" s="2038" t="s">
        <v>669</v>
      </c>
      <c r="M101" s="2936"/>
      <c r="N101" s="2038" t="s">
        <v>669</v>
      </c>
      <c r="O101" s="2936"/>
      <c r="P101" s="2038" t="s">
        <v>669</v>
      </c>
      <c r="Q101" s="2936"/>
      <c r="R101" s="2109" t="s">
        <v>669</v>
      </c>
      <c r="S101" s="2936"/>
      <c r="T101" s="2109" t="s">
        <v>669</v>
      </c>
      <c r="U101" s="2936"/>
      <c r="V101" s="2109" t="s">
        <v>669</v>
      </c>
      <c r="W101" s="2936"/>
      <c r="X101" s="2109"/>
      <c r="Y101" s="2936"/>
      <c r="Z101" s="2109"/>
      <c r="AA101" s="2936"/>
      <c r="AB101" s="2109"/>
      <c r="AC101" s="2936"/>
      <c r="AD101" s="2109"/>
      <c r="AE101" s="2936"/>
      <c r="AF101" s="2109"/>
      <c r="AG101" s="2936"/>
      <c r="AH101" s="2109"/>
      <c r="AI101" s="2936"/>
      <c r="AJ101" s="2109"/>
      <c r="AK101" s="2936"/>
      <c r="AL101" s="2109"/>
      <c r="AM101" s="2936"/>
    </row>
    <row r="102" spans="1:39" ht="23" x14ac:dyDescent="0.35">
      <c r="A102" s="2954"/>
      <c r="B102" s="3044" t="s">
        <v>3543</v>
      </c>
      <c r="C102" s="3044"/>
      <c r="D102" s="3032" t="s">
        <v>3544</v>
      </c>
      <c r="E102" s="3032"/>
      <c r="F102" s="3032"/>
      <c r="G102" s="2198"/>
      <c r="H102" s="2038" t="s">
        <v>669</v>
      </c>
      <c r="I102" s="2936"/>
      <c r="J102" s="2038" t="s">
        <v>669</v>
      </c>
      <c r="K102" s="2936"/>
      <c r="L102" s="2038" t="s">
        <v>669</v>
      </c>
      <c r="M102" s="2936"/>
      <c r="N102" s="2038" t="s">
        <v>669</v>
      </c>
      <c r="O102" s="2936"/>
      <c r="P102" s="2038" t="s">
        <v>669</v>
      </c>
      <c r="Q102" s="2936"/>
      <c r="R102" s="2109" t="s">
        <v>669</v>
      </c>
      <c r="S102" s="2936"/>
      <c r="T102" s="2109" t="s">
        <v>669</v>
      </c>
      <c r="U102" s="2936"/>
      <c r="V102" s="2109" t="s">
        <v>669</v>
      </c>
      <c r="W102" s="2936"/>
      <c r="X102" s="2109"/>
      <c r="Y102" s="2936"/>
      <c r="Z102" s="2109"/>
      <c r="AA102" s="2936"/>
      <c r="AB102" s="2109"/>
      <c r="AC102" s="2936"/>
      <c r="AD102" s="2109"/>
      <c r="AE102" s="2936"/>
      <c r="AF102" s="2109"/>
      <c r="AG102" s="2936"/>
      <c r="AH102" s="2109"/>
      <c r="AI102" s="2936"/>
      <c r="AJ102" s="2109"/>
      <c r="AK102" s="2936"/>
      <c r="AL102" s="2109"/>
      <c r="AM102" s="2936"/>
    </row>
    <row r="103" spans="1:39" ht="23" x14ac:dyDescent="0.35">
      <c r="A103" s="2954"/>
      <c r="B103" s="3044" t="s">
        <v>3545</v>
      </c>
      <c r="C103" s="3044"/>
      <c r="D103" s="3032" t="s">
        <v>3544</v>
      </c>
      <c r="E103" s="3032"/>
      <c r="F103" s="3032"/>
      <c r="G103" s="2198"/>
      <c r="H103" s="2038" t="s">
        <v>669</v>
      </c>
      <c r="I103" s="2936"/>
      <c r="J103" s="2038" t="s">
        <v>669</v>
      </c>
      <c r="K103" s="2936"/>
      <c r="L103" s="2038" t="s">
        <v>669</v>
      </c>
      <c r="M103" s="2936"/>
      <c r="N103" s="2038" t="s">
        <v>669</v>
      </c>
      <c r="O103" s="2936"/>
      <c r="P103" s="2038" t="s">
        <v>669</v>
      </c>
      <c r="Q103" s="2936"/>
      <c r="R103" s="2109" t="s">
        <v>669</v>
      </c>
      <c r="S103" s="2936"/>
      <c r="T103" s="2109" t="s">
        <v>669</v>
      </c>
      <c r="U103" s="2936"/>
      <c r="V103" s="2109" t="s">
        <v>669</v>
      </c>
      <c r="W103" s="2936"/>
      <c r="X103" s="2109"/>
      <c r="Y103" s="2936"/>
      <c r="Z103" s="2109"/>
      <c r="AA103" s="2936"/>
      <c r="AB103" s="2109"/>
      <c r="AC103" s="2936"/>
      <c r="AD103" s="2109"/>
      <c r="AE103" s="2936"/>
      <c r="AF103" s="2109"/>
      <c r="AG103" s="2936"/>
      <c r="AH103" s="2109"/>
      <c r="AI103" s="2936"/>
      <c r="AJ103" s="2109"/>
      <c r="AK103" s="2936"/>
      <c r="AL103" s="2109"/>
      <c r="AM103" s="2936"/>
    </row>
    <row r="104" spans="1:39" x14ac:dyDescent="0.35">
      <c r="A104" s="2954"/>
      <c r="B104" s="3044" t="s">
        <v>3546</v>
      </c>
      <c r="C104" s="3044"/>
      <c r="D104" s="3032" t="s">
        <v>3544</v>
      </c>
      <c r="E104" s="3032"/>
      <c r="F104" s="3032"/>
      <c r="G104" s="2198"/>
      <c r="H104" s="2038" t="s">
        <v>669</v>
      </c>
      <c r="I104" s="2936"/>
      <c r="J104" s="2038" t="s">
        <v>669</v>
      </c>
      <c r="K104" s="2936"/>
      <c r="L104" s="2038" t="s">
        <v>669</v>
      </c>
      <c r="M104" s="2936"/>
      <c r="N104" s="2038" t="s">
        <v>669</v>
      </c>
      <c r="O104" s="2936"/>
      <c r="P104" s="2038" t="s">
        <v>669</v>
      </c>
      <c r="Q104" s="2936"/>
      <c r="R104" s="2109" t="s">
        <v>669</v>
      </c>
      <c r="S104" s="2936"/>
      <c r="T104" s="2109" t="s">
        <v>669</v>
      </c>
      <c r="U104" s="2936"/>
      <c r="V104" s="2109" t="s">
        <v>669</v>
      </c>
      <c r="W104" s="2936"/>
      <c r="X104" s="2109"/>
      <c r="Y104" s="2936"/>
      <c r="Z104" s="2109"/>
      <c r="AA104" s="2936"/>
      <c r="AB104" s="2109"/>
      <c r="AC104" s="2936"/>
      <c r="AD104" s="2109"/>
      <c r="AE104" s="2936"/>
      <c r="AF104" s="2109"/>
      <c r="AG104" s="2936"/>
      <c r="AH104" s="2109"/>
      <c r="AI104" s="2936"/>
      <c r="AJ104" s="2109"/>
      <c r="AK104" s="2936"/>
      <c r="AL104" s="2109"/>
      <c r="AM104" s="2936"/>
    </row>
    <row r="105" spans="1:39" x14ac:dyDescent="0.35">
      <c r="A105" s="2954"/>
      <c r="B105" s="3044" t="s">
        <v>3547</v>
      </c>
      <c r="C105" s="3044"/>
      <c r="D105" s="3032" t="s">
        <v>3544</v>
      </c>
      <c r="E105" s="3032"/>
      <c r="F105" s="3032"/>
      <c r="G105" s="2198"/>
      <c r="H105" s="2038" t="s">
        <v>669</v>
      </c>
      <c r="I105" s="2936"/>
      <c r="J105" s="2038" t="s">
        <v>669</v>
      </c>
      <c r="K105" s="2936"/>
      <c r="L105" s="2038" t="s">
        <v>669</v>
      </c>
      <c r="M105" s="2936"/>
      <c r="N105" s="2038" t="s">
        <v>669</v>
      </c>
      <c r="O105" s="2936"/>
      <c r="P105" s="2038" t="s">
        <v>669</v>
      </c>
      <c r="Q105" s="2936"/>
      <c r="R105" s="2109" t="s">
        <v>669</v>
      </c>
      <c r="S105" s="2936"/>
      <c r="T105" s="2109" t="s">
        <v>669</v>
      </c>
      <c r="U105" s="2936"/>
      <c r="V105" s="2109" t="s">
        <v>669</v>
      </c>
      <c r="W105" s="2936"/>
      <c r="X105" s="2109"/>
      <c r="Y105" s="2936"/>
      <c r="Z105" s="2109"/>
      <c r="AA105" s="2936"/>
      <c r="AB105" s="2109"/>
      <c r="AC105" s="2936"/>
      <c r="AD105" s="2109"/>
      <c r="AE105" s="2936"/>
      <c r="AF105" s="2109"/>
      <c r="AG105" s="2936"/>
      <c r="AH105" s="2109"/>
      <c r="AI105" s="2936"/>
      <c r="AJ105" s="2109"/>
      <c r="AK105" s="2936"/>
      <c r="AL105" s="2109"/>
      <c r="AM105" s="2936"/>
    </row>
    <row r="106" spans="1:39" x14ac:dyDescent="0.35">
      <c r="A106" s="2954"/>
      <c r="B106" s="3044" t="s">
        <v>3548</v>
      </c>
      <c r="C106" s="3052"/>
      <c r="D106" s="3032" t="s">
        <v>3544</v>
      </c>
      <c r="E106" s="3032"/>
      <c r="F106" s="3032"/>
      <c r="G106" s="2198"/>
      <c r="H106" s="2038" t="s">
        <v>669</v>
      </c>
      <c r="I106" s="2936"/>
      <c r="J106" s="2038" t="s">
        <v>669</v>
      </c>
      <c r="K106" s="2936"/>
      <c r="L106" s="2038" t="s">
        <v>669</v>
      </c>
      <c r="M106" s="2936"/>
      <c r="N106" s="2038" t="s">
        <v>669</v>
      </c>
      <c r="O106" s="2936"/>
      <c r="P106" s="2038" t="s">
        <v>669</v>
      </c>
      <c r="Q106" s="2936"/>
      <c r="R106" s="2109" t="s">
        <v>669</v>
      </c>
      <c r="S106" s="2936"/>
      <c r="T106" s="2109" t="s">
        <v>669</v>
      </c>
      <c r="U106" s="2936"/>
      <c r="V106" s="2109" t="s">
        <v>669</v>
      </c>
      <c r="W106" s="2936"/>
      <c r="X106" s="2109"/>
      <c r="Y106" s="2936"/>
      <c r="Z106" s="2109"/>
      <c r="AA106" s="2936"/>
      <c r="AB106" s="2109"/>
      <c r="AC106" s="2936"/>
      <c r="AD106" s="2109"/>
      <c r="AE106" s="2936"/>
      <c r="AF106" s="2109"/>
      <c r="AG106" s="2936"/>
      <c r="AH106" s="2109"/>
      <c r="AI106" s="2936"/>
      <c r="AJ106" s="2109"/>
      <c r="AK106" s="2936"/>
      <c r="AL106" s="2109"/>
      <c r="AM106" s="2936"/>
    </row>
    <row r="107" spans="1:39" ht="26.25" customHeight="1" x14ac:dyDescent="0.35">
      <c r="A107" s="2954"/>
      <c r="B107" s="3044" t="s">
        <v>3549</v>
      </c>
      <c r="C107" s="3052"/>
      <c r="D107" s="3032" t="s">
        <v>3544</v>
      </c>
      <c r="E107" s="3032"/>
      <c r="F107" s="3032"/>
      <c r="G107" s="2198"/>
      <c r="H107" s="2038" t="s">
        <v>669</v>
      </c>
      <c r="I107" s="2936"/>
      <c r="J107" s="2038" t="s">
        <v>669</v>
      </c>
      <c r="K107" s="2936"/>
      <c r="L107" s="2038" t="s">
        <v>669</v>
      </c>
      <c r="M107" s="2936"/>
      <c r="N107" s="2038" t="s">
        <v>669</v>
      </c>
      <c r="O107" s="2936"/>
      <c r="P107" s="2038" t="s">
        <v>669</v>
      </c>
      <c r="Q107" s="2936"/>
      <c r="R107" s="2109" t="s">
        <v>669</v>
      </c>
      <c r="S107" s="2936"/>
      <c r="T107" s="2109" t="s">
        <v>669</v>
      </c>
      <c r="U107" s="2936"/>
      <c r="V107" s="2109" t="s">
        <v>669</v>
      </c>
      <c r="W107" s="2936"/>
      <c r="X107" s="2109"/>
      <c r="Y107" s="2936"/>
      <c r="Z107" s="2109"/>
      <c r="AA107" s="2936"/>
      <c r="AB107" s="2109"/>
      <c r="AC107" s="2936"/>
      <c r="AD107" s="2109"/>
      <c r="AE107" s="2936"/>
      <c r="AF107" s="2109"/>
      <c r="AG107" s="2936"/>
      <c r="AH107" s="2109"/>
      <c r="AI107" s="2936"/>
      <c r="AJ107" s="2109"/>
      <c r="AK107" s="2936"/>
      <c r="AL107" s="2109"/>
      <c r="AM107" s="2936"/>
    </row>
    <row r="108" spans="1:39" ht="44.25" customHeight="1" x14ac:dyDescent="0.35">
      <c r="A108" s="2954"/>
      <c r="B108" s="3044" t="s">
        <v>3550</v>
      </c>
      <c r="C108" s="3052"/>
      <c r="D108" s="3032" t="s">
        <v>3544</v>
      </c>
      <c r="E108" s="3032"/>
      <c r="F108" s="3032"/>
      <c r="G108" s="2198"/>
      <c r="H108" s="2038" t="s">
        <v>669</v>
      </c>
      <c r="I108" s="2936"/>
      <c r="J108" s="2038" t="s">
        <v>669</v>
      </c>
      <c r="K108" s="2936"/>
      <c r="L108" s="2038" t="s">
        <v>669</v>
      </c>
      <c r="M108" s="2936"/>
      <c r="N108" s="2038" t="s">
        <v>669</v>
      </c>
      <c r="O108" s="2936"/>
      <c r="P108" s="2038" t="s">
        <v>669</v>
      </c>
      <c r="Q108" s="2936"/>
      <c r="R108" s="2109" t="s">
        <v>669</v>
      </c>
      <c r="S108" s="2936"/>
      <c r="T108" s="2109" t="s">
        <v>669</v>
      </c>
      <c r="U108" s="2936"/>
      <c r="V108" s="2109" t="s">
        <v>669</v>
      </c>
      <c r="W108" s="2936"/>
      <c r="X108" s="2109"/>
      <c r="Y108" s="2936"/>
      <c r="Z108" s="2109"/>
      <c r="AA108" s="2936"/>
      <c r="AB108" s="2109"/>
      <c r="AC108" s="2936"/>
      <c r="AD108" s="2109"/>
      <c r="AE108" s="2936"/>
      <c r="AF108" s="2109"/>
      <c r="AG108" s="2936"/>
      <c r="AH108" s="2109"/>
      <c r="AI108" s="2936"/>
      <c r="AJ108" s="2109"/>
      <c r="AK108" s="2936"/>
      <c r="AL108" s="2109"/>
      <c r="AM108" s="2936"/>
    </row>
    <row r="109" spans="1:39" x14ac:dyDescent="0.35">
      <c r="A109" s="395"/>
      <c r="B109" s="3053" t="s">
        <v>3551</v>
      </c>
      <c r="C109" s="3052"/>
      <c r="D109" s="3032"/>
      <c r="E109" s="3032"/>
      <c r="F109" s="3032"/>
      <c r="G109" s="2198"/>
      <c r="H109" s="2038" t="s">
        <v>669</v>
      </c>
      <c r="I109" s="2936"/>
      <c r="J109" s="2038" t="s">
        <v>669</v>
      </c>
      <c r="K109" s="2936"/>
      <c r="L109" s="2038" t="s">
        <v>669</v>
      </c>
      <c r="M109" s="2936"/>
      <c r="N109" s="2038" t="s">
        <v>669</v>
      </c>
      <c r="O109" s="2936"/>
      <c r="P109" s="2038" t="s">
        <v>669</v>
      </c>
      <c r="Q109" s="2936"/>
      <c r="R109" s="2109" t="s">
        <v>669</v>
      </c>
      <c r="S109" s="2936"/>
      <c r="T109" s="2109" t="s">
        <v>669</v>
      </c>
      <c r="U109" s="2936"/>
      <c r="V109" s="2109" t="s">
        <v>669</v>
      </c>
      <c r="W109" s="2936"/>
      <c r="X109" s="2109"/>
      <c r="Y109" s="2936"/>
      <c r="Z109" s="2109"/>
      <c r="AA109" s="2936"/>
      <c r="AB109" s="2109"/>
      <c r="AC109" s="2936"/>
      <c r="AD109" s="2109"/>
      <c r="AE109" s="2936"/>
      <c r="AF109" s="2109"/>
      <c r="AG109" s="2936"/>
      <c r="AH109" s="2109"/>
      <c r="AI109" s="2936"/>
      <c r="AJ109" s="2109"/>
      <c r="AK109" s="2936"/>
      <c r="AL109" s="2109"/>
      <c r="AM109" s="2936"/>
    </row>
    <row r="110" spans="1:39" x14ac:dyDescent="0.35">
      <c r="A110" s="2934"/>
      <c r="B110" s="3044" t="s">
        <v>3552</v>
      </c>
      <c r="C110" s="3044"/>
      <c r="D110" s="3032" t="s">
        <v>3544</v>
      </c>
      <c r="E110" s="3032"/>
      <c r="F110" s="3032"/>
      <c r="G110" s="2198"/>
      <c r="H110" s="2038" t="s">
        <v>669</v>
      </c>
      <c r="I110" s="2936"/>
      <c r="J110" s="2038" t="s">
        <v>669</v>
      </c>
      <c r="K110" s="2936"/>
      <c r="L110" s="2038" t="s">
        <v>669</v>
      </c>
      <c r="M110" s="2936"/>
      <c r="N110" s="2038" t="s">
        <v>669</v>
      </c>
      <c r="O110" s="2936"/>
      <c r="P110" s="2038" t="s">
        <v>669</v>
      </c>
      <c r="Q110" s="2936"/>
      <c r="R110" s="2109" t="s">
        <v>669</v>
      </c>
      <c r="S110" s="2936"/>
      <c r="T110" s="2109" t="s">
        <v>669</v>
      </c>
      <c r="U110" s="2936"/>
      <c r="V110" s="2109" t="s">
        <v>669</v>
      </c>
      <c r="W110" s="2936"/>
      <c r="X110" s="2109"/>
      <c r="Y110" s="2936"/>
      <c r="Z110" s="2109"/>
      <c r="AA110" s="2936"/>
      <c r="AB110" s="2109"/>
      <c r="AC110" s="2936"/>
      <c r="AD110" s="2109"/>
      <c r="AE110" s="2936"/>
      <c r="AF110" s="2109"/>
      <c r="AG110" s="2936"/>
      <c r="AH110" s="2109"/>
      <c r="AI110" s="2936"/>
      <c r="AJ110" s="2109"/>
      <c r="AK110" s="2936"/>
      <c r="AL110" s="2109"/>
      <c r="AM110" s="2936"/>
    </row>
    <row r="111" spans="1:39" x14ac:dyDescent="0.35">
      <c r="A111" s="2934"/>
      <c r="B111" s="3053" t="s">
        <v>3553</v>
      </c>
      <c r="C111" s="3052"/>
      <c r="D111" s="3032"/>
      <c r="E111" s="3032"/>
      <c r="F111" s="3032"/>
      <c r="G111" s="2198"/>
      <c r="H111" s="2038" t="s">
        <v>669</v>
      </c>
      <c r="I111" s="2936"/>
      <c r="J111" s="2038" t="s">
        <v>669</v>
      </c>
      <c r="K111" s="2936"/>
      <c r="L111" s="2038" t="s">
        <v>669</v>
      </c>
      <c r="M111" s="2936"/>
      <c r="N111" s="2038" t="s">
        <v>669</v>
      </c>
      <c r="O111" s="2936"/>
      <c r="P111" s="2038" t="s">
        <v>669</v>
      </c>
      <c r="Q111" s="2936"/>
      <c r="R111" s="2109" t="s">
        <v>669</v>
      </c>
      <c r="S111" s="2936"/>
      <c r="T111" s="2109" t="s">
        <v>669</v>
      </c>
      <c r="U111" s="2936"/>
      <c r="V111" s="2109" t="s">
        <v>669</v>
      </c>
      <c r="W111" s="2936"/>
      <c r="X111" s="2109"/>
      <c r="Y111" s="2936"/>
      <c r="Z111" s="2109"/>
      <c r="AA111" s="2936"/>
      <c r="AB111" s="2109"/>
      <c r="AC111" s="2936"/>
      <c r="AD111" s="2109"/>
      <c r="AE111" s="2936"/>
      <c r="AF111" s="2109"/>
      <c r="AG111" s="2936"/>
      <c r="AH111" s="2109"/>
      <c r="AI111" s="2936"/>
      <c r="AJ111" s="2109"/>
      <c r="AK111" s="2936"/>
      <c r="AL111" s="2109"/>
      <c r="AM111" s="2936"/>
    </row>
    <row r="112" spans="1:39" ht="26.25" customHeight="1" x14ac:dyDescent="0.35">
      <c r="A112" s="2934"/>
      <c r="B112" s="3044" t="s">
        <v>3554</v>
      </c>
      <c r="C112" s="3044"/>
      <c r="D112" s="3032" t="s">
        <v>3544</v>
      </c>
      <c r="E112" s="3032"/>
      <c r="F112" s="3032"/>
      <c r="G112" s="2198"/>
      <c r="H112" s="2038" t="s">
        <v>669</v>
      </c>
      <c r="I112" s="2936"/>
      <c r="J112" s="2038" t="s">
        <v>669</v>
      </c>
      <c r="K112" s="2936"/>
      <c r="L112" s="2038" t="s">
        <v>669</v>
      </c>
      <c r="M112" s="2936"/>
      <c r="N112" s="2038" t="s">
        <v>669</v>
      </c>
      <c r="O112" s="2936"/>
      <c r="P112" s="2038" t="s">
        <v>669</v>
      </c>
      <c r="Q112" s="2936"/>
      <c r="R112" s="2109" t="s">
        <v>669</v>
      </c>
      <c r="S112" s="2936"/>
      <c r="T112" s="2109" t="s">
        <v>669</v>
      </c>
      <c r="U112" s="2936"/>
      <c r="V112" s="2109" t="s">
        <v>669</v>
      </c>
      <c r="W112" s="2936"/>
      <c r="X112" s="2109"/>
      <c r="Y112" s="2936"/>
      <c r="Z112" s="2109"/>
      <c r="AA112" s="2936"/>
      <c r="AB112" s="2109"/>
      <c r="AC112" s="2936"/>
      <c r="AD112" s="2109"/>
      <c r="AE112" s="2936"/>
      <c r="AF112" s="2109"/>
      <c r="AG112" s="2936"/>
      <c r="AH112" s="2109"/>
      <c r="AI112" s="2936"/>
      <c r="AJ112" s="2109"/>
      <c r="AK112" s="2936"/>
      <c r="AL112" s="2109"/>
      <c r="AM112" s="2936"/>
    </row>
    <row r="113" spans="1:39" x14ac:dyDescent="0.35">
      <c r="A113" s="2934"/>
      <c r="B113" s="3044" t="s">
        <v>3555</v>
      </c>
      <c r="C113" s="3044"/>
      <c r="D113" s="3032" t="s">
        <v>3544</v>
      </c>
      <c r="E113" s="3032"/>
      <c r="F113" s="3032"/>
      <c r="G113" s="2198"/>
      <c r="H113" s="2038" t="s">
        <v>669</v>
      </c>
      <c r="I113" s="2936"/>
      <c r="J113" s="2038" t="s">
        <v>669</v>
      </c>
      <c r="K113" s="2936"/>
      <c r="L113" s="2038" t="s">
        <v>669</v>
      </c>
      <c r="M113" s="2936"/>
      <c r="N113" s="2038" t="s">
        <v>669</v>
      </c>
      <c r="O113" s="2936"/>
      <c r="P113" s="2038" t="s">
        <v>669</v>
      </c>
      <c r="Q113" s="2936"/>
      <c r="R113" s="2109" t="s">
        <v>669</v>
      </c>
      <c r="S113" s="2936"/>
      <c r="T113" s="2109" t="s">
        <v>669</v>
      </c>
      <c r="U113" s="2936"/>
      <c r="V113" s="2109" t="s">
        <v>669</v>
      </c>
      <c r="W113" s="2936"/>
      <c r="X113" s="2109"/>
      <c r="Y113" s="2936"/>
      <c r="Z113" s="2109"/>
      <c r="AA113" s="2936"/>
      <c r="AB113" s="2109"/>
      <c r="AC113" s="2936"/>
      <c r="AD113" s="2109"/>
      <c r="AE113" s="2936"/>
      <c r="AF113" s="2109"/>
      <c r="AG113" s="2936"/>
      <c r="AH113" s="2109"/>
      <c r="AI113" s="2936"/>
      <c r="AJ113" s="2109"/>
      <c r="AK113" s="2936"/>
      <c r="AL113" s="2109"/>
      <c r="AM113" s="2936"/>
    </row>
    <row r="114" spans="1:39" ht="27.75" customHeight="1" x14ac:dyDescent="0.35">
      <c r="A114" s="2934"/>
      <c r="B114" s="3044" t="s">
        <v>3556</v>
      </c>
      <c r="C114" s="3044"/>
      <c r="D114" s="3032" t="s">
        <v>3557</v>
      </c>
      <c r="E114" s="3032"/>
      <c r="F114" s="3032"/>
      <c r="G114" s="2198"/>
      <c r="H114" s="2038" t="s">
        <v>669</v>
      </c>
      <c r="I114" s="2936"/>
      <c r="J114" s="2038" t="s">
        <v>669</v>
      </c>
      <c r="K114" s="2936"/>
      <c r="L114" s="2038" t="s">
        <v>669</v>
      </c>
      <c r="M114" s="2936"/>
      <c r="N114" s="2038" t="s">
        <v>669</v>
      </c>
      <c r="O114" s="2936"/>
      <c r="P114" s="2038" t="s">
        <v>669</v>
      </c>
      <c r="Q114" s="2936"/>
      <c r="R114" s="2109" t="s">
        <v>669</v>
      </c>
      <c r="S114" s="2936"/>
      <c r="T114" s="2109" t="s">
        <v>669</v>
      </c>
      <c r="U114" s="2936"/>
      <c r="V114" s="2109" t="s">
        <v>669</v>
      </c>
      <c r="W114" s="2936"/>
      <c r="X114" s="2109"/>
      <c r="Y114" s="2936"/>
      <c r="Z114" s="2109"/>
      <c r="AA114" s="2936"/>
      <c r="AB114" s="2109"/>
      <c r="AC114" s="2936"/>
      <c r="AD114" s="2109"/>
      <c r="AE114" s="2936"/>
      <c r="AF114" s="2109"/>
      <c r="AG114" s="2936"/>
      <c r="AH114" s="2109"/>
      <c r="AI114" s="2936"/>
      <c r="AJ114" s="2109"/>
      <c r="AK114" s="2936"/>
      <c r="AL114" s="2109"/>
      <c r="AM114" s="2936"/>
    </row>
    <row r="115" spans="1:39" x14ac:dyDescent="0.35">
      <c r="A115" s="2934"/>
      <c r="B115" s="3044"/>
      <c r="C115" s="3044"/>
      <c r="D115" s="3032"/>
      <c r="E115" s="3032"/>
      <c r="F115" s="3032"/>
      <c r="G115" s="2198"/>
      <c r="H115" s="2109"/>
      <c r="I115" s="2936"/>
      <c r="J115" s="2109"/>
      <c r="K115" s="2936"/>
      <c r="L115" s="2109"/>
      <c r="M115" s="2936"/>
      <c r="N115" s="2109"/>
      <c r="O115" s="3046"/>
      <c r="P115" s="2109"/>
      <c r="Q115" s="3046"/>
      <c r="R115" s="2038"/>
      <c r="S115" s="3046"/>
      <c r="T115" s="2038"/>
      <c r="U115" s="3046"/>
      <c r="V115" s="2038"/>
      <c r="W115" s="3046"/>
      <c r="X115" s="2038"/>
      <c r="Y115" s="3046"/>
      <c r="Z115" s="2038"/>
      <c r="AA115" s="3046"/>
      <c r="AB115" s="2038"/>
      <c r="AC115" s="3046"/>
      <c r="AD115" s="2038"/>
      <c r="AE115" s="3046"/>
      <c r="AF115" s="2109"/>
      <c r="AG115" s="3046"/>
      <c r="AH115" s="2109"/>
      <c r="AI115" s="3046"/>
      <c r="AJ115" s="2038"/>
      <c r="AK115" s="3046"/>
      <c r="AL115" s="2038"/>
      <c r="AM115" s="3046"/>
    </row>
    <row r="116" spans="1:39" x14ac:dyDescent="0.35">
      <c r="A116" s="2934"/>
      <c r="B116" s="3047" t="s">
        <v>3420</v>
      </c>
      <c r="C116" s="3044"/>
      <c r="D116" s="3049"/>
      <c r="E116" s="3032"/>
      <c r="F116" s="3050"/>
      <c r="G116" s="2233"/>
      <c r="H116" s="2109" t="s">
        <v>669</v>
      </c>
      <c r="I116" s="2936"/>
      <c r="J116" s="2109" t="s">
        <v>669</v>
      </c>
      <c r="K116" s="2936"/>
      <c r="L116" s="2109" t="s">
        <v>669</v>
      </c>
      <c r="M116" s="2936"/>
      <c r="N116" s="2109" t="s">
        <v>669</v>
      </c>
      <c r="O116" s="2936"/>
      <c r="P116" s="2109" t="s">
        <v>669</v>
      </c>
      <c r="Q116" s="2936"/>
      <c r="R116" s="2109"/>
      <c r="S116" s="2936"/>
      <c r="T116" s="2109"/>
      <c r="U116" s="2936"/>
      <c r="V116" s="2109"/>
      <c r="W116" s="2936"/>
      <c r="X116" s="2109"/>
      <c r="Y116" s="2936"/>
      <c r="Z116" s="2109"/>
      <c r="AA116" s="2936"/>
      <c r="AB116" s="2109"/>
      <c r="AC116" s="2936"/>
      <c r="AD116" s="2109"/>
      <c r="AE116" s="2936"/>
      <c r="AF116" s="2109"/>
      <c r="AG116" s="2936"/>
      <c r="AH116" s="2109"/>
      <c r="AI116" s="2936"/>
      <c r="AJ116" s="2109"/>
      <c r="AK116" s="2936"/>
      <c r="AL116" s="2109"/>
      <c r="AM116" s="2936"/>
    </row>
    <row r="117" spans="1:39" x14ac:dyDescent="0.35">
      <c r="A117" s="2934"/>
      <c r="B117" s="3044" t="s">
        <v>3558</v>
      </c>
      <c r="C117" s="3044"/>
      <c r="D117" s="3049"/>
      <c r="E117" s="3032"/>
      <c r="F117" s="3050"/>
      <c r="G117" s="2233"/>
      <c r="H117" s="2109" t="s">
        <v>669</v>
      </c>
      <c r="I117" s="2936"/>
      <c r="J117" s="2109" t="s">
        <v>669</v>
      </c>
      <c r="K117" s="2936"/>
      <c r="L117" s="2109" t="s">
        <v>669</v>
      </c>
      <c r="M117" s="2936"/>
      <c r="N117" s="2109" t="s">
        <v>669</v>
      </c>
      <c r="O117" s="2936"/>
      <c r="P117" s="2109" t="s">
        <v>669</v>
      </c>
      <c r="Q117" s="2936"/>
      <c r="R117" s="2109" t="s">
        <v>669</v>
      </c>
      <c r="S117" s="2936"/>
      <c r="T117" s="2109" t="s">
        <v>669</v>
      </c>
      <c r="U117" s="2936"/>
      <c r="V117" s="2109" t="s">
        <v>669</v>
      </c>
      <c r="W117" s="2936"/>
      <c r="X117" s="2109" t="s">
        <v>669</v>
      </c>
      <c r="Y117" s="2936"/>
      <c r="Z117" s="2109" t="s">
        <v>669</v>
      </c>
      <c r="AA117" s="2936"/>
      <c r="AB117" s="2109" t="s">
        <v>669</v>
      </c>
      <c r="AC117" s="2936"/>
      <c r="AD117" s="2109" t="s">
        <v>669</v>
      </c>
      <c r="AE117" s="2936"/>
      <c r="AF117" s="2109"/>
      <c r="AG117" s="2936"/>
      <c r="AH117" s="2109"/>
      <c r="AI117" s="2936"/>
      <c r="AJ117" s="2109" t="s">
        <v>669</v>
      </c>
      <c r="AK117" s="2936"/>
      <c r="AL117" s="2109" t="s">
        <v>669</v>
      </c>
      <c r="AM117" s="2936"/>
    </row>
    <row r="118" spans="1:39" x14ac:dyDescent="0.35">
      <c r="A118" s="2934"/>
      <c r="B118" s="3044" t="s">
        <v>3559</v>
      </c>
      <c r="C118" s="3044"/>
      <c r="D118" s="3032"/>
      <c r="E118" s="3032"/>
      <c r="F118" s="3032"/>
      <c r="G118" s="2198"/>
      <c r="H118" s="2109" t="s">
        <v>669</v>
      </c>
      <c r="I118" s="2936"/>
      <c r="J118" s="2109" t="s">
        <v>669</v>
      </c>
      <c r="K118" s="2936"/>
      <c r="L118" s="2109" t="s">
        <v>669</v>
      </c>
      <c r="M118" s="2936"/>
      <c r="N118" s="2109" t="s">
        <v>669</v>
      </c>
      <c r="O118" s="2936"/>
      <c r="P118" s="2109" t="s">
        <v>669</v>
      </c>
      <c r="Q118" s="2936"/>
      <c r="R118" s="2109" t="s">
        <v>669</v>
      </c>
      <c r="S118" s="2936"/>
      <c r="T118" s="2109" t="s">
        <v>669</v>
      </c>
      <c r="U118" s="2936"/>
      <c r="V118" s="2109" t="s">
        <v>669</v>
      </c>
      <c r="W118" s="2936"/>
      <c r="X118" s="2109" t="s">
        <v>669</v>
      </c>
      <c r="Y118" s="2936"/>
      <c r="Z118" s="2109" t="s">
        <v>669</v>
      </c>
      <c r="AA118" s="2936"/>
      <c r="AB118" s="2109" t="s">
        <v>669</v>
      </c>
      <c r="AC118" s="2936"/>
      <c r="AD118" s="2109" t="s">
        <v>669</v>
      </c>
      <c r="AE118" s="2936"/>
      <c r="AF118" s="2109"/>
      <c r="AG118" s="2936"/>
      <c r="AH118" s="2109"/>
      <c r="AI118" s="2936"/>
      <c r="AJ118" s="2109" t="s">
        <v>669</v>
      </c>
      <c r="AK118" s="2936"/>
      <c r="AL118" s="2109" t="s">
        <v>669</v>
      </c>
      <c r="AM118" s="2936"/>
    </row>
    <row r="119" spans="1:39" x14ac:dyDescent="0.35">
      <c r="A119" s="2934"/>
      <c r="B119" s="3044" t="s">
        <v>3560</v>
      </c>
      <c r="C119" s="3044"/>
      <c r="D119" s="3032"/>
      <c r="E119" s="3032"/>
      <c r="F119" s="3032"/>
      <c r="G119" s="2198"/>
      <c r="H119" s="2109" t="s">
        <v>669</v>
      </c>
      <c r="I119" s="2936"/>
      <c r="J119" s="2109" t="s">
        <v>669</v>
      </c>
      <c r="K119" s="2936"/>
      <c r="L119" s="2109" t="s">
        <v>669</v>
      </c>
      <c r="M119" s="2936"/>
      <c r="N119" s="2109" t="s">
        <v>669</v>
      </c>
      <c r="O119" s="2936"/>
      <c r="P119" s="2109" t="s">
        <v>669</v>
      </c>
      <c r="Q119" s="2936"/>
      <c r="R119" s="2109" t="s">
        <v>669</v>
      </c>
      <c r="S119" s="2936"/>
      <c r="T119" s="2109" t="s">
        <v>669</v>
      </c>
      <c r="U119" s="2936"/>
      <c r="V119" s="2109" t="s">
        <v>669</v>
      </c>
      <c r="W119" s="2936"/>
      <c r="X119" s="2109" t="s">
        <v>669</v>
      </c>
      <c r="Y119" s="2936"/>
      <c r="Z119" s="2109" t="s">
        <v>669</v>
      </c>
      <c r="AA119" s="2936"/>
      <c r="AB119" s="2109" t="s">
        <v>669</v>
      </c>
      <c r="AC119" s="2936"/>
      <c r="AD119" s="2109" t="s">
        <v>669</v>
      </c>
      <c r="AE119" s="2936"/>
      <c r="AF119" s="2109"/>
      <c r="AG119" s="2936"/>
      <c r="AH119" s="2109"/>
      <c r="AI119" s="2936"/>
      <c r="AJ119" s="2109" t="s">
        <v>669</v>
      </c>
      <c r="AK119" s="2936"/>
      <c r="AL119" s="2109" t="s">
        <v>669</v>
      </c>
      <c r="AM119" s="2936"/>
    </row>
    <row r="120" spans="1:39" x14ac:dyDescent="0.35">
      <c r="A120" s="2934"/>
      <c r="B120" s="3044" t="s">
        <v>3561</v>
      </c>
      <c r="C120" s="3044"/>
      <c r="D120" s="3032"/>
      <c r="E120" s="3032"/>
      <c r="F120" s="3032"/>
      <c r="G120" s="2198"/>
      <c r="H120" s="2109" t="s">
        <v>669</v>
      </c>
      <c r="I120" s="2936"/>
      <c r="J120" s="2109" t="s">
        <v>669</v>
      </c>
      <c r="K120" s="2936"/>
      <c r="L120" s="2109" t="s">
        <v>669</v>
      </c>
      <c r="M120" s="2936"/>
      <c r="N120" s="2109" t="s">
        <v>669</v>
      </c>
      <c r="O120" s="2936"/>
      <c r="P120" s="2109" t="s">
        <v>669</v>
      </c>
      <c r="Q120" s="2936"/>
      <c r="R120" s="2109" t="s">
        <v>669</v>
      </c>
      <c r="S120" s="2936"/>
      <c r="T120" s="2109" t="s">
        <v>669</v>
      </c>
      <c r="U120" s="2936"/>
      <c r="V120" s="2109" t="s">
        <v>669</v>
      </c>
      <c r="W120" s="2936"/>
      <c r="X120" s="2038"/>
      <c r="Y120" s="2936"/>
      <c r="Z120" s="2038"/>
      <c r="AA120" s="2936"/>
      <c r="AB120" s="2038"/>
      <c r="AC120" s="2936"/>
      <c r="AD120" s="2038"/>
      <c r="AE120" s="2936"/>
      <c r="AF120" s="2109"/>
      <c r="AG120" s="2936"/>
      <c r="AH120" s="2109"/>
      <c r="AI120" s="2936"/>
      <c r="AJ120" s="2109" t="s">
        <v>669</v>
      </c>
      <c r="AK120" s="2936"/>
      <c r="AL120" s="2109" t="s">
        <v>669</v>
      </c>
      <c r="AM120" s="2936"/>
    </row>
    <row r="121" spans="1:39" x14ac:dyDescent="0.35">
      <c r="A121" s="2934"/>
      <c r="B121" s="3044" t="s">
        <v>74</v>
      </c>
      <c r="C121" s="3044"/>
      <c r="D121" s="3032"/>
      <c r="E121" s="3032"/>
      <c r="F121" s="3032"/>
      <c r="G121" s="2198"/>
      <c r="H121" s="2109" t="s">
        <v>669</v>
      </c>
      <c r="I121" s="2936"/>
      <c r="J121" s="2109" t="s">
        <v>669</v>
      </c>
      <c r="K121" s="2936"/>
      <c r="L121" s="2109" t="s">
        <v>669</v>
      </c>
      <c r="M121" s="2936"/>
      <c r="N121" s="2109" t="s">
        <v>669</v>
      </c>
      <c r="O121" s="2936"/>
      <c r="P121" s="2109" t="s">
        <v>669</v>
      </c>
      <c r="Q121" s="2936"/>
      <c r="R121" s="2109" t="s">
        <v>669</v>
      </c>
      <c r="S121" s="2936"/>
      <c r="T121" s="2109" t="s">
        <v>669</v>
      </c>
      <c r="U121" s="2936"/>
      <c r="V121" s="2109" t="s">
        <v>669</v>
      </c>
      <c r="W121" s="2936"/>
      <c r="X121" s="2109" t="s">
        <v>669</v>
      </c>
      <c r="Y121" s="2936"/>
      <c r="Z121" s="2109" t="s">
        <v>669</v>
      </c>
      <c r="AA121" s="2936"/>
      <c r="AB121" s="2109" t="s">
        <v>669</v>
      </c>
      <c r="AC121" s="2936"/>
      <c r="AD121" s="2109" t="s">
        <v>669</v>
      </c>
      <c r="AE121" s="2936"/>
      <c r="AF121" s="2109"/>
      <c r="AG121" s="2936"/>
      <c r="AH121" s="2109"/>
      <c r="AI121" s="2936"/>
      <c r="AJ121" s="2109" t="s">
        <v>669</v>
      </c>
      <c r="AK121" s="2936"/>
      <c r="AL121" s="2109" t="s">
        <v>669</v>
      </c>
      <c r="AM121" s="2936"/>
    </row>
    <row r="122" spans="1:39" x14ac:dyDescent="0.35">
      <c r="A122" s="2934"/>
      <c r="B122" s="3044" t="s">
        <v>3562</v>
      </c>
      <c r="C122" s="3044"/>
      <c r="D122" s="3032"/>
      <c r="E122" s="3032"/>
      <c r="F122" s="3032"/>
      <c r="G122" s="2198"/>
      <c r="H122" s="2109" t="s">
        <v>669</v>
      </c>
      <c r="I122" s="2936"/>
      <c r="J122" s="2109" t="s">
        <v>669</v>
      </c>
      <c r="K122" s="2936"/>
      <c r="L122" s="2109" t="s">
        <v>669</v>
      </c>
      <c r="M122" s="2936"/>
      <c r="N122" s="2109" t="s">
        <v>669</v>
      </c>
      <c r="O122" s="2936"/>
      <c r="P122" s="2109" t="s">
        <v>669</v>
      </c>
      <c r="Q122" s="2936"/>
      <c r="R122" s="2109" t="s">
        <v>669</v>
      </c>
      <c r="S122" s="2936"/>
      <c r="T122" s="2109" t="s">
        <v>669</v>
      </c>
      <c r="U122" s="2936"/>
      <c r="V122" s="2109" t="s">
        <v>669</v>
      </c>
      <c r="W122" s="2936"/>
      <c r="X122" s="2109" t="s">
        <v>669</v>
      </c>
      <c r="Y122" s="2936"/>
      <c r="Z122" s="2109" t="s">
        <v>669</v>
      </c>
      <c r="AA122" s="2936"/>
      <c r="AB122" s="2109" t="s">
        <v>669</v>
      </c>
      <c r="AC122" s="2936"/>
      <c r="AD122" s="2109" t="s">
        <v>669</v>
      </c>
      <c r="AE122" s="2936"/>
      <c r="AF122" s="2109"/>
      <c r="AG122" s="2936"/>
      <c r="AH122" s="2109"/>
      <c r="AI122" s="2936"/>
      <c r="AJ122" s="2109" t="s">
        <v>669</v>
      </c>
      <c r="AK122" s="2936"/>
      <c r="AL122" s="2109" t="s">
        <v>669</v>
      </c>
      <c r="AM122" s="2936"/>
    </row>
    <row r="123" spans="1:39" x14ac:dyDescent="0.35">
      <c r="A123" s="2934"/>
      <c r="B123" s="3044"/>
      <c r="C123" s="3044"/>
      <c r="D123" s="3032"/>
      <c r="E123" s="3032"/>
      <c r="F123" s="3032"/>
      <c r="G123" s="2198"/>
      <c r="H123" s="2109"/>
      <c r="I123" s="2936"/>
      <c r="J123" s="2109"/>
      <c r="K123" s="2936"/>
      <c r="L123" s="2109"/>
      <c r="M123" s="2936"/>
      <c r="N123" s="2109"/>
      <c r="O123" s="2936"/>
      <c r="P123" s="2109"/>
      <c r="Q123" s="2936"/>
      <c r="R123" s="2109"/>
      <c r="S123" s="2936"/>
      <c r="T123" s="2109"/>
      <c r="U123" s="2936"/>
      <c r="V123" s="2109"/>
      <c r="W123" s="2936"/>
      <c r="X123" s="2109"/>
      <c r="Y123" s="2936"/>
      <c r="Z123" s="2109"/>
      <c r="AA123" s="2936"/>
      <c r="AB123" s="2109"/>
      <c r="AC123" s="2936"/>
      <c r="AD123" s="2109"/>
      <c r="AE123" s="2936"/>
      <c r="AF123" s="2109"/>
      <c r="AG123" s="2936"/>
      <c r="AH123" s="2109"/>
      <c r="AI123" s="2936"/>
      <c r="AJ123" s="2109"/>
      <c r="AK123" s="2936">
        <v>700000</v>
      </c>
      <c r="AL123" s="2109"/>
      <c r="AM123" s="2936"/>
    </row>
    <row r="124" spans="1:39" x14ac:dyDescent="0.35">
      <c r="A124" s="2934"/>
      <c r="B124" s="3044" t="s">
        <v>3563</v>
      </c>
      <c r="C124" s="3044"/>
      <c r="D124" s="3032"/>
      <c r="E124" s="3032"/>
      <c r="F124" s="3032"/>
      <c r="G124" s="2198"/>
      <c r="H124" s="2109" t="s">
        <v>669</v>
      </c>
      <c r="I124" s="2936"/>
      <c r="J124" s="2109" t="s">
        <v>669</v>
      </c>
      <c r="K124" s="2936"/>
      <c r="L124" s="2109" t="s">
        <v>669</v>
      </c>
      <c r="M124" s="2936"/>
      <c r="N124" s="2109" t="s">
        <v>669</v>
      </c>
      <c r="O124" s="2936"/>
      <c r="P124" s="2109" t="s">
        <v>669</v>
      </c>
      <c r="Q124" s="2936"/>
      <c r="R124" s="2109" t="s">
        <v>669</v>
      </c>
      <c r="S124" s="2936"/>
      <c r="T124" s="2109" t="s">
        <v>669</v>
      </c>
      <c r="U124" s="2936"/>
      <c r="V124" s="2109" t="s">
        <v>669</v>
      </c>
      <c r="W124" s="2936"/>
      <c r="X124" s="2109" t="s">
        <v>669</v>
      </c>
      <c r="Y124" s="2936"/>
      <c r="Z124" s="2109" t="s">
        <v>669</v>
      </c>
      <c r="AA124" s="2936"/>
      <c r="AB124" s="2109" t="s">
        <v>669</v>
      </c>
      <c r="AC124" s="2936"/>
      <c r="AD124" s="2109" t="s">
        <v>669</v>
      </c>
      <c r="AE124" s="2936"/>
      <c r="AF124" s="2109"/>
      <c r="AG124" s="2936"/>
      <c r="AH124" s="2109"/>
      <c r="AI124" s="2936"/>
      <c r="AJ124" s="2109" t="s">
        <v>669</v>
      </c>
      <c r="AK124" s="2936"/>
      <c r="AL124" s="2109" t="s">
        <v>669</v>
      </c>
      <c r="AM124" s="2936"/>
    </row>
    <row r="125" spans="1:39" x14ac:dyDescent="0.35">
      <c r="A125" s="2934"/>
      <c r="B125" s="3044" t="s">
        <v>3564</v>
      </c>
      <c r="C125" s="3044"/>
      <c r="D125" s="3032"/>
      <c r="E125" s="3032"/>
      <c r="F125" s="3032"/>
      <c r="G125" s="2198"/>
      <c r="H125" s="2109" t="s">
        <v>669</v>
      </c>
      <c r="I125" s="2936"/>
      <c r="J125" s="2109" t="s">
        <v>669</v>
      </c>
      <c r="K125" s="2936"/>
      <c r="L125" s="2109" t="s">
        <v>669</v>
      </c>
      <c r="M125" s="2936"/>
      <c r="N125" s="2109" t="s">
        <v>669</v>
      </c>
      <c r="O125" s="2936"/>
      <c r="P125" s="2109" t="s">
        <v>669</v>
      </c>
      <c r="Q125" s="2936"/>
      <c r="R125" s="2109" t="s">
        <v>669</v>
      </c>
      <c r="S125" s="2936"/>
      <c r="T125" s="2109" t="s">
        <v>669</v>
      </c>
      <c r="U125" s="2936"/>
      <c r="V125" s="2109" t="s">
        <v>669</v>
      </c>
      <c r="W125" s="2936"/>
      <c r="X125" s="2109" t="s">
        <v>669</v>
      </c>
      <c r="Y125" s="2936"/>
      <c r="Z125" s="2109" t="s">
        <v>669</v>
      </c>
      <c r="AA125" s="2936"/>
      <c r="AB125" s="2109" t="s">
        <v>669</v>
      </c>
      <c r="AC125" s="2936"/>
      <c r="AD125" s="2109" t="s">
        <v>669</v>
      </c>
      <c r="AE125" s="2936"/>
      <c r="AF125" s="2109"/>
      <c r="AG125" s="2936"/>
      <c r="AH125" s="2109"/>
      <c r="AI125" s="2936"/>
      <c r="AJ125" s="2109" t="s">
        <v>669</v>
      </c>
      <c r="AK125" s="2936"/>
      <c r="AL125" s="2109" t="s">
        <v>669</v>
      </c>
      <c r="AM125" s="2936"/>
    </row>
    <row r="126" spans="1:39" x14ac:dyDescent="0.35">
      <c r="A126" s="2934"/>
      <c r="B126" s="3044" t="s">
        <v>3565</v>
      </c>
      <c r="C126" s="3044"/>
      <c r="D126" s="3032"/>
      <c r="E126" s="3032"/>
      <c r="F126" s="3032"/>
      <c r="G126" s="2198"/>
      <c r="H126" s="2109" t="s">
        <v>669</v>
      </c>
      <c r="I126" s="2936"/>
      <c r="J126" s="2109" t="s">
        <v>669</v>
      </c>
      <c r="K126" s="2936"/>
      <c r="L126" s="2109" t="s">
        <v>669</v>
      </c>
      <c r="M126" s="2936"/>
      <c r="N126" s="2109" t="s">
        <v>669</v>
      </c>
      <c r="O126" s="2936"/>
      <c r="P126" s="2109" t="s">
        <v>669</v>
      </c>
      <c r="Q126" s="2936"/>
      <c r="R126" s="2109" t="s">
        <v>669</v>
      </c>
      <c r="S126" s="2936"/>
      <c r="T126" s="2109" t="s">
        <v>669</v>
      </c>
      <c r="U126" s="2936"/>
      <c r="V126" s="2109" t="s">
        <v>669</v>
      </c>
      <c r="W126" s="2936"/>
      <c r="X126" s="2109" t="s">
        <v>669</v>
      </c>
      <c r="Y126" s="2936"/>
      <c r="Z126" s="2109" t="s">
        <v>669</v>
      </c>
      <c r="AA126" s="2936"/>
      <c r="AB126" s="2109" t="s">
        <v>669</v>
      </c>
      <c r="AC126" s="2936"/>
      <c r="AD126" s="2109" t="s">
        <v>669</v>
      </c>
      <c r="AE126" s="2936"/>
      <c r="AF126" s="2109"/>
      <c r="AG126" s="2936"/>
      <c r="AH126" s="2109"/>
      <c r="AI126" s="2936"/>
      <c r="AJ126" s="2109" t="s">
        <v>669</v>
      </c>
      <c r="AK126" s="2936"/>
      <c r="AL126" s="2109" t="s">
        <v>669</v>
      </c>
      <c r="AM126" s="2936"/>
    </row>
    <row r="127" spans="1:39" x14ac:dyDescent="0.35">
      <c r="A127" s="2934"/>
      <c r="B127" s="3044" t="s">
        <v>3566</v>
      </c>
      <c r="C127" s="3044"/>
      <c r="D127" s="3032"/>
      <c r="E127" s="3032"/>
      <c r="F127" s="3032"/>
      <c r="G127" s="2198"/>
      <c r="H127" s="2109" t="s">
        <v>669</v>
      </c>
      <c r="I127" s="2936"/>
      <c r="J127" s="2109" t="s">
        <v>669</v>
      </c>
      <c r="K127" s="2936"/>
      <c r="L127" s="2109" t="s">
        <v>669</v>
      </c>
      <c r="M127" s="2936"/>
      <c r="N127" s="2109" t="s">
        <v>669</v>
      </c>
      <c r="O127" s="2936"/>
      <c r="P127" s="2109" t="s">
        <v>669</v>
      </c>
      <c r="Q127" s="2936"/>
      <c r="R127" s="2109" t="s">
        <v>669</v>
      </c>
      <c r="S127" s="2936"/>
      <c r="T127" s="2109" t="s">
        <v>669</v>
      </c>
      <c r="U127" s="2936"/>
      <c r="V127" s="2109" t="s">
        <v>669</v>
      </c>
      <c r="W127" s="2936"/>
      <c r="X127" s="2109" t="s">
        <v>669</v>
      </c>
      <c r="Y127" s="2936"/>
      <c r="Z127" s="2109" t="s">
        <v>669</v>
      </c>
      <c r="AA127" s="2936"/>
      <c r="AB127" s="2109" t="s">
        <v>669</v>
      </c>
      <c r="AC127" s="2936"/>
      <c r="AD127" s="2109" t="s">
        <v>669</v>
      </c>
      <c r="AE127" s="2936"/>
      <c r="AF127" s="2109" t="s">
        <v>669</v>
      </c>
      <c r="AG127" s="2936">
        <v>307996</v>
      </c>
      <c r="AH127" s="2109"/>
      <c r="AI127" s="2936"/>
      <c r="AJ127" s="2109" t="s">
        <v>669</v>
      </c>
      <c r="AK127" s="2936"/>
      <c r="AL127" s="2109" t="s">
        <v>669</v>
      </c>
      <c r="AM127" s="2936"/>
    </row>
    <row r="128" spans="1:39" x14ac:dyDescent="0.35">
      <c r="A128" s="2934"/>
      <c r="B128" s="3044" t="s">
        <v>3567</v>
      </c>
      <c r="C128" s="3044"/>
      <c r="D128" s="3032"/>
      <c r="E128" s="3032"/>
      <c r="F128" s="3032"/>
      <c r="G128" s="2198"/>
      <c r="H128" s="2109" t="s">
        <v>669</v>
      </c>
      <c r="I128" s="2936"/>
      <c r="J128" s="2109" t="s">
        <v>669</v>
      </c>
      <c r="K128" s="2936"/>
      <c r="L128" s="2109" t="s">
        <v>669</v>
      </c>
      <c r="M128" s="2936"/>
      <c r="N128" s="2109" t="s">
        <v>669</v>
      </c>
      <c r="O128" s="2936"/>
      <c r="P128" s="2109" t="s">
        <v>669</v>
      </c>
      <c r="Q128" s="2936"/>
      <c r="R128" s="2109" t="s">
        <v>669</v>
      </c>
      <c r="S128" s="2936"/>
      <c r="T128" s="2109" t="s">
        <v>669</v>
      </c>
      <c r="U128" s="2936"/>
      <c r="V128" s="2109" t="s">
        <v>669</v>
      </c>
      <c r="W128" s="2936"/>
      <c r="X128" s="2109" t="s">
        <v>669</v>
      </c>
      <c r="Y128" s="2936"/>
      <c r="Z128" s="2109" t="s">
        <v>669</v>
      </c>
      <c r="AA128" s="2936"/>
      <c r="AB128" s="2109" t="s">
        <v>669</v>
      </c>
      <c r="AC128" s="2936"/>
      <c r="AD128" s="2109" t="s">
        <v>669</v>
      </c>
      <c r="AE128" s="2936"/>
      <c r="AF128" s="2109" t="s">
        <v>669</v>
      </c>
      <c r="AG128" s="2936">
        <f>36112+35036+31290</f>
        <v>102438</v>
      </c>
      <c r="AH128" s="2109"/>
      <c r="AI128" s="2936"/>
      <c r="AJ128" s="2109" t="s">
        <v>669</v>
      </c>
      <c r="AK128" s="2936"/>
      <c r="AL128" s="2109" t="s">
        <v>669</v>
      </c>
      <c r="AM128" s="2936"/>
    </row>
    <row r="129" spans="1:39" x14ac:dyDescent="0.35">
      <c r="A129" s="2934"/>
      <c r="B129" s="3044" t="s">
        <v>3568</v>
      </c>
      <c r="C129" s="3044"/>
      <c r="D129" s="3032"/>
      <c r="E129" s="3032"/>
      <c r="F129" s="3032"/>
      <c r="G129" s="2198"/>
      <c r="H129" s="2109" t="s">
        <v>669</v>
      </c>
      <c r="I129" s="2936"/>
      <c r="J129" s="2109" t="s">
        <v>669</v>
      </c>
      <c r="K129" s="2936"/>
      <c r="L129" s="2109" t="s">
        <v>669</v>
      </c>
      <c r="M129" s="2936"/>
      <c r="N129" s="2109" t="s">
        <v>669</v>
      </c>
      <c r="O129" s="2936"/>
      <c r="P129" s="2109" t="s">
        <v>669</v>
      </c>
      <c r="Q129" s="2936"/>
      <c r="R129" s="2109" t="s">
        <v>669</v>
      </c>
      <c r="S129" s="2936"/>
      <c r="T129" s="2109" t="s">
        <v>669</v>
      </c>
      <c r="U129" s="2936"/>
      <c r="V129" s="2109" t="s">
        <v>669</v>
      </c>
      <c r="W129" s="2936"/>
      <c r="X129" s="2109" t="s">
        <v>669</v>
      </c>
      <c r="Y129" s="2936"/>
      <c r="Z129" s="2109" t="s">
        <v>669</v>
      </c>
      <c r="AA129" s="2936"/>
      <c r="AB129" s="2109" t="s">
        <v>669</v>
      </c>
      <c r="AC129" s="2936"/>
      <c r="AD129" s="2109" t="s">
        <v>669</v>
      </c>
      <c r="AE129" s="2936"/>
      <c r="AF129" s="2109" t="s">
        <v>669</v>
      </c>
      <c r="AG129" s="2936">
        <v>16808</v>
      </c>
      <c r="AH129" s="2109"/>
      <c r="AI129" s="2936"/>
      <c r="AJ129" s="2038" t="s">
        <v>654</v>
      </c>
      <c r="AK129" s="2936"/>
      <c r="AL129" s="2109"/>
      <c r="AM129" s="2936"/>
    </row>
    <row r="130" spans="1:39" x14ac:dyDescent="0.35">
      <c r="A130" s="2939"/>
      <c r="B130" s="3044" t="s">
        <v>3569</v>
      </c>
      <c r="C130" s="400"/>
      <c r="D130" s="3032"/>
      <c r="E130" s="3032"/>
      <c r="F130" s="3032"/>
      <c r="G130" s="2198"/>
      <c r="H130" s="2109" t="s">
        <v>669</v>
      </c>
      <c r="I130" s="2936"/>
      <c r="J130" s="2109" t="s">
        <v>669</v>
      </c>
      <c r="K130" s="2936"/>
      <c r="L130" s="2109" t="s">
        <v>669</v>
      </c>
      <c r="M130" s="2936"/>
      <c r="N130" s="2109" t="s">
        <v>669</v>
      </c>
      <c r="O130" s="2936"/>
      <c r="P130" s="2109" t="s">
        <v>669</v>
      </c>
      <c r="Q130" s="2936"/>
      <c r="R130" s="2109" t="s">
        <v>669</v>
      </c>
      <c r="S130" s="2936"/>
      <c r="T130" s="2109" t="s">
        <v>669</v>
      </c>
      <c r="U130" s="2936"/>
      <c r="V130" s="2109" t="s">
        <v>669</v>
      </c>
      <c r="W130" s="2936"/>
      <c r="X130" s="2109" t="s">
        <v>669</v>
      </c>
      <c r="Y130" s="2936"/>
      <c r="Z130" s="2109" t="s">
        <v>669</v>
      </c>
      <c r="AA130" s="2936"/>
      <c r="AB130" s="2109" t="s">
        <v>669</v>
      </c>
      <c r="AC130" s="2936"/>
      <c r="AD130" s="2109" t="s">
        <v>669</v>
      </c>
      <c r="AE130" s="2936"/>
      <c r="AF130" s="2109"/>
      <c r="AG130" s="2936"/>
      <c r="AH130" s="2109"/>
      <c r="AI130" s="2936"/>
      <c r="AJ130" s="2038"/>
      <c r="AK130" s="2936"/>
      <c r="AL130" s="2109"/>
      <c r="AM130" s="2936"/>
    </row>
    <row r="131" spans="1:39" x14ac:dyDescent="0.35">
      <c r="A131" s="2934"/>
      <c r="B131" s="3044" t="s">
        <v>3312</v>
      </c>
      <c r="C131" s="3042"/>
      <c r="D131" s="3032"/>
      <c r="E131" s="3032"/>
      <c r="F131" s="3032"/>
      <c r="G131" s="2198"/>
      <c r="H131" s="2038" t="s">
        <v>669</v>
      </c>
      <c r="I131" s="2936"/>
      <c r="J131" s="2038" t="s">
        <v>669</v>
      </c>
      <c r="K131" s="2936"/>
      <c r="L131" s="2038" t="s">
        <v>669</v>
      </c>
      <c r="M131" s="2936"/>
      <c r="N131" s="2038" t="s">
        <v>669</v>
      </c>
      <c r="O131" s="2936"/>
      <c r="P131" s="2038" t="s">
        <v>669</v>
      </c>
      <c r="Q131" s="2936"/>
      <c r="R131" s="2109" t="s">
        <v>669</v>
      </c>
      <c r="S131" s="2936"/>
      <c r="T131" s="2109" t="s">
        <v>669</v>
      </c>
      <c r="U131" s="2936"/>
      <c r="V131" s="2109" t="s">
        <v>669</v>
      </c>
      <c r="W131" s="2936"/>
      <c r="X131" s="2038"/>
      <c r="Y131" s="2936"/>
      <c r="Z131" s="2038"/>
      <c r="AA131" s="2936"/>
      <c r="AB131" s="2038"/>
      <c r="AC131" s="2936"/>
      <c r="AD131" s="2038"/>
      <c r="AE131" s="2936"/>
      <c r="AF131" s="2109"/>
      <c r="AG131" s="2936"/>
      <c r="AH131" s="2109"/>
      <c r="AI131" s="2936"/>
      <c r="AJ131" s="2109" t="s">
        <v>669</v>
      </c>
      <c r="AK131" s="2936"/>
      <c r="AL131" s="2109" t="s">
        <v>669</v>
      </c>
      <c r="AM131" s="2936"/>
    </row>
    <row r="132" spans="1:39" x14ac:dyDescent="0.35">
      <c r="A132" s="399"/>
      <c r="B132" s="3044"/>
      <c r="C132" s="401"/>
      <c r="D132" s="3032"/>
      <c r="E132" s="3032"/>
      <c r="F132" s="3032"/>
      <c r="G132" s="2198"/>
      <c r="H132" s="2109"/>
      <c r="I132" s="2936"/>
      <c r="J132" s="2109"/>
      <c r="K132" s="2936"/>
      <c r="L132" s="2109"/>
      <c r="M132" s="2936"/>
      <c r="N132" s="2109"/>
      <c r="O132" s="3046"/>
      <c r="P132" s="2109"/>
      <c r="Q132" s="3046"/>
      <c r="R132" s="2109"/>
      <c r="S132" s="3046"/>
      <c r="T132" s="2109"/>
      <c r="U132" s="3046"/>
      <c r="V132" s="2109"/>
      <c r="W132" s="3046"/>
      <c r="X132" s="2038"/>
      <c r="Y132" s="3046"/>
      <c r="Z132" s="2038"/>
      <c r="AA132" s="3046"/>
      <c r="AB132" s="2038"/>
      <c r="AC132" s="3046"/>
      <c r="AD132" s="2038"/>
      <c r="AE132" s="3046"/>
      <c r="AF132" s="2109"/>
      <c r="AG132" s="3046"/>
      <c r="AH132" s="2109"/>
      <c r="AI132" s="3046"/>
      <c r="AJ132" s="2109"/>
      <c r="AK132" s="3046"/>
      <c r="AL132" s="2109"/>
      <c r="AM132" s="3046"/>
    </row>
    <row r="133" spans="1:39" x14ac:dyDescent="0.35">
      <c r="A133" s="399"/>
      <c r="B133" s="3047" t="s">
        <v>3570</v>
      </c>
      <c r="C133" s="401"/>
      <c r="D133" s="3032"/>
      <c r="E133" s="3032"/>
      <c r="F133" s="3032"/>
      <c r="G133" s="2198"/>
      <c r="H133" s="2109"/>
      <c r="I133" s="2936"/>
      <c r="J133" s="2109"/>
      <c r="K133" s="2936"/>
      <c r="L133" s="2109"/>
      <c r="M133" s="2936"/>
      <c r="N133" s="2109"/>
      <c r="O133" s="3046"/>
      <c r="P133" s="2109"/>
      <c r="Q133" s="3046"/>
      <c r="R133" s="2109"/>
      <c r="S133" s="3046"/>
      <c r="T133" s="2109" t="s">
        <v>669</v>
      </c>
      <c r="U133" s="3046"/>
      <c r="V133" s="2109" t="s">
        <v>669</v>
      </c>
      <c r="W133" s="3046"/>
      <c r="X133" s="2038"/>
      <c r="Y133" s="3046"/>
      <c r="Z133" s="2038"/>
      <c r="AA133" s="3046"/>
      <c r="AB133" s="2038"/>
      <c r="AC133" s="3046"/>
      <c r="AD133" s="2038"/>
      <c r="AE133" s="3046"/>
      <c r="AF133" s="2109"/>
      <c r="AG133" s="3046"/>
      <c r="AH133" s="2109"/>
      <c r="AI133" s="3046"/>
      <c r="AJ133" s="2109"/>
      <c r="AK133" s="3046"/>
      <c r="AL133" s="2109"/>
      <c r="AM133" s="3046"/>
    </row>
    <row r="134" spans="1:39" x14ac:dyDescent="0.35">
      <c r="A134" s="2954"/>
      <c r="B134" s="3053" t="s">
        <v>3571</v>
      </c>
      <c r="C134" s="3044"/>
      <c r="D134" s="3032"/>
      <c r="E134" s="3032"/>
      <c r="F134" s="3032"/>
      <c r="G134" s="2198"/>
      <c r="H134" s="2109"/>
      <c r="I134" s="2936"/>
      <c r="J134" s="2109"/>
      <c r="K134" s="2936"/>
      <c r="L134" s="2109"/>
      <c r="M134" s="2936"/>
      <c r="N134" s="2109"/>
      <c r="O134" s="2936"/>
      <c r="P134" s="2109"/>
      <c r="Q134" s="2936"/>
      <c r="R134" s="2109"/>
      <c r="S134" s="2936"/>
      <c r="T134" s="2109" t="s">
        <v>669</v>
      </c>
      <c r="U134" s="2936">
        <v>150000</v>
      </c>
      <c r="V134" s="2109" t="s">
        <v>669</v>
      </c>
      <c r="W134" s="2936">
        <v>150000</v>
      </c>
      <c r="X134" s="2109"/>
      <c r="Y134" s="2936"/>
      <c r="Z134" s="2109"/>
      <c r="AA134" s="2936"/>
      <c r="AB134" s="2109"/>
      <c r="AC134" s="2936"/>
      <c r="AD134" s="2109"/>
      <c r="AE134" s="2936"/>
      <c r="AF134" s="2109"/>
      <c r="AG134" s="2936"/>
      <c r="AH134" s="2109"/>
      <c r="AI134" s="2936"/>
      <c r="AJ134" s="2109"/>
      <c r="AK134" s="2936"/>
      <c r="AL134" s="2109"/>
      <c r="AM134" s="2936"/>
    </row>
    <row r="135" spans="1:39" x14ac:dyDescent="0.35">
      <c r="A135" s="2954"/>
      <c r="B135" s="3044" t="s">
        <v>3572</v>
      </c>
      <c r="C135" s="3044"/>
      <c r="D135" s="3032"/>
      <c r="E135" s="3032"/>
      <c r="F135" s="3032"/>
      <c r="G135" s="2198"/>
      <c r="H135" s="2109"/>
      <c r="I135" s="2936"/>
      <c r="J135" s="2109"/>
      <c r="K135" s="2936"/>
      <c r="L135" s="2109"/>
      <c r="M135" s="2936"/>
      <c r="N135" s="2109"/>
      <c r="O135" s="2936"/>
      <c r="P135" s="2109"/>
      <c r="Q135" s="2936"/>
      <c r="R135" s="2109"/>
      <c r="S135" s="2936"/>
      <c r="T135" s="2109" t="s">
        <v>669</v>
      </c>
      <c r="U135" s="2936"/>
      <c r="V135" s="2109" t="s">
        <v>669</v>
      </c>
      <c r="W135" s="2936"/>
      <c r="X135" s="2109"/>
      <c r="Y135" s="2936"/>
      <c r="Z135" s="2109"/>
      <c r="AA135" s="2936"/>
      <c r="AB135" s="2109"/>
      <c r="AC135" s="2936"/>
      <c r="AD135" s="2109"/>
      <c r="AE135" s="2936"/>
      <c r="AF135" s="2109"/>
      <c r="AG135" s="2936"/>
      <c r="AH135" s="2109"/>
      <c r="AI135" s="2936"/>
      <c r="AJ135" s="2109"/>
      <c r="AK135" s="2936"/>
      <c r="AL135" s="2109"/>
      <c r="AM135" s="2936"/>
    </row>
    <row r="136" spans="1:39" x14ac:dyDescent="0.35">
      <c r="A136" s="2954"/>
      <c r="B136" s="3044" t="s">
        <v>3573</v>
      </c>
      <c r="C136" s="3044"/>
      <c r="D136" s="3032"/>
      <c r="E136" s="3032"/>
      <c r="F136" s="3032"/>
      <c r="G136" s="2198"/>
      <c r="H136" s="2109"/>
      <c r="I136" s="2936"/>
      <c r="J136" s="2109"/>
      <c r="K136" s="2936"/>
      <c r="L136" s="2109"/>
      <c r="M136" s="2936"/>
      <c r="N136" s="2109"/>
      <c r="O136" s="2936"/>
      <c r="P136" s="2109"/>
      <c r="Q136" s="2936"/>
      <c r="R136" s="2109"/>
      <c r="S136" s="2936"/>
      <c r="T136" s="2109" t="s">
        <v>669</v>
      </c>
      <c r="U136" s="2936"/>
      <c r="V136" s="2109" t="s">
        <v>669</v>
      </c>
      <c r="W136" s="2936"/>
      <c r="X136" s="2109"/>
      <c r="Y136" s="2936"/>
      <c r="Z136" s="2109"/>
      <c r="AA136" s="2936"/>
      <c r="AB136" s="2109"/>
      <c r="AC136" s="2936"/>
      <c r="AD136" s="2109"/>
      <c r="AE136" s="2936"/>
      <c r="AF136" s="2109"/>
      <c r="AG136" s="2936"/>
      <c r="AH136" s="2109"/>
      <c r="AI136" s="2936"/>
      <c r="AJ136" s="2109"/>
      <c r="AK136" s="2936"/>
      <c r="AL136" s="2109"/>
      <c r="AM136" s="2936"/>
    </row>
    <row r="137" spans="1:39" x14ac:dyDescent="0.35">
      <c r="A137" s="2934"/>
      <c r="B137" s="3053" t="s">
        <v>3574</v>
      </c>
      <c r="C137" s="3052"/>
      <c r="D137" s="3032"/>
      <c r="E137" s="3032"/>
      <c r="F137" s="3032"/>
      <c r="G137" s="2198"/>
      <c r="H137" s="2109"/>
      <c r="I137" s="2936"/>
      <c r="J137" s="2109"/>
      <c r="K137" s="2936"/>
      <c r="L137" s="2109"/>
      <c r="M137" s="2936"/>
      <c r="N137" s="2109"/>
      <c r="O137" s="2936"/>
      <c r="P137" s="2109"/>
      <c r="Q137" s="2936"/>
      <c r="R137" s="2109"/>
      <c r="S137" s="2936"/>
      <c r="T137" s="2109" t="s">
        <v>669</v>
      </c>
      <c r="U137" s="2936"/>
      <c r="V137" s="2109" t="s">
        <v>669</v>
      </c>
      <c r="W137" s="2936"/>
      <c r="X137" s="2109"/>
      <c r="Y137" s="2936"/>
      <c r="Z137" s="2109"/>
      <c r="AA137" s="2936"/>
      <c r="AB137" s="2109"/>
      <c r="AC137" s="2936"/>
      <c r="AD137" s="2109"/>
      <c r="AE137" s="2936"/>
      <c r="AF137" s="2109"/>
      <c r="AG137" s="2936"/>
      <c r="AH137" s="2109"/>
      <c r="AI137" s="2936"/>
      <c r="AJ137" s="2109"/>
      <c r="AK137" s="2936"/>
      <c r="AL137" s="2109"/>
      <c r="AM137" s="2936"/>
    </row>
    <row r="138" spans="1:39" x14ac:dyDescent="0.35">
      <c r="A138" s="2934"/>
      <c r="B138" s="3044" t="s">
        <v>3575</v>
      </c>
      <c r="C138" s="3044"/>
      <c r="D138" s="3032" t="s">
        <v>3576</v>
      </c>
      <c r="E138" s="3032"/>
      <c r="F138" s="3032"/>
      <c r="G138" s="2198"/>
      <c r="H138" s="2109"/>
      <c r="I138" s="2936"/>
      <c r="J138" s="2109"/>
      <c r="K138" s="2936"/>
      <c r="L138" s="2109"/>
      <c r="M138" s="2936"/>
      <c r="N138" s="2109"/>
      <c r="O138" s="2936"/>
      <c r="P138" s="2109"/>
      <c r="Q138" s="2936"/>
      <c r="R138" s="2109"/>
      <c r="S138" s="2936"/>
      <c r="T138" s="2109" t="s">
        <v>671</v>
      </c>
      <c r="U138" s="2936">
        <v>-280000</v>
      </c>
      <c r="V138" s="2109" t="s">
        <v>671</v>
      </c>
      <c r="W138" s="2936">
        <v>-280000</v>
      </c>
      <c r="X138" s="2109"/>
      <c r="Y138" s="2936"/>
      <c r="Z138" s="2109"/>
      <c r="AA138" s="2936"/>
      <c r="AB138" s="2109"/>
      <c r="AC138" s="2936"/>
      <c r="AD138" s="2109"/>
      <c r="AE138" s="2936"/>
      <c r="AF138" s="2109"/>
      <c r="AG138" s="2936"/>
      <c r="AH138" s="2109"/>
      <c r="AI138" s="2936"/>
      <c r="AJ138" s="2109"/>
      <c r="AK138" s="2936"/>
      <c r="AL138" s="2109"/>
      <c r="AM138" s="2936"/>
    </row>
    <row r="139" spans="1:39" x14ac:dyDescent="0.35">
      <c r="A139" s="2934"/>
      <c r="B139" s="3044" t="s">
        <v>3577</v>
      </c>
      <c r="C139" s="3044"/>
      <c r="D139" s="3032" t="s">
        <v>3576</v>
      </c>
      <c r="E139" s="3032"/>
      <c r="F139" s="3032"/>
      <c r="G139" s="2198"/>
      <c r="H139" s="2109"/>
      <c r="I139" s="2936"/>
      <c r="J139" s="2109"/>
      <c r="K139" s="2936"/>
      <c r="L139" s="2109"/>
      <c r="M139" s="2936"/>
      <c r="N139" s="2109"/>
      <c r="O139" s="2936"/>
      <c r="P139" s="2109"/>
      <c r="Q139" s="2936"/>
      <c r="R139" s="2109"/>
      <c r="S139" s="2936"/>
      <c r="T139" s="2109" t="s">
        <v>671</v>
      </c>
      <c r="U139" s="2936"/>
      <c r="V139" s="2109" t="s">
        <v>671</v>
      </c>
      <c r="W139" s="2936"/>
      <c r="X139" s="2109"/>
      <c r="Y139" s="2936"/>
      <c r="Z139" s="2109"/>
      <c r="AA139" s="2936"/>
      <c r="AB139" s="2109"/>
      <c r="AC139" s="2936"/>
      <c r="AD139" s="2109"/>
      <c r="AE139" s="2936"/>
      <c r="AF139" s="2109"/>
      <c r="AG139" s="2936"/>
      <c r="AH139" s="2109"/>
      <c r="AI139" s="2936"/>
      <c r="AJ139" s="2109"/>
      <c r="AK139" s="2936"/>
      <c r="AL139" s="2109"/>
      <c r="AM139" s="2936"/>
    </row>
    <row r="140" spans="1:39" x14ac:dyDescent="0.35">
      <c r="A140" s="2934"/>
      <c r="B140" s="3044" t="s">
        <v>3578</v>
      </c>
      <c r="C140" s="3044"/>
      <c r="D140" s="3032" t="s">
        <v>3576</v>
      </c>
      <c r="E140" s="3032"/>
      <c r="F140" s="3032"/>
      <c r="G140" s="2198"/>
      <c r="H140" s="2109"/>
      <c r="I140" s="2936"/>
      <c r="J140" s="2109"/>
      <c r="K140" s="2936"/>
      <c r="L140" s="2109"/>
      <c r="M140" s="2936"/>
      <c r="N140" s="2109"/>
      <c r="O140" s="2936"/>
      <c r="P140" s="2109"/>
      <c r="Q140" s="2936"/>
      <c r="R140" s="2109"/>
      <c r="S140" s="2936"/>
      <c r="T140" s="2109" t="s">
        <v>671</v>
      </c>
      <c r="U140" s="2936"/>
      <c r="V140" s="2109" t="s">
        <v>671</v>
      </c>
      <c r="W140" s="2936"/>
      <c r="X140" s="2109"/>
      <c r="Y140" s="2936"/>
      <c r="Z140" s="2109"/>
      <c r="AA140" s="2936"/>
      <c r="AB140" s="2109"/>
      <c r="AC140" s="2936"/>
      <c r="AD140" s="2109"/>
      <c r="AE140" s="2936"/>
      <c r="AF140" s="2109"/>
      <c r="AG140" s="2936"/>
      <c r="AH140" s="2109"/>
      <c r="AI140" s="2936"/>
      <c r="AJ140" s="2109"/>
      <c r="AK140" s="2936"/>
      <c r="AL140" s="2109"/>
      <c r="AM140" s="2936"/>
    </row>
    <row r="141" spans="1:39" x14ac:dyDescent="0.35">
      <c r="A141" s="2934"/>
      <c r="B141" s="3053" t="s">
        <v>3579</v>
      </c>
      <c r="C141" s="3052"/>
      <c r="D141" s="3032"/>
      <c r="E141" s="3032"/>
      <c r="F141" s="3032"/>
      <c r="G141" s="2198"/>
      <c r="H141" s="2109"/>
      <c r="I141" s="2936"/>
      <c r="J141" s="2109"/>
      <c r="K141" s="2936"/>
      <c r="L141" s="2109"/>
      <c r="M141" s="2936"/>
      <c r="N141" s="2109"/>
      <c r="O141" s="2936"/>
      <c r="P141" s="2109"/>
      <c r="Q141" s="2936"/>
      <c r="R141" s="2109"/>
      <c r="S141" s="2936"/>
      <c r="T141" s="2109"/>
      <c r="U141" s="2936"/>
      <c r="V141" s="2109"/>
      <c r="W141" s="2936"/>
      <c r="X141" s="2109"/>
      <c r="Y141" s="2936"/>
      <c r="Z141" s="2109"/>
      <c r="AA141" s="2936"/>
      <c r="AB141" s="2109"/>
      <c r="AC141" s="2936"/>
      <c r="AD141" s="2109"/>
      <c r="AE141" s="2936"/>
      <c r="AF141" s="2109"/>
      <c r="AG141" s="2936"/>
      <c r="AH141" s="2109"/>
      <c r="AI141" s="2936"/>
      <c r="AJ141" s="2109"/>
      <c r="AK141" s="2936"/>
      <c r="AL141" s="2109"/>
      <c r="AM141" s="2936"/>
    </row>
    <row r="142" spans="1:39" x14ac:dyDescent="0.35">
      <c r="A142" s="2934"/>
      <c r="B142" s="3044" t="s">
        <v>3580</v>
      </c>
      <c r="C142" s="3044"/>
      <c r="D142" s="3032" t="s">
        <v>3576</v>
      </c>
      <c r="E142" s="3032"/>
      <c r="F142" s="3032"/>
      <c r="G142" s="2198"/>
      <c r="H142" s="2109"/>
      <c r="I142" s="2936"/>
      <c r="J142" s="2109"/>
      <c r="K142" s="2936"/>
      <c r="L142" s="2109"/>
      <c r="M142" s="2936"/>
      <c r="N142" s="2109"/>
      <c r="O142" s="2936"/>
      <c r="P142" s="2109"/>
      <c r="Q142" s="2936"/>
      <c r="R142" s="2109"/>
      <c r="S142" s="2936"/>
      <c r="T142" s="2109" t="s">
        <v>671</v>
      </c>
      <c r="U142" s="2936"/>
      <c r="V142" s="2109" t="s">
        <v>671</v>
      </c>
      <c r="W142" s="2936"/>
      <c r="X142" s="2109"/>
      <c r="Y142" s="2936"/>
      <c r="Z142" s="2109"/>
      <c r="AA142" s="2936"/>
      <c r="AB142" s="2109"/>
      <c r="AC142" s="2936"/>
      <c r="AD142" s="2109"/>
      <c r="AE142" s="2936"/>
      <c r="AF142" s="2109"/>
      <c r="AG142" s="2936"/>
      <c r="AH142" s="2109"/>
      <c r="AI142" s="2936"/>
      <c r="AJ142" s="2109"/>
      <c r="AK142" s="2936"/>
      <c r="AL142" s="2109"/>
      <c r="AM142" s="2936"/>
    </row>
    <row r="143" spans="1:39" x14ac:dyDescent="0.35">
      <c r="A143" s="2934"/>
      <c r="B143" s="3044" t="s">
        <v>3581</v>
      </c>
      <c r="C143" s="3044"/>
      <c r="D143" s="3032" t="s">
        <v>2540</v>
      </c>
      <c r="E143" s="3032"/>
      <c r="F143" s="3032"/>
      <c r="G143" s="2198"/>
      <c r="H143" s="2109"/>
      <c r="I143" s="2936"/>
      <c r="J143" s="2109"/>
      <c r="K143" s="2936"/>
      <c r="L143" s="2109"/>
      <c r="M143" s="2936"/>
      <c r="N143" s="2109"/>
      <c r="O143" s="2936"/>
      <c r="P143" s="2109"/>
      <c r="Q143" s="2936"/>
      <c r="R143" s="2109"/>
      <c r="S143" s="2936"/>
      <c r="T143" s="2109" t="s">
        <v>671</v>
      </c>
      <c r="U143" s="2936"/>
      <c r="V143" s="2109" t="s">
        <v>671</v>
      </c>
      <c r="W143" s="2936"/>
      <c r="X143" s="2109"/>
      <c r="Y143" s="2936"/>
      <c r="Z143" s="2109"/>
      <c r="AA143" s="2936"/>
      <c r="AB143" s="2109"/>
      <c r="AC143" s="2936"/>
      <c r="AD143" s="2109"/>
      <c r="AE143" s="2936"/>
      <c r="AF143" s="2109"/>
      <c r="AG143" s="2936"/>
      <c r="AH143" s="2109"/>
      <c r="AI143" s="2936"/>
      <c r="AJ143" s="2109"/>
      <c r="AK143" s="2936"/>
      <c r="AL143" s="2109"/>
      <c r="AM143" s="2936"/>
    </row>
    <row r="144" spans="1:39" x14ac:dyDescent="0.35">
      <c r="A144" s="2934"/>
      <c r="B144" s="3044" t="s">
        <v>3582</v>
      </c>
      <c r="C144" s="3044"/>
      <c r="D144" s="3032" t="s">
        <v>2540</v>
      </c>
      <c r="E144" s="3032"/>
      <c r="F144" s="3032"/>
      <c r="G144" s="2198"/>
      <c r="H144" s="2109"/>
      <c r="I144" s="2936"/>
      <c r="J144" s="2109"/>
      <c r="K144" s="2936"/>
      <c r="L144" s="2109"/>
      <c r="M144" s="2936"/>
      <c r="N144" s="2109"/>
      <c r="O144" s="2936"/>
      <c r="P144" s="2109"/>
      <c r="Q144" s="2936"/>
      <c r="R144" s="2109"/>
      <c r="S144" s="2936"/>
      <c r="T144" s="2109" t="s">
        <v>671</v>
      </c>
      <c r="U144" s="2936"/>
      <c r="V144" s="2109" t="s">
        <v>671</v>
      </c>
      <c r="W144" s="2936"/>
      <c r="X144" s="2109"/>
      <c r="Y144" s="2936"/>
      <c r="Z144" s="2109"/>
      <c r="AA144" s="2936"/>
      <c r="AB144" s="2109"/>
      <c r="AC144" s="2936"/>
      <c r="AD144" s="2109"/>
      <c r="AE144" s="2936"/>
      <c r="AF144" s="2109"/>
      <c r="AG144" s="2936"/>
      <c r="AH144" s="2109"/>
      <c r="AI144" s="2936"/>
      <c r="AJ144" s="2109"/>
      <c r="AK144" s="2936"/>
      <c r="AL144" s="2109"/>
      <c r="AM144" s="2936"/>
    </row>
    <row r="145" spans="1:39" ht="26.25" customHeight="1" x14ac:dyDescent="0.35">
      <c r="A145" s="2934"/>
      <c r="B145" s="3044" t="s">
        <v>3583</v>
      </c>
      <c r="C145" s="3044"/>
      <c r="D145" s="3032" t="s">
        <v>3576</v>
      </c>
      <c r="E145" s="3032"/>
      <c r="F145" s="3032"/>
      <c r="G145" s="2198"/>
      <c r="H145" s="2109"/>
      <c r="I145" s="2936"/>
      <c r="J145" s="2109"/>
      <c r="K145" s="2936"/>
      <c r="L145" s="2109"/>
      <c r="M145" s="2936"/>
      <c r="N145" s="2109"/>
      <c r="O145" s="2936"/>
      <c r="P145" s="2109"/>
      <c r="Q145" s="2936"/>
      <c r="R145" s="2109"/>
      <c r="S145" s="2936"/>
      <c r="T145" s="2109" t="s">
        <v>671</v>
      </c>
      <c r="U145" s="2936"/>
      <c r="V145" s="2109" t="s">
        <v>671</v>
      </c>
      <c r="W145" s="2936"/>
      <c r="X145" s="2109"/>
      <c r="Y145" s="2936"/>
      <c r="Z145" s="2109"/>
      <c r="AA145" s="2936"/>
      <c r="AB145" s="2109"/>
      <c r="AC145" s="2936"/>
      <c r="AD145" s="2109"/>
      <c r="AE145" s="2936"/>
      <c r="AF145" s="2109"/>
      <c r="AG145" s="2936"/>
      <c r="AH145" s="2109"/>
      <c r="AI145" s="2936"/>
      <c r="AJ145" s="2109"/>
      <c r="AK145" s="2936"/>
      <c r="AL145" s="2109"/>
      <c r="AM145" s="2936"/>
    </row>
    <row r="146" spans="1:39" x14ac:dyDescent="0.35">
      <c r="A146" s="2934"/>
      <c r="B146" s="3044" t="s">
        <v>3584</v>
      </c>
      <c r="C146" s="3044"/>
      <c r="D146" s="3032" t="s">
        <v>3576</v>
      </c>
      <c r="E146" s="3032"/>
      <c r="F146" s="3032"/>
      <c r="G146" s="2198"/>
      <c r="H146" s="2109"/>
      <c r="I146" s="2936"/>
      <c r="J146" s="2109"/>
      <c r="K146" s="2936"/>
      <c r="L146" s="2109"/>
      <c r="M146" s="2936"/>
      <c r="N146" s="2109"/>
      <c r="O146" s="2936"/>
      <c r="P146" s="2109"/>
      <c r="Q146" s="2936"/>
      <c r="R146" s="2109"/>
      <c r="S146" s="2936"/>
      <c r="T146" s="2109" t="s">
        <v>671</v>
      </c>
      <c r="U146" s="2936"/>
      <c r="V146" s="2109" t="s">
        <v>671</v>
      </c>
      <c r="W146" s="2936"/>
      <c r="X146" s="2109"/>
      <c r="Y146" s="2936"/>
      <c r="Z146" s="2109"/>
      <c r="AA146" s="2936"/>
      <c r="AB146" s="2109"/>
      <c r="AC146" s="2936"/>
      <c r="AD146" s="2109"/>
      <c r="AE146" s="2936"/>
      <c r="AF146" s="2109"/>
      <c r="AG146" s="2936"/>
      <c r="AH146" s="2109"/>
      <c r="AI146" s="2936"/>
      <c r="AJ146" s="2109"/>
      <c r="AK146" s="2936"/>
      <c r="AL146" s="2109"/>
      <c r="AM146" s="2936"/>
    </row>
    <row r="147" spans="1:39" ht="84" customHeight="1" x14ac:dyDescent="0.35">
      <c r="A147" s="2934"/>
      <c r="B147" s="3044" t="s">
        <v>3585</v>
      </c>
      <c r="C147" s="3044"/>
      <c r="D147" s="3032" t="s">
        <v>3576</v>
      </c>
      <c r="E147" s="3032"/>
      <c r="F147" s="3032"/>
      <c r="G147" s="2198"/>
      <c r="H147" s="2109"/>
      <c r="I147" s="2936"/>
      <c r="J147" s="2109"/>
      <c r="K147" s="2936"/>
      <c r="L147" s="2109"/>
      <c r="M147" s="2936"/>
      <c r="N147" s="2109"/>
      <c r="O147" s="2936"/>
      <c r="P147" s="2109"/>
      <c r="Q147" s="2936"/>
      <c r="R147" s="2109"/>
      <c r="S147" s="2936"/>
      <c r="T147" s="2109" t="s">
        <v>671</v>
      </c>
      <c r="U147" s="2936"/>
      <c r="V147" s="2109" t="s">
        <v>671</v>
      </c>
      <c r="W147" s="2936"/>
      <c r="X147" s="2109"/>
      <c r="Y147" s="2936"/>
      <c r="Z147" s="2109"/>
      <c r="AA147" s="2936"/>
      <c r="AB147" s="2109"/>
      <c r="AC147" s="2936"/>
      <c r="AD147" s="2109"/>
      <c r="AE147" s="2936"/>
      <c r="AF147" s="2109"/>
      <c r="AG147" s="2936"/>
      <c r="AH147" s="2109"/>
      <c r="AI147" s="2936"/>
      <c r="AJ147" s="2109"/>
      <c r="AK147" s="2936"/>
      <c r="AL147" s="2109"/>
      <c r="AM147" s="2936"/>
    </row>
    <row r="148" spans="1:39" x14ac:dyDescent="0.35">
      <c r="A148" s="2934"/>
      <c r="B148" s="3044" t="s">
        <v>3586</v>
      </c>
      <c r="C148" s="3044"/>
      <c r="D148" s="3032" t="s">
        <v>3576</v>
      </c>
      <c r="E148" s="3032"/>
      <c r="F148" s="3032"/>
      <c r="G148" s="2198"/>
      <c r="H148" s="2109"/>
      <c r="I148" s="2936"/>
      <c r="J148" s="2109"/>
      <c r="K148" s="2936"/>
      <c r="L148" s="2109"/>
      <c r="M148" s="2936"/>
      <c r="N148" s="2109"/>
      <c r="O148" s="2936"/>
      <c r="P148" s="2109"/>
      <c r="Q148" s="2936"/>
      <c r="R148" s="2109"/>
      <c r="S148" s="2936"/>
      <c r="T148" s="2109"/>
      <c r="U148" s="2936"/>
      <c r="V148" s="2109"/>
      <c r="W148" s="2936"/>
      <c r="X148" s="2109"/>
      <c r="Y148" s="2936"/>
      <c r="Z148" s="2109"/>
      <c r="AA148" s="2936"/>
      <c r="AB148" s="2109"/>
      <c r="AC148" s="2936"/>
      <c r="AD148" s="2109"/>
      <c r="AE148" s="2936"/>
      <c r="AF148" s="2109"/>
      <c r="AG148" s="2936"/>
      <c r="AH148" s="2109"/>
      <c r="AI148" s="2936"/>
      <c r="AJ148" s="2109"/>
      <c r="AK148" s="2936"/>
      <c r="AL148" s="2109"/>
      <c r="AM148" s="2936"/>
    </row>
    <row r="149" spans="1:39" x14ac:dyDescent="0.35">
      <c r="A149" s="2934"/>
      <c r="B149" s="3044" t="s">
        <v>3587</v>
      </c>
      <c r="C149" s="3044"/>
      <c r="D149" s="3032" t="s">
        <v>3544</v>
      </c>
      <c r="E149" s="3032"/>
      <c r="F149" s="3032"/>
      <c r="G149" s="2198"/>
      <c r="H149" s="2109"/>
      <c r="I149" s="2936"/>
      <c r="J149" s="2109"/>
      <c r="K149" s="2936"/>
      <c r="L149" s="2109"/>
      <c r="M149" s="2936"/>
      <c r="N149" s="2109"/>
      <c r="O149" s="2936"/>
      <c r="P149" s="2109"/>
      <c r="Q149" s="2936"/>
      <c r="R149" s="2109"/>
      <c r="S149" s="2936"/>
      <c r="T149" s="2109"/>
      <c r="U149" s="2936"/>
      <c r="V149" s="2109"/>
      <c r="W149" s="2936"/>
      <c r="X149" s="2109"/>
      <c r="Y149" s="2936"/>
      <c r="Z149" s="2109"/>
      <c r="AA149" s="2936"/>
      <c r="AB149" s="2109"/>
      <c r="AC149" s="2936"/>
      <c r="AD149" s="2109"/>
      <c r="AE149" s="2936"/>
      <c r="AF149" s="2109"/>
      <c r="AG149" s="2936"/>
      <c r="AH149" s="2109"/>
      <c r="AI149" s="2936"/>
      <c r="AJ149" s="2109"/>
      <c r="AK149" s="2936"/>
      <c r="AL149" s="2109"/>
      <c r="AM149" s="2936"/>
    </row>
    <row r="150" spans="1:39" ht="26.25" customHeight="1" x14ac:dyDescent="0.35">
      <c r="A150" s="2934"/>
      <c r="B150" s="3044" t="s">
        <v>3588</v>
      </c>
      <c r="C150" s="3044"/>
      <c r="D150" s="3032" t="s">
        <v>3576</v>
      </c>
      <c r="E150" s="3032"/>
      <c r="F150" s="3032"/>
      <c r="G150" s="2198"/>
      <c r="H150" s="2109"/>
      <c r="I150" s="2936"/>
      <c r="J150" s="2109"/>
      <c r="K150" s="2936"/>
      <c r="L150" s="2109"/>
      <c r="M150" s="2936"/>
      <c r="N150" s="2109"/>
      <c r="O150" s="2936"/>
      <c r="P150" s="2109"/>
      <c r="Q150" s="2936"/>
      <c r="R150" s="2109"/>
      <c r="S150" s="2936"/>
      <c r="T150" s="2109"/>
      <c r="U150" s="2936"/>
      <c r="V150" s="2109"/>
      <c r="W150" s="2936"/>
      <c r="X150" s="2109"/>
      <c r="Y150" s="2936"/>
      <c r="Z150" s="2109"/>
      <c r="AA150" s="2936"/>
      <c r="AB150" s="2109"/>
      <c r="AC150" s="2936"/>
      <c r="AD150" s="2109"/>
      <c r="AE150" s="2936"/>
      <c r="AF150" s="2109"/>
      <c r="AG150" s="2936"/>
      <c r="AH150" s="2109"/>
      <c r="AI150" s="2936"/>
      <c r="AJ150" s="2109"/>
      <c r="AK150" s="2936"/>
      <c r="AL150" s="2109"/>
      <c r="AM150" s="2936"/>
    </row>
    <row r="151" spans="1:39" ht="23" x14ac:dyDescent="0.35">
      <c r="A151" s="2934"/>
      <c r="B151" s="3044" t="s">
        <v>3589</v>
      </c>
      <c r="C151" s="3044"/>
      <c r="D151" s="3032" t="s">
        <v>3576</v>
      </c>
      <c r="E151" s="3032"/>
      <c r="F151" s="3032"/>
      <c r="G151" s="2198"/>
      <c r="H151" s="2109"/>
      <c r="I151" s="2936"/>
      <c r="J151" s="2109"/>
      <c r="K151" s="2936"/>
      <c r="L151" s="2109"/>
      <c r="M151" s="2936"/>
      <c r="N151" s="2109"/>
      <c r="O151" s="2936"/>
      <c r="P151" s="2109"/>
      <c r="Q151" s="2936"/>
      <c r="R151" s="2109"/>
      <c r="S151" s="2936"/>
      <c r="T151" s="2109"/>
      <c r="U151" s="2936"/>
      <c r="V151" s="2109"/>
      <c r="W151" s="2936"/>
      <c r="X151" s="2109"/>
      <c r="Y151" s="2936"/>
      <c r="Z151" s="2109"/>
      <c r="AA151" s="2936"/>
      <c r="AB151" s="2109"/>
      <c r="AC151" s="2936"/>
      <c r="AD151" s="2109"/>
      <c r="AE151" s="2936"/>
      <c r="AF151" s="2109"/>
      <c r="AG151" s="2936"/>
      <c r="AH151" s="2109"/>
      <c r="AI151" s="2936"/>
      <c r="AJ151" s="2109"/>
      <c r="AK151" s="2936"/>
      <c r="AL151" s="2109"/>
      <c r="AM151" s="2936"/>
    </row>
    <row r="152" spans="1:39" x14ac:dyDescent="0.35">
      <c r="A152" s="2934"/>
      <c r="B152" s="3044" t="s">
        <v>3590</v>
      </c>
      <c r="C152" s="3044"/>
      <c r="D152" s="3032" t="s">
        <v>3576</v>
      </c>
      <c r="E152" s="3032"/>
      <c r="F152" s="3032"/>
      <c r="G152" s="2198"/>
      <c r="H152" s="2109"/>
      <c r="I152" s="2936"/>
      <c r="J152" s="2109"/>
      <c r="K152" s="2936"/>
      <c r="L152" s="2109"/>
      <c r="M152" s="2936"/>
      <c r="N152" s="2109"/>
      <c r="O152" s="2936"/>
      <c r="P152" s="2109"/>
      <c r="Q152" s="2936"/>
      <c r="R152" s="2109"/>
      <c r="S152" s="2936"/>
      <c r="T152" s="2109"/>
      <c r="U152" s="2936"/>
      <c r="V152" s="2109"/>
      <c r="W152" s="2936"/>
      <c r="X152" s="2109"/>
      <c r="Y152" s="2936"/>
      <c r="Z152" s="2109"/>
      <c r="AA152" s="2936"/>
      <c r="AB152" s="2109"/>
      <c r="AC152" s="2936"/>
      <c r="AD152" s="2109"/>
      <c r="AE152" s="2936"/>
      <c r="AF152" s="2109"/>
      <c r="AG152" s="2936"/>
      <c r="AH152" s="2109"/>
      <c r="AI152" s="2936"/>
      <c r="AJ152" s="2109"/>
      <c r="AK152" s="2936"/>
      <c r="AL152" s="2109"/>
      <c r="AM152" s="2936"/>
    </row>
    <row r="153" spans="1:39" ht="22.5" customHeight="1" x14ac:dyDescent="0.35">
      <c r="A153" s="2934"/>
      <c r="B153" s="3044" t="s">
        <v>3591</v>
      </c>
      <c r="C153" s="3044"/>
      <c r="D153" s="3032" t="s">
        <v>3576</v>
      </c>
      <c r="E153" s="3032"/>
      <c r="F153" s="3032"/>
      <c r="G153" s="2198"/>
      <c r="H153" s="2109"/>
      <c r="I153" s="2936"/>
      <c r="J153" s="2109"/>
      <c r="K153" s="2936"/>
      <c r="L153" s="2109"/>
      <c r="M153" s="2936"/>
      <c r="N153" s="2109"/>
      <c r="O153" s="2936"/>
      <c r="P153" s="2109"/>
      <c r="Q153" s="2936"/>
      <c r="R153" s="2109"/>
      <c r="S153" s="2936"/>
      <c r="T153" s="2109"/>
      <c r="U153" s="2936"/>
      <c r="V153" s="2109"/>
      <c r="W153" s="2936"/>
      <c r="X153" s="2109"/>
      <c r="Y153" s="2936"/>
      <c r="Z153" s="2109"/>
      <c r="AA153" s="2936"/>
      <c r="AB153" s="2109"/>
      <c r="AC153" s="2936"/>
      <c r="AD153" s="2109"/>
      <c r="AE153" s="2936"/>
      <c r="AF153" s="2109"/>
      <c r="AG153" s="2936"/>
      <c r="AH153" s="2109"/>
      <c r="AI153" s="2936"/>
      <c r="AJ153" s="2109"/>
      <c r="AK153" s="2936"/>
      <c r="AL153" s="2109"/>
      <c r="AM153" s="2936"/>
    </row>
    <row r="154" spans="1:39" x14ac:dyDescent="0.35">
      <c r="A154" s="2934"/>
      <c r="B154" s="3044" t="s">
        <v>3592</v>
      </c>
      <c r="C154" s="3044"/>
      <c r="D154" s="3032" t="s">
        <v>3576</v>
      </c>
      <c r="E154" s="3032"/>
      <c r="F154" s="3032"/>
      <c r="G154" s="2198"/>
      <c r="H154" s="2109"/>
      <c r="I154" s="2936"/>
      <c r="J154" s="2109"/>
      <c r="K154" s="2936"/>
      <c r="L154" s="2109"/>
      <c r="M154" s="2936"/>
      <c r="N154" s="2109"/>
      <c r="O154" s="2936"/>
      <c r="P154" s="2109"/>
      <c r="Q154" s="2936"/>
      <c r="R154" s="2038"/>
      <c r="S154" s="2936"/>
      <c r="T154" s="2038"/>
      <c r="U154" s="2936"/>
      <c r="V154" s="2038"/>
      <c r="W154" s="2936"/>
      <c r="X154" s="2038"/>
      <c r="Y154" s="2936"/>
      <c r="Z154" s="2038"/>
      <c r="AA154" s="2936"/>
      <c r="AB154" s="2038"/>
      <c r="AC154" s="2936"/>
      <c r="AD154" s="2038"/>
      <c r="AE154" s="2936"/>
      <c r="AF154" s="2109"/>
      <c r="AG154" s="2936"/>
      <c r="AH154" s="2109"/>
      <c r="AI154" s="2936"/>
      <c r="AJ154" s="2038"/>
      <c r="AK154" s="2936"/>
      <c r="AL154" s="2038"/>
      <c r="AM154" s="2936"/>
    </row>
    <row r="155" spans="1:39" x14ac:dyDescent="0.35">
      <c r="A155" s="2934"/>
      <c r="B155" s="3044" t="s">
        <v>3593</v>
      </c>
      <c r="C155" s="3044"/>
      <c r="D155" s="3032" t="s">
        <v>3576</v>
      </c>
      <c r="E155" s="3032"/>
      <c r="F155" s="3032"/>
      <c r="G155" s="2198"/>
      <c r="H155" s="2038"/>
      <c r="I155" s="2936"/>
      <c r="J155" s="2038"/>
      <c r="K155" s="2936"/>
      <c r="L155" s="2038"/>
      <c r="M155" s="2936"/>
      <c r="N155" s="2038"/>
      <c r="O155" s="2936"/>
      <c r="P155" s="2038"/>
      <c r="Q155" s="2936"/>
      <c r="R155" s="2038"/>
      <c r="S155" s="2936"/>
      <c r="T155" s="2038"/>
      <c r="U155" s="2936"/>
      <c r="V155" s="2038"/>
      <c r="W155" s="2936"/>
      <c r="X155" s="2038"/>
      <c r="Y155" s="2936"/>
      <c r="Z155" s="2038"/>
      <c r="AA155" s="2936"/>
      <c r="AB155" s="2038"/>
      <c r="AC155" s="2936"/>
      <c r="AD155" s="2038"/>
      <c r="AE155" s="2936"/>
      <c r="AF155" s="2109"/>
      <c r="AG155" s="2936"/>
      <c r="AH155" s="2109"/>
      <c r="AI155" s="2936"/>
      <c r="AJ155" s="2038"/>
      <c r="AK155" s="2936"/>
      <c r="AL155" s="2038"/>
      <c r="AM155" s="2936"/>
    </row>
    <row r="156" spans="1:39" x14ac:dyDescent="0.35">
      <c r="A156" s="2934"/>
      <c r="B156" s="3044" t="s">
        <v>3594</v>
      </c>
      <c r="C156" s="3044"/>
      <c r="D156" s="3032" t="s">
        <v>3576</v>
      </c>
      <c r="E156" s="3032"/>
      <c r="F156" s="3032"/>
      <c r="G156" s="2198"/>
      <c r="H156" s="2038"/>
      <c r="I156" s="2936"/>
      <c r="J156" s="2038"/>
      <c r="K156" s="2936"/>
      <c r="L156" s="2038"/>
      <c r="M156" s="2936"/>
      <c r="N156" s="2038"/>
      <c r="O156" s="2936"/>
      <c r="P156" s="2038"/>
      <c r="Q156" s="2936"/>
      <c r="R156" s="2038"/>
      <c r="S156" s="2936"/>
      <c r="T156" s="2038"/>
      <c r="U156" s="2936"/>
      <c r="V156" s="2038"/>
      <c r="W156" s="2936"/>
      <c r="X156" s="2038"/>
      <c r="Y156" s="2936"/>
      <c r="Z156" s="2038"/>
      <c r="AA156" s="2936"/>
      <c r="AB156" s="2038"/>
      <c r="AC156" s="2936"/>
      <c r="AD156" s="2038"/>
      <c r="AE156" s="2936"/>
      <c r="AF156" s="2109"/>
      <c r="AG156" s="2936"/>
      <c r="AH156" s="2109"/>
      <c r="AI156" s="2936"/>
      <c r="AJ156" s="2038"/>
      <c r="AK156" s="2936"/>
      <c r="AL156" s="2038"/>
      <c r="AM156" s="2936"/>
    </row>
    <row r="157" spans="1:39" x14ac:dyDescent="0.35">
      <c r="A157" s="2934"/>
      <c r="B157" s="3044" t="s">
        <v>3595</v>
      </c>
      <c r="C157" s="3044"/>
      <c r="D157" s="3032"/>
      <c r="E157" s="3032"/>
      <c r="F157" s="3032"/>
      <c r="G157" s="2198"/>
      <c r="H157" s="2109"/>
      <c r="I157" s="2936"/>
      <c r="J157" s="2109"/>
      <c r="K157" s="2936"/>
      <c r="L157" s="2109"/>
      <c r="M157" s="2936"/>
      <c r="N157" s="2109"/>
      <c r="O157" s="2936"/>
      <c r="P157" s="2109"/>
      <c r="Q157" s="2936"/>
      <c r="R157" s="2038"/>
      <c r="S157" s="2936"/>
      <c r="T157" s="2038"/>
      <c r="U157" s="2936"/>
      <c r="V157" s="2038"/>
      <c r="W157" s="2936"/>
      <c r="X157" s="2038"/>
      <c r="Y157" s="2936"/>
      <c r="Z157" s="2038"/>
      <c r="AA157" s="2936"/>
      <c r="AB157" s="2038"/>
      <c r="AC157" s="2936"/>
      <c r="AD157" s="2038"/>
      <c r="AE157" s="2936"/>
      <c r="AF157" s="2109"/>
      <c r="AG157" s="2936"/>
      <c r="AH157" s="2109"/>
      <c r="AI157" s="2936"/>
      <c r="AJ157" s="2038"/>
      <c r="AK157" s="2936"/>
      <c r="AL157" s="2038"/>
      <c r="AM157" s="2936"/>
    </row>
    <row r="158" spans="1:39" x14ac:dyDescent="0.35">
      <c r="A158" s="2934"/>
      <c r="B158" s="3044" t="s">
        <v>3596</v>
      </c>
      <c r="C158" s="3044"/>
      <c r="D158" s="3032" t="s">
        <v>3597</v>
      </c>
      <c r="E158" s="3032"/>
      <c r="F158" s="3032"/>
      <c r="G158" s="2198"/>
      <c r="H158" s="2038" t="s">
        <v>669</v>
      </c>
      <c r="I158" s="2936"/>
      <c r="J158" s="2038" t="s">
        <v>669</v>
      </c>
      <c r="K158" s="2936"/>
      <c r="L158" s="2038" t="s">
        <v>669</v>
      </c>
      <c r="M158" s="2936"/>
      <c r="N158" s="2038" t="s">
        <v>669</v>
      </c>
      <c r="O158" s="2936"/>
      <c r="P158" s="2038" t="s">
        <v>669</v>
      </c>
      <c r="Q158" s="2936"/>
      <c r="R158" s="2109" t="s">
        <v>669</v>
      </c>
      <c r="S158" s="2936"/>
      <c r="T158" s="2109" t="s">
        <v>669</v>
      </c>
      <c r="U158" s="2936"/>
      <c r="V158" s="2109" t="s">
        <v>669</v>
      </c>
      <c r="W158" s="2936"/>
      <c r="X158" s="2038"/>
      <c r="Y158" s="2936"/>
      <c r="Z158" s="2038"/>
      <c r="AA158" s="2936"/>
      <c r="AB158" s="2038"/>
      <c r="AC158" s="2936"/>
      <c r="AD158" s="2038"/>
      <c r="AE158" s="2936"/>
      <c r="AF158" s="2109"/>
      <c r="AG158" s="2936"/>
      <c r="AH158" s="2109"/>
      <c r="AI158" s="2936"/>
      <c r="AJ158" s="2109" t="s">
        <v>669</v>
      </c>
      <c r="AK158" s="2936"/>
      <c r="AL158" s="2109" t="s">
        <v>669</v>
      </c>
      <c r="AM158" s="2936"/>
    </row>
    <row r="159" spans="1:39" x14ac:dyDescent="0.35">
      <c r="A159" s="2934"/>
      <c r="B159" s="3044" t="s">
        <v>3598</v>
      </c>
      <c r="C159" s="3044"/>
      <c r="D159" s="3032" t="s">
        <v>3597</v>
      </c>
      <c r="E159" s="3032"/>
      <c r="F159" s="3032"/>
      <c r="G159" s="2198"/>
      <c r="H159" s="2038"/>
      <c r="I159" s="2936"/>
      <c r="J159" s="2038"/>
      <c r="K159" s="2936"/>
      <c r="L159" s="2038"/>
      <c r="M159" s="2936"/>
      <c r="N159" s="2038"/>
      <c r="O159" s="2936"/>
      <c r="P159" s="2038"/>
      <c r="Q159" s="2936"/>
      <c r="R159" s="2109" t="s">
        <v>671</v>
      </c>
      <c r="S159" s="2936"/>
      <c r="T159" s="2109" t="s">
        <v>671</v>
      </c>
      <c r="U159" s="2936"/>
      <c r="V159" s="2109" t="s">
        <v>671</v>
      </c>
      <c r="W159" s="2936"/>
      <c r="X159" s="2109"/>
      <c r="Y159" s="2936"/>
      <c r="Z159" s="2109"/>
      <c r="AA159" s="2936"/>
      <c r="AB159" s="2109"/>
      <c r="AC159" s="2936"/>
      <c r="AD159" s="2109"/>
      <c r="AE159" s="2936"/>
      <c r="AF159" s="2109"/>
      <c r="AG159" s="2936"/>
      <c r="AH159" s="2109"/>
      <c r="AI159" s="2936"/>
      <c r="AJ159" s="2109" t="s">
        <v>671</v>
      </c>
      <c r="AK159" s="2936"/>
      <c r="AL159" s="2109" t="s">
        <v>671</v>
      </c>
      <c r="AM159" s="2936"/>
    </row>
    <row r="160" spans="1:39" x14ac:dyDescent="0.35">
      <c r="A160" s="14"/>
      <c r="B160" s="15"/>
      <c r="C160" s="16"/>
      <c r="D160" s="16"/>
      <c r="E160" s="17"/>
      <c r="F160" s="18" t="s">
        <v>715</v>
      </c>
      <c r="G160" s="19"/>
      <c r="H160" s="20"/>
      <c r="I160" s="50">
        <f>SUM(I30:I131)</f>
        <v>9286519</v>
      </c>
      <c r="J160" s="20"/>
      <c r="K160" s="50">
        <f>SUM(K30:K131)</f>
        <v>9420000</v>
      </c>
      <c r="L160" s="20"/>
      <c r="M160" s="50">
        <f>SUM(M30:M131)</f>
        <v>8750000</v>
      </c>
      <c r="N160" s="20"/>
      <c r="O160" s="50">
        <f>SUM(O30:O131)</f>
        <v>8697590</v>
      </c>
      <c r="P160" s="20"/>
      <c r="Q160" s="50">
        <f>SUM(Q30:Q131)</f>
        <v>8797415</v>
      </c>
      <c r="R160" s="20"/>
      <c r="S160" s="50">
        <f>SUM(S30:S131)</f>
        <v>9395000</v>
      </c>
      <c r="T160" s="20"/>
      <c r="U160" s="50">
        <f>SUM(U30:U158)</f>
        <v>9280000</v>
      </c>
      <c r="V160" s="20"/>
      <c r="W160" s="50">
        <f>SUM(W30:W158)</f>
        <v>8380000</v>
      </c>
      <c r="X160" s="20"/>
      <c r="Y160" s="50">
        <f>SUM(Y30:Y131)</f>
        <v>9892544</v>
      </c>
      <c r="Z160" s="20"/>
      <c r="AA160" s="50">
        <f>SUM(AA30:AA131)</f>
        <v>9937206</v>
      </c>
      <c r="AB160" s="20"/>
      <c r="AC160" s="50">
        <f>SUM(AC30:AC131)</f>
        <v>11300000</v>
      </c>
      <c r="AD160" s="20"/>
      <c r="AE160" s="50">
        <f>SUM(AE30:AE131)</f>
        <v>13445565</v>
      </c>
      <c r="AF160" s="20"/>
      <c r="AG160" s="50">
        <f>SUM(AG30:AG131)</f>
        <v>1179055</v>
      </c>
      <c r="AH160" s="20"/>
      <c r="AI160" s="50">
        <f>SUM(AI30:AI131)</f>
        <v>962983</v>
      </c>
      <c r="AJ160" s="20"/>
      <c r="AK160" s="50">
        <f>SUM(AK30:AK131)</f>
        <v>6937600</v>
      </c>
      <c r="AL160" s="20"/>
      <c r="AM160" s="50">
        <f>SUM(AM30:AM131)</f>
        <v>8349020</v>
      </c>
    </row>
    <row r="161" spans="1:39" x14ac:dyDescent="0.35">
      <c r="A161" s="2973"/>
      <c r="B161" s="2974"/>
      <c r="C161" s="2975"/>
      <c r="D161" s="2975"/>
      <c r="E161" s="2976"/>
      <c r="F161" s="2977" t="s">
        <v>716</v>
      </c>
      <c r="G161" s="2244"/>
      <c r="H161" s="2063">
        <v>0</v>
      </c>
      <c r="I161" s="960"/>
      <c r="J161" s="2063">
        <v>0</v>
      </c>
      <c r="K161" s="960"/>
      <c r="L161" s="2063">
        <v>0</v>
      </c>
      <c r="M161" s="960"/>
      <c r="N161" s="2063">
        <v>0</v>
      </c>
      <c r="O161" s="960"/>
      <c r="P161" s="2063">
        <v>0</v>
      </c>
      <c r="Q161" s="960"/>
      <c r="R161" s="2063">
        <v>0</v>
      </c>
      <c r="S161" s="960"/>
      <c r="T161" s="2063">
        <v>0</v>
      </c>
      <c r="U161" s="960"/>
      <c r="V161" s="2063">
        <v>0</v>
      </c>
      <c r="W161" s="960"/>
      <c r="X161" s="2063">
        <v>0</v>
      </c>
      <c r="Y161" s="960"/>
      <c r="Z161" s="2063">
        <v>0</v>
      </c>
      <c r="AA161" s="960"/>
      <c r="AB161" s="2063">
        <v>0</v>
      </c>
      <c r="AC161" s="960"/>
      <c r="AD161" s="2063">
        <v>0</v>
      </c>
      <c r="AE161" s="960"/>
      <c r="AF161" s="2063">
        <v>0</v>
      </c>
      <c r="AG161" s="960"/>
      <c r="AH161" s="2063">
        <v>0</v>
      </c>
      <c r="AI161" s="960"/>
      <c r="AJ161" s="2063">
        <v>0</v>
      </c>
      <c r="AK161" s="960"/>
      <c r="AL161" s="2063">
        <v>0</v>
      </c>
      <c r="AM161" s="960"/>
    </row>
    <row r="162" spans="1:39" x14ac:dyDescent="0.35">
      <c r="A162" s="2973"/>
      <c r="B162" s="2974"/>
      <c r="C162" s="2975"/>
      <c r="D162" s="2975"/>
      <c r="E162" s="2976"/>
      <c r="F162" s="2977" t="s">
        <v>717</v>
      </c>
      <c r="G162" s="2244"/>
      <c r="H162" s="2066"/>
      <c r="I162" s="2070">
        <f>I160*H161</f>
        <v>0</v>
      </c>
      <c r="J162" s="2066"/>
      <c r="K162" s="2070">
        <f>K160*J161</f>
        <v>0</v>
      </c>
      <c r="L162" s="2066"/>
      <c r="M162" s="2070">
        <f>M160*L161</f>
        <v>0</v>
      </c>
      <c r="N162" s="2066"/>
      <c r="O162" s="2070">
        <f>O160*N161</f>
        <v>0</v>
      </c>
      <c r="P162" s="2066"/>
      <c r="Q162" s="2070">
        <f>Q160*P161</f>
        <v>0</v>
      </c>
      <c r="R162" s="2066"/>
      <c r="S162" s="2070">
        <f>S160*R161</f>
        <v>0</v>
      </c>
      <c r="T162" s="2066"/>
      <c r="U162" s="2070">
        <f>U160*T161</f>
        <v>0</v>
      </c>
      <c r="V162" s="2066"/>
      <c r="W162" s="2070">
        <f>W160*V161</f>
        <v>0</v>
      </c>
      <c r="X162" s="2066"/>
      <c r="Y162" s="2070">
        <f>Y160*X161</f>
        <v>0</v>
      </c>
      <c r="Z162" s="2066"/>
      <c r="AA162" s="2070">
        <f>AA160*Z161</f>
        <v>0</v>
      </c>
      <c r="AB162" s="2066"/>
      <c r="AC162" s="2070">
        <f>AC160*AB161</f>
        <v>0</v>
      </c>
      <c r="AD162" s="2066"/>
      <c r="AE162" s="2070">
        <f>AE160*AD161</f>
        <v>0</v>
      </c>
      <c r="AF162" s="2066"/>
      <c r="AG162" s="2070">
        <f>AG160*AF161</f>
        <v>0</v>
      </c>
      <c r="AH162" s="2066"/>
      <c r="AI162" s="2070">
        <f>AI160*AH161</f>
        <v>0</v>
      </c>
      <c r="AJ162" s="2066"/>
      <c r="AK162" s="2070">
        <f>AK160*AJ161</f>
        <v>0</v>
      </c>
      <c r="AL162" s="2066"/>
      <c r="AM162" s="2070">
        <f>AM160*AL161</f>
        <v>0</v>
      </c>
    </row>
    <row r="163" spans="1:39" x14ac:dyDescent="0.35">
      <c r="A163" s="2973"/>
      <c r="B163" s="2974"/>
      <c r="C163" s="2975"/>
      <c r="D163" s="2975"/>
      <c r="E163" s="2976"/>
      <c r="F163" s="2977"/>
      <c r="G163" s="2244"/>
      <c r="H163" s="2066"/>
      <c r="I163" s="2068"/>
      <c r="J163" s="2066"/>
      <c r="K163" s="2068"/>
      <c r="L163" s="2066"/>
      <c r="M163" s="2068"/>
      <c r="N163" s="2066"/>
      <c r="O163" s="2068"/>
      <c r="P163" s="2066"/>
      <c r="Q163" s="2068"/>
      <c r="R163" s="2066"/>
      <c r="S163" s="2068"/>
      <c r="T163" s="2066"/>
      <c r="U163" s="2068"/>
      <c r="V163" s="2066"/>
      <c r="W163" s="2068"/>
      <c r="X163" s="2066"/>
      <c r="Y163" s="2068"/>
      <c r="Z163" s="2066"/>
      <c r="AA163" s="2068"/>
      <c r="AB163" s="2066"/>
      <c r="AC163" s="2068"/>
      <c r="AD163" s="2066"/>
      <c r="AE163" s="2068"/>
      <c r="AF163" s="2066"/>
      <c r="AG163" s="2068"/>
      <c r="AH163" s="2066"/>
      <c r="AI163" s="2068"/>
      <c r="AJ163" s="2066"/>
      <c r="AK163" s="2068"/>
      <c r="AL163" s="2066"/>
      <c r="AM163" s="2068"/>
    </row>
    <row r="164" spans="1:39" x14ac:dyDescent="0.35">
      <c r="A164" s="2973"/>
      <c r="B164" s="2974"/>
      <c r="C164" s="2975"/>
      <c r="D164" s="2975"/>
      <c r="E164" s="2976"/>
      <c r="F164" s="2977" t="s">
        <v>718</v>
      </c>
      <c r="G164" s="2244"/>
      <c r="H164" s="2069"/>
      <c r="I164" s="2070">
        <f>SUM(I160:I162)</f>
        <v>9286519</v>
      </c>
      <c r="J164" s="2069"/>
      <c r="K164" s="2070">
        <f>SUM(K160:K162)</f>
        <v>9420000</v>
      </c>
      <c r="L164" s="2069"/>
      <c r="M164" s="2070">
        <f>SUM(M160:M162)</f>
        <v>8750000</v>
      </c>
      <c r="N164" s="2069"/>
      <c r="O164" s="2070">
        <f>SUM(O160:O162)</f>
        <v>8697590</v>
      </c>
      <c r="P164" s="2069"/>
      <c r="Q164" s="2070">
        <f>SUM(Q160:Q162)</f>
        <v>8797415</v>
      </c>
      <c r="R164" s="2069"/>
      <c r="S164" s="2070">
        <f>SUM(S160:S162)</f>
        <v>9395000</v>
      </c>
      <c r="T164" s="2069"/>
      <c r="U164" s="2070">
        <f>SUM(U160:U162)</f>
        <v>9280000</v>
      </c>
      <c r="V164" s="2069"/>
      <c r="W164" s="2070">
        <f>SUM(W160:W162)</f>
        <v>8380000</v>
      </c>
      <c r="X164" s="2069"/>
      <c r="Y164" s="2070">
        <f>SUM(Y160:Y162)</f>
        <v>9892544</v>
      </c>
      <c r="Z164" s="2069"/>
      <c r="AA164" s="2070">
        <f>SUM(AA160:AA162)</f>
        <v>9937206</v>
      </c>
      <c r="AB164" s="2069"/>
      <c r="AC164" s="2070">
        <f>SUM(AC160:AC162)</f>
        <v>11300000</v>
      </c>
      <c r="AD164" s="2069"/>
      <c r="AE164" s="2070">
        <f>SUM(AE160:AE162)</f>
        <v>13445565</v>
      </c>
      <c r="AF164" s="2069"/>
      <c r="AG164" s="2070">
        <f>SUM(AG160:AG162)</f>
        <v>1179055</v>
      </c>
      <c r="AH164" s="2069"/>
      <c r="AI164" s="2070">
        <f>SUM(AI160:AI162)</f>
        <v>962983</v>
      </c>
      <c r="AJ164" s="2069"/>
      <c r="AK164" s="2070">
        <f>SUM(AK160:AK162)</f>
        <v>6937600</v>
      </c>
      <c r="AL164" s="2069"/>
      <c r="AM164" s="2070">
        <f>SUM(AM160:AM162)</f>
        <v>8349020</v>
      </c>
    </row>
    <row r="165" spans="1:39" x14ac:dyDescent="0.35">
      <c r="A165" s="2973"/>
      <c r="B165" s="2974"/>
      <c r="C165" s="2975"/>
      <c r="D165" s="2975"/>
      <c r="E165" s="2976"/>
      <c r="F165" s="2991" t="s">
        <v>719</v>
      </c>
      <c r="G165" s="2256"/>
      <c r="H165" s="2073"/>
      <c r="I165" s="2074" t="e">
        <f>I164/#REF!</f>
        <v>#REF!</v>
      </c>
      <c r="J165" s="2073"/>
      <c r="K165" s="2074" t="e">
        <f>K164/#REF!</f>
        <v>#REF!</v>
      </c>
      <c r="L165" s="2073"/>
      <c r="M165" s="2074" t="e">
        <f>M164/#REF!</f>
        <v>#REF!</v>
      </c>
      <c r="N165" s="2073"/>
      <c r="O165" s="2074" t="e">
        <f>O164/#REF!</f>
        <v>#REF!</v>
      </c>
      <c r="P165" s="2073"/>
      <c r="Q165" s="2074" t="e">
        <f>Q164/#REF!</f>
        <v>#REF!</v>
      </c>
      <c r="R165" s="2073"/>
      <c r="S165" s="2074" t="e">
        <f>S164/#REF!</f>
        <v>#REF!</v>
      </c>
      <c r="T165" s="2073"/>
      <c r="U165" s="2074" t="e">
        <f>U164/#REF!</f>
        <v>#REF!</v>
      </c>
      <c r="V165" s="2073"/>
      <c r="W165" s="2074" t="e">
        <f>W164/#REF!</f>
        <v>#REF!</v>
      </c>
      <c r="X165" s="2073"/>
      <c r="Y165" s="2074" t="e">
        <f>Y164/#REF!</f>
        <v>#REF!</v>
      </c>
      <c r="Z165" s="2073"/>
      <c r="AA165" s="2074" t="e">
        <f>AA164/#REF!</f>
        <v>#REF!</v>
      </c>
      <c r="AB165" s="2073"/>
      <c r="AC165" s="2074" t="e">
        <f>AC164/#REF!</f>
        <v>#REF!</v>
      </c>
      <c r="AD165" s="2073"/>
      <c r="AE165" s="2074" t="e">
        <f>AE164/#REF!</f>
        <v>#REF!</v>
      </c>
      <c r="AF165" s="2073"/>
      <c r="AG165" s="2074" t="e">
        <f>AG164/#REF!</f>
        <v>#REF!</v>
      </c>
      <c r="AH165" s="2073"/>
      <c r="AI165" s="2074" t="e">
        <f>AI164/#REF!</f>
        <v>#REF!</v>
      </c>
      <c r="AJ165" s="2073"/>
      <c r="AK165" s="2074" t="e">
        <f>AK164/#REF!</f>
        <v>#REF!</v>
      </c>
      <c r="AL165" s="2073"/>
      <c r="AM165" s="2074" t="e">
        <f>AM164/#REF!</f>
        <v>#REF!</v>
      </c>
    </row>
    <row r="166" spans="1:39" x14ac:dyDescent="0.35">
      <c r="A166" s="2973"/>
      <c r="B166" s="2974"/>
      <c r="C166" s="2975"/>
      <c r="D166" s="2975"/>
      <c r="E166" s="2976"/>
      <c r="F166" s="2991" t="s">
        <v>720</v>
      </c>
      <c r="G166" s="2260"/>
      <c r="H166" s="2073"/>
      <c r="I166" s="2074" t="e">
        <f>I164/#REF!</f>
        <v>#REF!</v>
      </c>
      <c r="J166" s="2073"/>
      <c r="K166" s="2074" t="e">
        <f>K164/#REF!</f>
        <v>#REF!</v>
      </c>
      <c r="L166" s="2073"/>
      <c r="M166" s="2074" t="e">
        <f>M164/#REF!</f>
        <v>#REF!</v>
      </c>
      <c r="N166" s="2073"/>
      <c r="O166" s="2074" t="e">
        <f>O164/#REF!</f>
        <v>#REF!</v>
      </c>
      <c r="P166" s="2073"/>
      <c r="Q166" s="2074" t="e">
        <f>Q164/#REF!</f>
        <v>#REF!</v>
      </c>
      <c r="R166" s="2073"/>
      <c r="S166" s="2074" t="e">
        <f>S164/#REF!</f>
        <v>#REF!</v>
      </c>
      <c r="T166" s="2073"/>
      <c r="U166" s="2074" t="e">
        <f>U164/#REF!</f>
        <v>#REF!</v>
      </c>
      <c r="V166" s="2073"/>
      <c r="W166" s="2074" t="e">
        <f>W164/#REF!</f>
        <v>#REF!</v>
      </c>
      <c r="X166" s="2073"/>
      <c r="Y166" s="2074" t="e">
        <f>Y164/#REF!</f>
        <v>#REF!</v>
      </c>
      <c r="Z166" s="2073"/>
      <c r="AA166" s="2074" t="e">
        <f>AA164/#REF!</f>
        <v>#REF!</v>
      </c>
      <c r="AB166" s="2073"/>
      <c r="AC166" s="2074" t="e">
        <f>AC164/#REF!</f>
        <v>#REF!</v>
      </c>
      <c r="AD166" s="2073"/>
      <c r="AE166" s="2074" t="e">
        <f>AE164/#REF!</f>
        <v>#REF!</v>
      </c>
      <c r="AF166" s="2073"/>
      <c r="AG166" s="2074" t="e">
        <f>AG164/#REF!</f>
        <v>#REF!</v>
      </c>
      <c r="AH166" s="2073"/>
      <c r="AI166" s="2074" t="e">
        <f>AI164/#REF!</f>
        <v>#REF!</v>
      </c>
      <c r="AJ166" s="2073"/>
      <c r="AK166" s="2074" t="e">
        <f>AK164/#REF!</f>
        <v>#REF!</v>
      </c>
      <c r="AL166" s="2073"/>
      <c r="AM166" s="2074" t="e">
        <f>AM164/#REF!</f>
        <v>#REF!</v>
      </c>
    </row>
    <row r="167" spans="1:39" x14ac:dyDescent="0.35">
      <c r="A167" s="2973"/>
      <c r="B167" s="2974"/>
      <c r="C167" s="2975"/>
      <c r="D167" s="2975"/>
      <c r="E167" s="2976"/>
      <c r="F167" s="2977"/>
      <c r="G167" s="2261"/>
      <c r="H167" s="2077"/>
      <c r="I167" s="2078"/>
      <c r="J167" s="2077"/>
      <c r="K167" s="2078"/>
      <c r="L167" s="2077"/>
      <c r="M167" s="2078"/>
      <c r="N167" s="2077"/>
      <c r="O167" s="2078"/>
      <c r="P167" s="2077"/>
      <c r="Q167" s="2078"/>
      <c r="R167" s="2077"/>
      <c r="S167" s="2078"/>
      <c r="T167" s="2077"/>
      <c r="U167" s="2078"/>
      <c r="V167" s="2077"/>
      <c r="W167" s="2078"/>
      <c r="X167" s="2077"/>
      <c r="Y167" s="2078"/>
      <c r="Z167" s="2077"/>
      <c r="AA167" s="2078"/>
      <c r="AB167" s="2077"/>
      <c r="AC167" s="2078"/>
      <c r="AD167" s="2077"/>
      <c r="AE167" s="2078"/>
      <c r="AF167" s="2077"/>
      <c r="AG167" s="2078"/>
      <c r="AH167" s="2077"/>
      <c r="AI167" s="2078"/>
      <c r="AJ167" s="2077"/>
      <c r="AK167" s="2078"/>
      <c r="AL167" s="2077"/>
      <c r="AM167" s="2078"/>
    </row>
    <row r="168" spans="1:39" x14ac:dyDescent="0.35">
      <c r="A168" s="3764" t="s">
        <v>721</v>
      </c>
      <c r="B168" s="3765"/>
      <c r="C168" s="12"/>
      <c r="D168" s="12"/>
      <c r="E168" s="12"/>
      <c r="F168" s="12"/>
      <c r="G168" s="13"/>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42"/>
      <c r="AM168" s="21"/>
    </row>
    <row r="169" spans="1:39" x14ac:dyDescent="0.35">
      <c r="A169" s="2998"/>
      <c r="B169" s="3031"/>
      <c r="C169" s="2964"/>
      <c r="D169" s="2964"/>
      <c r="E169" s="2964"/>
      <c r="F169" s="2964"/>
      <c r="G169" s="2999"/>
      <c r="H169" s="3000"/>
      <c r="I169" s="3000"/>
      <c r="J169" s="3000"/>
      <c r="K169" s="3000"/>
      <c r="L169" s="3000"/>
      <c r="M169" s="3000"/>
      <c r="N169" s="3000"/>
      <c r="O169" s="3000"/>
      <c r="P169" s="3000"/>
      <c r="Q169" s="3000"/>
      <c r="R169" s="3000"/>
      <c r="S169" s="3000"/>
      <c r="T169" s="3000"/>
      <c r="U169" s="3000"/>
      <c r="V169" s="3000"/>
      <c r="W169" s="3000"/>
      <c r="X169" s="3000"/>
      <c r="Y169" s="3000"/>
      <c r="Z169" s="3000"/>
      <c r="AA169" s="3000"/>
      <c r="AB169" s="3000"/>
      <c r="AC169" s="3000"/>
      <c r="AD169" s="3000"/>
      <c r="AE169" s="3000"/>
      <c r="AF169" s="3000"/>
      <c r="AG169" s="3000"/>
      <c r="AH169" s="3000"/>
      <c r="AI169" s="3000"/>
      <c r="AJ169" s="3000"/>
      <c r="AK169" s="3000"/>
      <c r="AL169" s="3004"/>
      <c r="AM169" s="3000"/>
    </row>
    <row r="170" spans="1:39" x14ac:dyDescent="0.35">
      <c r="A170" s="2998"/>
      <c r="B170" s="3031"/>
      <c r="C170" s="2964"/>
      <c r="D170" s="2964"/>
      <c r="E170" s="2964"/>
      <c r="F170" s="2964"/>
      <c r="G170" s="2999"/>
      <c r="H170" s="3000"/>
      <c r="I170" s="3000"/>
      <c r="J170" s="3000"/>
      <c r="K170" s="3000"/>
      <c r="L170" s="3000"/>
      <c r="M170" s="3000"/>
      <c r="N170" s="3000"/>
      <c r="O170" s="3000"/>
      <c r="P170" s="3000"/>
      <c r="Q170" s="3000"/>
      <c r="R170" s="3000"/>
      <c r="S170" s="3000"/>
      <c r="T170" s="3000"/>
      <c r="U170" s="3000"/>
      <c r="V170" s="3000"/>
      <c r="W170" s="3000"/>
      <c r="X170" s="3000"/>
      <c r="Y170" s="3000"/>
      <c r="Z170" s="3000"/>
      <c r="AA170" s="3000"/>
      <c r="AB170" s="3000"/>
      <c r="AC170" s="3000"/>
      <c r="AD170" s="3000"/>
      <c r="AE170" s="3000"/>
      <c r="AF170" s="3000"/>
      <c r="AG170" s="3000"/>
      <c r="AH170" s="3000"/>
      <c r="AI170" s="3000"/>
      <c r="AJ170" s="3000"/>
      <c r="AK170" s="3000"/>
      <c r="AL170" s="3004"/>
      <c r="AM170" s="3000"/>
    </row>
    <row r="171" spans="1:39" x14ac:dyDescent="0.35">
      <c r="A171" s="2998"/>
      <c r="B171" s="3031"/>
      <c r="C171" s="2964"/>
      <c r="D171" s="2964"/>
      <c r="E171" s="2964"/>
      <c r="F171" s="2964"/>
      <c r="G171" s="2999"/>
      <c r="H171" s="3000"/>
      <c r="I171" s="3000"/>
      <c r="J171" s="3000"/>
      <c r="K171" s="3000"/>
      <c r="L171" s="3000"/>
      <c r="M171" s="3000"/>
      <c r="N171" s="3000"/>
      <c r="O171" s="3000"/>
      <c r="P171" s="3000"/>
      <c r="Q171" s="3000"/>
      <c r="R171" s="3000"/>
      <c r="S171" s="3000"/>
      <c r="T171" s="3000"/>
      <c r="U171" s="3000"/>
      <c r="V171" s="3000"/>
      <c r="W171" s="3000"/>
      <c r="X171" s="3000"/>
      <c r="Y171" s="3000"/>
      <c r="Z171" s="3000"/>
      <c r="AA171" s="3000"/>
      <c r="AB171" s="3000"/>
      <c r="AC171" s="3000"/>
      <c r="AD171" s="3000"/>
      <c r="AE171" s="3000"/>
      <c r="AF171" s="3000"/>
      <c r="AG171" s="3000"/>
      <c r="AH171" s="3000"/>
      <c r="AI171" s="3000"/>
      <c r="AJ171" s="3000"/>
      <c r="AK171" s="3000"/>
      <c r="AL171" s="3004"/>
      <c r="AM171" s="3000"/>
    </row>
    <row r="172" spans="1:39" s="2" customFormat="1" x14ac:dyDescent="0.35">
      <c r="A172" s="3764" t="s">
        <v>722</v>
      </c>
      <c r="B172" s="3765"/>
      <c r="C172" s="12"/>
      <c r="D172" s="12"/>
      <c r="E172" s="12"/>
      <c r="F172" s="12"/>
      <c r="G172" s="13"/>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42"/>
      <c r="AM172" s="21"/>
    </row>
    <row r="173" spans="1:39" s="2" customFormat="1" x14ac:dyDescent="0.35">
      <c r="A173" s="2998"/>
      <c r="B173" s="3031"/>
      <c r="C173" s="2964"/>
      <c r="D173" s="2964"/>
      <c r="E173" s="2964"/>
      <c r="F173" s="2964"/>
      <c r="G173" s="2999"/>
      <c r="H173" s="3000"/>
      <c r="I173" s="3000"/>
      <c r="J173" s="3000"/>
      <c r="K173" s="3000"/>
      <c r="L173" s="3000"/>
      <c r="M173" s="3000"/>
      <c r="N173" s="3000"/>
      <c r="O173" s="3000"/>
      <c r="P173" s="3000"/>
      <c r="Q173" s="3000"/>
      <c r="R173" s="3000"/>
      <c r="S173" s="3000"/>
      <c r="T173" s="3000"/>
      <c r="U173" s="3000"/>
      <c r="V173" s="3000"/>
      <c r="W173" s="3000"/>
      <c r="X173" s="3000"/>
      <c r="Y173" s="3000"/>
      <c r="Z173" s="3000"/>
      <c r="AA173" s="3000"/>
      <c r="AB173" s="3000"/>
      <c r="AC173" s="3000"/>
      <c r="AD173" s="3000"/>
      <c r="AE173" s="3000"/>
      <c r="AF173" s="3000"/>
      <c r="AG173" s="3000"/>
      <c r="AH173" s="3000"/>
      <c r="AI173" s="3000"/>
      <c r="AJ173" s="3000"/>
      <c r="AK173" s="3000"/>
      <c r="AL173" s="3004"/>
      <c r="AM173" s="3000"/>
    </row>
    <row r="174" spans="1:39" s="2" customFormat="1" x14ac:dyDescent="0.35">
      <c r="A174" s="2998"/>
      <c r="B174" s="3031"/>
      <c r="C174" s="2964"/>
      <c r="D174" s="2964"/>
      <c r="E174" s="2964"/>
      <c r="F174" s="2964"/>
      <c r="G174" s="2999"/>
      <c r="H174" s="3000"/>
      <c r="I174" s="3000"/>
      <c r="J174" s="3000"/>
      <c r="K174" s="3000"/>
      <c r="L174" s="3000"/>
      <c r="M174" s="3000"/>
      <c r="N174" s="3000"/>
      <c r="O174" s="3000"/>
      <c r="P174" s="3000"/>
      <c r="Q174" s="3000"/>
      <c r="R174" s="3000"/>
      <c r="S174" s="3000"/>
      <c r="T174" s="3000"/>
      <c r="U174" s="3000"/>
      <c r="V174" s="3000"/>
      <c r="W174" s="3000"/>
      <c r="X174" s="3000"/>
      <c r="Y174" s="3000"/>
      <c r="Z174" s="3000"/>
      <c r="AA174" s="3000"/>
      <c r="AB174" s="3000"/>
      <c r="AC174" s="3000"/>
      <c r="AD174" s="3000"/>
      <c r="AE174" s="3000"/>
      <c r="AF174" s="3000"/>
      <c r="AG174" s="3000"/>
      <c r="AH174" s="3000"/>
      <c r="AI174" s="3000"/>
      <c r="AJ174" s="3000"/>
      <c r="AK174" s="3000"/>
      <c r="AL174" s="3004"/>
      <c r="AM174" s="3000"/>
    </row>
    <row r="175" spans="1:39" x14ac:dyDescent="0.35">
      <c r="A175" s="2998"/>
      <c r="B175" s="3031"/>
      <c r="C175" s="2964"/>
      <c r="D175" s="2964"/>
      <c r="E175" s="2964"/>
      <c r="F175" s="2964"/>
      <c r="G175" s="2999"/>
      <c r="H175" s="3000"/>
      <c r="I175" s="3000"/>
      <c r="J175" s="3000"/>
      <c r="K175" s="3000"/>
      <c r="L175" s="3000"/>
      <c r="M175" s="3000"/>
      <c r="N175" s="3000"/>
      <c r="O175" s="3000"/>
      <c r="P175" s="3000"/>
      <c r="Q175" s="3000"/>
      <c r="R175" s="3000"/>
      <c r="S175" s="3000"/>
      <c r="T175" s="3000"/>
      <c r="U175" s="3000"/>
      <c r="V175" s="3000"/>
      <c r="W175" s="3000"/>
      <c r="X175" s="3000"/>
      <c r="Y175" s="3000"/>
      <c r="Z175" s="3000"/>
      <c r="AA175" s="3000"/>
      <c r="AB175" s="3000"/>
      <c r="AC175" s="3000"/>
      <c r="AD175" s="3000"/>
      <c r="AE175" s="3000"/>
      <c r="AF175" s="3000"/>
      <c r="AG175" s="3000"/>
      <c r="AH175" s="3000"/>
      <c r="AI175" s="3000"/>
      <c r="AJ175" s="3000"/>
      <c r="AK175" s="3000"/>
      <c r="AL175" s="3004"/>
      <c r="AM175" s="3000"/>
    </row>
    <row r="176" spans="1:39" s="2" customFormat="1" x14ac:dyDescent="0.35">
      <c r="A176" s="3764" t="s">
        <v>723</v>
      </c>
      <c r="B176" s="3765"/>
      <c r="C176" s="12"/>
      <c r="D176" s="12"/>
      <c r="E176" s="12"/>
      <c r="F176" s="12"/>
      <c r="G176" s="13"/>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42"/>
      <c r="AM176" s="21"/>
    </row>
    <row r="177" spans="1:39" s="2" customFormat="1" x14ac:dyDescent="0.35">
      <c r="A177" s="2998"/>
      <c r="B177" s="3031"/>
      <c r="C177" s="2964"/>
      <c r="D177" s="2964"/>
      <c r="E177" s="2964"/>
      <c r="F177" s="2964"/>
      <c r="G177" s="2999"/>
      <c r="H177" s="3000"/>
      <c r="I177" s="3000"/>
      <c r="J177" s="3000"/>
      <c r="K177" s="3000"/>
      <c r="L177" s="3000"/>
      <c r="M177" s="3000"/>
      <c r="N177" s="3000"/>
      <c r="O177" s="3000"/>
      <c r="P177" s="3000"/>
      <c r="Q177" s="3000"/>
      <c r="R177" s="3000"/>
      <c r="S177" s="3000"/>
      <c r="T177" s="3000"/>
      <c r="U177" s="3000"/>
      <c r="V177" s="3000"/>
      <c r="W177" s="3000"/>
      <c r="X177" s="3000"/>
      <c r="Y177" s="3000"/>
      <c r="Z177" s="3000"/>
      <c r="AA177" s="3000"/>
      <c r="AB177" s="3000"/>
      <c r="AC177" s="3000"/>
      <c r="AD177" s="3000"/>
      <c r="AE177" s="3000"/>
      <c r="AF177" s="3000"/>
      <c r="AG177" s="3000"/>
      <c r="AH177" s="3000"/>
      <c r="AI177" s="3000"/>
      <c r="AJ177" s="3000"/>
      <c r="AK177" s="3000"/>
      <c r="AL177" s="3004"/>
      <c r="AM177" s="3000"/>
    </row>
    <row r="178" spans="1:39" s="2" customFormat="1" x14ac:dyDescent="0.35">
      <c r="A178" s="3035"/>
      <c r="B178" s="3031"/>
      <c r="C178" s="3032"/>
      <c r="D178" s="3032"/>
      <c r="E178" s="3032"/>
      <c r="F178" s="3032"/>
      <c r="G178" s="2198"/>
      <c r="H178" s="2081"/>
      <c r="I178" s="2081"/>
      <c r="J178" s="2081"/>
      <c r="K178" s="2081"/>
      <c r="L178" s="2081"/>
      <c r="M178" s="2081"/>
      <c r="N178" s="2081"/>
      <c r="O178" s="2081"/>
      <c r="P178" s="2081"/>
      <c r="Q178" s="2081"/>
      <c r="R178" s="2081"/>
      <c r="S178" s="2081"/>
      <c r="T178" s="2081"/>
      <c r="U178" s="2081"/>
      <c r="V178" s="2081"/>
      <c r="W178" s="2081"/>
      <c r="X178" s="2081"/>
      <c r="Y178" s="2081"/>
      <c r="Z178" s="2081"/>
      <c r="AA178" s="2081"/>
      <c r="AB178" s="2081"/>
      <c r="AC178" s="2081"/>
      <c r="AD178" s="2081"/>
      <c r="AE178" s="2081"/>
      <c r="AF178" s="2081"/>
      <c r="AG178" s="2081"/>
      <c r="AH178" s="2081"/>
      <c r="AI178" s="2081"/>
      <c r="AJ178" s="2081"/>
      <c r="AK178" s="2081"/>
      <c r="AL178" s="2268"/>
      <c r="AM178" s="2081"/>
    </row>
    <row r="179" spans="1:39" s="2" customFormat="1" x14ac:dyDescent="0.35">
      <c r="A179" s="3012"/>
      <c r="B179" s="3019"/>
      <c r="C179" s="3032"/>
      <c r="D179" s="3032"/>
      <c r="E179" s="3032"/>
      <c r="F179" s="3032"/>
      <c r="G179" s="2198"/>
      <c r="H179" s="2084"/>
      <c r="I179" s="2084"/>
      <c r="J179" s="2084"/>
      <c r="K179" s="2084"/>
      <c r="L179" s="2084"/>
      <c r="M179" s="2084"/>
      <c r="N179" s="2084"/>
      <c r="O179" s="2084"/>
      <c r="P179" s="2084"/>
      <c r="Q179" s="2084"/>
      <c r="R179" s="2084"/>
      <c r="S179" s="2084"/>
      <c r="T179" s="2084"/>
      <c r="U179" s="2084"/>
      <c r="V179" s="2084"/>
      <c r="W179" s="2084"/>
      <c r="X179" s="2084"/>
      <c r="Y179" s="2084"/>
      <c r="Z179" s="2084"/>
      <c r="AA179" s="2084"/>
      <c r="AB179" s="2084"/>
      <c r="AC179" s="2084"/>
      <c r="AD179" s="2084"/>
      <c r="AE179" s="2084"/>
      <c r="AF179" s="2084"/>
      <c r="AG179" s="2084"/>
      <c r="AH179" s="2084"/>
      <c r="AI179" s="2084"/>
      <c r="AJ179" s="2084"/>
      <c r="AK179" s="2084"/>
      <c r="AL179" s="2272"/>
      <c r="AM179" s="2084"/>
    </row>
    <row r="180" spans="1:39" s="2" customFormat="1" x14ac:dyDescent="0.35">
      <c r="A180" s="3764" t="s">
        <v>724</v>
      </c>
      <c r="B180" s="3765"/>
      <c r="C180" s="12"/>
      <c r="D180" s="12"/>
      <c r="E180" s="12"/>
      <c r="F180" s="12"/>
      <c r="G180" s="13"/>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42"/>
      <c r="AM180" s="21"/>
    </row>
    <row r="181" spans="1:39" ht="33.75" customHeight="1" x14ac:dyDescent="0.35">
      <c r="A181" s="3015"/>
      <c r="B181" s="343"/>
      <c r="C181" s="2964"/>
      <c r="D181" s="2964"/>
      <c r="E181" s="2964"/>
      <c r="F181" s="2964"/>
      <c r="G181" s="2999"/>
      <c r="H181" s="3000"/>
      <c r="I181" s="3000"/>
      <c r="J181" s="3000"/>
      <c r="K181" s="3000"/>
      <c r="L181" s="3000"/>
      <c r="M181" s="3000"/>
      <c r="N181" s="3000"/>
      <c r="O181" s="3000"/>
      <c r="P181" s="3000"/>
      <c r="Q181" s="3000"/>
      <c r="R181" s="3000"/>
      <c r="S181" s="3000"/>
      <c r="T181" s="3000"/>
      <c r="U181" s="3000"/>
      <c r="V181" s="3000"/>
      <c r="W181" s="3000"/>
      <c r="X181" s="3000"/>
      <c r="Y181" s="3000"/>
      <c r="Z181" s="3000"/>
      <c r="AA181" s="3000"/>
      <c r="AB181" s="3000"/>
      <c r="AC181" s="3000"/>
      <c r="AD181" s="3000"/>
      <c r="AE181" s="3000"/>
      <c r="AF181" s="3000"/>
      <c r="AG181" s="3000"/>
      <c r="AH181" s="3000"/>
      <c r="AI181" s="3000"/>
      <c r="AJ181" s="3000"/>
      <c r="AK181" s="3000">
        <f>308000-448300</f>
        <v>-140300</v>
      </c>
      <c r="AL181" s="3004"/>
      <c r="AM181" s="3000"/>
    </row>
    <row r="182" spans="1:39" x14ac:dyDescent="0.35">
      <c r="A182" s="3012"/>
      <c r="B182" s="3019"/>
      <c r="C182" s="3032"/>
      <c r="D182" s="3032"/>
      <c r="E182" s="3032"/>
      <c r="F182" s="3032"/>
      <c r="G182" s="2198"/>
      <c r="H182" s="2087"/>
      <c r="I182" s="2087"/>
      <c r="J182" s="2087"/>
      <c r="K182" s="2087"/>
      <c r="L182" s="2087"/>
      <c r="M182" s="2087"/>
      <c r="N182" s="2087"/>
      <c r="O182" s="2087"/>
      <c r="P182" s="2087"/>
      <c r="Q182" s="2087"/>
      <c r="R182" s="2087"/>
      <c r="S182" s="2087"/>
      <c r="T182" s="2087"/>
      <c r="U182" s="2087"/>
      <c r="V182" s="2087"/>
      <c r="W182" s="2087"/>
      <c r="X182" s="2087"/>
      <c r="Y182" s="2087"/>
      <c r="Z182" s="2087"/>
      <c r="AA182" s="2087"/>
      <c r="AB182" s="2087"/>
      <c r="AC182" s="2087"/>
      <c r="AD182" s="2087"/>
      <c r="AE182" s="2087"/>
      <c r="AF182" s="2087"/>
      <c r="AG182" s="2087"/>
      <c r="AH182" s="2087"/>
      <c r="AI182" s="2087"/>
      <c r="AJ182" s="2087"/>
      <c r="AK182" s="2087"/>
      <c r="AL182" s="2274"/>
      <c r="AM182" s="2087"/>
    </row>
    <row r="183" spans="1:39" x14ac:dyDescent="0.35">
      <c r="A183" s="3012"/>
      <c r="B183" s="3019"/>
      <c r="C183" s="3032"/>
      <c r="D183" s="3032"/>
      <c r="E183" s="3032"/>
      <c r="F183" s="3032"/>
      <c r="G183" s="2198"/>
      <c r="H183" s="2087"/>
      <c r="I183" s="2087"/>
      <c r="J183" s="2087"/>
      <c r="K183" s="2087"/>
      <c r="L183" s="2087"/>
      <c r="M183" s="2087"/>
      <c r="N183" s="2087"/>
      <c r="O183" s="2087"/>
      <c r="P183" s="2087"/>
      <c r="Q183" s="2087"/>
      <c r="R183" s="2087"/>
      <c r="S183" s="2087"/>
      <c r="T183" s="2087"/>
      <c r="U183" s="2087"/>
      <c r="V183" s="2087"/>
      <c r="W183" s="2087"/>
      <c r="X183" s="2087"/>
      <c r="Y183" s="2087"/>
      <c r="Z183" s="2087"/>
      <c r="AA183" s="2087"/>
      <c r="AB183" s="2087"/>
      <c r="AC183" s="2087"/>
      <c r="AD183" s="2087"/>
      <c r="AE183" s="2087"/>
      <c r="AF183" s="2087"/>
      <c r="AG183" s="2087"/>
      <c r="AH183" s="2087"/>
      <c r="AI183" s="2087"/>
      <c r="AJ183" s="2087"/>
      <c r="AK183" s="2087"/>
      <c r="AL183" s="2274"/>
      <c r="AM183" s="2087"/>
    </row>
    <row r="184" spans="1:39" x14ac:dyDescent="0.35">
      <c r="A184" s="3764" t="s">
        <v>725</v>
      </c>
      <c r="B184" s="3765"/>
      <c r="C184" s="12"/>
      <c r="D184" s="12"/>
      <c r="E184" s="12"/>
      <c r="F184" s="12"/>
      <c r="G184" s="13"/>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42"/>
      <c r="AM184" s="21"/>
    </row>
    <row r="185" spans="1:39" x14ac:dyDescent="0.35">
      <c r="A185" s="3035"/>
      <c r="B185" s="3031" t="s">
        <v>726</v>
      </c>
      <c r="C185" s="3032"/>
      <c r="D185" s="3032"/>
      <c r="E185" s="3032"/>
      <c r="F185" s="3032"/>
      <c r="G185" s="2198"/>
      <c r="H185" s="2087"/>
      <c r="I185" s="2087"/>
      <c r="J185" s="2087"/>
      <c r="K185" s="2087"/>
      <c r="L185" s="2087"/>
      <c r="M185" s="2087"/>
      <c r="N185" s="2087"/>
      <c r="O185" s="2087"/>
      <c r="P185" s="2087"/>
      <c r="Q185" s="2087"/>
      <c r="R185" s="2087"/>
      <c r="S185" s="2087"/>
      <c r="T185" s="2087"/>
      <c r="U185" s="2087"/>
      <c r="V185" s="2087"/>
      <c r="W185" s="2087"/>
      <c r="X185" s="2087"/>
      <c r="Y185" s="2087"/>
      <c r="Z185" s="2087"/>
      <c r="AA185" s="2087"/>
      <c r="AB185" s="2087"/>
      <c r="AC185" s="2087"/>
      <c r="AD185" s="2087"/>
      <c r="AE185" s="2087"/>
      <c r="AF185" s="2087"/>
      <c r="AG185" s="2087"/>
      <c r="AH185" s="2087"/>
      <c r="AI185" s="2087"/>
      <c r="AJ185" s="2087"/>
      <c r="AK185" s="2087"/>
      <c r="AL185" s="2274"/>
      <c r="AM185" s="2087"/>
    </row>
    <row r="186" spans="1:39" x14ac:dyDescent="0.35">
      <c r="A186" s="3035"/>
      <c r="B186" s="3031" t="s">
        <v>727</v>
      </c>
      <c r="C186" s="3032"/>
      <c r="D186" s="3032"/>
      <c r="E186" s="3032"/>
      <c r="F186" s="3032"/>
      <c r="G186" s="2198"/>
      <c r="H186" s="2087"/>
      <c r="I186" s="2087"/>
      <c r="J186" s="2087"/>
      <c r="K186" s="2087"/>
      <c r="L186" s="2087"/>
      <c r="M186" s="2087"/>
      <c r="N186" s="2087"/>
      <c r="O186" s="2087"/>
      <c r="P186" s="2087"/>
      <c r="Q186" s="2087"/>
      <c r="R186" s="2087"/>
      <c r="S186" s="2087"/>
      <c r="T186" s="2087"/>
      <c r="U186" s="2087"/>
      <c r="V186" s="2087"/>
      <c r="W186" s="2087"/>
      <c r="X186" s="2087"/>
      <c r="Y186" s="2087"/>
      <c r="Z186" s="2087"/>
      <c r="AA186" s="2087"/>
      <c r="AB186" s="2087"/>
      <c r="AC186" s="2087"/>
      <c r="AD186" s="2087"/>
      <c r="AE186" s="2087"/>
      <c r="AF186" s="2087"/>
      <c r="AG186" s="2087"/>
      <c r="AH186" s="2087"/>
      <c r="AI186" s="2087"/>
      <c r="AJ186" s="2087"/>
      <c r="AK186" s="2087"/>
      <c r="AL186" s="2274"/>
      <c r="AM186" s="2087"/>
    </row>
    <row r="187" spans="1:39" x14ac:dyDescent="0.35">
      <c r="A187" s="3035"/>
      <c r="B187" s="3031" t="s">
        <v>728</v>
      </c>
      <c r="C187" s="3032"/>
      <c r="D187" s="3032"/>
      <c r="E187" s="3032"/>
      <c r="F187" s="3032"/>
      <c r="G187" s="2198"/>
      <c r="H187" s="2087"/>
      <c r="I187" s="2087"/>
      <c r="J187" s="2087"/>
      <c r="K187" s="2087"/>
      <c r="L187" s="2087"/>
      <c r="M187" s="2087"/>
      <c r="N187" s="2087"/>
      <c r="O187" s="2087"/>
      <c r="P187" s="2087"/>
      <c r="Q187" s="2087"/>
      <c r="R187" s="2087"/>
      <c r="S187" s="2087"/>
      <c r="T187" s="2087"/>
      <c r="U187" s="2087"/>
      <c r="V187" s="2087"/>
      <c r="W187" s="2087"/>
      <c r="X187" s="2087"/>
      <c r="Y187" s="2087"/>
      <c r="Z187" s="2087"/>
      <c r="AA187" s="2087"/>
      <c r="AB187" s="2087"/>
      <c r="AC187" s="2087"/>
      <c r="AD187" s="2087"/>
      <c r="AE187" s="2087"/>
      <c r="AF187" s="2087"/>
      <c r="AG187" s="2087"/>
      <c r="AH187" s="2087"/>
      <c r="AI187" s="2087"/>
      <c r="AJ187" s="2087"/>
      <c r="AK187" s="2087"/>
      <c r="AL187" s="2274"/>
      <c r="AM187" s="2087"/>
    </row>
    <row r="188" spans="1:39" x14ac:dyDescent="0.35">
      <c r="A188" s="3035"/>
      <c r="B188" s="3031" t="s">
        <v>729</v>
      </c>
      <c r="C188" s="3032"/>
      <c r="D188" s="3032"/>
      <c r="E188" s="3032"/>
      <c r="F188" s="3032"/>
      <c r="G188" s="2198"/>
      <c r="H188" s="2087"/>
      <c r="I188" s="2087"/>
      <c r="J188" s="2087"/>
      <c r="K188" s="2087"/>
      <c r="L188" s="2087"/>
      <c r="M188" s="2087"/>
      <c r="N188" s="2087"/>
      <c r="O188" s="2087"/>
      <c r="P188" s="2087"/>
      <c r="Q188" s="2087"/>
      <c r="R188" s="2087"/>
      <c r="S188" s="2087"/>
      <c r="T188" s="2087"/>
      <c r="U188" s="2087"/>
      <c r="V188" s="2087"/>
      <c r="W188" s="2087"/>
      <c r="X188" s="2087"/>
      <c r="Y188" s="2087"/>
      <c r="Z188" s="2087"/>
      <c r="AA188" s="2087"/>
      <c r="AB188" s="2087"/>
      <c r="AC188" s="2087"/>
      <c r="AD188" s="2087"/>
      <c r="AE188" s="2087"/>
      <c r="AF188" s="2087"/>
      <c r="AG188" s="2087"/>
      <c r="AH188" s="2087"/>
      <c r="AI188" s="2087"/>
      <c r="AJ188" s="2087"/>
      <c r="AK188" s="2087"/>
      <c r="AL188" s="2274"/>
      <c r="AM188" s="2087"/>
    </row>
    <row r="189" spans="1:39" x14ac:dyDescent="0.35">
      <c r="A189" s="978"/>
      <c r="B189" s="939"/>
      <c r="C189" s="940"/>
      <c r="D189" s="940"/>
      <c r="E189" s="940"/>
      <c r="F189" s="940"/>
      <c r="G189" s="1039"/>
      <c r="H189" s="981"/>
      <c r="I189" s="981"/>
      <c r="J189" s="981"/>
      <c r="K189" s="981"/>
      <c r="L189" s="981"/>
      <c r="M189" s="981"/>
      <c r="N189" s="981"/>
      <c r="O189" s="981"/>
      <c r="P189" s="981"/>
      <c r="Q189" s="981"/>
      <c r="R189" s="981"/>
      <c r="S189" s="981"/>
      <c r="T189" s="981"/>
      <c r="U189" s="981"/>
      <c r="V189" s="981"/>
      <c r="W189" s="981"/>
      <c r="X189" s="981"/>
      <c r="Y189" s="981"/>
      <c r="Z189" s="981"/>
      <c r="AA189" s="981"/>
      <c r="AB189" s="981"/>
      <c r="AC189" s="981"/>
      <c r="AD189" s="981"/>
      <c r="AE189" s="981"/>
      <c r="AF189" s="981"/>
      <c r="AG189" s="981"/>
      <c r="AH189" s="981"/>
      <c r="AI189" s="981"/>
      <c r="AJ189" s="981"/>
      <c r="AK189" s="981"/>
      <c r="AL189" s="980"/>
      <c r="AM189" s="981"/>
    </row>
    <row r="190" spans="1:39" x14ac:dyDescent="0.35">
      <c r="A190" s="7" t="s">
        <v>730</v>
      </c>
      <c r="B190" s="8"/>
      <c r="C190" s="12"/>
      <c r="D190" s="12"/>
      <c r="E190" s="12"/>
      <c r="F190" s="12"/>
      <c r="G190" s="13"/>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42"/>
      <c r="AM190" s="21"/>
    </row>
    <row r="191" spans="1:39" x14ac:dyDescent="0.35">
      <c r="A191" s="2998"/>
      <c r="B191" s="3023" t="s">
        <v>731</v>
      </c>
      <c r="C191" s="2964"/>
      <c r="D191" s="2964"/>
      <c r="E191" s="2964"/>
      <c r="F191" s="2964"/>
      <c r="G191" s="2999"/>
      <c r="H191" s="3021"/>
      <c r="I191" s="3021"/>
      <c r="J191" s="3021"/>
      <c r="K191" s="3021"/>
      <c r="L191" s="3021"/>
      <c r="M191" s="3021"/>
      <c r="N191" s="3021"/>
      <c r="O191" s="3021"/>
      <c r="P191" s="3021"/>
      <c r="Q191" s="3021"/>
      <c r="R191" s="3021"/>
      <c r="S191" s="3021"/>
      <c r="T191" s="3021"/>
      <c r="U191" s="3021"/>
      <c r="V191" s="3021"/>
      <c r="W191" s="3021"/>
      <c r="X191" s="3021"/>
      <c r="Y191" s="3021"/>
      <c r="Z191" s="3021"/>
      <c r="AA191" s="3021"/>
      <c r="AB191" s="3021"/>
      <c r="AC191" s="3021"/>
      <c r="AD191" s="3021"/>
      <c r="AE191" s="3021"/>
      <c r="AF191" s="3021"/>
      <c r="AG191" s="3021"/>
      <c r="AH191" s="3021"/>
      <c r="AI191" s="3021"/>
      <c r="AJ191" s="3021"/>
      <c r="AK191" s="3021"/>
      <c r="AL191" s="2898"/>
      <c r="AM191" s="3021"/>
    </row>
    <row r="192" spans="1:39" x14ac:dyDescent="0.35">
      <c r="A192" s="3035"/>
      <c r="B192" s="3031" t="s">
        <v>732</v>
      </c>
      <c r="C192" s="3032"/>
      <c r="D192" s="3032"/>
      <c r="E192" s="3032"/>
      <c r="F192" s="3032"/>
      <c r="G192" s="2198"/>
      <c r="H192" s="2158"/>
      <c r="I192" s="2158"/>
      <c r="J192" s="2158"/>
      <c r="K192" s="2158"/>
      <c r="L192" s="2158"/>
      <c r="M192" s="2158"/>
      <c r="N192" s="2158"/>
      <c r="O192" s="2158"/>
      <c r="P192" s="2158"/>
      <c r="Q192" s="2158"/>
      <c r="R192" s="2158"/>
      <c r="S192" s="2158"/>
      <c r="T192" s="2158"/>
      <c r="U192" s="2158"/>
      <c r="V192" s="2158"/>
      <c r="W192" s="2158"/>
      <c r="X192" s="2158"/>
      <c r="Y192" s="2158"/>
      <c r="Z192" s="2158"/>
      <c r="AA192" s="2158"/>
      <c r="AB192" s="2158"/>
      <c r="AC192" s="2158"/>
      <c r="AD192" s="2158"/>
      <c r="AE192" s="2158"/>
      <c r="AF192" s="2158"/>
      <c r="AG192" s="2158"/>
      <c r="AH192" s="2158"/>
      <c r="AI192" s="2158"/>
      <c r="AJ192" s="2158"/>
      <c r="AK192" s="2158"/>
      <c r="AL192" s="2276"/>
      <c r="AM192" s="2158"/>
    </row>
    <row r="193" spans="1:39" x14ac:dyDescent="0.35">
      <c r="A193" s="2089"/>
      <c r="B193" s="2090" t="s">
        <v>733</v>
      </c>
      <c r="C193" s="2091"/>
      <c r="D193" s="2091"/>
      <c r="E193" s="2091"/>
      <c r="F193" s="2091"/>
      <c r="G193" s="2092"/>
      <c r="H193" s="2093"/>
      <c r="I193" s="2093"/>
      <c r="J193" s="2093"/>
      <c r="K193" s="2093"/>
      <c r="L193" s="2093"/>
      <c r="M193" s="2093"/>
      <c r="N193" s="2093"/>
      <c r="O193" s="2093"/>
      <c r="P193" s="2093"/>
      <c r="Q193" s="2093"/>
      <c r="R193" s="2093"/>
      <c r="S193" s="2093"/>
      <c r="T193" s="2093"/>
      <c r="U193" s="2093"/>
      <c r="V193" s="2093"/>
      <c r="W193" s="2093"/>
      <c r="X193" s="2093"/>
      <c r="Y193" s="2093"/>
      <c r="Z193" s="2093"/>
      <c r="AA193" s="2093"/>
      <c r="AB193" s="2093"/>
      <c r="AC193" s="2093"/>
      <c r="AD193" s="2093"/>
      <c r="AE193" s="2093"/>
      <c r="AF193" s="2093"/>
      <c r="AG193" s="2093"/>
      <c r="AH193" s="2093"/>
      <c r="AI193" s="2093"/>
      <c r="AJ193" s="2093"/>
      <c r="AK193" s="2093"/>
      <c r="AL193" s="2277"/>
      <c r="AM193" s="2093"/>
    </row>
    <row r="195" spans="1:39" x14ac:dyDescent="0.35">
      <c r="A195" s="78" t="s">
        <v>734</v>
      </c>
      <c r="B195" s="80"/>
      <c r="C195" s="2" t="s">
        <v>3599</v>
      </c>
      <c r="D195" s="2" t="s">
        <v>746</v>
      </c>
      <c r="E195" s="2" t="s">
        <v>752</v>
      </c>
      <c r="F195" s="2" t="s">
        <v>3600</v>
      </c>
      <c r="G195" s="2" t="s">
        <v>3576</v>
      </c>
    </row>
    <row r="196" spans="1:39" x14ac:dyDescent="0.35">
      <c r="A196" s="79" t="s">
        <v>632</v>
      </c>
      <c r="B196" s="2094" t="str">
        <f>J4</f>
        <v>StatewideR4</v>
      </c>
    </row>
    <row r="197" spans="1:39" x14ac:dyDescent="0.35">
      <c r="A197" s="3029" t="s">
        <v>636</v>
      </c>
      <c r="B197" s="2094" t="str">
        <f>J5</f>
        <v>Leila C Petit</v>
      </c>
    </row>
    <row r="198" spans="1:39" x14ac:dyDescent="0.35">
      <c r="A198" s="2096" t="s">
        <v>639</v>
      </c>
      <c r="B198" s="2097">
        <f>J6</f>
        <v>3059718864</v>
      </c>
    </row>
    <row r="199" spans="1:39" x14ac:dyDescent="0.35">
      <c r="A199" s="2096" t="s">
        <v>642</v>
      </c>
      <c r="B199" s="2159" t="str">
        <f>J7</f>
        <v>LeilaCP@swecinc.com</v>
      </c>
    </row>
    <row r="200" spans="1:39" x14ac:dyDescent="0.35">
      <c r="A200" s="2099" t="s">
        <v>735</v>
      </c>
      <c r="B200" s="2100">
        <f>J8</f>
        <v>9420000</v>
      </c>
      <c r="C200" s="333"/>
      <c r="D200" s="333"/>
      <c r="E200" s="333"/>
      <c r="F200" s="333"/>
      <c r="G200" s="333"/>
    </row>
    <row r="202" spans="1:39" x14ac:dyDescent="0.35">
      <c r="A202" s="81"/>
      <c r="B202" s="1" t="s">
        <v>736</v>
      </c>
    </row>
    <row r="203" spans="1:39" x14ac:dyDescent="0.35">
      <c r="A203" s="82"/>
      <c r="B203" s="1" t="s">
        <v>737</v>
      </c>
    </row>
  </sheetData>
  <mergeCells count="117">
    <mergeCell ref="P2:Q2"/>
    <mergeCell ref="P3:Q3"/>
    <mergeCell ref="P4:Q4"/>
    <mergeCell ref="P5:Q5"/>
    <mergeCell ref="P6:Q6"/>
    <mergeCell ref="J2:K2"/>
    <mergeCell ref="J3:K3"/>
    <mergeCell ref="N6:O6"/>
    <mergeCell ref="N7:O7"/>
    <mergeCell ref="N2:O2"/>
    <mergeCell ref="L2:M2"/>
    <mergeCell ref="L3:M3"/>
    <mergeCell ref="L4:M4"/>
    <mergeCell ref="L5:M5"/>
    <mergeCell ref="L6:M6"/>
    <mergeCell ref="L7:M7"/>
    <mergeCell ref="AF2:AG2"/>
    <mergeCell ref="AF3:AG3"/>
    <mergeCell ref="AF4:AG4"/>
    <mergeCell ref="AF5:AG5"/>
    <mergeCell ref="AF6:AG6"/>
    <mergeCell ref="AD6:AE6"/>
    <mergeCell ref="Z6:AA6"/>
    <mergeCell ref="Z4:AA4"/>
    <mergeCell ref="Z5:AA5"/>
    <mergeCell ref="AD2:AE2"/>
    <mergeCell ref="H2:I2"/>
    <mergeCell ref="H3:I3"/>
    <mergeCell ref="H4:I4"/>
    <mergeCell ref="H5:I5"/>
    <mergeCell ref="H6:I6"/>
    <mergeCell ref="A180:B180"/>
    <mergeCell ref="A184:B184"/>
    <mergeCell ref="AJ7:AK7"/>
    <mergeCell ref="R7:S7"/>
    <mergeCell ref="A168:B168"/>
    <mergeCell ref="A172:B172"/>
    <mergeCell ref="R8:S8"/>
    <mergeCell ref="X8:Y8"/>
    <mergeCell ref="AH7:AI7"/>
    <mergeCell ref="AH8:AI8"/>
    <mergeCell ref="AB7:AC7"/>
    <mergeCell ref="AB8:AC8"/>
    <mergeCell ref="Z8:AA8"/>
    <mergeCell ref="N8:O8"/>
    <mergeCell ref="Z7:AA7"/>
    <mergeCell ref="H8:I8"/>
    <mergeCell ref="AB6:AC6"/>
    <mergeCell ref="AJ3:AK3"/>
    <mergeCell ref="A176:B176"/>
    <mergeCell ref="H7:I7"/>
    <mergeCell ref="R6:S6"/>
    <mergeCell ref="X7:Y7"/>
    <mergeCell ref="X3:Y3"/>
    <mergeCell ref="T4:U4"/>
    <mergeCell ref="T5:U5"/>
    <mergeCell ref="T6:U6"/>
    <mergeCell ref="X5:Y5"/>
    <mergeCell ref="AD5:AE5"/>
    <mergeCell ref="AD3:AE3"/>
    <mergeCell ref="AD4:AE4"/>
    <mergeCell ref="N4:O4"/>
    <mergeCell ref="N5:O5"/>
    <mergeCell ref="N3:O3"/>
    <mergeCell ref="R5:S5"/>
    <mergeCell ref="R4:S4"/>
    <mergeCell ref="T7:U7"/>
    <mergeCell ref="X4:Y4"/>
    <mergeCell ref="T3:U3"/>
    <mergeCell ref="X6:Y6"/>
    <mergeCell ref="P7:Q7"/>
    <mergeCell ref="V3:W3"/>
    <mergeCell ref="V4:W4"/>
    <mergeCell ref="V5:W5"/>
    <mergeCell ref="AJ2:AK2"/>
    <mergeCell ref="AL6:AM6"/>
    <mergeCell ref="AJ4:AK4"/>
    <mergeCell ref="AJ5:AK5"/>
    <mergeCell ref="AJ6:AK6"/>
    <mergeCell ref="AL2:AM2"/>
    <mergeCell ref="AL3:AM3"/>
    <mergeCell ref="AH2:AI2"/>
    <mergeCell ref="AH3:AI3"/>
    <mergeCell ref="AH4:AI4"/>
    <mergeCell ref="AH6:AI6"/>
    <mergeCell ref="R2:S2"/>
    <mergeCell ref="R3:S3"/>
    <mergeCell ref="X2:Y2"/>
    <mergeCell ref="AB2:AC2"/>
    <mergeCell ref="AB3:AC3"/>
    <mergeCell ref="AB4:AC4"/>
    <mergeCell ref="AB5:AC5"/>
    <mergeCell ref="Z2:AA2"/>
    <mergeCell ref="Z3:AA3"/>
    <mergeCell ref="T2:U2"/>
    <mergeCell ref="V2:W2"/>
    <mergeCell ref="AL8:AM8"/>
    <mergeCell ref="AJ8:AK8"/>
    <mergeCell ref="AD7:AE7"/>
    <mergeCell ref="AD8:AE8"/>
    <mergeCell ref="AL7:AM7"/>
    <mergeCell ref="AF7:AG7"/>
    <mergeCell ref="AF8:AG8"/>
    <mergeCell ref="J4:K4"/>
    <mergeCell ref="J5:K5"/>
    <mergeCell ref="J6:K6"/>
    <mergeCell ref="J7:K7"/>
    <mergeCell ref="J8:K8"/>
    <mergeCell ref="AH5:AI5"/>
    <mergeCell ref="AL4:AM4"/>
    <mergeCell ref="AL5:AM5"/>
    <mergeCell ref="T8:U8"/>
    <mergeCell ref="P8:Q8"/>
    <mergeCell ref="L8:M8"/>
    <mergeCell ref="V6:W6"/>
    <mergeCell ref="V7:W7"/>
    <mergeCell ref="V8:W8"/>
  </mergeCells>
  <conditionalFormatting sqref="H20:H39">
    <cfRule type="cellIs" dxfId="365" priority="35" operator="equal">
      <formula>"X"</formula>
    </cfRule>
    <cfRule type="cellIs" dxfId="364" priority="36" operator="equal">
      <formula>"I"</formula>
    </cfRule>
  </conditionalFormatting>
  <conditionalFormatting sqref="H41:H159">
    <cfRule type="cellIs" dxfId="363" priority="33" operator="equal">
      <formula>"X"</formula>
    </cfRule>
    <cfRule type="cellIs" dxfId="362" priority="34" operator="equal">
      <formula>"I"</formula>
    </cfRule>
  </conditionalFormatting>
  <conditionalFormatting sqref="J20:J39">
    <cfRule type="cellIs" dxfId="361" priority="19" operator="equal">
      <formula>"X"</formula>
    </cfRule>
    <cfRule type="cellIs" dxfId="360" priority="20" operator="equal">
      <formula>"I"</formula>
    </cfRule>
  </conditionalFormatting>
  <conditionalFormatting sqref="J41:J159">
    <cfRule type="cellIs" dxfId="359" priority="17" operator="equal">
      <formula>"X"</formula>
    </cfRule>
    <cfRule type="cellIs" dxfId="358" priority="18" operator="equal">
      <formula>"I"</formula>
    </cfRule>
  </conditionalFormatting>
  <conditionalFormatting sqref="N20:N39">
    <cfRule type="cellIs" dxfId="357" priority="69" operator="equal">
      <formula>"X"</formula>
    </cfRule>
    <cfRule type="cellIs" dxfId="356" priority="70" operator="equal">
      <formula>"I"</formula>
    </cfRule>
  </conditionalFormatting>
  <conditionalFormatting sqref="N41:N159">
    <cfRule type="cellIs" dxfId="355" priority="31" operator="equal">
      <formula>"X"</formula>
    </cfRule>
    <cfRule type="cellIs" dxfId="354" priority="32" operator="equal">
      <formula>"I"</formula>
    </cfRule>
  </conditionalFormatting>
  <conditionalFormatting sqref="R20:R39 AH41:AH99 AH101:AH159">
    <cfRule type="cellIs" dxfId="353" priority="57" operator="equal">
      <formula>"X"</formula>
    </cfRule>
    <cfRule type="cellIs" dxfId="352" priority="58" operator="equal">
      <formula>"I"</formula>
    </cfRule>
  </conditionalFormatting>
  <conditionalFormatting sqref="R41:R159">
    <cfRule type="cellIs" dxfId="351" priority="29" operator="equal">
      <formula>"X"</formula>
    </cfRule>
    <cfRule type="cellIs" dxfId="350" priority="30" operator="equal">
      <formula>"I"</formula>
    </cfRule>
  </conditionalFormatting>
  <conditionalFormatting sqref="X20:X39">
    <cfRule type="cellIs" dxfId="349" priority="67" operator="equal">
      <formula>"X"</formula>
    </cfRule>
    <cfRule type="cellIs" dxfId="348" priority="68" operator="equal">
      <formula>"I"</formula>
    </cfRule>
  </conditionalFormatting>
  <conditionalFormatting sqref="X41:X159">
    <cfRule type="cellIs" dxfId="347" priority="27" operator="equal">
      <formula>"X"</formula>
    </cfRule>
    <cfRule type="cellIs" dxfId="346" priority="28" operator="equal">
      <formula>"I"</formula>
    </cfRule>
  </conditionalFormatting>
  <conditionalFormatting sqref="Z20:Z39">
    <cfRule type="cellIs" dxfId="345" priority="47" operator="equal">
      <formula>"X"</formula>
    </cfRule>
    <cfRule type="cellIs" dxfId="344" priority="48" operator="equal">
      <formula>"I"</formula>
    </cfRule>
  </conditionalFormatting>
  <conditionalFormatting sqref="Z41:Z159">
    <cfRule type="cellIs" dxfId="343" priority="25" operator="equal">
      <formula>"X"</formula>
    </cfRule>
    <cfRule type="cellIs" dxfId="342" priority="26" operator="equal">
      <formula>"I"</formula>
    </cfRule>
  </conditionalFormatting>
  <conditionalFormatting sqref="AB20:AB39">
    <cfRule type="cellIs" dxfId="341" priority="51" operator="equal">
      <formula>"X"</formula>
    </cfRule>
    <cfRule type="cellIs" dxfId="340" priority="52" operator="equal">
      <formula>"I"</formula>
    </cfRule>
  </conditionalFormatting>
  <conditionalFormatting sqref="AB41:AB159 AJ41:AJ159 AL41:AL159">
    <cfRule type="cellIs" dxfId="339" priority="43" operator="equal">
      <formula>"X"</formula>
    </cfRule>
    <cfRule type="cellIs" dxfId="338" priority="44" operator="equal">
      <formula>"I"</formula>
    </cfRule>
  </conditionalFormatting>
  <conditionalFormatting sqref="AD20:AD39">
    <cfRule type="cellIs" dxfId="337" priority="39" operator="equal">
      <formula>"X"</formula>
    </cfRule>
    <cfRule type="cellIs" dxfId="336" priority="40" operator="equal">
      <formula>"I"</formula>
    </cfRule>
  </conditionalFormatting>
  <conditionalFormatting sqref="AD41:AD159">
    <cfRule type="cellIs" dxfId="335" priority="37" operator="equal">
      <formula>"X"</formula>
    </cfRule>
    <cfRule type="cellIs" dxfId="334" priority="38" operator="equal">
      <formula>"I"</formula>
    </cfRule>
  </conditionalFormatting>
  <conditionalFormatting sqref="AF20:AF39">
    <cfRule type="cellIs" dxfId="333" priority="21" operator="equal">
      <formula>"X"</formula>
    </cfRule>
    <cfRule type="cellIs" dxfId="332" priority="22" operator="equal">
      <formula>"I"</formula>
    </cfRule>
  </conditionalFormatting>
  <conditionalFormatting sqref="AF41:AF99 AF101:AF159">
    <cfRule type="cellIs" dxfId="331" priority="23" operator="equal">
      <formula>"X"</formula>
    </cfRule>
    <cfRule type="cellIs" dxfId="330" priority="24" operator="equal">
      <formula>"I"</formula>
    </cfRule>
  </conditionalFormatting>
  <conditionalFormatting sqref="AH20:AH39">
    <cfRule type="cellIs" dxfId="329" priority="55" operator="equal">
      <formula>"X"</formula>
    </cfRule>
    <cfRule type="cellIs" dxfId="328" priority="56" operator="equal">
      <formula>"I"</formula>
    </cfRule>
  </conditionalFormatting>
  <conditionalFormatting sqref="AJ20:AJ39">
    <cfRule type="cellIs" dxfId="327" priority="59" operator="equal">
      <formula>"X"</formula>
    </cfRule>
    <cfRule type="cellIs" dxfId="326" priority="60" operator="equal">
      <formula>"I"</formula>
    </cfRule>
  </conditionalFormatting>
  <conditionalFormatting sqref="AL20:AL39">
    <cfRule type="cellIs" dxfId="325" priority="65" operator="equal">
      <formula>"X"</formula>
    </cfRule>
    <cfRule type="cellIs" dxfId="324" priority="66" operator="equal">
      <formula>"I"</formula>
    </cfRule>
  </conditionalFormatting>
  <conditionalFormatting sqref="T20:T39">
    <cfRule type="cellIs" dxfId="323" priority="15" operator="equal">
      <formula>"X"</formula>
    </cfRule>
    <cfRule type="cellIs" dxfId="322" priority="16" operator="equal">
      <formula>"I"</formula>
    </cfRule>
  </conditionalFormatting>
  <conditionalFormatting sqref="T41:T159">
    <cfRule type="cellIs" dxfId="321" priority="13" operator="equal">
      <formula>"X"</formula>
    </cfRule>
    <cfRule type="cellIs" dxfId="320" priority="14" operator="equal">
      <formula>"I"</formula>
    </cfRule>
  </conditionalFormatting>
  <conditionalFormatting sqref="P20:P39">
    <cfRule type="cellIs" dxfId="319" priority="11" operator="equal">
      <formula>"X"</formula>
    </cfRule>
    <cfRule type="cellIs" dxfId="318" priority="12" operator="equal">
      <formula>"I"</formula>
    </cfRule>
  </conditionalFormatting>
  <conditionalFormatting sqref="P41:P159">
    <cfRule type="cellIs" dxfId="317" priority="9" operator="equal">
      <formula>"X"</formula>
    </cfRule>
    <cfRule type="cellIs" dxfId="316" priority="10" operator="equal">
      <formula>"I"</formula>
    </cfRule>
  </conditionalFormatting>
  <conditionalFormatting sqref="L20:L39">
    <cfRule type="cellIs" dxfId="315" priority="7" operator="equal">
      <formula>"X"</formula>
    </cfRule>
    <cfRule type="cellIs" dxfId="314" priority="8" operator="equal">
      <formula>"I"</formula>
    </cfRule>
  </conditionalFormatting>
  <conditionalFormatting sqref="L41:L159">
    <cfRule type="cellIs" dxfId="313" priority="5" operator="equal">
      <formula>"X"</formula>
    </cfRule>
    <cfRule type="cellIs" dxfId="312" priority="6" operator="equal">
      <formula>"I"</formula>
    </cfRule>
  </conditionalFormatting>
  <conditionalFormatting sqref="V20:V39">
    <cfRule type="cellIs" dxfId="311" priority="3" operator="equal">
      <formula>"X"</formula>
    </cfRule>
    <cfRule type="cellIs" dxfId="310" priority="4" operator="equal">
      <formula>"I"</formula>
    </cfRule>
  </conditionalFormatting>
  <conditionalFormatting sqref="V41:V159">
    <cfRule type="cellIs" dxfId="309" priority="1" operator="equal">
      <formula>"X"</formula>
    </cfRule>
    <cfRule type="cellIs" dxfId="308" priority="2" operator="equal">
      <formula>"I"</formula>
    </cfRule>
  </conditionalFormatting>
  <hyperlinks>
    <hyperlink ref="B3" location="'Cost Summary'!A1" display="BACK TO SUMMARY SHEET" xr:uid="{BC4461EB-D273-4A47-839C-5E1D041E55CF}"/>
    <hyperlink ref="R7" r:id="rId1" xr:uid="{1349D41A-45E4-4E5F-88D1-BC1001D7CC08}"/>
    <hyperlink ref="AJ7:AK7" r:id="rId2" display="nstevenson@vankirkelectric.com" xr:uid="{A8B09D90-344B-495D-9BF8-45A5D143D3A4}"/>
    <hyperlink ref="AL7" r:id="rId3" xr:uid="{28C7BBBB-B3F9-43AE-8671-C575CE129BF5}"/>
    <hyperlink ref="N7" r:id="rId4" xr:uid="{86BA921E-CD3D-4FB7-A21E-E96CC7D444E1}"/>
    <hyperlink ref="AH7" r:id="rId5" xr:uid="{784780AB-85E1-4B2B-8836-C1C624DC138C}"/>
    <hyperlink ref="X7:Y7" r:id="rId6" display="whernandez@scepowerplus.com" xr:uid="{7A5E0BCE-CE55-4D84-88D9-AAE8F9ED9D7F}"/>
    <hyperlink ref="AB7" r:id="rId7" xr:uid="{F76E13D6-E991-4E49-8CED-B0E97E59C8B0}"/>
    <hyperlink ref="Z7:AA7" r:id="rId8" display="wperrone@andreuassoc.com" xr:uid="{49856A91-70FD-4BF5-992B-C9C1FD49C0D9}"/>
    <hyperlink ref="AD7" r:id="rId9" xr:uid="{B0554BBC-748F-47C0-BDBA-8FB40D9FCF05}"/>
    <hyperlink ref="H7" r:id="rId10" xr:uid="{8E4F6BF1-FA48-47FF-BDBE-1A823D9E7941}"/>
    <hyperlink ref="AF7" r:id="rId11" xr:uid="{A0A723F1-1CE0-4BF4-B526-74A220FA1062}"/>
    <hyperlink ref="J7" r:id="rId12" xr:uid="{AB137D29-3314-4557-B2E3-0E916F2B4A39}"/>
    <hyperlink ref="T7" r:id="rId13" xr:uid="{D23C0A48-F951-40F8-9BF1-A404AB0D8A11}"/>
    <hyperlink ref="P7" r:id="rId14" xr:uid="{DC6BF6A1-AE0B-4701-A9CD-3F5473C58C4F}"/>
    <hyperlink ref="L7" r:id="rId15" display="mailto:LeilaCP@swecinc.com" xr:uid="{F2F217BB-3ED4-446F-99FD-B3CA4CC98244}"/>
    <hyperlink ref="V7" r:id="rId16" xr:uid="{41DEC15A-3A81-47B3-A049-743CFAF83A54}"/>
  </hyperlinks>
  <printOptions horizontalCentered="1"/>
  <pageMargins left="0.7" right="0.7" top="0.75" bottom="0.75" header="0.3" footer="0.3"/>
  <pageSetup paperSize="3" scale="28" orientation="portrait" r:id="rId17"/>
  <legacyDrawing r:id="rId18"/>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F032-A882-4FFA-88F8-D0C9F91C5E8E}">
  <sheetPr>
    <tabColor rgb="FF92D050"/>
  </sheetPr>
  <dimension ref="A1:S92"/>
  <sheetViews>
    <sheetView workbookViewId="0">
      <pane xSplit="2" ySplit="9" topLeftCell="C29" activePane="bottomRight" state="frozen"/>
      <selection pane="topRight" activeCell="C1" sqref="C1"/>
      <selection pane="bottomLeft" activeCell="A10" sqref="A10"/>
      <selection pane="bottomRight" activeCell="B29" sqref="B29:B31"/>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c r="I1" s="2" t="s">
        <v>3601</v>
      </c>
      <c r="K1" s="2" t="s">
        <v>3602</v>
      </c>
    </row>
    <row r="2" spans="1:19" ht="15" thickBot="1" x14ac:dyDescent="0.4">
      <c r="E2" s="152"/>
      <c r="F2" s="122" t="s">
        <v>622</v>
      </c>
      <c r="G2" s="123" t="s">
        <v>451</v>
      </c>
      <c r="H2" s="3866">
        <v>9546580575</v>
      </c>
      <c r="I2" s="3866"/>
      <c r="J2" s="3866"/>
      <c r="K2" s="3866"/>
      <c r="L2" s="3751"/>
      <c r="M2" s="3751"/>
      <c r="N2" s="3751"/>
      <c r="O2" s="3751"/>
      <c r="P2" s="3751"/>
      <c r="Q2" s="3751"/>
      <c r="R2" s="3751"/>
      <c r="S2" s="3751"/>
    </row>
    <row r="3" spans="1:19" ht="19" thickBot="1" x14ac:dyDescent="0.5">
      <c r="B3" s="126"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75" customHeight="1" thickTop="1" x14ac:dyDescent="0.35">
      <c r="A4" s="3" t="s">
        <v>631</v>
      </c>
      <c r="B4" s="4" t="e">
        <f>#REF!</f>
        <v>#REF!</v>
      </c>
      <c r="C4" s="5"/>
      <c r="D4" s="5"/>
      <c r="E4" s="5"/>
      <c r="F4" s="5"/>
      <c r="G4" s="6" t="s">
        <v>632</v>
      </c>
      <c r="H4" s="3752" t="s">
        <v>3603</v>
      </c>
      <c r="I4" s="3753"/>
      <c r="J4" s="3752" t="s">
        <v>3603</v>
      </c>
      <c r="K4" s="3753"/>
      <c r="L4" s="3752"/>
      <c r="M4" s="3753"/>
      <c r="N4" s="3752"/>
      <c r="O4" s="3753"/>
      <c r="P4" s="3752"/>
      <c r="Q4" s="3753"/>
      <c r="R4" s="3752"/>
      <c r="S4" s="3753"/>
    </row>
    <row r="5" spans="1:19" x14ac:dyDescent="0.35">
      <c r="A5" s="3030" t="s">
        <v>634</v>
      </c>
      <c r="B5" s="3031" t="s">
        <v>3604</v>
      </c>
      <c r="C5" s="3032"/>
      <c r="D5" s="3032"/>
      <c r="E5" s="3032"/>
      <c r="F5" s="3032"/>
      <c r="G5" s="2194" t="s">
        <v>636</v>
      </c>
      <c r="H5" s="3992" t="s">
        <v>3605</v>
      </c>
      <c r="I5" s="3932"/>
      <c r="J5" s="3992" t="s">
        <v>3605</v>
      </c>
      <c r="K5" s="3932"/>
      <c r="L5" s="3992"/>
      <c r="M5" s="3932"/>
      <c r="N5" s="3992"/>
      <c r="O5" s="3932"/>
      <c r="P5" s="3992"/>
      <c r="Q5" s="3932"/>
      <c r="R5" s="3992"/>
      <c r="S5" s="3932"/>
    </row>
    <row r="6" spans="1:19" x14ac:dyDescent="0.35">
      <c r="A6" s="3030" t="s">
        <v>638</v>
      </c>
      <c r="B6" s="3033" t="s">
        <v>555</v>
      </c>
      <c r="C6" s="3032"/>
      <c r="D6" s="3032"/>
      <c r="E6" s="3032"/>
      <c r="F6" s="3032"/>
      <c r="G6" s="2194" t="s">
        <v>639</v>
      </c>
      <c r="H6" s="3993">
        <v>9547721700</v>
      </c>
      <c r="I6" s="3938"/>
      <c r="J6" s="3993">
        <v>9547721700</v>
      </c>
      <c r="K6" s="3938"/>
      <c r="L6" s="3993"/>
      <c r="M6" s="3938"/>
      <c r="N6" s="3993"/>
      <c r="O6" s="3938"/>
      <c r="P6" s="3993"/>
      <c r="Q6" s="3938"/>
      <c r="R6" s="3993"/>
      <c r="S6" s="3938"/>
    </row>
    <row r="7" spans="1:19" x14ac:dyDescent="0.35">
      <c r="A7" s="3030" t="s">
        <v>641</v>
      </c>
      <c r="B7" s="3034"/>
      <c r="C7" s="3032"/>
      <c r="D7" s="3032"/>
      <c r="E7" s="3032"/>
      <c r="F7" s="3032"/>
      <c r="G7" s="2194" t="s">
        <v>642</v>
      </c>
      <c r="H7" s="4000" t="s">
        <v>3606</v>
      </c>
      <c r="I7" s="3973"/>
      <c r="J7" s="4000" t="s">
        <v>3606</v>
      </c>
      <c r="K7" s="3973"/>
      <c r="L7" s="4001"/>
      <c r="M7" s="3973"/>
      <c r="N7" s="4001"/>
      <c r="O7" s="3973"/>
      <c r="P7" s="4001"/>
      <c r="Q7" s="3973"/>
      <c r="R7" s="4001"/>
      <c r="S7" s="3973"/>
    </row>
    <row r="8" spans="1:19" ht="15.75" customHeight="1" thickBot="1" x14ac:dyDescent="0.4">
      <c r="A8" s="938" t="s">
        <v>644</v>
      </c>
      <c r="B8" s="939"/>
      <c r="C8" s="940"/>
      <c r="D8" s="940"/>
      <c r="E8" s="940"/>
      <c r="F8" s="940"/>
      <c r="G8" s="1024" t="s">
        <v>644</v>
      </c>
      <c r="H8" s="3926">
        <f>I53</f>
        <v>656469</v>
      </c>
      <c r="I8" s="3927"/>
      <c r="J8" s="3926">
        <f>K53</f>
        <v>505374</v>
      </c>
      <c r="K8" s="3927"/>
      <c r="L8" s="3926"/>
      <c r="M8" s="3927"/>
      <c r="N8" s="3926"/>
      <c r="O8" s="3927"/>
      <c r="P8" s="3926"/>
      <c r="Q8" s="3927"/>
      <c r="R8" s="3926"/>
      <c r="S8" s="3927"/>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3035"/>
      <c r="B10" s="2932" t="s">
        <v>653</v>
      </c>
      <c r="C10" s="3032"/>
      <c r="D10" s="3032"/>
      <c r="E10" s="3032"/>
      <c r="F10" s="3032"/>
      <c r="G10" s="2198"/>
      <c r="H10" s="2109"/>
      <c r="I10" s="2107"/>
      <c r="J10" s="2109"/>
      <c r="K10" s="2107"/>
      <c r="L10" s="2109"/>
      <c r="M10" s="2107"/>
      <c r="N10" s="2107"/>
      <c r="O10" s="2107"/>
      <c r="P10" s="2107"/>
      <c r="Q10" s="2107"/>
      <c r="R10" s="2107"/>
      <c r="S10" s="2107"/>
    </row>
    <row r="11" spans="1:19" hidden="1" x14ac:dyDescent="0.35">
      <c r="A11" s="3035"/>
      <c r="B11" s="3031" t="e">
        <f>#REF!</f>
        <v>#REF!</v>
      </c>
      <c r="C11" s="3036" t="s">
        <v>654</v>
      </c>
      <c r="D11" s="3032"/>
      <c r="E11" s="3032"/>
      <c r="F11" s="3032"/>
      <c r="G11" s="2198"/>
      <c r="H11" s="2109"/>
      <c r="I11" s="2107"/>
      <c r="J11" s="2109"/>
      <c r="K11" s="2107"/>
      <c r="L11" s="2109"/>
      <c r="M11" s="2107"/>
      <c r="N11" s="2107"/>
      <c r="O11" s="2107"/>
      <c r="P11" s="2107"/>
      <c r="Q11" s="2107"/>
      <c r="R11" s="2107"/>
      <c r="S11" s="2107"/>
    </row>
    <row r="12" spans="1:19" hidden="1" x14ac:dyDescent="0.35">
      <c r="A12" s="3035"/>
      <c r="B12" s="3031" t="e">
        <f>#REF!</f>
        <v>#REF!</v>
      </c>
      <c r="C12" s="3036" t="s">
        <v>654</v>
      </c>
      <c r="D12" s="3032"/>
      <c r="E12" s="3032"/>
      <c r="F12" s="3032"/>
      <c r="G12" s="2198"/>
      <c r="H12" s="2109"/>
      <c r="I12" s="2107"/>
      <c r="J12" s="2109"/>
      <c r="K12" s="2107"/>
      <c r="L12" s="2109"/>
      <c r="M12" s="2107"/>
      <c r="N12" s="2107"/>
      <c r="O12" s="2107"/>
      <c r="P12" s="2107"/>
      <c r="Q12" s="2107"/>
      <c r="R12" s="2107"/>
      <c r="S12" s="2107"/>
    </row>
    <row r="13" spans="1:19" hidden="1" x14ac:dyDescent="0.35">
      <c r="A13" s="3035"/>
      <c r="B13" s="3031" t="e">
        <f>#REF!</f>
        <v>#REF!</v>
      </c>
      <c r="C13" s="3036" t="s">
        <v>654</v>
      </c>
      <c r="D13" s="3032"/>
      <c r="E13" s="3032"/>
      <c r="F13" s="3032"/>
      <c r="G13" s="2198"/>
      <c r="H13" s="2109"/>
      <c r="I13" s="2107"/>
      <c r="J13" s="2109"/>
      <c r="K13" s="2107"/>
      <c r="L13" s="2109"/>
      <c r="M13" s="2107"/>
      <c r="N13" s="2107"/>
      <c r="O13" s="2107"/>
      <c r="P13" s="2107"/>
      <c r="Q13" s="2107"/>
      <c r="R13" s="2107"/>
      <c r="S13" s="2107"/>
    </row>
    <row r="14" spans="1:19" hidden="1" x14ac:dyDescent="0.35">
      <c r="A14" s="3035"/>
      <c r="B14" s="3031" t="e">
        <f>#REF!</f>
        <v>#REF!</v>
      </c>
      <c r="C14" s="3036" t="s">
        <v>654</v>
      </c>
      <c r="D14" s="3032"/>
      <c r="E14" s="3032"/>
      <c r="F14" s="3032"/>
      <c r="G14" s="2198"/>
      <c r="H14" s="2109"/>
      <c r="I14" s="2107"/>
      <c r="J14" s="2109"/>
      <c r="K14" s="2107"/>
      <c r="L14" s="2109"/>
      <c r="M14" s="2107"/>
      <c r="N14" s="2109"/>
      <c r="O14" s="2107"/>
      <c r="P14" s="2109"/>
      <c r="Q14" s="2107"/>
      <c r="R14" s="2109"/>
      <c r="S14" s="2107"/>
    </row>
    <row r="15" spans="1:19" hidden="1" x14ac:dyDescent="0.35">
      <c r="A15" s="3035"/>
      <c r="B15" s="3031" t="e">
        <f>#REF!</f>
        <v>#REF!</v>
      </c>
      <c r="C15" s="3036" t="s">
        <v>654</v>
      </c>
      <c r="D15" s="3032"/>
      <c r="E15" s="3032"/>
      <c r="F15" s="3032"/>
      <c r="G15" s="2198"/>
      <c r="H15" s="2109"/>
      <c r="I15" s="2107"/>
      <c r="J15" s="2109"/>
      <c r="K15" s="2107"/>
      <c r="L15" s="2109"/>
      <c r="M15" s="2107"/>
      <c r="N15" s="2109"/>
      <c r="O15" s="2107"/>
      <c r="P15" s="2109"/>
      <c r="Q15" s="2107"/>
      <c r="R15" s="2109"/>
      <c r="S15" s="2107"/>
    </row>
    <row r="16" spans="1:19" hidden="1" x14ac:dyDescent="0.35">
      <c r="A16" s="3035"/>
      <c r="B16" s="3031" t="e">
        <f>#REF!</f>
        <v>#REF!</v>
      </c>
      <c r="C16" s="3036" t="s">
        <v>654</v>
      </c>
      <c r="D16" s="3032"/>
      <c r="E16" s="3032"/>
      <c r="F16" s="3032"/>
      <c r="G16" s="2198"/>
      <c r="H16" s="2109"/>
      <c r="I16" s="2107"/>
      <c r="J16" s="2109"/>
      <c r="K16" s="2107"/>
      <c r="L16" s="2109"/>
      <c r="M16" s="2107"/>
      <c r="N16" s="2109"/>
      <c r="O16" s="2107"/>
      <c r="P16" s="2109"/>
      <c r="Q16" s="2107"/>
      <c r="R16" s="2109"/>
      <c r="S16" s="2107"/>
    </row>
    <row r="17" spans="1:19" hidden="1" x14ac:dyDescent="0.35">
      <c r="A17" s="3035"/>
      <c r="B17" s="3031" t="e">
        <f>#REF!</f>
        <v>#REF!</v>
      </c>
      <c r="C17" s="3036" t="s">
        <v>654</v>
      </c>
      <c r="D17" s="3032"/>
      <c r="E17" s="3032"/>
      <c r="F17" s="3032"/>
      <c r="G17" s="2198"/>
      <c r="H17" s="2109"/>
      <c r="I17" s="2107"/>
      <c r="J17" s="2109"/>
      <c r="K17" s="2107"/>
      <c r="L17" s="2109"/>
      <c r="M17" s="2107"/>
      <c r="N17" s="2109"/>
      <c r="O17" s="2107"/>
      <c r="P17" s="2109"/>
      <c r="Q17" s="2107"/>
      <c r="R17" s="2109"/>
      <c r="S17" s="2107"/>
    </row>
    <row r="18" spans="1:19" hidden="1" x14ac:dyDescent="0.35">
      <c r="A18" s="3035"/>
      <c r="B18" s="3031" t="e">
        <f>#REF!</f>
        <v>#REF!</v>
      </c>
      <c r="C18" s="3036" t="s">
        <v>654</v>
      </c>
      <c r="D18" s="3032"/>
      <c r="E18" s="3032"/>
      <c r="F18" s="3032"/>
      <c r="G18" s="2198"/>
      <c r="H18" s="2109"/>
      <c r="I18" s="2107"/>
      <c r="J18" s="2109"/>
      <c r="K18" s="2107"/>
      <c r="L18" s="2109"/>
      <c r="M18" s="2107"/>
      <c r="N18" s="2109"/>
      <c r="O18" s="2107"/>
      <c r="P18" s="2109"/>
      <c r="Q18" s="2107"/>
      <c r="R18" s="2109"/>
      <c r="S18" s="2107"/>
    </row>
    <row r="19" spans="1:19" hidden="1" x14ac:dyDescent="0.35">
      <c r="A19" s="3035"/>
      <c r="B19" s="3031" t="e">
        <f>#REF!</f>
        <v>#REF!</v>
      </c>
      <c r="C19" s="3036" t="s">
        <v>654</v>
      </c>
      <c r="D19" s="3032"/>
      <c r="E19" s="3032"/>
      <c r="F19" s="3032"/>
      <c r="G19" s="2198"/>
      <c r="H19" s="2109"/>
      <c r="I19" s="2107"/>
      <c r="J19" s="2109"/>
      <c r="K19" s="2107"/>
      <c r="L19" s="2109"/>
      <c r="M19" s="2107"/>
      <c r="N19" s="2109"/>
      <c r="O19" s="2107"/>
      <c r="P19" s="2109"/>
      <c r="Q19" s="2107"/>
      <c r="R19" s="2109"/>
      <c r="S19" s="2107"/>
    </row>
    <row r="20" spans="1:19" hidden="1" x14ac:dyDescent="0.35">
      <c r="A20" s="3035"/>
      <c r="B20" s="3031"/>
      <c r="C20" s="3036"/>
      <c r="D20" s="3032"/>
      <c r="E20" s="3032"/>
      <c r="F20" s="3032"/>
      <c r="G20" s="2198"/>
      <c r="H20" s="2109"/>
      <c r="I20" s="2107"/>
      <c r="J20" s="2109"/>
      <c r="K20" s="2107"/>
      <c r="L20" s="2109"/>
      <c r="M20" s="2107"/>
      <c r="N20" s="2109"/>
      <c r="O20" s="2107"/>
      <c r="P20" s="2109"/>
      <c r="Q20" s="2107"/>
      <c r="R20" s="2109"/>
      <c r="S20" s="2107"/>
    </row>
    <row r="21" spans="1:19" ht="15.5" thickTop="1" thickBot="1" x14ac:dyDescent="0.4">
      <c r="A21" s="48"/>
      <c r="B21" s="3037" t="s">
        <v>3604</v>
      </c>
      <c r="C21" s="45"/>
      <c r="D21" s="46"/>
      <c r="E21" s="46"/>
      <c r="F21" s="46"/>
      <c r="G21" s="52"/>
      <c r="H21" s="2109"/>
      <c r="I21" s="3054"/>
      <c r="J21" s="2109"/>
      <c r="K21" s="2898"/>
      <c r="L21" s="2109"/>
      <c r="M21" s="2898"/>
      <c r="N21" s="2109"/>
      <c r="O21" s="2898"/>
      <c r="P21" s="2109"/>
      <c r="Q21" s="2898"/>
      <c r="R21" s="2109"/>
      <c r="S21" s="2898"/>
    </row>
    <row r="22" spans="1:19" x14ac:dyDescent="0.35">
      <c r="A22" s="2934"/>
      <c r="B22" s="606" t="s">
        <v>657</v>
      </c>
      <c r="C22" s="3036"/>
      <c r="D22" s="3032"/>
      <c r="E22" s="3032"/>
      <c r="F22" s="3032"/>
      <c r="G22" s="2198"/>
      <c r="H22" s="2109"/>
      <c r="I22" s="3054"/>
      <c r="J22" s="2109"/>
      <c r="K22" s="2898"/>
      <c r="L22" s="2109"/>
      <c r="M22" s="2898"/>
      <c r="N22" s="2109"/>
      <c r="O22" s="2898"/>
      <c r="P22" s="2109"/>
      <c r="Q22" s="2898"/>
      <c r="R22" s="2109"/>
      <c r="S22" s="2898"/>
    </row>
    <row r="23" spans="1:19" x14ac:dyDescent="0.35">
      <c r="A23" s="2934"/>
      <c r="B23" s="3055" t="s">
        <v>658</v>
      </c>
      <c r="C23" s="3036"/>
      <c r="D23" s="3032"/>
      <c r="E23" s="3032"/>
      <c r="F23" s="3032"/>
      <c r="G23" s="2198"/>
      <c r="H23" s="2109"/>
      <c r="I23" s="3054"/>
      <c r="J23" s="2109"/>
      <c r="K23" s="2898"/>
      <c r="L23" s="2109"/>
      <c r="M23" s="2898"/>
      <c r="N23" s="2109"/>
      <c r="O23" s="2898"/>
      <c r="P23" s="2109"/>
      <c r="Q23" s="2898"/>
      <c r="R23" s="2109"/>
      <c r="S23" s="2898"/>
    </row>
    <row r="24" spans="1:19" x14ac:dyDescent="0.35">
      <c r="A24" s="2934"/>
      <c r="B24" s="3055" t="s">
        <v>659</v>
      </c>
      <c r="C24" s="3036"/>
      <c r="D24" s="3032"/>
      <c r="E24" s="3032"/>
      <c r="F24" s="3032"/>
      <c r="G24" s="2198"/>
      <c r="H24" s="2109"/>
      <c r="I24" s="3054"/>
      <c r="J24" s="2109"/>
      <c r="K24" s="2898"/>
      <c r="L24" s="2109"/>
      <c r="M24" s="2898"/>
      <c r="N24" s="2109"/>
      <c r="O24" s="2898"/>
      <c r="P24" s="2109"/>
      <c r="Q24" s="2898"/>
      <c r="R24" s="2109"/>
      <c r="S24" s="2898"/>
    </row>
    <row r="25" spans="1:19" x14ac:dyDescent="0.35">
      <c r="A25" s="3056"/>
      <c r="B25" s="3057" t="s">
        <v>660</v>
      </c>
      <c r="C25" s="3036"/>
      <c r="D25" s="3032"/>
      <c r="E25" s="3032"/>
      <c r="F25" s="3032"/>
      <c r="G25" s="2198"/>
      <c r="H25" s="2109"/>
      <c r="I25" s="3054"/>
      <c r="J25" s="2109"/>
      <c r="K25" s="2898"/>
      <c r="L25" s="2109"/>
      <c r="M25" s="2898"/>
      <c r="N25" s="2109"/>
      <c r="O25" s="2898"/>
      <c r="P25" s="2109"/>
      <c r="Q25" s="2898"/>
      <c r="R25" s="2109"/>
      <c r="S25" s="2898"/>
    </row>
    <row r="26" spans="1:19" x14ac:dyDescent="0.35">
      <c r="A26" s="2934"/>
      <c r="B26" s="3057" t="s">
        <v>661</v>
      </c>
      <c r="C26" s="3036"/>
      <c r="D26" s="3032"/>
      <c r="E26" s="3032"/>
      <c r="F26" s="3032"/>
      <c r="G26" s="2198"/>
      <c r="H26" s="2109"/>
      <c r="I26" s="3054"/>
      <c r="J26" s="2109"/>
      <c r="K26" s="2898"/>
      <c r="L26" s="2109"/>
      <c r="M26" s="2898"/>
      <c r="N26" s="2109"/>
      <c r="O26" s="2898"/>
      <c r="P26" s="2109"/>
      <c r="Q26" s="2898"/>
      <c r="R26" s="2109"/>
      <c r="S26" s="2898"/>
    </row>
    <row r="27" spans="1:19" x14ac:dyDescent="0.35">
      <c r="A27" s="3056"/>
      <c r="B27" s="3057" t="s">
        <v>3607</v>
      </c>
      <c r="C27" s="3036"/>
      <c r="D27" s="3032"/>
      <c r="E27" s="3032"/>
      <c r="F27" s="3032"/>
      <c r="G27" s="2198"/>
      <c r="H27" s="2109"/>
      <c r="I27" s="3054"/>
      <c r="J27" s="2109"/>
      <c r="K27" s="2898"/>
      <c r="L27" s="2109"/>
      <c r="M27" s="3046"/>
      <c r="N27" s="2109"/>
      <c r="O27" s="2898"/>
      <c r="P27" s="2109"/>
      <c r="Q27" s="2898"/>
      <c r="R27" s="2109"/>
      <c r="S27" s="2898"/>
    </row>
    <row r="28" spans="1:19" x14ac:dyDescent="0.35">
      <c r="A28" s="3056"/>
      <c r="B28" s="3057" t="s">
        <v>662</v>
      </c>
      <c r="C28" s="3036"/>
      <c r="D28" s="3032"/>
      <c r="E28" s="3032"/>
      <c r="F28" s="3032"/>
      <c r="G28" s="2198"/>
      <c r="H28" s="2109"/>
      <c r="I28" s="3054"/>
      <c r="J28" s="2109"/>
      <c r="K28" s="2898"/>
      <c r="L28" s="2109"/>
      <c r="M28" s="2898"/>
      <c r="N28" s="2109"/>
      <c r="O28" s="2898"/>
      <c r="P28" s="2109"/>
      <c r="Q28" s="2898"/>
      <c r="R28" s="2109"/>
      <c r="S28" s="2898"/>
    </row>
    <row r="29" spans="1:19" x14ac:dyDescent="0.35">
      <c r="A29" s="3058"/>
      <c r="B29" s="3059" t="s">
        <v>789</v>
      </c>
      <c r="C29" s="3036"/>
      <c r="D29" s="3032"/>
      <c r="E29" s="3032"/>
      <c r="F29" s="3032"/>
      <c r="G29" s="2198"/>
      <c r="H29" s="2109"/>
      <c r="I29" s="3060"/>
      <c r="J29" s="2109"/>
      <c r="K29" s="3061"/>
      <c r="L29" s="2109"/>
      <c r="M29" s="3061"/>
      <c r="N29" s="2109"/>
      <c r="O29" s="3061"/>
      <c r="P29" s="2109"/>
      <c r="Q29" s="3061"/>
      <c r="R29" s="2109"/>
      <c r="S29" s="3061"/>
    </row>
    <row r="30" spans="1:19" x14ac:dyDescent="0.35">
      <c r="A30" s="3062"/>
      <c r="B30" s="3063" t="s">
        <v>790</v>
      </c>
      <c r="C30" s="3036"/>
      <c r="D30" s="3032"/>
      <c r="E30" s="3032"/>
      <c r="F30" s="3032"/>
      <c r="G30" s="2198"/>
      <c r="H30" s="2109"/>
      <c r="I30" s="3064"/>
      <c r="J30" s="2109"/>
      <c r="K30" s="3065"/>
      <c r="L30" s="2109"/>
      <c r="M30" s="3065"/>
      <c r="N30" s="2109"/>
      <c r="O30" s="3065"/>
      <c r="P30" s="2109"/>
      <c r="Q30" s="3065"/>
      <c r="R30" s="2109"/>
      <c r="S30" s="3065"/>
    </row>
    <row r="31" spans="1:19" x14ac:dyDescent="0.35">
      <c r="A31" s="3066"/>
      <c r="B31" s="3067" t="s">
        <v>791</v>
      </c>
      <c r="C31" s="3036"/>
      <c r="D31" s="3032"/>
      <c r="E31" s="3032"/>
      <c r="F31" s="3032"/>
      <c r="G31" s="2198"/>
      <c r="H31" s="2109"/>
      <c r="I31" s="3068"/>
      <c r="J31" s="2109"/>
      <c r="K31" s="3069"/>
      <c r="L31" s="2109"/>
      <c r="M31" s="3069"/>
      <c r="N31" s="2109"/>
      <c r="O31" s="3069"/>
      <c r="P31" s="2109"/>
      <c r="Q31" s="3069"/>
      <c r="R31" s="2109"/>
      <c r="S31" s="3069"/>
    </row>
    <row r="32" spans="1:19" ht="20.25" customHeight="1" x14ac:dyDescent="0.35">
      <c r="A32" s="2934"/>
      <c r="B32" s="3070" t="s">
        <v>663</v>
      </c>
      <c r="C32" s="3036"/>
      <c r="D32" s="3032"/>
      <c r="E32" s="3032"/>
      <c r="F32" s="3032"/>
      <c r="G32" s="2198"/>
      <c r="H32" s="2109"/>
      <c r="I32" s="3054"/>
      <c r="J32" s="2109"/>
      <c r="K32" s="2898"/>
      <c r="L32" s="2109"/>
      <c r="M32" s="2898"/>
      <c r="N32" s="2109"/>
      <c r="O32" s="2898"/>
      <c r="P32" s="2109"/>
      <c r="Q32" s="2898"/>
      <c r="R32" s="2109"/>
      <c r="S32" s="2898"/>
    </row>
    <row r="33" spans="1:19" x14ac:dyDescent="0.35">
      <c r="A33" s="3056"/>
      <c r="B33" s="3071" t="s">
        <v>665</v>
      </c>
      <c r="C33" s="3072"/>
      <c r="D33" s="3039"/>
      <c r="E33" s="3039"/>
      <c r="F33" s="3039"/>
      <c r="G33" s="2945"/>
      <c r="H33" s="3073"/>
      <c r="I33" s="3074"/>
      <c r="J33" s="3074"/>
      <c r="K33" s="3074"/>
      <c r="L33" s="3075"/>
      <c r="M33" s="3076"/>
      <c r="N33" s="3074"/>
      <c r="O33" s="3074"/>
      <c r="P33" s="3074"/>
      <c r="Q33" s="3074"/>
      <c r="R33" s="2288"/>
      <c r="S33" s="3076"/>
    </row>
    <row r="34" spans="1:19" x14ac:dyDescent="0.35">
      <c r="A34" s="3056"/>
      <c r="B34" s="3077" t="s">
        <v>3608</v>
      </c>
      <c r="C34" s="3036"/>
      <c r="D34" s="3032"/>
      <c r="E34" s="3032"/>
      <c r="F34" s="3032"/>
      <c r="G34" s="2198"/>
      <c r="H34" s="2109"/>
      <c r="I34" s="3054"/>
      <c r="J34" s="2109"/>
      <c r="K34" s="3078"/>
      <c r="L34" s="2109"/>
      <c r="M34" s="2898"/>
      <c r="N34" s="2109"/>
      <c r="O34" s="2898"/>
      <c r="P34" s="2109"/>
      <c r="Q34" s="2898"/>
      <c r="R34" s="2109"/>
      <c r="S34" s="2898"/>
    </row>
    <row r="35" spans="1:19" x14ac:dyDescent="0.35">
      <c r="A35" s="3079"/>
      <c r="B35" s="3077"/>
      <c r="C35" s="3036"/>
      <c r="D35" s="3032"/>
      <c r="E35" s="3032"/>
      <c r="F35" s="3032"/>
      <c r="G35" s="2198"/>
      <c r="H35" s="2109"/>
      <c r="I35" s="3060"/>
      <c r="J35" s="2109"/>
      <c r="K35" s="3078"/>
      <c r="L35" s="2109"/>
      <c r="M35" s="3061"/>
      <c r="N35" s="2109"/>
      <c r="O35" s="3061"/>
      <c r="P35" s="2109"/>
      <c r="Q35" s="3061"/>
      <c r="R35" s="2109"/>
      <c r="S35" s="3061"/>
    </row>
    <row r="36" spans="1:19" x14ac:dyDescent="0.35">
      <c r="A36" s="2934"/>
      <c r="B36" s="3080" t="s">
        <v>3609</v>
      </c>
      <c r="C36" s="3036"/>
      <c r="D36" s="3032"/>
      <c r="E36" s="3032"/>
      <c r="F36" s="3032"/>
      <c r="G36" s="2198"/>
      <c r="H36" s="2109" t="s">
        <v>669</v>
      </c>
      <c r="I36" s="3054">
        <f>80530+81411+81981</f>
        <v>243922</v>
      </c>
      <c r="J36" s="2109" t="s">
        <v>669</v>
      </c>
      <c r="K36" s="3078">
        <f>68863+69307+69871</f>
        <v>208041</v>
      </c>
      <c r="L36" s="2109"/>
      <c r="M36" s="2898"/>
      <c r="N36" s="2109"/>
      <c r="O36" s="2898"/>
      <c r="P36" s="2109"/>
      <c r="Q36" s="2898"/>
      <c r="R36" s="2109"/>
      <c r="S36" s="2898"/>
    </row>
    <row r="37" spans="1:19" x14ac:dyDescent="0.35">
      <c r="A37" s="3056"/>
      <c r="B37" s="3080"/>
      <c r="C37" s="3036"/>
      <c r="D37" s="3032"/>
      <c r="E37" s="3032"/>
      <c r="F37" s="3032"/>
      <c r="G37" s="2198"/>
      <c r="H37" s="2109"/>
      <c r="I37" s="3054"/>
      <c r="J37" s="2109"/>
      <c r="K37" s="3078"/>
      <c r="L37" s="2109"/>
      <c r="M37" s="2898"/>
      <c r="N37" s="2109"/>
      <c r="O37" s="2898"/>
      <c r="P37" s="2109"/>
      <c r="Q37" s="2898"/>
      <c r="R37" s="2109"/>
      <c r="S37" s="2898"/>
    </row>
    <row r="38" spans="1:19" x14ac:dyDescent="0.35">
      <c r="A38" s="2934"/>
      <c r="B38" s="3081" t="s">
        <v>3610</v>
      </c>
      <c r="C38" s="3036"/>
      <c r="D38" s="3032"/>
      <c r="E38" s="3032"/>
      <c r="F38" s="3032"/>
      <c r="G38" s="2198"/>
      <c r="H38" s="2109" t="s">
        <v>669</v>
      </c>
      <c r="I38" s="3054">
        <f>80748+82742</f>
        <v>163490</v>
      </c>
      <c r="J38" s="2109" t="s">
        <v>669</v>
      </c>
      <c r="K38" s="3078">
        <f>69083+70707</f>
        <v>139790</v>
      </c>
      <c r="L38" s="2109"/>
      <c r="M38" s="2898"/>
      <c r="N38" s="2109"/>
      <c r="O38" s="2898"/>
      <c r="P38" s="2109"/>
      <c r="Q38" s="2898"/>
      <c r="R38" s="2109"/>
      <c r="S38" s="2898"/>
    </row>
    <row r="39" spans="1:19" x14ac:dyDescent="0.35">
      <c r="A39" s="3056"/>
      <c r="B39" s="3082"/>
      <c r="C39" s="3036"/>
      <c r="D39" s="3032"/>
      <c r="E39" s="3032"/>
      <c r="F39" s="3032"/>
      <c r="G39" s="2198"/>
      <c r="H39" s="2109"/>
      <c r="I39" s="3046"/>
      <c r="J39" s="2109"/>
      <c r="K39" s="3046"/>
      <c r="L39" s="2109"/>
      <c r="M39" s="3046"/>
      <c r="N39" s="2109"/>
      <c r="O39" s="2898"/>
      <c r="P39" s="2109"/>
      <c r="Q39" s="2898"/>
      <c r="R39" s="2109"/>
      <c r="S39" s="2898"/>
    </row>
    <row r="40" spans="1:19" x14ac:dyDescent="0.35">
      <c r="A40" s="3056"/>
      <c r="B40" s="3082" t="s">
        <v>3611</v>
      </c>
      <c r="C40" s="3036"/>
      <c r="D40" s="3032"/>
      <c r="E40" s="3032"/>
      <c r="F40" s="3032"/>
      <c r="G40" s="2198"/>
      <c r="H40" s="2109" t="s">
        <v>669</v>
      </c>
      <c r="I40" s="3046">
        <v>74379</v>
      </c>
      <c r="J40" s="2109" t="s">
        <v>669</v>
      </c>
      <c r="K40" s="3046">
        <v>61888</v>
      </c>
      <c r="L40" s="2109"/>
      <c r="M40" s="3046"/>
      <c r="N40" s="2109"/>
      <c r="O40" s="2898"/>
      <c r="P40" s="2109"/>
      <c r="Q40" s="2898"/>
      <c r="R40" s="2109"/>
      <c r="S40" s="2898"/>
    </row>
    <row r="41" spans="1:19" x14ac:dyDescent="0.35">
      <c r="A41" s="2934"/>
      <c r="B41" s="3082"/>
      <c r="C41" s="3036"/>
      <c r="D41" s="3032"/>
      <c r="E41" s="3032"/>
      <c r="F41" s="3032"/>
      <c r="G41" s="2198"/>
      <c r="H41" s="2109"/>
      <c r="I41" s="3046"/>
      <c r="J41" s="2109"/>
      <c r="K41" s="3046"/>
      <c r="L41" s="2109"/>
      <c r="M41" s="3046"/>
      <c r="N41" s="2109"/>
      <c r="O41" s="2898"/>
      <c r="P41" s="2109"/>
      <c r="Q41" s="2898"/>
      <c r="R41" s="2109"/>
      <c r="S41" s="2898"/>
    </row>
    <row r="42" spans="1:19" x14ac:dyDescent="0.35">
      <c r="A42" s="3056"/>
      <c r="B42" s="3083" t="s">
        <v>3612</v>
      </c>
      <c r="C42" s="3036"/>
      <c r="D42" s="3032"/>
      <c r="E42" s="3032"/>
      <c r="F42" s="3032"/>
      <c r="G42" s="2198"/>
      <c r="H42" s="2109" t="s">
        <v>669</v>
      </c>
      <c r="I42" s="3046">
        <v>51329</v>
      </c>
      <c r="J42" s="2109" t="s">
        <v>669</v>
      </c>
      <c r="K42" s="3046">
        <v>37234</v>
      </c>
      <c r="L42" s="2109"/>
      <c r="M42" s="3046"/>
      <c r="N42" s="2109"/>
      <c r="O42" s="2898"/>
      <c r="P42" s="2109"/>
      <c r="Q42" s="2898"/>
      <c r="R42" s="2109"/>
      <c r="S42" s="2898"/>
    </row>
    <row r="43" spans="1:19" ht="18.649999999999999" customHeight="1" x14ac:dyDescent="0.35">
      <c r="A43" s="2934"/>
      <c r="B43" s="3084"/>
      <c r="C43" s="3036"/>
      <c r="D43" s="3032"/>
      <c r="E43" s="3032"/>
      <c r="F43" s="3032"/>
      <c r="G43" s="2198"/>
      <c r="H43" s="2109"/>
      <c r="I43" s="3054"/>
      <c r="J43" s="2109"/>
      <c r="K43" s="3078"/>
      <c r="L43" s="2109"/>
      <c r="M43" s="2898"/>
      <c r="N43" s="2109"/>
      <c r="O43" s="2898"/>
      <c r="P43" s="2109"/>
      <c r="Q43" s="2898"/>
      <c r="R43" s="2109"/>
      <c r="S43" s="2898"/>
    </row>
    <row r="44" spans="1:19" x14ac:dyDescent="0.35">
      <c r="A44" s="3056"/>
      <c r="B44" s="3085" t="s">
        <v>3613</v>
      </c>
      <c r="C44" s="940"/>
      <c r="D44" s="940"/>
      <c r="E44" s="940"/>
      <c r="F44" s="940"/>
      <c r="G44" s="1039"/>
      <c r="H44" s="2088" t="s">
        <v>669</v>
      </c>
      <c r="I44" s="3078">
        <v>31326</v>
      </c>
      <c r="J44" s="2088" t="s">
        <v>669</v>
      </c>
      <c r="K44" s="3078">
        <v>15106</v>
      </c>
      <c r="L44" s="2088"/>
      <c r="M44" s="3061"/>
      <c r="N44" s="2088"/>
      <c r="O44" s="3061"/>
      <c r="P44" s="2088"/>
      <c r="Q44" s="3061"/>
      <c r="R44" s="2088"/>
      <c r="S44" s="3061"/>
    </row>
    <row r="45" spans="1:19" x14ac:dyDescent="0.35">
      <c r="A45" s="3079"/>
      <c r="B45" s="3085" t="s">
        <v>3614</v>
      </c>
      <c r="C45" s="940"/>
      <c r="D45" s="940"/>
      <c r="E45" s="940"/>
      <c r="F45" s="940"/>
      <c r="G45" s="1039"/>
      <c r="H45" s="2088" t="s">
        <v>669</v>
      </c>
      <c r="I45" s="3078">
        <f>31326*2</f>
        <v>62652</v>
      </c>
      <c r="J45" s="2088" t="s">
        <v>669</v>
      </c>
      <c r="K45" s="3078">
        <f>15106*2</f>
        <v>30212</v>
      </c>
      <c r="L45" s="2088"/>
      <c r="M45" s="3061"/>
      <c r="N45" s="2088"/>
      <c r="O45" s="3061"/>
      <c r="P45" s="2088"/>
      <c r="Q45" s="3061"/>
      <c r="R45" s="2088"/>
      <c r="S45" s="3061"/>
    </row>
    <row r="46" spans="1:19" x14ac:dyDescent="0.35">
      <c r="A46" s="3056"/>
      <c r="B46" s="3031" t="s">
        <v>2372</v>
      </c>
      <c r="C46" s="3036"/>
      <c r="D46" s="3032"/>
      <c r="E46" s="3032"/>
      <c r="F46" s="3032"/>
      <c r="G46" s="2198"/>
      <c r="H46" s="2088" t="s">
        <v>669</v>
      </c>
      <c r="I46" s="3078">
        <v>29371</v>
      </c>
      <c r="J46" s="2088" t="s">
        <v>669</v>
      </c>
      <c r="K46" s="3078">
        <v>13103</v>
      </c>
      <c r="L46" s="2088"/>
      <c r="M46" s="3061"/>
      <c r="N46" s="2088"/>
      <c r="O46" s="3061"/>
      <c r="P46" s="2088"/>
      <c r="Q46" s="3061"/>
      <c r="R46" s="2088"/>
      <c r="S46" s="3061"/>
    </row>
    <row r="47" spans="1:19" x14ac:dyDescent="0.35">
      <c r="A47" s="2934"/>
      <c r="B47" s="3086"/>
      <c r="C47" s="3036"/>
      <c r="D47" s="3032"/>
      <c r="E47" s="3032"/>
      <c r="F47" s="3032"/>
      <c r="G47" s="2198"/>
      <c r="H47" s="2109"/>
      <c r="I47" s="3061"/>
      <c r="J47" s="2109"/>
      <c r="K47" s="2898"/>
      <c r="L47" s="2109"/>
      <c r="M47" s="2898"/>
      <c r="N47" s="2109"/>
      <c r="O47" s="2898"/>
      <c r="P47" s="2109"/>
      <c r="Q47" s="2898"/>
      <c r="R47" s="2109"/>
      <c r="S47" s="2898"/>
    </row>
    <row r="48" spans="1:19" ht="15" thickBot="1" x14ac:dyDescent="0.4">
      <c r="A48" s="3056"/>
      <c r="B48" s="3086"/>
      <c r="C48" s="3036"/>
      <c r="D48" s="3032"/>
      <c r="E48" s="3032"/>
      <c r="F48" s="3032"/>
      <c r="G48" s="2198"/>
      <c r="H48" s="2109"/>
      <c r="I48" s="3061"/>
      <c r="J48" s="2109"/>
      <c r="K48" s="2898"/>
      <c r="L48" s="2109"/>
      <c r="M48" s="2898"/>
      <c r="N48" s="2109"/>
      <c r="O48" s="2898"/>
      <c r="P48" s="2109"/>
      <c r="Q48" s="2898"/>
      <c r="R48" s="2109"/>
      <c r="S48" s="2898"/>
    </row>
    <row r="49" spans="1:19" ht="15" thickTop="1" x14ac:dyDescent="0.35">
      <c r="A49" s="14"/>
      <c r="B49" s="15"/>
      <c r="C49" s="16"/>
      <c r="D49" s="16"/>
      <c r="E49" s="17"/>
      <c r="F49" s="18" t="s">
        <v>715</v>
      </c>
      <c r="G49" s="19" t="s">
        <v>735</v>
      </c>
      <c r="H49" s="20"/>
      <c r="I49" s="50">
        <f>SUM(I23:I48)</f>
        <v>656469</v>
      </c>
      <c r="J49" s="20"/>
      <c r="K49" s="50">
        <f>SUM(K23:K48)</f>
        <v>505374</v>
      </c>
      <c r="L49" s="20"/>
      <c r="M49" s="50">
        <f>SUM(M23:M48)</f>
        <v>0</v>
      </c>
      <c r="N49" s="20"/>
      <c r="O49" s="50">
        <f>SUM(O23:O48)</f>
        <v>0</v>
      </c>
      <c r="P49" s="20"/>
      <c r="Q49" s="50">
        <f>SUM(Q23:Q48)</f>
        <v>0</v>
      </c>
      <c r="R49" s="20"/>
      <c r="S49" s="50">
        <f>SUM(S23:S48)</f>
        <v>0</v>
      </c>
    </row>
    <row r="50" spans="1:19" x14ac:dyDescent="0.35">
      <c r="A50" s="2973"/>
      <c r="B50" s="2974"/>
      <c r="C50" s="2975"/>
      <c r="D50" s="2975"/>
      <c r="E50" s="2976"/>
      <c r="F50" s="2977" t="s">
        <v>716</v>
      </c>
      <c r="G50" s="2244"/>
      <c r="H50" s="2065">
        <v>0</v>
      </c>
      <c r="I50" s="960"/>
      <c r="J50" s="2065">
        <v>0</v>
      </c>
      <c r="K50" s="960"/>
      <c r="L50" s="2065">
        <v>0</v>
      </c>
      <c r="M50" s="960"/>
      <c r="N50" s="2065">
        <v>0</v>
      </c>
      <c r="O50" s="960"/>
      <c r="P50" s="2065">
        <v>0</v>
      </c>
      <c r="Q50" s="960"/>
      <c r="R50" s="2065">
        <v>0</v>
      </c>
      <c r="S50" s="960"/>
    </row>
    <row r="51" spans="1:19" x14ac:dyDescent="0.35">
      <c r="A51" s="2973"/>
      <c r="B51" s="2974"/>
      <c r="C51" s="2975"/>
      <c r="D51" s="2975"/>
      <c r="E51" s="2976"/>
      <c r="F51" s="2977" t="s">
        <v>717</v>
      </c>
      <c r="G51" s="2244"/>
      <c r="H51" s="2066"/>
      <c r="I51" s="2070">
        <f>I49*H50</f>
        <v>0</v>
      </c>
      <c r="J51" s="2066"/>
      <c r="K51" s="2070">
        <f>K49*J50</f>
        <v>0</v>
      </c>
      <c r="L51" s="2066"/>
      <c r="M51" s="2070">
        <f>M49*L50</f>
        <v>0</v>
      </c>
      <c r="N51" s="2066"/>
      <c r="O51" s="2070">
        <f>O49*N50</f>
        <v>0</v>
      </c>
      <c r="P51" s="2066"/>
      <c r="Q51" s="2070">
        <f>Q49*P50</f>
        <v>0</v>
      </c>
      <c r="R51" s="2066"/>
      <c r="S51" s="2070">
        <f>S49*R50</f>
        <v>0</v>
      </c>
    </row>
    <row r="52" spans="1:19" x14ac:dyDescent="0.35">
      <c r="A52" s="2973"/>
      <c r="B52" s="2974"/>
      <c r="C52" s="2975"/>
      <c r="D52" s="2975"/>
      <c r="E52" s="2976"/>
      <c r="F52" s="2977"/>
      <c r="G52" s="2244"/>
      <c r="H52" s="2066"/>
      <c r="I52" s="2068"/>
      <c r="J52" s="2066"/>
      <c r="K52" s="2068"/>
      <c r="L52" s="2066"/>
      <c r="M52" s="2068"/>
      <c r="N52" s="2066"/>
      <c r="O52" s="2068"/>
      <c r="P52" s="2066"/>
      <c r="Q52" s="2068"/>
      <c r="R52" s="2066"/>
      <c r="S52" s="2068"/>
    </row>
    <row r="53" spans="1:19" x14ac:dyDescent="0.35">
      <c r="A53" s="2973"/>
      <c r="B53" s="2974"/>
      <c r="C53" s="2975"/>
      <c r="D53" s="2975"/>
      <c r="E53" s="2976"/>
      <c r="F53" s="2977" t="s">
        <v>718</v>
      </c>
      <c r="G53" s="2244"/>
      <c r="H53" s="2069"/>
      <c r="I53" s="2070">
        <f>SUM(I49:I51)</f>
        <v>656469</v>
      </c>
      <c r="J53" s="2069"/>
      <c r="K53" s="2070">
        <f>SUM(K49:K51)</f>
        <v>505374</v>
      </c>
      <c r="L53" s="2069"/>
      <c r="M53" s="2070">
        <f>SUM(M49:M51)</f>
        <v>0</v>
      </c>
      <c r="N53" s="2069"/>
      <c r="O53" s="2070">
        <f>SUM(O49:O51)</f>
        <v>0</v>
      </c>
      <c r="P53" s="2069"/>
      <c r="Q53" s="2070">
        <f>SUM(Q49:Q51)</f>
        <v>0</v>
      </c>
      <c r="R53" s="2069"/>
      <c r="S53" s="2070">
        <f>SUM(S49:S51)</f>
        <v>0</v>
      </c>
    </row>
    <row r="54" spans="1:19" x14ac:dyDescent="0.35">
      <c r="A54" s="2973"/>
      <c r="B54" s="2974"/>
      <c r="C54" s="2975"/>
      <c r="D54" s="2975"/>
      <c r="E54" s="2976"/>
      <c r="F54" s="2991" t="s">
        <v>719</v>
      </c>
      <c r="G54" s="2256"/>
      <c r="H54" s="2073"/>
      <c r="I54" s="2074" t="e">
        <f>I53/#REF!</f>
        <v>#REF!</v>
      </c>
      <c r="J54" s="2073"/>
      <c r="K54" s="2074" t="e">
        <f>K53/#REF!</f>
        <v>#REF!</v>
      </c>
      <c r="L54" s="2073"/>
      <c r="M54" s="2074" t="e">
        <f>M53/#REF!</f>
        <v>#REF!</v>
      </c>
      <c r="N54" s="2073"/>
      <c r="O54" s="2074" t="e">
        <f>O53/#REF!</f>
        <v>#REF!</v>
      </c>
      <c r="P54" s="2073"/>
      <c r="Q54" s="2074" t="e">
        <f>Q53/#REF!</f>
        <v>#REF!</v>
      </c>
      <c r="R54" s="2073"/>
      <c r="S54" s="2074" t="e">
        <f>S53/#REF!</f>
        <v>#REF!</v>
      </c>
    </row>
    <row r="55" spans="1:19" x14ac:dyDescent="0.35">
      <c r="A55" s="2973"/>
      <c r="B55" s="2974"/>
      <c r="C55" s="2975"/>
      <c r="D55" s="2975"/>
      <c r="E55" s="2976"/>
      <c r="F55" s="2991" t="s">
        <v>720</v>
      </c>
      <c r="G55" s="2260"/>
      <c r="H55" s="2073"/>
      <c r="I55" s="2074" t="e">
        <f>I53/#REF!</f>
        <v>#REF!</v>
      </c>
      <c r="J55" s="2073"/>
      <c r="K55" s="2074" t="e">
        <f>K53/#REF!</f>
        <v>#REF!</v>
      </c>
      <c r="L55" s="2073"/>
      <c r="M55" s="2074" t="e">
        <f>M53/#REF!</f>
        <v>#REF!</v>
      </c>
      <c r="N55" s="2073"/>
      <c r="O55" s="2074" t="e">
        <f>O53/#REF!</f>
        <v>#REF!</v>
      </c>
      <c r="P55" s="2073"/>
      <c r="Q55" s="2074" t="e">
        <f>Q53/#REF!</f>
        <v>#REF!</v>
      </c>
      <c r="R55" s="2073"/>
      <c r="S55" s="2074" t="e">
        <f>S53/#REF!</f>
        <v>#REF!</v>
      </c>
    </row>
    <row r="56" spans="1:19" ht="15" thickBot="1" x14ac:dyDescent="0.4">
      <c r="A56" s="2973"/>
      <c r="B56" s="2974" t="s">
        <v>3615</v>
      </c>
      <c r="C56" s="2975"/>
      <c r="D56" s="2975"/>
      <c r="E56" s="2976"/>
      <c r="F56" s="2977"/>
      <c r="G56" s="2261">
        <v>2.2000000000000001E-3</v>
      </c>
      <c r="H56" s="2077"/>
      <c r="I56" s="2078">
        <f>I52*$G$47</f>
        <v>0</v>
      </c>
      <c r="J56" s="2077"/>
      <c r="K56" s="2078">
        <f>K52*$G$47</f>
        <v>0</v>
      </c>
      <c r="L56" s="2077"/>
      <c r="M56" s="2078">
        <f>M52*$G$47</f>
        <v>0</v>
      </c>
      <c r="N56" s="2077"/>
      <c r="O56" s="2078">
        <f>O52*$G$47</f>
        <v>0</v>
      </c>
      <c r="P56" s="2077"/>
      <c r="Q56" s="2078">
        <f>Q52*$G$47</f>
        <v>0</v>
      </c>
      <c r="R56" s="2077"/>
      <c r="S56" s="2078">
        <f>S52*$G$47</f>
        <v>0</v>
      </c>
    </row>
    <row r="57" spans="1:19" ht="15.5" thickTop="1" thickBot="1" x14ac:dyDescent="0.4">
      <c r="A57" s="3764" t="s">
        <v>721</v>
      </c>
      <c r="B57" s="3765"/>
      <c r="C57" s="12"/>
      <c r="D57" s="12"/>
      <c r="E57" s="12"/>
      <c r="F57" s="12"/>
      <c r="G57" s="13"/>
      <c r="H57" s="21"/>
      <c r="I57" s="21"/>
      <c r="J57" s="21"/>
      <c r="K57" s="21"/>
      <c r="L57" s="21"/>
      <c r="M57" s="21"/>
      <c r="N57" s="21"/>
      <c r="O57" s="21"/>
      <c r="P57" s="21"/>
      <c r="Q57" s="21"/>
      <c r="R57" s="21"/>
      <c r="S57" s="21"/>
    </row>
    <row r="58" spans="1:19" ht="15" thickTop="1" x14ac:dyDescent="0.35">
      <c r="A58" s="3087"/>
      <c r="B58" s="3031"/>
      <c r="C58" s="3088"/>
      <c r="D58" s="3088"/>
      <c r="E58" s="3088"/>
      <c r="F58" s="3088"/>
      <c r="G58" s="3089"/>
      <c r="H58" s="3090"/>
      <c r="I58" s="3090"/>
      <c r="J58" s="3090"/>
      <c r="K58" s="3090"/>
      <c r="L58" s="3090"/>
      <c r="M58" s="3090"/>
      <c r="N58" s="3090"/>
      <c r="O58" s="3090"/>
      <c r="P58" s="3090"/>
      <c r="Q58" s="3090"/>
      <c r="R58" s="3090"/>
      <c r="S58" s="3090"/>
    </row>
    <row r="59" spans="1:19" x14ac:dyDescent="0.35">
      <c r="A59" s="3087"/>
      <c r="B59" s="3031"/>
      <c r="C59" s="3088"/>
      <c r="D59" s="3088"/>
      <c r="E59" s="3088"/>
      <c r="F59" s="3088"/>
      <c r="G59" s="3089"/>
      <c r="H59" s="3090"/>
      <c r="I59" s="3090"/>
      <c r="J59" s="3090"/>
      <c r="K59" s="3090"/>
      <c r="L59" s="3090"/>
      <c r="M59" s="3090"/>
      <c r="N59" s="3090"/>
      <c r="O59" s="3090"/>
      <c r="P59" s="3090"/>
      <c r="Q59" s="3090"/>
      <c r="R59" s="3090"/>
      <c r="S59" s="3090"/>
    </row>
    <row r="60" spans="1:19" ht="15" thickBot="1" x14ac:dyDescent="0.4">
      <c r="A60" s="3087"/>
      <c r="B60" s="3031"/>
      <c r="C60" s="3088"/>
      <c r="D60" s="3088"/>
      <c r="E60" s="3088"/>
      <c r="F60" s="3088"/>
      <c r="G60" s="3089"/>
      <c r="H60" s="3090"/>
      <c r="I60" s="3090"/>
      <c r="J60" s="3090"/>
      <c r="K60" s="3090"/>
      <c r="L60" s="3090"/>
      <c r="M60" s="3090"/>
      <c r="N60" s="3090"/>
      <c r="O60" s="3090"/>
      <c r="P60" s="3090"/>
      <c r="Q60" s="3090"/>
      <c r="R60" s="3090"/>
      <c r="S60" s="3090"/>
    </row>
    <row r="61" spans="1:19" s="2" customFormat="1" ht="15.5" thickTop="1" thickBot="1" x14ac:dyDescent="0.4">
      <c r="A61" s="3764" t="s">
        <v>722</v>
      </c>
      <c r="B61" s="3765"/>
      <c r="C61" s="12"/>
      <c r="D61" s="12"/>
      <c r="E61" s="12"/>
      <c r="F61" s="12"/>
      <c r="G61" s="13"/>
      <c r="H61" s="21"/>
      <c r="I61" s="21"/>
      <c r="J61" s="21"/>
      <c r="K61" s="21"/>
      <c r="L61" s="21"/>
      <c r="M61" s="21"/>
      <c r="N61" s="21"/>
      <c r="O61" s="21"/>
      <c r="P61" s="21"/>
      <c r="Q61" s="21"/>
      <c r="R61" s="21"/>
      <c r="S61" s="21"/>
    </row>
    <row r="62" spans="1:19" s="2" customFormat="1" ht="15" thickTop="1" x14ac:dyDescent="0.35">
      <c r="A62" s="3087"/>
      <c r="B62" s="3031"/>
      <c r="C62" s="3088"/>
      <c r="D62" s="3088"/>
      <c r="E62" s="3088"/>
      <c r="F62" s="3088"/>
      <c r="G62" s="3089"/>
      <c r="H62" s="3090"/>
      <c r="I62" s="3090"/>
      <c r="J62" s="3090"/>
      <c r="K62" s="3090"/>
      <c r="L62" s="3090"/>
      <c r="M62" s="3090"/>
      <c r="N62" s="3090"/>
      <c r="O62" s="3090"/>
      <c r="P62" s="3090"/>
      <c r="Q62" s="3090"/>
      <c r="R62" s="3090"/>
      <c r="S62" s="3090"/>
    </row>
    <row r="63" spans="1:19" s="2" customFormat="1" x14ac:dyDescent="0.35">
      <c r="A63" s="3087"/>
      <c r="B63" s="3031"/>
      <c r="C63" s="3088"/>
      <c r="D63" s="3088"/>
      <c r="E63" s="3088"/>
      <c r="F63" s="3088"/>
      <c r="G63" s="3089"/>
      <c r="H63" s="3090"/>
      <c r="I63" s="3090"/>
      <c r="J63" s="3090"/>
      <c r="K63" s="3090"/>
      <c r="L63" s="3090"/>
      <c r="M63" s="3090"/>
      <c r="N63" s="3090"/>
      <c r="O63" s="3090"/>
      <c r="P63" s="3090"/>
      <c r="Q63" s="3090"/>
      <c r="R63" s="3090"/>
      <c r="S63" s="3090"/>
    </row>
    <row r="64" spans="1:19" ht="15" thickBot="1" x14ac:dyDescent="0.4">
      <c r="A64" s="3087"/>
      <c r="B64" s="3031"/>
      <c r="C64" s="3088"/>
      <c r="D64" s="3088"/>
      <c r="E64" s="3088"/>
      <c r="F64" s="3088"/>
      <c r="G64" s="3089"/>
      <c r="H64" s="3090"/>
      <c r="I64" s="3090"/>
      <c r="J64" s="3090"/>
      <c r="K64" s="3090"/>
      <c r="L64" s="3090"/>
      <c r="M64" s="3090"/>
      <c r="N64" s="3090"/>
      <c r="O64" s="3090"/>
      <c r="P64" s="3090"/>
      <c r="Q64" s="3090"/>
      <c r="R64" s="3090"/>
      <c r="S64" s="3090"/>
    </row>
    <row r="65" spans="1:19" s="2" customFormat="1" ht="15.5" thickTop="1" thickBot="1" x14ac:dyDescent="0.4">
      <c r="A65" s="3764" t="s">
        <v>723</v>
      </c>
      <c r="B65" s="3765"/>
      <c r="C65" s="12"/>
      <c r="D65" s="12"/>
      <c r="E65" s="12"/>
      <c r="F65" s="12"/>
      <c r="G65" s="13"/>
      <c r="H65" s="21"/>
      <c r="I65" s="21"/>
      <c r="J65" s="21"/>
      <c r="K65" s="21"/>
      <c r="L65" s="21"/>
      <c r="M65" s="21"/>
      <c r="N65" s="21"/>
      <c r="O65" s="21"/>
      <c r="P65" s="21"/>
      <c r="Q65" s="21"/>
      <c r="R65" s="21"/>
      <c r="S65" s="21"/>
    </row>
    <row r="66" spans="1:19" s="2" customFormat="1" ht="15" thickTop="1" x14ac:dyDescent="0.35">
      <c r="A66" s="3087"/>
      <c r="B66" s="3031"/>
      <c r="C66" s="3088"/>
      <c r="D66" s="3088"/>
      <c r="E66" s="3088"/>
      <c r="F66" s="3088"/>
      <c r="G66" s="3089"/>
      <c r="H66" s="3090"/>
      <c r="I66" s="3090"/>
      <c r="J66" s="3090"/>
      <c r="K66" s="3090"/>
      <c r="L66" s="3090"/>
      <c r="M66" s="3090"/>
      <c r="N66" s="3090"/>
      <c r="O66" s="3090"/>
      <c r="P66" s="3090"/>
      <c r="Q66" s="3090"/>
      <c r="R66" s="3090"/>
      <c r="S66" s="3090"/>
    </row>
    <row r="67" spans="1:19" s="2" customFormat="1" x14ac:dyDescent="0.35">
      <c r="A67" s="3035"/>
      <c r="B67" s="3031"/>
      <c r="C67" s="3032"/>
      <c r="D67" s="3032"/>
      <c r="E67" s="3032"/>
      <c r="F67" s="3032"/>
      <c r="G67" s="2198"/>
      <c r="H67" s="2081"/>
      <c r="I67" s="2081"/>
      <c r="J67" s="2081"/>
      <c r="K67" s="2081"/>
      <c r="L67" s="2081"/>
      <c r="M67" s="2081"/>
      <c r="N67" s="2081"/>
      <c r="O67" s="2081"/>
      <c r="P67" s="2081"/>
      <c r="Q67" s="2081"/>
      <c r="R67" s="2081"/>
      <c r="S67" s="2081"/>
    </row>
    <row r="68" spans="1:19" s="2" customFormat="1" ht="15" thickBot="1" x14ac:dyDescent="0.4">
      <c r="A68" s="3012"/>
      <c r="B68" s="3019"/>
      <c r="C68" s="3032"/>
      <c r="D68" s="3032"/>
      <c r="E68" s="3032"/>
      <c r="F68" s="3032"/>
      <c r="G68" s="2198"/>
      <c r="H68" s="2084"/>
      <c r="I68" s="2084"/>
      <c r="J68" s="2084"/>
      <c r="K68" s="2084"/>
      <c r="L68" s="2084"/>
      <c r="M68" s="2084"/>
      <c r="N68" s="2084"/>
      <c r="O68" s="2084"/>
      <c r="P68" s="2084"/>
      <c r="Q68" s="2084"/>
      <c r="R68" s="2084"/>
      <c r="S68" s="2084"/>
    </row>
    <row r="69" spans="1:19" s="2" customFormat="1" ht="15.5" thickTop="1" thickBot="1" x14ac:dyDescent="0.4">
      <c r="A69" s="3764" t="s">
        <v>724</v>
      </c>
      <c r="B69" s="3765"/>
      <c r="C69" s="12"/>
      <c r="D69" s="12"/>
      <c r="E69" s="12"/>
      <c r="F69" s="12"/>
      <c r="G69" s="13"/>
      <c r="H69" s="21"/>
      <c r="I69" s="21"/>
      <c r="J69" s="21"/>
      <c r="K69" s="21"/>
      <c r="L69" s="21"/>
      <c r="M69" s="21"/>
      <c r="N69" s="21"/>
      <c r="O69" s="21"/>
      <c r="P69" s="21"/>
      <c r="Q69" s="21"/>
      <c r="R69" s="21"/>
      <c r="S69" s="21"/>
    </row>
    <row r="70" spans="1:19" ht="15" thickTop="1" x14ac:dyDescent="0.35">
      <c r="A70" s="3091"/>
      <c r="B70" s="3092"/>
      <c r="C70" s="3088"/>
      <c r="D70" s="3088"/>
      <c r="E70" s="3088"/>
      <c r="F70" s="3088"/>
      <c r="G70" s="3089"/>
      <c r="H70" s="3090"/>
      <c r="I70" s="3090"/>
      <c r="J70" s="3090"/>
      <c r="K70" s="3090"/>
      <c r="L70" s="3090"/>
      <c r="M70" s="3090"/>
      <c r="N70" s="3090"/>
      <c r="O70" s="3090"/>
      <c r="P70" s="3090"/>
      <c r="Q70" s="3090"/>
      <c r="R70" s="3090"/>
      <c r="S70" s="3090"/>
    </row>
    <row r="71" spans="1:19" x14ac:dyDescent="0.35">
      <c r="A71" s="3012"/>
      <c r="B71" s="3019"/>
      <c r="C71" s="3032"/>
      <c r="D71" s="3032"/>
      <c r="E71" s="3032"/>
      <c r="F71" s="3032"/>
      <c r="G71" s="2198"/>
      <c r="H71" s="2087"/>
      <c r="I71" s="2087"/>
      <c r="J71" s="2087"/>
      <c r="K71" s="2087"/>
      <c r="L71" s="2087"/>
      <c r="M71" s="2087"/>
      <c r="N71" s="2087"/>
      <c r="O71" s="2087"/>
      <c r="P71" s="2087"/>
      <c r="Q71" s="2087"/>
      <c r="R71" s="2087"/>
      <c r="S71" s="2087"/>
    </row>
    <row r="72" spans="1:19" ht="15" thickBot="1" x14ac:dyDescent="0.4">
      <c r="A72" s="3012"/>
      <c r="B72" s="3019"/>
      <c r="C72" s="3032"/>
      <c r="D72" s="3032"/>
      <c r="E72" s="3032"/>
      <c r="F72" s="3032"/>
      <c r="G72" s="2198"/>
      <c r="H72" s="2087"/>
      <c r="I72" s="2087"/>
      <c r="J72" s="2087"/>
      <c r="K72" s="2087"/>
      <c r="L72" s="2087"/>
      <c r="M72" s="2087"/>
      <c r="N72" s="2087"/>
      <c r="O72" s="2087"/>
      <c r="P72" s="2087"/>
      <c r="Q72" s="2087"/>
      <c r="R72" s="2087"/>
      <c r="S72" s="2087"/>
    </row>
    <row r="73" spans="1:19" ht="15.5" thickTop="1" thickBot="1" x14ac:dyDescent="0.4">
      <c r="A73" s="3764" t="s">
        <v>725</v>
      </c>
      <c r="B73" s="3765"/>
      <c r="C73" s="12"/>
      <c r="D73" s="12"/>
      <c r="E73" s="12"/>
      <c r="F73" s="12"/>
      <c r="G73" s="13"/>
      <c r="H73" s="21"/>
      <c r="I73" s="21"/>
      <c r="J73" s="21"/>
      <c r="K73" s="21"/>
      <c r="L73" s="21"/>
      <c r="M73" s="21"/>
      <c r="N73" s="21"/>
      <c r="O73" s="21"/>
      <c r="P73" s="21"/>
      <c r="Q73" s="21"/>
      <c r="R73" s="21"/>
      <c r="S73" s="21"/>
    </row>
    <row r="74" spans="1:19" ht="15" thickTop="1" x14ac:dyDescent="0.35">
      <c r="A74" s="3035"/>
      <c r="B74" s="3031" t="s">
        <v>726</v>
      </c>
      <c r="C74" s="3032"/>
      <c r="D74" s="3032"/>
      <c r="E74" s="3032"/>
      <c r="F74" s="3032"/>
      <c r="G74" s="2198"/>
      <c r="H74" s="2087"/>
      <c r="I74" s="2087"/>
      <c r="J74" s="2087"/>
      <c r="K74" s="2087"/>
      <c r="L74" s="2087"/>
      <c r="M74" s="2087"/>
      <c r="N74" s="2087"/>
      <c r="O74" s="2087"/>
      <c r="P74" s="2087"/>
      <c r="Q74" s="2087"/>
      <c r="R74" s="2087"/>
      <c r="S74" s="2087"/>
    </row>
    <row r="75" spans="1:19" x14ac:dyDescent="0.35">
      <c r="A75" s="3035"/>
      <c r="B75" s="3031" t="s">
        <v>727</v>
      </c>
      <c r="C75" s="3032"/>
      <c r="D75" s="3032"/>
      <c r="E75" s="3032"/>
      <c r="F75" s="3032"/>
      <c r="G75" s="2198"/>
      <c r="H75" s="2087"/>
      <c r="I75" s="2087"/>
      <c r="J75" s="2087"/>
      <c r="K75" s="2087"/>
      <c r="L75" s="2087"/>
      <c r="M75" s="2087"/>
      <c r="N75" s="2087"/>
      <c r="O75" s="2087"/>
      <c r="P75" s="2087"/>
      <c r="Q75" s="2087"/>
      <c r="R75" s="2087"/>
      <c r="S75" s="2087"/>
    </row>
    <row r="76" spans="1:19" x14ac:dyDescent="0.35">
      <c r="A76" s="3035"/>
      <c r="B76" s="3031" t="s">
        <v>728</v>
      </c>
      <c r="C76" s="3032"/>
      <c r="D76" s="3032"/>
      <c r="E76" s="3032"/>
      <c r="F76" s="3032"/>
      <c r="G76" s="2198"/>
      <c r="H76" s="2087"/>
      <c r="I76" s="2087"/>
      <c r="J76" s="2087"/>
      <c r="K76" s="2087"/>
      <c r="L76" s="2087"/>
      <c r="M76" s="2087"/>
      <c r="N76" s="2087"/>
      <c r="O76" s="2087"/>
      <c r="P76" s="2087"/>
      <c r="Q76" s="2087"/>
      <c r="R76" s="2087"/>
      <c r="S76" s="2087"/>
    </row>
    <row r="77" spans="1:19" x14ac:dyDescent="0.35">
      <c r="A77" s="3035"/>
      <c r="B77" s="3031" t="s">
        <v>729</v>
      </c>
      <c r="C77" s="3032"/>
      <c r="D77" s="3032"/>
      <c r="E77" s="3032"/>
      <c r="F77" s="3032"/>
      <c r="G77" s="2198"/>
      <c r="H77" s="2087"/>
      <c r="I77" s="2087"/>
      <c r="J77" s="2087"/>
      <c r="K77" s="2087"/>
      <c r="L77" s="2087"/>
      <c r="M77" s="2087"/>
      <c r="N77" s="2087"/>
      <c r="O77" s="2087"/>
      <c r="P77" s="2087"/>
      <c r="Q77" s="2087"/>
      <c r="R77" s="2087"/>
      <c r="S77" s="2087"/>
    </row>
    <row r="78" spans="1:19" ht="15" thickBot="1" x14ac:dyDescent="0.4">
      <c r="A78" s="978"/>
      <c r="B78" s="939"/>
      <c r="C78" s="940"/>
      <c r="D78" s="940"/>
      <c r="E78" s="940"/>
      <c r="F78" s="940"/>
      <c r="G78" s="1039"/>
      <c r="H78" s="981"/>
      <c r="I78" s="981"/>
      <c r="J78" s="981"/>
      <c r="K78" s="981"/>
      <c r="L78" s="981"/>
      <c r="M78" s="981"/>
      <c r="N78" s="981"/>
      <c r="O78" s="981"/>
      <c r="P78" s="981"/>
      <c r="Q78" s="981"/>
      <c r="R78" s="981"/>
      <c r="S78" s="981"/>
    </row>
    <row r="79" spans="1:19" ht="15.5" thickTop="1" thickBot="1" x14ac:dyDescent="0.4">
      <c r="A79" s="7" t="s">
        <v>730</v>
      </c>
      <c r="B79" s="8"/>
      <c r="C79" s="12"/>
      <c r="D79" s="12"/>
      <c r="E79" s="12"/>
      <c r="F79" s="12"/>
      <c r="G79" s="13"/>
      <c r="H79" s="21"/>
      <c r="I79" s="21"/>
      <c r="J79" s="21"/>
      <c r="K79" s="21"/>
      <c r="L79" s="21"/>
      <c r="M79" s="21"/>
      <c r="N79" s="21"/>
      <c r="O79" s="21"/>
      <c r="P79" s="21"/>
      <c r="Q79" s="21"/>
      <c r="R79" s="21"/>
      <c r="S79" s="21"/>
    </row>
    <row r="80" spans="1:19" ht="15" thickTop="1" x14ac:dyDescent="0.35">
      <c r="A80" s="3087"/>
      <c r="B80" s="3093" t="s">
        <v>731</v>
      </c>
      <c r="C80" s="3088"/>
      <c r="D80" s="3088"/>
      <c r="E80" s="3088"/>
      <c r="F80" s="3088"/>
      <c r="G80" s="3089"/>
      <c r="H80" s="3094"/>
      <c r="I80" s="3094"/>
      <c r="J80" s="3094"/>
      <c r="K80" s="3094"/>
      <c r="L80" s="3094"/>
      <c r="M80" s="3094"/>
      <c r="N80" s="3094"/>
      <c r="O80" s="3094"/>
      <c r="P80" s="3094"/>
      <c r="Q80" s="3094"/>
      <c r="R80" s="3094"/>
      <c r="S80" s="3094"/>
    </row>
    <row r="81" spans="1:19" x14ac:dyDescent="0.35">
      <c r="A81" s="3035"/>
      <c r="B81" s="3031" t="s">
        <v>732</v>
      </c>
      <c r="C81" s="3032"/>
      <c r="D81" s="3032"/>
      <c r="E81" s="3032"/>
      <c r="F81" s="3032"/>
      <c r="G81" s="2198"/>
      <c r="H81" s="2158"/>
      <c r="I81" s="2158"/>
      <c r="J81" s="2158"/>
      <c r="K81" s="2158"/>
      <c r="L81" s="2158"/>
      <c r="M81" s="2158"/>
      <c r="N81" s="2158"/>
      <c r="O81" s="2158"/>
      <c r="P81" s="2158"/>
      <c r="Q81" s="2158"/>
      <c r="R81" s="2158"/>
      <c r="S81" s="2158"/>
    </row>
    <row r="82" spans="1:19" ht="15" thickBot="1" x14ac:dyDescent="0.4">
      <c r="A82" s="2089"/>
      <c r="B82" s="2090" t="s">
        <v>733</v>
      </c>
      <c r="C82" s="2091"/>
      <c r="D82" s="2091"/>
      <c r="E82" s="2091"/>
      <c r="F82" s="2091"/>
      <c r="G82" s="2092"/>
      <c r="H82" s="2093"/>
      <c r="I82" s="2093"/>
      <c r="J82" s="2093"/>
      <c r="K82" s="2093"/>
      <c r="L82" s="2093"/>
      <c r="M82" s="2093"/>
      <c r="N82" s="2093"/>
      <c r="O82" s="2093"/>
      <c r="P82" s="2093"/>
      <c r="Q82" s="2093"/>
      <c r="R82" s="2093"/>
      <c r="S82" s="2093"/>
    </row>
    <row r="83" spans="1:19" ht="15.5" thickTop="1" thickBot="1" x14ac:dyDescent="0.4"/>
    <row r="84" spans="1:19" ht="15.5" thickTop="1" thickBot="1" x14ac:dyDescent="0.4">
      <c r="A84" s="78" t="s">
        <v>734</v>
      </c>
      <c r="B84" s="80"/>
    </row>
    <row r="85" spans="1:19" ht="15.5" thickTop="1" thickBot="1" x14ac:dyDescent="0.4">
      <c r="A85" s="79" t="s">
        <v>632</v>
      </c>
      <c r="B85" s="80"/>
    </row>
    <row r="86" spans="1:19" ht="15" thickTop="1" x14ac:dyDescent="0.35">
      <c r="A86" s="3029" t="s">
        <v>636</v>
      </c>
      <c r="B86" s="2094"/>
    </row>
    <row r="87" spans="1:19" x14ac:dyDescent="0.35">
      <c r="A87" s="2096" t="s">
        <v>639</v>
      </c>
      <c r="B87" s="2097"/>
    </row>
    <row r="88" spans="1:19" x14ac:dyDescent="0.35">
      <c r="A88" s="2096" t="s">
        <v>642</v>
      </c>
      <c r="B88" s="2159"/>
    </row>
    <row r="89" spans="1:19" ht="15" thickBot="1" x14ac:dyDescent="0.4">
      <c r="A89" s="2099" t="s">
        <v>735</v>
      </c>
      <c r="B89" s="2100"/>
    </row>
    <row r="90" spans="1:19" ht="15" thickTop="1" x14ac:dyDescent="0.35"/>
    <row r="91" spans="1:19" x14ac:dyDescent="0.35">
      <c r="A91" s="81"/>
      <c r="B91" s="1" t="s">
        <v>736</v>
      </c>
    </row>
    <row r="92" spans="1:19" x14ac:dyDescent="0.35">
      <c r="A92" s="82"/>
      <c r="B92" s="1" t="s">
        <v>737</v>
      </c>
    </row>
  </sheetData>
  <mergeCells count="47">
    <mergeCell ref="A57:B57"/>
    <mergeCell ref="A61:B61"/>
    <mergeCell ref="A65:B65"/>
    <mergeCell ref="A69:B69"/>
    <mergeCell ref="A73:B73"/>
    <mergeCell ref="H4:I4"/>
    <mergeCell ref="J4:K4"/>
    <mergeCell ref="L4:M4"/>
    <mergeCell ref="N5:O5"/>
    <mergeCell ref="N6:O6"/>
    <mergeCell ref="H5:I5"/>
    <mergeCell ref="J5:K5"/>
    <mergeCell ref="L5:M5"/>
    <mergeCell ref="N4:O4"/>
    <mergeCell ref="N7:O7"/>
    <mergeCell ref="H8:I8"/>
    <mergeCell ref="J8:K8"/>
    <mergeCell ref="L8:M8"/>
    <mergeCell ref="H6:I6"/>
    <mergeCell ref="J6:K6"/>
    <mergeCell ref="L6:M6"/>
    <mergeCell ref="H7:I7"/>
    <mergeCell ref="J7:K7"/>
    <mergeCell ref="L7:M7"/>
    <mergeCell ref="N8:O8"/>
    <mergeCell ref="R3:S3"/>
    <mergeCell ref="H2:I2"/>
    <mergeCell ref="J2:K2"/>
    <mergeCell ref="L2:M2"/>
    <mergeCell ref="N2:O2"/>
    <mergeCell ref="P2:Q2"/>
    <mergeCell ref="R2:S2"/>
    <mergeCell ref="H3:I3"/>
    <mergeCell ref="J3:K3"/>
    <mergeCell ref="L3:M3"/>
    <mergeCell ref="N3:O3"/>
    <mergeCell ref="P3:Q3"/>
    <mergeCell ref="P4:Q4"/>
    <mergeCell ref="P5:Q5"/>
    <mergeCell ref="P6:Q6"/>
    <mergeCell ref="P7:Q7"/>
    <mergeCell ref="P8:Q8"/>
    <mergeCell ref="R4:S4"/>
    <mergeCell ref="R5:S5"/>
    <mergeCell ref="R6:S6"/>
    <mergeCell ref="R7:S7"/>
    <mergeCell ref="R8:S8"/>
  </mergeCells>
  <conditionalFormatting sqref="H10:H32 H34:H48 J34:J48 L34:L48 N34:N48 P34:P48 R34:R48">
    <cfRule type="cellIs" dxfId="307" priority="11" operator="equal">
      <formula>"X"</formula>
    </cfRule>
    <cfRule type="cellIs" dxfId="306" priority="12" operator="equal">
      <formula>"I"</formula>
    </cfRule>
  </conditionalFormatting>
  <conditionalFormatting sqref="J10:J32">
    <cfRule type="cellIs" dxfId="305" priority="9" operator="equal">
      <formula>"X"</formula>
    </cfRule>
    <cfRule type="cellIs" dxfId="304" priority="10" operator="equal">
      <formula>"I"</formula>
    </cfRule>
  </conditionalFormatting>
  <conditionalFormatting sqref="L10:L32">
    <cfRule type="cellIs" dxfId="303" priority="7" operator="equal">
      <formula>"X"</formula>
    </cfRule>
    <cfRule type="cellIs" dxfId="302" priority="8" operator="equal">
      <formula>"I"</formula>
    </cfRule>
  </conditionalFormatting>
  <conditionalFormatting sqref="N14:N32">
    <cfRule type="cellIs" dxfId="301" priority="5" operator="equal">
      <formula>"X"</formula>
    </cfRule>
    <cfRule type="cellIs" dxfId="300" priority="6" operator="equal">
      <formula>"I"</formula>
    </cfRule>
  </conditionalFormatting>
  <conditionalFormatting sqref="P14:P32">
    <cfRule type="cellIs" dxfId="299" priority="3" operator="equal">
      <formula>"X"</formula>
    </cfRule>
    <cfRule type="cellIs" dxfId="298" priority="4" operator="equal">
      <formula>"I"</formula>
    </cfRule>
  </conditionalFormatting>
  <conditionalFormatting sqref="R14:R32">
    <cfRule type="cellIs" dxfId="297" priority="1" operator="equal">
      <formula>"X"</formula>
    </cfRule>
    <cfRule type="cellIs" dxfId="296" priority="2" operator="equal">
      <formula>"I"</formula>
    </cfRule>
  </conditionalFormatting>
  <hyperlinks>
    <hyperlink ref="B3" location="'Cost Summary'!A1" display="BACK TO SUMMARY SHEET" xr:uid="{131C3927-9F3A-45D4-9D6A-8E329E811B45}"/>
    <hyperlink ref="H7" r:id="rId1" xr:uid="{6271BB32-A224-4E2B-98E5-C3F25FD12DA3}"/>
    <hyperlink ref="H7:I7" r:id="rId2" display="rmennona@centuryfp.com" xr:uid="{5D449409-0F04-4880-BFEC-CB9611361656}"/>
    <hyperlink ref="J7" r:id="rId3" xr:uid="{E94B357A-5D60-4C19-9602-199BEDEC10E9}"/>
    <hyperlink ref="J7:K7" r:id="rId4" display="rmennona@centuryfp.com" xr:uid="{00C1BA9D-759E-4411-8E85-CD85684FE45D}"/>
  </hyperlinks>
  <pageMargins left="0.7" right="0.7" top="0.75" bottom="0.75" header="0.3" footer="0.3"/>
  <pageSetup orientation="portrait" r:id="rId5"/>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41F4-2D18-4A00-AF9E-FE6A9CD8153E}">
  <sheetPr>
    <tabColor rgb="FF92D050"/>
  </sheetPr>
  <dimension ref="A1:U82"/>
  <sheetViews>
    <sheetView workbookViewId="0">
      <pane xSplit="2" ySplit="10" topLeftCell="C35" activePane="bottomRight" state="frozen"/>
      <selection pane="topRight"/>
      <selection pane="bottomLeft"/>
      <selection pane="bottomRight" activeCell="H5" sqref="H5:I5"/>
    </sheetView>
  </sheetViews>
  <sheetFormatPr defaultRowHeight="14.5" x14ac:dyDescent="0.35"/>
  <cols>
    <col min="2" max="2" width="61.81640625" bestFit="1" customWidth="1"/>
    <col min="8" max="8" width="7.453125" bestFit="1" customWidth="1"/>
    <col min="9" max="9" width="13.54296875" customWidth="1"/>
    <col min="10" max="10" width="8.81640625" customWidth="1"/>
    <col min="11" max="11" width="10.81640625" customWidth="1"/>
    <col min="12" max="12" width="7.54296875" customWidth="1"/>
    <col min="13" max="13" width="16.54296875" customWidth="1"/>
    <col min="14" max="14" width="7.54296875" customWidth="1"/>
    <col min="15" max="15" width="16.54296875" customWidth="1"/>
    <col min="16" max="16" width="8.453125" customWidth="1"/>
    <col min="17" max="17" width="12.81640625" customWidth="1"/>
  </cols>
  <sheetData>
    <row r="1" spans="1:21" ht="52.5" customHeight="1" x14ac:dyDescent="0.35">
      <c r="B1" s="1"/>
      <c r="C1" s="2"/>
      <c r="D1" s="2"/>
      <c r="E1" s="152"/>
      <c r="F1" s="125"/>
      <c r="G1" s="123" t="s">
        <v>621</v>
      </c>
      <c r="H1" s="2"/>
      <c r="I1" s="2"/>
      <c r="J1" s="2"/>
      <c r="K1" s="2"/>
      <c r="L1" s="3795" t="s">
        <v>3616</v>
      </c>
      <c r="M1" s="3795"/>
      <c r="N1" s="3795" t="s">
        <v>3616</v>
      </c>
      <c r="O1" s="3795"/>
      <c r="P1" s="2"/>
      <c r="Q1" s="2"/>
      <c r="R1" s="2"/>
      <c r="S1" s="2"/>
      <c r="T1" s="2"/>
      <c r="U1" s="2"/>
    </row>
    <row r="2" spans="1:21" x14ac:dyDescent="0.35">
      <c r="B2" s="1"/>
      <c r="C2" s="2"/>
      <c r="D2" s="2"/>
      <c r="E2" s="152"/>
      <c r="F2" s="125"/>
      <c r="G2" s="123"/>
      <c r="H2" s="2"/>
      <c r="I2" s="2"/>
      <c r="J2" s="2"/>
      <c r="K2" s="2"/>
      <c r="L2" s="384"/>
      <c r="M2" s="384"/>
      <c r="N2" s="384"/>
      <c r="O2" s="384"/>
      <c r="P2" s="2"/>
      <c r="Q2" s="2"/>
      <c r="R2" s="2"/>
      <c r="S2" s="2"/>
      <c r="T2" s="2"/>
      <c r="U2" s="2"/>
    </row>
    <row r="3" spans="1:21" x14ac:dyDescent="0.35">
      <c r="B3" s="1"/>
      <c r="C3" s="2"/>
      <c r="D3" s="2"/>
      <c r="E3" s="152"/>
      <c r="F3" s="122" t="s">
        <v>622</v>
      </c>
      <c r="G3" s="123" t="s">
        <v>451</v>
      </c>
      <c r="H3" s="3751"/>
      <c r="I3" s="3751"/>
      <c r="J3" s="3866"/>
      <c r="K3" s="3866"/>
      <c r="L3" s="3866">
        <v>862460076</v>
      </c>
      <c r="M3" s="3866"/>
      <c r="N3" s="3866">
        <v>862460076</v>
      </c>
      <c r="O3" s="3866"/>
      <c r="P3" s="3751">
        <v>7578694119</v>
      </c>
      <c r="Q3" s="3751"/>
      <c r="R3" s="3866">
        <v>5617130154</v>
      </c>
      <c r="S3" s="3866"/>
      <c r="T3" s="3751"/>
      <c r="U3" s="3751"/>
    </row>
    <row r="4" spans="1:21" ht="18.5" x14ac:dyDescent="0.45">
      <c r="B4" s="126" t="s">
        <v>623</v>
      </c>
      <c r="C4" s="2"/>
      <c r="D4" s="2"/>
      <c r="E4" s="152"/>
      <c r="F4" s="124" t="s">
        <v>624</v>
      </c>
      <c r="G4" s="123" t="s">
        <v>557</v>
      </c>
      <c r="H4" s="3891" t="s">
        <v>625</v>
      </c>
      <c r="I4" s="3892"/>
      <c r="J4" s="3772" t="s">
        <v>626</v>
      </c>
      <c r="K4" s="3773"/>
      <c r="L4" s="3754" t="s">
        <v>627</v>
      </c>
      <c r="M4" s="3755"/>
      <c r="N4" s="3754" t="s">
        <v>627</v>
      </c>
      <c r="O4" s="3755"/>
      <c r="P4" s="3754" t="s">
        <v>628</v>
      </c>
      <c r="Q4" s="3755"/>
      <c r="R4" s="3754" t="s">
        <v>629</v>
      </c>
      <c r="S4" s="3755"/>
      <c r="T4" s="3754" t="s">
        <v>630</v>
      </c>
      <c r="U4" s="3755"/>
    </row>
    <row r="5" spans="1:21" x14ac:dyDescent="0.35">
      <c r="A5" s="3" t="s">
        <v>631</v>
      </c>
      <c r="B5" s="4" t="str">
        <f>'AREA CALC''s'!B4</f>
        <v>Alton Hilltop Gardens</v>
      </c>
      <c r="C5" s="5"/>
      <c r="D5" s="5"/>
      <c r="E5" s="5"/>
      <c r="F5" s="5"/>
      <c r="G5" s="6" t="s">
        <v>632</v>
      </c>
      <c r="H5" s="3752" t="s">
        <v>3617</v>
      </c>
      <c r="I5" s="3753"/>
      <c r="J5" s="3752" t="s">
        <v>3618</v>
      </c>
      <c r="K5" s="3753"/>
      <c r="L5" s="3752" t="s">
        <v>3619</v>
      </c>
      <c r="M5" s="3753"/>
      <c r="N5" s="3752" t="s">
        <v>3620</v>
      </c>
      <c r="O5" s="3753"/>
      <c r="P5" s="3752" t="s">
        <v>3621</v>
      </c>
      <c r="Q5" s="3753"/>
      <c r="R5" s="3752" t="s">
        <v>3622</v>
      </c>
      <c r="S5" s="3753"/>
      <c r="T5" s="3752"/>
      <c r="U5" s="3753"/>
    </row>
    <row r="6" spans="1:21" x14ac:dyDescent="0.35">
      <c r="A6" s="3030" t="s">
        <v>634</v>
      </c>
      <c r="B6" s="3031" t="s">
        <v>3623</v>
      </c>
      <c r="C6" s="3032"/>
      <c r="D6" s="3032"/>
      <c r="E6" s="3032"/>
      <c r="F6" s="3032"/>
      <c r="G6" s="2194" t="s">
        <v>636</v>
      </c>
      <c r="H6" s="3992" t="s">
        <v>3624</v>
      </c>
      <c r="I6" s="3932"/>
      <c r="J6" s="3992" t="s">
        <v>3625</v>
      </c>
      <c r="K6" s="3932"/>
      <c r="L6" s="3992" t="s">
        <v>3626</v>
      </c>
      <c r="M6" s="3932"/>
      <c r="N6" s="3992" t="s">
        <v>3626</v>
      </c>
      <c r="O6" s="3932"/>
      <c r="P6" s="3992" t="s">
        <v>3627</v>
      </c>
      <c r="Q6" s="3932"/>
      <c r="R6" s="3992" t="s">
        <v>3628</v>
      </c>
      <c r="S6" s="3932"/>
      <c r="T6" s="3992"/>
      <c r="U6" s="3932"/>
    </row>
    <row r="7" spans="1:21" x14ac:dyDescent="0.35">
      <c r="A7" s="3030" t="s">
        <v>638</v>
      </c>
      <c r="B7" s="3033" t="s">
        <v>558</v>
      </c>
      <c r="C7" s="3032"/>
      <c r="D7" s="3032"/>
      <c r="E7" s="3032"/>
      <c r="F7" s="3032"/>
      <c r="G7" s="2194" t="s">
        <v>639</v>
      </c>
      <c r="H7" s="3993">
        <v>2028023400</v>
      </c>
      <c r="I7" s="3938"/>
      <c r="J7" s="3993">
        <v>9547608573</v>
      </c>
      <c r="K7" s="3938"/>
      <c r="L7" s="3993">
        <v>3052288305</v>
      </c>
      <c r="M7" s="3938"/>
      <c r="N7" s="3993">
        <v>3052288305</v>
      </c>
      <c r="O7" s="3938"/>
      <c r="P7" s="3993">
        <v>8133432334</v>
      </c>
      <c r="Q7" s="3938"/>
      <c r="R7" s="3993">
        <v>9543124690</v>
      </c>
      <c r="S7" s="3938"/>
      <c r="T7" s="3993"/>
      <c r="U7" s="3938"/>
    </row>
    <row r="8" spans="1:21" x14ac:dyDescent="0.35">
      <c r="A8" s="3030" t="s">
        <v>641</v>
      </c>
      <c r="B8" s="3034"/>
      <c r="C8" s="3032"/>
      <c r="D8" s="3032"/>
      <c r="E8" s="3032"/>
      <c r="F8" s="3032"/>
      <c r="G8" s="2194" t="s">
        <v>642</v>
      </c>
      <c r="H8" s="4001" t="s">
        <v>3629</v>
      </c>
      <c r="I8" s="3973"/>
      <c r="J8" s="4000" t="s">
        <v>3630</v>
      </c>
      <c r="K8" s="3973"/>
      <c r="L8" s="4000" t="s">
        <v>3631</v>
      </c>
      <c r="M8" s="3973"/>
      <c r="N8" s="4000" t="s">
        <v>3631</v>
      </c>
      <c r="O8" s="3973"/>
      <c r="P8" s="4001" t="s">
        <v>3632</v>
      </c>
      <c r="Q8" s="3973"/>
      <c r="R8" s="4001" t="s">
        <v>3633</v>
      </c>
      <c r="S8" s="3973"/>
      <c r="T8" s="4001"/>
      <c r="U8" s="3973"/>
    </row>
    <row r="9" spans="1:21" x14ac:dyDescent="0.35">
      <c r="A9" s="938" t="s">
        <v>644</v>
      </c>
      <c r="B9" s="939"/>
      <c r="C9" s="940"/>
      <c r="D9" s="940"/>
      <c r="E9" s="940"/>
      <c r="F9" s="940"/>
      <c r="G9" s="1024" t="s">
        <v>644</v>
      </c>
      <c r="H9" s="3926">
        <f>I43</f>
        <v>246249</v>
      </c>
      <c r="I9" s="3927"/>
      <c r="J9" s="3926">
        <f>K43</f>
        <v>242750</v>
      </c>
      <c r="K9" s="3927"/>
      <c r="L9" s="3926">
        <f>M43</f>
        <v>357303</v>
      </c>
      <c r="M9" s="3927"/>
      <c r="N9" s="3926">
        <f ca="1">O43</f>
        <v>318446.60194174759</v>
      </c>
      <c r="O9" s="3927"/>
      <c r="P9" s="3926">
        <f>Q43</f>
        <v>363300</v>
      </c>
      <c r="Q9" s="3927"/>
      <c r="R9" s="3926"/>
      <c r="S9" s="3927"/>
      <c r="T9" s="3926"/>
      <c r="U9" s="3927"/>
    </row>
    <row r="10" spans="1:21" ht="43.5" x14ac:dyDescent="0.35">
      <c r="A10" s="7" t="s">
        <v>645</v>
      </c>
      <c r="B10" s="8"/>
      <c r="C10" s="9" t="s">
        <v>646</v>
      </c>
      <c r="D10" s="9" t="s">
        <v>647</v>
      </c>
      <c r="E10" s="9" t="s">
        <v>648</v>
      </c>
      <c r="F10" s="9" t="s">
        <v>649</v>
      </c>
      <c r="G10" s="10" t="s">
        <v>650</v>
      </c>
      <c r="H10" s="11" t="s">
        <v>651</v>
      </c>
      <c r="I10" s="11" t="s">
        <v>652</v>
      </c>
      <c r="J10" s="11" t="s">
        <v>651</v>
      </c>
      <c r="K10" s="11" t="s">
        <v>652</v>
      </c>
      <c r="L10" s="11" t="s">
        <v>651</v>
      </c>
      <c r="M10" s="11" t="s">
        <v>652</v>
      </c>
      <c r="N10" s="11" t="s">
        <v>651</v>
      </c>
      <c r="O10" s="11" t="s">
        <v>652</v>
      </c>
      <c r="P10" s="11" t="s">
        <v>651</v>
      </c>
      <c r="Q10" s="11" t="s">
        <v>652</v>
      </c>
      <c r="R10" s="11" t="s">
        <v>651</v>
      </c>
      <c r="S10" s="11" t="s">
        <v>652</v>
      </c>
      <c r="T10" s="11" t="s">
        <v>651</v>
      </c>
      <c r="U10" s="11" t="s">
        <v>652</v>
      </c>
    </row>
    <row r="11" spans="1:21" x14ac:dyDescent="0.35">
      <c r="A11" s="48"/>
      <c r="B11" s="3037" t="s">
        <v>3623</v>
      </c>
      <c r="C11" s="45"/>
      <c r="D11" s="46"/>
      <c r="E11" s="46"/>
      <c r="F11" s="46"/>
      <c r="G11" s="52"/>
      <c r="H11" s="2109"/>
      <c r="I11" s="3068"/>
      <c r="J11" s="2109"/>
      <c r="K11" s="3069"/>
      <c r="L11" s="2109"/>
      <c r="M11" s="3069"/>
      <c r="N11" s="2109"/>
      <c r="O11" s="3069"/>
      <c r="P11" s="2109"/>
      <c r="Q11" s="3069"/>
      <c r="R11" s="2109"/>
      <c r="S11" s="3069"/>
      <c r="T11" s="2109"/>
      <c r="U11" s="3069"/>
    </row>
    <row r="12" spans="1:21" x14ac:dyDescent="0.35">
      <c r="A12" s="3079"/>
      <c r="B12" s="606" t="s">
        <v>657</v>
      </c>
      <c r="C12" s="3036"/>
      <c r="D12" s="3032"/>
      <c r="E12" s="3032"/>
      <c r="F12" s="3032"/>
      <c r="G12" s="2198"/>
      <c r="H12" s="2109"/>
      <c r="I12" s="3068"/>
      <c r="J12" s="2109"/>
      <c r="K12" s="3069"/>
      <c r="L12" s="2109"/>
      <c r="M12" s="3069"/>
      <c r="N12" s="2109"/>
      <c r="O12" s="3069"/>
      <c r="P12" s="2109"/>
      <c r="Q12" s="3069"/>
      <c r="R12" s="2109"/>
      <c r="S12" s="3069"/>
      <c r="T12" s="2109"/>
      <c r="U12" s="3069"/>
    </row>
    <row r="13" spans="1:21" x14ac:dyDescent="0.35">
      <c r="A13" s="3079"/>
      <c r="B13" s="3095" t="s">
        <v>658</v>
      </c>
      <c r="C13" s="3036"/>
      <c r="D13" s="3032"/>
      <c r="E13" s="3032"/>
      <c r="F13" s="3032"/>
      <c r="G13" s="2198"/>
      <c r="H13" s="2109"/>
      <c r="I13" s="3068"/>
      <c r="J13" s="2109"/>
      <c r="K13" s="3069"/>
      <c r="L13" s="2109"/>
      <c r="M13" s="3069"/>
      <c r="N13" s="2109"/>
      <c r="O13" s="3069"/>
      <c r="P13" s="2109"/>
      <c r="Q13" s="3069"/>
      <c r="R13" s="2109"/>
      <c r="S13" s="3069"/>
      <c r="T13" s="2109"/>
      <c r="U13" s="3069"/>
    </row>
    <row r="14" spans="1:21" x14ac:dyDescent="0.35">
      <c r="A14" s="3079"/>
      <c r="B14" s="3095" t="s">
        <v>659</v>
      </c>
      <c r="C14" s="3036"/>
      <c r="D14" s="3032"/>
      <c r="E14" s="3032"/>
      <c r="F14" s="3032"/>
      <c r="G14" s="2198"/>
      <c r="H14" s="2109"/>
      <c r="I14" s="3068"/>
      <c r="J14" s="2109"/>
      <c r="K14" s="3069"/>
      <c r="L14" s="2109"/>
      <c r="M14" s="3069"/>
      <c r="N14" s="2109"/>
      <c r="O14" s="3069"/>
      <c r="P14" s="2109"/>
      <c r="Q14" s="3069"/>
      <c r="R14" s="2109"/>
      <c r="S14" s="3069"/>
      <c r="T14" s="2109"/>
      <c r="U14" s="3069"/>
    </row>
    <row r="15" spans="1:21" x14ac:dyDescent="0.35">
      <c r="A15" s="3056"/>
      <c r="B15" s="3096" t="s">
        <v>660</v>
      </c>
      <c r="C15" s="3036"/>
      <c r="D15" s="3032"/>
      <c r="E15" s="3032"/>
      <c r="F15" s="3032"/>
      <c r="G15" s="2198"/>
      <c r="H15" s="2109"/>
      <c r="I15" s="3068"/>
      <c r="J15" s="2109"/>
      <c r="K15" s="3069"/>
      <c r="L15" s="2109"/>
      <c r="M15" s="3069"/>
      <c r="N15" s="2109"/>
      <c r="O15" s="3069"/>
      <c r="P15" s="2109"/>
      <c r="Q15" s="3069"/>
      <c r="R15" s="2109"/>
      <c r="S15" s="3069"/>
      <c r="T15" s="2109"/>
      <c r="U15" s="3069"/>
    </row>
    <row r="16" spans="1:21" x14ac:dyDescent="0.35">
      <c r="A16" s="3079"/>
      <c r="B16" s="3096" t="s">
        <v>661</v>
      </c>
      <c r="C16" s="3036"/>
      <c r="D16" s="3032"/>
      <c r="E16" s="3032"/>
      <c r="F16" s="3032"/>
      <c r="G16" s="2198"/>
      <c r="H16" s="2109"/>
      <c r="I16" s="3068"/>
      <c r="J16" s="2109"/>
      <c r="K16" s="3069"/>
      <c r="L16" s="2109"/>
      <c r="M16" s="3069"/>
      <c r="N16" s="2109"/>
      <c r="O16" s="3069"/>
      <c r="P16" s="2109"/>
      <c r="Q16" s="3068"/>
      <c r="R16" s="2109"/>
      <c r="S16" s="3069"/>
      <c r="T16" s="2109"/>
      <c r="U16" s="3069"/>
    </row>
    <row r="17" spans="1:21" x14ac:dyDescent="0.35">
      <c r="A17" s="3056"/>
      <c r="B17" s="3096" t="s">
        <v>3607</v>
      </c>
      <c r="C17" s="3036"/>
      <c r="D17" s="3032"/>
      <c r="E17" s="3032"/>
      <c r="F17" s="3032"/>
      <c r="G17" s="2198"/>
      <c r="H17" s="2109"/>
      <c r="I17" s="3068"/>
      <c r="J17" s="2109"/>
      <c r="K17" s="3069"/>
      <c r="L17" s="2109"/>
      <c r="M17" s="3097"/>
      <c r="N17" s="2109"/>
      <c r="O17" s="3097"/>
      <c r="P17" s="2109"/>
      <c r="Q17" s="3069"/>
      <c r="R17" s="2109"/>
      <c r="S17" s="3069"/>
      <c r="T17" s="2109"/>
      <c r="U17" s="3069"/>
    </row>
    <row r="18" spans="1:21" x14ac:dyDescent="0.35">
      <c r="A18" s="3056"/>
      <c r="B18" s="3096" t="s">
        <v>662</v>
      </c>
      <c r="C18" s="3036"/>
      <c r="D18" s="3032"/>
      <c r="E18" s="3032"/>
      <c r="F18" s="3032"/>
      <c r="G18" s="2198"/>
      <c r="H18" s="2109"/>
      <c r="I18" s="3068"/>
      <c r="J18" s="2109"/>
      <c r="K18" s="3069"/>
      <c r="L18" s="2109"/>
      <c r="M18" s="3069"/>
      <c r="N18" s="2109"/>
      <c r="O18" s="3069"/>
      <c r="P18" s="2109"/>
      <c r="Q18" s="3069"/>
      <c r="R18" s="2109"/>
      <c r="S18" s="3069"/>
      <c r="T18" s="2109"/>
      <c r="U18" s="3069"/>
    </row>
    <row r="19" spans="1:21" x14ac:dyDescent="0.35">
      <c r="A19" s="3098"/>
      <c r="B19" s="3099" t="s">
        <v>789</v>
      </c>
      <c r="C19" s="3036"/>
      <c r="D19" s="3032"/>
      <c r="E19" s="3032"/>
      <c r="F19" s="3032"/>
      <c r="G19" s="2198"/>
      <c r="H19" s="2109"/>
      <c r="I19" s="3100"/>
      <c r="J19" s="2109"/>
      <c r="K19" s="3101"/>
      <c r="L19" s="2109"/>
      <c r="M19" s="3101"/>
      <c r="N19" s="2109"/>
      <c r="O19" s="3101"/>
      <c r="P19" s="2109"/>
      <c r="Q19" s="3101"/>
      <c r="R19" s="2109"/>
      <c r="S19" s="3101"/>
      <c r="T19" s="2109"/>
      <c r="U19" s="3101"/>
    </row>
    <row r="20" spans="1:21" x14ac:dyDescent="0.35">
      <c r="A20" s="3102"/>
      <c r="B20" s="3103" t="s">
        <v>790</v>
      </c>
      <c r="C20" s="3036"/>
      <c r="D20" s="3032"/>
      <c r="E20" s="3032"/>
      <c r="F20" s="3032"/>
      <c r="G20" s="2198"/>
      <c r="H20" s="2109"/>
      <c r="I20" s="3104"/>
      <c r="J20" s="2109"/>
      <c r="K20" s="3105"/>
      <c r="L20" s="2109"/>
      <c r="M20" s="3105"/>
      <c r="N20" s="2109"/>
      <c r="O20" s="3105"/>
      <c r="P20" s="2109"/>
      <c r="Q20" s="3105"/>
      <c r="R20" s="2109"/>
      <c r="S20" s="3105"/>
      <c r="T20" s="2109"/>
      <c r="U20" s="3105"/>
    </row>
    <row r="21" spans="1:21" x14ac:dyDescent="0.35">
      <c r="A21" s="3106"/>
      <c r="B21" s="3107" t="s">
        <v>791</v>
      </c>
      <c r="C21" s="3036"/>
      <c r="D21" s="3032"/>
      <c r="E21" s="3032"/>
      <c r="F21" s="3032"/>
      <c r="G21" s="2198"/>
      <c r="H21" s="2109"/>
      <c r="I21" s="3108"/>
      <c r="J21" s="2109"/>
      <c r="K21" s="3109"/>
      <c r="L21" s="2109"/>
      <c r="M21" s="3109"/>
      <c r="N21" s="2109"/>
      <c r="O21" s="3109"/>
      <c r="P21" s="2109"/>
      <c r="Q21" s="3109"/>
      <c r="R21" s="2109"/>
      <c r="S21" s="3109"/>
      <c r="T21" s="2109"/>
      <c r="U21" s="3109"/>
    </row>
    <row r="22" spans="1:21" x14ac:dyDescent="0.35">
      <c r="A22" s="3079"/>
      <c r="B22" s="3110" t="s">
        <v>663</v>
      </c>
      <c r="C22" s="3036"/>
      <c r="D22" s="3032"/>
      <c r="E22" s="3032"/>
      <c r="F22" s="3032"/>
      <c r="G22" s="2198"/>
      <c r="H22" s="2109"/>
      <c r="I22" s="3068"/>
      <c r="J22" s="2109"/>
      <c r="K22" s="3069"/>
      <c r="L22" s="2109"/>
      <c r="M22" s="3069"/>
      <c r="N22" s="2109"/>
      <c r="O22" s="3069"/>
      <c r="P22" s="2109"/>
      <c r="Q22" s="3069"/>
      <c r="R22" s="2109"/>
      <c r="S22" s="3069"/>
      <c r="T22" s="2109"/>
      <c r="U22" s="3069"/>
    </row>
    <row r="23" spans="1:21" x14ac:dyDescent="0.35">
      <c r="A23" s="3056"/>
      <c r="B23" s="3111" t="s">
        <v>665</v>
      </c>
      <c r="C23" s="3112"/>
      <c r="D23" s="3039"/>
      <c r="E23" s="3039"/>
      <c r="F23" s="3039"/>
      <c r="G23" s="2945"/>
      <c r="H23" s="3113"/>
      <c r="I23" s="3114">
        <v>246249</v>
      </c>
      <c r="J23" s="3115"/>
      <c r="K23" s="3115">
        <v>242750</v>
      </c>
      <c r="L23" s="3116"/>
      <c r="M23" s="3117">
        <v>222069</v>
      </c>
      <c r="N23" s="3116"/>
      <c r="O23" s="3117">
        <v>203856</v>
      </c>
      <c r="P23" s="3115"/>
      <c r="Q23" s="3117">
        <f>354800+8500</f>
        <v>363300</v>
      </c>
      <c r="R23" s="3115"/>
      <c r="S23" s="3115">
        <v>290213</v>
      </c>
      <c r="T23" s="2288"/>
      <c r="U23" s="3117"/>
    </row>
    <row r="24" spans="1:21" x14ac:dyDescent="0.35">
      <c r="A24" s="3056"/>
      <c r="B24" s="3080"/>
      <c r="C24" s="3036"/>
      <c r="D24" s="3032"/>
      <c r="E24" s="3032"/>
      <c r="F24" s="3032"/>
      <c r="G24" s="2198"/>
      <c r="H24" s="2109"/>
      <c r="I24" s="3068"/>
      <c r="J24" s="2109"/>
      <c r="K24" s="3069"/>
      <c r="L24" s="2109"/>
      <c r="M24" s="3069"/>
      <c r="N24" s="2109"/>
      <c r="O24" s="3069"/>
      <c r="P24" s="2109"/>
      <c r="Q24" s="3069"/>
      <c r="R24" s="2109"/>
      <c r="S24" s="3069"/>
      <c r="T24" s="2109"/>
      <c r="U24" s="3069"/>
    </row>
    <row r="25" spans="1:21" x14ac:dyDescent="0.35">
      <c r="A25" s="3079"/>
      <c r="B25" s="3077" t="s">
        <v>3634</v>
      </c>
      <c r="C25" s="3036"/>
      <c r="D25" s="3032"/>
      <c r="E25" s="3032"/>
      <c r="F25" s="3032"/>
      <c r="G25" s="2198"/>
      <c r="H25" s="2109" t="s">
        <v>669</v>
      </c>
      <c r="I25" s="3068"/>
      <c r="J25" s="2109" t="s">
        <v>669</v>
      </c>
      <c r="K25" s="3069"/>
      <c r="L25" s="2109" t="s">
        <v>669</v>
      </c>
      <c r="M25" s="3069"/>
      <c r="N25" s="2109" t="s">
        <v>669</v>
      </c>
      <c r="O25" s="3069"/>
      <c r="P25" s="2109" t="s">
        <v>669</v>
      </c>
      <c r="Q25" s="3069"/>
      <c r="R25" s="2109" t="s">
        <v>669</v>
      </c>
      <c r="S25" s="3069"/>
      <c r="T25" s="2109"/>
      <c r="U25" s="3069"/>
    </row>
    <row r="26" spans="1:21" x14ac:dyDescent="0.35">
      <c r="A26" s="3056"/>
      <c r="B26" s="3080" t="s">
        <v>3635</v>
      </c>
      <c r="C26" s="3036"/>
      <c r="D26" s="3032"/>
      <c r="E26" s="3032"/>
      <c r="F26" s="3032"/>
      <c r="G26" s="2198"/>
      <c r="H26" s="2109"/>
      <c r="I26" s="3068"/>
      <c r="J26" s="2109"/>
      <c r="K26" s="3069"/>
      <c r="L26" s="2109" t="s">
        <v>669</v>
      </c>
      <c r="M26" s="3069"/>
      <c r="N26" s="2109" t="s">
        <v>669</v>
      </c>
      <c r="O26" s="3069"/>
      <c r="P26" s="2109" t="s">
        <v>669</v>
      </c>
      <c r="Q26" s="3069"/>
      <c r="R26" s="2109" t="s">
        <v>669</v>
      </c>
      <c r="S26" s="3069"/>
      <c r="T26" s="2109"/>
      <c r="U26" s="3069"/>
    </row>
    <row r="27" spans="1:21" x14ac:dyDescent="0.35">
      <c r="A27" s="3079"/>
      <c r="B27" s="3118" t="s">
        <v>3636</v>
      </c>
      <c r="C27" s="3036"/>
      <c r="D27" s="3032"/>
      <c r="E27" s="3032"/>
      <c r="F27" s="3032"/>
      <c r="G27" s="2198"/>
      <c r="H27" s="2109"/>
      <c r="I27" s="3068"/>
      <c r="J27" s="2109"/>
      <c r="K27" s="3069"/>
      <c r="L27" s="2109" t="s">
        <v>669</v>
      </c>
      <c r="M27" s="3069"/>
      <c r="N27" s="2109" t="s">
        <v>669</v>
      </c>
      <c r="O27" s="3069"/>
      <c r="P27" s="2109" t="s">
        <v>669</v>
      </c>
      <c r="Q27" s="3069"/>
      <c r="R27" s="2109" t="s">
        <v>669</v>
      </c>
      <c r="S27" s="3069"/>
      <c r="T27" s="2109"/>
      <c r="U27" s="3069"/>
    </row>
    <row r="28" spans="1:21" x14ac:dyDescent="0.35">
      <c r="A28" s="3079"/>
      <c r="B28" s="3119" t="s">
        <v>3637</v>
      </c>
      <c r="C28" s="3036"/>
      <c r="D28" s="3032"/>
      <c r="E28" s="3032"/>
      <c r="F28" s="3032"/>
      <c r="G28" s="2198"/>
      <c r="H28" s="2109"/>
      <c r="I28" s="3068"/>
      <c r="J28" s="2109"/>
      <c r="K28" s="3069"/>
      <c r="L28" s="2109" t="s">
        <v>669</v>
      </c>
      <c r="M28" s="3120">
        <v>128674</v>
      </c>
      <c r="N28" s="2109" t="s">
        <v>669</v>
      </c>
      <c r="O28" s="3120">
        <v>124144</v>
      </c>
      <c r="P28" s="2038" t="s">
        <v>671</v>
      </c>
      <c r="Q28" s="3120"/>
      <c r="R28" s="3121" t="s">
        <v>671</v>
      </c>
      <c r="S28" s="3069"/>
      <c r="T28" s="2109"/>
      <c r="U28" s="3069"/>
    </row>
    <row r="29" spans="1:21" x14ac:dyDescent="0.35">
      <c r="A29" s="3079"/>
      <c r="B29" s="3122" t="s">
        <v>3638</v>
      </c>
      <c r="C29" s="3036"/>
      <c r="D29" s="3032"/>
      <c r="E29" s="3032"/>
      <c r="F29" s="3032"/>
      <c r="G29" s="2198"/>
      <c r="H29" s="2109"/>
      <c r="I29" s="3097"/>
      <c r="J29" s="2109"/>
      <c r="K29" s="3097"/>
      <c r="L29" s="2109" t="s">
        <v>669</v>
      </c>
      <c r="M29" s="3097">
        <v>6560</v>
      </c>
      <c r="N29" s="2109" t="s">
        <v>669</v>
      </c>
      <c r="O29" s="3097"/>
      <c r="P29" s="2109" t="s">
        <v>669</v>
      </c>
      <c r="Q29" s="3069"/>
      <c r="R29" s="2109" t="s">
        <v>669</v>
      </c>
      <c r="S29" s="3069"/>
      <c r="T29" s="2109"/>
      <c r="U29" s="3069"/>
    </row>
    <row r="30" spans="1:21" x14ac:dyDescent="0.35">
      <c r="A30" s="3056"/>
      <c r="B30" s="3123"/>
      <c r="C30" s="3036"/>
      <c r="D30" s="3032"/>
      <c r="E30" s="3032"/>
      <c r="F30" s="3032"/>
      <c r="G30" s="2198"/>
      <c r="H30" s="2109"/>
      <c r="I30" s="3097"/>
      <c r="J30" s="2109"/>
      <c r="K30" s="3097"/>
      <c r="L30" s="2109"/>
      <c r="M30" s="3097"/>
      <c r="N30" s="2109"/>
      <c r="O30" s="3097"/>
      <c r="P30" s="2109"/>
      <c r="Q30" s="3069"/>
      <c r="R30" s="2109"/>
      <c r="S30" s="3069"/>
      <c r="T30" s="2109"/>
      <c r="U30" s="3069"/>
    </row>
    <row r="31" spans="1:21" x14ac:dyDescent="0.35">
      <c r="A31" s="3079"/>
      <c r="B31" s="3122"/>
      <c r="C31" s="3036"/>
      <c r="D31" s="3032"/>
      <c r="E31" s="3032"/>
      <c r="F31" s="3032"/>
      <c r="G31" s="2198"/>
      <c r="H31" s="2109"/>
      <c r="I31" s="3097"/>
      <c r="J31" s="2109"/>
      <c r="K31" s="3097"/>
      <c r="L31" s="2109"/>
      <c r="M31" s="3097"/>
      <c r="N31" s="2109"/>
      <c r="O31" s="3097"/>
      <c r="P31" s="2109"/>
      <c r="Q31" s="3069"/>
      <c r="R31" s="2109"/>
      <c r="S31" s="3069"/>
      <c r="T31" s="2109"/>
      <c r="U31" s="3069"/>
    </row>
    <row r="32" spans="1:21" x14ac:dyDescent="0.35">
      <c r="A32" s="3056"/>
      <c r="B32" s="3122"/>
      <c r="C32" s="3036"/>
      <c r="D32" s="3032"/>
      <c r="E32" s="3032"/>
      <c r="F32" s="3032"/>
      <c r="G32" s="2198"/>
      <c r="H32" s="2109"/>
      <c r="I32" s="3097"/>
      <c r="J32" s="2109"/>
      <c r="K32" s="3097"/>
      <c r="L32" s="2109"/>
      <c r="M32" s="3097"/>
      <c r="N32" s="2109"/>
      <c r="O32" s="3097"/>
      <c r="P32" s="2109"/>
      <c r="Q32" s="3069"/>
      <c r="R32" s="2109"/>
      <c r="S32" s="3069"/>
      <c r="T32" s="2109"/>
      <c r="U32" s="3069"/>
    </row>
    <row r="33" spans="1:21" x14ac:dyDescent="0.35">
      <c r="A33" s="3079"/>
      <c r="B33" s="3124"/>
      <c r="C33" s="3036"/>
      <c r="D33" s="3032"/>
      <c r="E33" s="3032"/>
      <c r="F33" s="3032"/>
      <c r="G33" s="2198"/>
      <c r="H33" s="2109"/>
      <c r="I33" s="3068"/>
      <c r="J33" s="2109"/>
      <c r="K33" s="3069"/>
      <c r="L33" s="2109"/>
      <c r="M33" s="3069"/>
      <c r="N33" s="2109"/>
      <c r="O33" s="3069"/>
      <c r="P33" s="2109"/>
      <c r="Q33" s="3069"/>
      <c r="R33" s="2109"/>
      <c r="S33" s="3069"/>
      <c r="T33" s="2109"/>
      <c r="U33" s="3069"/>
    </row>
    <row r="34" spans="1:21" x14ac:dyDescent="0.35">
      <c r="A34" s="3056"/>
      <c r="B34" s="3085"/>
      <c r="C34" s="940"/>
      <c r="D34" s="940"/>
      <c r="E34" s="940"/>
      <c r="F34" s="940"/>
      <c r="G34" s="1039"/>
      <c r="H34" s="2088"/>
      <c r="I34" s="3101"/>
      <c r="J34" s="2088"/>
      <c r="K34" s="3101"/>
      <c r="L34" s="2088"/>
      <c r="M34" s="3101"/>
      <c r="N34" s="2088"/>
      <c r="O34" s="3101"/>
      <c r="P34" s="2088"/>
      <c r="Q34" s="3101"/>
      <c r="R34" s="2088"/>
      <c r="S34" s="3101"/>
      <c r="T34" s="2088"/>
      <c r="U34" s="3101"/>
    </row>
    <row r="35" spans="1:21" x14ac:dyDescent="0.35">
      <c r="A35" s="3125"/>
      <c r="B35" s="3085"/>
      <c r="C35" s="940"/>
      <c r="D35" s="940"/>
      <c r="E35" s="940"/>
      <c r="F35" s="940"/>
      <c r="G35" s="1039"/>
      <c r="H35" s="2088"/>
      <c r="I35" s="3101"/>
      <c r="J35" s="2088"/>
      <c r="K35" s="3101"/>
      <c r="L35" s="2088"/>
      <c r="M35" s="3101"/>
      <c r="N35" s="2088"/>
      <c r="O35" s="3101"/>
      <c r="P35" s="2088"/>
      <c r="Q35" s="3101"/>
      <c r="R35" s="2088"/>
      <c r="S35" s="3101"/>
      <c r="T35" s="2088"/>
      <c r="U35" s="3101"/>
    </row>
    <row r="36" spans="1:21" x14ac:dyDescent="0.35">
      <c r="A36" s="3056"/>
      <c r="B36" s="3031" t="s">
        <v>3639</v>
      </c>
      <c r="C36" s="3036"/>
      <c r="D36" s="3032"/>
      <c r="E36" s="3032"/>
      <c r="F36" s="3032"/>
      <c r="G36" s="2198"/>
      <c r="H36" s="2088"/>
      <c r="I36" s="3101"/>
      <c r="J36" s="2088"/>
      <c r="K36" s="3101"/>
      <c r="L36" s="2088"/>
      <c r="M36" s="3101"/>
      <c r="N36" s="2088"/>
      <c r="O36" s="3101"/>
      <c r="P36" s="2088"/>
      <c r="Q36" s="3101"/>
      <c r="R36" s="2088"/>
      <c r="S36" s="3101"/>
      <c r="T36" s="2088"/>
      <c r="U36" s="3101"/>
    </row>
    <row r="37" spans="1:21" x14ac:dyDescent="0.35">
      <c r="A37" s="3079"/>
      <c r="B37" s="3086"/>
      <c r="C37" s="3036"/>
      <c r="D37" s="3032"/>
      <c r="E37" s="3032"/>
      <c r="F37" s="3032"/>
      <c r="G37" s="2198"/>
      <c r="H37" s="2109"/>
      <c r="I37" s="3101"/>
      <c r="J37" s="2109"/>
      <c r="K37" s="3069"/>
      <c r="L37" s="2109" t="s">
        <v>669</v>
      </c>
      <c r="M37" s="3069"/>
      <c r="N37" s="2109" t="s">
        <v>669</v>
      </c>
      <c r="O37" s="3069"/>
      <c r="P37" s="2109"/>
      <c r="Q37" s="3069"/>
      <c r="R37" s="2109"/>
      <c r="S37" s="3069"/>
      <c r="T37" s="2109"/>
      <c r="U37" s="3069"/>
    </row>
    <row r="38" spans="1:21" x14ac:dyDescent="0.35">
      <c r="A38" s="3056"/>
      <c r="B38" s="3086" t="s">
        <v>1789</v>
      </c>
      <c r="C38" s="3036"/>
      <c r="D38" s="3032"/>
      <c r="E38" s="3032"/>
      <c r="F38" s="3032"/>
      <c r="G38" s="2198"/>
      <c r="H38" s="2109"/>
      <c r="I38" s="3101"/>
      <c r="J38" s="2109"/>
      <c r="K38" s="3069"/>
      <c r="L38" s="2109"/>
      <c r="M38" s="3069"/>
      <c r="N38" s="2109"/>
      <c r="O38" s="3126">
        <f ca="1">N9*-3%</f>
        <v>-9553.3980582524273</v>
      </c>
      <c r="P38" s="2109"/>
      <c r="Q38" s="3069"/>
      <c r="R38" s="2109"/>
      <c r="S38" s="3069"/>
      <c r="T38" s="2109"/>
      <c r="U38" s="3069"/>
    </row>
    <row r="39" spans="1:21" x14ac:dyDescent="0.35">
      <c r="A39" s="14"/>
      <c r="B39" s="15"/>
      <c r="C39" s="16"/>
      <c r="D39" s="16"/>
      <c r="E39" s="17"/>
      <c r="F39" s="18" t="s">
        <v>715</v>
      </c>
      <c r="G39" s="19" t="s">
        <v>735</v>
      </c>
      <c r="H39" s="20"/>
      <c r="I39" s="50">
        <f>SUM(I13:I38)</f>
        <v>246249</v>
      </c>
      <c r="J39" s="20"/>
      <c r="K39" s="50">
        <f>SUM(K13:K38)</f>
        <v>242750</v>
      </c>
      <c r="L39" s="20"/>
      <c r="M39" s="50">
        <f>SUM(M13:M38)</f>
        <v>357303</v>
      </c>
      <c r="N39" s="20"/>
      <c r="O39" s="50">
        <f ca="1">SUM(O13:O38)</f>
        <v>318446.60194174759</v>
      </c>
      <c r="P39" s="20"/>
      <c r="Q39" s="50">
        <f>SUM(Q13:Q38)</f>
        <v>363300</v>
      </c>
      <c r="R39" s="20"/>
      <c r="S39" s="50">
        <f>SUM(S13:S38)</f>
        <v>290213</v>
      </c>
      <c r="T39" s="20"/>
      <c r="U39" s="50">
        <f>SUM(U13:U38)</f>
        <v>0</v>
      </c>
    </row>
    <row r="40" spans="1:21" x14ac:dyDescent="0.35">
      <c r="A40" s="2973"/>
      <c r="B40" s="2974"/>
      <c r="C40" s="2975"/>
      <c r="D40" s="2975"/>
      <c r="E40" s="2976"/>
      <c r="F40" s="2977" t="s">
        <v>716</v>
      </c>
      <c r="G40" s="2244"/>
      <c r="H40" s="2065">
        <v>0</v>
      </c>
      <c r="I40" s="960"/>
      <c r="J40" s="2065">
        <v>0</v>
      </c>
      <c r="K40" s="960"/>
      <c r="L40" s="2065">
        <v>0</v>
      </c>
      <c r="M40" s="960"/>
      <c r="N40" s="2065">
        <v>0</v>
      </c>
      <c r="O40" s="960"/>
      <c r="P40" s="2065">
        <v>0</v>
      </c>
      <c r="Q40" s="960"/>
      <c r="R40" s="2065">
        <v>0</v>
      </c>
      <c r="S40" s="960"/>
      <c r="T40" s="2065">
        <v>0</v>
      </c>
      <c r="U40" s="960"/>
    </row>
    <row r="41" spans="1:21" x14ac:dyDescent="0.35">
      <c r="A41" s="2973"/>
      <c r="B41" s="2974"/>
      <c r="C41" s="2975"/>
      <c r="D41" s="2975"/>
      <c r="E41" s="2976"/>
      <c r="F41" s="2977" t="s">
        <v>717</v>
      </c>
      <c r="G41" s="2244"/>
      <c r="H41" s="2066"/>
      <c r="I41" s="2070">
        <f>I39*H40</f>
        <v>0</v>
      </c>
      <c r="J41" s="2066"/>
      <c r="K41" s="2070">
        <f>K39*J40</f>
        <v>0</v>
      </c>
      <c r="L41" s="2066"/>
      <c r="M41" s="2070">
        <f>M39*L40</f>
        <v>0</v>
      </c>
      <c r="N41" s="2066"/>
      <c r="O41" s="2070">
        <f ca="1">O39*N40</f>
        <v>0</v>
      </c>
      <c r="P41" s="2066"/>
      <c r="Q41" s="2070">
        <f>Q39*P40</f>
        <v>0</v>
      </c>
      <c r="R41" s="2066"/>
      <c r="S41" s="2070">
        <f>S39*R40</f>
        <v>0</v>
      </c>
      <c r="T41" s="2066"/>
      <c r="U41" s="2070">
        <f>U39*T40</f>
        <v>0</v>
      </c>
    </row>
    <row r="42" spans="1:21" x14ac:dyDescent="0.35">
      <c r="A42" s="2973"/>
      <c r="B42" s="2974"/>
      <c r="C42" s="2975"/>
      <c r="D42" s="2975"/>
      <c r="E42" s="2976"/>
      <c r="F42" s="2977"/>
      <c r="G42" s="2244"/>
      <c r="H42" s="2066"/>
      <c r="I42" s="2068"/>
      <c r="J42" s="2066"/>
      <c r="K42" s="2068"/>
      <c r="L42" s="2066"/>
      <c r="M42" s="2068"/>
      <c r="N42" s="2066"/>
      <c r="O42" s="2068"/>
      <c r="P42" s="2066"/>
      <c r="Q42" s="2068"/>
      <c r="R42" s="2066"/>
      <c r="S42" s="2068"/>
      <c r="T42" s="2066"/>
      <c r="U42" s="2068"/>
    </row>
    <row r="43" spans="1:21" x14ac:dyDescent="0.35">
      <c r="A43" s="2973"/>
      <c r="B43" s="2974"/>
      <c r="C43" s="2975"/>
      <c r="D43" s="2975"/>
      <c r="E43" s="2976"/>
      <c r="F43" s="2977" t="s">
        <v>718</v>
      </c>
      <c r="G43" s="2244"/>
      <c r="H43" s="2069"/>
      <c r="I43" s="2070">
        <f>SUM(I39:I41)</f>
        <v>246249</v>
      </c>
      <c r="J43" s="2069"/>
      <c r="K43" s="2070">
        <f>SUM(K39:K41)</f>
        <v>242750</v>
      </c>
      <c r="L43" s="2069"/>
      <c r="M43" s="2070">
        <f>SUM(M39:M41)</f>
        <v>357303</v>
      </c>
      <c r="N43" s="2069"/>
      <c r="O43" s="2070">
        <f ca="1">SUM(O39:O41)</f>
        <v>318446.60194174759</v>
      </c>
      <c r="P43" s="2069"/>
      <c r="Q43" s="2070">
        <f>SUM(Q39:Q41)</f>
        <v>363300</v>
      </c>
      <c r="R43" s="2069"/>
      <c r="S43" s="2070">
        <f>SUM(S39:S41)</f>
        <v>290213</v>
      </c>
      <c r="T43" s="2069"/>
      <c r="U43" s="2070">
        <f>SUM(U39:U41)</f>
        <v>0</v>
      </c>
    </row>
    <row r="44" spans="1:21" x14ac:dyDescent="0.35">
      <c r="A44" s="2973"/>
      <c r="B44" s="2974"/>
      <c r="C44" s="2975"/>
      <c r="D44" s="2975"/>
      <c r="E44" s="2976"/>
      <c r="F44" s="2991" t="s">
        <v>719</v>
      </c>
      <c r="G44" s="2256"/>
      <c r="H44" s="2073"/>
      <c r="I44" s="2074" t="e">
        <f>I43/#REF!</f>
        <v>#REF!</v>
      </c>
      <c r="J44" s="2073"/>
      <c r="K44" s="2074" t="e">
        <f>K43/#REF!</f>
        <v>#REF!</v>
      </c>
      <c r="L44" s="2073"/>
      <c r="M44" s="2074" t="e">
        <f>M43/#REF!</f>
        <v>#REF!</v>
      </c>
      <c r="N44" s="2073"/>
      <c r="O44" s="2074" t="e">
        <f ca="1">O43/#REF!</f>
        <v>#REF!</v>
      </c>
      <c r="P44" s="2073"/>
      <c r="Q44" s="2074" t="e">
        <f>Q43/#REF!</f>
        <v>#REF!</v>
      </c>
      <c r="R44" s="2073"/>
      <c r="S44" s="2074" t="e">
        <f>S43/#REF!</f>
        <v>#REF!</v>
      </c>
      <c r="T44" s="2073"/>
      <c r="U44" s="2074" t="e">
        <f>U43/#REF!</f>
        <v>#REF!</v>
      </c>
    </row>
    <row r="45" spans="1:21" x14ac:dyDescent="0.35">
      <c r="A45" s="2973"/>
      <c r="B45" s="2974"/>
      <c r="C45" s="2975"/>
      <c r="D45" s="2975"/>
      <c r="E45" s="2976"/>
      <c r="F45" s="2991" t="s">
        <v>720</v>
      </c>
      <c r="G45" s="2260"/>
      <c r="H45" s="2073"/>
      <c r="I45" s="2074" t="e">
        <f>I43/#REF!</f>
        <v>#REF!</v>
      </c>
      <c r="J45" s="2073"/>
      <c r="K45" s="2074" t="e">
        <f>K43/#REF!</f>
        <v>#REF!</v>
      </c>
      <c r="L45" s="2073"/>
      <c r="M45" s="2074" t="e">
        <f>M43/#REF!</f>
        <v>#REF!</v>
      </c>
      <c r="N45" s="2073"/>
      <c r="O45" s="2074" t="e">
        <f ca="1">O43/#REF!</f>
        <v>#REF!</v>
      </c>
      <c r="P45" s="2073"/>
      <c r="Q45" s="2074" t="e">
        <f>Q43/#REF!</f>
        <v>#REF!</v>
      </c>
      <c r="R45" s="2073"/>
      <c r="S45" s="2074" t="e">
        <f>S43/#REF!</f>
        <v>#REF!</v>
      </c>
      <c r="T45" s="2073"/>
      <c r="U45" s="2074" t="e">
        <f>U43/#REF!</f>
        <v>#REF!</v>
      </c>
    </row>
    <row r="46" spans="1:21" x14ac:dyDescent="0.35">
      <c r="A46" s="2973"/>
      <c r="B46" s="2974" t="s">
        <v>3615</v>
      </c>
      <c r="C46" s="2975"/>
      <c r="D46" s="2975"/>
      <c r="E46" s="2976"/>
      <c r="F46" s="2977"/>
      <c r="G46" s="2261">
        <v>2.2000000000000001E-3</v>
      </c>
      <c r="H46" s="2077"/>
      <c r="I46" s="2078">
        <f>I42*$G$37</f>
        <v>0</v>
      </c>
      <c r="J46" s="2077"/>
      <c r="K46" s="2078">
        <f>K42*$G$37</f>
        <v>0</v>
      </c>
      <c r="L46" s="2077"/>
      <c r="M46" s="2078">
        <f>M42*$G$37</f>
        <v>0</v>
      </c>
      <c r="N46" s="2077"/>
      <c r="O46" s="2078">
        <f>O42*$G$37</f>
        <v>0</v>
      </c>
      <c r="P46" s="2077"/>
      <c r="Q46" s="2078">
        <f>Q42*$G$37</f>
        <v>0</v>
      </c>
      <c r="R46" s="2077"/>
      <c r="S46" s="2078">
        <f>S42*$G$37</f>
        <v>0</v>
      </c>
      <c r="T46" s="2077"/>
      <c r="U46" s="2078">
        <f>U42*$G$37</f>
        <v>0</v>
      </c>
    </row>
    <row r="47" spans="1:21" x14ac:dyDescent="0.35">
      <c r="A47" s="3764" t="s">
        <v>721</v>
      </c>
      <c r="B47" s="3765"/>
      <c r="C47" s="12"/>
      <c r="D47" s="12"/>
      <c r="E47" s="12"/>
      <c r="F47" s="12"/>
      <c r="G47" s="13"/>
      <c r="H47" s="21"/>
      <c r="I47" s="21"/>
      <c r="J47" s="21"/>
      <c r="K47" s="21"/>
      <c r="L47" s="21"/>
      <c r="M47" s="21"/>
      <c r="N47" s="21"/>
      <c r="O47" s="21"/>
      <c r="P47" s="21"/>
      <c r="Q47" s="21"/>
      <c r="R47" s="21"/>
      <c r="S47" s="21"/>
      <c r="T47" s="21"/>
      <c r="U47" s="21"/>
    </row>
    <row r="48" spans="1:21" x14ac:dyDescent="0.35">
      <c r="A48" s="3127"/>
      <c r="B48" s="3031"/>
      <c r="C48" s="3128"/>
      <c r="D48" s="3128"/>
      <c r="E48" s="3128"/>
      <c r="F48" s="3128"/>
      <c r="G48" s="3129"/>
      <c r="H48" s="3130"/>
      <c r="I48" s="3130"/>
      <c r="J48" s="3130"/>
      <c r="K48" s="3130"/>
      <c r="L48" s="3130"/>
      <c r="M48" s="3130"/>
      <c r="N48" s="3130"/>
      <c r="O48" s="3130"/>
      <c r="P48" s="3130"/>
      <c r="Q48" s="3130"/>
      <c r="R48" s="3130"/>
      <c r="S48" s="3130"/>
      <c r="T48" s="3130"/>
      <c r="U48" s="3130"/>
    </row>
    <row r="49" spans="1:21" x14ac:dyDescent="0.35">
      <c r="A49" s="3127"/>
      <c r="B49" s="3031"/>
      <c r="C49" s="3128"/>
      <c r="D49" s="3128"/>
      <c r="E49" s="3128"/>
      <c r="F49" s="3128"/>
      <c r="G49" s="3129"/>
      <c r="H49" s="3130"/>
      <c r="I49" s="3130"/>
      <c r="J49" s="3130"/>
      <c r="K49" s="3130"/>
      <c r="L49" s="3130"/>
      <c r="M49" s="3130"/>
      <c r="N49" s="3130"/>
      <c r="O49" s="3130"/>
      <c r="P49" s="3130"/>
      <c r="Q49" s="3130"/>
      <c r="R49" s="3130"/>
      <c r="S49" s="3130"/>
      <c r="T49" s="3130"/>
      <c r="U49" s="3130"/>
    </row>
    <row r="50" spans="1:21" x14ac:dyDescent="0.35">
      <c r="A50" s="3127"/>
      <c r="B50" s="3031"/>
      <c r="C50" s="3128"/>
      <c r="D50" s="3128"/>
      <c r="E50" s="3128"/>
      <c r="F50" s="3128"/>
      <c r="G50" s="3129"/>
      <c r="H50" s="3130"/>
      <c r="I50" s="3130"/>
      <c r="J50" s="3130"/>
      <c r="K50" s="3130"/>
      <c r="L50" s="3130"/>
      <c r="M50" s="3130"/>
      <c r="N50" s="3130"/>
      <c r="O50" s="3130"/>
      <c r="P50" s="3130"/>
      <c r="Q50" s="3130"/>
      <c r="R50" s="3130"/>
      <c r="S50" s="3130"/>
      <c r="T50" s="3130"/>
      <c r="U50" s="3130"/>
    </row>
    <row r="51" spans="1:21" x14ac:dyDescent="0.35">
      <c r="A51" s="3764" t="s">
        <v>722</v>
      </c>
      <c r="B51" s="3765"/>
      <c r="C51" s="12"/>
      <c r="D51" s="12"/>
      <c r="E51" s="12"/>
      <c r="F51" s="12"/>
      <c r="G51" s="13"/>
      <c r="H51" s="21"/>
      <c r="I51" s="21"/>
      <c r="J51" s="21"/>
      <c r="K51" s="21"/>
      <c r="L51" s="21"/>
      <c r="M51" s="21"/>
      <c r="N51" s="21"/>
      <c r="O51" s="21"/>
      <c r="P51" s="21"/>
      <c r="Q51" s="21"/>
      <c r="R51" s="21"/>
      <c r="S51" s="21"/>
      <c r="T51" s="21"/>
      <c r="U51" s="21"/>
    </row>
    <row r="52" spans="1:21" x14ac:dyDescent="0.35">
      <c r="A52" s="3127"/>
      <c r="B52" s="3031"/>
      <c r="C52" s="3128"/>
      <c r="D52" s="3128"/>
      <c r="E52" s="3128"/>
      <c r="F52" s="3128"/>
      <c r="G52" s="3129"/>
      <c r="H52" s="3130"/>
      <c r="I52" s="3130"/>
      <c r="J52" s="3130"/>
      <c r="K52" s="3130"/>
      <c r="L52" s="3130"/>
      <c r="M52" s="3130"/>
      <c r="N52" s="3130"/>
      <c r="O52" s="3130"/>
      <c r="P52" s="3130"/>
      <c r="Q52" s="3130"/>
      <c r="R52" s="3130"/>
      <c r="S52" s="3130"/>
      <c r="T52" s="3130"/>
      <c r="U52" s="3130"/>
    </row>
    <row r="53" spans="1:21" x14ac:dyDescent="0.35">
      <c r="A53" s="3127"/>
      <c r="B53" s="3031"/>
      <c r="C53" s="3128"/>
      <c r="D53" s="3128"/>
      <c r="E53" s="3128"/>
      <c r="F53" s="3128"/>
      <c r="G53" s="3129"/>
      <c r="H53" s="3130"/>
      <c r="I53" s="3130"/>
      <c r="J53" s="3130"/>
      <c r="K53" s="3130"/>
      <c r="L53" s="3130"/>
      <c r="M53" s="3130"/>
      <c r="N53" s="3130"/>
      <c r="O53" s="3130"/>
      <c r="P53" s="3130"/>
      <c r="Q53" s="3130"/>
      <c r="R53" s="3130"/>
      <c r="S53" s="3130"/>
      <c r="T53" s="3130"/>
      <c r="U53" s="3130"/>
    </row>
    <row r="54" spans="1:21" x14ac:dyDescent="0.35">
      <c r="A54" s="3127"/>
      <c r="B54" s="3031"/>
      <c r="C54" s="3128"/>
      <c r="D54" s="3128"/>
      <c r="E54" s="3128"/>
      <c r="F54" s="3128"/>
      <c r="G54" s="3129"/>
      <c r="H54" s="3130"/>
      <c r="I54" s="3130"/>
      <c r="J54" s="3130"/>
      <c r="K54" s="3130"/>
      <c r="L54" s="3130"/>
      <c r="M54" s="3130"/>
      <c r="N54" s="3130"/>
      <c r="O54" s="3130"/>
      <c r="P54" s="3130"/>
      <c r="Q54" s="3130"/>
      <c r="R54" s="3130"/>
      <c r="S54" s="3130"/>
      <c r="T54" s="3130"/>
      <c r="U54" s="3130"/>
    </row>
    <row r="55" spans="1:21" x14ac:dyDescent="0.35">
      <c r="A55" s="3764" t="s">
        <v>723</v>
      </c>
      <c r="B55" s="3765"/>
      <c r="C55" s="12"/>
      <c r="D55" s="12"/>
      <c r="E55" s="12"/>
      <c r="F55" s="12"/>
      <c r="G55" s="13"/>
      <c r="H55" s="21"/>
      <c r="I55" s="21"/>
      <c r="J55" s="21"/>
      <c r="K55" s="21"/>
      <c r="L55" s="21"/>
      <c r="M55" s="21"/>
      <c r="N55" s="21"/>
      <c r="O55" s="21"/>
      <c r="P55" s="21"/>
      <c r="Q55" s="21"/>
      <c r="R55" s="21"/>
      <c r="S55" s="21"/>
      <c r="T55" s="21"/>
      <c r="U55" s="21"/>
    </row>
    <row r="56" spans="1:21" x14ac:dyDescent="0.35">
      <c r="A56" s="3127"/>
      <c r="B56" s="3031"/>
      <c r="C56" s="3128"/>
      <c r="D56" s="3128"/>
      <c r="E56" s="3128"/>
      <c r="F56" s="3128"/>
      <c r="G56" s="3129"/>
      <c r="H56" s="3130"/>
      <c r="I56" s="3130"/>
      <c r="J56" s="3130"/>
      <c r="K56" s="3130"/>
      <c r="L56" s="3130"/>
      <c r="M56" s="3130"/>
      <c r="N56" s="3130"/>
      <c r="O56" s="3130"/>
      <c r="P56" s="3130"/>
      <c r="Q56" s="3130"/>
      <c r="R56" s="3130"/>
      <c r="S56" s="3130"/>
      <c r="T56" s="3130"/>
      <c r="U56" s="3130"/>
    </row>
    <row r="57" spans="1:21" x14ac:dyDescent="0.35">
      <c r="A57" s="3035"/>
      <c r="B57" s="3031"/>
      <c r="C57" s="3032"/>
      <c r="D57" s="3032"/>
      <c r="E57" s="3032"/>
      <c r="F57" s="3032"/>
      <c r="G57" s="2198"/>
      <c r="H57" s="2081"/>
      <c r="I57" s="2081"/>
      <c r="J57" s="2081"/>
      <c r="K57" s="2081"/>
      <c r="L57" s="2081"/>
      <c r="M57" s="2081"/>
      <c r="N57" s="2081"/>
      <c r="O57" s="2081"/>
      <c r="P57" s="2081"/>
      <c r="Q57" s="2081"/>
      <c r="R57" s="2081"/>
      <c r="S57" s="2081"/>
      <c r="T57" s="2081"/>
      <c r="U57" s="2081"/>
    </row>
    <row r="58" spans="1:21" x14ac:dyDescent="0.35">
      <c r="A58" s="3012"/>
      <c r="B58" s="3019"/>
      <c r="C58" s="3032"/>
      <c r="D58" s="3032"/>
      <c r="E58" s="3032"/>
      <c r="F58" s="3032"/>
      <c r="G58" s="2198"/>
      <c r="H58" s="2084"/>
      <c r="I58" s="2084"/>
      <c r="J58" s="2084"/>
      <c r="K58" s="2084"/>
      <c r="L58" s="2084"/>
      <c r="M58" s="2084"/>
      <c r="N58" s="2084"/>
      <c r="O58" s="2084"/>
      <c r="P58" s="2084"/>
      <c r="Q58" s="2084"/>
      <c r="R58" s="2084"/>
      <c r="S58" s="2084"/>
      <c r="T58" s="2084"/>
      <c r="U58" s="2084"/>
    </row>
    <row r="59" spans="1:21" x14ac:dyDescent="0.35">
      <c r="A59" s="3764" t="s">
        <v>724</v>
      </c>
      <c r="B59" s="3765"/>
      <c r="C59" s="12"/>
      <c r="D59" s="12"/>
      <c r="E59" s="12"/>
      <c r="F59" s="12"/>
      <c r="G59" s="13"/>
      <c r="H59" s="21"/>
      <c r="I59" s="21"/>
      <c r="J59" s="21"/>
      <c r="K59" s="21"/>
      <c r="L59" s="21"/>
      <c r="M59" s="21"/>
      <c r="N59" s="21"/>
      <c r="O59" s="21"/>
      <c r="P59" s="21"/>
      <c r="Q59" s="21"/>
      <c r="R59" s="21"/>
      <c r="S59" s="21"/>
      <c r="T59" s="21"/>
      <c r="U59" s="21"/>
    </row>
    <row r="60" spans="1:21" x14ac:dyDescent="0.35">
      <c r="A60" s="3131"/>
      <c r="B60" s="3132"/>
      <c r="C60" s="3128"/>
      <c r="D60" s="3128"/>
      <c r="E60" s="3128"/>
      <c r="F60" s="3128"/>
      <c r="G60" s="3129"/>
      <c r="H60" s="3130"/>
      <c r="I60" s="3130"/>
      <c r="J60" s="3130"/>
      <c r="K60" s="3130"/>
      <c r="L60" s="3130"/>
      <c r="M60" s="3130"/>
      <c r="N60" s="3130"/>
      <c r="O60" s="3130"/>
      <c r="P60" s="3130"/>
      <c r="Q60" s="3130"/>
      <c r="R60" s="3130"/>
      <c r="S60" s="3130"/>
      <c r="T60" s="3130"/>
      <c r="U60" s="3130"/>
    </row>
    <row r="61" spans="1:21" x14ac:dyDescent="0.35">
      <c r="A61" s="3012"/>
      <c r="B61" s="3019"/>
      <c r="C61" s="3032"/>
      <c r="D61" s="3032"/>
      <c r="E61" s="3032"/>
      <c r="F61" s="3032"/>
      <c r="G61" s="2198"/>
      <c r="H61" s="2087"/>
      <c r="I61" s="2087"/>
      <c r="J61" s="2087"/>
      <c r="K61" s="2087"/>
      <c r="L61" s="2087"/>
      <c r="M61" s="2087"/>
      <c r="N61" s="2087"/>
      <c r="O61" s="2087"/>
      <c r="P61" s="2087"/>
      <c r="Q61" s="2087"/>
      <c r="R61" s="2087"/>
      <c r="S61" s="2087"/>
      <c r="T61" s="2087"/>
      <c r="U61" s="2087"/>
    </row>
    <row r="62" spans="1:21" x14ac:dyDescent="0.35">
      <c r="A62" s="3012"/>
      <c r="B62" s="3019"/>
      <c r="C62" s="3032"/>
      <c r="D62" s="3032"/>
      <c r="E62" s="3032"/>
      <c r="F62" s="3032"/>
      <c r="G62" s="2198"/>
      <c r="H62" s="2087"/>
      <c r="I62" s="2087"/>
      <c r="J62" s="2087"/>
      <c r="K62" s="2087"/>
      <c r="L62" s="2087"/>
      <c r="M62" s="2087"/>
      <c r="N62" s="2087"/>
      <c r="O62" s="2087"/>
      <c r="P62" s="2087"/>
      <c r="Q62" s="2087"/>
      <c r="R62" s="2087"/>
      <c r="S62" s="2087"/>
      <c r="T62" s="2087"/>
      <c r="U62" s="2087"/>
    </row>
    <row r="63" spans="1:21" x14ac:dyDescent="0.35">
      <c r="A63" s="3764" t="s">
        <v>725</v>
      </c>
      <c r="B63" s="3765"/>
      <c r="C63" s="12"/>
      <c r="D63" s="12"/>
      <c r="E63" s="12"/>
      <c r="F63" s="12"/>
      <c r="G63" s="13"/>
      <c r="H63" s="21"/>
      <c r="I63" s="21"/>
      <c r="J63" s="21"/>
      <c r="K63" s="21"/>
      <c r="L63" s="21"/>
      <c r="M63" s="21"/>
      <c r="N63" s="21"/>
      <c r="O63" s="21"/>
      <c r="P63" s="21"/>
      <c r="Q63" s="21"/>
      <c r="R63" s="21"/>
      <c r="S63" s="21"/>
      <c r="T63" s="21"/>
      <c r="U63" s="21"/>
    </row>
    <row r="64" spans="1:21" x14ac:dyDescent="0.35">
      <c r="A64" s="3035"/>
      <c r="B64" s="3031" t="s">
        <v>726</v>
      </c>
      <c r="C64" s="3032"/>
      <c r="D64" s="3032"/>
      <c r="E64" s="3032"/>
      <c r="F64" s="3032"/>
      <c r="G64" s="2198"/>
      <c r="H64" s="2087"/>
      <c r="I64" s="2087"/>
      <c r="J64" s="2087"/>
      <c r="K64" s="2087"/>
      <c r="L64" s="2087"/>
      <c r="M64" s="2087"/>
      <c r="N64" s="2087"/>
      <c r="O64" s="2087"/>
      <c r="P64" s="2087"/>
      <c r="Q64" s="2087"/>
      <c r="R64" s="2087"/>
      <c r="S64" s="2087"/>
      <c r="T64" s="2087"/>
      <c r="U64" s="2087"/>
    </row>
    <row r="65" spans="1:21" x14ac:dyDescent="0.35">
      <c r="A65" s="3035"/>
      <c r="B65" s="3031" t="s">
        <v>727</v>
      </c>
      <c r="C65" s="3032"/>
      <c r="D65" s="3032"/>
      <c r="E65" s="3032"/>
      <c r="F65" s="3032"/>
      <c r="G65" s="2198"/>
      <c r="H65" s="2087"/>
      <c r="I65" s="2087"/>
      <c r="J65" s="2087"/>
      <c r="K65" s="2087"/>
      <c r="L65" s="2087"/>
      <c r="M65" s="2087"/>
      <c r="N65" s="2087"/>
      <c r="O65" s="2087"/>
      <c r="P65" s="2087"/>
      <c r="Q65" s="2087"/>
      <c r="R65" s="2087"/>
      <c r="S65" s="2087"/>
      <c r="T65" s="2087"/>
      <c r="U65" s="2087"/>
    </row>
    <row r="66" spans="1:21" x14ac:dyDescent="0.35">
      <c r="A66" s="3035"/>
      <c r="B66" s="3031" t="s">
        <v>728</v>
      </c>
      <c r="C66" s="3032"/>
      <c r="D66" s="3032"/>
      <c r="E66" s="3032"/>
      <c r="F66" s="3032"/>
      <c r="G66" s="2198"/>
      <c r="H66" s="2087"/>
      <c r="I66" s="2087"/>
      <c r="J66" s="2087"/>
      <c r="K66" s="2087"/>
      <c r="L66" s="2087"/>
      <c r="M66" s="2087"/>
      <c r="N66" s="2087"/>
      <c r="O66" s="2087"/>
      <c r="P66" s="2087"/>
      <c r="Q66" s="2087"/>
      <c r="R66" s="2087"/>
      <c r="S66" s="2087"/>
      <c r="T66" s="2087"/>
      <c r="U66" s="2087"/>
    </row>
    <row r="67" spans="1:21" x14ac:dyDescent="0.35">
      <c r="A67" s="3035"/>
      <c r="B67" s="3031" t="s">
        <v>729</v>
      </c>
      <c r="C67" s="3032"/>
      <c r="D67" s="3032"/>
      <c r="E67" s="3032"/>
      <c r="F67" s="3032"/>
      <c r="G67" s="2198"/>
      <c r="H67" s="2087"/>
      <c r="I67" s="2087"/>
      <c r="J67" s="2087"/>
      <c r="K67" s="2087"/>
      <c r="L67" s="2087"/>
      <c r="M67" s="2087"/>
      <c r="N67" s="2087"/>
      <c r="O67" s="2087"/>
      <c r="P67" s="2087"/>
      <c r="Q67" s="2087"/>
      <c r="R67" s="2087"/>
      <c r="S67" s="2087"/>
      <c r="T67" s="2087"/>
      <c r="U67" s="2087"/>
    </row>
    <row r="68" spans="1:21" x14ac:dyDescent="0.35">
      <c r="A68" s="978"/>
      <c r="B68" s="939"/>
      <c r="C68" s="940"/>
      <c r="D68" s="940"/>
      <c r="E68" s="940"/>
      <c r="F68" s="940"/>
      <c r="G68" s="1039"/>
      <c r="H68" s="981"/>
      <c r="I68" s="981"/>
      <c r="J68" s="981"/>
      <c r="K68" s="981"/>
      <c r="L68" s="981"/>
      <c r="M68" s="981"/>
      <c r="N68" s="981"/>
      <c r="O68" s="981"/>
      <c r="P68" s="981"/>
      <c r="Q68" s="981"/>
      <c r="R68" s="981"/>
      <c r="S68" s="981"/>
      <c r="T68" s="981"/>
      <c r="U68" s="981"/>
    </row>
    <row r="69" spans="1:21" x14ac:dyDescent="0.35">
      <c r="A69" s="7" t="s">
        <v>730</v>
      </c>
      <c r="B69" s="8"/>
      <c r="C69" s="12"/>
      <c r="D69" s="12"/>
      <c r="E69" s="12"/>
      <c r="F69" s="12"/>
      <c r="G69" s="13"/>
      <c r="H69" s="21"/>
      <c r="I69" s="21"/>
      <c r="J69" s="21"/>
      <c r="K69" s="21"/>
      <c r="L69" s="21"/>
      <c r="M69" s="21"/>
      <c r="N69" s="21"/>
      <c r="O69" s="21"/>
      <c r="P69" s="21"/>
      <c r="Q69" s="21"/>
      <c r="R69" s="21"/>
      <c r="S69" s="21"/>
      <c r="T69" s="21"/>
      <c r="U69" s="21"/>
    </row>
    <row r="70" spans="1:21" x14ac:dyDescent="0.35">
      <c r="A70" s="3127"/>
      <c r="B70" s="3133" t="s">
        <v>731</v>
      </c>
      <c r="C70" s="3128"/>
      <c r="D70" s="3128"/>
      <c r="E70" s="3128"/>
      <c r="F70" s="3128"/>
      <c r="G70" s="3129"/>
      <c r="H70" s="3134"/>
      <c r="I70" s="3134"/>
      <c r="J70" s="3134"/>
      <c r="K70" s="3134"/>
      <c r="L70" s="3134"/>
      <c r="M70" s="3134"/>
      <c r="N70" s="3134"/>
      <c r="O70" s="3134"/>
      <c r="P70" s="3134"/>
      <c r="Q70" s="3134"/>
      <c r="R70" s="3134"/>
      <c r="S70" s="3134"/>
      <c r="T70" s="3134"/>
      <c r="U70" s="3134"/>
    </row>
    <row r="71" spans="1:21" x14ac:dyDescent="0.35">
      <c r="A71" s="3035"/>
      <c r="B71" s="3031" t="s">
        <v>732</v>
      </c>
      <c r="C71" s="3032"/>
      <c r="D71" s="3032"/>
      <c r="E71" s="3032"/>
      <c r="F71" s="3032"/>
      <c r="G71" s="2198"/>
      <c r="H71" s="2158"/>
      <c r="I71" s="2158"/>
      <c r="J71" s="2158"/>
      <c r="K71" s="2158"/>
      <c r="L71" s="2158"/>
      <c r="M71" s="2158"/>
      <c r="N71" s="2158"/>
      <c r="O71" s="2158"/>
      <c r="P71" s="2158"/>
      <c r="Q71" s="2158"/>
      <c r="R71" s="2158"/>
      <c r="S71" s="2158"/>
      <c r="T71" s="2158"/>
      <c r="U71" s="2158"/>
    </row>
    <row r="72" spans="1:21" x14ac:dyDescent="0.35">
      <c r="A72" s="2089"/>
      <c r="B72" s="2090" t="s">
        <v>733</v>
      </c>
      <c r="C72" s="2091"/>
      <c r="D72" s="2091"/>
      <c r="E72" s="2091"/>
      <c r="F72" s="2091"/>
      <c r="G72" s="2092"/>
      <c r="H72" s="2093"/>
      <c r="I72" s="2093"/>
      <c r="J72" s="2093"/>
      <c r="K72" s="2093"/>
      <c r="L72" s="2093"/>
      <c r="M72" s="2093"/>
      <c r="N72" s="2093"/>
      <c r="O72" s="2093"/>
      <c r="P72" s="2093"/>
      <c r="Q72" s="2093"/>
      <c r="R72" s="2093"/>
      <c r="S72" s="2093"/>
      <c r="T72" s="2093"/>
      <c r="U72" s="2093"/>
    </row>
    <row r="73" spans="1:21" x14ac:dyDescent="0.35">
      <c r="B73" s="1"/>
      <c r="C73" s="2"/>
      <c r="D73" s="2"/>
      <c r="E73" s="2"/>
      <c r="F73" s="2"/>
      <c r="G73" s="2"/>
      <c r="H73" s="2"/>
      <c r="I73" s="2"/>
      <c r="J73" s="2"/>
      <c r="K73" s="2"/>
      <c r="L73" s="2"/>
      <c r="M73" s="2"/>
      <c r="N73" s="2"/>
      <c r="O73" s="2"/>
      <c r="P73" s="2"/>
      <c r="Q73" s="2"/>
      <c r="R73" s="2"/>
      <c r="S73" s="2"/>
      <c r="T73" s="2"/>
      <c r="U73" s="2"/>
    </row>
    <row r="74" spans="1:21" x14ac:dyDescent="0.35">
      <c r="A74" s="78" t="s">
        <v>734</v>
      </c>
      <c r="B74" s="80"/>
      <c r="C74" s="2"/>
      <c r="D74" s="2"/>
      <c r="E74" s="2"/>
      <c r="F74" s="2"/>
      <c r="G74" s="2"/>
      <c r="H74" s="2"/>
      <c r="I74" s="2"/>
      <c r="J74" s="2"/>
      <c r="K74" s="2"/>
      <c r="L74" s="2"/>
      <c r="M74" s="2"/>
      <c r="N74" s="2"/>
      <c r="O74" s="2"/>
      <c r="P74" s="2"/>
      <c r="Q74" s="2"/>
      <c r="R74" s="2"/>
      <c r="S74" s="2"/>
      <c r="T74" s="2"/>
      <c r="U74" s="2"/>
    </row>
    <row r="75" spans="1:21" x14ac:dyDescent="0.35">
      <c r="A75" s="79" t="s">
        <v>632</v>
      </c>
      <c r="B75" s="2094" t="str">
        <f>J5</f>
        <v>Nautilus RF</v>
      </c>
      <c r="C75" s="2"/>
      <c r="D75" s="2"/>
      <c r="E75" s="2"/>
      <c r="F75" s="2"/>
      <c r="G75" s="2"/>
      <c r="H75" s="2"/>
      <c r="I75" s="2"/>
      <c r="J75" s="2"/>
      <c r="K75" s="2"/>
      <c r="L75" s="2"/>
      <c r="M75" s="2"/>
      <c r="N75" s="2"/>
      <c r="O75" s="2"/>
      <c r="P75" s="2"/>
      <c r="Q75" s="2"/>
      <c r="R75" s="2"/>
      <c r="S75" s="2"/>
      <c r="T75" s="2"/>
      <c r="U75" s="2"/>
    </row>
    <row r="76" spans="1:21" x14ac:dyDescent="0.35">
      <c r="A76" s="3029" t="s">
        <v>636</v>
      </c>
      <c r="B76" s="2094" t="str">
        <f>J6</f>
        <v>Jimmy Bradford</v>
      </c>
      <c r="C76" s="2"/>
      <c r="D76" s="2"/>
      <c r="E76" s="2"/>
      <c r="F76" s="2"/>
      <c r="G76" s="2"/>
      <c r="H76" s="2"/>
      <c r="I76" s="2"/>
      <c r="J76" s="2"/>
      <c r="K76" s="2"/>
      <c r="L76" s="2"/>
      <c r="M76" s="2"/>
      <c r="N76" s="2"/>
      <c r="O76" s="2"/>
      <c r="P76" s="2"/>
      <c r="Q76" s="2"/>
      <c r="R76" s="2"/>
      <c r="S76" s="2"/>
      <c r="T76" s="2"/>
      <c r="U76" s="2"/>
    </row>
    <row r="77" spans="1:21" x14ac:dyDescent="0.35">
      <c r="A77" s="2096" t="s">
        <v>639</v>
      </c>
      <c r="B77" s="2097">
        <f>J7</f>
        <v>9547608573</v>
      </c>
      <c r="C77" s="2"/>
      <c r="D77" s="2"/>
      <c r="E77" s="2"/>
      <c r="F77" s="2"/>
      <c r="G77" s="2"/>
      <c r="H77" s="2"/>
      <c r="I77" s="2"/>
      <c r="J77" s="2"/>
      <c r="K77" s="2"/>
      <c r="L77" s="2"/>
      <c r="M77" s="2"/>
      <c r="N77" s="2"/>
      <c r="O77" s="2"/>
      <c r="P77" s="2"/>
      <c r="Q77" s="2"/>
      <c r="R77" s="2"/>
      <c r="S77" s="2"/>
      <c r="T77" s="2"/>
      <c r="U77" s="2"/>
    </row>
    <row r="78" spans="1:21" x14ac:dyDescent="0.35">
      <c r="A78" s="2096" t="s">
        <v>642</v>
      </c>
      <c r="B78" s="2098" t="str">
        <f>J8</f>
        <v>jbradford@nautilusrf.com</v>
      </c>
      <c r="C78" s="2"/>
      <c r="D78" s="2"/>
      <c r="E78" s="2"/>
      <c r="F78" s="2"/>
      <c r="G78" s="2"/>
      <c r="H78" s="2"/>
      <c r="I78" s="2"/>
      <c r="J78" s="2"/>
      <c r="K78" s="2"/>
      <c r="L78" s="2"/>
      <c r="M78" s="2"/>
      <c r="N78" s="2"/>
      <c r="O78" s="2"/>
      <c r="P78" s="2"/>
      <c r="Q78" s="2"/>
      <c r="R78" s="2"/>
      <c r="S78" s="2"/>
      <c r="T78" s="2"/>
      <c r="U78" s="2"/>
    </row>
    <row r="79" spans="1:21" x14ac:dyDescent="0.35">
      <c r="A79" s="2099" t="s">
        <v>735</v>
      </c>
      <c r="B79" s="2100">
        <f>J9</f>
        <v>242750</v>
      </c>
      <c r="C79" s="2"/>
      <c r="D79" s="2"/>
      <c r="E79" s="2"/>
      <c r="F79" s="2"/>
      <c r="G79" s="2"/>
      <c r="H79" s="2"/>
      <c r="I79" s="2"/>
      <c r="J79" s="2"/>
      <c r="K79" s="2"/>
      <c r="L79" s="2"/>
      <c r="M79" s="2"/>
      <c r="N79" s="2"/>
      <c r="O79" s="2"/>
      <c r="P79" s="2"/>
      <c r="Q79" s="2"/>
      <c r="R79" s="2"/>
      <c r="S79" s="2"/>
      <c r="T79" s="2"/>
      <c r="U79" s="2"/>
    </row>
    <row r="80" spans="1:21" x14ac:dyDescent="0.35">
      <c r="B80" s="173"/>
      <c r="C80" s="2"/>
      <c r="D80" s="2"/>
      <c r="E80" s="2"/>
      <c r="F80" s="2"/>
      <c r="G80" s="2"/>
      <c r="H80" s="2"/>
      <c r="I80" s="2"/>
      <c r="J80" s="2"/>
      <c r="K80" s="2"/>
      <c r="L80" s="2"/>
      <c r="M80" s="2"/>
      <c r="N80" s="2"/>
      <c r="O80" s="2"/>
      <c r="P80" s="2"/>
      <c r="Q80" s="2"/>
      <c r="R80" s="2"/>
      <c r="S80" s="2"/>
      <c r="T80" s="2"/>
      <c r="U80" s="2"/>
    </row>
    <row r="81" spans="1:21" x14ac:dyDescent="0.35">
      <c r="A81" s="81"/>
      <c r="B81" s="1" t="s">
        <v>736</v>
      </c>
      <c r="C81" s="2"/>
      <c r="D81" s="2"/>
      <c r="E81" s="2"/>
      <c r="F81" s="2"/>
      <c r="G81" s="2"/>
      <c r="H81" s="2"/>
      <c r="I81" s="2"/>
      <c r="J81" s="2"/>
      <c r="K81" s="2"/>
      <c r="L81" s="2"/>
      <c r="M81" s="2"/>
      <c r="N81" s="2"/>
      <c r="O81" s="2"/>
      <c r="P81" s="2"/>
      <c r="Q81" s="2"/>
      <c r="R81" s="2"/>
      <c r="S81" s="2"/>
      <c r="T81" s="2"/>
      <c r="U81" s="2"/>
    </row>
    <row r="82" spans="1:21" x14ac:dyDescent="0.35">
      <c r="A82" s="82"/>
      <c r="B82" s="1" t="s">
        <v>737</v>
      </c>
      <c r="C82" s="2"/>
      <c r="D82" s="2"/>
      <c r="E82" s="2"/>
      <c r="F82" s="2"/>
      <c r="G82" s="2"/>
      <c r="H82" s="2"/>
      <c r="I82" s="2"/>
      <c r="J82" s="2"/>
      <c r="K82" s="2"/>
      <c r="L82" s="2"/>
      <c r="M82" s="2"/>
      <c r="N82" s="2"/>
      <c r="O82" s="2"/>
      <c r="P82" s="2"/>
      <c r="Q82" s="2"/>
      <c r="R82" s="2"/>
      <c r="S82" s="2"/>
      <c r="T82" s="2"/>
      <c r="U82" s="2"/>
    </row>
  </sheetData>
  <mergeCells count="56">
    <mergeCell ref="A47:B47"/>
    <mergeCell ref="A51:B51"/>
    <mergeCell ref="A55:B55"/>
    <mergeCell ref="A59:B59"/>
    <mergeCell ref="A63:B63"/>
    <mergeCell ref="T9:U9"/>
    <mergeCell ref="H8:I8"/>
    <mergeCell ref="J8:K8"/>
    <mergeCell ref="L8:M8"/>
    <mergeCell ref="P8:Q8"/>
    <mergeCell ref="R8:S8"/>
    <mergeCell ref="T8:U8"/>
    <mergeCell ref="H9:I9"/>
    <mergeCell ref="J9:K9"/>
    <mergeCell ref="L9:M9"/>
    <mergeCell ref="P9:Q9"/>
    <mergeCell ref="R9:S9"/>
    <mergeCell ref="N8:O8"/>
    <mergeCell ref="N9:O9"/>
    <mergeCell ref="T7:U7"/>
    <mergeCell ref="H6:I6"/>
    <mergeCell ref="J6:K6"/>
    <mergeCell ref="L6:M6"/>
    <mergeCell ref="P6:Q6"/>
    <mergeCell ref="R6:S6"/>
    <mergeCell ref="T6:U6"/>
    <mergeCell ref="H7:I7"/>
    <mergeCell ref="J7:K7"/>
    <mergeCell ref="L7:M7"/>
    <mergeCell ref="P7:Q7"/>
    <mergeCell ref="R7:S7"/>
    <mergeCell ref="N6:O6"/>
    <mergeCell ref="N7:O7"/>
    <mergeCell ref="T5:U5"/>
    <mergeCell ref="H4:I4"/>
    <mergeCell ref="J4:K4"/>
    <mergeCell ref="L4:M4"/>
    <mergeCell ref="P4:Q4"/>
    <mergeCell ref="R4:S4"/>
    <mergeCell ref="T4:U4"/>
    <mergeCell ref="H5:I5"/>
    <mergeCell ref="J5:K5"/>
    <mergeCell ref="L5:M5"/>
    <mergeCell ref="P5:Q5"/>
    <mergeCell ref="R5:S5"/>
    <mergeCell ref="N4:O4"/>
    <mergeCell ref="N5:O5"/>
    <mergeCell ref="L1:M1"/>
    <mergeCell ref="T3:U3"/>
    <mergeCell ref="H3:I3"/>
    <mergeCell ref="J3:K3"/>
    <mergeCell ref="L3:M3"/>
    <mergeCell ref="P3:Q3"/>
    <mergeCell ref="R3:S3"/>
    <mergeCell ref="N1:O1"/>
    <mergeCell ref="N3:O3"/>
  </mergeCells>
  <conditionalFormatting sqref="H11:H22 J11:J22 L11:L22 P11:P22 R11:R22 T11:T22 H24:H38 J24:J38 L24:L38 P24:P38 T24:T38 N24:N38 R25:R29">
    <cfRule type="cellIs" dxfId="295" priority="19" operator="equal">
      <formula>"X"</formula>
    </cfRule>
    <cfRule type="cellIs" dxfId="294" priority="20" operator="equal">
      <formula>"I"</formula>
    </cfRule>
  </conditionalFormatting>
  <conditionalFormatting sqref="R24 R30:R38">
    <cfRule type="cellIs" dxfId="293" priority="23" operator="equal">
      <formula>"X"</formula>
    </cfRule>
    <cfRule type="cellIs" dxfId="292" priority="24" operator="equal">
      <formula>"I"</formula>
    </cfRule>
  </conditionalFormatting>
  <conditionalFormatting sqref="N11:N22">
    <cfRule type="cellIs" dxfId="291" priority="3" operator="equal">
      <formula>"X"</formula>
    </cfRule>
    <cfRule type="cellIs" dxfId="290" priority="4" operator="equal">
      <formula>"I"</formula>
    </cfRule>
  </conditionalFormatting>
  <hyperlinks>
    <hyperlink ref="B4" location="'Cost Summary'!A1" display="BACK TO SUMMARY SHEET" xr:uid="{18B064B5-878E-4269-A6A1-9839829E6C4E}"/>
    <hyperlink ref="H8" r:id="rId1" xr:uid="{279D58AC-BB6F-45EC-AA90-1B9B3F35B3C4}"/>
    <hyperlink ref="J8" r:id="rId2" xr:uid="{B7D03919-3FC6-4FED-8D42-1E1D891F85B5}"/>
    <hyperlink ref="L8" r:id="rId3" display=": beymars@asinet.com" xr:uid="{30F6F391-DC52-4318-ABDE-AFEDAC1AD987}"/>
    <hyperlink ref="L8:M8" r:id="rId4" display="beymars@asinet.com" xr:uid="{E7B57008-86BF-4B1C-82BA-11FECA24FEF7}"/>
    <hyperlink ref="P8" r:id="rId5" xr:uid="{418CE124-624A-42BE-BBFC-EA4EC0D2F5E8}"/>
    <hyperlink ref="N8" r:id="rId6" display=": beymars@asinet.com" xr:uid="{4DD652C6-D717-4CA6-ACCC-56D585CD9FBA}"/>
    <hyperlink ref="N8:O8" r:id="rId7" display="beymars@asinet.com" xr:uid="{589F8DC5-2B0C-4506-A9E2-EE00D5635EFA}"/>
    <hyperlink ref="R8" r:id="rId8" xr:uid="{34505D3F-1CEB-43C6-9680-3A818E3AAAC7}"/>
  </hyperlinks>
  <pageMargins left="0.7" right="0.7" top="0.75" bottom="0.75" header="0.3" footer="0.3"/>
  <pageSetup orientation="portrait" r:id="rId9"/>
  <legacyDrawing r:id="rId1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79D-48E8-4400-B363-C4675EA23D3B}">
  <sheetPr>
    <tabColor rgb="FF92D050"/>
  </sheetPr>
  <dimension ref="A1:Y120"/>
  <sheetViews>
    <sheetView zoomScaleNormal="100" workbookViewId="0">
      <pane xSplit="2" ySplit="9" topLeftCell="K72" activePane="bottomRight" state="frozen"/>
      <selection pane="topRight" activeCell="C1" sqref="C1"/>
      <selection pane="bottomLeft" activeCell="A10" sqref="A10"/>
      <selection pane="bottomRight" activeCell="Y75" sqref="Y75"/>
    </sheetView>
  </sheetViews>
  <sheetFormatPr defaultRowHeight="14.5" x14ac:dyDescent="0.35"/>
  <cols>
    <col min="1" max="1" width="11" customWidth="1"/>
    <col min="2" max="2" width="85.26953125" style="1" customWidth="1"/>
    <col min="3" max="3" width="17.26953125" style="2" bestFit="1" customWidth="1"/>
    <col min="4" max="5" width="7.54296875" style="2" customWidth="1"/>
    <col min="6" max="6" width="16.453125" style="2" bestFit="1"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customWidth="1"/>
    <col min="21" max="21" width="14.81640625" style="2" customWidth="1"/>
    <col min="22" max="22" width="7.453125" style="2" bestFit="1" customWidth="1"/>
    <col min="23" max="23" width="14.81640625" style="2" customWidth="1"/>
    <col min="24" max="24" width="7.453125" style="2" customWidth="1"/>
    <col min="25" max="25" width="14.81640625" style="2" customWidth="1"/>
    <col min="26" max="26" width="9.1796875" bestFit="1" customWidth="1"/>
  </cols>
  <sheetData>
    <row r="1" spans="1:25" x14ac:dyDescent="0.35">
      <c r="E1" s="152"/>
      <c r="F1" s="125"/>
      <c r="G1" s="123" t="s">
        <v>621</v>
      </c>
      <c r="K1" s="2" t="s">
        <v>3640</v>
      </c>
      <c r="M1" s="2" t="s">
        <v>770</v>
      </c>
      <c r="O1" s="2" t="s">
        <v>3641</v>
      </c>
      <c r="Q1" s="2" t="s">
        <v>770</v>
      </c>
    </row>
    <row r="2" spans="1:25" ht="15" thickBot="1" x14ac:dyDescent="0.4">
      <c r="E2" s="152"/>
      <c r="F2" s="122" t="s">
        <v>622</v>
      </c>
      <c r="G2" s="123" t="s">
        <v>451</v>
      </c>
      <c r="H2" s="3751"/>
      <c r="I2" s="3751"/>
      <c r="J2" s="3751"/>
      <c r="K2" s="3751"/>
      <c r="L2" s="3751"/>
      <c r="M2" s="3751"/>
      <c r="N2" s="4003">
        <f>N8+'27B BDA'!L9</f>
        <v>1352678</v>
      </c>
      <c r="O2" s="4003"/>
      <c r="P2" s="4003">
        <f ca="1">P8+'27B BDA'!N9</f>
        <v>1292597.0873786407</v>
      </c>
      <c r="Q2" s="4003"/>
      <c r="R2" s="3751"/>
      <c r="S2" s="3751"/>
      <c r="T2" s="3751"/>
      <c r="U2" s="3751"/>
      <c r="V2" s="3751"/>
      <c r="W2" s="3751"/>
      <c r="X2" s="3751"/>
      <c r="Y2" s="3751"/>
    </row>
    <row r="3" spans="1:25" ht="21" customHeight="1" thickBot="1" x14ac:dyDescent="0.4">
      <c r="B3" s="137" t="s">
        <v>623</v>
      </c>
      <c r="E3" s="152"/>
      <c r="F3" s="124" t="s">
        <v>624</v>
      </c>
      <c r="G3" s="123" t="s">
        <v>557</v>
      </c>
      <c r="H3" s="3754" t="s">
        <v>627</v>
      </c>
      <c r="I3" s="3754"/>
      <c r="J3" s="3754" t="s">
        <v>627</v>
      </c>
      <c r="K3" s="3754"/>
      <c r="L3" s="3754" t="s">
        <v>627</v>
      </c>
      <c r="M3" s="3754"/>
      <c r="N3" s="3772" t="s">
        <v>871</v>
      </c>
      <c r="O3" s="3772"/>
      <c r="P3" s="3772" t="s">
        <v>871</v>
      </c>
      <c r="Q3" s="3772"/>
      <c r="R3" s="3754" t="s">
        <v>626</v>
      </c>
      <c r="S3" s="3754"/>
      <c r="T3" s="3754" t="s">
        <v>627</v>
      </c>
      <c r="U3" s="3754"/>
      <c r="V3" s="3754" t="s">
        <v>1370</v>
      </c>
      <c r="W3" s="3754"/>
      <c r="X3" s="3891" t="s">
        <v>626</v>
      </c>
      <c r="Y3" s="3891"/>
    </row>
    <row r="4" spans="1:25" ht="15.75" customHeight="1" thickTop="1" x14ac:dyDescent="0.35">
      <c r="A4" s="3" t="s">
        <v>631</v>
      </c>
      <c r="B4" s="4" t="str">
        <f>'AREA CALC''s'!B4</f>
        <v>Alton Hilltop Gardens</v>
      </c>
      <c r="C4" s="5"/>
      <c r="D4" s="5"/>
      <c r="E4" s="5"/>
      <c r="F4" s="5"/>
      <c r="G4" s="6" t="s">
        <v>632</v>
      </c>
      <c r="H4" s="3752" t="s">
        <v>3642</v>
      </c>
      <c r="I4" s="3752"/>
      <c r="J4" s="3752" t="s">
        <v>3643</v>
      </c>
      <c r="K4" s="3752"/>
      <c r="L4" s="3752" t="s">
        <v>3643</v>
      </c>
      <c r="M4" s="3752"/>
      <c r="N4" s="3752" t="s">
        <v>3619</v>
      </c>
      <c r="O4" s="3752"/>
      <c r="P4" s="3752" t="s">
        <v>3619</v>
      </c>
      <c r="Q4" s="3752"/>
      <c r="R4" s="3752" t="s">
        <v>3644</v>
      </c>
      <c r="S4" s="3752"/>
      <c r="T4" s="3752" t="s">
        <v>3645</v>
      </c>
      <c r="U4" s="3752"/>
      <c r="V4" s="3752" t="s">
        <v>3646</v>
      </c>
      <c r="W4" s="3752"/>
      <c r="X4" s="3752" t="s">
        <v>3647</v>
      </c>
      <c r="Y4" s="3752"/>
    </row>
    <row r="5" spans="1:25" x14ac:dyDescent="0.35">
      <c r="A5" s="3030" t="s">
        <v>634</v>
      </c>
      <c r="B5" s="3031" t="s">
        <v>561</v>
      </c>
      <c r="C5" s="3032"/>
      <c r="D5" s="3032"/>
      <c r="E5" s="3032"/>
      <c r="F5" s="3032"/>
      <c r="G5" s="2194" t="s">
        <v>636</v>
      </c>
      <c r="H5" s="3992" t="s">
        <v>3648</v>
      </c>
      <c r="I5" s="3992"/>
      <c r="J5" s="3992" t="s">
        <v>3648</v>
      </c>
      <c r="K5" s="3992"/>
      <c r="L5" s="3992" t="s">
        <v>3648</v>
      </c>
      <c r="M5" s="3992"/>
      <c r="N5" s="3992" t="s">
        <v>3626</v>
      </c>
      <c r="O5" s="3992"/>
      <c r="P5" s="3992" t="s">
        <v>3626</v>
      </c>
      <c r="Q5" s="3992"/>
      <c r="R5" s="3992" t="s">
        <v>3649</v>
      </c>
      <c r="S5" s="3992"/>
      <c r="T5" s="3992" t="s">
        <v>3650</v>
      </c>
      <c r="U5" s="3992"/>
      <c r="V5" s="3992" t="s">
        <v>3651</v>
      </c>
      <c r="W5" s="3992"/>
      <c r="X5" s="3992"/>
      <c r="Y5" s="3992"/>
    </row>
    <row r="6" spans="1:25" x14ac:dyDescent="0.35">
      <c r="A6" s="3030" t="s">
        <v>638</v>
      </c>
      <c r="B6" s="3033" t="s">
        <v>560</v>
      </c>
      <c r="C6" s="3032"/>
      <c r="D6" s="3032"/>
      <c r="E6" s="3032"/>
      <c r="F6" s="3032"/>
      <c r="G6" s="2194" t="s">
        <v>639</v>
      </c>
      <c r="H6" s="3993">
        <v>7722832000</v>
      </c>
      <c r="I6" s="3993"/>
      <c r="J6" s="3993">
        <v>7722832000</v>
      </c>
      <c r="K6" s="3993"/>
      <c r="L6" s="3993">
        <v>7722832000</v>
      </c>
      <c r="M6" s="3993"/>
      <c r="N6" s="3993">
        <v>3052288305</v>
      </c>
      <c r="O6" s="3993"/>
      <c r="P6" s="3993">
        <v>3052288305</v>
      </c>
      <c r="Q6" s="3993"/>
      <c r="R6" s="3993">
        <v>8887071001</v>
      </c>
      <c r="S6" s="3993"/>
      <c r="T6" s="3993"/>
      <c r="U6" s="3993"/>
      <c r="V6" s="3993">
        <v>9546430373</v>
      </c>
      <c r="W6" s="3993"/>
      <c r="X6" s="3993"/>
      <c r="Y6" s="3993"/>
    </row>
    <row r="7" spans="1:25" x14ac:dyDescent="0.35">
      <c r="A7" s="3030" t="s">
        <v>641</v>
      </c>
      <c r="B7" s="3034"/>
      <c r="C7" s="3032"/>
      <c r="D7" s="3032"/>
      <c r="E7" s="3032"/>
      <c r="F7" s="3032"/>
      <c r="G7" s="2194" t="s">
        <v>642</v>
      </c>
      <c r="H7" s="4002" t="s">
        <v>3652</v>
      </c>
      <c r="I7" s="4002"/>
      <c r="J7" s="4002" t="s">
        <v>3652</v>
      </c>
      <c r="K7" s="4002"/>
      <c r="L7" s="3991" t="s">
        <v>3652</v>
      </c>
      <c r="M7" s="3991"/>
      <c r="N7" s="4000" t="s">
        <v>3631</v>
      </c>
      <c r="O7" s="4000"/>
      <c r="P7" s="4000" t="s">
        <v>3631</v>
      </c>
      <c r="Q7" s="4000"/>
      <c r="R7" s="4002" t="s">
        <v>3653</v>
      </c>
      <c r="S7" s="4002"/>
      <c r="T7" s="4002" t="s">
        <v>3654</v>
      </c>
      <c r="U7" s="4002"/>
      <c r="V7" s="4002" t="s">
        <v>3655</v>
      </c>
      <c r="W7" s="4002"/>
      <c r="X7" s="4002"/>
      <c r="Y7" s="4002"/>
    </row>
    <row r="8" spans="1:25" ht="15" thickBot="1" x14ac:dyDescent="0.4">
      <c r="A8" s="938" t="s">
        <v>644</v>
      </c>
      <c r="B8" s="939"/>
      <c r="C8" s="940"/>
      <c r="D8" s="940"/>
      <c r="E8" s="940"/>
      <c r="F8" s="940"/>
      <c r="G8" s="1024" t="s">
        <v>644</v>
      </c>
      <c r="H8" s="3926">
        <f>I81</f>
        <v>729422</v>
      </c>
      <c r="I8" s="3926"/>
      <c r="J8" s="3926">
        <f>K81</f>
        <v>870100</v>
      </c>
      <c r="K8" s="3926"/>
      <c r="L8" s="3926">
        <f>M81</f>
        <v>846146</v>
      </c>
      <c r="M8" s="3926"/>
      <c r="N8" s="3926">
        <f>O81</f>
        <v>995375</v>
      </c>
      <c r="O8" s="3926"/>
      <c r="P8" s="3926">
        <f ca="1">Q81</f>
        <v>974150.48543689318</v>
      </c>
      <c r="Q8" s="3926"/>
      <c r="R8" s="3926">
        <f>S81</f>
        <v>887721</v>
      </c>
      <c r="S8" s="3926"/>
      <c r="T8" s="3926">
        <f>U81</f>
        <v>1280090</v>
      </c>
      <c r="U8" s="3926"/>
      <c r="V8" s="3926">
        <f>W81</f>
        <v>1335000</v>
      </c>
      <c r="W8" s="3926"/>
      <c r="X8" s="3926">
        <f>Y81</f>
        <v>174260</v>
      </c>
      <c r="Y8" s="3926"/>
    </row>
    <row r="9" spans="1:25" ht="15.5"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row>
    <row r="10" spans="1:25" ht="15" hidden="1" thickTop="1" x14ac:dyDescent="0.35">
      <c r="A10" s="3035"/>
      <c r="B10" s="3135" t="s">
        <v>653</v>
      </c>
      <c r="C10" s="3032"/>
      <c r="D10" s="3032"/>
      <c r="E10" s="3032"/>
      <c r="F10" s="3032"/>
      <c r="G10" s="2198"/>
      <c r="H10" s="2107"/>
      <c r="I10" s="2107"/>
      <c r="J10" s="2107"/>
      <c r="K10" s="2107"/>
      <c r="L10" s="2107"/>
      <c r="M10" s="2107"/>
      <c r="N10" s="2107"/>
      <c r="O10" s="2107"/>
      <c r="P10" s="2107"/>
      <c r="Q10" s="2107"/>
      <c r="R10" s="2107"/>
      <c r="S10" s="2107"/>
      <c r="T10" s="2107"/>
      <c r="U10" s="2107"/>
      <c r="V10" s="2107"/>
      <c r="W10" s="2107"/>
      <c r="X10" s="2107"/>
      <c r="Y10" s="2107"/>
    </row>
    <row r="11" spans="1:25" ht="15" hidden="1" thickTop="1" x14ac:dyDescent="0.35">
      <c r="A11" s="3035"/>
      <c r="B11" s="3031" t="e">
        <f>#REF!</f>
        <v>#REF!</v>
      </c>
      <c r="C11" s="3036" t="s">
        <v>654</v>
      </c>
      <c r="D11" s="3032"/>
      <c r="E11" s="3032"/>
      <c r="F11" s="3032"/>
      <c r="G11" s="2198"/>
      <c r="H11" s="2107"/>
      <c r="I11" s="2107"/>
      <c r="J11" s="2107"/>
      <c r="K11" s="2107"/>
      <c r="L11" s="2107"/>
      <c r="M11" s="2107"/>
      <c r="N11" s="2107"/>
      <c r="O11" s="2107"/>
      <c r="P11" s="2107"/>
      <c r="Q11" s="2107"/>
      <c r="R11" s="2107"/>
      <c r="S11" s="2107"/>
      <c r="T11" s="2107"/>
      <c r="U11" s="2107"/>
      <c r="V11" s="2107"/>
      <c r="W11" s="2107"/>
      <c r="X11" s="2107"/>
      <c r="Y11" s="2107"/>
    </row>
    <row r="12" spans="1:25" ht="15" hidden="1" thickTop="1" x14ac:dyDescent="0.35">
      <c r="A12" s="3035"/>
      <c r="B12" s="3031" t="e">
        <f>#REF!</f>
        <v>#REF!</v>
      </c>
      <c r="C12" s="3036" t="s">
        <v>654</v>
      </c>
      <c r="D12" s="3032"/>
      <c r="E12" s="3032"/>
      <c r="F12" s="3032"/>
      <c r="G12" s="2198"/>
      <c r="H12" s="2107"/>
      <c r="I12" s="2107"/>
      <c r="J12" s="2107"/>
      <c r="K12" s="2107"/>
      <c r="L12" s="2107"/>
      <c r="M12" s="2107"/>
      <c r="N12" s="2107"/>
      <c r="O12" s="2107"/>
      <c r="P12" s="2107"/>
      <c r="Q12" s="2107"/>
      <c r="R12" s="2107"/>
      <c r="S12" s="2107"/>
      <c r="T12" s="2107"/>
      <c r="U12" s="2107"/>
      <c r="V12" s="2107"/>
      <c r="W12" s="2107"/>
      <c r="X12" s="2107"/>
      <c r="Y12" s="2107"/>
    </row>
    <row r="13" spans="1:25" ht="15" hidden="1" thickTop="1" x14ac:dyDescent="0.35">
      <c r="A13" s="3035"/>
      <c r="B13" s="3031" t="e">
        <f>#REF!</f>
        <v>#REF!</v>
      </c>
      <c r="C13" s="3036" t="s">
        <v>654</v>
      </c>
      <c r="D13" s="3032"/>
      <c r="E13" s="3032"/>
      <c r="F13" s="3032"/>
      <c r="G13" s="2198"/>
      <c r="H13" s="2107"/>
      <c r="I13" s="2107"/>
      <c r="J13" s="2107"/>
      <c r="K13" s="2107"/>
      <c r="L13" s="2107"/>
      <c r="M13" s="2107"/>
      <c r="N13" s="2107"/>
      <c r="O13" s="2107"/>
      <c r="P13" s="2107"/>
      <c r="Q13" s="2107"/>
      <c r="R13" s="2107"/>
      <c r="S13" s="2107"/>
      <c r="T13" s="2107"/>
      <c r="U13" s="2107"/>
      <c r="V13" s="2107"/>
      <c r="W13" s="2107"/>
      <c r="X13" s="2107"/>
      <c r="Y13" s="2107"/>
    </row>
    <row r="14" spans="1:25" ht="15" hidden="1" thickTop="1" x14ac:dyDescent="0.35">
      <c r="A14" s="3035"/>
      <c r="B14" s="3031" t="e">
        <f>#REF!</f>
        <v>#REF!</v>
      </c>
      <c r="C14" s="3036" t="s">
        <v>654</v>
      </c>
      <c r="D14" s="3032"/>
      <c r="E14" s="3032"/>
      <c r="F14" s="3032"/>
      <c r="G14" s="2198"/>
      <c r="H14" s="2107"/>
      <c r="I14" s="2107"/>
      <c r="J14" s="2107"/>
      <c r="K14" s="2107"/>
      <c r="L14" s="2107"/>
      <c r="M14" s="2107"/>
      <c r="N14" s="2107"/>
      <c r="O14" s="2107"/>
      <c r="P14" s="2107"/>
      <c r="Q14" s="2107"/>
      <c r="R14" s="2107"/>
      <c r="S14" s="2107"/>
      <c r="T14" s="2107"/>
      <c r="U14" s="2107"/>
      <c r="V14" s="2107"/>
      <c r="W14" s="2107"/>
      <c r="X14" s="2107"/>
      <c r="Y14" s="2107"/>
    </row>
    <row r="15" spans="1:25" ht="15" hidden="1" thickTop="1" x14ac:dyDescent="0.35">
      <c r="A15" s="3035"/>
      <c r="B15" s="3031" t="e">
        <f>#REF!</f>
        <v>#REF!</v>
      </c>
      <c r="C15" s="3036" t="s">
        <v>654</v>
      </c>
      <c r="D15" s="3032"/>
      <c r="E15" s="3032"/>
      <c r="F15" s="3032"/>
      <c r="G15" s="2198"/>
      <c r="H15" s="2107"/>
      <c r="I15" s="2107"/>
      <c r="J15" s="2107"/>
      <c r="K15" s="2107"/>
      <c r="L15" s="2107"/>
      <c r="M15" s="2107"/>
      <c r="N15" s="2107"/>
      <c r="O15" s="2107"/>
      <c r="P15" s="2107"/>
      <c r="Q15" s="2107"/>
      <c r="R15" s="2107"/>
      <c r="S15" s="2107"/>
      <c r="T15" s="2107"/>
      <c r="U15" s="2107"/>
      <c r="V15" s="2107"/>
      <c r="W15" s="2107"/>
      <c r="X15" s="2107"/>
      <c r="Y15" s="2107"/>
    </row>
    <row r="16" spans="1:25" ht="15" hidden="1" thickTop="1" x14ac:dyDescent="0.35">
      <c r="A16" s="3035"/>
      <c r="B16" s="3031" t="e">
        <f>#REF!</f>
        <v>#REF!</v>
      </c>
      <c r="C16" s="3036" t="s">
        <v>654</v>
      </c>
      <c r="D16" s="3032"/>
      <c r="E16" s="3032"/>
      <c r="F16" s="3032"/>
      <c r="G16" s="2198"/>
      <c r="H16" s="2107"/>
      <c r="I16" s="2107"/>
      <c r="J16" s="2107"/>
      <c r="K16" s="2107"/>
      <c r="L16" s="2107"/>
      <c r="M16" s="2107"/>
      <c r="N16" s="2107"/>
      <c r="O16" s="2107"/>
      <c r="P16" s="2107"/>
      <c r="Q16" s="2107"/>
      <c r="R16" s="2107"/>
      <c r="S16" s="2107"/>
      <c r="T16" s="2107"/>
      <c r="U16" s="2107"/>
      <c r="V16" s="2107"/>
      <c r="W16" s="2107"/>
      <c r="X16" s="2107"/>
      <c r="Y16" s="2107"/>
    </row>
    <row r="17" spans="1:25" ht="15" hidden="1" thickTop="1" x14ac:dyDescent="0.35">
      <c r="A17" s="3035"/>
      <c r="B17" s="3031" t="e">
        <f>#REF!</f>
        <v>#REF!</v>
      </c>
      <c r="C17" s="3036" t="s">
        <v>654</v>
      </c>
      <c r="D17" s="3032"/>
      <c r="E17" s="3032"/>
      <c r="F17" s="3032"/>
      <c r="G17" s="2198"/>
      <c r="H17" s="2107"/>
      <c r="I17" s="2107"/>
      <c r="J17" s="2107"/>
      <c r="K17" s="2107"/>
      <c r="L17" s="2107"/>
      <c r="M17" s="2107"/>
      <c r="N17" s="2107"/>
      <c r="O17" s="2107"/>
      <c r="P17" s="2107"/>
      <c r="Q17" s="2107"/>
      <c r="R17" s="2107"/>
      <c r="S17" s="2107"/>
      <c r="T17" s="2107"/>
      <c r="U17" s="2107"/>
      <c r="V17" s="2107"/>
      <c r="W17" s="2107"/>
      <c r="X17" s="2107"/>
      <c r="Y17" s="2107"/>
    </row>
    <row r="18" spans="1:25" ht="15" hidden="1" thickTop="1" x14ac:dyDescent="0.35">
      <c r="A18" s="3035"/>
      <c r="B18" s="3031" t="e">
        <f>#REF!</f>
        <v>#REF!</v>
      </c>
      <c r="C18" s="3036" t="s">
        <v>654</v>
      </c>
      <c r="D18" s="3032"/>
      <c r="E18" s="3032"/>
      <c r="F18" s="3032"/>
      <c r="G18" s="2198"/>
      <c r="H18" s="2107"/>
      <c r="I18" s="2107"/>
      <c r="J18" s="2107"/>
      <c r="K18" s="2107"/>
      <c r="L18" s="2107"/>
      <c r="M18" s="2107"/>
      <c r="N18" s="2107"/>
      <c r="O18" s="2107"/>
      <c r="P18" s="2107"/>
      <c r="Q18" s="2107"/>
      <c r="R18" s="2107"/>
      <c r="S18" s="2107"/>
      <c r="T18" s="2107"/>
      <c r="U18" s="2107"/>
      <c r="V18" s="2107"/>
      <c r="W18" s="2107"/>
      <c r="X18" s="2107"/>
      <c r="Y18" s="2107"/>
    </row>
    <row r="19" spans="1:25" ht="15" hidden="1" thickTop="1" x14ac:dyDescent="0.35">
      <c r="A19" s="3035"/>
      <c r="B19" s="3031" t="e">
        <f>#REF!</f>
        <v>#REF!</v>
      </c>
      <c r="C19" s="3036" t="s">
        <v>654</v>
      </c>
      <c r="D19" s="3032"/>
      <c r="E19" s="3032"/>
      <c r="F19" s="3032"/>
      <c r="G19" s="2198"/>
      <c r="H19" s="2107"/>
      <c r="I19" s="2107"/>
      <c r="J19" s="2107"/>
      <c r="K19" s="2107"/>
      <c r="L19" s="2107"/>
      <c r="M19" s="2107"/>
      <c r="N19" s="2107"/>
      <c r="O19" s="2107"/>
      <c r="P19" s="2107"/>
      <c r="Q19" s="2107"/>
      <c r="R19" s="2107"/>
      <c r="S19" s="2107"/>
      <c r="T19" s="2107"/>
      <c r="U19" s="2107"/>
      <c r="V19" s="2107"/>
      <c r="W19" s="2107"/>
      <c r="X19" s="2107"/>
      <c r="Y19" s="2107"/>
    </row>
    <row r="20" spans="1:25" ht="15" thickTop="1" x14ac:dyDescent="0.35">
      <c r="A20" s="3125"/>
      <c r="B20" s="3031"/>
      <c r="C20" s="3036"/>
      <c r="D20" s="3032"/>
      <c r="E20" s="3032"/>
      <c r="F20" s="3032"/>
      <c r="G20" s="2198"/>
      <c r="H20" s="2109"/>
      <c r="I20" s="2107"/>
      <c r="J20" s="2109"/>
      <c r="K20" s="2107"/>
      <c r="L20" s="2505"/>
      <c r="M20" s="2107"/>
      <c r="N20" s="2109"/>
      <c r="O20" s="2107"/>
      <c r="P20" s="2109"/>
      <c r="Q20" s="2107"/>
      <c r="R20" s="2109"/>
      <c r="S20" s="2107"/>
      <c r="T20" s="2109"/>
      <c r="U20" s="2107"/>
      <c r="V20" s="2109"/>
      <c r="W20" s="2107"/>
      <c r="X20" s="2109"/>
      <c r="Y20" s="2107"/>
    </row>
    <row r="21" spans="1:25" ht="15" thickBot="1" x14ac:dyDescent="0.4">
      <c r="A21" s="3125"/>
      <c r="B21" s="3037" t="s">
        <v>561</v>
      </c>
      <c r="C21" s="45"/>
      <c r="D21" s="46"/>
      <c r="E21" s="46"/>
      <c r="F21" s="46"/>
      <c r="G21" s="52"/>
      <c r="H21" s="2109"/>
      <c r="I21" s="3108"/>
      <c r="J21" s="2109"/>
      <c r="K21" s="3108"/>
      <c r="L21" s="2505"/>
      <c r="M21" s="3108"/>
      <c r="N21" s="2109"/>
      <c r="O21" s="3109"/>
      <c r="P21" s="2109"/>
      <c r="Q21" s="3109"/>
      <c r="R21" s="2109"/>
      <c r="S21" s="3109"/>
      <c r="T21" s="2109"/>
      <c r="U21" s="3109"/>
      <c r="V21" s="2109" t="s">
        <v>669</v>
      </c>
      <c r="W21" s="3109"/>
      <c r="X21" s="2109" t="s">
        <v>669</v>
      </c>
      <c r="Y21" s="3120"/>
    </row>
    <row r="22" spans="1:25" x14ac:dyDescent="0.35">
      <c r="A22" s="3125"/>
      <c r="B22" s="606" t="s">
        <v>657</v>
      </c>
      <c r="C22" s="3036"/>
      <c r="D22" s="3032"/>
      <c r="E22" s="3032"/>
      <c r="F22" s="3032"/>
      <c r="G22" s="2198"/>
      <c r="H22" s="2109" t="s">
        <v>669</v>
      </c>
      <c r="I22" s="3120"/>
      <c r="J22" s="2109" t="s">
        <v>669</v>
      </c>
      <c r="K22" s="3120"/>
      <c r="L22" s="2505" t="s">
        <v>669</v>
      </c>
      <c r="M22" s="3120"/>
      <c r="N22" s="2109"/>
      <c r="O22" s="3109"/>
      <c r="P22" s="2109"/>
      <c r="Q22" s="3109"/>
      <c r="R22" s="2109"/>
      <c r="S22" s="3109"/>
      <c r="T22" s="2109"/>
      <c r="U22" s="3109"/>
      <c r="V22" s="2109"/>
      <c r="W22" s="3109"/>
      <c r="X22" s="2109"/>
      <c r="Y22" s="3120"/>
    </row>
    <row r="23" spans="1:25" x14ac:dyDescent="0.35">
      <c r="A23" s="3125"/>
      <c r="B23" s="3136" t="s">
        <v>658</v>
      </c>
      <c r="C23" s="3036"/>
      <c r="D23" s="3032"/>
      <c r="E23" s="3032"/>
      <c r="F23" s="3032"/>
      <c r="G23" s="2198"/>
      <c r="H23" s="2109"/>
      <c r="I23" s="3108"/>
      <c r="J23" s="2109"/>
      <c r="K23" s="3108"/>
      <c r="L23" s="2505"/>
      <c r="M23" s="3108"/>
      <c r="N23" s="2109"/>
      <c r="O23" s="3109"/>
      <c r="P23" s="2109"/>
      <c r="Q23" s="3109"/>
      <c r="R23" s="2109"/>
      <c r="S23" s="3109"/>
      <c r="T23" s="2109"/>
      <c r="U23" s="3109"/>
      <c r="V23" s="2109"/>
      <c r="W23" s="3109"/>
      <c r="X23" s="2109"/>
      <c r="Y23" s="3120"/>
    </row>
    <row r="24" spans="1:25" x14ac:dyDescent="0.35">
      <c r="A24" s="3125"/>
      <c r="B24" s="3136" t="s">
        <v>659</v>
      </c>
      <c r="C24" s="3036"/>
      <c r="D24" s="3032"/>
      <c r="E24" s="3032"/>
      <c r="F24" s="3032"/>
      <c r="G24" s="2198"/>
      <c r="H24" s="2109"/>
      <c r="I24" s="3120"/>
      <c r="J24" s="2109"/>
      <c r="K24" s="3120"/>
      <c r="L24" s="2505"/>
      <c r="M24" s="3120"/>
      <c r="N24" s="2109"/>
      <c r="O24" s="3109"/>
      <c r="P24" s="2109"/>
      <c r="Q24" s="3109"/>
      <c r="R24" s="2109"/>
      <c r="S24" s="3109"/>
      <c r="T24" s="2109"/>
      <c r="U24" s="3109"/>
      <c r="V24" s="2109"/>
      <c r="W24" s="3109"/>
      <c r="X24" s="2109"/>
      <c r="Y24" s="3120"/>
    </row>
    <row r="25" spans="1:25" x14ac:dyDescent="0.35">
      <c r="A25" s="3125"/>
      <c r="B25" s="3107" t="s">
        <v>660</v>
      </c>
      <c r="C25" s="3036"/>
      <c r="D25" s="3032"/>
      <c r="E25" s="3032"/>
      <c r="F25" s="3032"/>
      <c r="G25" s="2198"/>
      <c r="H25" s="2109"/>
      <c r="I25" s="3120"/>
      <c r="J25" s="2109"/>
      <c r="K25" s="3120"/>
      <c r="L25" s="2505"/>
      <c r="M25" s="3120"/>
      <c r="N25" s="2109"/>
      <c r="O25" s="3109"/>
      <c r="P25" s="2109"/>
      <c r="Q25" s="3109"/>
      <c r="R25" s="2109"/>
      <c r="S25" s="3120"/>
      <c r="T25" s="2109"/>
      <c r="U25" s="3109"/>
      <c r="V25" s="2109"/>
      <c r="W25" s="3109"/>
      <c r="X25" s="2109"/>
      <c r="Y25" s="3120"/>
    </row>
    <row r="26" spans="1:25" x14ac:dyDescent="0.35">
      <c r="A26" s="3125"/>
      <c r="B26" s="3107" t="s">
        <v>661</v>
      </c>
      <c r="C26" s="3036"/>
      <c r="D26" s="3032"/>
      <c r="E26" s="3032"/>
      <c r="F26" s="3032"/>
      <c r="G26" s="2198"/>
      <c r="H26" s="2109"/>
      <c r="I26" s="3120"/>
      <c r="J26" s="2109"/>
      <c r="K26" s="3120"/>
      <c r="L26" s="2505"/>
      <c r="M26" s="3120"/>
      <c r="N26" s="2109"/>
      <c r="O26" s="3109"/>
      <c r="P26" s="2109"/>
      <c r="Q26" s="3109"/>
      <c r="R26" s="2109"/>
      <c r="S26" s="3120"/>
      <c r="T26" s="2109"/>
      <c r="U26" s="3109"/>
      <c r="V26" s="2109"/>
      <c r="W26" s="3109"/>
      <c r="X26" s="2109"/>
      <c r="Y26" s="3120"/>
    </row>
    <row r="27" spans="1:25" x14ac:dyDescent="0.35">
      <c r="A27" s="3125"/>
      <c r="B27" s="3107" t="s">
        <v>662</v>
      </c>
      <c r="C27" s="3036"/>
      <c r="D27" s="3032"/>
      <c r="E27" s="3032"/>
      <c r="F27" s="3032"/>
      <c r="G27" s="2198"/>
      <c r="H27" s="2109"/>
      <c r="I27" s="3120"/>
      <c r="J27" s="2109"/>
      <c r="K27" s="3120"/>
      <c r="L27" s="2505"/>
      <c r="M27" s="3120"/>
      <c r="N27" s="2109"/>
      <c r="O27" s="3109"/>
      <c r="P27" s="2109"/>
      <c r="Q27" s="3109"/>
      <c r="R27" s="2109"/>
      <c r="S27" s="3120"/>
      <c r="T27" s="2109"/>
      <c r="U27" s="3109"/>
      <c r="V27" s="2109"/>
      <c r="W27" s="3109"/>
      <c r="X27" s="2109"/>
      <c r="Y27" s="3120"/>
    </row>
    <row r="28" spans="1:25" x14ac:dyDescent="0.35">
      <c r="A28" s="3125"/>
      <c r="B28" s="3107" t="s">
        <v>663</v>
      </c>
      <c r="C28" s="3036"/>
      <c r="D28" s="3032"/>
      <c r="E28" s="3032"/>
      <c r="F28" s="3032"/>
      <c r="G28" s="2198"/>
      <c r="H28" s="2109"/>
      <c r="I28" s="3120"/>
      <c r="J28" s="2109"/>
      <c r="K28" s="3120"/>
      <c r="L28" s="2505"/>
      <c r="M28" s="3120"/>
      <c r="N28" s="2109"/>
      <c r="O28" s="3109"/>
      <c r="P28" s="2109"/>
      <c r="Q28" s="3109"/>
      <c r="R28" s="2109"/>
      <c r="S28" s="3120"/>
      <c r="T28" s="2109"/>
      <c r="U28" s="3109"/>
      <c r="V28" s="2109"/>
      <c r="W28" s="3109"/>
      <c r="X28" s="2109"/>
      <c r="Y28" s="3120"/>
    </row>
    <row r="29" spans="1:25" x14ac:dyDescent="0.35">
      <c r="A29" s="3125"/>
      <c r="B29" s="3107" t="s">
        <v>789</v>
      </c>
      <c r="C29" s="3036"/>
      <c r="D29" s="3032"/>
      <c r="E29" s="3032"/>
      <c r="F29" s="3032"/>
      <c r="G29" s="2198"/>
      <c r="H29" s="2109"/>
      <c r="I29" s="3120"/>
      <c r="J29" s="2109"/>
      <c r="K29" s="3120"/>
      <c r="L29" s="2505"/>
      <c r="M29" s="3120"/>
      <c r="N29" s="2109"/>
      <c r="O29" s="3109"/>
      <c r="P29" s="2109"/>
      <c r="Q29" s="3109"/>
      <c r="R29" s="2109"/>
      <c r="S29" s="3120"/>
      <c r="T29" s="2109"/>
      <c r="U29" s="3109"/>
      <c r="V29" s="2109"/>
      <c r="W29" s="3109"/>
      <c r="X29" s="2109"/>
      <c r="Y29" s="3120"/>
    </row>
    <row r="30" spans="1:25" x14ac:dyDescent="0.35">
      <c r="A30" s="3125"/>
      <c r="B30" s="3107" t="s">
        <v>790</v>
      </c>
      <c r="C30" s="3036"/>
      <c r="D30" s="3032"/>
      <c r="E30" s="3032"/>
      <c r="F30" s="3032"/>
      <c r="G30" s="2198"/>
      <c r="H30" s="2109"/>
      <c r="I30" s="3120"/>
      <c r="J30" s="2109"/>
      <c r="K30" s="3120"/>
      <c r="L30" s="2505"/>
      <c r="M30" s="3120"/>
      <c r="N30" s="2109"/>
      <c r="O30" s="3109"/>
      <c r="P30" s="2109"/>
      <c r="Q30" s="3109"/>
      <c r="R30" s="2109"/>
      <c r="S30" s="3120"/>
      <c r="T30" s="2109"/>
      <c r="U30" s="3109"/>
      <c r="V30" s="2109"/>
      <c r="W30" s="3109"/>
      <c r="X30" s="2109"/>
      <c r="Y30" s="3120"/>
    </row>
    <row r="31" spans="1:25" x14ac:dyDescent="0.35">
      <c r="A31" s="3125"/>
      <c r="B31" s="3107" t="s">
        <v>791</v>
      </c>
      <c r="C31" s="3036"/>
      <c r="D31" s="3032"/>
      <c r="E31" s="3032"/>
      <c r="F31" s="3032"/>
      <c r="G31" s="2198"/>
      <c r="H31" s="2109"/>
      <c r="I31" s="3120"/>
      <c r="J31" s="2109"/>
      <c r="K31" s="3120"/>
      <c r="L31" s="2505"/>
      <c r="M31" s="3120"/>
      <c r="N31" s="2109"/>
      <c r="O31" s="3109"/>
      <c r="P31" s="2109"/>
      <c r="Q31" s="3109"/>
      <c r="R31" s="2109"/>
      <c r="S31" s="3120"/>
      <c r="T31" s="2109"/>
      <c r="U31" s="3109"/>
      <c r="V31" s="2109"/>
      <c r="W31" s="3109"/>
      <c r="X31" s="2109"/>
      <c r="Y31" s="3120"/>
    </row>
    <row r="32" spans="1:25" x14ac:dyDescent="0.35">
      <c r="A32" s="3125"/>
      <c r="B32" s="3110" t="s">
        <v>664</v>
      </c>
      <c r="C32" s="3036"/>
      <c r="D32" s="3032"/>
      <c r="E32" s="3032"/>
      <c r="F32" s="3032"/>
      <c r="G32" s="2198"/>
      <c r="H32" s="2109"/>
      <c r="I32" s="3108"/>
      <c r="J32" s="2109"/>
      <c r="K32" s="3108"/>
      <c r="L32" s="2505"/>
      <c r="M32" s="3108"/>
      <c r="N32" s="2109"/>
      <c r="O32" s="3109"/>
      <c r="P32" s="2109"/>
      <c r="Q32" s="3109"/>
      <c r="R32" s="2109"/>
      <c r="S32" s="3120"/>
      <c r="T32" s="2109"/>
      <c r="U32" s="3109"/>
      <c r="V32" s="2109"/>
      <c r="W32" s="3109"/>
      <c r="X32" s="2109"/>
      <c r="Y32" s="3120"/>
    </row>
    <row r="33" spans="1:25" x14ac:dyDescent="0.35">
      <c r="A33" s="3125"/>
      <c r="B33" s="162" t="s">
        <v>665</v>
      </c>
      <c r="C33" s="3038"/>
      <c r="D33" s="3137"/>
      <c r="E33" s="3039"/>
      <c r="F33" s="3138"/>
      <c r="G33" s="2945"/>
      <c r="H33" s="2288"/>
      <c r="I33" s="3139">
        <v>449422</v>
      </c>
      <c r="J33" s="2288"/>
      <c r="K33" s="3139"/>
      <c r="L33" s="2288"/>
      <c r="M33" s="3139"/>
      <c r="N33" s="3115"/>
      <c r="O33" s="3115"/>
      <c r="P33" s="3115"/>
      <c r="Q33" s="3115"/>
      <c r="R33" s="2288"/>
      <c r="S33" s="3117"/>
      <c r="T33" s="2288"/>
      <c r="U33" s="3117">
        <v>681000</v>
      </c>
      <c r="V33" s="3115"/>
      <c r="W33" s="3115"/>
      <c r="X33" s="2288"/>
      <c r="Y33" s="3117"/>
    </row>
    <row r="34" spans="1:25" x14ac:dyDescent="0.35">
      <c r="A34" s="3125"/>
      <c r="B34" s="3140" t="s">
        <v>874</v>
      </c>
      <c r="C34" s="3036"/>
      <c r="D34" s="3049"/>
      <c r="E34" s="3032"/>
      <c r="F34" s="3050"/>
      <c r="G34" s="2233"/>
      <c r="H34" s="2109"/>
      <c r="I34" s="3108"/>
      <c r="J34" s="2109"/>
      <c r="K34" s="3108"/>
      <c r="L34" s="2505"/>
      <c r="M34" s="3108"/>
      <c r="N34" s="2109"/>
      <c r="O34" s="2109"/>
      <c r="P34" s="2109"/>
      <c r="Q34" s="2109"/>
      <c r="R34" s="2109"/>
      <c r="S34" s="3120"/>
      <c r="T34" s="2109"/>
      <c r="U34" s="3109"/>
      <c r="V34" s="2109"/>
      <c r="W34" s="3109"/>
      <c r="X34" s="2109"/>
      <c r="Y34" s="3120"/>
    </row>
    <row r="35" spans="1:25" x14ac:dyDescent="0.35">
      <c r="A35" s="3125"/>
      <c r="B35" s="3140" t="s">
        <v>3656</v>
      </c>
      <c r="C35" s="3036"/>
      <c r="D35" s="3049"/>
      <c r="E35" s="3032"/>
      <c r="F35" s="3050"/>
      <c r="G35" s="2233"/>
      <c r="H35" s="2109" t="s">
        <v>669</v>
      </c>
      <c r="I35" s="3120"/>
      <c r="J35" s="2109" t="s">
        <v>669</v>
      </c>
      <c r="K35" s="3120"/>
      <c r="L35" s="2505" t="s">
        <v>669</v>
      </c>
      <c r="M35" s="3120"/>
      <c r="N35" s="2109" t="s">
        <v>669</v>
      </c>
      <c r="O35" s="3120"/>
      <c r="P35" s="2109" t="s">
        <v>669</v>
      </c>
      <c r="Q35" s="3120"/>
      <c r="R35" s="2109" t="s">
        <v>669</v>
      </c>
      <c r="S35" s="3120"/>
      <c r="T35" s="2109" t="s">
        <v>669</v>
      </c>
      <c r="U35" s="3109"/>
      <c r="V35" s="2109" t="s">
        <v>669</v>
      </c>
      <c r="W35" s="3120">
        <f>165000*3</f>
        <v>495000</v>
      </c>
      <c r="X35" s="2038" t="s">
        <v>654</v>
      </c>
      <c r="Y35" s="3120"/>
    </row>
    <row r="36" spans="1:25" x14ac:dyDescent="0.35">
      <c r="A36" s="3125"/>
      <c r="B36" s="3140" t="s">
        <v>3657</v>
      </c>
      <c r="C36" s="3036"/>
      <c r="D36" s="3049"/>
      <c r="E36" s="3032"/>
      <c r="F36" s="3050"/>
      <c r="G36" s="2233"/>
      <c r="H36" s="2109" t="s">
        <v>669</v>
      </c>
      <c r="I36" s="3120"/>
      <c r="J36" s="2109" t="s">
        <v>669</v>
      </c>
      <c r="K36" s="3120"/>
      <c r="L36" s="2505" t="s">
        <v>669</v>
      </c>
      <c r="M36" s="3120"/>
      <c r="N36" s="2109" t="s">
        <v>669</v>
      </c>
      <c r="O36" s="3120"/>
      <c r="P36" s="2109" t="s">
        <v>669</v>
      </c>
      <c r="Q36" s="3120"/>
      <c r="R36" s="2109" t="s">
        <v>669</v>
      </c>
      <c r="S36" s="3120"/>
      <c r="T36" s="2109" t="s">
        <v>669</v>
      </c>
      <c r="U36" s="3109"/>
      <c r="V36" s="2109" t="s">
        <v>669</v>
      </c>
      <c r="W36" s="3120">
        <f>210000+205000</f>
        <v>415000</v>
      </c>
      <c r="X36" s="2038" t="s">
        <v>654</v>
      </c>
      <c r="Y36" s="3120"/>
    </row>
    <row r="37" spans="1:25" x14ac:dyDescent="0.35">
      <c r="A37" s="3125"/>
      <c r="B37" s="3140" t="s">
        <v>3658</v>
      </c>
      <c r="C37" s="3036"/>
      <c r="D37" s="3049"/>
      <c r="E37" s="3032"/>
      <c r="F37" s="3050"/>
      <c r="G37" s="2233"/>
      <c r="H37" s="2109" t="s">
        <v>669</v>
      </c>
      <c r="I37" s="3120"/>
      <c r="J37" s="2109" t="s">
        <v>669</v>
      </c>
      <c r="K37" s="3120"/>
      <c r="L37" s="2505" t="s">
        <v>669</v>
      </c>
      <c r="M37" s="3120"/>
      <c r="N37" s="2109" t="s">
        <v>669</v>
      </c>
      <c r="O37" s="3120"/>
      <c r="P37" s="2109" t="s">
        <v>669</v>
      </c>
      <c r="Q37" s="3120"/>
      <c r="R37" s="2109" t="s">
        <v>669</v>
      </c>
      <c r="S37" s="3120"/>
      <c r="T37" s="2109" t="s">
        <v>669</v>
      </c>
      <c r="U37" s="3109"/>
      <c r="V37" s="2109" t="s">
        <v>669</v>
      </c>
      <c r="W37" s="3120">
        <v>210000</v>
      </c>
      <c r="X37" s="2038" t="s">
        <v>654</v>
      </c>
      <c r="Y37" s="3120"/>
    </row>
    <row r="38" spans="1:25" x14ac:dyDescent="0.35">
      <c r="A38" s="3125"/>
      <c r="B38" s="3140" t="s">
        <v>80</v>
      </c>
      <c r="C38" s="3036"/>
      <c r="D38" s="3032"/>
      <c r="E38" s="3032"/>
      <c r="F38" s="3032"/>
      <c r="G38" s="2198"/>
      <c r="H38" s="2109" t="s">
        <v>669</v>
      </c>
      <c r="I38" s="3120"/>
      <c r="J38" s="2109" t="s">
        <v>669</v>
      </c>
      <c r="K38" s="3120"/>
      <c r="L38" s="2505" t="s">
        <v>669</v>
      </c>
      <c r="M38" s="3120"/>
      <c r="N38" s="2109" t="s">
        <v>669</v>
      </c>
      <c r="O38" s="3120"/>
      <c r="P38" s="2109" t="s">
        <v>669</v>
      </c>
      <c r="Q38" s="3120"/>
      <c r="R38" s="2109" t="s">
        <v>669</v>
      </c>
      <c r="S38" s="3120"/>
      <c r="T38" s="2109" t="s">
        <v>669</v>
      </c>
      <c r="U38" s="3109"/>
      <c r="V38" s="2109" t="s">
        <v>669</v>
      </c>
      <c r="W38" s="3120">
        <v>65000</v>
      </c>
      <c r="X38" s="2109"/>
      <c r="Y38" s="3120"/>
    </row>
    <row r="39" spans="1:25" x14ac:dyDescent="0.35">
      <c r="A39" s="3125"/>
      <c r="B39" s="3140" t="s">
        <v>3659</v>
      </c>
      <c r="C39" s="3036"/>
      <c r="D39" s="3032"/>
      <c r="E39" s="3032"/>
      <c r="F39" s="3032"/>
      <c r="G39" s="2198"/>
      <c r="H39" s="2109" t="s">
        <v>671</v>
      </c>
      <c r="I39" s="3120"/>
      <c r="J39" s="2038" t="s">
        <v>671</v>
      </c>
      <c r="K39" s="3120"/>
      <c r="L39" s="3121" t="s">
        <v>671</v>
      </c>
      <c r="M39" s="3120"/>
      <c r="N39" s="2109" t="s">
        <v>671</v>
      </c>
      <c r="O39" s="3120"/>
      <c r="P39" s="2109" t="s">
        <v>671</v>
      </c>
      <c r="Q39" s="3120"/>
      <c r="R39" s="2109" t="s">
        <v>671</v>
      </c>
      <c r="S39" s="3120"/>
      <c r="T39" s="2109" t="s">
        <v>669</v>
      </c>
      <c r="U39" s="3120"/>
      <c r="V39" s="2109" t="s">
        <v>669</v>
      </c>
      <c r="W39" s="3120">
        <v>150000</v>
      </c>
      <c r="X39" s="2109"/>
      <c r="Y39" s="3120"/>
    </row>
    <row r="40" spans="1:25" x14ac:dyDescent="0.35">
      <c r="A40" s="3125"/>
      <c r="B40" s="3140" t="s">
        <v>1125</v>
      </c>
      <c r="C40" s="3036"/>
      <c r="D40" s="3032"/>
      <c r="E40" s="3032"/>
      <c r="F40" s="3032"/>
      <c r="G40" s="2198"/>
      <c r="H40" s="2109" t="s">
        <v>669</v>
      </c>
      <c r="I40" s="3120"/>
      <c r="J40" s="2109" t="s">
        <v>669</v>
      </c>
      <c r="K40" s="3120">
        <f>38087+18741</f>
        <v>56828</v>
      </c>
      <c r="L40" s="2505" t="s">
        <v>669</v>
      </c>
      <c r="M40" s="3120">
        <f>16454+38808</f>
        <v>55262</v>
      </c>
      <c r="N40" s="2109" t="s">
        <v>669</v>
      </c>
      <c r="O40" s="3120"/>
      <c r="P40" s="2109" t="s">
        <v>669</v>
      </c>
      <c r="Q40" s="3120"/>
      <c r="R40" s="2109" t="s">
        <v>669</v>
      </c>
      <c r="S40" s="3120"/>
      <c r="T40" s="2109" t="s">
        <v>669</v>
      </c>
      <c r="U40" s="3120"/>
      <c r="V40" s="2109" t="s">
        <v>669</v>
      </c>
      <c r="W40" s="3120"/>
      <c r="X40" s="2109"/>
      <c r="Y40" s="3120"/>
    </row>
    <row r="41" spans="1:25" x14ac:dyDescent="0.35">
      <c r="A41" s="3125"/>
      <c r="B41" s="3140" t="s">
        <v>3660</v>
      </c>
      <c r="C41" s="3036"/>
      <c r="D41" s="3049"/>
      <c r="E41" s="3032"/>
      <c r="F41" s="3050"/>
      <c r="G41" s="2233"/>
      <c r="H41" s="2109" t="s">
        <v>669</v>
      </c>
      <c r="I41" s="3108"/>
      <c r="J41" s="2109" t="s">
        <v>669</v>
      </c>
      <c r="K41" s="3108"/>
      <c r="L41" s="2505" t="s">
        <v>669</v>
      </c>
      <c r="M41" s="3108"/>
      <c r="N41" s="2109" t="s">
        <v>669</v>
      </c>
      <c r="O41" s="3120"/>
      <c r="P41" s="2109" t="s">
        <v>669</v>
      </c>
      <c r="Q41" s="3120"/>
      <c r="R41" s="2109" t="s">
        <v>669</v>
      </c>
      <c r="S41" s="3120">
        <v>87293</v>
      </c>
      <c r="T41" s="2109" t="s">
        <v>669</v>
      </c>
      <c r="U41" s="3120"/>
      <c r="V41" s="2109"/>
      <c r="W41" s="3120"/>
      <c r="X41" s="2109"/>
      <c r="Y41" s="3120"/>
    </row>
    <row r="42" spans="1:25" x14ac:dyDescent="0.35">
      <c r="A42" s="3125"/>
      <c r="B42" s="3140" t="s">
        <v>3661</v>
      </c>
      <c r="C42" s="3036"/>
      <c r="D42" s="3049"/>
      <c r="E42" s="3032"/>
      <c r="F42" s="3050"/>
      <c r="G42" s="2233"/>
      <c r="H42" s="2109" t="s">
        <v>669</v>
      </c>
      <c r="I42" s="3108"/>
      <c r="J42" s="2109" t="s">
        <v>669</v>
      </c>
      <c r="K42" s="3108"/>
      <c r="L42" s="2505" t="s">
        <v>669</v>
      </c>
      <c r="M42" s="3108"/>
      <c r="N42" s="2109" t="s">
        <v>669</v>
      </c>
      <c r="O42" s="3120"/>
      <c r="P42" s="2109" t="s">
        <v>669</v>
      </c>
      <c r="Q42" s="3120"/>
      <c r="R42" s="2109" t="s">
        <v>669</v>
      </c>
      <c r="S42" s="3120">
        <v>21939</v>
      </c>
      <c r="T42" s="2038" t="s">
        <v>3509</v>
      </c>
      <c r="U42" s="3120">
        <v>21939</v>
      </c>
      <c r="V42" s="2109"/>
      <c r="W42" s="3120"/>
      <c r="X42" s="2109"/>
      <c r="Y42" s="3120"/>
    </row>
    <row r="43" spans="1:25" x14ac:dyDescent="0.35">
      <c r="A43" s="3125"/>
      <c r="B43" s="3140" t="s">
        <v>3662</v>
      </c>
      <c r="C43" s="3036"/>
      <c r="D43" s="3049"/>
      <c r="E43" s="3032"/>
      <c r="F43" s="3050"/>
      <c r="G43" s="2233"/>
      <c r="H43" s="2038" t="s">
        <v>654</v>
      </c>
      <c r="I43" s="3120">
        <f>S43</f>
        <v>0</v>
      </c>
      <c r="J43" s="2038" t="s">
        <v>669</v>
      </c>
      <c r="K43" s="3120">
        <v>44661</v>
      </c>
      <c r="L43" s="3121" t="s">
        <v>669</v>
      </c>
      <c r="M43" s="3120">
        <v>54943</v>
      </c>
      <c r="N43" s="2109" t="s">
        <v>669</v>
      </c>
      <c r="O43" s="3120">
        <v>35993</v>
      </c>
      <c r="P43" s="2109" t="s">
        <v>669</v>
      </c>
      <c r="Q43" s="3120">
        <v>35993</v>
      </c>
      <c r="R43" s="2109" t="s">
        <v>669</v>
      </c>
      <c r="S43" s="3120"/>
      <c r="T43" s="2038" t="s">
        <v>3509</v>
      </c>
      <c r="U43" s="3120">
        <v>35993</v>
      </c>
      <c r="V43" s="2038"/>
      <c r="W43" s="3120"/>
      <c r="X43" s="2109"/>
      <c r="Y43" s="3120"/>
    </row>
    <row r="44" spans="1:25" x14ac:dyDescent="0.35">
      <c r="A44" s="3125"/>
      <c r="B44" s="3140" t="s">
        <v>3663</v>
      </c>
      <c r="C44" s="3036"/>
      <c r="D44" s="3049"/>
      <c r="E44" s="3032"/>
      <c r="F44" s="3050"/>
      <c r="G44" s="2233"/>
      <c r="H44" s="2038" t="s">
        <v>654</v>
      </c>
      <c r="I44" s="3120"/>
      <c r="J44" s="2038" t="s">
        <v>669</v>
      </c>
      <c r="K44" s="3120">
        <v>327999</v>
      </c>
      <c r="L44" s="3121" t="s">
        <v>669</v>
      </c>
      <c r="M44" s="3120">
        <v>327999</v>
      </c>
      <c r="N44" s="2109" t="s">
        <v>669</v>
      </c>
      <c r="O44" s="3120">
        <v>206064</v>
      </c>
      <c r="P44" s="2109" t="s">
        <v>669</v>
      </c>
      <c r="Q44" s="3120">
        <v>206064</v>
      </c>
      <c r="R44" s="2109" t="s">
        <v>669</v>
      </c>
      <c r="S44" s="3120">
        <v>343200</v>
      </c>
      <c r="T44" s="2038" t="s">
        <v>654</v>
      </c>
      <c r="U44" s="3120">
        <v>206064</v>
      </c>
      <c r="V44" s="2038"/>
      <c r="W44" s="3120"/>
      <c r="X44" s="2109"/>
      <c r="Y44" s="3120"/>
    </row>
    <row r="45" spans="1:25" x14ac:dyDescent="0.35">
      <c r="A45" s="3125"/>
      <c r="B45" s="3140" t="s">
        <v>3664</v>
      </c>
      <c r="C45" s="3036"/>
      <c r="D45" s="3049"/>
      <c r="E45" s="3032"/>
      <c r="F45" s="3050"/>
      <c r="G45" s="2233"/>
      <c r="H45" s="2038"/>
      <c r="I45" s="3120"/>
      <c r="J45" s="2038" t="s">
        <v>669</v>
      </c>
      <c r="K45" s="3120"/>
      <c r="L45" s="3121" t="s">
        <v>669</v>
      </c>
      <c r="M45" s="3120"/>
      <c r="N45" s="2038" t="s">
        <v>654</v>
      </c>
      <c r="O45" s="3120"/>
      <c r="P45" s="2038" t="s">
        <v>654</v>
      </c>
      <c r="Q45" s="3120">
        <v>8000</v>
      </c>
      <c r="R45" s="2109" t="s">
        <v>669</v>
      </c>
      <c r="S45" s="3120">
        <v>18294</v>
      </c>
      <c r="T45" s="2038"/>
      <c r="U45" s="3120"/>
      <c r="V45" s="2038"/>
      <c r="W45" s="3120"/>
      <c r="X45" s="2109"/>
      <c r="Y45" s="3120"/>
    </row>
    <row r="46" spans="1:25" x14ac:dyDescent="0.35">
      <c r="A46" s="3125"/>
      <c r="B46" s="3140" t="s">
        <v>3665</v>
      </c>
      <c r="C46" s="3036"/>
      <c r="D46" s="3049"/>
      <c r="E46" s="3032"/>
      <c r="F46" s="3050"/>
      <c r="G46" s="2233"/>
      <c r="H46" s="2038"/>
      <c r="I46" s="3120"/>
      <c r="J46" s="2038" t="s">
        <v>669</v>
      </c>
      <c r="K46" s="3120"/>
      <c r="L46" s="3121" t="s">
        <v>669</v>
      </c>
      <c r="M46" s="3120"/>
      <c r="N46" s="2109" t="s">
        <v>669</v>
      </c>
      <c r="O46" s="3120">
        <v>17997</v>
      </c>
      <c r="P46" s="2109" t="s">
        <v>669</v>
      </c>
      <c r="Q46" s="3120">
        <v>17997</v>
      </c>
      <c r="R46" s="2038" t="s">
        <v>654</v>
      </c>
      <c r="S46" s="3120">
        <f>O46</f>
        <v>17997</v>
      </c>
      <c r="T46" s="2109" t="s">
        <v>3509</v>
      </c>
      <c r="U46" s="3120">
        <v>17997</v>
      </c>
      <c r="V46" s="2038"/>
      <c r="W46" s="3120"/>
      <c r="X46" s="2109"/>
      <c r="Y46" s="3120"/>
    </row>
    <row r="47" spans="1:25" ht="25" x14ac:dyDescent="0.35">
      <c r="A47" s="3125"/>
      <c r="B47" s="3141" t="s">
        <v>3666</v>
      </c>
      <c r="C47" s="3052"/>
      <c r="D47" s="3032" t="s">
        <v>3576</v>
      </c>
      <c r="E47" s="3032"/>
      <c r="F47" s="3032"/>
      <c r="G47" s="2198"/>
      <c r="H47" s="2038" t="s">
        <v>654</v>
      </c>
      <c r="I47" s="3120">
        <v>280000</v>
      </c>
      <c r="J47" s="2038" t="s">
        <v>669</v>
      </c>
      <c r="K47" s="3120">
        <v>172881</v>
      </c>
      <c r="L47" s="3121" t="s">
        <v>669</v>
      </c>
      <c r="M47" s="3120">
        <f>62941+97700+12240</f>
        <v>172881</v>
      </c>
      <c r="N47" s="2038" t="s">
        <v>669</v>
      </c>
      <c r="O47" s="3120">
        <v>280320</v>
      </c>
      <c r="P47" s="2038" t="s">
        <v>669</v>
      </c>
      <c r="Q47" s="3120">
        <v>280320</v>
      </c>
      <c r="R47" s="2038" t="s">
        <v>669</v>
      </c>
      <c r="S47" s="3120">
        <v>280000</v>
      </c>
      <c r="T47" s="2038" t="s">
        <v>654</v>
      </c>
      <c r="U47" s="3120">
        <v>280000</v>
      </c>
      <c r="V47" s="2109"/>
      <c r="W47" s="3120"/>
      <c r="X47" s="2038"/>
      <c r="Y47" s="3120"/>
    </row>
    <row r="48" spans="1:25" x14ac:dyDescent="0.35">
      <c r="A48" s="3125"/>
      <c r="B48" s="3140" t="s">
        <v>3667</v>
      </c>
      <c r="C48" s="3036"/>
      <c r="D48" s="3049"/>
      <c r="E48" s="3032"/>
      <c r="F48" s="3050"/>
      <c r="G48" s="2233"/>
      <c r="H48" s="2109" t="s">
        <v>669</v>
      </c>
      <c r="I48" s="3108"/>
      <c r="J48" s="2109" t="s">
        <v>669</v>
      </c>
      <c r="K48" s="3120">
        <f>11232+(11842*2)+(20072*3)+9787</f>
        <v>104919</v>
      </c>
      <c r="L48" s="2505" t="s">
        <v>669</v>
      </c>
      <c r="M48" s="3120">
        <f>11232+(11842*2)+(20072*3)</f>
        <v>95132</v>
      </c>
      <c r="N48" s="2109" t="s">
        <v>669</v>
      </c>
      <c r="O48" s="3120">
        <v>154993</v>
      </c>
      <c r="P48" s="2109" t="s">
        <v>669</v>
      </c>
      <c r="Q48" s="3120">
        <v>154993</v>
      </c>
      <c r="R48" s="2109" t="s">
        <v>669</v>
      </c>
      <c r="S48" s="3120">
        <v>118998</v>
      </c>
      <c r="T48" s="2109" t="s">
        <v>669</v>
      </c>
      <c r="U48" s="3120"/>
      <c r="V48" s="2109"/>
      <c r="W48" s="3120"/>
      <c r="X48" s="2109"/>
      <c r="Y48" s="3120"/>
    </row>
    <row r="49" spans="1:25" x14ac:dyDescent="0.35">
      <c r="A49" s="3125"/>
      <c r="B49" s="3140" t="s">
        <v>3668</v>
      </c>
      <c r="C49" s="3036"/>
      <c r="D49" s="3049"/>
      <c r="E49" s="3032"/>
      <c r="F49" s="3050"/>
      <c r="G49" s="2233"/>
      <c r="H49" s="2109" t="s">
        <v>671</v>
      </c>
      <c r="I49" s="3108"/>
      <c r="J49" s="2109" t="s">
        <v>671</v>
      </c>
      <c r="K49" s="3108"/>
      <c r="L49" s="2505" t="s">
        <v>671</v>
      </c>
      <c r="M49" s="3108"/>
      <c r="N49" s="2109" t="s">
        <v>671</v>
      </c>
      <c r="O49" s="3120">
        <v>9694</v>
      </c>
      <c r="P49" s="2109" t="s">
        <v>671</v>
      </c>
      <c r="Q49" s="3120">
        <v>9694</v>
      </c>
      <c r="R49" s="2109" t="s">
        <v>671</v>
      </c>
      <c r="S49" s="3120"/>
      <c r="T49" s="2109" t="s">
        <v>669</v>
      </c>
      <c r="U49" s="3120"/>
      <c r="V49" s="2109"/>
      <c r="W49" s="3120"/>
      <c r="X49" s="2109"/>
      <c r="Y49" s="3120"/>
    </row>
    <row r="50" spans="1:25" x14ac:dyDescent="0.35">
      <c r="A50" s="3125"/>
      <c r="B50" s="3140" t="s">
        <v>3669</v>
      </c>
      <c r="C50" s="3036"/>
      <c r="D50" s="3049"/>
      <c r="E50" s="3032"/>
      <c r="F50" s="3050"/>
      <c r="G50" s="2233"/>
      <c r="H50" s="2109" t="s">
        <v>669</v>
      </c>
      <c r="I50" s="3108"/>
      <c r="J50" s="2109" t="s">
        <v>669</v>
      </c>
      <c r="K50" s="3120">
        <v>11552</v>
      </c>
      <c r="L50" s="2505" t="s">
        <v>669</v>
      </c>
      <c r="M50" s="3120">
        <v>13180</v>
      </c>
      <c r="N50" s="2109" t="s">
        <v>669</v>
      </c>
      <c r="O50" s="3120">
        <v>35189</v>
      </c>
      <c r="P50" s="2109" t="s">
        <v>669</v>
      </c>
      <c r="Q50" s="3120">
        <v>35189</v>
      </c>
      <c r="R50" s="2109" t="s">
        <v>669</v>
      </c>
      <c r="S50" s="3120"/>
      <c r="T50" s="2038" t="s">
        <v>3509</v>
      </c>
      <c r="U50" s="3120">
        <v>35189</v>
      </c>
      <c r="V50" s="2109"/>
      <c r="W50" s="3120"/>
      <c r="X50" s="2109" t="s">
        <v>669</v>
      </c>
      <c r="Y50" s="3120"/>
    </row>
    <row r="51" spans="1:25" x14ac:dyDescent="0.35">
      <c r="A51" s="3125"/>
      <c r="B51" s="3140" t="s">
        <v>3670</v>
      </c>
      <c r="C51" s="3036"/>
      <c r="D51" s="3032"/>
      <c r="E51" s="3032"/>
      <c r="F51" s="3032"/>
      <c r="G51" s="2198"/>
      <c r="H51" s="2109"/>
      <c r="I51" s="3108"/>
      <c r="J51" s="2109" t="s">
        <v>669</v>
      </c>
      <c r="K51" s="3108"/>
      <c r="L51" s="2505" t="s">
        <v>669</v>
      </c>
      <c r="M51" s="3108"/>
      <c r="N51" s="2109" t="s">
        <v>669</v>
      </c>
      <c r="O51" s="3120">
        <v>1908</v>
      </c>
      <c r="P51" s="2109" t="s">
        <v>669</v>
      </c>
      <c r="Q51" s="3120">
        <v>1908</v>
      </c>
      <c r="R51" s="2109"/>
      <c r="S51" s="3120"/>
      <c r="T51" s="2038" t="s">
        <v>3509</v>
      </c>
      <c r="U51" s="3120">
        <v>1908</v>
      </c>
      <c r="V51" s="2109"/>
      <c r="W51" s="3120"/>
      <c r="X51" s="2109"/>
      <c r="Y51" s="3120"/>
    </row>
    <row r="52" spans="1:25" x14ac:dyDescent="0.35">
      <c r="A52" s="3125"/>
      <c r="B52" s="3140" t="s">
        <v>3671</v>
      </c>
      <c r="C52" s="3036"/>
      <c r="D52" s="3049"/>
      <c r="E52" s="3032"/>
      <c r="F52" s="3050"/>
      <c r="G52" s="2233"/>
      <c r="H52" s="2109" t="s">
        <v>669</v>
      </c>
      <c r="I52" s="3120"/>
      <c r="J52" s="2109" t="s">
        <v>669</v>
      </c>
      <c r="K52" s="3120"/>
      <c r="L52" s="2505" t="s">
        <v>669</v>
      </c>
      <c r="M52" s="3120"/>
      <c r="N52" s="2109" t="s">
        <v>669</v>
      </c>
      <c r="O52" s="3120"/>
      <c r="P52" s="2109" t="s">
        <v>669</v>
      </c>
      <c r="Q52" s="3120"/>
      <c r="R52" s="2109" t="s">
        <v>669</v>
      </c>
      <c r="S52" s="3120"/>
      <c r="T52" s="2109" t="s">
        <v>669</v>
      </c>
      <c r="U52" s="3120"/>
      <c r="V52" s="2109"/>
      <c r="W52" s="3120"/>
      <c r="X52" s="2109" t="s">
        <v>669</v>
      </c>
      <c r="Y52" s="3120">
        <v>174260</v>
      </c>
    </row>
    <row r="53" spans="1:25" x14ac:dyDescent="0.35">
      <c r="A53" s="3125"/>
      <c r="B53" s="3140" t="s">
        <v>3672</v>
      </c>
      <c r="C53" s="3140" t="s">
        <v>3541</v>
      </c>
      <c r="D53" s="3142" t="s">
        <v>3576</v>
      </c>
      <c r="E53" s="3032"/>
      <c r="F53" s="3032"/>
      <c r="G53" s="2198"/>
      <c r="H53" s="2109" t="s">
        <v>671</v>
      </c>
      <c r="I53" s="3120"/>
      <c r="J53" s="2109" t="s">
        <v>671</v>
      </c>
      <c r="K53" s="3120"/>
      <c r="L53" s="2505" t="s">
        <v>671</v>
      </c>
      <c r="M53" s="3120"/>
      <c r="N53" s="2109" t="s">
        <v>671</v>
      </c>
      <c r="O53" s="3120"/>
      <c r="P53" s="2109" t="s">
        <v>671</v>
      </c>
      <c r="Q53" s="3120"/>
      <c r="R53" s="2038" t="s">
        <v>671</v>
      </c>
      <c r="S53" s="3120"/>
      <c r="T53" s="2109"/>
      <c r="U53" s="3120"/>
      <c r="V53" s="2109"/>
      <c r="W53" s="3120"/>
      <c r="X53" s="2109"/>
      <c r="Y53" s="3120"/>
    </row>
    <row r="54" spans="1:25" x14ac:dyDescent="0.35">
      <c r="A54" s="3125"/>
      <c r="B54" s="3143" t="s">
        <v>3673</v>
      </c>
      <c r="C54" s="3143"/>
      <c r="D54" s="3032"/>
      <c r="E54" s="3032"/>
      <c r="F54" s="3032"/>
      <c r="G54" s="2198"/>
      <c r="H54" s="2109" t="s">
        <v>669</v>
      </c>
      <c r="I54" s="3120"/>
      <c r="J54" s="2109" t="s">
        <v>669</v>
      </c>
      <c r="K54" s="3120"/>
      <c r="L54" s="2505" t="s">
        <v>669</v>
      </c>
      <c r="M54" s="3120"/>
      <c r="N54" s="2109" t="s">
        <v>669</v>
      </c>
      <c r="O54" s="3120">
        <f>10500+22717</f>
        <v>33217</v>
      </c>
      <c r="P54" s="2109" t="s">
        <v>669</v>
      </c>
      <c r="Q54" s="3120">
        <f>10500+22717</f>
        <v>33217</v>
      </c>
      <c r="R54" s="2038" t="s">
        <v>669</v>
      </c>
      <c r="S54" s="3120"/>
      <c r="T54" s="2109"/>
      <c r="U54" s="3120"/>
      <c r="V54" s="2109"/>
      <c r="W54" s="3120"/>
      <c r="X54" s="2109"/>
      <c r="Y54" s="3120"/>
    </row>
    <row r="55" spans="1:25" x14ac:dyDescent="0.35">
      <c r="A55" s="3125"/>
      <c r="B55" s="3143" t="s">
        <v>3674</v>
      </c>
      <c r="C55" s="3143"/>
      <c r="D55" s="3032"/>
      <c r="E55" s="3032"/>
      <c r="F55" s="3032"/>
      <c r="G55" s="2198"/>
      <c r="H55" s="2109"/>
      <c r="I55" s="3120"/>
      <c r="J55" s="2109"/>
      <c r="K55" s="3120"/>
      <c r="L55" s="2505" t="s">
        <v>669</v>
      </c>
      <c r="M55" s="3120">
        <v>10211</v>
      </c>
      <c r="N55" s="2109"/>
      <c r="O55" s="3120"/>
      <c r="P55" s="2109"/>
      <c r="Q55" s="3120"/>
      <c r="R55" s="2038"/>
      <c r="S55" s="3120"/>
      <c r="T55" s="2109"/>
      <c r="U55" s="3120"/>
      <c r="V55" s="2109"/>
      <c r="W55" s="3120"/>
      <c r="X55" s="2109"/>
      <c r="Y55" s="3120"/>
    </row>
    <row r="56" spans="1:25" x14ac:dyDescent="0.35">
      <c r="A56" s="3125"/>
      <c r="B56" s="3053" t="s">
        <v>3574</v>
      </c>
      <c r="C56" s="3052"/>
      <c r="D56" s="3032"/>
      <c r="E56" s="3032"/>
      <c r="F56" s="3032"/>
      <c r="G56" s="2198"/>
      <c r="H56" s="2109" t="s">
        <v>669</v>
      </c>
      <c r="I56" s="3120"/>
      <c r="J56" s="2109" t="s">
        <v>669</v>
      </c>
      <c r="K56" s="3120">
        <f>25130+(28040*2)+(18670*3)</f>
        <v>137220</v>
      </c>
      <c r="L56" s="2505" t="s">
        <v>669</v>
      </c>
      <c r="M56" s="3120">
        <f>15571+(17392*2)+(11531*3)</f>
        <v>84948</v>
      </c>
      <c r="N56" s="2109" t="s">
        <v>669</v>
      </c>
      <c r="O56" s="3120"/>
      <c r="P56" s="2109" t="s">
        <v>669</v>
      </c>
      <c r="Q56" s="3120"/>
      <c r="R56" s="2109" t="s">
        <v>669</v>
      </c>
      <c r="S56" s="3120"/>
      <c r="T56" s="2109"/>
      <c r="U56" s="3120"/>
      <c r="V56" s="2109"/>
      <c r="W56" s="3120"/>
      <c r="X56" s="2109"/>
      <c r="Y56" s="3120"/>
    </row>
    <row r="57" spans="1:25" x14ac:dyDescent="0.35">
      <c r="A57" s="3125"/>
      <c r="B57" s="3144" t="s">
        <v>3575</v>
      </c>
      <c r="C57" s="3145"/>
      <c r="D57" s="3032" t="s">
        <v>3576</v>
      </c>
      <c r="E57" s="3032"/>
      <c r="F57" s="3032"/>
      <c r="G57" s="2198"/>
      <c r="H57" s="2109" t="s">
        <v>669</v>
      </c>
      <c r="I57" s="3120"/>
      <c r="J57" s="2109" t="s">
        <v>669</v>
      </c>
      <c r="K57" s="3120"/>
      <c r="L57" s="2505" t="s">
        <v>669</v>
      </c>
      <c r="M57" s="3120"/>
      <c r="N57" s="2038" t="s">
        <v>669</v>
      </c>
      <c r="O57" s="3120">
        <v>220000</v>
      </c>
      <c r="P57" s="2038" t="s">
        <v>669</v>
      </c>
      <c r="Q57" s="3120">
        <v>220000</v>
      </c>
      <c r="R57" s="2038" t="s">
        <v>669</v>
      </c>
      <c r="S57" s="3120"/>
      <c r="T57" s="2109"/>
      <c r="U57" s="3120"/>
      <c r="V57" s="2109"/>
      <c r="W57" s="3120"/>
      <c r="X57" s="2109"/>
      <c r="Y57" s="3120"/>
    </row>
    <row r="58" spans="1:25" x14ac:dyDescent="0.35">
      <c r="A58" s="3125"/>
      <c r="B58" s="3144" t="s">
        <v>3577</v>
      </c>
      <c r="C58" s="3052"/>
      <c r="D58" s="3032" t="s">
        <v>3576</v>
      </c>
      <c r="E58" s="3032"/>
      <c r="F58" s="3032"/>
      <c r="G58" s="2198"/>
      <c r="H58" s="2109" t="s">
        <v>669</v>
      </c>
      <c r="I58" s="3120"/>
      <c r="J58" s="2109" t="s">
        <v>669</v>
      </c>
      <c r="K58" s="3120"/>
      <c r="L58" s="2505" t="s">
        <v>669</v>
      </c>
      <c r="M58" s="3120"/>
      <c r="N58" s="2038" t="s">
        <v>669</v>
      </c>
      <c r="O58" s="3120"/>
      <c r="P58" s="2038" t="s">
        <v>669</v>
      </c>
      <c r="Q58" s="3120"/>
      <c r="R58" s="2038" t="s">
        <v>669</v>
      </c>
      <c r="S58" s="3120"/>
      <c r="T58" s="2109"/>
      <c r="U58" s="3120"/>
      <c r="V58" s="2109"/>
      <c r="W58" s="3120"/>
      <c r="X58" s="2109"/>
      <c r="Y58" s="3120"/>
    </row>
    <row r="59" spans="1:25" x14ac:dyDescent="0.35">
      <c r="A59" s="3125"/>
      <c r="B59" s="3144" t="s">
        <v>3578</v>
      </c>
      <c r="C59" s="3052"/>
      <c r="D59" s="3032" t="s">
        <v>3576</v>
      </c>
      <c r="E59" s="3032"/>
      <c r="F59" s="3032"/>
      <c r="G59" s="2198"/>
      <c r="H59" s="2109" t="s">
        <v>669</v>
      </c>
      <c r="I59" s="3120"/>
      <c r="J59" s="2109" t="s">
        <v>669</v>
      </c>
      <c r="K59" s="3120"/>
      <c r="L59" s="2505" t="s">
        <v>669</v>
      </c>
      <c r="M59" s="3120"/>
      <c r="N59" s="2038" t="s">
        <v>669</v>
      </c>
      <c r="O59" s="3120"/>
      <c r="P59" s="2038" t="s">
        <v>669</v>
      </c>
      <c r="Q59" s="3120"/>
      <c r="R59" s="2038" t="s">
        <v>669</v>
      </c>
      <c r="S59" s="3120"/>
      <c r="T59" s="2109"/>
      <c r="U59" s="3120"/>
      <c r="V59" s="2109"/>
      <c r="W59" s="3120"/>
      <c r="X59" s="2109"/>
      <c r="Y59" s="3120"/>
    </row>
    <row r="60" spans="1:25" x14ac:dyDescent="0.35">
      <c r="A60" s="3125"/>
      <c r="B60" s="3053" t="s">
        <v>3579</v>
      </c>
      <c r="C60" s="3052"/>
      <c r="D60" s="3032"/>
      <c r="E60" s="3032"/>
      <c r="F60" s="3032"/>
      <c r="G60" s="2198"/>
      <c r="H60" s="2109" t="s">
        <v>669</v>
      </c>
      <c r="I60" s="3120"/>
      <c r="J60" s="2109" t="s">
        <v>669</v>
      </c>
      <c r="K60" s="3120"/>
      <c r="L60" s="2505" t="s">
        <v>669</v>
      </c>
      <c r="M60" s="3120"/>
      <c r="N60" s="2038" t="s">
        <v>669</v>
      </c>
      <c r="O60" s="3120"/>
      <c r="P60" s="2038" t="s">
        <v>669</v>
      </c>
      <c r="Q60" s="3120"/>
      <c r="R60" s="2109" t="s">
        <v>669</v>
      </c>
      <c r="S60" s="3120"/>
      <c r="T60" s="2109"/>
      <c r="U60" s="3120"/>
      <c r="V60" s="2109"/>
      <c r="W60" s="3120"/>
      <c r="X60" s="2109"/>
      <c r="Y60" s="3120"/>
    </row>
    <row r="61" spans="1:25" x14ac:dyDescent="0.35">
      <c r="A61" s="3125"/>
      <c r="B61" s="3144" t="s">
        <v>3675</v>
      </c>
      <c r="C61" s="3052"/>
      <c r="D61" s="3032" t="s">
        <v>3576</v>
      </c>
      <c r="E61" s="3032"/>
      <c r="F61" s="3032"/>
      <c r="G61" s="2198"/>
      <c r="H61" s="2109" t="s">
        <v>669</v>
      </c>
      <c r="I61" s="3120"/>
      <c r="J61" s="2109" t="s">
        <v>669</v>
      </c>
      <c r="K61" s="3120"/>
      <c r="L61" s="2505" t="s">
        <v>669</v>
      </c>
      <c r="M61" s="3120"/>
      <c r="N61" s="2038" t="s">
        <v>669</v>
      </c>
      <c r="O61" s="3120"/>
      <c r="P61" s="2038" t="s">
        <v>669</v>
      </c>
      <c r="Q61" s="3120"/>
      <c r="R61" s="2109" t="s">
        <v>669</v>
      </c>
      <c r="S61" s="3120"/>
      <c r="T61" s="2109"/>
      <c r="U61" s="3120"/>
      <c r="V61" s="2109"/>
      <c r="W61" s="3120"/>
      <c r="X61" s="2109"/>
      <c r="Y61" s="3120"/>
    </row>
    <row r="62" spans="1:25" ht="26.25" customHeight="1" x14ac:dyDescent="0.35">
      <c r="A62" s="3125"/>
      <c r="B62" s="3144" t="s">
        <v>3583</v>
      </c>
      <c r="C62" s="3145"/>
      <c r="D62" s="3032" t="s">
        <v>3576</v>
      </c>
      <c r="E62" s="3032"/>
      <c r="F62" s="3032"/>
      <c r="G62" s="2198"/>
      <c r="H62" s="2109" t="s">
        <v>669</v>
      </c>
      <c r="I62" s="3120"/>
      <c r="J62" s="2109" t="s">
        <v>669</v>
      </c>
      <c r="K62" s="3120">
        <v>10120</v>
      </c>
      <c r="L62" s="2505" t="s">
        <v>669</v>
      </c>
      <c r="M62" s="3120">
        <v>10720</v>
      </c>
      <c r="N62" s="2038" t="s">
        <v>669</v>
      </c>
      <c r="O62" s="3120"/>
      <c r="P62" s="2038" t="s">
        <v>669</v>
      </c>
      <c r="Q62" s="3120"/>
      <c r="R62" s="2109" t="s">
        <v>669</v>
      </c>
      <c r="S62" s="3120"/>
      <c r="T62" s="2109"/>
      <c r="U62" s="3120"/>
      <c r="V62" s="2109"/>
      <c r="W62" s="3120"/>
      <c r="X62" s="2109"/>
      <c r="Y62" s="3120"/>
    </row>
    <row r="63" spans="1:25" x14ac:dyDescent="0.35">
      <c r="A63" s="3125"/>
      <c r="B63" s="3144" t="s">
        <v>3676</v>
      </c>
      <c r="C63" s="3146"/>
      <c r="D63" s="3032"/>
      <c r="E63" s="3032"/>
      <c r="F63" s="3032"/>
      <c r="G63" s="2198"/>
      <c r="H63" s="2109"/>
      <c r="I63" s="3120"/>
      <c r="J63" s="2109"/>
      <c r="K63" s="3120"/>
      <c r="L63" s="2505" t="s">
        <v>669</v>
      </c>
      <c r="M63" s="3120">
        <v>14190</v>
      </c>
      <c r="N63" s="2038"/>
      <c r="O63" s="3120"/>
      <c r="P63" s="2038"/>
      <c r="Q63" s="3120"/>
      <c r="R63" s="2109"/>
      <c r="S63" s="3120"/>
      <c r="T63" s="2109"/>
      <c r="U63" s="3120"/>
      <c r="V63" s="2109"/>
      <c r="W63" s="3120"/>
      <c r="X63" s="2109"/>
      <c r="Y63" s="3120"/>
    </row>
    <row r="64" spans="1:25" x14ac:dyDescent="0.35">
      <c r="A64" s="3125"/>
      <c r="B64" s="3144" t="s">
        <v>3584</v>
      </c>
      <c r="C64" s="3052"/>
      <c r="D64" s="3032" t="s">
        <v>3576</v>
      </c>
      <c r="E64" s="3032"/>
      <c r="F64" s="3032"/>
      <c r="G64" s="2198"/>
      <c r="H64" s="2109" t="s">
        <v>669</v>
      </c>
      <c r="I64" s="3120"/>
      <c r="J64" s="2109" t="s">
        <v>669</v>
      </c>
      <c r="K64" s="3120"/>
      <c r="L64" s="2505" t="s">
        <v>669</v>
      </c>
      <c r="M64" s="3120"/>
      <c r="N64" s="2038" t="s">
        <v>669</v>
      </c>
      <c r="O64" s="3120"/>
      <c r="P64" s="2038" t="s">
        <v>669</v>
      </c>
      <c r="Q64" s="3120"/>
      <c r="R64" s="2109" t="s">
        <v>669</v>
      </c>
      <c r="S64" s="3120"/>
      <c r="T64" s="2109"/>
      <c r="U64" s="3120"/>
      <c r="V64" s="2109"/>
      <c r="W64" s="3120"/>
      <c r="X64" s="2109"/>
      <c r="Y64" s="3120"/>
    </row>
    <row r="65" spans="1:25" x14ac:dyDescent="0.35">
      <c r="A65" s="3125"/>
      <c r="B65" s="3144" t="s">
        <v>3586</v>
      </c>
      <c r="C65" s="3052"/>
      <c r="D65" s="3032" t="s">
        <v>3576</v>
      </c>
      <c r="E65" s="3032"/>
      <c r="F65" s="3032"/>
      <c r="G65" s="2198"/>
      <c r="H65" s="2109" t="s">
        <v>669</v>
      </c>
      <c r="I65" s="3120"/>
      <c r="J65" s="2109" t="s">
        <v>669</v>
      </c>
      <c r="K65" s="3120"/>
      <c r="L65" s="2505" t="s">
        <v>669</v>
      </c>
      <c r="M65" s="3120"/>
      <c r="N65" s="2038" t="s">
        <v>669</v>
      </c>
      <c r="O65" s="3120"/>
      <c r="P65" s="2038" t="s">
        <v>669</v>
      </c>
      <c r="Q65" s="3120"/>
      <c r="R65" s="2109" t="s">
        <v>669</v>
      </c>
      <c r="S65" s="3120"/>
      <c r="T65" s="2109"/>
      <c r="U65" s="3120"/>
      <c r="V65" s="2109"/>
      <c r="W65" s="3120"/>
      <c r="X65" s="2109"/>
      <c r="Y65" s="3120"/>
    </row>
    <row r="66" spans="1:25" x14ac:dyDescent="0.35">
      <c r="A66" s="3125"/>
      <c r="B66" s="3140" t="s">
        <v>3677</v>
      </c>
      <c r="C66" s="3036"/>
      <c r="D66" s="3049"/>
      <c r="E66" s="3032"/>
      <c r="F66" s="3050"/>
      <c r="G66" s="2233"/>
      <c r="H66" s="2109"/>
      <c r="I66" s="3108"/>
      <c r="J66" s="2109" t="s">
        <v>669</v>
      </c>
      <c r="K66" s="3108">
        <v>3920</v>
      </c>
      <c r="L66" s="2505" t="s">
        <v>669</v>
      </c>
      <c r="M66" s="3120">
        <v>6680</v>
      </c>
      <c r="N66" s="2109" t="s">
        <v>669</v>
      </c>
      <c r="O66" s="3120"/>
      <c r="P66" s="2109" t="s">
        <v>669</v>
      </c>
      <c r="Q66" s="3120"/>
      <c r="R66" s="2109" t="s">
        <v>669</v>
      </c>
      <c r="S66" s="3120"/>
      <c r="T66" s="2038" t="s">
        <v>3509</v>
      </c>
      <c r="U66" s="3120"/>
      <c r="V66" s="2109"/>
      <c r="W66" s="3120"/>
      <c r="X66" s="2109"/>
      <c r="Y66" s="3120"/>
    </row>
    <row r="67" spans="1:25" ht="26.25" customHeight="1" x14ac:dyDescent="0.35">
      <c r="A67" s="3125"/>
      <c r="B67" s="3144" t="s">
        <v>3588</v>
      </c>
      <c r="C67" s="3052"/>
      <c r="D67" s="3032" t="s">
        <v>3576</v>
      </c>
      <c r="E67" s="3032"/>
      <c r="F67" s="3032"/>
      <c r="G67" s="2198"/>
      <c r="H67" s="2109" t="s">
        <v>669</v>
      </c>
      <c r="I67" s="3120"/>
      <c r="J67" s="2109" t="s">
        <v>669</v>
      </c>
      <c r="K67" s="3120"/>
      <c r="L67" s="2505" t="s">
        <v>669</v>
      </c>
      <c r="M67" s="3120"/>
      <c r="N67" s="2038" t="s">
        <v>669</v>
      </c>
      <c r="O67" s="3120"/>
      <c r="P67" s="2038" t="s">
        <v>669</v>
      </c>
      <c r="Q67" s="3120"/>
      <c r="R67" s="2109" t="s">
        <v>669</v>
      </c>
      <c r="S67" s="3120"/>
      <c r="T67" s="2109"/>
      <c r="U67" s="3120"/>
      <c r="V67" s="2109"/>
      <c r="W67" s="3120"/>
      <c r="X67" s="2109"/>
      <c r="Y67" s="3120"/>
    </row>
    <row r="68" spans="1:25" ht="24" x14ac:dyDescent="0.35">
      <c r="A68" s="3125"/>
      <c r="B68" s="3144" t="s">
        <v>3589</v>
      </c>
      <c r="C68" s="3052"/>
      <c r="D68" s="3032" t="s">
        <v>3576</v>
      </c>
      <c r="E68" s="3032"/>
      <c r="F68" s="3032"/>
      <c r="G68" s="2198"/>
      <c r="H68" s="2109" t="s">
        <v>669</v>
      </c>
      <c r="I68" s="3120"/>
      <c r="J68" s="2109" t="s">
        <v>669</v>
      </c>
      <c r="K68" s="3120"/>
      <c r="L68" s="2505" t="s">
        <v>669</v>
      </c>
      <c r="M68" s="3120"/>
      <c r="N68" s="2038" t="s">
        <v>669</v>
      </c>
      <c r="O68" s="3120"/>
      <c r="P68" s="2038" t="s">
        <v>669</v>
      </c>
      <c r="Q68" s="3120"/>
      <c r="R68" s="2109" t="s">
        <v>669</v>
      </c>
      <c r="S68" s="3120"/>
      <c r="T68" s="2109"/>
      <c r="U68" s="3120"/>
      <c r="V68" s="2109"/>
      <c r="W68" s="3120"/>
      <c r="X68" s="2109"/>
      <c r="Y68" s="3120"/>
    </row>
    <row r="69" spans="1:25" x14ac:dyDescent="0.35">
      <c r="A69" s="3125"/>
      <c r="B69" s="3144" t="s">
        <v>3590</v>
      </c>
      <c r="C69" s="3052"/>
      <c r="D69" s="3032" t="s">
        <v>3576</v>
      </c>
      <c r="E69" s="3032"/>
      <c r="F69" s="3032"/>
      <c r="G69" s="2198"/>
      <c r="H69" s="2109" t="s">
        <v>669</v>
      </c>
      <c r="I69" s="3120"/>
      <c r="J69" s="2109" t="s">
        <v>669</v>
      </c>
      <c r="K69" s="3120"/>
      <c r="L69" s="2505" t="s">
        <v>669</v>
      </c>
      <c r="M69" s="3120"/>
      <c r="N69" s="2038" t="s">
        <v>669</v>
      </c>
      <c r="O69" s="3120"/>
      <c r="P69" s="2038" t="s">
        <v>669</v>
      </c>
      <c r="Q69" s="3120"/>
      <c r="R69" s="2109" t="s">
        <v>669</v>
      </c>
      <c r="S69" s="3120"/>
      <c r="T69" s="2109"/>
      <c r="U69" s="3120"/>
      <c r="V69" s="2109"/>
      <c r="W69" s="3120"/>
      <c r="X69" s="2109"/>
      <c r="Y69" s="3120"/>
    </row>
    <row r="70" spans="1:25" x14ac:dyDescent="0.35">
      <c r="A70" s="3125"/>
      <c r="B70" s="3144" t="s">
        <v>3591</v>
      </c>
      <c r="C70" s="3052"/>
      <c r="D70" s="3032" t="s">
        <v>3576</v>
      </c>
      <c r="E70" s="3032"/>
      <c r="F70" s="3032"/>
      <c r="G70" s="2198"/>
      <c r="H70" s="2109" t="s">
        <v>669</v>
      </c>
      <c r="I70" s="3120"/>
      <c r="J70" s="2109" t="s">
        <v>669</v>
      </c>
      <c r="K70" s="3120"/>
      <c r="L70" s="2505" t="s">
        <v>669</v>
      </c>
      <c r="M70" s="3120"/>
      <c r="N70" s="2038" t="s">
        <v>669</v>
      </c>
      <c r="O70" s="3120"/>
      <c r="P70" s="2038" t="s">
        <v>669</v>
      </c>
      <c r="Q70" s="3120"/>
      <c r="R70" s="2109" t="s">
        <v>669</v>
      </c>
      <c r="S70" s="3120"/>
      <c r="T70" s="2109"/>
      <c r="U70" s="3120"/>
      <c r="V70" s="2109"/>
      <c r="W70" s="3120"/>
      <c r="X70" s="2109"/>
      <c r="Y70" s="3120"/>
    </row>
    <row r="71" spans="1:25" x14ac:dyDescent="0.35">
      <c r="A71" s="3125"/>
      <c r="B71" s="3141" t="s">
        <v>3678</v>
      </c>
      <c r="C71" s="3052"/>
      <c r="D71" s="3032"/>
      <c r="E71" s="3032"/>
      <c r="F71" s="3032"/>
      <c r="G71" s="2198"/>
      <c r="H71" s="2109" t="s">
        <v>669</v>
      </c>
      <c r="I71" s="3120"/>
      <c r="J71" s="2109" t="s">
        <v>669</v>
      </c>
      <c r="K71" s="3120"/>
      <c r="L71" s="2505" t="s">
        <v>669</v>
      </c>
      <c r="M71" s="3120"/>
      <c r="N71" s="2038" t="s">
        <v>669</v>
      </c>
      <c r="O71" s="3120"/>
      <c r="P71" s="2038" t="s">
        <v>669</v>
      </c>
      <c r="Q71" s="3120"/>
      <c r="R71" s="2038" t="s">
        <v>669</v>
      </c>
      <c r="S71" s="3120"/>
      <c r="T71" s="2109" t="s">
        <v>669</v>
      </c>
      <c r="U71" s="3120"/>
      <c r="V71" s="2109"/>
      <c r="W71" s="3120"/>
      <c r="X71" s="2109" t="s">
        <v>669</v>
      </c>
      <c r="Y71" s="3120"/>
    </row>
    <row r="72" spans="1:25" x14ac:dyDescent="0.35">
      <c r="A72" s="3125"/>
      <c r="B72" s="3141" t="s">
        <v>3679</v>
      </c>
      <c r="C72" s="3146"/>
      <c r="D72" s="3032"/>
      <c r="E72" s="3032"/>
      <c r="F72" s="3032"/>
      <c r="G72" s="2198"/>
      <c r="H72" s="2109"/>
      <c r="I72" s="3120"/>
      <c r="J72" s="2109"/>
      <c r="K72" s="3120"/>
      <c r="L72" s="2505" t="s">
        <v>669</v>
      </c>
      <c r="M72" s="3120"/>
      <c r="N72" s="2038"/>
      <c r="O72" s="3120"/>
      <c r="P72" s="2038"/>
      <c r="Q72" s="3120"/>
      <c r="R72" s="2038"/>
      <c r="S72" s="3120"/>
      <c r="T72" s="2109"/>
      <c r="U72" s="3120"/>
      <c r="V72" s="2109"/>
      <c r="W72" s="3120"/>
      <c r="X72" s="2109"/>
      <c r="Y72" s="3120"/>
    </row>
    <row r="73" spans="1:25" x14ac:dyDescent="0.35">
      <c r="A73" s="3125"/>
      <c r="B73" s="3141" t="s">
        <v>3680</v>
      </c>
      <c r="C73" s="3036"/>
      <c r="D73" s="3049"/>
      <c r="E73" s="3032"/>
      <c r="F73" s="3050"/>
      <c r="G73" s="2233"/>
      <c r="H73" s="2038" t="s">
        <v>669</v>
      </c>
      <c r="I73" s="3108"/>
      <c r="J73" s="2038" t="s">
        <v>669</v>
      </c>
      <c r="K73" s="3108"/>
      <c r="L73" s="3121" t="s">
        <v>669</v>
      </c>
      <c r="M73" s="3108"/>
      <c r="N73" s="2038" t="s">
        <v>669</v>
      </c>
      <c r="O73" s="2109"/>
      <c r="P73" s="2038" t="s">
        <v>669</v>
      </c>
      <c r="Q73" s="2109"/>
      <c r="R73" s="2109" t="s">
        <v>669</v>
      </c>
      <c r="S73" s="3120"/>
      <c r="T73" s="2038"/>
      <c r="U73" s="3109"/>
      <c r="V73" s="2109"/>
      <c r="W73" s="3109"/>
      <c r="X73" s="2038"/>
      <c r="Y73" s="3120"/>
    </row>
    <row r="74" spans="1:25" ht="103.5" customHeight="1" x14ac:dyDescent="0.35">
      <c r="A74" s="3125"/>
      <c r="B74" s="3144" t="s">
        <v>3681</v>
      </c>
      <c r="C74" s="3052"/>
      <c r="D74" s="3032" t="s">
        <v>3576</v>
      </c>
      <c r="E74" s="3032"/>
      <c r="F74" s="3032"/>
      <c r="G74" s="2198"/>
      <c r="H74" s="2109" t="s">
        <v>669</v>
      </c>
      <c r="I74" s="3120"/>
      <c r="J74" s="2109" t="s">
        <v>669</v>
      </c>
      <c r="K74" s="3120"/>
      <c r="L74" s="2505" t="s">
        <v>669</v>
      </c>
      <c r="M74" s="3120"/>
      <c r="N74" s="2038" t="s">
        <v>669</v>
      </c>
      <c r="O74" s="3120"/>
      <c r="P74" s="2038" t="s">
        <v>669</v>
      </c>
      <c r="Q74" s="3120"/>
      <c r="R74" s="2109" t="s">
        <v>669</v>
      </c>
      <c r="S74" s="3120"/>
      <c r="T74" s="2109"/>
      <c r="U74" s="3120"/>
      <c r="V74" s="2109"/>
      <c r="W74" s="3120"/>
      <c r="X74" s="2109"/>
      <c r="Y74" s="3120"/>
    </row>
    <row r="75" spans="1:25" x14ac:dyDescent="0.35">
      <c r="A75" s="3125"/>
      <c r="B75" s="3141" t="s">
        <v>3682</v>
      </c>
      <c r="C75" s="3052"/>
      <c r="D75" s="3032" t="s">
        <v>3576</v>
      </c>
      <c r="E75" s="3032"/>
      <c r="F75" s="3032"/>
      <c r="G75" s="2198"/>
      <c r="H75" s="2038" t="s">
        <v>671</v>
      </c>
      <c r="I75" s="3120"/>
      <c r="J75" s="2038" t="s">
        <v>671</v>
      </c>
      <c r="K75" s="3120"/>
      <c r="L75" s="3121" t="s">
        <v>671</v>
      </c>
      <c r="M75" s="3120"/>
      <c r="N75" s="2038" t="s">
        <v>671</v>
      </c>
      <c r="O75" s="3120"/>
      <c r="P75" s="2038" t="s">
        <v>671</v>
      </c>
      <c r="Q75" s="3120"/>
      <c r="R75" s="2038" t="s">
        <v>671</v>
      </c>
      <c r="S75" s="3120"/>
      <c r="T75" s="2038"/>
      <c r="U75" s="3120"/>
      <c r="V75" s="2109"/>
      <c r="W75" s="3120"/>
      <c r="X75" s="2038"/>
      <c r="Y75" s="3120"/>
    </row>
    <row r="76" spans="1:25" ht="15" thickBot="1" x14ac:dyDescent="0.4">
      <c r="A76" s="3125"/>
      <c r="B76" s="3147" t="s">
        <v>1789</v>
      </c>
      <c r="C76" s="3036"/>
      <c r="D76" s="3049"/>
      <c r="E76" s="3032"/>
      <c r="F76" s="3050"/>
      <c r="G76" s="2233"/>
      <c r="H76" s="2109"/>
      <c r="I76" s="3108"/>
      <c r="J76" s="2109"/>
      <c r="K76" s="3108"/>
      <c r="L76" s="2505"/>
      <c r="M76" s="3108"/>
      <c r="N76" s="2109"/>
      <c r="O76" s="2109"/>
      <c r="P76" s="2109"/>
      <c r="Q76" s="2109">
        <f ca="1">P8*-3%</f>
        <v>-29224.514563106794</v>
      </c>
      <c r="R76" s="2109"/>
      <c r="S76" s="3120"/>
      <c r="T76" s="2109"/>
      <c r="U76" s="3109"/>
      <c r="V76" s="2109"/>
      <c r="W76" s="3109"/>
      <c r="X76" s="2109"/>
      <c r="Y76" s="3120"/>
    </row>
    <row r="77" spans="1:25" ht="15" thickTop="1" x14ac:dyDescent="0.35">
      <c r="A77" s="14"/>
      <c r="B77" s="15"/>
      <c r="C77" s="16"/>
      <c r="D77" s="16"/>
      <c r="E77" s="17"/>
      <c r="F77" s="18" t="s">
        <v>715</v>
      </c>
      <c r="G77" s="19"/>
      <c r="H77" s="20"/>
      <c r="I77" s="50">
        <f>SUM(I23:I76)</f>
        <v>729422</v>
      </c>
      <c r="J77" s="20"/>
      <c r="K77" s="50">
        <f>SUM(K23:K76)</f>
        <v>870100</v>
      </c>
      <c r="L77" s="20"/>
      <c r="M77" s="50">
        <f>SUM(M23:M76)</f>
        <v>846146</v>
      </c>
      <c r="N77" s="20"/>
      <c r="O77" s="50">
        <f>SUM(O23:O76)</f>
        <v>995375</v>
      </c>
      <c r="P77" s="20"/>
      <c r="Q77" s="50">
        <f ca="1">SUM(Q23:Q76)</f>
        <v>974150.48543689318</v>
      </c>
      <c r="R77" s="20"/>
      <c r="S77" s="50">
        <f>SUM(S33:S76)</f>
        <v>887721</v>
      </c>
      <c r="T77" s="20"/>
      <c r="U77" s="50">
        <f>SUM(U23:U76)</f>
        <v>1280090</v>
      </c>
      <c r="V77" s="20"/>
      <c r="W77" s="50">
        <f>SUM(W23:W76)</f>
        <v>1335000</v>
      </c>
      <c r="X77" s="20"/>
      <c r="Y77" s="50">
        <f>SUM(Y23:Y76)</f>
        <v>174260</v>
      </c>
    </row>
    <row r="78" spans="1:25" x14ac:dyDescent="0.35">
      <c r="A78" s="2973"/>
      <c r="B78" s="2974"/>
      <c r="C78" s="2975"/>
      <c r="D78" s="2975"/>
      <c r="E78" s="2976"/>
      <c r="F78" s="2977" t="s">
        <v>716</v>
      </c>
      <c r="G78" s="2244"/>
      <c r="H78" s="2065">
        <v>0</v>
      </c>
      <c r="I78" s="960"/>
      <c r="J78" s="2065">
        <v>0</v>
      </c>
      <c r="K78" s="960"/>
      <c r="L78" s="2065">
        <v>0</v>
      </c>
      <c r="M78" s="960"/>
      <c r="N78" s="2065">
        <v>0</v>
      </c>
      <c r="O78" s="960"/>
      <c r="P78" s="2065">
        <v>0</v>
      </c>
      <c r="Q78" s="960"/>
      <c r="R78" s="2065">
        <v>0</v>
      </c>
      <c r="S78" s="960"/>
      <c r="T78" s="2065">
        <v>0</v>
      </c>
      <c r="U78" s="960"/>
      <c r="V78" s="2065">
        <v>0</v>
      </c>
      <c r="W78" s="960"/>
      <c r="X78" s="2065">
        <v>0</v>
      </c>
      <c r="Y78" s="960"/>
    </row>
    <row r="79" spans="1:25" x14ac:dyDescent="0.35">
      <c r="A79" s="2973"/>
      <c r="B79" s="2974"/>
      <c r="C79" s="2975"/>
      <c r="D79" s="2975"/>
      <c r="E79" s="2976"/>
      <c r="F79" s="2977" t="s">
        <v>717</v>
      </c>
      <c r="G79" s="2244"/>
      <c r="H79" s="2066"/>
      <c r="I79" s="2070">
        <f>I77*H78</f>
        <v>0</v>
      </c>
      <c r="J79" s="2066"/>
      <c r="K79" s="2070">
        <f>K77*J78</f>
        <v>0</v>
      </c>
      <c r="L79" s="2066"/>
      <c r="M79" s="2070">
        <f>M77*L78</f>
        <v>0</v>
      </c>
      <c r="N79" s="2066"/>
      <c r="O79" s="2070">
        <f>O77*N78</f>
        <v>0</v>
      </c>
      <c r="P79" s="2066"/>
      <c r="Q79" s="2070">
        <f ca="1">Q77*P78</f>
        <v>0</v>
      </c>
      <c r="R79" s="2066"/>
      <c r="S79" s="2070">
        <f>S77*R78</f>
        <v>0</v>
      </c>
      <c r="T79" s="2066"/>
      <c r="U79" s="2070">
        <f>U77*T78</f>
        <v>0</v>
      </c>
      <c r="V79" s="2066"/>
      <c r="W79" s="2070">
        <f>W77*V78</f>
        <v>0</v>
      </c>
      <c r="X79" s="2066"/>
      <c r="Y79" s="2070">
        <f>Y77*X78</f>
        <v>0</v>
      </c>
    </row>
    <row r="80" spans="1:25" x14ac:dyDescent="0.35">
      <c r="A80" s="2973"/>
      <c r="B80" s="2974"/>
      <c r="C80" s="2975"/>
      <c r="D80" s="2975"/>
      <c r="E80" s="2976"/>
      <c r="F80" s="2977"/>
      <c r="G80" s="2244"/>
      <c r="H80" s="2066"/>
      <c r="I80" s="2068"/>
      <c r="J80" s="2066"/>
      <c r="K80" s="2068"/>
      <c r="L80" s="2066"/>
      <c r="M80" s="2068"/>
      <c r="N80" s="2066"/>
      <c r="O80" s="2068"/>
      <c r="P80" s="2066"/>
      <c r="Q80" s="2068"/>
      <c r="R80" s="2066"/>
      <c r="S80" s="2068"/>
      <c r="T80" s="2066"/>
      <c r="U80" s="2068"/>
      <c r="V80" s="2066"/>
      <c r="W80" s="2068"/>
      <c r="X80" s="2066"/>
      <c r="Y80" s="2068"/>
    </row>
    <row r="81" spans="1:25" x14ac:dyDescent="0.35">
      <c r="A81" s="2973"/>
      <c r="B81" s="2974"/>
      <c r="C81" s="2975"/>
      <c r="D81" s="2975"/>
      <c r="E81" s="2976"/>
      <c r="F81" s="2977" t="s">
        <v>718</v>
      </c>
      <c r="G81" s="2244"/>
      <c r="H81" s="2069"/>
      <c r="I81" s="2070">
        <f>SUM(I77:I79)</f>
        <v>729422</v>
      </c>
      <c r="J81" s="2069"/>
      <c r="K81" s="2070">
        <f>SUM(K77:K79)</f>
        <v>870100</v>
      </c>
      <c r="L81" s="2069"/>
      <c r="M81" s="2070">
        <f>SUM(M77:M79)</f>
        <v>846146</v>
      </c>
      <c r="N81" s="2069"/>
      <c r="O81" s="2070">
        <f>SUM(O77:O79)</f>
        <v>995375</v>
      </c>
      <c r="P81" s="2069"/>
      <c r="Q81" s="2070">
        <f ca="1">SUM(Q77:Q79)</f>
        <v>974150.48543689318</v>
      </c>
      <c r="R81" s="2069"/>
      <c r="S81" s="2070">
        <f>SUM(S77:S79)</f>
        <v>887721</v>
      </c>
      <c r="T81" s="2069"/>
      <c r="U81" s="2070">
        <f>SUM(U77:U79)</f>
        <v>1280090</v>
      </c>
      <c r="V81" s="2069"/>
      <c r="W81" s="2070">
        <f>SUM(W77:W79)</f>
        <v>1335000</v>
      </c>
      <c r="X81" s="2069"/>
      <c r="Y81" s="2070">
        <f>SUM(Y77:Y79)</f>
        <v>174260</v>
      </c>
    </row>
    <row r="82" spans="1:25" x14ac:dyDescent="0.35">
      <c r="A82" s="2973"/>
      <c r="B82" s="2974"/>
      <c r="C82" s="2975"/>
      <c r="D82" s="2975"/>
      <c r="E82" s="2976"/>
      <c r="F82" s="2991" t="s">
        <v>719</v>
      </c>
      <c r="G82" s="2256"/>
      <c r="H82" s="2073"/>
      <c r="I82" s="2074" t="e">
        <f>I81/#REF!</f>
        <v>#REF!</v>
      </c>
      <c r="J82" s="2073"/>
      <c r="K82" s="2074" t="e">
        <f>K81/#REF!</f>
        <v>#REF!</v>
      </c>
      <c r="L82" s="2073"/>
      <c r="M82" s="2074" t="e">
        <f>M81/#REF!</f>
        <v>#REF!</v>
      </c>
      <c r="N82" s="2073"/>
      <c r="O82" s="2074" t="e">
        <f>O81/#REF!</f>
        <v>#REF!</v>
      </c>
      <c r="P82" s="2073"/>
      <c r="Q82" s="2074" t="e">
        <f ca="1">Q81/#REF!</f>
        <v>#REF!</v>
      </c>
      <c r="R82" s="2073"/>
      <c r="S82" s="2074" t="e">
        <f>S81/#REF!</f>
        <v>#REF!</v>
      </c>
      <c r="T82" s="2073"/>
      <c r="U82" s="2074" t="e">
        <f>U81/#REF!</f>
        <v>#REF!</v>
      </c>
      <c r="V82" s="2073"/>
      <c r="W82" s="2074" t="e">
        <f>W81/#REF!</f>
        <v>#REF!</v>
      </c>
      <c r="X82" s="2073"/>
      <c r="Y82" s="2074" t="e">
        <f>Y81/#REF!</f>
        <v>#REF!</v>
      </c>
    </row>
    <row r="83" spans="1:25" x14ac:dyDescent="0.35">
      <c r="A83" s="2973"/>
      <c r="B83" s="2974"/>
      <c r="C83" s="2975"/>
      <c r="D83" s="2975"/>
      <c r="E83" s="2976"/>
      <c r="F83" s="2991" t="s">
        <v>720</v>
      </c>
      <c r="G83" s="2260"/>
      <c r="H83" s="2073"/>
      <c r="I83" s="2074" t="e">
        <f>I81/#REF!</f>
        <v>#REF!</v>
      </c>
      <c r="J83" s="2073"/>
      <c r="K83" s="2074" t="e">
        <f>K81/#REF!</f>
        <v>#REF!</v>
      </c>
      <c r="L83" s="2073"/>
      <c r="M83" s="2074" t="e">
        <f>M81/#REF!</f>
        <v>#REF!</v>
      </c>
      <c r="N83" s="2073"/>
      <c r="O83" s="2074" t="e">
        <f>O81/#REF!</f>
        <v>#REF!</v>
      </c>
      <c r="P83" s="2073"/>
      <c r="Q83" s="2074" t="e">
        <f ca="1">Q81/#REF!</f>
        <v>#REF!</v>
      </c>
      <c r="R83" s="2073"/>
      <c r="S83" s="2074" t="e">
        <f>S81/#REF!</f>
        <v>#REF!</v>
      </c>
      <c r="T83" s="2073"/>
      <c r="U83" s="2074" t="e">
        <f>U81/#REF!</f>
        <v>#REF!</v>
      </c>
      <c r="V83" s="2073"/>
      <c r="W83" s="2074" t="e">
        <f>W81/#REF!</f>
        <v>#REF!</v>
      </c>
      <c r="X83" s="2073"/>
      <c r="Y83" s="2074" t="e">
        <f>Y81/#REF!</f>
        <v>#REF!</v>
      </c>
    </row>
    <row r="84" spans="1:25" ht="15" thickBot="1" x14ac:dyDescent="0.4">
      <c r="A84" s="2973"/>
      <c r="B84" s="2974"/>
      <c r="C84" s="2975"/>
      <c r="D84" s="2975"/>
      <c r="E84" s="2976"/>
      <c r="F84" s="2977"/>
      <c r="G84" s="2261"/>
      <c r="H84" s="2077"/>
      <c r="I84" s="2078"/>
      <c r="J84" s="2077"/>
      <c r="K84" s="2078"/>
      <c r="L84" s="2077"/>
      <c r="M84" s="2078"/>
      <c r="N84" s="2077"/>
      <c r="O84" s="2078"/>
      <c r="P84" s="2077"/>
      <c r="Q84" s="2078"/>
      <c r="R84" s="2077"/>
      <c r="S84" s="2078"/>
      <c r="T84" s="2077"/>
      <c r="U84" s="2078"/>
      <c r="V84" s="2077"/>
      <c r="W84" s="2078"/>
      <c r="X84" s="2077"/>
      <c r="Y84" s="2078"/>
    </row>
    <row r="85" spans="1:25" ht="15.5" thickTop="1" thickBot="1" x14ac:dyDescent="0.4">
      <c r="A85" s="3764" t="s">
        <v>721</v>
      </c>
      <c r="B85" s="3765"/>
      <c r="C85" s="12"/>
      <c r="D85" s="12"/>
      <c r="E85" s="12"/>
      <c r="F85" s="12"/>
      <c r="G85" s="13"/>
      <c r="H85" s="21"/>
      <c r="I85" s="21"/>
      <c r="J85" s="21"/>
      <c r="K85" s="21"/>
      <c r="L85" s="21"/>
      <c r="M85" s="21"/>
      <c r="N85" s="21"/>
      <c r="O85" s="21"/>
      <c r="P85" s="21"/>
      <c r="Q85" s="21"/>
      <c r="R85" s="21"/>
      <c r="S85" s="21"/>
      <c r="T85" s="21"/>
      <c r="U85" s="21"/>
      <c r="V85" s="21"/>
      <c r="W85" s="21"/>
      <c r="X85" s="21"/>
      <c r="Y85" s="21"/>
    </row>
    <row r="86" spans="1:25" ht="15" thickTop="1" x14ac:dyDescent="0.35">
      <c r="A86" s="3127"/>
      <c r="B86" s="3031"/>
      <c r="C86" s="3128"/>
      <c r="D86" s="3128"/>
      <c r="E86" s="3128"/>
      <c r="F86" s="3128"/>
      <c r="G86" s="3129"/>
      <c r="H86" s="3130"/>
      <c r="I86" s="3130"/>
      <c r="J86" s="3130"/>
      <c r="K86" s="3130"/>
      <c r="L86" s="3130"/>
      <c r="M86" s="3130"/>
      <c r="N86" s="3130"/>
      <c r="O86" s="3130"/>
      <c r="P86" s="3130"/>
      <c r="Q86" s="3130"/>
      <c r="R86" s="3130"/>
      <c r="S86" s="3130"/>
      <c r="T86" s="3130"/>
      <c r="U86" s="3130"/>
      <c r="V86" s="3130"/>
      <c r="W86" s="3130"/>
      <c r="X86" s="3130"/>
      <c r="Y86" s="3130"/>
    </row>
    <row r="87" spans="1:25" x14ac:dyDescent="0.35">
      <c r="A87" s="3127"/>
      <c r="B87" s="3031"/>
      <c r="C87" s="3128"/>
      <c r="D87" s="3128"/>
      <c r="E87" s="3128"/>
      <c r="F87" s="3128"/>
      <c r="G87" s="3129"/>
      <c r="H87" s="3130"/>
      <c r="I87" s="3130"/>
      <c r="J87" s="3130"/>
      <c r="K87" s="3130"/>
      <c r="L87" s="3130"/>
      <c r="M87" s="3130"/>
      <c r="N87" s="3130"/>
      <c r="O87" s="3130"/>
      <c r="P87" s="3130"/>
      <c r="Q87" s="3130"/>
      <c r="R87" s="3130"/>
      <c r="S87" s="3130"/>
      <c r="T87" s="3130"/>
      <c r="U87" s="3130"/>
      <c r="V87" s="3130"/>
      <c r="W87" s="3130"/>
      <c r="X87" s="3130"/>
      <c r="Y87" s="3130"/>
    </row>
    <row r="88" spans="1:25" ht="15" thickBot="1" x14ac:dyDescent="0.4">
      <c r="A88" s="3127"/>
      <c r="B88" s="3031"/>
      <c r="C88" s="3128"/>
      <c r="D88" s="3128"/>
      <c r="E88" s="3128"/>
      <c r="F88" s="3128"/>
      <c r="G88" s="3129"/>
      <c r="H88" s="3130"/>
      <c r="I88" s="3130"/>
      <c r="J88" s="3130"/>
      <c r="K88" s="3130"/>
      <c r="L88" s="3130"/>
      <c r="M88" s="3130"/>
      <c r="N88" s="3130"/>
      <c r="O88" s="3130"/>
      <c r="P88" s="3130"/>
      <c r="Q88" s="3130"/>
      <c r="R88" s="3130"/>
      <c r="S88" s="3130"/>
      <c r="T88" s="3130"/>
      <c r="U88" s="3130"/>
      <c r="V88" s="3130"/>
      <c r="W88" s="3130"/>
      <c r="X88" s="3130"/>
      <c r="Y88" s="3130"/>
    </row>
    <row r="89" spans="1:25" s="2" customFormat="1" ht="15.5" thickTop="1" thickBot="1" x14ac:dyDescent="0.4">
      <c r="A89" s="3764" t="s">
        <v>722</v>
      </c>
      <c r="B89" s="3765"/>
      <c r="C89" s="12"/>
      <c r="D89" s="12"/>
      <c r="E89" s="12"/>
      <c r="F89" s="12"/>
      <c r="G89" s="13"/>
      <c r="H89" s="21"/>
      <c r="I89" s="21"/>
      <c r="J89" s="21"/>
      <c r="K89" s="21"/>
      <c r="L89" s="21"/>
      <c r="M89" s="21"/>
      <c r="N89" s="21"/>
      <c r="O89" s="21"/>
      <c r="P89" s="21"/>
      <c r="Q89" s="21"/>
      <c r="R89" s="21"/>
      <c r="S89" s="21"/>
      <c r="T89" s="21"/>
      <c r="U89" s="21"/>
      <c r="V89" s="21"/>
      <c r="W89" s="21"/>
      <c r="X89" s="21"/>
      <c r="Y89" s="21"/>
    </row>
    <row r="90" spans="1:25" s="2" customFormat="1" ht="15" thickTop="1" x14ac:dyDescent="0.35">
      <c r="A90" s="3127"/>
      <c r="B90" s="3031"/>
      <c r="C90" s="3128"/>
      <c r="D90" s="3128"/>
      <c r="E90" s="3128"/>
      <c r="F90" s="3128"/>
      <c r="G90" s="3129"/>
      <c r="H90" s="3130"/>
      <c r="I90" s="3130"/>
      <c r="J90" s="3130"/>
      <c r="K90" s="3130"/>
      <c r="L90" s="3130"/>
      <c r="M90" s="3130"/>
      <c r="N90" s="3130"/>
      <c r="O90" s="3130"/>
      <c r="P90" s="3130"/>
      <c r="Q90" s="3130"/>
      <c r="R90" s="3130"/>
      <c r="S90" s="3130"/>
      <c r="T90" s="3130"/>
      <c r="U90" s="3130"/>
      <c r="V90" s="3130"/>
      <c r="W90" s="3130"/>
      <c r="X90" s="3130"/>
      <c r="Y90" s="3130"/>
    </row>
    <row r="91" spans="1:25" s="2" customFormat="1" x14ac:dyDescent="0.35">
      <c r="A91" s="3127"/>
      <c r="B91" s="3031"/>
      <c r="C91" s="3128"/>
      <c r="D91" s="3128"/>
      <c r="E91" s="3128"/>
      <c r="F91" s="3128"/>
      <c r="G91" s="3129"/>
      <c r="H91" s="3130"/>
      <c r="I91" s="3130"/>
      <c r="J91" s="3130"/>
      <c r="K91" s="3130"/>
      <c r="L91" s="3130"/>
      <c r="M91" s="3130"/>
      <c r="N91" s="3130"/>
      <c r="O91" s="3130"/>
      <c r="P91" s="3130"/>
      <c r="Q91" s="3130"/>
      <c r="R91" s="3130"/>
      <c r="S91" s="3130"/>
      <c r="T91" s="3130"/>
      <c r="U91" s="3130"/>
      <c r="V91" s="3130"/>
      <c r="W91" s="3130"/>
      <c r="X91" s="3130"/>
      <c r="Y91" s="3130"/>
    </row>
    <row r="92" spans="1:25" ht="15" thickBot="1" x14ac:dyDescent="0.4">
      <c r="A92" s="3127"/>
      <c r="B92" s="3031"/>
      <c r="C92" s="3128"/>
      <c r="D92" s="3128"/>
      <c r="E92" s="3128"/>
      <c r="F92" s="3128"/>
      <c r="G92" s="3129"/>
      <c r="H92" s="3130"/>
      <c r="I92" s="3130"/>
      <c r="J92" s="3130"/>
      <c r="K92" s="3130"/>
      <c r="L92" s="3130"/>
      <c r="M92" s="3130"/>
      <c r="N92" s="3130"/>
      <c r="O92" s="3130"/>
      <c r="P92" s="3130"/>
      <c r="Q92" s="3130"/>
      <c r="R92" s="3130"/>
      <c r="S92" s="3130"/>
      <c r="T92" s="3130"/>
      <c r="U92" s="3130"/>
      <c r="V92" s="3130"/>
      <c r="W92" s="3130"/>
      <c r="X92" s="3130"/>
      <c r="Y92" s="3130"/>
    </row>
    <row r="93" spans="1:25" s="2" customFormat="1" ht="15.5" thickTop="1" thickBot="1" x14ac:dyDescent="0.4">
      <c r="A93" s="3764" t="s">
        <v>723</v>
      </c>
      <c r="B93" s="3765"/>
      <c r="C93" s="12"/>
      <c r="D93" s="12"/>
      <c r="E93" s="12"/>
      <c r="F93" s="12"/>
      <c r="G93" s="13"/>
      <c r="H93" s="21"/>
      <c r="I93" s="21"/>
      <c r="J93" s="21"/>
      <c r="K93" s="21"/>
      <c r="L93" s="21"/>
      <c r="M93" s="21"/>
      <c r="N93" s="21"/>
      <c r="O93" s="21"/>
      <c r="P93" s="21"/>
      <c r="Q93" s="21"/>
      <c r="R93" s="21"/>
      <c r="S93" s="21"/>
      <c r="T93" s="21"/>
      <c r="U93" s="21"/>
      <c r="V93" s="21"/>
      <c r="W93" s="21"/>
      <c r="X93" s="21"/>
      <c r="Y93" s="21"/>
    </row>
    <row r="94" spans="1:25" s="2" customFormat="1" ht="15" thickTop="1" x14ac:dyDescent="0.35">
      <c r="A94" s="3127"/>
      <c r="B94" s="3031"/>
      <c r="C94" s="3128"/>
      <c r="D94" s="3128"/>
      <c r="E94" s="3128"/>
      <c r="F94" s="3128"/>
      <c r="G94" s="3129"/>
      <c r="H94" s="3130"/>
      <c r="I94" s="3130"/>
      <c r="J94" s="3130"/>
      <c r="K94" s="3130"/>
      <c r="L94" s="3130"/>
      <c r="M94" s="3130"/>
      <c r="N94" s="3130"/>
      <c r="O94" s="3130"/>
      <c r="P94" s="3130"/>
      <c r="Q94" s="3130"/>
      <c r="R94" s="3130"/>
      <c r="S94" s="3130"/>
      <c r="T94" s="3130"/>
      <c r="U94" s="3130"/>
      <c r="V94" s="3130"/>
      <c r="W94" s="3130"/>
      <c r="X94" s="3130"/>
      <c r="Y94" s="3130"/>
    </row>
    <row r="95" spans="1:25" s="2" customFormat="1" x14ac:dyDescent="0.35">
      <c r="A95" s="3035"/>
      <c r="B95" s="3031"/>
      <c r="C95" s="3032"/>
      <c r="D95" s="3032"/>
      <c r="E95" s="3032"/>
      <c r="F95" s="3032"/>
      <c r="G95" s="2198"/>
      <c r="H95" s="2081"/>
      <c r="I95" s="2081"/>
      <c r="J95" s="2081"/>
      <c r="K95" s="2081"/>
      <c r="L95" s="2081"/>
      <c r="M95" s="2081"/>
      <c r="N95" s="2081"/>
      <c r="O95" s="2081"/>
      <c r="P95" s="2081"/>
      <c r="Q95" s="2081"/>
      <c r="R95" s="2081"/>
      <c r="S95" s="2081"/>
      <c r="T95" s="2081"/>
      <c r="U95" s="2081"/>
      <c r="V95" s="2081"/>
      <c r="W95" s="2081"/>
      <c r="X95" s="2081"/>
      <c r="Y95" s="2081"/>
    </row>
    <row r="96" spans="1:25" s="2" customFormat="1" ht="15" thickBot="1" x14ac:dyDescent="0.4">
      <c r="A96" s="3012"/>
      <c r="B96" s="3019"/>
      <c r="C96" s="3032"/>
      <c r="D96" s="3032"/>
      <c r="E96" s="3032"/>
      <c r="F96" s="3032"/>
      <c r="G96" s="2198"/>
      <c r="H96" s="2084"/>
      <c r="I96" s="2084"/>
      <c r="J96" s="2084"/>
      <c r="K96" s="2084"/>
      <c r="L96" s="2084"/>
      <c r="M96" s="2084"/>
      <c r="N96" s="2084"/>
      <c r="O96" s="2084"/>
      <c r="P96" s="2084"/>
      <c r="Q96" s="2084"/>
      <c r="R96" s="2084"/>
      <c r="S96" s="2084"/>
      <c r="T96" s="2084"/>
      <c r="U96" s="2084"/>
      <c r="V96" s="2084"/>
      <c r="W96" s="2084"/>
      <c r="X96" s="2084"/>
      <c r="Y96" s="2084"/>
    </row>
    <row r="97" spans="1:25" s="2" customFormat="1" ht="15.5" thickTop="1" thickBot="1" x14ac:dyDescent="0.4">
      <c r="A97" s="3764" t="s">
        <v>724</v>
      </c>
      <c r="B97" s="3765"/>
      <c r="C97" s="12"/>
      <c r="D97" s="12"/>
      <c r="E97" s="12"/>
      <c r="F97" s="12"/>
      <c r="G97" s="13"/>
      <c r="H97" s="21"/>
      <c r="I97" s="21"/>
      <c r="J97" s="21"/>
      <c r="K97" s="21"/>
      <c r="L97" s="21"/>
      <c r="M97" s="21"/>
      <c r="N97" s="21"/>
      <c r="O97" s="21"/>
      <c r="P97" s="21"/>
      <c r="Q97" s="21"/>
      <c r="R97" s="21"/>
      <c r="S97" s="21"/>
      <c r="T97" s="21"/>
      <c r="U97" s="21"/>
      <c r="V97" s="21"/>
      <c r="W97" s="21"/>
      <c r="X97" s="21"/>
      <c r="Y97" s="21"/>
    </row>
    <row r="98" spans="1:25" ht="29.5" thickTop="1" x14ac:dyDescent="0.35">
      <c r="A98" s="3131"/>
      <c r="B98" s="3031" t="s">
        <v>3683</v>
      </c>
      <c r="C98" s="3128"/>
      <c r="D98" s="3128"/>
      <c r="E98" s="3128"/>
      <c r="F98" s="3128"/>
      <c r="G98" s="3129"/>
      <c r="H98" s="3130"/>
      <c r="I98" s="3130"/>
      <c r="J98" s="3130"/>
      <c r="K98" s="3130"/>
      <c r="L98" s="3130"/>
      <c r="M98" s="3130">
        <v>-52000</v>
      </c>
      <c r="N98" s="3130"/>
      <c r="O98" s="3130"/>
      <c r="P98" s="3130"/>
      <c r="Q98" s="3130"/>
      <c r="R98" s="3130"/>
      <c r="S98" s="3130"/>
      <c r="T98" s="3130"/>
      <c r="U98" s="3130"/>
      <c r="V98" s="3130"/>
      <c r="W98" s="3130"/>
      <c r="X98" s="3130"/>
      <c r="Y98" s="3130"/>
    </row>
    <row r="99" spans="1:25" x14ac:dyDescent="0.35">
      <c r="A99" s="3012"/>
      <c r="B99" s="3019"/>
      <c r="C99" s="3032"/>
      <c r="D99" s="3032"/>
      <c r="E99" s="3032"/>
      <c r="F99" s="3032"/>
      <c r="G99" s="2198"/>
      <c r="H99" s="2087"/>
      <c r="I99" s="2087"/>
      <c r="J99" s="2087"/>
      <c r="K99" s="2087"/>
      <c r="L99" s="2087"/>
      <c r="M99" s="2087"/>
      <c r="N99" s="2087"/>
      <c r="O99" s="2087"/>
      <c r="P99" s="2087"/>
      <c r="Q99" s="2087"/>
      <c r="R99" s="2087"/>
      <c r="S99" s="2087"/>
      <c r="T99" s="2087"/>
      <c r="U99" s="2087"/>
      <c r="V99" s="2087"/>
      <c r="W99" s="2087"/>
      <c r="X99" s="2087"/>
      <c r="Y99" s="2087"/>
    </row>
    <row r="100" spans="1:25" ht="15" thickBot="1" x14ac:dyDescent="0.4">
      <c r="A100" s="3012"/>
      <c r="B100" s="3019"/>
      <c r="C100" s="3032"/>
      <c r="D100" s="3032"/>
      <c r="E100" s="3032"/>
      <c r="F100" s="3032"/>
      <c r="G100" s="2198"/>
      <c r="H100" s="2087"/>
      <c r="I100" s="2087"/>
      <c r="J100" s="2087"/>
      <c r="K100" s="2087"/>
      <c r="L100" s="2087"/>
      <c r="M100" s="2087"/>
      <c r="N100" s="2087"/>
      <c r="O100" s="2087"/>
      <c r="P100" s="2087"/>
      <c r="Q100" s="2087"/>
      <c r="R100" s="2087"/>
      <c r="S100" s="2087"/>
      <c r="T100" s="2087"/>
      <c r="U100" s="2087"/>
      <c r="V100" s="2087"/>
      <c r="W100" s="2087"/>
      <c r="X100" s="2087"/>
      <c r="Y100" s="2087"/>
    </row>
    <row r="101" spans="1:25" ht="15.5" thickTop="1" thickBot="1" x14ac:dyDescent="0.4">
      <c r="A101" s="3764" t="s">
        <v>725</v>
      </c>
      <c r="B101" s="3765"/>
      <c r="C101" s="12"/>
      <c r="D101" s="12"/>
      <c r="E101" s="12"/>
      <c r="F101" s="12"/>
      <c r="G101" s="13"/>
      <c r="H101" s="21"/>
      <c r="I101" s="21"/>
      <c r="J101" s="21"/>
      <c r="K101" s="21"/>
      <c r="L101" s="21"/>
      <c r="M101" s="21"/>
      <c r="N101" s="21"/>
      <c r="O101" s="21"/>
      <c r="P101" s="21"/>
      <c r="Q101" s="21"/>
      <c r="R101" s="21"/>
      <c r="S101" s="21"/>
      <c r="T101" s="21"/>
      <c r="U101" s="21"/>
      <c r="V101" s="21"/>
      <c r="W101" s="21"/>
      <c r="X101" s="21"/>
      <c r="Y101" s="21"/>
    </row>
    <row r="102" spans="1:25" ht="15" thickTop="1" x14ac:dyDescent="0.35">
      <c r="A102" s="3035"/>
      <c r="B102" s="3031" t="s">
        <v>726</v>
      </c>
      <c r="C102" s="3032"/>
      <c r="D102" s="3032"/>
      <c r="E102" s="3032"/>
      <c r="F102" s="3032"/>
      <c r="G102" s="2198"/>
      <c r="H102" s="2087"/>
      <c r="I102" s="2087"/>
      <c r="J102" s="2087"/>
      <c r="K102" s="2087"/>
      <c r="L102" s="2087"/>
      <c r="M102" s="2087"/>
      <c r="N102" s="2087"/>
      <c r="O102" s="2087"/>
      <c r="P102" s="2087"/>
      <c r="Q102" s="2087"/>
      <c r="R102" s="2087"/>
      <c r="S102" s="2087"/>
      <c r="T102" s="2087"/>
      <c r="U102" s="2087"/>
      <c r="V102" s="2087"/>
      <c r="W102" s="2087"/>
      <c r="X102" s="2087"/>
      <c r="Y102" s="2087"/>
    </row>
    <row r="103" spans="1:25" x14ac:dyDescent="0.35">
      <c r="A103" s="3035"/>
      <c r="B103" s="3031" t="s">
        <v>727</v>
      </c>
      <c r="C103" s="3032"/>
      <c r="D103" s="3032"/>
      <c r="E103" s="3032"/>
      <c r="F103" s="3032"/>
      <c r="G103" s="2198"/>
      <c r="H103" s="2087"/>
      <c r="I103" s="2087"/>
      <c r="J103" s="2087"/>
      <c r="K103" s="2087"/>
      <c r="L103" s="2087"/>
      <c r="M103" s="2087"/>
      <c r="N103" s="2087"/>
      <c r="O103" s="2087"/>
      <c r="P103" s="2087"/>
      <c r="Q103" s="2087"/>
      <c r="R103" s="2087"/>
      <c r="S103" s="2087"/>
      <c r="T103" s="2087"/>
      <c r="U103" s="2087"/>
      <c r="V103" s="2087"/>
      <c r="W103" s="2087"/>
      <c r="X103" s="2087"/>
      <c r="Y103" s="2087"/>
    </row>
    <row r="104" spans="1:25" x14ac:dyDescent="0.35">
      <c r="A104" s="3035"/>
      <c r="B104" s="3031" t="s">
        <v>728</v>
      </c>
      <c r="C104" s="3032"/>
      <c r="D104" s="3032"/>
      <c r="E104" s="3032"/>
      <c r="F104" s="3032"/>
      <c r="G104" s="2198"/>
      <c r="H104" s="2087"/>
      <c r="I104" s="2087"/>
      <c r="J104" s="2087"/>
      <c r="K104" s="2087"/>
      <c r="L104" s="2087"/>
      <c r="M104" s="2087"/>
      <c r="N104" s="2087"/>
      <c r="O104" s="2087"/>
      <c r="P104" s="2087"/>
      <c r="Q104" s="2087"/>
      <c r="R104" s="2087"/>
      <c r="S104" s="2087"/>
      <c r="T104" s="2087"/>
      <c r="U104" s="2087"/>
      <c r="V104" s="2087"/>
      <c r="W104" s="2087"/>
      <c r="X104" s="2087"/>
      <c r="Y104" s="2087"/>
    </row>
    <row r="105" spans="1:25" x14ac:dyDescent="0.35">
      <c r="A105" s="3035"/>
      <c r="B105" s="3031" t="s">
        <v>729</v>
      </c>
      <c r="C105" s="3032"/>
      <c r="D105" s="3032"/>
      <c r="E105" s="3032"/>
      <c r="F105" s="3032"/>
      <c r="G105" s="2198"/>
      <c r="H105" s="2087"/>
      <c r="I105" s="2087"/>
      <c r="J105" s="2087"/>
      <c r="K105" s="2087"/>
      <c r="L105" s="2087"/>
      <c r="M105" s="2087"/>
      <c r="N105" s="2087"/>
      <c r="O105" s="2087"/>
      <c r="P105" s="2087"/>
      <c r="Q105" s="2087"/>
      <c r="R105" s="2087"/>
      <c r="S105" s="2087"/>
      <c r="T105" s="2087"/>
      <c r="U105" s="2087"/>
      <c r="V105" s="2087"/>
      <c r="W105" s="2087"/>
      <c r="X105" s="2087"/>
      <c r="Y105" s="2087"/>
    </row>
    <row r="106" spans="1:25" ht="15" thickBot="1" x14ac:dyDescent="0.4">
      <c r="A106" s="978"/>
      <c r="B106" s="939"/>
      <c r="C106" s="940"/>
      <c r="D106" s="940"/>
      <c r="E106" s="940"/>
      <c r="F106" s="940"/>
      <c r="G106" s="1039"/>
      <c r="H106" s="981"/>
      <c r="I106" s="981"/>
      <c r="J106" s="981"/>
      <c r="K106" s="981"/>
      <c r="L106" s="981"/>
      <c r="M106" s="981"/>
      <c r="N106" s="981"/>
      <c r="O106" s="981"/>
      <c r="P106" s="981"/>
      <c r="Q106" s="981"/>
      <c r="R106" s="981"/>
      <c r="S106" s="981"/>
      <c r="T106" s="981"/>
      <c r="U106" s="981"/>
      <c r="V106" s="981"/>
      <c r="W106" s="981"/>
      <c r="X106" s="981"/>
      <c r="Y106" s="981"/>
    </row>
    <row r="107" spans="1:25" ht="15.5" thickTop="1" thickBot="1" x14ac:dyDescent="0.4">
      <c r="A107" s="7" t="s">
        <v>730</v>
      </c>
      <c r="B107" s="8"/>
      <c r="C107" s="12"/>
      <c r="D107" s="12"/>
      <c r="E107" s="12"/>
      <c r="F107" s="12"/>
      <c r="G107" s="13"/>
      <c r="H107" s="21"/>
      <c r="I107" s="21"/>
      <c r="J107" s="21"/>
      <c r="K107" s="21"/>
      <c r="L107" s="21"/>
      <c r="M107" s="21"/>
      <c r="N107" s="21"/>
      <c r="O107" s="21"/>
      <c r="P107" s="21"/>
      <c r="Q107" s="21"/>
      <c r="R107" s="21"/>
      <c r="S107" s="21"/>
      <c r="T107" s="21"/>
      <c r="U107" s="21"/>
      <c r="V107" s="21"/>
      <c r="W107" s="21"/>
      <c r="X107" s="21"/>
      <c r="Y107" s="21"/>
    </row>
    <row r="108" spans="1:25" ht="15" thickTop="1" x14ac:dyDescent="0.35">
      <c r="A108" s="3127"/>
      <c r="B108" s="3133" t="s">
        <v>731</v>
      </c>
      <c r="C108" s="3128"/>
      <c r="D108" s="3128"/>
      <c r="E108" s="3128"/>
      <c r="F108" s="3128"/>
      <c r="G108" s="3129"/>
      <c r="H108" s="3134"/>
      <c r="I108" s="3134"/>
      <c r="J108" s="3134"/>
      <c r="K108" s="3134"/>
      <c r="L108" s="3134"/>
      <c r="M108" s="3134"/>
      <c r="N108" s="3134"/>
      <c r="O108" s="3134"/>
      <c r="P108" s="3134"/>
      <c r="Q108" s="3134"/>
      <c r="R108" s="3134"/>
      <c r="S108" s="3134"/>
      <c r="T108" s="3134"/>
      <c r="U108" s="3134"/>
      <c r="V108" s="3134"/>
      <c r="W108" s="3134"/>
      <c r="X108" s="3134"/>
      <c r="Y108" s="3134"/>
    </row>
    <row r="109" spans="1:25" x14ac:dyDescent="0.35">
      <c r="A109" s="3035"/>
      <c r="B109" s="3031" t="s">
        <v>732</v>
      </c>
      <c r="C109" s="3032"/>
      <c r="D109" s="3032"/>
      <c r="E109" s="3032"/>
      <c r="F109" s="3032"/>
      <c r="G109" s="2198"/>
      <c r="H109" s="2158"/>
      <c r="I109" s="2158"/>
      <c r="J109" s="2158"/>
      <c r="K109" s="2158"/>
      <c r="L109" s="2158"/>
      <c r="M109" s="2158"/>
      <c r="N109" s="2158"/>
      <c r="O109" s="2158"/>
      <c r="P109" s="2158"/>
      <c r="Q109" s="2158"/>
      <c r="R109" s="2158"/>
      <c r="S109" s="2158"/>
      <c r="T109" s="2158"/>
      <c r="U109" s="2158"/>
      <c r="V109" s="2158"/>
      <c r="W109" s="2158"/>
      <c r="X109" s="2158"/>
      <c r="Y109" s="2158"/>
    </row>
    <row r="110" spans="1:25" ht="15" thickBot="1" x14ac:dyDescent="0.4">
      <c r="A110" s="2089"/>
      <c r="B110" s="2090" t="s">
        <v>733</v>
      </c>
      <c r="C110" s="2091"/>
      <c r="D110" s="2091"/>
      <c r="E110" s="2091"/>
      <c r="F110" s="2091"/>
      <c r="G110" s="2092"/>
      <c r="H110" s="2093"/>
      <c r="I110" s="2093"/>
      <c r="J110" s="2093"/>
      <c r="K110" s="2093"/>
      <c r="L110" s="2093"/>
      <c r="M110" s="2093"/>
      <c r="N110" s="2093"/>
      <c r="O110" s="2093"/>
      <c r="P110" s="2093"/>
      <c r="Q110" s="2093"/>
      <c r="R110" s="2093"/>
      <c r="S110" s="2093"/>
      <c r="T110" s="2093"/>
      <c r="U110" s="2093"/>
      <c r="V110" s="2093"/>
      <c r="W110" s="2093"/>
      <c r="X110" s="2093"/>
      <c r="Y110" s="2093"/>
    </row>
    <row r="111" spans="1:25" ht="15.5" thickTop="1" thickBot="1" x14ac:dyDescent="0.4"/>
    <row r="112" spans="1:25" ht="15.5" thickTop="1" thickBot="1" x14ac:dyDescent="0.4">
      <c r="A112" s="78" t="s">
        <v>734</v>
      </c>
      <c r="B112" s="80"/>
    </row>
    <row r="113" spans="1:2" ht="15" thickTop="1" x14ac:dyDescent="0.35">
      <c r="A113" s="79" t="s">
        <v>632</v>
      </c>
      <c r="B113" s="2094" t="str">
        <f>N4</f>
        <v>ASINET</v>
      </c>
    </row>
    <row r="114" spans="1:2" x14ac:dyDescent="0.35">
      <c r="A114" s="3029" t="s">
        <v>636</v>
      </c>
      <c r="B114" s="2094" t="str">
        <f>N5</f>
        <v>Beymar Sabogal</v>
      </c>
    </row>
    <row r="115" spans="1:2" x14ac:dyDescent="0.35">
      <c r="A115" s="2096" t="s">
        <v>639</v>
      </c>
      <c r="B115" s="2097">
        <f>N6</f>
        <v>3052288305</v>
      </c>
    </row>
    <row r="116" spans="1:2" x14ac:dyDescent="0.35">
      <c r="A116" s="2096" t="s">
        <v>642</v>
      </c>
      <c r="B116" s="2159" t="str">
        <f>N7</f>
        <v>beymars@asinet.com</v>
      </c>
    </row>
    <row r="117" spans="1:2" ht="15" thickBot="1" x14ac:dyDescent="0.4">
      <c r="A117" s="2099" t="s">
        <v>735</v>
      </c>
      <c r="B117" s="2100">
        <f>N8</f>
        <v>995375</v>
      </c>
    </row>
    <row r="118" spans="1:2" ht="15" thickTop="1" x14ac:dyDescent="0.35"/>
    <row r="119" spans="1:2" x14ac:dyDescent="0.35">
      <c r="A119" s="81"/>
      <c r="B119" s="1" t="s">
        <v>736</v>
      </c>
    </row>
    <row r="120" spans="1:2" x14ac:dyDescent="0.35">
      <c r="A120" s="82"/>
      <c r="B120" s="1" t="s">
        <v>737</v>
      </c>
    </row>
  </sheetData>
  <mergeCells count="68">
    <mergeCell ref="L7:M7"/>
    <mergeCell ref="L8:M8"/>
    <mergeCell ref="L2:M2"/>
    <mergeCell ref="L3:M3"/>
    <mergeCell ref="L4:M4"/>
    <mergeCell ref="L5:M5"/>
    <mergeCell ref="L6:M6"/>
    <mergeCell ref="J4:K4"/>
    <mergeCell ref="J5:K5"/>
    <mergeCell ref="J6:K6"/>
    <mergeCell ref="J7:K7"/>
    <mergeCell ref="J8:K8"/>
    <mergeCell ref="A85:B85"/>
    <mergeCell ref="A89:B89"/>
    <mergeCell ref="A93:B93"/>
    <mergeCell ref="A97:B97"/>
    <mergeCell ref="A101:B101"/>
    <mergeCell ref="R4:S4"/>
    <mergeCell ref="R5:S5"/>
    <mergeCell ref="R6:S6"/>
    <mergeCell ref="R7:S7"/>
    <mergeCell ref="R8:S8"/>
    <mergeCell ref="T4:U4"/>
    <mergeCell ref="T5:U5"/>
    <mergeCell ref="T6:U6"/>
    <mergeCell ref="T7:U7"/>
    <mergeCell ref="T8:U8"/>
    <mergeCell ref="H4:I4"/>
    <mergeCell ref="H5:I5"/>
    <mergeCell ref="H6:I6"/>
    <mergeCell ref="H7:I7"/>
    <mergeCell ref="H8:I8"/>
    <mergeCell ref="N2:O2"/>
    <mergeCell ref="V2:W2"/>
    <mergeCell ref="H3:I3"/>
    <mergeCell ref="X3:Y3"/>
    <mergeCell ref="T3:U3"/>
    <mergeCell ref="R3:S3"/>
    <mergeCell ref="N3:O3"/>
    <mergeCell ref="V3:W3"/>
    <mergeCell ref="H2:I2"/>
    <mergeCell ref="X2:Y2"/>
    <mergeCell ref="T2:U2"/>
    <mergeCell ref="R2:S2"/>
    <mergeCell ref="J2:K2"/>
    <mergeCell ref="J3:K3"/>
    <mergeCell ref="P2:Q2"/>
    <mergeCell ref="P3:Q3"/>
    <mergeCell ref="V4:W4"/>
    <mergeCell ref="V5:W5"/>
    <mergeCell ref="V6:W6"/>
    <mergeCell ref="V7:W7"/>
    <mergeCell ref="V8:W8"/>
    <mergeCell ref="N4:O4"/>
    <mergeCell ref="N5:O5"/>
    <mergeCell ref="N6:O6"/>
    <mergeCell ref="N7:O7"/>
    <mergeCell ref="N8:O8"/>
    <mergeCell ref="X4:Y4"/>
    <mergeCell ref="X5:Y5"/>
    <mergeCell ref="X6:Y6"/>
    <mergeCell ref="X7:Y7"/>
    <mergeCell ref="X8:Y8"/>
    <mergeCell ref="P4:Q4"/>
    <mergeCell ref="P5:Q5"/>
    <mergeCell ref="P6:Q6"/>
    <mergeCell ref="P7:Q7"/>
    <mergeCell ref="P8:Q8"/>
  </mergeCells>
  <conditionalFormatting sqref="N20:N32 N40 P20:P32 P40 R34:R65 N41:Q41 N66:R66 R67:R76 N42:N73 P42:P73 X34:X76 H34:H76 V34:V76 T34:T76 J34:J76 L34:L76 N74:Q76">
    <cfRule type="cellIs" dxfId="289" priority="35" operator="equal">
      <formula>"X"</formula>
    </cfRule>
    <cfRule type="cellIs" dxfId="288" priority="36" operator="equal">
      <formula>"I"</formula>
    </cfRule>
  </conditionalFormatting>
  <conditionalFormatting sqref="R20:R32">
    <cfRule type="cellIs" dxfId="287" priority="33" operator="equal">
      <formula>"X"</formula>
    </cfRule>
    <cfRule type="cellIs" dxfId="286" priority="34" operator="equal">
      <formula>"I"</formula>
    </cfRule>
  </conditionalFormatting>
  <conditionalFormatting sqref="H20:H32 N37 O73 P37 Q73 N34:Q36 N38:Q39">
    <cfRule type="cellIs" dxfId="285" priority="27" operator="equal">
      <formula>"X"</formula>
    </cfRule>
    <cfRule type="cellIs" dxfId="284" priority="28" operator="equal">
      <formula>"I"</formula>
    </cfRule>
  </conditionalFormatting>
  <conditionalFormatting sqref="V20:V32">
    <cfRule type="cellIs" dxfId="283" priority="37" operator="equal">
      <formula>"X"</formula>
    </cfRule>
    <cfRule type="cellIs" dxfId="282" priority="38" operator="equal">
      <formula>"I"</formula>
    </cfRule>
  </conditionalFormatting>
  <conditionalFormatting sqref="X20:X32">
    <cfRule type="cellIs" dxfId="281" priority="29" operator="equal">
      <formula>"X"</formula>
    </cfRule>
    <cfRule type="cellIs" dxfId="280" priority="30" operator="equal">
      <formula>"I"</formula>
    </cfRule>
  </conditionalFormatting>
  <conditionalFormatting sqref="T20:T32">
    <cfRule type="cellIs" dxfId="279" priority="31" operator="equal">
      <formula>"X"</formula>
    </cfRule>
    <cfRule type="cellIs" dxfId="278" priority="32" operator="equal">
      <formula>"I"</formula>
    </cfRule>
  </conditionalFormatting>
  <conditionalFormatting sqref="J20:J32">
    <cfRule type="cellIs" dxfId="277" priority="5" operator="equal">
      <formula>"X"</formula>
    </cfRule>
    <cfRule type="cellIs" dxfId="276" priority="6" operator="equal">
      <formula>"I"</formula>
    </cfRule>
  </conditionalFormatting>
  <conditionalFormatting sqref="L20:L32">
    <cfRule type="cellIs" dxfId="275" priority="1" operator="equal">
      <formula>"X"</formula>
    </cfRule>
    <cfRule type="cellIs" dxfId="274" priority="2" operator="equal">
      <formula>"I"</formula>
    </cfRule>
  </conditionalFormatting>
  <hyperlinks>
    <hyperlink ref="B3" location="'Cost Summary'!A1" display="BACK TO SUMMARY SHEET" xr:uid="{85EBB3AB-E1C3-475F-87F5-28B6CC2456A7}"/>
    <hyperlink ref="H7" r:id="rId1" xr:uid="{A2BA672E-EF7C-4CFD-8459-6541F995B31F}"/>
    <hyperlink ref="T7" r:id="rId2" xr:uid="{23CC8CD2-C634-44AD-838C-505969B32BD4}"/>
    <hyperlink ref="R7:S7" r:id="rId3" display="richard@capitalns.com" xr:uid="{E69C10B1-EDB0-4009-B15F-CB400752276C}"/>
    <hyperlink ref="N7" r:id="rId4" display=": beymars@asinet.com" xr:uid="{40287172-1FCE-4453-A36F-6662DE39F4E7}"/>
    <hyperlink ref="N7:O7" r:id="rId5" display="beymars@asinet.com" xr:uid="{46EA8BC1-F4B7-424F-8341-2036D437D7AB}"/>
    <hyperlink ref="V7" r:id="rId6" xr:uid="{69A37F99-FD2B-4FCC-A2A1-789EB9ADAA6C}"/>
    <hyperlink ref="J7" r:id="rId7" xr:uid="{5A4A7E9F-AA06-41B9-A702-CE789F856B79}"/>
    <hyperlink ref="P7" r:id="rId8" display=": beymars@asinet.com" xr:uid="{5A0F9B22-28E0-4866-A005-C7F0C663BE27}"/>
    <hyperlink ref="P7:Q7" r:id="rId9" display="beymars@asinet.com" xr:uid="{CC984DD8-37B2-4F7E-955D-44BA0E6CA20E}"/>
    <hyperlink ref="L7" r:id="rId10" display="mailto:pengle@joycomm.com" xr:uid="{6FEC6500-71CE-41EE-ABAF-24043FB73417}"/>
  </hyperlinks>
  <pageMargins left="0.7" right="0.7" top="0.75" bottom="0.75" header="0.3" footer="0.3"/>
  <pageSetup scale="70" orientation="portrait" horizontalDpi="300" verticalDpi="300" r:id="rId11"/>
  <legacyDrawing r:id="rId1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B01-5446-4D66-BF9B-18E89A4EC9B2}">
  <sheetPr>
    <tabColor rgb="FF92D050"/>
    <pageSetUpPr fitToPage="1"/>
  </sheetPr>
  <dimension ref="A1:AI247"/>
  <sheetViews>
    <sheetView zoomScaleNormal="100" workbookViewId="0">
      <pane xSplit="2" ySplit="9" topLeftCell="G20" activePane="bottomRight" state="frozen"/>
      <selection pane="topRight" activeCell="C1" sqref="C1"/>
      <selection pane="bottomLeft" activeCell="A10" sqref="A10"/>
      <selection pane="bottomRight" activeCell="M39" sqref="M39"/>
    </sheetView>
  </sheetViews>
  <sheetFormatPr defaultRowHeight="14.5" x14ac:dyDescent="0.35"/>
  <cols>
    <col min="1" max="1" width="11" customWidth="1"/>
    <col min="2" max="2" width="70.7265625" style="1" customWidth="1"/>
    <col min="3" max="3" width="10.81640625" style="2" bestFit="1" customWidth="1"/>
    <col min="4" max="4" width="10.453125" style="2" bestFit="1" customWidth="1"/>
    <col min="5" max="5" width="9.1796875" style="2" customWidth="1"/>
    <col min="6" max="6" width="14.54296875" style="2" customWidth="1"/>
    <col min="7" max="7" width="13.7265625" style="2" bestFit="1" customWidth="1"/>
    <col min="8" max="8" width="7.453125" style="2" customWidth="1"/>
    <col min="9" max="9" width="14.81640625" style="2" customWidth="1"/>
    <col min="10" max="10" width="7.453125" style="2" customWidth="1"/>
    <col min="11" max="11" width="14.81640625" style="2" customWidth="1"/>
    <col min="12" max="12" width="7.453125" style="2" customWidth="1"/>
    <col min="13" max="13" width="14.81640625" style="2" customWidth="1"/>
    <col min="14" max="14" width="7.453125" style="2" customWidth="1"/>
    <col min="15" max="15" width="14.81640625" style="2" customWidth="1"/>
    <col min="16" max="16" width="7.453125" style="2" customWidth="1"/>
    <col min="17" max="17" width="14.81640625" style="2" customWidth="1"/>
    <col min="18" max="18" width="7.453125" style="2"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 min="24" max="24" width="7.453125" style="2" customWidth="1"/>
    <col min="25" max="25" width="14.81640625" style="2" customWidth="1"/>
    <col min="26" max="26" width="7.453125" style="2" customWidth="1"/>
    <col min="27" max="27" width="14.81640625" style="2" customWidth="1"/>
    <col min="28" max="28" width="7.453125" style="2" customWidth="1"/>
    <col min="29" max="29" width="14.81640625" style="51" customWidth="1"/>
    <col min="30" max="30" width="7.453125" style="2" customWidth="1"/>
    <col min="31" max="31" width="14.81640625" style="2" customWidth="1"/>
    <col min="32" max="32" width="7.453125" style="2" customWidth="1"/>
    <col min="33" max="33" width="14.81640625" style="2" customWidth="1"/>
    <col min="34" max="34" width="7.453125" style="2" customWidth="1"/>
    <col min="35" max="35" width="14.81640625" style="2" customWidth="1"/>
  </cols>
  <sheetData>
    <row r="1" spans="1:35" x14ac:dyDescent="0.35">
      <c r="E1" s="152"/>
      <c r="F1" s="125"/>
      <c r="G1" s="123" t="s">
        <v>621</v>
      </c>
      <c r="Q1" s="2" t="s">
        <v>770</v>
      </c>
      <c r="W1" s="2" t="s">
        <v>770</v>
      </c>
    </row>
    <row r="2" spans="1:35" x14ac:dyDescent="0.35">
      <c r="E2" s="152"/>
      <c r="F2" s="122" t="s">
        <v>622</v>
      </c>
      <c r="G2" s="123" t="s">
        <v>451</v>
      </c>
      <c r="H2" s="3751"/>
      <c r="I2" s="3751"/>
      <c r="J2" s="3751"/>
      <c r="K2" s="3751"/>
      <c r="L2" s="3866">
        <v>3055466244</v>
      </c>
      <c r="M2" s="3866"/>
      <c r="N2" s="3866">
        <v>3055466244</v>
      </c>
      <c r="O2" s="3866"/>
      <c r="P2" s="3866">
        <v>3055466244</v>
      </c>
      <c r="Q2" s="3866"/>
      <c r="R2" s="3866">
        <v>2602243451</v>
      </c>
      <c r="S2" s="3866"/>
      <c r="T2" s="3751"/>
      <c r="U2" s="3751"/>
      <c r="V2" s="3751"/>
      <c r="W2" s="3751"/>
      <c r="X2" s="3751"/>
      <c r="Y2" s="3751"/>
      <c r="Z2" s="3751"/>
      <c r="AA2" s="3751"/>
      <c r="AB2" s="3751" t="s">
        <v>3684</v>
      </c>
      <c r="AC2" s="3751"/>
      <c r="AD2" s="3751"/>
      <c r="AE2" s="3751"/>
      <c r="AF2" s="3751" t="s">
        <v>3685</v>
      </c>
      <c r="AG2" s="3751"/>
      <c r="AH2" s="3751"/>
      <c r="AI2" s="3751"/>
    </row>
    <row r="3" spans="1:35" ht="19.5" x14ac:dyDescent="0.35">
      <c r="B3" s="137" t="s">
        <v>623</v>
      </c>
      <c r="E3" s="152"/>
      <c r="F3" s="124" t="s">
        <v>624</v>
      </c>
      <c r="G3" s="123" t="s">
        <v>557</v>
      </c>
      <c r="H3" s="3772" t="s">
        <v>625</v>
      </c>
      <c r="I3" s="3773"/>
      <c r="J3" s="3772" t="s">
        <v>625</v>
      </c>
      <c r="K3" s="3773"/>
      <c r="L3" s="3754" t="s">
        <v>626</v>
      </c>
      <c r="M3" s="3755"/>
      <c r="N3" s="3772" t="s">
        <v>626</v>
      </c>
      <c r="O3" s="3773"/>
      <c r="P3" s="3772" t="s">
        <v>626</v>
      </c>
      <c r="Q3" s="3773"/>
      <c r="R3" s="3754" t="s">
        <v>627</v>
      </c>
      <c r="S3" s="3755"/>
      <c r="T3" s="3754" t="s">
        <v>628</v>
      </c>
      <c r="U3" s="3755"/>
      <c r="V3" s="3754" t="s">
        <v>628</v>
      </c>
      <c r="W3" s="3755"/>
      <c r="X3" s="3754" t="s">
        <v>772</v>
      </c>
      <c r="Y3" s="3755"/>
      <c r="Z3" s="3754" t="s">
        <v>773</v>
      </c>
      <c r="AA3" s="3755"/>
      <c r="AB3" s="3754" t="s">
        <v>1550</v>
      </c>
      <c r="AC3" s="3755"/>
      <c r="AD3" s="3754" t="s">
        <v>1678</v>
      </c>
      <c r="AE3" s="3755"/>
      <c r="AF3" s="3754" t="s">
        <v>629</v>
      </c>
      <c r="AG3" s="3755"/>
      <c r="AH3" s="3754" t="s">
        <v>630</v>
      </c>
      <c r="AI3" s="3755"/>
    </row>
    <row r="4" spans="1:35" x14ac:dyDescent="0.35">
      <c r="A4" s="3" t="s">
        <v>631</v>
      </c>
      <c r="B4" s="4" t="str">
        <f>'AREA CALC''s'!B4</f>
        <v>Alton Hilltop Gardens</v>
      </c>
      <c r="C4" s="5"/>
      <c r="D4" s="5"/>
      <c r="E4" s="5"/>
      <c r="F4" s="5"/>
      <c r="G4" s="6" t="s">
        <v>632</v>
      </c>
      <c r="H4" s="3752" t="s">
        <v>3686</v>
      </c>
      <c r="I4" s="3753"/>
      <c r="J4" s="3752" t="s">
        <v>3687</v>
      </c>
      <c r="K4" s="3753"/>
      <c r="L4" s="3752" t="s">
        <v>3688</v>
      </c>
      <c r="M4" s="3753"/>
      <c r="N4" s="3752" t="s">
        <v>3689</v>
      </c>
      <c r="O4" s="3753"/>
      <c r="P4" s="3752" t="s">
        <v>3690</v>
      </c>
      <c r="Q4" s="3753"/>
      <c r="R4" s="3752" t="s">
        <v>3691</v>
      </c>
      <c r="S4" s="3753"/>
      <c r="T4" s="3752" t="s">
        <v>3692</v>
      </c>
      <c r="U4" s="3753"/>
      <c r="V4" s="3752" t="s">
        <v>3693</v>
      </c>
      <c r="W4" s="3753"/>
      <c r="X4" s="3752" t="s">
        <v>3694</v>
      </c>
      <c r="Y4" s="3753"/>
      <c r="Z4" s="3752" t="s">
        <v>3695</v>
      </c>
      <c r="AA4" s="3753"/>
      <c r="AB4" s="3752" t="s">
        <v>3696</v>
      </c>
      <c r="AC4" s="3753"/>
      <c r="AD4" s="3752" t="s">
        <v>3697</v>
      </c>
      <c r="AE4" s="3753"/>
      <c r="AF4" s="3752" t="s">
        <v>3698</v>
      </c>
      <c r="AG4" s="3753"/>
      <c r="AH4" s="3752"/>
      <c r="AI4" s="3753"/>
    </row>
    <row r="5" spans="1:35" x14ac:dyDescent="0.35">
      <c r="A5" s="3030" t="s">
        <v>634</v>
      </c>
      <c r="B5" s="3031" t="s">
        <v>568</v>
      </c>
      <c r="C5" s="3032"/>
      <c r="D5" s="3032"/>
      <c r="E5" s="3032"/>
      <c r="F5" s="3032"/>
      <c r="G5" s="2194" t="s">
        <v>636</v>
      </c>
      <c r="H5" s="3992" t="s">
        <v>3699</v>
      </c>
      <c r="I5" s="3932"/>
      <c r="J5" s="3992" t="s">
        <v>3699</v>
      </c>
      <c r="K5" s="3932"/>
      <c r="L5" s="3992" t="s">
        <v>3700</v>
      </c>
      <c r="M5" s="3932"/>
      <c r="N5" s="3992" t="s">
        <v>3700</v>
      </c>
      <c r="O5" s="3932"/>
      <c r="P5" s="3992" t="s">
        <v>3700</v>
      </c>
      <c r="Q5" s="3932"/>
      <c r="R5" s="3992" t="s">
        <v>3701</v>
      </c>
      <c r="S5" s="3932"/>
      <c r="T5" s="3992" t="s">
        <v>3702</v>
      </c>
      <c r="U5" s="3932"/>
      <c r="V5" s="3992" t="s">
        <v>3702</v>
      </c>
      <c r="W5" s="3932"/>
      <c r="X5" s="3992" t="s">
        <v>3703</v>
      </c>
      <c r="Y5" s="3932"/>
      <c r="Z5" s="3992" t="s">
        <v>3704</v>
      </c>
      <c r="AA5" s="3932"/>
      <c r="AB5" s="3992" t="s">
        <v>3705</v>
      </c>
      <c r="AC5" s="3932"/>
      <c r="AD5" s="3992" t="s">
        <v>3706</v>
      </c>
      <c r="AE5" s="3932"/>
      <c r="AF5" s="3992" t="s">
        <v>3707</v>
      </c>
      <c r="AG5" s="3932"/>
      <c r="AH5" s="3992"/>
      <c r="AI5" s="3932"/>
    </row>
    <row r="6" spans="1:35" x14ac:dyDescent="0.35">
      <c r="A6" s="3030" t="s">
        <v>638</v>
      </c>
      <c r="B6" s="3033" t="s">
        <v>567</v>
      </c>
      <c r="C6" s="3032"/>
      <c r="D6" s="3032"/>
      <c r="E6" s="3032"/>
      <c r="F6" s="3032"/>
      <c r="G6" s="2194" t="s">
        <v>639</v>
      </c>
      <c r="H6" s="3993">
        <v>7727772662</v>
      </c>
      <c r="I6" s="3938"/>
      <c r="J6" s="3993">
        <v>7727772662</v>
      </c>
      <c r="K6" s="3938"/>
      <c r="L6" s="3993">
        <v>3052473226</v>
      </c>
      <c r="M6" s="3938"/>
      <c r="N6" s="3993">
        <v>3052473226</v>
      </c>
      <c r="O6" s="3938"/>
      <c r="P6" s="3993">
        <v>3052473226</v>
      </c>
      <c r="Q6" s="3938"/>
      <c r="R6" s="3993">
        <v>5617911953</v>
      </c>
      <c r="S6" s="3938"/>
      <c r="T6" s="3993">
        <v>5612429770</v>
      </c>
      <c r="U6" s="3938"/>
      <c r="V6" s="3993">
        <v>5612429770</v>
      </c>
      <c r="W6" s="3938"/>
      <c r="X6" s="3993">
        <v>7722865123</v>
      </c>
      <c r="Y6" s="3938"/>
      <c r="Z6" s="3993">
        <v>5614418940</v>
      </c>
      <c r="AA6" s="3938"/>
      <c r="AB6" s="3993">
        <v>5616893917</v>
      </c>
      <c r="AC6" s="3938"/>
      <c r="AD6" s="3993">
        <v>3057527742</v>
      </c>
      <c r="AE6" s="3938"/>
      <c r="AF6" s="3993">
        <v>7722218772</v>
      </c>
      <c r="AG6" s="3938"/>
      <c r="AH6" s="3993"/>
      <c r="AI6" s="3938"/>
    </row>
    <row r="7" spans="1:35" x14ac:dyDescent="0.35">
      <c r="A7" s="3030" t="s">
        <v>641</v>
      </c>
      <c r="B7" s="3034"/>
      <c r="C7" s="3032"/>
      <c r="D7" s="3032"/>
      <c r="E7" s="3032"/>
      <c r="F7" s="3032"/>
      <c r="G7" s="2194" t="s">
        <v>642</v>
      </c>
      <c r="H7" s="3991" t="s">
        <v>3708</v>
      </c>
      <c r="I7" s="3935"/>
      <c r="J7" s="3991" t="s">
        <v>3708</v>
      </c>
      <c r="K7" s="3935"/>
      <c r="L7" s="3991" t="s">
        <v>3709</v>
      </c>
      <c r="M7" s="3935"/>
      <c r="N7" s="3991" t="s">
        <v>3709</v>
      </c>
      <c r="O7" s="3935"/>
      <c r="P7" s="3991" t="s">
        <v>3709</v>
      </c>
      <c r="Q7" s="3935"/>
      <c r="R7" s="3991" t="s">
        <v>3710</v>
      </c>
      <c r="S7" s="3935"/>
      <c r="T7" s="3991" t="s">
        <v>3711</v>
      </c>
      <c r="U7" s="3935"/>
      <c r="V7" s="3991" t="s">
        <v>3711</v>
      </c>
      <c r="W7" s="3935"/>
      <c r="X7" s="3991" t="s">
        <v>3712</v>
      </c>
      <c r="Y7" s="3935"/>
      <c r="Z7" s="3991" t="s">
        <v>3713</v>
      </c>
      <c r="AA7" s="3935"/>
      <c r="AB7" s="3991" t="s">
        <v>3714</v>
      </c>
      <c r="AC7" s="3935"/>
      <c r="AD7" s="3991" t="s">
        <v>3715</v>
      </c>
      <c r="AE7" s="3935"/>
      <c r="AF7" s="3991" t="s">
        <v>3716</v>
      </c>
      <c r="AG7" s="3935"/>
      <c r="AH7" s="3991"/>
      <c r="AI7" s="3935"/>
    </row>
    <row r="8" spans="1:35" x14ac:dyDescent="0.35">
      <c r="A8" s="938" t="s">
        <v>644</v>
      </c>
      <c r="B8" s="939"/>
      <c r="C8" s="940"/>
      <c r="D8" s="940"/>
      <c r="E8" s="940"/>
      <c r="F8" s="940"/>
      <c r="G8" s="1024" t="s">
        <v>644</v>
      </c>
      <c r="H8" s="3926">
        <f>I206</f>
        <v>10466842.1</v>
      </c>
      <c r="I8" s="3927"/>
      <c r="J8" s="3926">
        <f>K206</f>
        <v>10649716.74</v>
      </c>
      <c r="K8" s="3927"/>
      <c r="L8" s="3926">
        <f>M206</f>
        <v>10660283</v>
      </c>
      <c r="M8" s="3927"/>
      <c r="N8" s="3926">
        <f>O206</f>
        <v>10941785</v>
      </c>
      <c r="O8" s="3927"/>
      <c r="P8" s="3926">
        <f>Q206</f>
        <v>10138656</v>
      </c>
      <c r="Q8" s="3927"/>
      <c r="R8" s="3926">
        <f>S206</f>
        <v>11102344</v>
      </c>
      <c r="S8" s="3927"/>
      <c r="T8" s="3926">
        <f>U206</f>
        <v>11646685</v>
      </c>
      <c r="U8" s="3927"/>
      <c r="V8" s="3926">
        <f>W206</f>
        <v>10538605</v>
      </c>
      <c r="W8" s="3927"/>
      <c r="X8" s="3926">
        <f>Y206</f>
        <v>11790515</v>
      </c>
      <c r="Y8" s="3927"/>
      <c r="Z8" s="3926">
        <f>AA206</f>
        <v>12069813</v>
      </c>
      <c r="AA8" s="3927"/>
      <c r="AB8" s="3926">
        <f>AC206</f>
        <v>13375288</v>
      </c>
      <c r="AC8" s="3927"/>
      <c r="AD8" s="3926">
        <f>AE206</f>
        <v>13708134.1</v>
      </c>
      <c r="AE8" s="3927"/>
      <c r="AF8" s="3926">
        <f>AG206</f>
        <v>4566819</v>
      </c>
      <c r="AG8" s="3927"/>
      <c r="AH8" s="3926">
        <f>AI206</f>
        <v>0</v>
      </c>
      <c r="AI8" s="3927"/>
    </row>
    <row r="9" spans="1:35" ht="2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c r="X9" s="11" t="s">
        <v>651</v>
      </c>
      <c r="Y9" s="11" t="s">
        <v>652</v>
      </c>
      <c r="Z9" s="11" t="s">
        <v>651</v>
      </c>
      <c r="AA9" s="11" t="s">
        <v>652</v>
      </c>
      <c r="AB9" s="11" t="s">
        <v>651</v>
      </c>
      <c r="AC9" s="11" t="s">
        <v>652</v>
      </c>
      <c r="AD9" s="11" t="s">
        <v>651</v>
      </c>
      <c r="AE9" s="11" t="s">
        <v>652</v>
      </c>
      <c r="AF9" s="11" t="s">
        <v>651</v>
      </c>
      <c r="AG9" s="11" t="s">
        <v>652</v>
      </c>
      <c r="AH9" s="11" t="s">
        <v>651</v>
      </c>
      <c r="AI9" s="11" t="s">
        <v>652</v>
      </c>
    </row>
    <row r="10" spans="1:35" ht="15.75" hidden="1" customHeight="1" x14ac:dyDescent="0.35">
      <c r="A10" s="3035"/>
      <c r="B10" s="3135" t="s">
        <v>653</v>
      </c>
      <c r="C10" s="3032"/>
      <c r="D10" s="3032"/>
      <c r="E10" s="3032"/>
      <c r="F10" s="3032"/>
      <c r="G10" s="2198"/>
      <c r="H10" s="2107"/>
      <c r="I10" s="2107"/>
      <c r="J10" s="2107"/>
      <c r="K10" s="2107"/>
      <c r="L10" s="2107"/>
      <c r="M10" s="2107"/>
      <c r="N10" s="2107"/>
      <c r="O10" s="2107"/>
      <c r="P10" s="2107"/>
      <c r="Q10" s="2107"/>
      <c r="R10" s="2107"/>
      <c r="S10" s="2107"/>
      <c r="T10" s="2107"/>
      <c r="U10" s="2107"/>
      <c r="V10" s="2107"/>
      <c r="W10" s="2107"/>
      <c r="X10" s="2107"/>
      <c r="Y10" s="2107"/>
      <c r="Z10" s="2107"/>
      <c r="AA10" s="2107"/>
      <c r="AB10" s="2107"/>
      <c r="AC10" s="3148"/>
      <c r="AD10" s="2107"/>
      <c r="AE10" s="2107"/>
      <c r="AF10" s="2107"/>
      <c r="AG10" s="2107"/>
      <c r="AH10" s="2107"/>
      <c r="AI10" s="2107"/>
    </row>
    <row r="11" spans="1:35" ht="15.75" hidden="1" customHeight="1" x14ac:dyDescent="0.35">
      <c r="A11" s="3035"/>
      <c r="B11" s="3031" t="e">
        <f>#REF!</f>
        <v>#REF!</v>
      </c>
      <c r="C11" s="3036" t="s">
        <v>654</v>
      </c>
      <c r="D11" s="3032"/>
      <c r="E11" s="3032"/>
      <c r="F11" s="3032"/>
      <c r="G11" s="2198"/>
      <c r="H11" s="2107"/>
      <c r="I11" s="2107"/>
      <c r="J11" s="2107"/>
      <c r="K11" s="2107"/>
      <c r="L11" s="2107"/>
      <c r="M11" s="2107"/>
      <c r="N11" s="2107"/>
      <c r="O11" s="2107"/>
      <c r="P11" s="2107"/>
      <c r="Q11" s="2107"/>
      <c r="R11" s="2107"/>
      <c r="S11" s="2107"/>
      <c r="T11" s="2107"/>
      <c r="U11" s="2107"/>
      <c r="V11" s="2107"/>
      <c r="W11" s="2107"/>
      <c r="X11" s="2107"/>
      <c r="Y11" s="2107"/>
      <c r="Z11" s="2107"/>
      <c r="AA11" s="2107"/>
      <c r="AB11" s="2107"/>
      <c r="AC11" s="3148"/>
      <c r="AD11" s="2107"/>
      <c r="AE11" s="2107"/>
      <c r="AF11" s="2107"/>
      <c r="AG11" s="2107"/>
      <c r="AH11" s="2107"/>
      <c r="AI11" s="2107"/>
    </row>
    <row r="12" spans="1:35" ht="15.75" hidden="1" customHeight="1" x14ac:dyDescent="0.35">
      <c r="A12" s="3035"/>
      <c r="B12" s="3031" t="e">
        <f>#REF!</f>
        <v>#REF!</v>
      </c>
      <c r="C12" s="3036" t="s">
        <v>654</v>
      </c>
      <c r="D12" s="3032"/>
      <c r="E12" s="3032"/>
      <c r="F12" s="3032"/>
      <c r="G12" s="2198"/>
      <c r="H12" s="2107"/>
      <c r="I12" s="2107"/>
      <c r="J12" s="2107"/>
      <c r="K12" s="2107"/>
      <c r="L12" s="2107"/>
      <c r="M12" s="2107"/>
      <c r="N12" s="2107"/>
      <c r="O12" s="2107"/>
      <c r="P12" s="2107"/>
      <c r="Q12" s="2107"/>
      <c r="R12" s="2107"/>
      <c r="S12" s="2107"/>
      <c r="T12" s="2107"/>
      <c r="U12" s="2107"/>
      <c r="V12" s="2107"/>
      <c r="W12" s="2107"/>
      <c r="X12" s="2107"/>
      <c r="Y12" s="2107"/>
      <c r="Z12" s="2107"/>
      <c r="AA12" s="2107"/>
      <c r="AB12" s="2107"/>
      <c r="AC12" s="3148"/>
      <c r="AD12" s="2107"/>
      <c r="AE12" s="2107"/>
      <c r="AF12" s="2107"/>
      <c r="AG12" s="2107"/>
      <c r="AH12" s="2107"/>
      <c r="AI12" s="2107"/>
    </row>
    <row r="13" spans="1:35" ht="15.75" hidden="1" customHeight="1" x14ac:dyDescent="0.35">
      <c r="A13" s="3035"/>
      <c r="B13" s="3031" t="e">
        <f>#REF!</f>
        <v>#REF!</v>
      </c>
      <c r="C13" s="3036" t="s">
        <v>654</v>
      </c>
      <c r="D13" s="3032"/>
      <c r="E13" s="3032"/>
      <c r="F13" s="3032"/>
      <c r="G13" s="2198"/>
      <c r="H13" s="2107"/>
      <c r="I13" s="2107"/>
      <c r="J13" s="2107"/>
      <c r="K13" s="2107"/>
      <c r="L13" s="2107"/>
      <c r="M13" s="2107"/>
      <c r="N13" s="2107"/>
      <c r="O13" s="2107"/>
      <c r="P13" s="2107"/>
      <c r="Q13" s="2107"/>
      <c r="R13" s="2107"/>
      <c r="S13" s="2107"/>
      <c r="T13" s="2107"/>
      <c r="U13" s="2107"/>
      <c r="V13" s="2107"/>
      <c r="W13" s="2107"/>
      <c r="X13" s="2107"/>
      <c r="Y13" s="2107"/>
      <c r="Z13" s="2107"/>
      <c r="AA13" s="2107"/>
      <c r="AB13" s="2107"/>
      <c r="AC13" s="3148"/>
      <c r="AD13" s="2107"/>
      <c r="AE13" s="2107"/>
      <c r="AF13" s="2107"/>
      <c r="AG13" s="2107"/>
      <c r="AH13" s="2107"/>
      <c r="AI13" s="2107"/>
    </row>
    <row r="14" spans="1:35" ht="15.75" hidden="1" customHeight="1" x14ac:dyDescent="0.35">
      <c r="A14" s="3035"/>
      <c r="B14" s="3031" t="e">
        <f>#REF!</f>
        <v>#REF!</v>
      </c>
      <c r="C14" s="3036" t="s">
        <v>654</v>
      </c>
      <c r="D14" s="3032"/>
      <c r="E14" s="3032"/>
      <c r="F14" s="3032"/>
      <c r="G14" s="2198"/>
      <c r="H14" s="2107"/>
      <c r="I14" s="2107"/>
      <c r="J14" s="2107"/>
      <c r="K14" s="2107"/>
      <c r="L14" s="2107"/>
      <c r="M14" s="2107"/>
      <c r="N14" s="2107"/>
      <c r="O14" s="2107"/>
      <c r="P14" s="2107"/>
      <c r="Q14" s="2107"/>
      <c r="R14" s="2107"/>
      <c r="S14" s="2107"/>
      <c r="T14" s="2107"/>
      <c r="U14" s="2107"/>
      <c r="V14" s="2107"/>
      <c r="W14" s="2107"/>
      <c r="X14" s="2107"/>
      <c r="Y14" s="2107"/>
      <c r="Z14" s="2107"/>
      <c r="AA14" s="2107"/>
      <c r="AB14" s="2107"/>
      <c r="AC14" s="3148"/>
      <c r="AD14" s="2107"/>
      <c r="AE14" s="2107"/>
      <c r="AF14" s="2107"/>
      <c r="AG14" s="2107"/>
      <c r="AH14" s="2107"/>
      <c r="AI14" s="2107"/>
    </row>
    <row r="15" spans="1:35" ht="15.75" hidden="1" customHeight="1" x14ac:dyDescent="0.35">
      <c r="A15" s="3035"/>
      <c r="B15" s="3031" t="e">
        <f>#REF!</f>
        <v>#REF!</v>
      </c>
      <c r="C15" s="3036" t="s">
        <v>654</v>
      </c>
      <c r="D15" s="3032"/>
      <c r="E15" s="3032"/>
      <c r="F15" s="3032"/>
      <c r="G15" s="2198"/>
      <c r="H15" s="2107"/>
      <c r="I15" s="2107"/>
      <c r="J15" s="2107"/>
      <c r="K15" s="2107"/>
      <c r="L15" s="2107"/>
      <c r="M15" s="2107"/>
      <c r="N15" s="2107"/>
      <c r="O15" s="2107"/>
      <c r="P15" s="2107"/>
      <c r="Q15" s="2107"/>
      <c r="R15" s="2107"/>
      <c r="S15" s="2107"/>
      <c r="T15" s="2107"/>
      <c r="U15" s="2107"/>
      <c r="V15" s="2107"/>
      <c r="W15" s="2107"/>
      <c r="X15" s="2107"/>
      <c r="Y15" s="2107"/>
      <c r="Z15" s="2107"/>
      <c r="AA15" s="2107"/>
      <c r="AB15" s="2107"/>
      <c r="AC15" s="3148"/>
      <c r="AD15" s="2107"/>
      <c r="AE15" s="2107"/>
      <c r="AF15" s="2107"/>
      <c r="AG15" s="2107"/>
      <c r="AH15" s="2107"/>
      <c r="AI15" s="2107"/>
    </row>
    <row r="16" spans="1:35" ht="15.75" hidden="1" customHeight="1" x14ac:dyDescent="0.35">
      <c r="A16" s="3035"/>
      <c r="B16" s="3031" t="e">
        <f>#REF!</f>
        <v>#REF!</v>
      </c>
      <c r="C16" s="3036" t="s">
        <v>654</v>
      </c>
      <c r="D16" s="3032"/>
      <c r="E16" s="3032"/>
      <c r="F16" s="3032"/>
      <c r="G16" s="2198"/>
      <c r="H16" s="2107"/>
      <c r="I16" s="2107"/>
      <c r="J16" s="2107"/>
      <c r="K16" s="2107"/>
      <c r="L16" s="2107"/>
      <c r="M16" s="2107"/>
      <c r="N16" s="2107"/>
      <c r="O16" s="2107"/>
      <c r="P16" s="2107"/>
      <c r="Q16" s="2107"/>
      <c r="R16" s="2107"/>
      <c r="S16" s="2107"/>
      <c r="T16" s="2107"/>
      <c r="U16" s="2107"/>
      <c r="V16" s="2107"/>
      <c r="W16" s="2107"/>
      <c r="X16" s="2107"/>
      <c r="Y16" s="2107"/>
      <c r="Z16" s="2107"/>
      <c r="AA16" s="2107"/>
      <c r="AB16" s="2107"/>
      <c r="AC16" s="3148"/>
      <c r="AD16" s="2107"/>
      <c r="AE16" s="2107"/>
      <c r="AF16" s="2107"/>
      <c r="AG16" s="2107"/>
      <c r="AH16" s="2107"/>
      <c r="AI16" s="2107"/>
    </row>
    <row r="17" spans="1:35" ht="15.75" hidden="1" customHeight="1" x14ac:dyDescent="0.35">
      <c r="A17" s="3035"/>
      <c r="B17" s="3031" t="e">
        <f>#REF!</f>
        <v>#REF!</v>
      </c>
      <c r="C17" s="3036" t="s">
        <v>654</v>
      </c>
      <c r="D17" s="3032"/>
      <c r="E17" s="3032"/>
      <c r="F17" s="3032"/>
      <c r="G17" s="2198"/>
      <c r="H17" s="2107"/>
      <c r="I17" s="2107"/>
      <c r="J17" s="2107"/>
      <c r="K17" s="2107"/>
      <c r="L17" s="2107"/>
      <c r="M17" s="2107"/>
      <c r="N17" s="2107"/>
      <c r="O17" s="2107"/>
      <c r="P17" s="2107"/>
      <c r="Q17" s="2107"/>
      <c r="R17" s="2107"/>
      <c r="S17" s="2107"/>
      <c r="T17" s="2107"/>
      <c r="U17" s="2107"/>
      <c r="V17" s="2107"/>
      <c r="W17" s="2107"/>
      <c r="X17" s="2107"/>
      <c r="Y17" s="2107"/>
      <c r="Z17" s="2107"/>
      <c r="AA17" s="2107"/>
      <c r="AB17" s="2107"/>
      <c r="AC17" s="3148"/>
      <c r="AD17" s="2107"/>
      <c r="AE17" s="2107"/>
      <c r="AF17" s="2107"/>
      <c r="AG17" s="2107"/>
      <c r="AH17" s="2107"/>
      <c r="AI17" s="2107"/>
    </row>
    <row r="18" spans="1:35" ht="15.75" hidden="1" customHeight="1" x14ac:dyDescent="0.35">
      <c r="A18" s="3035"/>
      <c r="B18" s="3031" t="e">
        <f>#REF!</f>
        <v>#REF!</v>
      </c>
      <c r="C18" s="3036" t="s">
        <v>654</v>
      </c>
      <c r="D18" s="3032"/>
      <c r="E18" s="3032"/>
      <c r="F18" s="3032"/>
      <c r="G18" s="2198"/>
      <c r="H18" s="2107"/>
      <c r="I18" s="2107"/>
      <c r="J18" s="2107"/>
      <c r="K18" s="2107"/>
      <c r="L18" s="2107"/>
      <c r="M18" s="2107"/>
      <c r="N18" s="2107"/>
      <c r="O18" s="2107"/>
      <c r="P18" s="2107"/>
      <c r="Q18" s="2107"/>
      <c r="R18" s="2107"/>
      <c r="S18" s="2107"/>
      <c r="T18" s="2107"/>
      <c r="U18" s="2107"/>
      <c r="V18" s="2107"/>
      <c r="W18" s="2107"/>
      <c r="X18" s="2107"/>
      <c r="Y18" s="2107"/>
      <c r="Z18" s="2107"/>
      <c r="AA18" s="2107"/>
      <c r="AB18" s="2107"/>
      <c r="AC18" s="3148"/>
      <c r="AD18" s="2107"/>
      <c r="AE18" s="2107"/>
      <c r="AF18" s="2107"/>
      <c r="AG18" s="2107"/>
      <c r="AH18" s="2107"/>
      <c r="AI18" s="2107"/>
    </row>
    <row r="19" spans="1:35" ht="15.75" hidden="1" customHeight="1" x14ac:dyDescent="0.35">
      <c r="A19" s="3035"/>
      <c r="B19" s="3031" t="e">
        <f>#REF!</f>
        <v>#REF!</v>
      </c>
      <c r="C19" s="3036" t="s">
        <v>654</v>
      </c>
      <c r="D19" s="3032"/>
      <c r="E19" s="3032"/>
      <c r="F19" s="3032"/>
      <c r="G19" s="2198"/>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3148"/>
      <c r="AD19" s="2107"/>
      <c r="AE19" s="2107"/>
      <c r="AF19" s="2107"/>
      <c r="AG19" s="2107"/>
      <c r="AH19" s="2107"/>
      <c r="AI19" s="2107"/>
    </row>
    <row r="20" spans="1:35" x14ac:dyDescent="0.35">
      <c r="A20" s="3035"/>
      <c r="B20" s="3031"/>
      <c r="C20" s="3036"/>
      <c r="D20" s="3032"/>
      <c r="E20" s="3032"/>
      <c r="F20" s="3032"/>
      <c r="G20" s="2198"/>
      <c r="H20" s="2109"/>
      <c r="I20" s="2107"/>
      <c r="J20" s="2109"/>
      <c r="K20" s="2107"/>
      <c r="L20" s="2109"/>
      <c r="M20" s="2107"/>
      <c r="N20" s="2109"/>
      <c r="O20" s="2107"/>
      <c r="P20" s="2109"/>
      <c r="Q20" s="2107"/>
      <c r="R20" s="2109"/>
      <c r="S20" s="2107"/>
      <c r="T20" s="2109"/>
      <c r="U20" s="2107"/>
      <c r="V20" s="2109"/>
      <c r="W20" s="2107"/>
      <c r="X20" s="2109"/>
      <c r="Y20" s="2107"/>
      <c r="Z20" s="2109"/>
      <c r="AA20" s="2107"/>
      <c r="AB20" s="2107"/>
      <c r="AC20" s="3148"/>
      <c r="AD20" s="2109"/>
      <c r="AE20" s="2107"/>
      <c r="AF20" s="2109"/>
      <c r="AG20" s="2107"/>
      <c r="AH20" s="2109"/>
      <c r="AI20" s="2107"/>
    </row>
    <row r="21" spans="1:35" x14ac:dyDescent="0.35">
      <c r="A21" s="3035"/>
      <c r="B21" s="3037" t="s">
        <v>568</v>
      </c>
      <c r="C21" s="3036"/>
      <c r="D21" s="3032"/>
      <c r="E21" s="3032"/>
      <c r="F21" s="3032"/>
      <c r="G21" s="2198"/>
      <c r="H21" s="2109"/>
      <c r="I21" s="2107"/>
      <c r="J21" s="2109"/>
      <c r="K21" s="2107"/>
      <c r="L21" s="2109"/>
      <c r="M21" s="2107"/>
      <c r="N21" s="2109"/>
      <c r="O21" s="2107"/>
      <c r="P21" s="2109"/>
      <c r="Q21" s="2107"/>
      <c r="R21" s="2109"/>
      <c r="S21" s="2107"/>
      <c r="T21" s="2109"/>
      <c r="U21" s="2107"/>
      <c r="V21" s="2109"/>
      <c r="W21" s="2107"/>
      <c r="X21" s="2109"/>
      <c r="Y21" s="2107"/>
      <c r="Z21" s="2109"/>
      <c r="AA21" s="2107"/>
      <c r="AB21" s="2107"/>
      <c r="AC21" s="3148"/>
      <c r="AD21" s="2109"/>
      <c r="AE21" s="2107"/>
      <c r="AF21" s="2109"/>
      <c r="AG21" s="2107"/>
      <c r="AH21" s="2109"/>
      <c r="AI21" s="2107"/>
    </row>
    <row r="22" spans="1:35" x14ac:dyDescent="0.35">
      <c r="A22" s="3125"/>
      <c r="B22" s="606" t="s">
        <v>657</v>
      </c>
      <c r="C22" s="3036"/>
      <c r="D22" s="3032"/>
      <c r="E22" s="3032"/>
      <c r="F22" s="3032"/>
      <c r="G22" s="2198"/>
      <c r="H22" s="2109"/>
      <c r="I22" s="3109"/>
      <c r="J22" s="2109"/>
      <c r="K22" s="3109"/>
      <c r="L22" s="2109"/>
      <c r="M22" s="3109"/>
      <c r="N22" s="2109"/>
      <c r="O22" s="3109"/>
      <c r="P22" s="2109"/>
      <c r="Q22" s="3109"/>
      <c r="R22" s="2109"/>
      <c r="S22" s="3109"/>
      <c r="T22" s="2109"/>
      <c r="U22" s="3109"/>
      <c r="V22" s="2109"/>
      <c r="W22" s="3109"/>
      <c r="X22" s="2109"/>
      <c r="Y22" s="3109"/>
      <c r="Z22" s="2109"/>
      <c r="AA22" s="3109"/>
      <c r="AB22" s="3109"/>
      <c r="AC22" s="3108"/>
      <c r="AD22" s="2109"/>
      <c r="AE22" s="3109"/>
      <c r="AF22" s="2109"/>
      <c r="AG22" s="3109"/>
      <c r="AH22" s="2109"/>
      <c r="AI22" s="3109"/>
    </row>
    <row r="23" spans="1:35" x14ac:dyDescent="0.35">
      <c r="A23" s="3125"/>
      <c r="B23" s="3136" t="s">
        <v>658</v>
      </c>
      <c r="C23" s="3149"/>
      <c r="D23" s="3032"/>
      <c r="E23" s="3032"/>
      <c r="F23" s="3032"/>
      <c r="G23" s="2198"/>
      <c r="H23" s="2109"/>
      <c r="I23" s="3109"/>
      <c r="J23" s="2109"/>
      <c r="K23" s="3109"/>
      <c r="L23" s="2109"/>
      <c r="M23" s="3109"/>
      <c r="N23" s="2109"/>
      <c r="O23" s="3109"/>
      <c r="P23" s="2109"/>
      <c r="Q23" s="3109"/>
      <c r="R23" s="2109"/>
      <c r="S23" s="3109"/>
      <c r="T23" s="2109"/>
      <c r="U23" s="3109"/>
      <c r="V23" s="2109"/>
      <c r="W23" s="3109"/>
      <c r="X23" s="2109"/>
      <c r="Y23" s="3109"/>
      <c r="Z23" s="2109"/>
      <c r="AA23" s="3109"/>
      <c r="AB23" s="2331"/>
      <c r="AC23" s="3120"/>
      <c r="AD23" s="2109"/>
      <c r="AE23" s="3109"/>
      <c r="AF23" s="2109"/>
      <c r="AG23" s="3120"/>
      <c r="AH23" s="2109"/>
      <c r="AI23" s="3120"/>
    </row>
    <row r="24" spans="1:35" x14ac:dyDescent="0.35">
      <c r="A24" s="3125"/>
      <c r="B24" s="3136" t="s">
        <v>659</v>
      </c>
      <c r="C24" s="3149"/>
      <c r="D24" s="3032"/>
      <c r="E24" s="3032"/>
      <c r="F24" s="3032"/>
      <c r="G24" s="2198"/>
      <c r="H24" s="2109"/>
      <c r="I24" s="3109"/>
      <c r="J24" s="2109"/>
      <c r="K24" s="3109"/>
      <c r="L24" s="2109"/>
      <c r="M24" s="3109"/>
      <c r="N24" s="2109"/>
      <c r="O24" s="3109"/>
      <c r="P24" s="2109"/>
      <c r="Q24" s="3109"/>
      <c r="R24" s="2109"/>
      <c r="S24" s="3109"/>
      <c r="T24" s="2109"/>
      <c r="U24" s="3109"/>
      <c r="V24" s="2109"/>
      <c r="W24" s="3109"/>
      <c r="X24" s="2109"/>
      <c r="Y24" s="3109"/>
      <c r="Z24" s="2109"/>
      <c r="AA24" s="3109"/>
      <c r="AB24" s="3150"/>
      <c r="AC24" s="3120"/>
      <c r="AD24" s="2109"/>
      <c r="AE24" s="3109"/>
      <c r="AF24" s="2109"/>
      <c r="AG24" s="3120"/>
      <c r="AH24" s="2109"/>
      <c r="AI24" s="3120"/>
    </row>
    <row r="25" spans="1:35" x14ac:dyDescent="0.35">
      <c r="A25" s="3125"/>
      <c r="B25" s="3107" t="s">
        <v>660</v>
      </c>
      <c r="C25" s="3149"/>
      <c r="D25" s="3032"/>
      <c r="E25" s="3032"/>
      <c r="F25" s="3032"/>
      <c r="G25" s="2198"/>
      <c r="H25" s="2109"/>
      <c r="I25" s="3109"/>
      <c r="J25" s="2109"/>
      <c r="K25" s="3109"/>
      <c r="L25" s="2109"/>
      <c r="M25" s="3109"/>
      <c r="N25" s="2109"/>
      <c r="O25" s="3109"/>
      <c r="P25" s="2109"/>
      <c r="Q25" s="3109"/>
      <c r="R25" s="2109"/>
      <c r="S25" s="3109"/>
      <c r="T25" s="2109"/>
      <c r="U25" s="3109"/>
      <c r="V25" s="2109"/>
      <c r="W25" s="3109"/>
      <c r="X25" s="2109"/>
      <c r="Y25" s="3109"/>
      <c r="Z25" s="2109"/>
      <c r="AA25" s="3109"/>
      <c r="AB25" s="3150"/>
      <c r="AC25" s="3120"/>
      <c r="AD25" s="2109"/>
      <c r="AE25" s="3109"/>
      <c r="AF25" s="2109"/>
      <c r="AG25" s="3120"/>
      <c r="AH25" s="2109"/>
      <c r="AI25" s="3120"/>
    </row>
    <row r="26" spans="1:35" x14ac:dyDescent="0.35">
      <c r="A26" s="3125"/>
      <c r="B26" s="3107" t="s">
        <v>661</v>
      </c>
      <c r="C26" s="3149"/>
      <c r="D26" s="3032"/>
      <c r="E26" s="3032"/>
      <c r="F26" s="3032"/>
      <c r="G26" s="2198"/>
      <c r="H26" s="2109"/>
      <c r="I26" s="3109"/>
      <c r="J26" s="2109"/>
      <c r="K26" s="3109"/>
      <c r="L26" s="2109"/>
      <c r="M26" s="3109"/>
      <c r="N26" s="2109"/>
      <c r="O26" s="3109"/>
      <c r="P26" s="2109"/>
      <c r="Q26" s="3109"/>
      <c r="R26" s="2109"/>
      <c r="S26" s="3109"/>
      <c r="T26" s="2109"/>
      <c r="U26" s="3109"/>
      <c r="V26" s="2109"/>
      <c r="W26" s="3109"/>
      <c r="X26" s="2109"/>
      <c r="Y26" s="3109"/>
      <c r="Z26" s="2109"/>
      <c r="AA26" s="3109"/>
      <c r="AB26" s="3150"/>
      <c r="AC26" s="3120"/>
      <c r="AD26" s="2109"/>
      <c r="AE26" s="3109"/>
      <c r="AF26" s="2109"/>
      <c r="AG26" s="3120"/>
      <c r="AH26" s="2109"/>
      <c r="AI26" s="3120"/>
    </row>
    <row r="27" spans="1:35" x14ac:dyDescent="0.35">
      <c r="A27" s="3125"/>
      <c r="B27" s="3107" t="s">
        <v>662</v>
      </c>
      <c r="C27" s="3149"/>
      <c r="D27" s="3032"/>
      <c r="E27" s="3032"/>
      <c r="F27" s="3032"/>
      <c r="G27" s="2198"/>
      <c r="H27" s="2109"/>
      <c r="I27" s="3109"/>
      <c r="J27" s="2109"/>
      <c r="K27" s="3109"/>
      <c r="L27" s="2109"/>
      <c r="M27" s="3109"/>
      <c r="N27" s="2109"/>
      <c r="O27" s="3109"/>
      <c r="P27" s="2109"/>
      <c r="Q27" s="3109"/>
      <c r="R27" s="2109"/>
      <c r="S27" s="3109"/>
      <c r="T27" s="2109"/>
      <c r="U27" s="3109"/>
      <c r="V27" s="2109"/>
      <c r="W27" s="3109"/>
      <c r="X27" s="2109"/>
      <c r="Y27" s="3109"/>
      <c r="Z27" s="2109"/>
      <c r="AA27" s="3109"/>
      <c r="AB27" s="3150"/>
      <c r="AC27" s="3120"/>
      <c r="AD27" s="2109"/>
      <c r="AE27" s="3109"/>
      <c r="AF27" s="2109"/>
      <c r="AG27" s="3120"/>
      <c r="AH27" s="2109"/>
      <c r="AI27" s="3120"/>
    </row>
    <row r="28" spans="1:35" x14ac:dyDescent="0.35">
      <c r="A28" s="3125"/>
      <c r="B28" s="3107" t="s">
        <v>663</v>
      </c>
      <c r="C28" s="3149"/>
      <c r="D28" s="3032"/>
      <c r="E28" s="3032"/>
      <c r="F28" s="3032"/>
      <c r="G28" s="2198"/>
      <c r="H28" s="2109"/>
      <c r="I28" s="3109"/>
      <c r="J28" s="2109"/>
      <c r="K28" s="3109"/>
      <c r="L28" s="2109"/>
      <c r="M28" s="3109"/>
      <c r="N28" s="2109"/>
      <c r="O28" s="3109"/>
      <c r="P28" s="2109"/>
      <c r="Q28" s="3109"/>
      <c r="R28" s="2109"/>
      <c r="S28" s="3109"/>
      <c r="T28" s="2109"/>
      <c r="U28" s="3109"/>
      <c r="V28" s="2109"/>
      <c r="W28" s="3109"/>
      <c r="X28" s="2109"/>
      <c r="Y28" s="3109"/>
      <c r="Z28" s="2109"/>
      <c r="AA28" s="3109"/>
      <c r="AB28" s="3150"/>
      <c r="AC28" s="3120"/>
      <c r="AD28" s="2109"/>
      <c r="AE28" s="3109"/>
      <c r="AF28" s="2109"/>
      <c r="AG28" s="3120"/>
      <c r="AH28" s="2109"/>
      <c r="AI28" s="3120"/>
    </row>
    <row r="29" spans="1:35" x14ac:dyDescent="0.35">
      <c r="A29" s="3098"/>
      <c r="B29" s="3107" t="s">
        <v>789</v>
      </c>
      <c r="C29" s="3149"/>
      <c r="D29" s="3032"/>
      <c r="E29" s="3032"/>
      <c r="F29" s="3032"/>
      <c r="G29" s="2198"/>
      <c r="H29" s="2109"/>
      <c r="I29" s="3109"/>
      <c r="J29" s="2109"/>
      <c r="K29" s="3109"/>
      <c r="L29" s="2109"/>
      <c r="M29" s="3109"/>
      <c r="N29" s="2109"/>
      <c r="O29" s="3109"/>
      <c r="P29" s="2109"/>
      <c r="Q29" s="3109"/>
      <c r="R29" s="2109"/>
      <c r="S29" s="3109"/>
      <c r="T29" s="2109"/>
      <c r="U29" s="3109"/>
      <c r="V29" s="2109"/>
      <c r="W29" s="3109"/>
      <c r="X29" s="2109"/>
      <c r="Y29" s="3109"/>
      <c r="Z29" s="2109"/>
      <c r="AA29" s="3109"/>
      <c r="AB29" s="3150"/>
      <c r="AC29" s="3120"/>
      <c r="AD29" s="2109"/>
      <c r="AE29" s="3109"/>
      <c r="AF29" s="2109"/>
      <c r="AG29" s="3120"/>
      <c r="AH29" s="2109"/>
      <c r="AI29" s="3120"/>
    </row>
    <row r="30" spans="1:35" x14ac:dyDescent="0.35">
      <c r="A30" s="3098"/>
      <c r="B30" s="3107" t="s">
        <v>790</v>
      </c>
      <c r="C30" s="3149"/>
      <c r="D30" s="3032"/>
      <c r="E30" s="3032"/>
      <c r="F30" s="3032"/>
      <c r="G30" s="2198"/>
      <c r="H30" s="2109"/>
      <c r="I30" s="3109"/>
      <c r="J30" s="2109"/>
      <c r="K30" s="3109"/>
      <c r="L30" s="2109"/>
      <c r="M30" s="3109"/>
      <c r="N30" s="2109"/>
      <c r="O30" s="3109"/>
      <c r="P30" s="2109"/>
      <c r="Q30" s="3109"/>
      <c r="R30" s="2109"/>
      <c r="S30" s="3109"/>
      <c r="T30" s="2109"/>
      <c r="U30" s="3109"/>
      <c r="V30" s="2109"/>
      <c r="W30" s="3109"/>
      <c r="X30" s="2109"/>
      <c r="Y30" s="3109"/>
      <c r="Z30" s="2109"/>
      <c r="AA30" s="3109"/>
      <c r="AB30" s="3150"/>
      <c r="AC30" s="3120"/>
      <c r="AD30" s="2109"/>
      <c r="AE30" s="3109"/>
      <c r="AF30" s="2109"/>
      <c r="AG30" s="3120"/>
      <c r="AH30" s="2109"/>
      <c r="AI30" s="3120"/>
    </row>
    <row r="31" spans="1:35" x14ac:dyDescent="0.35">
      <c r="A31" s="3125"/>
      <c r="B31" s="3107" t="s">
        <v>791</v>
      </c>
      <c r="C31" s="3149"/>
      <c r="D31" s="3032"/>
      <c r="E31" s="3032"/>
      <c r="F31" s="3032"/>
      <c r="G31" s="2198"/>
      <c r="H31" s="2109"/>
      <c r="I31" s="3109"/>
      <c r="J31" s="2109"/>
      <c r="K31" s="3109"/>
      <c r="L31" s="2109"/>
      <c r="M31" s="3109"/>
      <c r="N31" s="2109"/>
      <c r="O31" s="3109"/>
      <c r="P31" s="2109"/>
      <c r="Q31" s="3109"/>
      <c r="R31" s="2109"/>
      <c r="S31" s="3109"/>
      <c r="T31" s="2109"/>
      <c r="U31" s="3109"/>
      <c r="V31" s="2109"/>
      <c r="W31" s="3109"/>
      <c r="X31" s="2109"/>
      <c r="Y31" s="3109"/>
      <c r="Z31" s="2109"/>
      <c r="AA31" s="3109"/>
      <c r="AB31" s="3150"/>
      <c r="AC31" s="3120"/>
      <c r="AD31" s="2109"/>
      <c r="AE31" s="3109"/>
      <c r="AF31" s="2109"/>
      <c r="AG31" s="3120"/>
      <c r="AH31" s="2109"/>
      <c r="AI31" s="3120"/>
    </row>
    <row r="32" spans="1:35" x14ac:dyDescent="0.35">
      <c r="A32" s="3125"/>
      <c r="B32" s="3110" t="s">
        <v>664</v>
      </c>
      <c r="C32" s="3149"/>
      <c r="D32" s="3032"/>
      <c r="E32" s="3032"/>
      <c r="F32" s="3032"/>
      <c r="G32" s="2198"/>
      <c r="H32" s="2109"/>
      <c r="I32" s="3109"/>
      <c r="J32" s="2109"/>
      <c r="K32" s="3109"/>
      <c r="L32" s="2109"/>
      <c r="M32" s="3109"/>
      <c r="N32" s="2109"/>
      <c r="O32" s="3109"/>
      <c r="P32" s="2109"/>
      <c r="Q32" s="3109"/>
      <c r="R32" s="2109"/>
      <c r="S32" s="3109"/>
      <c r="T32" s="2109"/>
      <c r="U32" s="3109"/>
      <c r="V32" s="2109"/>
      <c r="W32" s="3109"/>
      <c r="X32" s="2109"/>
      <c r="Y32" s="3109"/>
      <c r="Z32" s="2109"/>
      <c r="AA32" s="3109"/>
      <c r="AB32" s="3150"/>
      <c r="AC32" s="3120"/>
      <c r="AD32" s="2109"/>
      <c r="AE32" s="3109"/>
      <c r="AF32" s="2109"/>
      <c r="AG32" s="3120"/>
      <c r="AH32" s="2109"/>
      <c r="AI32" s="3120"/>
    </row>
    <row r="33" spans="1:35" x14ac:dyDescent="0.35">
      <c r="A33" s="3125"/>
      <c r="B33" s="3111" t="s">
        <v>665</v>
      </c>
      <c r="C33" s="3112"/>
      <c r="D33" s="3039"/>
      <c r="E33" s="3039"/>
      <c r="F33" s="3039"/>
      <c r="G33" s="2945"/>
      <c r="H33" s="3115"/>
      <c r="I33" s="3115"/>
      <c r="J33" s="3115"/>
      <c r="K33" s="3115"/>
      <c r="L33" s="3115"/>
      <c r="M33" s="3115"/>
      <c r="N33" s="3115"/>
      <c r="O33" s="3115"/>
      <c r="P33" s="3115"/>
      <c r="Q33" s="3115"/>
      <c r="R33" s="3115"/>
      <c r="S33" s="3115"/>
      <c r="T33" s="3115"/>
      <c r="U33" s="3115"/>
      <c r="V33" s="3115"/>
      <c r="W33" s="3115"/>
      <c r="X33" s="3113"/>
      <c r="Y33" s="3115"/>
      <c r="Z33" s="3115"/>
      <c r="AA33" s="3115"/>
      <c r="AB33" s="3116"/>
      <c r="AC33" s="3117">
        <v>13375288</v>
      </c>
      <c r="AD33" s="3115"/>
      <c r="AE33" s="3117">
        <v>13572410</v>
      </c>
      <c r="AF33" s="2288"/>
      <c r="AG33" s="3117"/>
      <c r="AH33" s="3116"/>
      <c r="AI33" s="3117"/>
    </row>
    <row r="34" spans="1:35" x14ac:dyDescent="0.35">
      <c r="A34" s="3125"/>
      <c r="B34" s="3151" t="s">
        <v>3717</v>
      </c>
      <c r="C34" s="3149"/>
      <c r="D34" s="3049"/>
      <c r="E34" s="3152"/>
      <c r="F34" s="3153"/>
      <c r="G34" s="3154"/>
      <c r="H34" s="2109"/>
      <c r="I34" s="3109"/>
      <c r="J34" s="2109"/>
      <c r="K34" s="3109"/>
      <c r="L34" s="2109"/>
      <c r="M34" s="3109"/>
      <c r="N34" s="2109"/>
      <c r="O34" s="3109"/>
      <c r="P34" s="2109"/>
      <c r="Q34" s="3109"/>
      <c r="R34" s="2109"/>
      <c r="S34" s="3109"/>
      <c r="T34" s="2109"/>
      <c r="U34" s="3109"/>
      <c r="V34" s="2109"/>
      <c r="W34" s="3109"/>
      <c r="X34" s="2109"/>
      <c r="Y34" s="3109"/>
      <c r="Z34" s="2109"/>
      <c r="AA34" s="3109"/>
      <c r="AB34" s="3150"/>
      <c r="AC34" s="3120"/>
      <c r="AD34" s="2109"/>
      <c r="AE34" s="3109"/>
      <c r="AF34" s="2109"/>
      <c r="AG34" s="3120"/>
      <c r="AH34" s="2109"/>
      <c r="AI34" s="3120"/>
    </row>
    <row r="35" spans="1:35" ht="15.75" customHeight="1" x14ac:dyDescent="0.35">
      <c r="A35" s="3125"/>
      <c r="B35" s="3151"/>
      <c r="C35" s="3149"/>
      <c r="D35" s="3049"/>
      <c r="E35" s="3152"/>
      <c r="F35" s="3155"/>
      <c r="G35" s="3154"/>
      <c r="H35" s="2109"/>
      <c r="I35" s="3109"/>
      <c r="J35" s="2109"/>
      <c r="K35" s="3109"/>
      <c r="L35" s="2109"/>
      <c r="M35" s="3109"/>
      <c r="N35" s="2109"/>
      <c r="O35" s="3109"/>
      <c r="P35" s="2109"/>
      <c r="Q35" s="3109"/>
      <c r="R35" s="2109"/>
      <c r="S35" s="3109"/>
      <c r="T35" s="2109"/>
      <c r="U35" s="3109"/>
      <c r="V35" s="2109"/>
      <c r="W35" s="3109"/>
      <c r="X35" s="2109"/>
      <c r="Y35" s="3109"/>
      <c r="Z35" s="2109"/>
      <c r="AA35" s="3109"/>
      <c r="AB35" s="3150"/>
      <c r="AC35" s="3120"/>
      <c r="AD35" s="2109"/>
      <c r="AE35" s="3109"/>
      <c r="AF35" s="2109"/>
      <c r="AG35" s="3120"/>
      <c r="AH35" s="2109"/>
      <c r="AI35" s="3120"/>
    </row>
    <row r="36" spans="1:35" ht="15.75" customHeight="1" x14ac:dyDescent="0.35">
      <c r="A36" s="3125"/>
      <c r="B36" s="3151" t="s">
        <v>3718</v>
      </c>
      <c r="C36" s="3149"/>
      <c r="D36" s="3156">
        <v>17.54</v>
      </c>
      <c r="E36" s="3157" t="s">
        <v>3719</v>
      </c>
      <c r="F36" s="3158">
        <v>415000</v>
      </c>
      <c r="G36" s="3159">
        <f>D36*F36</f>
        <v>7279100</v>
      </c>
      <c r="H36" s="2109"/>
      <c r="I36" s="3109"/>
      <c r="J36" s="2109"/>
      <c r="K36" s="3109"/>
      <c r="L36" s="2109"/>
      <c r="M36" s="3109"/>
      <c r="N36" s="2109"/>
      <c r="O36" s="3109"/>
      <c r="P36" s="2109"/>
      <c r="Q36" s="3109"/>
      <c r="R36" s="2109"/>
      <c r="S36" s="3109"/>
      <c r="T36" s="2109"/>
      <c r="U36" s="3109"/>
      <c r="V36" s="2109"/>
      <c r="W36" s="3109"/>
      <c r="X36" s="2109"/>
      <c r="Y36" s="3109"/>
      <c r="Z36" s="2109"/>
      <c r="AA36" s="3109"/>
      <c r="AB36" s="3150"/>
      <c r="AC36" s="3120"/>
      <c r="AD36" s="2109"/>
      <c r="AE36" s="3109"/>
      <c r="AF36" s="2109"/>
      <c r="AG36" s="3120"/>
      <c r="AH36" s="2109"/>
      <c r="AI36" s="3120"/>
    </row>
    <row r="37" spans="1:35" ht="15.75" customHeight="1" x14ac:dyDescent="0.35">
      <c r="A37" s="3125"/>
      <c r="B37" s="3151" t="s">
        <v>3720</v>
      </c>
      <c r="C37" s="3149"/>
      <c r="D37" s="3156">
        <v>35777.777777777781</v>
      </c>
      <c r="E37" s="3157" t="s">
        <v>3721</v>
      </c>
      <c r="F37" s="3158">
        <v>9</v>
      </c>
      <c r="G37" s="3159">
        <f>D37*F37</f>
        <v>322000</v>
      </c>
      <c r="H37" s="2109"/>
      <c r="I37" s="3109"/>
      <c r="J37" s="2109"/>
      <c r="K37" s="3109"/>
      <c r="L37" s="2109"/>
      <c r="M37" s="3109"/>
      <c r="N37" s="2109"/>
      <c r="O37" s="3109"/>
      <c r="P37" s="2109"/>
      <c r="Q37" s="3109"/>
      <c r="R37" s="2109"/>
      <c r="S37" s="3109"/>
      <c r="T37" s="2109"/>
      <c r="U37" s="3109"/>
      <c r="V37" s="2109"/>
      <c r="W37" s="3109"/>
      <c r="X37" s="2109"/>
      <c r="Y37" s="3109"/>
      <c r="Z37" s="2109"/>
      <c r="AA37" s="3109"/>
      <c r="AB37" s="3150"/>
      <c r="AC37" s="3120"/>
      <c r="AD37" s="2109"/>
      <c r="AE37" s="3109"/>
      <c r="AF37" s="2109"/>
      <c r="AG37" s="3120"/>
      <c r="AH37" s="2109"/>
      <c r="AI37" s="3120"/>
    </row>
    <row r="38" spans="1:35" ht="15.75" customHeight="1" x14ac:dyDescent="0.35">
      <c r="A38" s="3125"/>
      <c r="B38" s="3151" t="s">
        <v>3722</v>
      </c>
      <c r="C38" s="3149"/>
      <c r="D38" s="3156"/>
      <c r="E38" s="3157"/>
      <c r="F38" s="3158"/>
      <c r="G38" s="3159"/>
      <c r="H38" s="2038"/>
      <c r="I38" s="3109"/>
      <c r="J38" s="2038"/>
      <c r="K38" s="3120">
        <v>150000</v>
      </c>
      <c r="L38" s="2109"/>
      <c r="M38" s="3109"/>
      <c r="N38" s="2038"/>
      <c r="O38" s="3120">
        <v>150000</v>
      </c>
      <c r="P38" s="2038" t="s">
        <v>669</v>
      </c>
      <c r="Q38" s="3120">
        <v>130748</v>
      </c>
      <c r="R38" s="2109"/>
      <c r="S38" s="3109"/>
      <c r="T38" s="2038"/>
      <c r="U38" s="3109"/>
      <c r="V38" s="2038" t="s">
        <v>669</v>
      </c>
      <c r="W38" s="3120">
        <v>170500</v>
      </c>
      <c r="X38" s="2109"/>
      <c r="Y38" s="3109"/>
      <c r="Z38" s="2109"/>
      <c r="AA38" s="3109"/>
      <c r="AB38" s="3150"/>
      <c r="AC38" s="3120"/>
      <c r="AD38" s="2109"/>
      <c r="AE38" s="3109"/>
      <c r="AF38" s="2109"/>
      <c r="AG38" s="3120"/>
      <c r="AH38" s="2109"/>
      <c r="AI38" s="3120"/>
    </row>
    <row r="39" spans="1:35" x14ac:dyDescent="0.35">
      <c r="A39" s="3125"/>
      <c r="B39" s="3160" t="s">
        <v>617</v>
      </c>
      <c r="C39" s="3149"/>
      <c r="D39" s="3049"/>
      <c r="E39" s="3152"/>
      <c r="F39" s="3161"/>
      <c r="G39" s="3154"/>
      <c r="H39" s="2109" t="s">
        <v>669</v>
      </c>
      <c r="I39" s="3120"/>
      <c r="J39" s="2109" t="s">
        <v>669</v>
      </c>
      <c r="K39" s="3120"/>
      <c r="L39" s="2109" t="s">
        <v>669</v>
      </c>
      <c r="M39" s="3120"/>
      <c r="N39" s="2109" t="s">
        <v>669</v>
      </c>
      <c r="O39" s="3120"/>
      <c r="P39" s="2109" t="s">
        <v>669</v>
      </c>
      <c r="Q39" s="3120"/>
      <c r="R39" s="2109" t="s">
        <v>669</v>
      </c>
      <c r="S39" s="3120">
        <v>492840</v>
      </c>
      <c r="T39" s="2109" t="s">
        <v>669</v>
      </c>
      <c r="U39" s="3120"/>
      <c r="V39" s="2109" t="s">
        <v>669</v>
      </c>
      <c r="W39" s="3120"/>
      <c r="X39" s="2109" t="s">
        <v>669</v>
      </c>
      <c r="Y39" s="3120">
        <v>1009235</v>
      </c>
      <c r="Z39" s="2038" t="s">
        <v>669</v>
      </c>
      <c r="AA39" s="3120">
        <v>751819</v>
      </c>
      <c r="AB39" s="2109" t="s">
        <v>669</v>
      </c>
      <c r="AC39" s="3108"/>
      <c r="AD39" s="2109" t="s">
        <v>669</v>
      </c>
      <c r="AE39" s="3120"/>
      <c r="AF39" s="2109" t="s">
        <v>669</v>
      </c>
      <c r="AG39" s="3120">
        <v>91685</v>
      </c>
      <c r="AH39" s="2109"/>
      <c r="AI39" s="3109"/>
    </row>
    <row r="40" spans="1:35" x14ac:dyDescent="0.35">
      <c r="A40" s="3125"/>
      <c r="B40" s="3160" t="s">
        <v>732</v>
      </c>
      <c r="C40" s="3149"/>
      <c r="D40" s="3049"/>
      <c r="E40" s="3152"/>
      <c r="F40" s="3161"/>
      <c r="G40" s="3154"/>
      <c r="H40" s="2109" t="s">
        <v>669</v>
      </c>
      <c r="I40" s="3120">
        <v>389080</v>
      </c>
      <c r="J40" s="2109" t="s">
        <v>669</v>
      </c>
      <c r="K40" s="3120">
        <v>389080</v>
      </c>
      <c r="L40" s="2109" t="s">
        <v>669</v>
      </c>
      <c r="M40" s="3120"/>
      <c r="N40" s="2109" t="s">
        <v>669</v>
      </c>
      <c r="O40" s="3120"/>
      <c r="P40" s="2109" t="s">
        <v>669</v>
      </c>
      <c r="Q40" s="3120"/>
      <c r="R40" s="2109" t="s">
        <v>669</v>
      </c>
      <c r="S40" s="3120"/>
      <c r="T40" s="2109" t="s">
        <v>669</v>
      </c>
      <c r="U40" s="3120"/>
      <c r="V40" s="2109" t="s">
        <v>669</v>
      </c>
      <c r="W40" s="3120"/>
      <c r="X40" s="2109" t="s">
        <v>669</v>
      </c>
      <c r="Y40" s="3120">
        <v>35745</v>
      </c>
      <c r="Z40" s="2038"/>
      <c r="AA40" s="3120"/>
      <c r="AB40" s="2109" t="s">
        <v>669</v>
      </c>
      <c r="AC40" s="3108"/>
      <c r="AD40" s="2109" t="s">
        <v>669</v>
      </c>
      <c r="AE40" s="3120"/>
      <c r="AF40" s="2109" t="s">
        <v>669</v>
      </c>
      <c r="AG40" s="3120">
        <v>10200</v>
      </c>
      <c r="AH40" s="2109"/>
      <c r="AI40" s="3109"/>
    </row>
    <row r="41" spans="1:35" x14ac:dyDescent="0.35">
      <c r="A41" s="3125"/>
      <c r="B41" s="3151" t="s">
        <v>3723</v>
      </c>
      <c r="C41" s="3149"/>
      <c r="D41" s="3049"/>
      <c r="E41" s="3152"/>
      <c r="F41" s="3161"/>
      <c r="G41" s="3154"/>
      <c r="H41" s="2109" t="s">
        <v>669</v>
      </c>
      <c r="I41" s="3120">
        <v>40300</v>
      </c>
      <c r="J41" s="2109" t="s">
        <v>669</v>
      </c>
      <c r="K41" s="3120">
        <v>40300</v>
      </c>
      <c r="L41" s="2109" t="s">
        <v>669</v>
      </c>
      <c r="M41" s="3120"/>
      <c r="N41" s="2109" t="s">
        <v>669</v>
      </c>
      <c r="O41" s="3120"/>
      <c r="P41" s="2109" t="s">
        <v>669</v>
      </c>
      <c r="Q41" s="3120"/>
      <c r="R41" s="2109" t="s">
        <v>669</v>
      </c>
      <c r="S41" s="3120"/>
      <c r="T41" s="2109" t="s">
        <v>669</v>
      </c>
      <c r="U41" s="3120">
        <v>7775</v>
      </c>
      <c r="V41" s="2109" t="s">
        <v>669</v>
      </c>
      <c r="W41" s="3120">
        <v>7325</v>
      </c>
      <c r="X41" s="2038"/>
      <c r="Y41" s="3120"/>
      <c r="Z41" s="2038"/>
      <c r="AA41" s="3120"/>
      <c r="AB41" s="2109" t="s">
        <v>669</v>
      </c>
      <c r="AC41" s="3108"/>
      <c r="AD41" s="2109" t="s">
        <v>669</v>
      </c>
      <c r="AE41" s="3120"/>
      <c r="AF41" s="2109"/>
      <c r="AG41" s="3120"/>
      <c r="AH41" s="2109"/>
      <c r="AI41" s="3109"/>
    </row>
    <row r="42" spans="1:35" x14ac:dyDescent="0.35">
      <c r="A42" s="3125"/>
      <c r="B42" s="3151" t="s">
        <v>3724</v>
      </c>
      <c r="C42" s="3149"/>
      <c r="D42" s="3049"/>
      <c r="E42" s="3152"/>
      <c r="F42" s="3161"/>
      <c r="G42" s="3154"/>
      <c r="H42" s="2109" t="s">
        <v>669</v>
      </c>
      <c r="I42" s="3120">
        <v>84600</v>
      </c>
      <c r="J42" s="2109" t="s">
        <v>669</v>
      </c>
      <c r="K42" s="3120">
        <v>84600</v>
      </c>
      <c r="L42" s="2109" t="s">
        <v>669</v>
      </c>
      <c r="M42" s="3120"/>
      <c r="N42" s="2109" t="s">
        <v>669</v>
      </c>
      <c r="O42" s="3120"/>
      <c r="P42" s="2109" t="s">
        <v>669</v>
      </c>
      <c r="Q42" s="3120"/>
      <c r="R42" s="2109" t="s">
        <v>669</v>
      </c>
      <c r="S42" s="3120"/>
      <c r="T42" s="2109" t="s">
        <v>669</v>
      </c>
      <c r="U42" s="3120"/>
      <c r="V42" s="2109" t="s">
        <v>669</v>
      </c>
      <c r="W42" s="3120"/>
      <c r="X42" s="2038"/>
      <c r="Y42" s="3120"/>
      <c r="Z42" s="2038"/>
      <c r="AA42" s="3120"/>
      <c r="AB42" s="2109" t="s">
        <v>669</v>
      </c>
      <c r="AC42" s="3108"/>
      <c r="AD42" s="2109" t="s">
        <v>669</v>
      </c>
      <c r="AE42" s="3120"/>
      <c r="AF42" s="2109"/>
      <c r="AG42" s="3120"/>
      <c r="AH42" s="2109"/>
      <c r="AI42" s="3109"/>
    </row>
    <row r="43" spans="1:35" x14ac:dyDescent="0.35">
      <c r="A43" s="3125"/>
      <c r="B43" s="3160"/>
      <c r="C43" s="3149"/>
      <c r="D43" s="3049"/>
      <c r="E43" s="3152"/>
      <c r="F43" s="3161"/>
      <c r="G43" s="3154"/>
      <c r="H43" s="2109"/>
      <c r="I43" s="3120"/>
      <c r="J43" s="2109"/>
      <c r="K43" s="3120"/>
      <c r="L43" s="2109"/>
      <c r="M43" s="3120"/>
      <c r="N43" s="2109"/>
      <c r="O43" s="3120"/>
      <c r="P43" s="2109"/>
      <c r="Q43" s="3120"/>
      <c r="R43" s="2109"/>
      <c r="S43" s="3120"/>
      <c r="T43" s="2109"/>
      <c r="U43" s="3120"/>
      <c r="V43" s="2109"/>
      <c r="W43" s="3120"/>
      <c r="X43" s="2109"/>
      <c r="Y43" s="3120"/>
      <c r="Z43" s="2038"/>
      <c r="AA43" s="3120"/>
      <c r="AB43" s="2109"/>
      <c r="AC43" s="3108"/>
      <c r="AD43" s="2109"/>
      <c r="AE43" s="3120"/>
      <c r="AF43" s="2109"/>
      <c r="AG43" s="3120"/>
      <c r="AH43" s="2109"/>
      <c r="AI43" s="3109"/>
    </row>
    <row r="44" spans="1:35" x14ac:dyDescent="0.35">
      <c r="A44" s="3125"/>
      <c r="B44" s="3160" t="s">
        <v>455</v>
      </c>
      <c r="C44" s="3149"/>
      <c r="D44" s="3049"/>
      <c r="E44" s="3152"/>
      <c r="F44" s="3161"/>
      <c r="G44" s="3154"/>
      <c r="H44" s="2109" t="s">
        <v>669</v>
      </c>
      <c r="I44" s="3120">
        <v>90020</v>
      </c>
      <c r="J44" s="2109" t="s">
        <v>669</v>
      </c>
      <c r="K44" s="3120">
        <v>90020</v>
      </c>
      <c r="L44" s="2109" t="s">
        <v>669</v>
      </c>
      <c r="M44" s="3120">
        <v>346663</v>
      </c>
      <c r="N44" s="2109" t="s">
        <v>669</v>
      </c>
      <c r="O44" s="3120">
        <v>348312</v>
      </c>
      <c r="P44" s="2109" t="s">
        <v>669</v>
      </c>
      <c r="Q44" s="3120">
        <v>293660</v>
      </c>
      <c r="R44" s="2109" t="s">
        <v>669</v>
      </c>
      <c r="S44" s="3120"/>
      <c r="T44" s="2109" t="s">
        <v>669</v>
      </c>
      <c r="U44" s="3120">
        <f>49550+191380</f>
        <v>240930</v>
      </c>
      <c r="V44" s="2109" t="s">
        <v>669</v>
      </c>
      <c r="W44" s="3120">
        <v>46675</v>
      </c>
      <c r="X44" s="2109" t="s">
        <v>669</v>
      </c>
      <c r="Y44" s="3120">
        <v>248780</v>
      </c>
      <c r="Z44" s="2038"/>
      <c r="AA44" s="3120"/>
      <c r="AB44" s="2109" t="s">
        <v>669</v>
      </c>
      <c r="AC44" s="3108"/>
      <c r="AD44" s="2109" t="s">
        <v>669</v>
      </c>
      <c r="AE44" s="3120"/>
      <c r="AF44" s="2038"/>
      <c r="AG44" s="3120">
        <v>223518</v>
      </c>
      <c r="AH44" s="2109"/>
      <c r="AI44" s="3109"/>
    </row>
    <row r="45" spans="1:35" x14ac:dyDescent="0.35">
      <c r="A45" s="3056"/>
      <c r="B45" s="3151" t="s">
        <v>3725</v>
      </c>
      <c r="C45" s="3162" t="s">
        <v>3726</v>
      </c>
      <c r="D45" s="3049"/>
      <c r="E45" s="3152"/>
      <c r="F45" s="3161"/>
      <c r="G45" s="3154"/>
      <c r="H45" s="2109" t="s">
        <v>669</v>
      </c>
      <c r="I45" s="3120"/>
      <c r="J45" s="2109" t="s">
        <v>669</v>
      </c>
      <c r="K45" s="3120"/>
      <c r="L45" s="2109" t="s">
        <v>669</v>
      </c>
      <c r="M45" s="3120"/>
      <c r="N45" s="2109" t="s">
        <v>669</v>
      </c>
      <c r="O45" s="3120"/>
      <c r="P45" s="2109" t="s">
        <v>669</v>
      </c>
      <c r="Q45" s="3120"/>
      <c r="R45" s="2109" t="s">
        <v>669</v>
      </c>
      <c r="S45" s="3120"/>
      <c r="T45" s="2109" t="s">
        <v>669</v>
      </c>
      <c r="U45" s="3120"/>
      <c r="V45" s="2109" t="s">
        <v>669</v>
      </c>
      <c r="W45" s="3120">
        <v>180430</v>
      </c>
      <c r="X45" s="2109" t="s">
        <v>669</v>
      </c>
      <c r="Y45" s="3120"/>
      <c r="Z45" s="2038"/>
      <c r="AA45" s="3120"/>
      <c r="AB45" s="2109" t="s">
        <v>669</v>
      </c>
      <c r="AC45" s="3120"/>
      <c r="AD45" s="2109" t="s">
        <v>669</v>
      </c>
      <c r="AE45" s="3120"/>
      <c r="AF45" s="2109" t="s">
        <v>669</v>
      </c>
      <c r="AG45" s="3120"/>
      <c r="AH45" s="2109"/>
      <c r="AI45" s="3109"/>
    </row>
    <row r="46" spans="1:35" x14ac:dyDescent="0.35">
      <c r="A46" s="3125"/>
      <c r="B46" s="3151" t="s">
        <v>3727</v>
      </c>
      <c r="C46" s="3162"/>
      <c r="D46" s="3049"/>
      <c r="E46" s="3152"/>
      <c r="F46" s="3161"/>
      <c r="G46" s="3154"/>
      <c r="H46" s="2109"/>
      <c r="I46" s="3120"/>
      <c r="J46" s="2109"/>
      <c r="K46" s="3120"/>
      <c r="L46" s="2109"/>
      <c r="M46" s="3120"/>
      <c r="N46" s="2109" t="s">
        <v>669</v>
      </c>
      <c r="O46" s="3120"/>
      <c r="P46" s="2109" t="s">
        <v>669</v>
      </c>
      <c r="Q46" s="3120"/>
      <c r="R46" s="2109"/>
      <c r="S46" s="3120"/>
      <c r="T46" s="2109" t="s">
        <v>669</v>
      </c>
      <c r="U46" s="3120">
        <v>61500</v>
      </c>
      <c r="V46" s="2109" t="s">
        <v>669</v>
      </c>
      <c r="W46" s="3120">
        <v>57930</v>
      </c>
      <c r="X46" s="2109"/>
      <c r="Y46" s="3120"/>
      <c r="Z46" s="2038"/>
      <c r="AA46" s="3120"/>
      <c r="AB46" s="2109"/>
      <c r="AC46" s="3120"/>
      <c r="AD46" s="2109"/>
      <c r="AE46" s="3120"/>
      <c r="AF46" s="2109"/>
      <c r="AG46" s="3120"/>
      <c r="AH46" s="2109"/>
      <c r="AI46" s="3109"/>
    </row>
    <row r="47" spans="1:35" x14ac:dyDescent="0.35">
      <c r="A47" s="3125"/>
      <c r="B47" s="3151" t="s">
        <v>3728</v>
      </c>
      <c r="C47" s="3162"/>
      <c r="D47" s="3049"/>
      <c r="E47" s="3152"/>
      <c r="F47" s="3161"/>
      <c r="G47" s="3154"/>
      <c r="H47" s="2109"/>
      <c r="I47" s="3120"/>
      <c r="J47" s="2109" t="s">
        <v>669</v>
      </c>
      <c r="K47" s="3120">
        <v>154252</v>
      </c>
      <c r="L47" s="2109"/>
      <c r="M47" s="3120"/>
      <c r="N47" s="2109" t="s">
        <v>669</v>
      </c>
      <c r="O47" s="3120"/>
      <c r="P47" s="2109" t="s">
        <v>669</v>
      </c>
      <c r="Q47" s="3120"/>
      <c r="R47" s="2109"/>
      <c r="S47" s="3120"/>
      <c r="T47" s="2109" t="s">
        <v>669</v>
      </c>
      <c r="U47" s="3120">
        <v>44780</v>
      </c>
      <c r="V47" s="2109" t="s">
        <v>669</v>
      </c>
      <c r="W47" s="3120">
        <v>42180</v>
      </c>
      <c r="X47" s="2109"/>
      <c r="Y47" s="3120"/>
      <c r="Z47" s="2038"/>
      <c r="AA47" s="3120"/>
      <c r="AB47" s="2109"/>
      <c r="AC47" s="3120"/>
      <c r="AD47" s="2109"/>
      <c r="AE47" s="3120"/>
      <c r="AF47" s="2109"/>
      <c r="AG47" s="3120"/>
      <c r="AH47" s="2109"/>
      <c r="AI47" s="3109"/>
    </row>
    <row r="48" spans="1:35" x14ac:dyDescent="0.35">
      <c r="A48" s="3125"/>
      <c r="B48" s="3151" t="s">
        <v>3729</v>
      </c>
      <c r="C48" s="3162"/>
      <c r="D48" s="3049"/>
      <c r="E48" s="3152"/>
      <c r="F48" s="3161"/>
      <c r="G48" s="3154"/>
      <c r="H48" s="2109"/>
      <c r="I48" s="3120"/>
      <c r="J48" s="2109" t="s">
        <v>669</v>
      </c>
      <c r="K48" s="3120"/>
      <c r="L48" s="2109"/>
      <c r="M48" s="3120"/>
      <c r="N48" s="2109" t="s">
        <v>669</v>
      </c>
      <c r="O48" s="3120"/>
      <c r="P48" s="2109" t="s">
        <v>669</v>
      </c>
      <c r="Q48" s="3120"/>
      <c r="R48" s="2109"/>
      <c r="S48" s="3120"/>
      <c r="T48" s="2109" t="s">
        <v>669</v>
      </c>
      <c r="U48" s="3120">
        <v>4330</v>
      </c>
      <c r="V48" s="2109" t="s">
        <v>669</v>
      </c>
      <c r="W48" s="3120">
        <v>4330</v>
      </c>
      <c r="X48" s="2109"/>
      <c r="Y48" s="3120"/>
      <c r="Z48" s="2038"/>
      <c r="AA48" s="3120"/>
      <c r="AB48" s="2109"/>
      <c r="AC48" s="3120"/>
      <c r="AD48" s="2109"/>
      <c r="AE48" s="3120"/>
      <c r="AF48" s="2109"/>
      <c r="AG48" s="3120"/>
      <c r="AH48" s="2109"/>
      <c r="AI48" s="3109"/>
    </row>
    <row r="49" spans="1:35" x14ac:dyDescent="0.35">
      <c r="A49" s="3125"/>
      <c r="B49" s="3151" t="s">
        <v>3730</v>
      </c>
      <c r="C49" s="3162" t="s">
        <v>3731</v>
      </c>
      <c r="D49" s="3049">
        <v>1</v>
      </c>
      <c r="E49" s="3049" t="s">
        <v>666</v>
      </c>
      <c r="F49" s="3161"/>
      <c r="G49" s="3154"/>
      <c r="H49" s="2109" t="s">
        <v>669</v>
      </c>
      <c r="I49" s="3120"/>
      <c r="J49" s="2109" t="s">
        <v>669</v>
      </c>
      <c r="K49" s="3120"/>
      <c r="L49" s="2109" t="s">
        <v>669</v>
      </c>
      <c r="M49" s="3120"/>
      <c r="N49" s="2109" t="s">
        <v>669</v>
      </c>
      <c r="O49" s="3120"/>
      <c r="P49" s="2109" t="s">
        <v>669</v>
      </c>
      <c r="Q49" s="3120"/>
      <c r="R49" s="2109" t="s">
        <v>669</v>
      </c>
      <c r="S49" s="3120"/>
      <c r="T49" s="2109" t="s">
        <v>669</v>
      </c>
      <c r="U49" s="3120"/>
      <c r="V49" s="2109" t="s">
        <v>669</v>
      </c>
      <c r="W49" s="3120"/>
      <c r="X49" s="2109" t="s">
        <v>669</v>
      </c>
      <c r="Y49" s="3120"/>
      <c r="Z49" s="2038"/>
      <c r="AA49" s="3120"/>
      <c r="AB49" s="2109" t="s">
        <v>669</v>
      </c>
      <c r="AC49" s="3120"/>
      <c r="AD49" s="2109" t="s">
        <v>669</v>
      </c>
      <c r="AE49" s="3120"/>
      <c r="AF49" s="2109" t="s">
        <v>669</v>
      </c>
      <c r="AG49" s="3120"/>
      <c r="AH49" s="2109"/>
      <c r="AI49" s="3109"/>
    </row>
    <row r="50" spans="1:35" x14ac:dyDescent="0.35">
      <c r="A50" s="3125"/>
      <c r="B50" s="3151" t="s">
        <v>3732</v>
      </c>
      <c r="C50" s="3162" t="s">
        <v>3733</v>
      </c>
      <c r="D50" s="3049">
        <v>2</v>
      </c>
      <c r="E50" s="3049" t="s">
        <v>666</v>
      </c>
      <c r="F50" s="3161"/>
      <c r="G50" s="3154"/>
      <c r="H50" s="2109" t="s">
        <v>669</v>
      </c>
      <c r="I50" s="3120"/>
      <c r="J50" s="2109" t="s">
        <v>669</v>
      </c>
      <c r="K50" s="3120"/>
      <c r="L50" s="2109" t="s">
        <v>669</v>
      </c>
      <c r="M50" s="3120"/>
      <c r="N50" s="2109" t="s">
        <v>669</v>
      </c>
      <c r="O50" s="3120"/>
      <c r="P50" s="2109" t="s">
        <v>669</v>
      </c>
      <c r="Q50" s="3120"/>
      <c r="R50" s="2109" t="s">
        <v>669</v>
      </c>
      <c r="S50" s="3120"/>
      <c r="T50" s="2109" t="s">
        <v>669</v>
      </c>
      <c r="U50" s="3120"/>
      <c r="V50" s="2109" t="s">
        <v>669</v>
      </c>
      <c r="W50" s="3120"/>
      <c r="X50" s="2109" t="s">
        <v>669</v>
      </c>
      <c r="Y50" s="3120"/>
      <c r="Z50" s="2038"/>
      <c r="AA50" s="3120"/>
      <c r="AB50" s="2109" t="s">
        <v>669</v>
      </c>
      <c r="AC50" s="3120"/>
      <c r="AD50" s="2109" t="s">
        <v>669</v>
      </c>
      <c r="AE50" s="3120"/>
      <c r="AF50" s="2109" t="s">
        <v>669</v>
      </c>
      <c r="AG50" s="3120"/>
      <c r="AH50" s="2109"/>
      <c r="AI50" s="3109"/>
    </row>
    <row r="51" spans="1:35" x14ac:dyDescent="0.35">
      <c r="A51" s="3125"/>
      <c r="B51" s="3151" t="s">
        <v>3734</v>
      </c>
      <c r="C51" s="3162" t="s">
        <v>3735</v>
      </c>
      <c r="D51" s="3049">
        <v>1</v>
      </c>
      <c r="E51" s="3049" t="s">
        <v>666</v>
      </c>
      <c r="F51" s="3161"/>
      <c r="G51" s="3154"/>
      <c r="H51" s="2109" t="s">
        <v>669</v>
      </c>
      <c r="I51" s="3120"/>
      <c r="J51" s="2109" t="s">
        <v>669</v>
      </c>
      <c r="K51" s="3120"/>
      <c r="L51" s="2109" t="s">
        <v>669</v>
      </c>
      <c r="M51" s="3120"/>
      <c r="N51" s="2109" t="s">
        <v>669</v>
      </c>
      <c r="O51" s="3120"/>
      <c r="P51" s="2109" t="s">
        <v>669</v>
      </c>
      <c r="Q51" s="3120"/>
      <c r="R51" s="2109" t="s">
        <v>669</v>
      </c>
      <c r="S51" s="3120"/>
      <c r="T51" s="2109" t="s">
        <v>669</v>
      </c>
      <c r="U51" s="3120"/>
      <c r="V51" s="2109" t="s">
        <v>669</v>
      </c>
      <c r="W51" s="3120"/>
      <c r="X51" s="2109" t="s">
        <v>669</v>
      </c>
      <c r="Y51" s="3120"/>
      <c r="Z51" s="2038"/>
      <c r="AA51" s="3120"/>
      <c r="AB51" s="2109" t="s">
        <v>669</v>
      </c>
      <c r="AC51" s="3120"/>
      <c r="AD51" s="2109" t="s">
        <v>669</v>
      </c>
      <c r="AE51" s="3120"/>
      <c r="AF51" s="2109" t="s">
        <v>669</v>
      </c>
      <c r="AG51" s="3120"/>
      <c r="AH51" s="2109"/>
      <c r="AI51" s="3109"/>
    </row>
    <row r="52" spans="1:35" x14ac:dyDescent="0.35">
      <c r="A52" s="3125"/>
      <c r="B52" s="3151" t="s">
        <v>3736</v>
      </c>
      <c r="C52" s="3162" t="s">
        <v>3737</v>
      </c>
      <c r="D52" s="3049"/>
      <c r="E52" s="3049" t="s">
        <v>666</v>
      </c>
      <c r="F52" s="3161"/>
      <c r="G52" s="3154"/>
      <c r="H52" s="2109" t="s">
        <v>669</v>
      </c>
      <c r="I52" s="3120"/>
      <c r="J52" s="2109" t="s">
        <v>669</v>
      </c>
      <c r="K52" s="3120"/>
      <c r="L52" s="2109" t="s">
        <v>669</v>
      </c>
      <c r="M52" s="3120"/>
      <c r="N52" s="2109" t="s">
        <v>669</v>
      </c>
      <c r="O52" s="3120"/>
      <c r="P52" s="2109" t="s">
        <v>669</v>
      </c>
      <c r="Q52" s="3120"/>
      <c r="R52" s="2109" t="s">
        <v>669</v>
      </c>
      <c r="S52" s="3120"/>
      <c r="T52" s="2109" t="s">
        <v>669</v>
      </c>
      <c r="U52" s="3120"/>
      <c r="V52" s="2109" t="s">
        <v>669</v>
      </c>
      <c r="W52" s="3120"/>
      <c r="X52" s="2109" t="s">
        <v>669</v>
      </c>
      <c r="Y52" s="3120"/>
      <c r="Z52" s="2038"/>
      <c r="AA52" s="3120"/>
      <c r="AB52" s="2109" t="s">
        <v>669</v>
      </c>
      <c r="AC52" s="3120"/>
      <c r="AD52" s="2109" t="s">
        <v>669</v>
      </c>
      <c r="AE52" s="3120"/>
      <c r="AF52" s="2038"/>
      <c r="AG52" s="3120"/>
      <c r="AH52" s="2109"/>
      <c r="AI52" s="3109"/>
    </row>
    <row r="53" spans="1:35" x14ac:dyDescent="0.35">
      <c r="A53" s="3125"/>
      <c r="B53" s="3151" t="s">
        <v>3738</v>
      </c>
      <c r="C53" s="3162" t="s">
        <v>3739</v>
      </c>
      <c r="D53" s="3049">
        <v>2</v>
      </c>
      <c r="E53" s="3049" t="s">
        <v>666</v>
      </c>
      <c r="F53" s="3161"/>
      <c r="G53" s="3154"/>
      <c r="H53" s="2109" t="s">
        <v>669</v>
      </c>
      <c r="I53" s="3120"/>
      <c r="J53" s="2109" t="s">
        <v>669</v>
      </c>
      <c r="K53" s="3120"/>
      <c r="L53" s="2109" t="s">
        <v>669</v>
      </c>
      <c r="M53" s="3120"/>
      <c r="N53" s="2109" t="s">
        <v>669</v>
      </c>
      <c r="O53" s="3120"/>
      <c r="P53" s="2109" t="s">
        <v>669</v>
      </c>
      <c r="Q53" s="3120"/>
      <c r="R53" s="2109" t="s">
        <v>669</v>
      </c>
      <c r="S53" s="3120"/>
      <c r="T53" s="2109" t="s">
        <v>669</v>
      </c>
      <c r="U53" s="3120"/>
      <c r="V53" s="2109" t="s">
        <v>669</v>
      </c>
      <c r="W53" s="3120"/>
      <c r="X53" s="2109" t="s">
        <v>669</v>
      </c>
      <c r="Y53" s="3120"/>
      <c r="Z53" s="2038"/>
      <c r="AA53" s="3120"/>
      <c r="AB53" s="2109" t="s">
        <v>669</v>
      </c>
      <c r="AC53" s="3120"/>
      <c r="AD53" s="2109" t="s">
        <v>669</v>
      </c>
      <c r="AE53" s="3120"/>
      <c r="AF53" s="2038"/>
      <c r="AG53" s="3120"/>
      <c r="AH53" s="2109"/>
      <c r="AI53" s="3109"/>
    </row>
    <row r="54" spans="1:35" ht="29" x14ac:dyDescent="0.35">
      <c r="A54" s="3125"/>
      <c r="B54" s="3151" t="s">
        <v>3740</v>
      </c>
      <c r="C54" s="3163" t="s">
        <v>3741</v>
      </c>
      <c r="D54" s="3049">
        <v>4</v>
      </c>
      <c r="E54" s="3049" t="s">
        <v>666</v>
      </c>
      <c r="F54" s="3161"/>
      <c r="G54" s="3154"/>
      <c r="H54" s="2109" t="s">
        <v>669</v>
      </c>
      <c r="I54" s="3120"/>
      <c r="J54" s="2109" t="s">
        <v>669</v>
      </c>
      <c r="K54" s="3120"/>
      <c r="L54" s="2109" t="s">
        <v>669</v>
      </c>
      <c r="M54" s="3120"/>
      <c r="N54" s="2109" t="s">
        <v>669</v>
      </c>
      <c r="O54" s="3120"/>
      <c r="P54" s="2109" t="s">
        <v>669</v>
      </c>
      <c r="Q54" s="3120"/>
      <c r="R54" s="2109" t="s">
        <v>669</v>
      </c>
      <c r="S54" s="3120"/>
      <c r="T54" s="2109" t="s">
        <v>669</v>
      </c>
      <c r="U54" s="3120"/>
      <c r="V54" s="2109" t="s">
        <v>669</v>
      </c>
      <c r="W54" s="3120"/>
      <c r="X54" s="2109" t="s">
        <v>669</v>
      </c>
      <c r="Y54" s="3120"/>
      <c r="Z54" s="2038"/>
      <c r="AA54" s="3120"/>
      <c r="AB54" s="2109" t="s">
        <v>669</v>
      </c>
      <c r="AC54" s="3120"/>
      <c r="AD54" s="2109" t="s">
        <v>669</v>
      </c>
      <c r="AE54" s="3120"/>
      <c r="AF54" s="2038"/>
      <c r="AG54" s="3120"/>
      <c r="AH54" s="2109"/>
      <c r="AI54" s="3109"/>
    </row>
    <row r="55" spans="1:35" x14ac:dyDescent="0.35">
      <c r="A55" s="3125"/>
      <c r="B55" s="3151" t="s">
        <v>3742</v>
      </c>
      <c r="C55" s="3163"/>
      <c r="D55" s="3049">
        <v>897</v>
      </c>
      <c r="E55" s="3049" t="s">
        <v>752</v>
      </c>
      <c r="F55" s="3161"/>
      <c r="G55" s="3154"/>
      <c r="H55" s="2109" t="s">
        <v>669</v>
      </c>
      <c r="I55" s="3120"/>
      <c r="J55" s="2109" t="s">
        <v>669</v>
      </c>
      <c r="K55" s="3120"/>
      <c r="L55" s="2109" t="s">
        <v>669</v>
      </c>
      <c r="M55" s="3120"/>
      <c r="N55" s="2109" t="s">
        <v>669</v>
      </c>
      <c r="O55" s="3120"/>
      <c r="P55" s="2109" t="s">
        <v>669</v>
      </c>
      <c r="Q55" s="3120"/>
      <c r="R55" s="2109" t="s">
        <v>669</v>
      </c>
      <c r="S55" s="3120"/>
      <c r="T55" s="2109" t="s">
        <v>669</v>
      </c>
      <c r="U55" s="3120"/>
      <c r="V55" s="2109" t="s">
        <v>669</v>
      </c>
      <c r="W55" s="3120"/>
      <c r="X55" s="2109" t="s">
        <v>669</v>
      </c>
      <c r="Y55" s="3120"/>
      <c r="Z55" s="2038"/>
      <c r="AA55" s="3120"/>
      <c r="AB55" s="2109" t="s">
        <v>669</v>
      </c>
      <c r="AC55" s="3120"/>
      <c r="AD55" s="2109" t="s">
        <v>669</v>
      </c>
      <c r="AE55" s="3120"/>
      <c r="AF55" s="2038"/>
      <c r="AG55" s="3120"/>
      <c r="AH55" s="2109"/>
      <c r="AI55" s="3109"/>
    </row>
    <row r="56" spans="1:35" x14ac:dyDescent="0.35">
      <c r="A56" s="3125"/>
      <c r="B56" s="3151" t="s">
        <v>3743</v>
      </c>
      <c r="C56" s="3163"/>
      <c r="D56" s="3049">
        <v>6</v>
      </c>
      <c r="E56" s="3049" t="s">
        <v>666</v>
      </c>
      <c r="F56" s="3161"/>
      <c r="G56" s="3154"/>
      <c r="H56" s="2109" t="s">
        <v>669</v>
      </c>
      <c r="I56" s="3120"/>
      <c r="J56" s="2109" t="s">
        <v>669</v>
      </c>
      <c r="K56" s="3120"/>
      <c r="L56" s="2109" t="s">
        <v>669</v>
      </c>
      <c r="M56" s="3120"/>
      <c r="N56" s="2109" t="s">
        <v>669</v>
      </c>
      <c r="O56" s="3120"/>
      <c r="P56" s="2109" t="s">
        <v>669</v>
      </c>
      <c r="Q56" s="3120"/>
      <c r="R56" s="2109" t="s">
        <v>669</v>
      </c>
      <c r="S56" s="3120"/>
      <c r="T56" s="2109" t="s">
        <v>669</v>
      </c>
      <c r="U56" s="3120"/>
      <c r="V56" s="2109" t="s">
        <v>669</v>
      </c>
      <c r="W56" s="3120"/>
      <c r="X56" s="2109" t="s">
        <v>669</v>
      </c>
      <c r="Y56" s="3120"/>
      <c r="Z56" s="2038"/>
      <c r="AA56" s="3120"/>
      <c r="AB56" s="2109" t="s">
        <v>669</v>
      </c>
      <c r="AC56" s="3120"/>
      <c r="AD56" s="2109" t="s">
        <v>669</v>
      </c>
      <c r="AE56" s="3120"/>
      <c r="AF56" s="2038"/>
      <c r="AG56" s="3120"/>
      <c r="AH56" s="2109"/>
      <c r="AI56" s="3109"/>
    </row>
    <row r="57" spans="1:35" x14ac:dyDescent="0.35">
      <c r="A57" s="3125"/>
      <c r="B57" s="3151" t="s">
        <v>3744</v>
      </c>
      <c r="C57" s="3163"/>
      <c r="D57" s="3049">
        <v>4432</v>
      </c>
      <c r="E57" s="3049" t="s">
        <v>752</v>
      </c>
      <c r="F57" s="3161"/>
      <c r="G57" s="3154"/>
      <c r="H57" s="2109" t="s">
        <v>669</v>
      </c>
      <c r="I57" s="3120"/>
      <c r="J57" s="2109" t="s">
        <v>669</v>
      </c>
      <c r="K57" s="3120"/>
      <c r="L57" s="2109" t="s">
        <v>669</v>
      </c>
      <c r="M57" s="3120"/>
      <c r="N57" s="2109" t="s">
        <v>669</v>
      </c>
      <c r="O57" s="3120"/>
      <c r="P57" s="2109" t="s">
        <v>669</v>
      </c>
      <c r="Q57" s="3120"/>
      <c r="R57" s="2109" t="s">
        <v>669</v>
      </c>
      <c r="S57" s="3120"/>
      <c r="T57" s="2109" t="s">
        <v>669</v>
      </c>
      <c r="U57" s="3120"/>
      <c r="V57" s="2109" t="s">
        <v>669</v>
      </c>
      <c r="W57" s="3120"/>
      <c r="X57" s="2109" t="s">
        <v>669</v>
      </c>
      <c r="Y57" s="3120"/>
      <c r="Z57" s="2038"/>
      <c r="AA57" s="3120"/>
      <c r="AB57" s="2109" t="s">
        <v>669</v>
      </c>
      <c r="AC57" s="3120"/>
      <c r="AD57" s="2109" t="s">
        <v>669</v>
      </c>
      <c r="AE57" s="3120"/>
      <c r="AF57" s="2109" t="s">
        <v>669</v>
      </c>
      <c r="AG57" s="3120"/>
      <c r="AH57" s="2109"/>
      <c r="AI57" s="3109"/>
    </row>
    <row r="58" spans="1:35" x14ac:dyDescent="0.35">
      <c r="A58" s="3125"/>
      <c r="B58" s="3151" t="s">
        <v>3745</v>
      </c>
      <c r="C58" s="3163"/>
      <c r="D58" s="3049">
        <v>6</v>
      </c>
      <c r="E58" s="3049" t="s">
        <v>666</v>
      </c>
      <c r="F58" s="3161"/>
      <c r="G58" s="3154"/>
      <c r="H58" s="2109" t="s">
        <v>669</v>
      </c>
      <c r="I58" s="3120"/>
      <c r="J58" s="2109" t="s">
        <v>669</v>
      </c>
      <c r="K58" s="3120"/>
      <c r="L58" s="2109" t="s">
        <v>669</v>
      </c>
      <c r="M58" s="3120"/>
      <c r="N58" s="2109" t="s">
        <v>669</v>
      </c>
      <c r="O58" s="3120"/>
      <c r="P58" s="2109" t="s">
        <v>669</v>
      </c>
      <c r="Q58" s="3120"/>
      <c r="R58" s="2109" t="s">
        <v>669</v>
      </c>
      <c r="S58" s="3120"/>
      <c r="T58" s="2109" t="s">
        <v>669</v>
      </c>
      <c r="U58" s="3120"/>
      <c r="V58" s="2109" t="s">
        <v>669</v>
      </c>
      <c r="W58" s="3120"/>
      <c r="X58" s="2109" t="s">
        <v>669</v>
      </c>
      <c r="Y58" s="3120"/>
      <c r="Z58" s="2038"/>
      <c r="AA58" s="3120"/>
      <c r="AB58" s="2109" t="s">
        <v>669</v>
      </c>
      <c r="AC58" s="3120"/>
      <c r="AD58" s="2109" t="s">
        <v>669</v>
      </c>
      <c r="AE58" s="3120"/>
      <c r="AF58" s="2109" t="s">
        <v>669</v>
      </c>
      <c r="AG58" s="3120"/>
      <c r="AH58" s="2109"/>
      <c r="AI58" s="3109"/>
    </row>
    <row r="59" spans="1:35" x14ac:dyDescent="0.35">
      <c r="A59" s="3125"/>
      <c r="B59" s="3151" t="s">
        <v>3746</v>
      </c>
      <c r="C59" s="3163"/>
      <c r="D59" s="3049">
        <v>488</v>
      </c>
      <c r="E59" s="3049" t="s">
        <v>752</v>
      </c>
      <c r="F59" s="3161"/>
      <c r="G59" s="3154"/>
      <c r="H59" s="2109" t="s">
        <v>669</v>
      </c>
      <c r="I59" s="3120"/>
      <c r="J59" s="2109" t="s">
        <v>669</v>
      </c>
      <c r="K59" s="3120"/>
      <c r="L59" s="2109" t="s">
        <v>669</v>
      </c>
      <c r="M59" s="3120"/>
      <c r="N59" s="2109" t="s">
        <v>669</v>
      </c>
      <c r="O59" s="3120"/>
      <c r="P59" s="2109" t="s">
        <v>669</v>
      </c>
      <c r="Q59" s="3120"/>
      <c r="R59" s="2109" t="s">
        <v>669</v>
      </c>
      <c r="S59" s="3120"/>
      <c r="T59" s="2109" t="s">
        <v>669</v>
      </c>
      <c r="U59" s="3120"/>
      <c r="V59" s="2109" t="s">
        <v>669</v>
      </c>
      <c r="W59" s="3120"/>
      <c r="X59" s="2109" t="s">
        <v>669</v>
      </c>
      <c r="Y59" s="3120"/>
      <c r="Z59" s="2038"/>
      <c r="AA59" s="3120"/>
      <c r="AB59" s="2109" t="s">
        <v>669</v>
      </c>
      <c r="AC59" s="3120"/>
      <c r="AD59" s="2109" t="s">
        <v>669</v>
      </c>
      <c r="AE59" s="3120"/>
      <c r="AF59" s="2109" t="s">
        <v>669</v>
      </c>
      <c r="AG59" s="3120"/>
      <c r="AH59" s="2109"/>
      <c r="AI59" s="3109"/>
    </row>
    <row r="60" spans="1:35" x14ac:dyDescent="0.35">
      <c r="A60" s="3125"/>
      <c r="B60" s="3151" t="s">
        <v>3747</v>
      </c>
      <c r="C60" s="3163"/>
      <c r="D60" s="3049">
        <v>4</v>
      </c>
      <c r="E60" s="3049" t="s">
        <v>666</v>
      </c>
      <c r="F60" s="3161"/>
      <c r="G60" s="3154"/>
      <c r="H60" s="2109" t="s">
        <v>669</v>
      </c>
      <c r="I60" s="3120"/>
      <c r="J60" s="2109" t="s">
        <v>669</v>
      </c>
      <c r="K60" s="3120"/>
      <c r="L60" s="2109" t="s">
        <v>669</v>
      </c>
      <c r="M60" s="3120"/>
      <c r="N60" s="2109" t="s">
        <v>669</v>
      </c>
      <c r="O60" s="3120"/>
      <c r="P60" s="2109" t="s">
        <v>669</v>
      </c>
      <c r="Q60" s="3120"/>
      <c r="R60" s="2109" t="s">
        <v>669</v>
      </c>
      <c r="S60" s="3120"/>
      <c r="T60" s="2109" t="s">
        <v>669</v>
      </c>
      <c r="U60" s="3120"/>
      <c r="V60" s="2109" t="s">
        <v>669</v>
      </c>
      <c r="W60" s="3120"/>
      <c r="X60" s="2109" t="s">
        <v>669</v>
      </c>
      <c r="Y60" s="3120"/>
      <c r="Z60" s="2038"/>
      <c r="AA60" s="3120"/>
      <c r="AB60" s="2109" t="s">
        <v>669</v>
      </c>
      <c r="AC60" s="3120"/>
      <c r="AD60" s="2109" t="s">
        <v>669</v>
      </c>
      <c r="AE60" s="3120"/>
      <c r="AF60" s="2109" t="s">
        <v>669</v>
      </c>
      <c r="AG60" s="3120"/>
      <c r="AH60" s="2109"/>
      <c r="AI60" s="3109"/>
    </row>
    <row r="61" spans="1:35" x14ac:dyDescent="0.35">
      <c r="A61" s="3125"/>
      <c r="B61" s="3151" t="s">
        <v>3748</v>
      </c>
      <c r="C61" s="3163"/>
      <c r="D61" s="3049">
        <v>3819</v>
      </c>
      <c r="E61" s="3049" t="s">
        <v>752</v>
      </c>
      <c r="F61" s="3161"/>
      <c r="G61" s="3154"/>
      <c r="H61" s="2109" t="s">
        <v>669</v>
      </c>
      <c r="I61" s="3120"/>
      <c r="J61" s="2109" t="s">
        <v>669</v>
      </c>
      <c r="K61" s="3120"/>
      <c r="L61" s="2109" t="s">
        <v>669</v>
      </c>
      <c r="M61" s="3120"/>
      <c r="N61" s="2109" t="s">
        <v>669</v>
      </c>
      <c r="O61" s="3120"/>
      <c r="P61" s="2109" t="s">
        <v>669</v>
      </c>
      <c r="Q61" s="3120"/>
      <c r="R61" s="2109" t="s">
        <v>669</v>
      </c>
      <c r="S61" s="3120"/>
      <c r="T61" s="2109" t="s">
        <v>669</v>
      </c>
      <c r="U61" s="3120"/>
      <c r="V61" s="2109" t="s">
        <v>669</v>
      </c>
      <c r="W61" s="3120"/>
      <c r="X61" s="2109" t="s">
        <v>669</v>
      </c>
      <c r="Y61" s="3120"/>
      <c r="Z61" s="2038"/>
      <c r="AA61" s="3120"/>
      <c r="AB61" s="2109" t="s">
        <v>669</v>
      </c>
      <c r="AC61" s="3120"/>
      <c r="AD61" s="2109" t="s">
        <v>669</v>
      </c>
      <c r="AE61" s="3120"/>
      <c r="AF61" s="2109" t="s">
        <v>669</v>
      </c>
      <c r="AG61" s="3120"/>
      <c r="AH61" s="2109"/>
      <c r="AI61" s="3109"/>
    </row>
    <row r="62" spans="1:35" x14ac:dyDescent="0.35">
      <c r="A62" s="3125"/>
      <c r="B62" s="3151"/>
      <c r="C62" s="3163"/>
      <c r="D62" s="3049"/>
      <c r="E62" s="3152"/>
      <c r="F62" s="3161"/>
      <c r="G62" s="3154"/>
      <c r="H62" s="2109"/>
      <c r="I62" s="3120"/>
      <c r="J62" s="2109"/>
      <c r="K62" s="3120"/>
      <c r="L62" s="2109"/>
      <c r="M62" s="3120"/>
      <c r="N62" s="2109"/>
      <c r="O62" s="3120"/>
      <c r="P62" s="2109"/>
      <c r="Q62" s="3120"/>
      <c r="R62" s="2109"/>
      <c r="S62" s="3120"/>
      <c r="T62" s="2109"/>
      <c r="U62" s="3120"/>
      <c r="V62" s="2109"/>
      <c r="W62" s="3120"/>
      <c r="X62" s="2109"/>
      <c r="Y62" s="3120"/>
      <c r="Z62" s="2038"/>
      <c r="AA62" s="3120"/>
      <c r="AB62" s="2109"/>
      <c r="AC62" s="3120"/>
      <c r="AD62" s="2109"/>
      <c r="AE62" s="3120"/>
      <c r="AF62" s="2109"/>
      <c r="AG62" s="3120"/>
      <c r="AH62" s="2109"/>
      <c r="AI62" s="3109"/>
    </row>
    <row r="63" spans="1:35" x14ac:dyDescent="0.35">
      <c r="A63" s="3125"/>
      <c r="B63" s="3160" t="s">
        <v>3749</v>
      </c>
      <c r="C63" s="3162"/>
      <c r="D63" s="3049"/>
      <c r="E63" s="3152"/>
      <c r="F63" s="3161"/>
      <c r="G63" s="3154"/>
      <c r="H63" s="2109" t="s">
        <v>669</v>
      </c>
      <c r="I63" s="3120">
        <v>23828</v>
      </c>
      <c r="J63" s="2109" t="s">
        <v>669</v>
      </c>
      <c r="K63" s="3120">
        <v>23828</v>
      </c>
      <c r="L63" s="2109" t="s">
        <v>669</v>
      </c>
      <c r="M63" s="3120">
        <v>27586</v>
      </c>
      <c r="N63" s="2109" t="s">
        <v>669</v>
      </c>
      <c r="O63" s="3120">
        <v>27254</v>
      </c>
      <c r="P63" s="2109" t="s">
        <v>669</v>
      </c>
      <c r="Q63" s="3120">
        <v>26820</v>
      </c>
      <c r="R63" s="2109" t="s">
        <v>669</v>
      </c>
      <c r="S63" s="3120">
        <v>85855</v>
      </c>
      <c r="T63" s="2109" t="s">
        <v>669</v>
      </c>
      <c r="U63" s="3120">
        <v>96565</v>
      </c>
      <c r="V63" s="2109" t="s">
        <v>669</v>
      </c>
      <c r="W63" s="3120">
        <v>90965</v>
      </c>
      <c r="X63" s="2109" t="s">
        <v>669</v>
      </c>
      <c r="Y63" s="3120">
        <v>31890</v>
      </c>
      <c r="Z63" s="2038"/>
      <c r="AA63" s="3120"/>
      <c r="AB63" s="2109" t="s">
        <v>669</v>
      </c>
      <c r="AC63" s="3120"/>
      <c r="AD63" s="2109" t="s">
        <v>669</v>
      </c>
      <c r="AE63" s="3120"/>
      <c r="AF63" s="2038"/>
      <c r="AG63" s="3120"/>
      <c r="AH63" s="2109"/>
      <c r="AI63" s="3109"/>
    </row>
    <row r="64" spans="1:35" x14ac:dyDescent="0.35">
      <c r="A64" s="3125"/>
      <c r="B64" s="3164" t="s">
        <v>3750</v>
      </c>
      <c r="C64" s="3162" t="s">
        <v>3751</v>
      </c>
      <c r="D64" s="3049"/>
      <c r="E64" s="3152"/>
      <c r="F64" s="3165"/>
      <c r="G64" s="3154"/>
      <c r="H64" s="2109" t="s">
        <v>669</v>
      </c>
      <c r="I64" s="3120"/>
      <c r="J64" s="2109" t="s">
        <v>669</v>
      </c>
      <c r="K64" s="3120"/>
      <c r="L64" s="2109" t="s">
        <v>669</v>
      </c>
      <c r="M64" s="3120"/>
      <c r="N64" s="2109" t="s">
        <v>669</v>
      </c>
      <c r="O64" s="3120"/>
      <c r="P64" s="2109" t="s">
        <v>669</v>
      </c>
      <c r="Q64" s="3120"/>
      <c r="R64" s="2109" t="s">
        <v>669</v>
      </c>
      <c r="S64" s="3120"/>
      <c r="T64" s="2109" t="s">
        <v>669</v>
      </c>
      <c r="U64" s="3120"/>
      <c r="V64" s="2109" t="s">
        <v>669</v>
      </c>
      <c r="W64" s="3120"/>
      <c r="X64" s="2109" t="s">
        <v>669</v>
      </c>
      <c r="Y64" s="3120"/>
      <c r="Z64" s="2038"/>
      <c r="AA64" s="3120"/>
      <c r="AB64" s="2109" t="s">
        <v>669</v>
      </c>
      <c r="AC64" s="3120"/>
      <c r="AD64" s="2109" t="s">
        <v>669</v>
      </c>
      <c r="AE64" s="3120"/>
      <c r="AF64" s="2038"/>
      <c r="AG64" s="3120"/>
      <c r="AH64" s="2109"/>
      <c r="AI64" s="3109"/>
    </row>
    <row r="65" spans="1:35" x14ac:dyDescent="0.35">
      <c r="A65" s="3125"/>
      <c r="B65" s="3164" t="s">
        <v>3752</v>
      </c>
      <c r="C65" s="3162"/>
      <c r="D65" s="3049"/>
      <c r="E65" s="3152"/>
      <c r="F65" s="3165"/>
      <c r="G65" s="3154"/>
      <c r="H65" s="2109" t="s">
        <v>669</v>
      </c>
      <c r="I65" s="3120"/>
      <c r="J65" s="2109" t="s">
        <v>669</v>
      </c>
      <c r="K65" s="3120"/>
      <c r="L65" s="2109" t="s">
        <v>669</v>
      </c>
      <c r="M65" s="3120"/>
      <c r="N65" s="2109" t="s">
        <v>669</v>
      </c>
      <c r="O65" s="3120"/>
      <c r="P65" s="2109" t="s">
        <v>669</v>
      </c>
      <c r="Q65" s="3120"/>
      <c r="R65" s="2109" t="s">
        <v>669</v>
      </c>
      <c r="S65" s="3120"/>
      <c r="T65" s="2109" t="s">
        <v>669</v>
      </c>
      <c r="U65" s="3120"/>
      <c r="V65" s="2109" t="s">
        <v>669</v>
      </c>
      <c r="W65" s="3120"/>
      <c r="X65" s="2109" t="s">
        <v>669</v>
      </c>
      <c r="Y65" s="3120"/>
      <c r="Z65" s="2038"/>
      <c r="AA65" s="3120"/>
      <c r="AB65" s="2109" t="s">
        <v>669</v>
      </c>
      <c r="AC65" s="3120"/>
      <c r="AD65" s="2109" t="s">
        <v>669</v>
      </c>
      <c r="AE65" s="3120"/>
      <c r="AF65" s="2038"/>
      <c r="AG65" s="3120"/>
      <c r="AH65" s="2109"/>
      <c r="AI65" s="3109"/>
    </row>
    <row r="66" spans="1:35" x14ac:dyDescent="0.35">
      <c r="A66" s="3125"/>
      <c r="B66" s="3164" t="s">
        <v>3753</v>
      </c>
      <c r="C66" s="3162"/>
      <c r="D66" s="3049"/>
      <c r="E66" s="3152"/>
      <c r="F66" s="3165"/>
      <c r="G66" s="3154"/>
      <c r="H66" s="2109" t="s">
        <v>669</v>
      </c>
      <c r="I66" s="3120"/>
      <c r="J66" s="2109" t="s">
        <v>669</v>
      </c>
      <c r="K66" s="3120"/>
      <c r="L66" s="2109" t="s">
        <v>669</v>
      </c>
      <c r="M66" s="3120"/>
      <c r="N66" s="2109" t="s">
        <v>669</v>
      </c>
      <c r="O66" s="3120"/>
      <c r="P66" s="2109" t="s">
        <v>669</v>
      </c>
      <c r="Q66" s="3120"/>
      <c r="R66" s="2109" t="s">
        <v>669</v>
      </c>
      <c r="S66" s="3120"/>
      <c r="T66" s="2109" t="s">
        <v>669</v>
      </c>
      <c r="U66" s="3120"/>
      <c r="V66" s="2109" t="s">
        <v>669</v>
      </c>
      <c r="W66" s="3120"/>
      <c r="X66" s="2109" t="s">
        <v>669</v>
      </c>
      <c r="Y66" s="3120"/>
      <c r="Z66" s="2038"/>
      <c r="AA66" s="3120"/>
      <c r="AB66" s="2109" t="s">
        <v>669</v>
      </c>
      <c r="AC66" s="3120"/>
      <c r="AD66" s="2109" t="s">
        <v>669</v>
      </c>
      <c r="AE66" s="3120"/>
      <c r="AF66" s="2038"/>
      <c r="AG66" s="3120"/>
      <c r="AH66" s="2109"/>
      <c r="AI66" s="3109"/>
    </row>
    <row r="67" spans="1:35" x14ac:dyDescent="0.35">
      <c r="A67" s="3125"/>
      <c r="B67" s="3164" t="s">
        <v>3754</v>
      </c>
      <c r="C67" s="3162" t="s">
        <v>3751</v>
      </c>
      <c r="D67" s="3049"/>
      <c r="E67" s="3152"/>
      <c r="F67" s="3165"/>
      <c r="G67" s="3154"/>
      <c r="H67" s="2109" t="s">
        <v>669</v>
      </c>
      <c r="I67" s="3120"/>
      <c r="J67" s="2109" t="s">
        <v>669</v>
      </c>
      <c r="K67" s="3120"/>
      <c r="L67" s="2109" t="s">
        <v>669</v>
      </c>
      <c r="M67" s="3120"/>
      <c r="N67" s="2109" t="s">
        <v>669</v>
      </c>
      <c r="O67" s="3120"/>
      <c r="P67" s="2109" t="s">
        <v>669</v>
      </c>
      <c r="Q67" s="3120"/>
      <c r="R67" s="2109" t="s">
        <v>669</v>
      </c>
      <c r="S67" s="3120"/>
      <c r="T67" s="2109" t="s">
        <v>669</v>
      </c>
      <c r="U67" s="3120"/>
      <c r="V67" s="2109" t="s">
        <v>669</v>
      </c>
      <c r="W67" s="3120"/>
      <c r="X67" s="2109" t="s">
        <v>669</v>
      </c>
      <c r="Y67" s="3120"/>
      <c r="Z67" s="2038"/>
      <c r="AA67" s="3120"/>
      <c r="AB67" s="2109" t="s">
        <v>669</v>
      </c>
      <c r="AC67" s="3120"/>
      <c r="AD67" s="2109" t="s">
        <v>669</v>
      </c>
      <c r="AE67" s="3120"/>
      <c r="AF67" s="2038"/>
      <c r="AG67" s="3120"/>
      <c r="AH67" s="2109"/>
      <c r="AI67" s="3109"/>
    </row>
    <row r="68" spans="1:35" x14ac:dyDescent="0.35">
      <c r="A68" s="3125"/>
      <c r="B68" s="3164" t="s">
        <v>3755</v>
      </c>
      <c r="C68" s="3162" t="s">
        <v>3751</v>
      </c>
      <c r="D68" s="3049"/>
      <c r="E68" s="3152"/>
      <c r="F68" s="3161"/>
      <c r="G68" s="3154"/>
      <c r="H68" s="2109" t="s">
        <v>669</v>
      </c>
      <c r="I68" s="3120"/>
      <c r="J68" s="2109" t="s">
        <v>669</v>
      </c>
      <c r="K68" s="3120"/>
      <c r="L68" s="2109" t="s">
        <v>669</v>
      </c>
      <c r="M68" s="3120"/>
      <c r="N68" s="2109" t="s">
        <v>669</v>
      </c>
      <c r="O68" s="3120"/>
      <c r="P68" s="2109" t="s">
        <v>669</v>
      </c>
      <c r="Q68" s="3120"/>
      <c r="R68" s="2109" t="s">
        <v>669</v>
      </c>
      <c r="S68" s="3120"/>
      <c r="T68" s="2109" t="s">
        <v>669</v>
      </c>
      <c r="U68" s="3120"/>
      <c r="V68" s="2109" t="s">
        <v>669</v>
      </c>
      <c r="W68" s="3120"/>
      <c r="X68" s="2109" t="s">
        <v>669</v>
      </c>
      <c r="Y68" s="3120"/>
      <c r="Z68" s="2038"/>
      <c r="AA68" s="3120"/>
      <c r="AB68" s="2109" t="s">
        <v>669</v>
      </c>
      <c r="AC68" s="3120"/>
      <c r="AD68" s="2109" t="s">
        <v>669</v>
      </c>
      <c r="AE68" s="3120"/>
      <c r="AF68" s="2038"/>
      <c r="AG68" s="3120"/>
      <c r="AH68" s="2109"/>
      <c r="AI68" s="3109"/>
    </row>
    <row r="69" spans="1:35" x14ac:dyDescent="0.35">
      <c r="A69" s="3125"/>
      <c r="B69" s="3164" t="s">
        <v>3756</v>
      </c>
      <c r="C69" s="3162"/>
      <c r="D69" s="3049"/>
      <c r="E69" s="3152"/>
      <c r="F69" s="3161"/>
      <c r="G69" s="3154"/>
      <c r="H69" s="2109"/>
      <c r="I69" s="3120"/>
      <c r="J69" s="2109"/>
      <c r="K69" s="3120"/>
      <c r="L69" s="2109"/>
      <c r="M69" s="3120"/>
      <c r="N69" s="2109"/>
      <c r="O69" s="3120"/>
      <c r="P69" s="2109"/>
      <c r="Q69" s="3120"/>
      <c r="R69" s="2109"/>
      <c r="S69" s="3120"/>
      <c r="T69" s="2109" t="s">
        <v>669</v>
      </c>
      <c r="U69" s="3120"/>
      <c r="V69" s="2109" t="s">
        <v>669</v>
      </c>
      <c r="W69" s="3120"/>
      <c r="X69" s="2109"/>
      <c r="Y69" s="3120"/>
      <c r="Z69" s="2038"/>
      <c r="AA69" s="3120"/>
      <c r="AB69" s="2109"/>
      <c r="AC69" s="3120"/>
      <c r="AD69" s="2109"/>
      <c r="AE69" s="3120"/>
      <c r="AF69" s="2038"/>
      <c r="AG69" s="3120"/>
      <c r="AH69" s="2109"/>
      <c r="AI69" s="3109"/>
    </row>
    <row r="70" spans="1:35" x14ac:dyDescent="0.35">
      <c r="A70" s="3125"/>
      <c r="B70" s="3151"/>
      <c r="C70" s="3162"/>
      <c r="D70" s="3049"/>
      <c r="E70" s="3152"/>
      <c r="F70" s="3161"/>
      <c r="G70" s="3154"/>
      <c r="H70" s="2109"/>
      <c r="I70" s="3120"/>
      <c r="J70" s="2109"/>
      <c r="K70" s="3120"/>
      <c r="L70" s="2109"/>
      <c r="M70" s="3120"/>
      <c r="N70" s="2109"/>
      <c r="O70" s="3120"/>
      <c r="P70" s="2109"/>
      <c r="Q70" s="3120"/>
      <c r="R70" s="2109"/>
      <c r="S70" s="3120"/>
      <c r="T70" s="2109"/>
      <c r="U70" s="3120"/>
      <c r="V70" s="2109"/>
      <c r="W70" s="3120"/>
      <c r="X70" s="2109"/>
      <c r="Y70" s="3120"/>
      <c r="Z70" s="2038"/>
      <c r="AA70" s="3120"/>
      <c r="AB70" s="2109"/>
      <c r="AC70" s="3120"/>
      <c r="AD70" s="2109"/>
      <c r="AE70" s="3120"/>
      <c r="AF70" s="2038"/>
      <c r="AG70" s="3120"/>
      <c r="AH70" s="2109"/>
      <c r="AI70" s="3109"/>
    </row>
    <row r="71" spans="1:35" x14ac:dyDescent="0.35">
      <c r="A71" s="3125"/>
      <c r="B71" s="3160" t="s">
        <v>3757</v>
      </c>
      <c r="C71" s="3162"/>
      <c r="D71" s="3049"/>
      <c r="E71" s="3152"/>
      <c r="F71" s="3161"/>
      <c r="G71" s="3154"/>
      <c r="H71" s="2109" t="s">
        <v>669</v>
      </c>
      <c r="I71" s="3120">
        <v>2856369</v>
      </c>
      <c r="J71" s="2109" t="s">
        <v>669</v>
      </c>
      <c r="K71" s="3120">
        <v>3172868</v>
      </c>
      <c r="L71" s="2109" t="s">
        <v>669</v>
      </c>
      <c r="M71" s="3120">
        <v>3313450</v>
      </c>
      <c r="N71" s="2109" t="s">
        <v>669</v>
      </c>
      <c r="O71" s="3120">
        <v>3312539</v>
      </c>
      <c r="P71" s="2109" t="s">
        <v>669</v>
      </c>
      <c r="Q71" s="3120">
        <v>3085187</v>
      </c>
      <c r="R71" s="2109" t="s">
        <v>669</v>
      </c>
      <c r="S71" s="3120">
        <v>3369380</v>
      </c>
      <c r="T71" s="2109" t="s">
        <v>669</v>
      </c>
      <c r="U71" s="3120">
        <v>3026710</v>
      </c>
      <c r="V71" s="2109" t="s">
        <v>669</v>
      </c>
      <c r="W71" s="3120">
        <v>2457935</v>
      </c>
      <c r="X71" s="2109" t="s">
        <v>669</v>
      </c>
      <c r="Y71" s="3120">
        <f>2672380</f>
        <v>2672380</v>
      </c>
      <c r="Z71" s="2038" t="s">
        <v>654</v>
      </c>
      <c r="AA71" s="3120">
        <f>Y71</f>
        <v>2672380</v>
      </c>
      <c r="AB71" s="2109" t="s">
        <v>669</v>
      </c>
      <c r="AC71" s="3120"/>
      <c r="AD71" s="2109" t="s">
        <v>669</v>
      </c>
      <c r="AE71" s="3120"/>
      <c r="AF71" s="2038"/>
      <c r="AG71" s="3120"/>
      <c r="AH71" s="2109"/>
      <c r="AI71" s="3109"/>
    </row>
    <row r="72" spans="1:35" x14ac:dyDescent="0.35">
      <c r="A72" s="3125"/>
      <c r="B72" s="3151" t="s">
        <v>3758</v>
      </c>
      <c r="C72" s="3162"/>
      <c r="D72" s="3049"/>
      <c r="E72" s="3152"/>
      <c r="F72" s="3165"/>
      <c r="G72" s="3154"/>
      <c r="H72" s="2109" t="s">
        <v>669</v>
      </c>
      <c r="I72" s="3120"/>
      <c r="J72" s="2109" t="s">
        <v>669</v>
      </c>
      <c r="K72" s="3120"/>
      <c r="L72" s="2109" t="s">
        <v>669</v>
      </c>
      <c r="M72" s="3120"/>
      <c r="N72" s="2109" t="s">
        <v>669</v>
      </c>
      <c r="O72" s="3120"/>
      <c r="P72" s="2109" t="s">
        <v>669</v>
      </c>
      <c r="Q72" s="3120"/>
      <c r="R72" s="2109" t="s">
        <v>669</v>
      </c>
      <c r="S72" s="3120"/>
      <c r="T72" s="2109" t="s">
        <v>669</v>
      </c>
      <c r="U72" s="3120">
        <v>92095</v>
      </c>
      <c r="V72" s="2109" t="s">
        <v>669</v>
      </c>
      <c r="W72" s="3120">
        <v>86750</v>
      </c>
      <c r="X72" s="2109" t="s">
        <v>669</v>
      </c>
      <c r="Y72" s="3120">
        <v>232885</v>
      </c>
      <c r="Z72" s="2038"/>
      <c r="AA72" s="3120"/>
      <c r="AB72" s="2109" t="s">
        <v>669</v>
      </c>
      <c r="AC72" s="3120"/>
      <c r="AD72" s="2109" t="s">
        <v>669</v>
      </c>
      <c r="AE72" s="3120"/>
      <c r="AF72" s="2038"/>
      <c r="AG72" s="3120"/>
      <c r="AH72" s="2109"/>
      <c r="AI72" s="3109"/>
    </row>
    <row r="73" spans="1:35" x14ac:dyDescent="0.35">
      <c r="A73" s="3125"/>
      <c r="B73" s="3151" t="s">
        <v>3759</v>
      </c>
      <c r="C73" s="3162"/>
      <c r="D73" s="3049"/>
      <c r="E73" s="3152"/>
      <c r="F73" s="3165"/>
      <c r="G73" s="3154"/>
      <c r="H73" s="2109" t="s">
        <v>669</v>
      </c>
      <c r="I73" s="3120"/>
      <c r="J73" s="2109" t="s">
        <v>669</v>
      </c>
      <c r="K73" s="3120"/>
      <c r="L73" s="2109" t="s">
        <v>669</v>
      </c>
      <c r="M73" s="3120"/>
      <c r="N73" s="2109" t="s">
        <v>669</v>
      </c>
      <c r="O73" s="3120"/>
      <c r="P73" s="2109" t="s">
        <v>669</v>
      </c>
      <c r="Q73" s="3120"/>
      <c r="R73" s="2109" t="s">
        <v>669</v>
      </c>
      <c r="S73" s="3120"/>
      <c r="T73" s="2109" t="s">
        <v>669</v>
      </c>
      <c r="U73" s="3120"/>
      <c r="V73" s="2109" t="s">
        <v>669</v>
      </c>
      <c r="W73" s="3120"/>
      <c r="X73" s="2109" t="s">
        <v>669</v>
      </c>
      <c r="Y73" s="3120"/>
      <c r="Z73" s="2038"/>
      <c r="AA73" s="3120"/>
      <c r="AB73" s="2109" t="s">
        <v>669</v>
      </c>
      <c r="AC73" s="3120"/>
      <c r="AD73" s="2109" t="s">
        <v>669</v>
      </c>
      <c r="AE73" s="3120"/>
      <c r="AF73" s="2038"/>
      <c r="AG73" s="3120"/>
      <c r="AH73" s="2109"/>
      <c r="AI73" s="3109"/>
    </row>
    <row r="74" spans="1:35" x14ac:dyDescent="0.35">
      <c r="A74" s="3125"/>
      <c r="B74" s="3166" t="s">
        <v>3760</v>
      </c>
      <c r="C74" s="3162"/>
      <c r="D74" s="3049"/>
      <c r="E74" s="3152"/>
      <c r="F74" s="3165"/>
      <c r="G74" s="3154"/>
      <c r="H74" s="2038" t="s">
        <v>654</v>
      </c>
      <c r="I74" s="3120">
        <f>U74</f>
        <v>89835</v>
      </c>
      <c r="J74" s="2038" t="s">
        <v>669</v>
      </c>
      <c r="K74" s="3120"/>
      <c r="L74" s="2038" t="s">
        <v>654</v>
      </c>
      <c r="M74" s="3120">
        <f>U74</f>
        <v>89835</v>
      </c>
      <c r="N74" s="2038" t="s">
        <v>654</v>
      </c>
      <c r="O74" s="3120">
        <f>U74</f>
        <v>89835</v>
      </c>
      <c r="P74" s="2038" t="s">
        <v>669</v>
      </c>
      <c r="Q74" s="3120"/>
      <c r="R74" s="2038"/>
      <c r="S74" s="3120"/>
      <c r="T74" s="2109" t="s">
        <v>669</v>
      </c>
      <c r="U74" s="3120">
        <v>89835</v>
      </c>
      <c r="V74" s="2109" t="s">
        <v>669</v>
      </c>
      <c r="W74" s="3120">
        <v>84625</v>
      </c>
      <c r="X74" s="2109"/>
      <c r="Y74" s="3120"/>
      <c r="Z74" s="2038"/>
      <c r="AA74" s="3120"/>
      <c r="AB74" s="2109"/>
      <c r="AC74" s="3120"/>
      <c r="AD74" s="2109"/>
      <c r="AE74" s="3120"/>
      <c r="AF74" s="2038"/>
      <c r="AG74" s="3120"/>
      <c r="AH74" s="2109"/>
      <c r="AI74" s="3109"/>
    </row>
    <row r="75" spans="1:35" ht="29" x14ac:dyDescent="0.35">
      <c r="A75" s="3125"/>
      <c r="B75" s="3151" t="s">
        <v>3761</v>
      </c>
      <c r="C75" s="3163" t="s">
        <v>3762</v>
      </c>
      <c r="D75" s="3049"/>
      <c r="E75" s="3152"/>
      <c r="F75" s="3165"/>
      <c r="G75" s="3154"/>
      <c r="H75" s="2109" t="s">
        <v>669</v>
      </c>
      <c r="I75" s="3120"/>
      <c r="J75" s="2109" t="s">
        <v>669</v>
      </c>
      <c r="K75" s="3120"/>
      <c r="L75" s="2109" t="s">
        <v>669</v>
      </c>
      <c r="M75" s="3120"/>
      <c r="N75" s="2109" t="s">
        <v>669</v>
      </c>
      <c r="O75" s="3120"/>
      <c r="P75" s="2109" t="s">
        <v>669</v>
      </c>
      <c r="Q75" s="3120"/>
      <c r="R75" s="2109" t="s">
        <v>669</v>
      </c>
      <c r="S75" s="3120"/>
      <c r="T75" s="2109" t="s">
        <v>669</v>
      </c>
      <c r="U75" s="3120"/>
      <c r="V75" s="2109" t="s">
        <v>669</v>
      </c>
      <c r="W75" s="3120"/>
      <c r="X75" s="2109" t="s">
        <v>669</v>
      </c>
      <c r="Y75" s="3120"/>
      <c r="Z75" s="2038"/>
      <c r="AA75" s="3120"/>
      <c r="AB75" s="2109" t="s">
        <v>669</v>
      </c>
      <c r="AC75" s="3120"/>
      <c r="AD75" s="2109" t="s">
        <v>669</v>
      </c>
      <c r="AE75" s="3120"/>
      <c r="AF75" s="2038"/>
      <c r="AG75" s="3120"/>
      <c r="AH75" s="2109"/>
      <c r="AI75" s="3109"/>
    </row>
    <row r="76" spans="1:35" x14ac:dyDescent="0.35">
      <c r="A76" s="3125"/>
      <c r="B76" s="3151" t="s">
        <v>3763</v>
      </c>
      <c r="C76" s="3162"/>
      <c r="D76" s="3049"/>
      <c r="E76" s="3152"/>
      <c r="F76" s="3165"/>
      <c r="G76" s="3154"/>
      <c r="H76" s="2109" t="s">
        <v>669</v>
      </c>
      <c r="I76" s="3120"/>
      <c r="J76" s="2109" t="s">
        <v>669</v>
      </c>
      <c r="K76" s="3120"/>
      <c r="L76" s="2109" t="s">
        <v>669</v>
      </c>
      <c r="M76" s="3120"/>
      <c r="N76" s="2109" t="s">
        <v>669</v>
      </c>
      <c r="O76" s="3120"/>
      <c r="P76" s="2109" t="s">
        <v>669</v>
      </c>
      <c r="Q76" s="3120"/>
      <c r="R76" s="2109" t="s">
        <v>669</v>
      </c>
      <c r="S76" s="3120"/>
      <c r="T76" s="2109" t="s">
        <v>669</v>
      </c>
      <c r="U76" s="3120"/>
      <c r="V76" s="2109" t="s">
        <v>669</v>
      </c>
      <c r="W76" s="3120"/>
      <c r="X76" s="2109" t="s">
        <v>669</v>
      </c>
      <c r="Y76" s="3120"/>
      <c r="Z76" s="2038"/>
      <c r="AA76" s="3120"/>
      <c r="AB76" s="2109" t="s">
        <v>669</v>
      </c>
      <c r="AC76" s="3120"/>
      <c r="AD76" s="2109" t="s">
        <v>669</v>
      </c>
      <c r="AE76" s="3120"/>
      <c r="AF76" s="2038"/>
      <c r="AG76" s="3120"/>
      <c r="AH76" s="2109"/>
      <c r="AI76" s="3109"/>
    </row>
    <row r="77" spans="1:35" x14ac:dyDescent="0.35">
      <c r="A77" s="3125"/>
      <c r="B77" s="3151" t="s">
        <v>3764</v>
      </c>
      <c r="C77" s="3162"/>
      <c r="D77" s="3049">
        <v>135391</v>
      </c>
      <c r="E77" s="3152" t="s">
        <v>3721</v>
      </c>
      <c r="F77" s="3165"/>
      <c r="G77" s="3154"/>
      <c r="H77" s="2109" t="s">
        <v>669</v>
      </c>
      <c r="I77" s="3120"/>
      <c r="J77" s="2109" t="s">
        <v>669</v>
      </c>
      <c r="K77" s="3120"/>
      <c r="L77" s="2109" t="s">
        <v>669</v>
      </c>
      <c r="M77" s="3120"/>
      <c r="N77" s="2109" t="s">
        <v>669</v>
      </c>
      <c r="O77" s="3120"/>
      <c r="P77" s="2109" t="s">
        <v>669</v>
      </c>
      <c r="Q77" s="3120"/>
      <c r="R77" s="2109" t="s">
        <v>669</v>
      </c>
      <c r="S77" s="3120"/>
      <c r="T77" s="2109" t="s">
        <v>669</v>
      </c>
      <c r="U77" s="3120"/>
      <c r="V77" s="2109" t="s">
        <v>669</v>
      </c>
      <c r="W77" s="3120"/>
      <c r="X77" s="2109" t="s">
        <v>669</v>
      </c>
      <c r="Y77" s="3120"/>
      <c r="Z77" s="2038"/>
      <c r="AA77" s="3120"/>
      <c r="AB77" s="2109" t="s">
        <v>669</v>
      </c>
      <c r="AC77" s="3120"/>
      <c r="AD77" s="2109" t="s">
        <v>669</v>
      </c>
      <c r="AE77" s="3120"/>
      <c r="AF77" s="2038"/>
      <c r="AG77" s="3120"/>
      <c r="AH77" s="2109"/>
      <c r="AI77" s="3109"/>
    </row>
    <row r="78" spans="1:35" x14ac:dyDescent="0.35">
      <c r="A78" s="3125"/>
      <c r="B78" s="3151" t="s">
        <v>3765</v>
      </c>
      <c r="C78" s="3162"/>
      <c r="D78" s="3049"/>
      <c r="E78" s="3152"/>
      <c r="F78" s="3165"/>
      <c r="G78" s="3154"/>
      <c r="H78" s="2109" t="s">
        <v>669</v>
      </c>
      <c r="I78" s="3120"/>
      <c r="J78" s="2109" t="s">
        <v>669</v>
      </c>
      <c r="K78" s="3120"/>
      <c r="L78" s="2109" t="s">
        <v>669</v>
      </c>
      <c r="M78" s="3120"/>
      <c r="N78" s="2109" t="s">
        <v>669</v>
      </c>
      <c r="O78" s="3120"/>
      <c r="P78" s="2109" t="s">
        <v>669</v>
      </c>
      <c r="Q78" s="3120"/>
      <c r="R78" s="2109" t="s">
        <v>669</v>
      </c>
      <c r="S78" s="3120"/>
      <c r="T78" s="2109" t="s">
        <v>669</v>
      </c>
      <c r="U78" s="3120"/>
      <c r="V78" s="2109" t="s">
        <v>669</v>
      </c>
      <c r="W78" s="3120"/>
      <c r="X78" s="2109" t="s">
        <v>669</v>
      </c>
      <c r="Y78" s="3120"/>
      <c r="Z78" s="2038"/>
      <c r="AA78" s="3120"/>
      <c r="AB78" s="2109" t="s">
        <v>669</v>
      </c>
      <c r="AC78" s="3120"/>
      <c r="AD78" s="2109" t="s">
        <v>669</v>
      </c>
      <c r="AE78" s="3120"/>
      <c r="AF78" s="2038"/>
      <c r="AG78" s="3120"/>
      <c r="AH78" s="2109"/>
      <c r="AI78" s="3109"/>
    </row>
    <row r="79" spans="1:35" x14ac:dyDescent="0.35">
      <c r="A79" s="3125"/>
      <c r="B79" s="3151" t="s">
        <v>3766</v>
      </c>
      <c r="C79" s="3149"/>
      <c r="D79" s="3049"/>
      <c r="E79" s="3152"/>
      <c r="F79" s="3165"/>
      <c r="G79" s="3154"/>
      <c r="H79" s="2109" t="s">
        <v>669</v>
      </c>
      <c r="I79" s="3120"/>
      <c r="J79" s="2109" t="s">
        <v>669</v>
      </c>
      <c r="K79" s="3120"/>
      <c r="L79" s="2109" t="s">
        <v>669</v>
      </c>
      <c r="M79" s="3120"/>
      <c r="N79" s="2109" t="s">
        <v>669</v>
      </c>
      <c r="O79" s="3120"/>
      <c r="P79" s="2109" t="s">
        <v>669</v>
      </c>
      <c r="Q79" s="3120"/>
      <c r="R79" s="2109" t="s">
        <v>669</v>
      </c>
      <c r="S79" s="3120"/>
      <c r="T79" s="2109" t="s">
        <v>669</v>
      </c>
      <c r="U79" s="3120"/>
      <c r="V79" s="2109" t="s">
        <v>669</v>
      </c>
      <c r="W79" s="3120"/>
      <c r="X79" s="2109" t="s">
        <v>669</v>
      </c>
      <c r="Y79" s="3120"/>
      <c r="Z79" s="2038"/>
      <c r="AA79" s="3120"/>
      <c r="AB79" s="2109" t="s">
        <v>669</v>
      </c>
      <c r="AC79" s="3120"/>
      <c r="AD79" s="2109" t="s">
        <v>669</v>
      </c>
      <c r="AE79" s="3120"/>
      <c r="AF79" s="2038"/>
      <c r="AG79" s="3120"/>
      <c r="AH79" s="2109"/>
      <c r="AI79" s="3109"/>
    </row>
    <row r="80" spans="1:35" x14ac:dyDescent="0.35">
      <c r="A80" s="3125"/>
      <c r="B80" s="3151" t="s">
        <v>3767</v>
      </c>
      <c r="C80" s="3149"/>
      <c r="D80" s="3049"/>
      <c r="E80" s="3152"/>
      <c r="F80" s="3165"/>
      <c r="G80" s="3154"/>
      <c r="H80" s="2109" t="s">
        <v>669</v>
      </c>
      <c r="I80" s="3120"/>
      <c r="J80" s="2109" t="s">
        <v>669</v>
      </c>
      <c r="K80" s="3120"/>
      <c r="L80" s="2109" t="s">
        <v>669</v>
      </c>
      <c r="M80" s="3120"/>
      <c r="N80" s="2109" t="s">
        <v>669</v>
      </c>
      <c r="O80" s="3120"/>
      <c r="P80" s="2109" t="s">
        <v>669</v>
      </c>
      <c r="Q80" s="3120"/>
      <c r="R80" s="2109" t="s">
        <v>669</v>
      </c>
      <c r="S80" s="3120"/>
      <c r="T80" s="2109" t="s">
        <v>669</v>
      </c>
      <c r="U80" s="3120"/>
      <c r="V80" s="2109" t="s">
        <v>669</v>
      </c>
      <c r="W80" s="3120"/>
      <c r="X80" s="2109" t="s">
        <v>669</v>
      </c>
      <c r="Y80" s="3120"/>
      <c r="Z80" s="2038"/>
      <c r="AA80" s="3120"/>
      <c r="AB80" s="2109" t="s">
        <v>669</v>
      </c>
      <c r="AC80" s="3120"/>
      <c r="AD80" s="2109" t="s">
        <v>669</v>
      </c>
      <c r="AE80" s="3120"/>
      <c r="AF80" s="2038"/>
      <c r="AG80" s="3120"/>
      <c r="AH80" s="2109"/>
      <c r="AI80" s="3109"/>
    </row>
    <row r="81" spans="1:35" x14ac:dyDescent="0.35">
      <c r="A81" s="3125"/>
      <c r="B81" s="3151" t="s">
        <v>3768</v>
      </c>
      <c r="C81" s="3149"/>
      <c r="D81" s="3049"/>
      <c r="E81" s="3152"/>
      <c r="F81" s="3165"/>
      <c r="G81" s="3154"/>
      <c r="H81" s="2109" t="s">
        <v>669</v>
      </c>
      <c r="I81" s="3120"/>
      <c r="J81" s="2109" t="s">
        <v>669</v>
      </c>
      <c r="K81" s="3120"/>
      <c r="L81" s="2109" t="s">
        <v>669</v>
      </c>
      <c r="M81" s="3120"/>
      <c r="N81" s="2109" t="s">
        <v>669</v>
      </c>
      <c r="O81" s="3120"/>
      <c r="P81" s="2109" t="s">
        <v>669</v>
      </c>
      <c r="Q81" s="3120"/>
      <c r="R81" s="2109" t="s">
        <v>669</v>
      </c>
      <c r="S81" s="3120"/>
      <c r="T81" s="2109" t="s">
        <v>669</v>
      </c>
      <c r="U81" s="3120"/>
      <c r="V81" s="2109" t="s">
        <v>669</v>
      </c>
      <c r="W81" s="3120"/>
      <c r="X81" s="2109" t="s">
        <v>669</v>
      </c>
      <c r="Y81" s="3120"/>
      <c r="Z81" s="2038"/>
      <c r="AA81" s="3120"/>
      <c r="AB81" s="2109" t="s">
        <v>669</v>
      </c>
      <c r="AC81" s="3120"/>
      <c r="AD81" s="2109" t="s">
        <v>669</v>
      </c>
      <c r="AE81" s="3120"/>
      <c r="AF81" s="2038"/>
      <c r="AG81" s="3120"/>
      <c r="AH81" s="2109"/>
      <c r="AI81" s="3109"/>
    </row>
    <row r="82" spans="1:35" x14ac:dyDescent="0.35">
      <c r="A82" s="3125"/>
      <c r="B82" s="3151" t="s">
        <v>3769</v>
      </c>
      <c r="C82" s="3149"/>
      <c r="D82" s="3049"/>
      <c r="E82" s="3152"/>
      <c r="F82" s="3165"/>
      <c r="G82" s="3154"/>
      <c r="H82" s="2109" t="s">
        <v>669</v>
      </c>
      <c r="I82" s="3120"/>
      <c r="J82" s="2109" t="s">
        <v>669</v>
      </c>
      <c r="K82" s="3120"/>
      <c r="L82" s="2109" t="s">
        <v>669</v>
      </c>
      <c r="M82" s="3120"/>
      <c r="N82" s="2109" t="s">
        <v>669</v>
      </c>
      <c r="O82" s="3120"/>
      <c r="P82" s="2109" t="s">
        <v>669</v>
      </c>
      <c r="Q82" s="3120"/>
      <c r="R82" s="2109" t="s">
        <v>669</v>
      </c>
      <c r="S82" s="3120"/>
      <c r="T82" s="2109" t="s">
        <v>669</v>
      </c>
      <c r="U82" s="3120"/>
      <c r="V82" s="2109" t="s">
        <v>669</v>
      </c>
      <c r="W82" s="3120"/>
      <c r="X82" s="2109" t="s">
        <v>669</v>
      </c>
      <c r="Y82" s="3120"/>
      <c r="Z82" s="2038"/>
      <c r="AA82" s="3120"/>
      <c r="AB82" s="2109" t="s">
        <v>669</v>
      </c>
      <c r="AC82" s="3120"/>
      <c r="AD82" s="2109" t="s">
        <v>669</v>
      </c>
      <c r="AE82" s="3120"/>
      <c r="AF82" s="2038"/>
      <c r="AG82" s="3120"/>
      <c r="AH82" s="2109"/>
      <c r="AI82" s="3109"/>
    </row>
    <row r="83" spans="1:35" x14ac:dyDescent="0.35">
      <c r="A83" s="3125"/>
      <c r="B83" s="3151" t="s">
        <v>3770</v>
      </c>
      <c r="C83" s="3162"/>
      <c r="D83" s="3049"/>
      <c r="E83" s="3152"/>
      <c r="F83" s="3165"/>
      <c r="G83" s="3154"/>
      <c r="H83" s="2109" t="s">
        <v>669</v>
      </c>
      <c r="I83" s="3120"/>
      <c r="J83" s="2109" t="s">
        <v>669</v>
      </c>
      <c r="K83" s="3120"/>
      <c r="L83" s="2109" t="s">
        <v>669</v>
      </c>
      <c r="M83" s="3120"/>
      <c r="N83" s="2109" t="s">
        <v>669</v>
      </c>
      <c r="O83" s="3120"/>
      <c r="P83" s="2109" t="s">
        <v>669</v>
      </c>
      <c r="Q83" s="3120"/>
      <c r="R83" s="2109" t="s">
        <v>669</v>
      </c>
      <c r="S83" s="3120"/>
      <c r="T83" s="2109" t="s">
        <v>669</v>
      </c>
      <c r="U83" s="3120"/>
      <c r="V83" s="2109" t="s">
        <v>669</v>
      </c>
      <c r="W83" s="3120"/>
      <c r="X83" s="2109" t="s">
        <v>669</v>
      </c>
      <c r="Y83" s="3120"/>
      <c r="Z83" s="2038"/>
      <c r="AA83" s="3120"/>
      <c r="AB83" s="2109" t="s">
        <v>669</v>
      </c>
      <c r="AC83" s="3120"/>
      <c r="AD83" s="2109" t="s">
        <v>669</v>
      </c>
      <c r="AE83" s="3120"/>
      <c r="AF83" s="2038"/>
      <c r="AG83" s="3120"/>
      <c r="AH83" s="2109"/>
      <c r="AI83" s="3109"/>
    </row>
    <row r="84" spans="1:35" x14ac:dyDescent="0.35">
      <c r="A84" s="3125"/>
      <c r="B84" s="3167" t="s">
        <v>3771</v>
      </c>
      <c r="C84" s="3162"/>
      <c r="D84" s="3049"/>
      <c r="E84" s="3152"/>
      <c r="F84" s="3165"/>
      <c r="G84" s="3154"/>
      <c r="H84" s="2109" t="s">
        <v>669</v>
      </c>
      <c r="I84" s="3120"/>
      <c r="J84" s="2109" t="s">
        <v>669</v>
      </c>
      <c r="K84" s="3120"/>
      <c r="L84" s="2109" t="s">
        <v>669</v>
      </c>
      <c r="M84" s="3120"/>
      <c r="N84" s="2109" t="s">
        <v>669</v>
      </c>
      <c r="O84" s="3120"/>
      <c r="P84" s="2109" t="s">
        <v>669</v>
      </c>
      <c r="Q84" s="3120"/>
      <c r="R84" s="2109" t="s">
        <v>669</v>
      </c>
      <c r="S84" s="3120"/>
      <c r="T84" s="2109" t="s">
        <v>669</v>
      </c>
      <c r="U84" s="3120"/>
      <c r="V84" s="2109" t="s">
        <v>669</v>
      </c>
      <c r="W84" s="3120"/>
      <c r="X84" s="2109" t="s">
        <v>669</v>
      </c>
      <c r="Y84" s="3120"/>
      <c r="Z84" s="2038"/>
      <c r="AA84" s="3120"/>
      <c r="AB84" s="2109" t="s">
        <v>669</v>
      </c>
      <c r="AC84" s="3120"/>
      <c r="AD84" s="2109" t="s">
        <v>669</v>
      </c>
      <c r="AE84" s="3120"/>
      <c r="AF84" s="2038"/>
      <c r="AG84" s="3120"/>
      <c r="AH84" s="2109"/>
      <c r="AI84" s="3109"/>
    </row>
    <row r="85" spans="1:35" x14ac:dyDescent="0.35">
      <c r="A85" s="3125"/>
      <c r="B85" s="3151"/>
      <c r="C85" s="3162"/>
      <c r="D85" s="3049"/>
      <c r="E85" s="3152"/>
      <c r="F85" s="3161"/>
      <c r="G85" s="3154"/>
      <c r="H85" s="2109"/>
      <c r="I85" s="3120"/>
      <c r="J85" s="2109"/>
      <c r="K85" s="3120"/>
      <c r="L85" s="2109"/>
      <c r="M85" s="3120"/>
      <c r="N85" s="2109"/>
      <c r="O85" s="3120"/>
      <c r="P85" s="2109"/>
      <c r="Q85" s="3120"/>
      <c r="R85" s="2109"/>
      <c r="S85" s="3120"/>
      <c r="T85" s="2109"/>
      <c r="U85" s="3120"/>
      <c r="V85" s="2109"/>
      <c r="W85" s="3120"/>
      <c r="X85" s="2109"/>
      <c r="Y85" s="3120"/>
      <c r="Z85" s="2109"/>
      <c r="AA85" s="3120"/>
      <c r="AB85" s="2109"/>
      <c r="AC85" s="3120"/>
      <c r="AD85" s="2109"/>
      <c r="AE85" s="3120"/>
      <c r="AF85" s="2109"/>
      <c r="AG85" s="3120"/>
      <c r="AH85" s="2109"/>
      <c r="AI85" s="3109"/>
    </row>
    <row r="86" spans="1:35" x14ac:dyDescent="0.35">
      <c r="A86" s="3125"/>
      <c r="B86" s="3160" t="s">
        <v>3772</v>
      </c>
      <c r="C86" s="3162"/>
      <c r="D86" s="3049"/>
      <c r="E86" s="3152"/>
      <c r="F86" s="3161"/>
      <c r="G86" s="3154"/>
      <c r="H86" s="2109"/>
      <c r="I86" s="3120"/>
      <c r="J86" s="2109"/>
      <c r="K86" s="3120"/>
      <c r="L86" s="2109"/>
      <c r="M86" s="3120"/>
      <c r="N86" s="2109"/>
      <c r="O86" s="3120"/>
      <c r="P86" s="2109"/>
      <c r="Q86" s="3120"/>
      <c r="R86" s="2109"/>
      <c r="S86" s="3120"/>
      <c r="T86" s="2109"/>
      <c r="U86" s="3120"/>
      <c r="V86" s="2109"/>
      <c r="W86" s="3120"/>
      <c r="X86" s="2109"/>
      <c r="Y86" s="3120"/>
      <c r="Z86" s="2109"/>
      <c r="AA86" s="3120">
        <v>6349525</v>
      </c>
      <c r="AB86" s="2109"/>
      <c r="AC86" s="3120"/>
      <c r="AD86" s="2109"/>
      <c r="AE86" s="3120"/>
      <c r="AF86" s="2109"/>
      <c r="AG86" s="3120"/>
      <c r="AH86" s="2109"/>
      <c r="AI86" s="3109"/>
    </row>
    <row r="87" spans="1:35" x14ac:dyDescent="0.35">
      <c r="A87" s="3056"/>
      <c r="B87" s="3160" t="s">
        <v>3773</v>
      </c>
      <c r="C87" s="3162"/>
      <c r="D87" s="3049"/>
      <c r="E87" s="3152"/>
      <c r="F87" s="3161"/>
      <c r="G87" s="3154"/>
      <c r="H87" s="2109" t="s">
        <v>669</v>
      </c>
      <c r="I87" s="3120">
        <v>1704174</v>
      </c>
      <c r="J87" s="2109" t="s">
        <v>669</v>
      </c>
      <c r="K87" s="3120">
        <v>1687372</v>
      </c>
      <c r="L87" s="2109" t="s">
        <v>669</v>
      </c>
      <c r="M87" s="3120">
        <v>2144770</v>
      </c>
      <c r="N87" s="2109" t="s">
        <v>669</v>
      </c>
      <c r="O87" s="3120">
        <v>2129880</v>
      </c>
      <c r="P87" s="2109" t="s">
        <v>669</v>
      </c>
      <c r="Q87" s="3120">
        <v>1912331</v>
      </c>
      <c r="R87" s="2109" t="s">
        <v>669</v>
      </c>
      <c r="S87" s="3120">
        <v>1732773</v>
      </c>
      <c r="T87" s="2109" t="s">
        <v>669</v>
      </c>
      <c r="U87" s="3120">
        <v>2289200</v>
      </c>
      <c r="V87" s="2109" t="s">
        <v>669</v>
      </c>
      <c r="W87" s="3120">
        <v>2202020</v>
      </c>
      <c r="X87" s="2109" t="s">
        <v>669</v>
      </c>
      <c r="Y87" s="3120">
        <v>1665700</v>
      </c>
      <c r="Z87" s="2109" t="s">
        <v>669</v>
      </c>
      <c r="AA87" s="3120"/>
      <c r="AB87" s="2109" t="s">
        <v>669</v>
      </c>
      <c r="AC87" s="3120"/>
      <c r="AD87" s="2109" t="s">
        <v>669</v>
      </c>
      <c r="AE87" s="3120"/>
      <c r="AF87" s="2109" t="s">
        <v>669</v>
      </c>
      <c r="AG87" s="3120">
        <v>1590831</v>
      </c>
      <c r="AH87" s="2109"/>
      <c r="AI87" s="3109"/>
    </row>
    <row r="88" spans="1:35" x14ac:dyDescent="0.35">
      <c r="A88" s="3125"/>
      <c r="B88" s="3164" t="s">
        <v>3774</v>
      </c>
      <c r="C88" s="3162"/>
      <c r="D88" s="3049"/>
      <c r="E88" s="3152"/>
      <c r="F88" s="3165"/>
      <c r="G88" s="3154"/>
      <c r="H88" s="2109" t="s">
        <v>669</v>
      </c>
      <c r="I88" s="3120"/>
      <c r="J88" s="2109" t="s">
        <v>669</v>
      </c>
      <c r="K88" s="3120"/>
      <c r="L88" s="2109" t="s">
        <v>669</v>
      </c>
      <c r="M88" s="3120"/>
      <c r="N88" s="2109" t="s">
        <v>669</v>
      </c>
      <c r="O88" s="3120"/>
      <c r="P88" s="2109" t="s">
        <v>669</v>
      </c>
      <c r="Q88" s="3120"/>
      <c r="R88" s="2109" t="s">
        <v>669</v>
      </c>
      <c r="S88" s="3120"/>
      <c r="T88" s="2109" t="s">
        <v>669</v>
      </c>
      <c r="U88" s="3120"/>
      <c r="V88" s="2109" t="s">
        <v>669</v>
      </c>
      <c r="W88" s="3120"/>
      <c r="X88" s="2109" t="s">
        <v>669</v>
      </c>
      <c r="Y88" s="3120"/>
      <c r="Z88" s="2109" t="s">
        <v>669</v>
      </c>
      <c r="AA88" s="3120"/>
      <c r="AB88" s="2109" t="s">
        <v>669</v>
      </c>
      <c r="AC88" s="3120"/>
      <c r="AD88" s="2109" t="s">
        <v>669</v>
      </c>
      <c r="AE88" s="3120"/>
      <c r="AF88" s="2109" t="s">
        <v>669</v>
      </c>
      <c r="AG88" s="3120"/>
      <c r="AH88" s="2109"/>
      <c r="AI88" s="3109"/>
    </row>
    <row r="89" spans="1:35" x14ac:dyDescent="0.35">
      <c r="A89" s="3056"/>
      <c r="B89" s="3164" t="s">
        <v>3775</v>
      </c>
      <c r="C89" s="3149"/>
      <c r="D89" s="3049"/>
      <c r="E89" s="3152"/>
      <c r="F89" s="3165"/>
      <c r="G89" s="3154"/>
      <c r="H89" s="2109" t="s">
        <v>669</v>
      </c>
      <c r="I89" s="3120"/>
      <c r="J89" s="2109" t="s">
        <v>669</v>
      </c>
      <c r="K89" s="3120"/>
      <c r="L89" s="2109" t="s">
        <v>669</v>
      </c>
      <c r="M89" s="3120"/>
      <c r="N89" s="2109" t="s">
        <v>669</v>
      </c>
      <c r="O89" s="3120"/>
      <c r="P89" s="2109" t="s">
        <v>669</v>
      </c>
      <c r="Q89" s="3120"/>
      <c r="R89" s="2109" t="s">
        <v>669</v>
      </c>
      <c r="S89" s="3120"/>
      <c r="T89" s="2109" t="s">
        <v>669</v>
      </c>
      <c r="U89" s="3120"/>
      <c r="V89" s="2109" t="s">
        <v>669</v>
      </c>
      <c r="W89" s="3120"/>
      <c r="X89" s="2109" t="s">
        <v>669</v>
      </c>
      <c r="Y89" s="3120"/>
      <c r="Z89" s="2109" t="s">
        <v>669</v>
      </c>
      <c r="AA89" s="3120"/>
      <c r="AB89" s="2109" t="s">
        <v>669</v>
      </c>
      <c r="AC89" s="3108"/>
      <c r="AD89" s="2109" t="s">
        <v>669</v>
      </c>
      <c r="AE89" s="3120"/>
      <c r="AF89" s="2109" t="s">
        <v>669</v>
      </c>
      <c r="AG89" s="3120"/>
      <c r="AH89" s="2109"/>
      <c r="AI89" s="3109"/>
    </row>
    <row r="90" spans="1:35" x14ac:dyDescent="0.35">
      <c r="A90" s="3125"/>
      <c r="B90" s="3164" t="s">
        <v>3776</v>
      </c>
      <c r="C90" s="3149"/>
      <c r="D90" s="3049"/>
      <c r="E90" s="3152"/>
      <c r="F90" s="3165"/>
      <c r="G90" s="3154"/>
      <c r="H90" s="2109" t="s">
        <v>669</v>
      </c>
      <c r="I90" s="3120"/>
      <c r="J90" s="2109" t="s">
        <v>669</v>
      </c>
      <c r="K90" s="3120"/>
      <c r="L90" s="2109" t="s">
        <v>669</v>
      </c>
      <c r="M90" s="3120"/>
      <c r="N90" s="2109" t="s">
        <v>669</v>
      </c>
      <c r="O90" s="3120"/>
      <c r="P90" s="2109" t="s">
        <v>669</v>
      </c>
      <c r="Q90" s="3120"/>
      <c r="R90" s="2109" t="s">
        <v>669</v>
      </c>
      <c r="S90" s="3120"/>
      <c r="T90" s="2109" t="s">
        <v>669</v>
      </c>
      <c r="U90" s="3120"/>
      <c r="V90" s="2109" t="s">
        <v>669</v>
      </c>
      <c r="W90" s="3120"/>
      <c r="X90" s="2109" t="s">
        <v>669</v>
      </c>
      <c r="Y90" s="3120"/>
      <c r="Z90" s="2109" t="s">
        <v>669</v>
      </c>
      <c r="AA90" s="3120"/>
      <c r="AB90" s="2109" t="s">
        <v>669</v>
      </c>
      <c r="AC90" s="3108"/>
      <c r="AD90" s="2109" t="s">
        <v>669</v>
      </c>
      <c r="AE90" s="3120"/>
      <c r="AF90" s="2109" t="s">
        <v>669</v>
      </c>
      <c r="AG90" s="3120"/>
      <c r="AH90" s="2109"/>
      <c r="AI90" s="3109"/>
    </row>
    <row r="91" spans="1:35" x14ac:dyDescent="0.35">
      <c r="A91" s="3125"/>
      <c r="B91" s="3164" t="s">
        <v>3777</v>
      </c>
      <c r="C91" s="3149"/>
      <c r="D91" s="3049"/>
      <c r="E91" s="3152"/>
      <c r="F91" s="3165"/>
      <c r="G91" s="3154"/>
      <c r="H91" s="2109" t="s">
        <v>669</v>
      </c>
      <c r="I91" s="3120"/>
      <c r="J91" s="2109" t="s">
        <v>669</v>
      </c>
      <c r="K91" s="3120"/>
      <c r="L91" s="2109" t="s">
        <v>669</v>
      </c>
      <c r="M91" s="3120"/>
      <c r="N91" s="2109" t="s">
        <v>669</v>
      </c>
      <c r="O91" s="3120"/>
      <c r="P91" s="2109" t="s">
        <v>669</v>
      </c>
      <c r="Q91" s="3120"/>
      <c r="R91" s="2109" t="s">
        <v>669</v>
      </c>
      <c r="S91" s="3120"/>
      <c r="T91" s="2109" t="s">
        <v>669</v>
      </c>
      <c r="U91" s="3120"/>
      <c r="V91" s="2109" t="s">
        <v>669</v>
      </c>
      <c r="W91" s="3120"/>
      <c r="X91" s="2109" t="s">
        <v>669</v>
      </c>
      <c r="Y91" s="3120"/>
      <c r="Z91" s="2109" t="s">
        <v>669</v>
      </c>
      <c r="AA91" s="3120"/>
      <c r="AB91" s="2109" t="s">
        <v>669</v>
      </c>
      <c r="AC91" s="3108"/>
      <c r="AD91" s="2109" t="s">
        <v>669</v>
      </c>
      <c r="AE91" s="3120"/>
      <c r="AF91" s="2109" t="s">
        <v>669</v>
      </c>
      <c r="AG91" s="3120"/>
      <c r="AH91" s="2109"/>
      <c r="AI91" s="3109"/>
    </row>
    <row r="92" spans="1:35" x14ac:dyDescent="0.35">
      <c r="A92" s="3056"/>
      <c r="B92" s="3164" t="s">
        <v>3778</v>
      </c>
      <c r="C92" s="3162" t="s">
        <v>3779</v>
      </c>
      <c r="D92" s="3049">
        <f>45+35</f>
        <v>80</v>
      </c>
      <c r="E92" s="3152" t="s">
        <v>752</v>
      </c>
      <c r="F92" s="3165"/>
      <c r="G92" s="3154"/>
      <c r="H92" s="2109" t="s">
        <v>669</v>
      </c>
      <c r="I92" s="3120"/>
      <c r="J92" s="2109" t="s">
        <v>669</v>
      </c>
      <c r="K92" s="3120"/>
      <c r="L92" s="2109" t="s">
        <v>669</v>
      </c>
      <c r="M92" s="3120"/>
      <c r="N92" s="2109" t="s">
        <v>669</v>
      </c>
      <c r="O92" s="3120"/>
      <c r="P92" s="2109" t="s">
        <v>669</v>
      </c>
      <c r="Q92" s="3120"/>
      <c r="R92" s="2109" t="s">
        <v>669</v>
      </c>
      <c r="S92" s="3120"/>
      <c r="T92" s="2109" t="s">
        <v>669</v>
      </c>
      <c r="U92" s="3120"/>
      <c r="V92" s="2109" t="s">
        <v>669</v>
      </c>
      <c r="W92" s="3120"/>
      <c r="X92" s="2109" t="s">
        <v>669</v>
      </c>
      <c r="Y92" s="3120"/>
      <c r="Z92" s="2109" t="s">
        <v>669</v>
      </c>
      <c r="AA92" s="3120"/>
      <c r="AB92" s="2109" t="s">
        <v>669</v>
      </c>
      <c r="AC92" s="3108"/>
      <c r="AD92" s="2109" t="s">
        <v>669</v>
      </c>
      <c r="AE92" s="3120"/>
      <c r="AF92" s="2109" t="s">
        <v>669</v>
      </c>
      <c r="AG92" s="3120"/>
      <c r="AH92" s="2109"/>
      <c r="AI92" s="3109"/>
    </row>
    <row r="93" spans="1:35" x14ac:dyDescent="0.35">
      <c r="A93" s="3056"/>
      <c r="B93" s="3164" t="s">
        <v>3780</v>
      </c>
      <c r="C93" s="3162"/>
      <c r="D93" s="3049"/>
      <c r="E93" s="3152"/>
      <c r="F93" s="3165"/>
      <c r="G93" s="3154"/>
      <c r="H93" s="2109" t="s">
        <v>669</v>
      </c>
      <c r="I93" s="3120"/>
      <c r="J93" s="2109" t="s">
        <v>669</v>
      </c>
      <c r="K93" s="3120"/>
      <c r="L93" s="2109" t="s">
        <v>669</v>
      </c>
      <c r="M93" s="3120"/>
      <c r="N93" s="2109" t="s">
        <v>669</v>
      </c>
      <c r="O93" s="3120"/>
      <c r="P93" s="2109" t="s">
        <v>669</v>
      </c>
      <c r="Q93" s="3120"/>
      <c r="R93" s="2109" t="s">
        <v>669</v>
      </c>
      <c r="S93" s="3120"/>
      <c r="T93" s="2109" t="s">
        <v>669</v>
      </c>
      <c r="U93" s="3120"/>
      <c r="V93" s="2109" t="s">
        <v>669</v>
      </c>
      <c r="W93" s="3120"/>
      <c r="X93" s="2109" t="s">
        <v>669</v>
      </c>
      <c r="Y93" s="3120"/>
      <c r="Z93" s="2109" t="s">
        <v>669</v>
      </c>
      <c r="AA93" s="3120"/>
      <c r="AB93" s="2109" t="s">
        <v>669</v>
      </c>
      <c r="AC93" s="3108"/>
      <c r="AD93" s="2109" t="s">
        <v>669</v>
      </c>
      <c r="AE93" s="3120"/>
      <c r="AF93" s="2109" t="s">
        <v>669</v>
      </c>
      <c r="AG93" s="3120"/>
      <c r="AH93" s="2109"/>
      <c r="AI93" s="3120"/>
    </row>
    <row r="94" spans="1:35" ht="18.649999999999999" customHeight="1" x14ac:dyDescent="0.35">
      <c r="A94" s="3125"/>
      <c r="B94" s="3164" t="s">
        <v>3781</v>
      </c>
      <c r="C94" s="3162" t="s">
        <v>3779</v>
      </c>
      <c r="D94" s="3049">
        <f>18+40+23+116+82+100+78+114+45+39+85+42+25+35+82+36+63+110+90+61+84+18+49+68+40</f>
        <v>1543</v>
      </c>
      <c r="E94" s="3152" t="s">
        <v>752</v>
      </c>
      <c r="F94" s="3165"/>
      <c r="G94" s="3154"/>
      <c r="H94" s="2109" t="s">
        <v>669</v>
      </c>
      <c r="I94" s="3120"/>
      <c r="J94" s="2109" t="s">
        <v>669</v>
      </c>
      <c r="K94" s="3120"/>
      <c r="L94" s="2109" t="s">
        <v>669</v>
      </c>
      <c r="M94" s="3120"/>
      <c r="N94" s="2109" t="s">
        <v>669</v>
      </c>
      <c r="O94" s="3120"/>
      <c r="P94" s="2109" t="s">
        <v>669</v>
      </c>
      <c r="Q94" s="3120"/>
      <c r="R94" s="2109" t="s">
        <v>669</v>
      </c>
      <c r="S94" s="3120"/>
      <c r="T94" s="2109" t="s">
        <v>669</v>
      </c>
      <c r="U94" s="3120"/>
      <c r="V94" s="2109" t="s">
        <v>669</v>
      </c>
      <c r="W94" s="3120"/>
      <c r="X94" s="2109" t="s">
        <v>669</v>
      </c>
      <c r="Y94" s="3120"/>
      <c r="Z94" s="2109" t="s">
        <v>669</v>
      </c>
      <c r="AA94" s="3120"/>
      <c r="AB94" s="2109" t="s">
        <v>669</v>
      </c>
      <c r="AC94" s="3120"/>
      <c r="AD94" s="2109" t="s">
        <v>669</v>
      </c>
      <c r="AE94" s="3120"/>
      <c r="AF94" s="2109" t="s">
        <v>669</v>
      </c>
      <c r="AG94" s="3120"/>
      <c r="AH94" s="2109"/>
      <c r="AI94" s="3109"/>
    </row>
    <row r="95" spans="1:35" x14ac:dyDescent="0.35">
      <c r="A95" s="3056"/>
      <c r="B95" s="3164" t="s">
        <v>3782</v>
      </c>
      <c r="C95" s="3162"/>
      <c r="D95" s="3049"/>
      <c r="E95" s="3152"/>
      <c r="F95" s="3165"/>
      <c r="G95" s="3154"/>
      <c r="H95" s="2109" t="s">
        <v>669</v>
      </c>
      <c r="I95" s="3120"/>
      <c r="J95" s="2109" t="s">
        <v>669</v>
      </c>
      <c r="K95" s="3120"/>
      <c r="L95" s="2109" t="s">
        <v>669</v>
      </c>
      <c r="M95" s="3120"/>
      <c r="N95" s="2109" t="s">
        <v>669</v>
      </c>
      <c r="O95" s="3120"/>
      <c r="P95" s="2109" t="s">
        <v>669</v>
      </c>
      <c r="Q95" s="3120"/>
      <c r="R95" s="2109" t="s">
        <v>669</v>
      </c>
      <c r="S95" s="3120"/>
      <c r="T95" s="2109" t="s">
        <v>669</v>
      </c>
      <c r="U95" s="3120"/>
      <c r="V95" s="2109" t="s">
        <v>669</v>
      </c>
      <c r="W95" s="3120"/>
      <c r="X95" s="2109" t="s">
        <v>669</v>
      </c>
      <c r="Y95" s="3120"/>
      <c r="Z95" s="2109" t="s">
        <v>669</v>
      </c>
      <c r="AA95" s="3120"/>
      <c r="AB95" s="2109" t="s">
        <v>669</v>
      </c>
      <c r="AC95" s="3120"/>
      <c r="AD95" s="2109" t="s">
        <v>669</v>
      </c>
      <c r="AE95" s="3120"/>
      <c r="AF95" s="2109" t="s">
        <v>669</v>
      </c>
      <c r="AG95" s="3120"/>
      <c r="AH95" s="2109"/>
      <c r="AI95" s="3109"/>
    </row>
    <row r="96" spans="1:35" x14ac:dyDescent="0.35">
      <c r="A96" s="3125"/>
      <c r="B96" s="3164" t="s">
        <v>3783</v>
      </c>
      <c r="C96" s="3162" t="s">
        <v>3779</v>
      </c>
      <c r="D96" s="3049">
        <f>101+17+93+410+208</f>
        <v>829</v>
      </c>
      <c r="E96" s="3152" t="s">
        <v>752</v>
      </c>
      <c r="F96" s="3165"/>
      <c r="G96" s="3154"/>
      <c r="H96" s="2109" t="s">
        <v>669</v>
      </c>
      <c r="I96" s="3120"/>
      <c r="J96" s="2109" t="s">
        <v>669</v>
      </c>
      <c r="K96" s="3120"/>
      <c r="L96" s="2109" t="s">
        <v>669</v>
      </c>
      <c r="M96" s="3120"/>
      <c r="N96" s="2109" t="s">
        <v>669</v>
      </c>
      <c r="O96" s="3120"/>
      <c r="P96" s="2109" t="s">
        <v>669</v>
      </c>
      <c r="Q96" s="3120"/>
      <c r="R96" s="2109" t="s">
        <v>669</v>
      </c>
      <c r="S96" s="3120"/>
      <c r="T96" s="2109" t="s">
        <v>669</v>
      </c>
      <c r="U96" s="3120"/>
      <c r="V96" s="2109" t="s">
        <v>669</v>
      </c>
      <c r="W96" s="3120"/>
      <c r="X96" s="2109" t="s">
        <v>669</v>
      </c>
      <c r="Y96" s="3120"/>
      <c r="Z96" s="2109" t="s">
        <v>669</v>
      </c>
      <c r="AA96" s="3120"/>
      <c r="AB96" s="2109" t="s">
        <v>669</v>
      </c>
      <c r="AC96" s="3120"/>
      <c r="AD96" s="2109" t="s">
        <v>669</v>
      </c>
      <c r="AE96" s="3120"/>
      <c r="AF96" s="2109" t="s">
        <v>669</v>
      </c>
      <c r="AG96" s="3120"/>
      <c r="AH96" s="2109"/>
      <c r="AI96" s="3109"/>
    </row>
    <row r="97" spans="1:35" x14ac:dyDescent="0.35">
      <c r="A97" s="3125"/>
      <c r="B97" s="3164" t="s">
        <v>3784</v>
      </c>
      <c r="C97" s="3162"/>
      <c r="D97" s="3049"/>
      <c r="E97" s="3152"/>
      <c r="F97" s="3165"/>
      <c r="G97" s="3154"/>
      <c r="H97" s="2109" t="s">
        <v>669</v>
      </c>
      <c r="I97" s="3120"/>
      <c r="J97" s="2109" t="s">
        <v>669</v>
      </c>
      <c r="K97" s="3120"/>
      <c r="L97" s="2109" t="s">
        <v>669</v>
      </c>
      <c r="M97" s="3120"/>
      <c r="N97" s="2109" t="s">
        <v>669</v>
      </c>
      <c r="O97" s="3120"/>
      <c r="P97" s="2109" t="s">
        <v>669</v>
      </c>
      <c r="Q97" s="3120"/>
      <c r="R97" s="2109" t="s">
        <v>669</v>
      </c>
      <c r="S97" s="3120"/>
      <c r="T97" s="2109" t="s">
        <v>669</v>
      </c>
      <c r="U97" s="3120"/>
      <c r="V97" s="2109" t="s">
        <v>669</v>
      </c>
      <c r="W97" s="3120"/>
      <c r="X97" s="2109" t="s">
        <v>669</v>
      </c>
      <c r="Y97" s="3120"/>
      <c r="Z97" s="2109" t="s">
        <v>669</v>
      </c>
      <c r="AA97" s="3120"/>
      <c r="AB97" s="2109" t="s">
        <v>669</v>
      </c>
      <c r="AC97" s="3120"/>
      <c r="AD97" s="2109" t="s">
        <v>669</v>
      </c>
      <c r="AE97" s="3120"/>
      <c r="AF97" s="2109" t="s">
        <v>669</v>
      </c>
      <c r="AG97" s="3120"/>
      <c r="AH97" s="2109"/>
      <c r="AI97" s="3109"/>
    </row>
    <row r="98" spans="1:35" x14ac:dyDescent="0.35">
      <c r="A98" s="3056"/>
      <c r="B98" s="3164" t="s">
        <v>3785</v>
      </c>
      <c r="C98" s="3162"/>
      <c r="D98" s="3049"/>
      <c r="E98" s="3152"/>
      <c r="F98" s="3165"/>
      <c r="G98" s="3154"/>
      <c r="H98" s="2109" t="s">
        <v>669</v>
      </c>
      <c r="I98" s="3120"/>
      <c r="J98" s="2109" t="s">
        <v>669</v>
      </c>
      <c r="K98" s="3120"/>
      <c r="L98" s="2109" t="s">
        <v>669</v>
      </c>
      <c r="M98" s="3120"/>
      <c r="N98" s="2109" t="s">
        <v>669</v>
      </c>
      <c r="O98" s="3120"/>
      <c r="P98" s="2109" t="s">
        <v>669</v>
      </c>
      <c r="Q98" s="3120"/>
      <c r="R98" s="2109" t="s">
        <v>669</v>
      </c>
      <c r="S98" s="3120"/>
      <c r="T98" s="2109" t="s">
        <v>669</v>
      </c>
      <c r="U98" s="3120"/>
      <c r="V98" s="2109" t="s">
        <v>669</v>
      </c>
      <c r="W98" s="3120"/>
      <c r="X98" s="2109" t="s">
        <v>669</v>
      </c>
      <c r="Y98" s="3120"/>
      <c r="Z98" s="2109" t="s">
        <v>669</v>
      </c>
      <c r="AA98" s="3120"/>
      <c r="AB98" s="2109" t="s">
        <v>669</v>
      </c>
      <c r="AC98" s="3120"/>
      <c r="AD98" s="2109" t="s">
        <v>669</v>
      </c>
      <c r="AE98" s="3120"/>
      <c r="AF98" s="2109" t="s">
        <v>669</v>
      </c>
      <c r="AG98" s="3120"/>
      <c r="AH98" s="2109"/>
      <c r="AI98" s="3109"/>
    </row>
    <row r="99" spans="1:35" x14ac:dyDescent="0.35">
      <c r="A99" s="3125"/>
      <c r="B99" s="3164" t="s">
        <v>3786</v>
      </c>
      <c r="C99" s="3162" t="s">
        <v>3779</v>
      </c>
      <c r="D99" s="3049">
        <v>39</v>
      </c>
      <c r="E99" s="3152" t="s">
        <v>752</v>
      </c>
      <c r="F99" s="3165"/>
      <c r="G99" s="3154"/>
      <c r="H99" s="2109" t="s">
        <v>669</v>
      </c>
      <c r="I99" s="3120"/>
      <c r="J99" s="2109" t="s">
        <v>669</v>
      </c>
      <c r="K99" s="3120"/>
      <c r="L99" s="2109" t="s">
        <v>669</v>
      </c>
      <c r="M99" s="3120"/>
      <c r="N99" s="2109" t="s">
        <v>669</v>
      </c>
      <c r="O99" s="3120"/>
      <c r="P99" s="2109" t="s">
        <v>669</v>
      </c>
      <c r="Q99" s="3120"/>
      <c r="R99" s="2109" t="s">
        <v>669</v>
      </c>
      <c r="S99" s="3120"/>
      <c r="T99" s="2109" t="s">
        <v>669</v>
      </c>
      <c r="U99" s="3120"/>
      <c r="V99" s="2109" t="s">
        <v>669</v>
      </c>
      <c r="W99" s="3120"/>
      <c r="X99" s="2109" t="s">
        <v>669</v>
      </c>
      <c r="Y99" s="3120"/>
      <c r="Z99" s="2109" t="s">
        <v>669</v>
      </c>
      <c r="AA99" s="3120"/>
      <c r="AB99" s="2109" t="s">
        <v>669</v>
      </c>
      <c r="AC99" s="3120"/>
      <c r="AD99" s="2109" t="s">
        <v>669</v>
      </c>
      <c r="AE99" s="3120"/>
      <c r="AF99" s="2109" t="s">
        <v>669</v>
      </c>
      <c r="AG99" s="3120"/>
      <c r="AH99" s="2109"/>
      <c r="AI99" s="3109"/>
    </row>
    <row r="100" spans="1:35" x14ac:dyDescent="0.35">
      <c r="A100" s="3125"/>
      <c r="B100" s="3164" t="s">
        <v>3787</v>
      </c>
      <c r="C100" s="3162"/>
      <c r="D100" s="3049"/>
      <c r="E100" s="3152"/>
      <c r="F100" s="3165"/>
      <c r="G100" s="3154"/>
      <c r="H100" s="2109" t="s">
        <v>669</v>
      </c>
      <c r="I100" s="3120"/>
      <c r="J100" s="2109" t="s">
        <v>669</v>
      </c>
      <c r="K100" s="3120"/>
      <c r="L100" s="2109" t="s">
        <v>669</v>
      </c>
      <c r="M100" s="3120"/>
      <c r="N100" s="2109" t="s">
        <v>669</v>
      </c>
      <c r="O100" s="3120"/>
      <c r="P100" s="2109" t="s">
        <v>669</v>
      </c>
      <c r="Q100" s="3120"/>
      <c r="R100" s="2109" t="s">
        <v>669</v>
      </c>
      <c r="S100" s="3120"/>
      <c r="T100" s="2109" t="s">
        <v>669</v>
      </c>
      <c r="U100" s="3120"/>
      <c r="V100" s="2109" t="s">
        <v>669</v>
      </c>
      <c r="W100" s="3120"/>
      <c r="X100" s="2109" t="s">
        <v>669</v>
      </c>
      <c r="Y100" s="3120"/>
      <c r="Z100" s="2109" t="s">
        <v>669</v>
      </c>
      <c r="AA100" s="3120"/>
      <c r="AB100" s="2109" t="s">
        <v>669</v>
      </c>
      <c r="AC100" s="3120"/>
      <c r="AD100" s="2109" t="s">
        <v>669</v>
      </c>
      <c r="AE100" s="3120"/>
      <c r="AF100" s="2109" t="s">
        <v>669</v>
      </c>
      <c r="AG100" s="3120"/>
      <c r="AH100" s="2109"/>
      <c r="AI100" s="3109"/>
    </row>
    <row r="101" spans="1:35" x14ac:dyDescent="0.35">
      <c r="A101" s="3056"/>
      <c r="B101" s="3164" t="s">
        <v>3788</v>
      </c>
      <c r="C101" s="3162"/>
      <c r="D101" s="3049"/>
      <c r="E101" s="3152"/>
      <c r="F101" s="3165"/>
      <c r="G101" s="3154"/>
      <c r="H101" s="2109" t="s">
        <v>669</v>
      </c>
      <c r="I101" s="3109"/>
      <c r="J101" s="2109" t="s">
        <v>669</v>
      </c>
      <c r="K101" s="3109"/>
      <c r="L101" s="2109" t="s">
        <v>669</v>
      </c>
      <c r="M101" s="3109"/>
      <c r="N101" s="2109" t="s">
        <v>669</v>
      </c>
      <c r="O101" s="3109"/>
      <c r="P101" s="2109" t="s">
        <v>669</v>
      </c>
      <c r="Q101" s="3109"/>
      <c r="R101" s="2109" t="s">
        <v>669</v>
      </c>
      <c r="S101" s="3109"/>
      <c r="T101" s="2109" t="s">
        <v>669</v>
      </c>
      <c r="U101" s="3109"/>
      <c r="V101" s="2109" t="s">
        <v>669</v>
      </c>
      <c r="W101" s="3109"/>
      <c r="X101" s="2109" t="s">
        <v>669</v>
      </c>
      <c r="Y101" s="3109"/>
      <c r="Z101" s="2109" t="s">
        <v>669</v>
      </c>
      <c r="AA101" s="3109"/>
      <c r="AB101" s="2109" t="s">
        <v>669</v>
      </c>
      <c r="AC101" s="3120"/>
      <c r="AD101" s="2109" t="s">
        <v>669</v>
      </c>
      <c r="AE101" s="3109"/>
      <c r="AF101" s="2109" t="s">
        <v>669</v>
      </c>
      <c r="AG101" s="3120"/>
      <c r="AH101" s="2109"/>
      <c r="AI101" s="3109"/>
    </row>
    <row r="102" spans="1:35" x14ac:dyDescent="0.35">
      <c r="A102" s="3125"/>
      <c r="B102" s="3164" t="s">
        <v>3789</v>
      </c>
      <c r="C102" s="3162"/>
      <c r="D102" s="3049"/>
      <c r="E102" s="3152"/>
      <c r="F102" s="3165"/>
      <c r="G102" s="3154"/>
      <c r="H102" s="2109" t="s">
        <v>669</v>
      </c>
      <c r="I102" s="3109"/>
      <c r="J102" s="2109" t="s">
        <v>669</v>
      </c>
      <c r="K102" s="3109"/>
      <c r="L102" s="2109" t="s">
        <v>669</v>
      </c>
      <c r="M102" s="3109"/>
      <c r="N102" s="2109" t="s">
        <v>669</v>
      </c>
      <c r="O102" s="3109"/>
      <c r="P102" s="2109" t="s">
        <v>669</v>
      </c>
      <c r="Q102" s="3109"/>
      <c r="R102" s="2109" t="s">
        <v>669</v>
      </c>
      <c r="S102" s="3109"/>
      <c r="T102" s="2109" t="s">
        <v>669</v>
      </c>
      <c r="U102" s="3109"/>
      <c r="V102" s="2109" t="s">
        <v>669</v>
      </c>
      <c r="W102" s="3109"/>
      <c r="X102" s="2109" t="s">
        <v>669</v>
      </c>
      <c r="Y102" s="3109"/>
      <c r="Z102" s="2109" t="s">
        <v>669</v>
      </c>
      <c r="AA102" s="3109"/>
      <c r="AB102" s="2109" t="s">
        <v>669</v>
      </c>
      <c r="AC102" s="3120"/>
      <c r="AD102" s="2109" t="s">
        <v>669</v>
      </c>
      <c r="AE102" s="3109"/>
      <c r="AF102" s="2109" t="s">
        <v>669</v>
      </c>
      <c r="AG102" s="3120"/>
      <c r="AH102" s="2109"/>
      <c r="AI102" s="3109"/>
    </row>
    <row r="103" spans="1:35" x14ac:dyDescent="0.35">
      <c r="A103" s="3125"/>
      <c r="B103" s="3164" t="s">
        <v>3790</v>
      </c>
      <c r="C103" s="3162"/>
      <c r="D103" s="3049"/>
      <c r="E103" s="3152"/>
      <c r="F103" s="3165"/>
      <c r="G103" s="3154"/>
      <c r="H103" s="2109" t="s">
        <v>669</v>
      </c>
      <c r="I103" s="3109"/>
      <c r="J103" s="2109" t="s">
        <v>669</v>
      </c>
      <c r="K103" s="3109"/>
      <c r="L103" s="2109" t="s">
        <v>669</v>
      </c>
      <c r="M103" s="3109"/>
      <c r="N103" s="2109" t="s">
        <v>669</v>
      </c>
      <c r="O103" s="3109"/>
      <c r="P103" s="2109" t="s">
        <v>669</v>
      </c>
      <c r="Q103" s="3109"/>
      <c r="R103" s="2109" t="s">
        <v>669</v>
      </c>
      <c r="S103" s="3109"/>
      <c r="T103" s="2109" t="s">
        <v>669</v>
      </c>
      <c r="U103" s="3109"/>
      <c r="V103" s="2109" t="s">
        <v>669</v>
      </c>
      <c r="W103" s="3109"/>
      <c r="X103" s="2109" t="s">
        <v>669</v>
      </c>
      <c r="Y103" s="3109"/>
      <c r="Z103" s="2109" t="s">
        <v>669</v>
      </c>
      <c r="AA103" s="3109"/>
      <c r="AB103" s="2109" t="s">
        <v>669</v>
      </c>
      <c r="AC103" s="3120"/>
      <c r="AD103" s="2109" t="s">
        <v>669</v>
      </c>
      <c r="AE103" s="3109"/>
      <c r="AF103" s="2109" t="s">
        <v>669</v>
      </c>
      <c r="AG103" s="3120"/>
      <c r="AH103" s="2109"/>
      <c r="AI103" s="3109"/>
    </row>
    <row r="104" spans="1:35" x14ac:dyDescent="0.35">
      <c r="A104" s="3125"/>
      <c r="B104" s="3164" t="s">
        <v>3791</v>
      </c>
      <c r="C104" s="3162"/>
      <c r="D104" s="3049"/>
      <c r="E104" s="3152"/>
      <c r="F104" s="3165"/>
      <c r="G104" s="3154"/>
      <c r="H104" s="2109" t="s">
        <v>669</v>
      </c>
      <c r="I104" s="3120"/>
      <c r="J104" s="2109" t="s">
        <v>669</v>
      </c>
      <c r="K104" s="3120"/>
      <c r="L104" s="2109" t="s">
        <v>669</v>
      </c>
      <c r="M104" s="3120"/>
      <c r="N104" s="2109" t="s">
        <v>669</v>
      </c>
      <c r="O104" s="3120"/>
      <c r="P104" s="2109" t="s">
        <v>669</v>
      </c>
      <c r="Q104" s="3120"/>
      <c r="R104" s="2109" t="s">
        <v>669</v>
      </c>
      <c r="S104" s="3120"/>
      <c r="T104" s="2109" t="s">
        <v>669</v>
      </c>
      <c r="U104" s="3120"/>
      <c r="V104" s="2109" t="s">
        <v>669</v>
      </c>
      <c r="W104" s="3120"/>
      <c r="X104" s="2109" t="s">
        <v>669</v>
      </c>
      <c r="Y104" s="3120"/>
      <c r="Z104" s="2109" t="s">
        <v>669</v>
      </c>
      <c r="AA104" s="3120"/>
      <c r="AB104" s="2109" t="s">
        <v>669</v>
      </c>
      <c r="AC104" s="3120"/>
      <c r="AD104" s="2109" t="s">
        <v>669</v>
      </c>
      <c r="AE104" s="3120"/>
      <c r="AF104" s="2109" t="s">
        <v>669</v>
      </c>
      <c r="AG104" s="3120"/>
      <c r="AH104" s="2109"/>
      <c r="AI104" s="3109"/>
    </row>
    <row r="105" spans="1:35" x14ac:dyDescent="0.35">
      <c r="A105" s="3056"/>
      <c r="B105" s="3164" t="s">
        <v>3792</v>
      </c>
      <c r="C105" s="3162"/>
      <c r="D105" s="3049"/>
      <c r="E105" s="3152"/>
      <c r="F105" s="3165"/>
      <c r="G105" s="3154"/>
      <c r="H105" s="2109" t="s">
        <v>669</v>
      </c>
      <c r="I105" s="3120"/>
      <c r="J105" s="2109" t="s">
        <v>669</v>
      </c>
      <c r="K105" s="3120"/>
      <c r="L105" s="2109" t="s">
        <v>669</v>
      </c>
      <c r="M105" s="3120"/>
      <c r="N105" s="2109" t="s">
        <v>669</v>
      </c>
      <c r="O105" s="3120"/>
      <c r="P105" s="2109" t="s">
        <v>669</v>
      </c>
      <c r="Q105" s="3120"/>
      <c r="R105" s="2109" t="s">
        <v>669</v>
      </c>
      <c r="S105" s="3120"/>
      <c r="T105" s="2109" t="s">
        <v>669</v>
      </c>
      <c r="U105" s="3120"/>
      <c r="V105" s="2109" t="s">
        <v>669</v>
      </c>
      <c r="W105" s="3120"/>
      <c r="X105" s="2109" t="s">
        <v>669</v>
      </c>
      <c r="Y105" s="3120"/>
      <c r="Z105" s="2109" t="s">
        <v>669</v>
      </c>
      <c r="AA105" s="3120"/>
      <c r="AB105" s="2109" t="s">
        <v>669</v>
      </c>
      <c r="AC105" s="3120"/>
      <c r="AD105" s="2109" t="s">
        <v>669</v>
      </c>
      <c r="AE105" s="3120"/>
      <c r="AF105" s="2109" t="s">
        <v>669</v>
      </c>
      <c r="AG105" s="3120"/>
      <c r="AH105" s="2109"/>
      <c r="AI105" s="3109"/>
    </row>
    <row r="106" spans="1:35" x14ac:dyDescent="0.35">
      <c r="A106" s="3125"/>
      <c r="B106" s="3164" t="s">
        <v>3793</v>
      </c>
      <c r="C106" s="3162"/>
      <c r="D106" s="3049"/>
      <c r="E106" s="3152"/>
      <c r="F106" s="3165"/>
      <c r="G106" s="3154"/>
      <c r="H106" s="2109" t="s">
        <v>669</v>
      </c>
      <c r="I106" s="3109"/>
      <c r="J106" s="2109" t="s">
        <v>669</v>
      </c>
      <c r="K106" s="3109"/>
      <c r="L106" s="2109" t="s">
        <v>669</v>
      </c>
      <c r="M106" s="3109"/>
      <c r="N106" s="2109" t="s">
        <v>669</v>
      </c>
      <c r="O106" s="3109"/>
      <c r="P106" s="2109" t="s">
        <v>669</v>
      </c>
      <c r="Q106" s="3109"/>
      <c r="R106" s="2109" t="s">
        <v>669</v>
      </c>
      <c r="S106" s="3109"/>
      <c r="T106" s="2109" t="s">
        <v>669</v>
      </c>
      <c r="U106" s="3109"/>
      <c r="V106" s="2109" t="s">
        <v>669</v>
      </c>
      <c r="W106" s="3109"/>
      <c r="X106" s="2109" t="s">
        <v>669</v>
      </c>
      <c r="Y106" s="3109"/>
      <c r="Z106" s="2109" t="s">
        <v>669</v>
      </c>
      <c r="AA106" s="3109"/>
      <c r="AB106" s="2109" t="s">
        <v>669</v>
      </c>
      <c r="AC106" s="3120"/>
      <c r="AD106" s="2109" t="s">
        <v>669</v>
      </c>
      <c r="AE106" s="3109"/>
      <c r="AF106" s="2109" t="s">
        <v>669</v>
      </c>
      <c r="AG106" s="3120"/>
      <c r="AH106" s="2109"/>
      <c r="AI106" s="3109"/>
    </row>
    <row r="107" spans="1:35" x14ac:dyDescent="0.35">
      <c r="A107" s="3056"/>
      <c r="B107" s="3164" t="s">
        <v>3794</v>
      </c>
      <c r="C107" s="3162"/>
      <c r="D107" s="3049"/>
      <c r="E107" s="3152"/>
      <c r="F107" s="3165"/>
      <c r="G107" s="3154"/>
      <c r="H107" s="2109" t="s">
        <v>669</v>
      </c>
      <c r="I107" s="3120"/>
      <c r="J107" s="2109" t="s">
        <v>669</v>
      </c>
      <c r="K107" s="3120"/>
      <c r="L107" s="2109" t="s">
        <v>669</v>
      </c>
      <c r="M107" s="3120"/>
      <c r="N107" s="2109" t="s">
        <v>669</v>
      </c>
      <c r="O107" s="3120"/>
      <c r="P107" s="2109" t="s">
        <v>669</v>
      </c>
      <c r="Q107" s="3120"/>
      <c r="R107" s="2109" t="s">
        <v>669</v>
      </c>
      <c r="S107" s="3120"/>
      <c r="T107" s="2109" t="s">
        <v>669</v>
      </c>
      <c r="U107" s="3120"/>
      <c r="V107" s="2109" t="s">
        <v>669</v>
      </c>
      <c r="W107" s="3120"/>
      <c r="X107" s="2109" t="s">
        <v>669</v>
      </c>
      <c r="Y107" s="3120"/>
      <c r="Z107" s="2109" t="s">
        <v>669</v>
      </c>
      <c r="AA107" s="3120"/>
      <c r="AB107" s="2109" t="s">
        <v>669</v>
      </c>
      <c r="AC107" s="3120"/>
      <c r="AD107" s="2109" t="s">
        <v>669</v>
      </c>
      <c r="AE107" s="3120"/>
      <c r="AF107" s="2109" t="s">
        <v>669</v>
      </c>
      <c r="AG107" s="3120"/>
      <c r="AH107" s="2109"/>
      <c r="AI107" s="3120"/>
    </row>
    <row r="108" spans="1:35" x14ac:dyDescent="0.35">
      <c r="A108" s="3125"/>
      <c r="B108" s="3164" t="s">
        <v>3795</v>
      </c>
      <c r="C108" s="3162"/>
      <c r="D108" s="3049"/>
      <c r="E108" s="3152"/>
      <c r="F108" s="3165"/>
      <c r="G108" s="3154"/>
      <c r="H108" s="2109" t="s">
        <v>669</v>
      </c>
      <c r="I108" s="3109"/>
      <c r="J108" s="2109" t="s">
        <v>669</v>
      </c>
      <c r="K108" s="3109"/>
      <c r="L108" s="2109" t="s">
        <v>669</v>
      </c>
      <c r="M108" s="3109"/>
      <c r="N108" s="2109" t="s">
        <v>669</v>
      </c>
      <c r="O108" s="3109"/>
      <c r="P108" s="2109" t="s">
        <v>669</v>
      </c>
      <c r="Q108" s="3109"/>
      <c r="R108" s="2109" t="s">
        <v>669</v>
      </c>
      <c r="S108" s="3109"/>
      <c r="T108" s="2109" t="s">
        <v>669</v>
      </c>
      <c r="U108" s="3109"/>
      <c r="V108" s="2109" t="s">
        <v>669</v>
      </c>
      <c r="W108" s="3109"/>
      <c r="X108" s="2109" t="s">
        <v>669</v>
      </c>
      <c r="Y108" s="3109"/>
      <c r="Z108" s="2109" t="s">
        <v>669</v>
      </c>
      <c r="AA108" s="3109"/>
      <c r="AB108" s="2109" t="s">
        <v>669</v>
      </c>
      <c r="AC108" s="3120"/>
      <c r="AD108" s="2109" t="s">
        <v>669</v>
      </c>
      <c r="AE108" s="3109"/>
      <c r="AF108" s="2109" t="s">
        <v>669</v>
      </c>
      <c r="AG108" s="3120"/>
      <c r="AH108" s="2109"/>
      <c r="AI108" s="3109"/>
    </row>
    <row r="109" spans="1:35" x14ac:dyDescent="0.35">
      <c r="A109" s="3125"/>
      <c r="B109" s="3164" t="s">
        <v>3796</v>
      </c>
      <c r="C109" s="3162"/>
      <c r="D109" s="3049"/>
      <c r="E109" s="3152"/>
      <c r="F109" s="3165"/>
      <c r="G109" s="3154"/>
      <c r="H109" s="2109" t="s">
        <v>669</v>
      </c>
      <c r="I109" s="3120"/>
      <c r="J109" s="2109" t="s">
        <v>669</v>
      </c>
      <c r="K109" s="3120"/>
      <c r="L109" s="2109" t="s">
        <v>669</v>
      </c>
      <c r="M109" s="3120"/>
      <c r="N109" s="2109" t="s">
        <v>669</v>
      </c>
      <c r="O109" s="3120"/>
      <c r="P109" s="2109" t="s">
        <v>669</v>
      </c>
      <c r="Q109" s="3120"/>
      <c r="R109" s="2109" t="s">
        <v>669</v>
      </c>
      <c r="S109" s="3120"/>
      <c r="T109" s="2109" t="s">
        <v>669</v>
      </c>
      <c r="U109" s="3120"/>
      <c r="V109" s="2109" t="s">
        <v>669</v>
      </c>
      <c r="W109" s="3120"/>
      <c r="X109" s="2109" t="s">
        <v>669</v>
      </c>
      <c r="Y109" s="3120"/>
      <c r="Z109" s="2109" t="s">
        <v>669</v>
      </c>
      <c r="AA109" s="3120"/>
      <c r="AB109" s="2109" t="s">
        <v>669</v>
      </c>
      <c r="AC109" s="3120"/>
      <c r="AD109" s="2109" t="s">
        <v>669</v>
      </c>
      <c r="AE109" s="3120"/>
      <c r="AF109" s="2109" t="s">
        <v>669</v>
      </c>
      <c r="AG109" s="3120"/>
      <c r="AH109" s="2109"/>
      <c r="AI109" s="3109"/>
    </row>
    <row r="110" spans="1:35" x14ac:dyDescent="0.35">
      <c r="A110" s="3125"/>
      <c r="B110" s="3164" t="s">
        <v>3797</v>
      </c>
      <c r="C110" s="3162" t="s">
        <v>3779</v>
      </c>
      <c r="D110" s="3049">
        <v>291</v>
      </c>
      <c r="E110" s="3152"/>
      <c r="F110" s="3165"/>
      <c r="G110" s="3154"/>
      <c r="H110" s="2109" t="s">
        <v>669</v>
      </c>
      <c r="I110" s="3120"/>
      <c r="J110" s="2109" t="s">
        <v>669</v>
      </c>
      <c r="K110" s="3120"/>
      <c r="L110" s="2109" t="s">
        <v>669</v>
      </c>
      <c r="M110" s="3120"/>
      <c r="N110" s="2109" t="s">
        <v>669</v>
      </c>
      <c r="O110" s="3120"/>
      <c r="P110" s="2109" t="s">
        <v>669</v>
      </c>
      <c r="Q110" s="3120"/>
      <c r="R110" s="2109" t="s">
        <v>669</v>
      </c>
      <c r="S110" s="3120"/>
      <c r="T110" s="2109" t="s">
        <v>669</v>
      </c>
      <c r="U110" s="3120"/>
      <c r="V110" s="2109" t="s">
        <v>669</v>
      </c>
      <c r="W110" s="3120"/>
      <c r="X110" s="2109" t="s">
        <v>669</v>
      </c>
      <c r="Y110" s="3120"/>
      <c r="Z110" s="2109" t="s">
        <v>669</v>
      </c>
      <c r="AA110" s="3120"/>
      <c r="AB110" s="2109" t="s">
        <v>669</v>
      </c>
      <c r="AC110" s="3120"/>
      <c r="AD110" s="2109" t="s">
        <v>669</v>
      </c>
      <c r="AE110" s="3120"/>
      <c r="AF110" s="2109" t="s">
        <v>669</v>
      </c>
      <c r="AG110" s="3120"/>
      <c r="AH110" s="2109"/>
      <c r="AI110" s="3109"/>
    </row>
    <row r="111" spans="1:35" x14ac:dyDescent="0.35">
      <c r="A111" s="3125"/>
      <c r="B111" s="3164" t="s">
        <v>3798</v>
      </c>
      <c r="C111" s="3162" t="s">
        <v>3799</v>
      </c>
      <c r="D111" s="3049">
        <v>73</v>
      </c>
      <c r="E111" s="3152"/>
      <c r="F111" s="3165"/>
      <c r="G111" s="3154"/>
      <c r="H111" s="2109" t="s">
        <v>669</v>
      </c>
      <c r="I111" s="3120"/>
      <c r="J111" s="2109" t="s">
        <v>669</v>
      </c>
      <c r="K111" s="3120"/>
      <c r="L111" s="2109" t="s">
        <v>669</v>
      </c>
      <c r="M111" s="3120"/>
      <c r="N111" s="2109" t="s">
        <v>669</v>
      </c>
      <c r="O111" s="3120"/>
      <c r="P111" s="2109" t="s">
        <v>669</v>
      </c>
      <c r="Q111" s="3120"/>
      <c r="R111" s="2109" t="s">
        <v>669</v>
      </c>
      <c r="S111" s="3120"/>
      <c r="T111" s="2109" t="s">
        <v>669</v>
      </c>
      <c r="U111" s="3120"/>
      <c r="V111" s="2109" t="s">
        <v>669</v>
      </c>
      <c r="W111" s="3120"/>
      <c r="X111" s="2109" t="s">
        <v>669</v>
      </c>
      <c r="Y111" s="3120"/>
      <c r="Z111" s="2109" t="s">
        <v>669</v>
      </c>
      <c r="AA111" s="3120"/>
      <c r="AB111" s="2109" t="s">
        <v>669</v>
      </c>
      <c r="AC111" s="3120"/>
      <c r="AD111" s="2109" t="s">
        <v>669</v>
      </c>
      <c r="AE111" s="3120"/>
      <c r="AF111" s="2109" t="s">
        <v>669</v>
      </c>
      <c r="AG111" s="3120"/>
      <c r="AH111" s="2109"/>
      <c r="AI111" s="3109"/>
    </row>
    <row r="112" spans="1:35" x14ac:dyDescent="0.35">
      <c r="A112" s="3125"/>
      <c r="B112" s="3164" t="s">
        <v>3800</v>
      </c>
      <c r="C112" s="3162" t="s">
        <v>3779</v>
      </c>
      <c r="D112" s="3049">
        <f>46+57+81</f>
        <v>184</v>
      </c>
      <c r="E112" s="3152"/>
      <c r="F112" s="3165"/>
      <c r="G112" s="3154"/>
      <c r="H112" s="2109" t="s">
        <v>669</v>
      </c>
      <c r="I112" s="3120"/>
      <c r="J112" s="2109" t="s">
        <v>669</v>
      </c>
      <c r="K112" s="3120"/>
      <c r="L112" s="2109" t="s">
        <v>669</v>
      </c>
      <c r="M112" s="3120"/>
      <c r="N112" s="2109" t="s">
        <v>669</v>
      </c>
      <c r="O112" s="3120"/>
      <c r="P112" s="2109" t="s">
        <v>669</v>
      </c>
      <c r="Q112" s="3120"/>
      <c r="R112" s="2109" t="s">
        <v>669</v>
      </c>
      <c r="S112" s="3120"/>
      <c r="T112" s="2109" t="s">
        <v>669</v>
      </c>
      <c r="U112" s="3120"/>
      <c r="V112" s="2109" t="s">
        <v>669</v>
      </c>
      <c r="W112" s="3120"/>
      <c r="X112" s="2109" t="s">
        <v>669</v>
      </c>
      <c r="Y112" s="3120"/>
      <c r="Z112" s="2109" t="s">
        <v>669</v>
      </c>
      <c r="AA112" s="3120"/>
      <c r="AB112" s="2109" t="s">
        <v>669</v>
      </c>
      <c r="AC112" s="3120"/>
      <c r="AD112" s="2109" t="s">
        <v>669</v>
      </c>
      <c r="AE112" s="3120"/>
      <c r="AF112" s="2109" t="s">
        <v>669</v>
      </c>
      <c r="AG112" s="3120"/>
      <c r="AH112" s="2109"/>
      <c r="AI112" s="3109"/>
    </row>
    <row r="113" spans="1:35" ht="15" customHeight="1" x14ac:dyDescent="0.35">
      <c r="A113" s="3125"/>
      <c r="B113" s="3151" t="s">
        <v>3801</v>
      </c>
      <c r="C113" s="3162" t="s">
        <v>3799</v>
      </c>
      <c r="D113" s="3049">
        <f>73</f>
        <v>73</v>
      </c>
      <c r="E113" s="3152"/>
      <c r="F113" s="3161"/>
      <c r="G113" s="3154"/>
      <c r="H113" s="2109" t="s">
        <v>669</v>
      </c>
      <c r="I113" s="3120"/>
      <c r="J113" s="2109" t="s">
        <v>669</v>
      </c>
      <c r="K113" s="3120"/>
      <c r="L113" s="2109" t="s">
        <v>669</v>
      </c>
      <c r="M113" s="3120"/>
      <c r="N113" s="2109" t="s">
        <v>669</v>
      </c>
      <c r="O113" s="3120"/>
      <c r="P113" s="2109" t="s">
        <v>669</v>
      </c>
      <c r="Q113" s="3120"/>
      <c r="R113" s="2109" t="s">
        <v>669</v>
      </c>
      <c r="S113" s="3120"/>
      <c r="T113" s="2109" t="s">
        <v>669</v>
      </c>
      <c r="U113" s="3120"/>
      <c r="V113" s="2109" t="s">
        <v>669</v>
      </c>
      <c r="W113" s="3120"/>
      <c r="X113" s="2109" t="s">
        <v>669</v>
      </c>
      <c r="Y113" s="3120"/>
      <c r="Z113" s="2109" t="s">
        <v>669</v>
      </c>
      <c r="AA113" s="3120"/>
      <c r="AB113" s="2109" t="s">
        <v>669</v>
      </c>
      <c r="AC113" s="3108"/>
      <c r="AD113" s="2109" t="s">
        <v>669</v>
      </c>
      <c r="AE113" s="3120"/>
      <c r="AF113" s="2109" t="s">
        <v>669</v>
      </c>
      <c r="AG113" s="3120"/>
      <c r="AH113" s="2109"/>
      <c r="AI113" s="3109"/>
    </row>
    <row r="114" spans="1:35" ht="15" customHeight="1" x14ac:dyDescent="0.35">
      <c r="A114" s="3125"/>
      <c r="B114" s="3151" t="s">
        <v>3788</v>
      </c>
      <c r="C114" s="3162"/>
      <c r="D114" s="3049"/>
      <c r="E114" s="3152"/>
      <c r="F114" s="3161"/>
      <c r="G114" s="3154"/>
      <c r="H114" s="2109" t="s">
        <v>669</v>
      </c>
      <c r="I114" s="3120"/>
      <c r="J114" s="2109" t="s">
        <v>669</v>
      </c>
      <c r="K114" s="3120"/>
      <c r="L114" s="2109" t="s">
        <v>669</v>
      </c>
      <c r="M114" s="3120"/>
      <c r="N114" s="2109" t="s">
        <v>669</v>
      </c>
      <c r="O114" s="3120"/>
      <c r="P114" s="2109" t="s">
        <v>669</v>
      </c>
      <c r="Q114" s="3120"/>
      <c r="R114" s="2109" t="s">
        <v>669</v>
      </c>
      <c r="S114" s="3120"/>
      <c r="T114" s="2109" t="s">
        <v>669</v>
      </c>
      <c r="U114" s="3120"/>
      <c r="V114" s="2109" t="s">
        <v>669</v>
      </c>
      <c r="W114" s="3120"/>
      <c r="X114" s="2109" t="s">
        <v>669</v>
      </c>
      <c r="Y114" s="3120"/>
      <c r="Z114" s="2109" t="s">
        <v>669</v>
      </c>
      <c r="AA114" s="3120"/>
      <c r="AB114" s="2109" t="s">
        <v>669</v>
      </c>
      <c r="AC114" s="3108"/>
      <c r="AD114" s="2109" t="s">
        <v>669</v>
      </c>
      <c r="AE114" s="3120"/>
      <c r="AF114" s="2109" t="s">
        <v>669</v>
      </c>
      <c r="AG114" s="3120"/>
      <c r="AH114" s="2109"/>
      <c r="AI114" s="3109"/>
    </row>
    <row r="115" spans="1:35" ht="15" customHeight="1" x14ac:dyDescent="0.35">
      <c r="A115" s="3125"/>
      <c r="B115" s="3151" t="s">
        <v>3802</v>
      </c>
      <c r="C115" s="3162"/>
      <c r="D115" s="3049"/>
      <c r="E115" s="3152"/>
      <c r="F115" s="3161"/>
      <c r="G115" s="3154"/>
      <c r="H115" s="2109" t="s">
        <v>669</v>
      </c>
      <c r="I115" s="3120"/>
      <c r="J115" s="2109" t="s">
        <v>669</v>
      </c>
      <c r="K115" s="3120"/>
      <c r="L115" s="2109" t="s">
        <v>669</v>
      </c>
      <c r="M115" s="3120"/>
      <c r="N115" s="2109" t="s">
        <v>669</v>
      </c>
      <c r="O115" s="3120"/>
      <c r="P115" s="2109" t="s">
        <v>669</v>
      </c>
      <c r="Q115" s="3120"/>
      <c r="R115" s="2109" t="s">
        <v>669</v>
      </c>
      <c r="S115" s="3120"/>
      <c r="T115" s="2109" t="s">
        <v>669</v>
      </c>
      <c r="U115" s="3120"/>
      <c r="V115" s="2109" t="s">
        <v>669</v>
      </c>
      <c r="W115" s="3120"/>
      <c r="X115" s="2109" t="s">
        <v>669</v>
      </c>
      <c r="Y115" s="3120"/>
      <c r="Z115" s="2109" t="s">
        <v>669</v>
      </c>
      <c r="AA115" s="3120"/>
      <c r="AB115" s="2109" t="s">
        <v>669</v>
      </c>
      <c r="AC115" s="3108"/>
      <c r="AD115" s="2109" t="s">
        <v>669</v>
      </c>
      <c r="AE115" s="3120"/>
      <c r="AF115" s="2109" t="s">
        <v>669</v>
      </c>
      <c r="AG115" s="3120"/>
      <c r="AH115" s="2109"/>
      <c r="AI115" s="3109"/>
    </row>
    <row r="116" spans="1:35" ht="15" customHeight="1" x14ac:dyDescent="0.35">
      <c r="A116" s="3125"/>
      <c r="B116" s="3151" t="s">
        <v>3803</v>
      </c>
      <c r="C116" s="3162"/>
      <c r="D116" s="3049"/>
      <c r="E116" s="3152"/>
      <c r="F116" s="3161"/>
      <c r="G116" s="3154"/>
      <c r="H116" s="2109" t="s">
        <v>669</v>
      </c>
      <c r="I116" s="3120"/>
      <c r="J116" s="2109" t="s">
        <v>669</v>
      </c>
      <c r="K116" s="3120"/>
      <c r="L116" s="2109" t="s">
        <v>669</v>
      </c>
      <c r="M116" s="3120"/>
      <c r="N116" s="2109" t="s">
        <v>669</v>
      </c>
      <c r="O116" s="3120"/>
      <c r="P116" s="2109" t="s">
        <v>669</v>
      </c>
      <c r="Q116" s="3120"/>
      <c r="R116" s="2109" t="s">
        <v>669</v>
      </c>
      <c r="S116" s="3120"/>
      <c r="T116" s="2109" t="s">
        <v>669</v>
      </c>
      <c r="U116" s="3120"/>
      <c r="V116" s="2109" t="s">
        <v>669</v>
      </c>
      <c r="W116" s="3120"/>
      <c r="X116" s="2109" t="s">
        <v>669</v>
      </c>
      <c r="Y116" s="3120"/>
      <c r="Z116" s="2109" t="s">
        <v>669</v>
      </c>
      <c r="AA116" s="3120"/>
      <c r="AB116" s="2109" t="s">
        <v>669</v>
      </c>
      <c r="AC116" s="3108"/>
      <c r="AD116" s="2109" t="s">
        <v>669</v>
      </c>
      <c r="AE116" s="3120"/>
      <c r="AF116" s="2109" t="s">
        <v>669</v>
      </c>
      <c r="AG116" s="3120"/>
      <c r="AH116" s="2109"/>
      <c r="AI116" s="3109"/>
    </row>
    <row r="117" spans="1:35" ht="15" customHeight="1" x14ac:dyDescent="0.35">
      <c r="A117" s="3125"/>
      <c r="B117" s="3151" t="s">
        <v>3804</v>
      </c>
      <c r="C117" s="3162"/>
      <c r="D117" s="3049"/>
      <c r="E117" s="3152"/>
      <c r="F117" s="3161"/>
      <c r="G117" s="3154"/>
      <c r="H117" s="2109" t="s">
        <v>669</v>
      </c>
      <c r="I117" s="3120"/>
      <c r="J117" s="2109" t="s">
        <v>669</v>
      </c>
      <c r="K117" s="3120"/>
      <c r="L117" s="2109" t="s">
        <v>669</v>
      </c>
      <c r="M117" s="3120"/>
      <c r="N117" s="2109" t="s">
        <v>669</v>
      </c>
      <c r="O117" s="3120"/>
      <c r="P117" s="2109" t="s">
        <v>669</v>
      </c>
      <c r="Q117" s="3120"/>
      <c r="R117" s="2109" t="s">
        <v>669</v>
      </c>
      <c r="S117" s="3120"/>
      <c r="T117" s="2109" t="s">
        <v>669</v>
      </c>
      <c r="U117" s="3120"/>
      <c r="V117" s="2109" t="s">
        <v>669</v>
      </c>
      <c r="W117" s="3120"/>
      <c r="X117" s="2109" t="s">
        <v>669</v>
      </c>
      <c r="Y117" s="3120"/>
      <c r="Z117" s="2109" t="s">
        <v>669</v>
      </c>
      <c r="AA117" s="3120"/>
      <c r="AB117" s="2109" t="s">
        <v>669</v>
      </c>
      <c r="AC117" s="3108"/>
      <c r="AD117" s="2109" t="s">
        <v>669</v>
      </c>
      <c r="AE117" s="3120"/>
      <c r="AF117" s="2109" t="s">
        <v>669</v>
      </c>
      <c r="AG117" s="3120"/>
      <c r="AH117" s="2109"/>
      <c r="AI117" s="3109"/>
    </row>
    <row r="118" spans="1:35" x14ac:dyDescent="0.35">
      <c r="A118" s="3125"/>
      <c r="B118" s="3164" t="s">
        <v>3805</v>
      </c>
      <c r="C118" s="3162" t="s">
        <v>3806</v>
      </c>
      <c r="D118" s="3049">
        <v>1</v>
      </c>
      <c r="E118" s="3152"/>
      <c r="F118" s="3165"/>
      <c r="G118" s="3154"/>
      <c r="H118" s="2109" t="s">
        <v>669</v>
      </c>
      <c r="I118" s="3120"/>
      <c r="J118" s="2109" t="s">
        <v>669</v>
      </c>
      <c r="K118" s="3120"/>
      <c r="L118" s="2109" t="s">
        <v>669</v>
      </c>
      <c r="M118" s="3120"/>
      <c r="N118" s="2109" t="s">
        <v>669</v>
      </c>
      <c r="O118" s="3120"/>
      <c r="P118" s="2109" t="s">
        <v>669</v>
      </c>
      <c r="Q118" s="3120"/>
      <c r="R118" s="2109" t="s">
        <v>669</v>
      </c>
      <c r="S118" s="3120"/>
      <c r="T118" s="2109" t="s">
        <v>669</v>
      </c>
      <c r="U118" s="3120"/>
      <c r="V118" s="2109" t="s">
        <v>669</v>
      </c>
      <c r="W118" s="3120"/>
      <c r="X118" s="2109" t="s">
        <v>669</v>
      </c>
      <c r="Y118" s="3120"/>
      <c r="Z118" s="2109" t="s">
        <v>669</v>
      </c>
      <c r="AA118" s="3120"/>
      <c r="AB118" s="2109" t="s">
        <v>669</v>
      </c>
      <c r="AC118" s="3108"/>
      <c r="AD118" s="2109" t="s">
        <v>669</v>
      </c>
      <c r="AE118" s="3120"/>
      <c r="AF118" s="2109" t="s">
        <v>669</v>
      </c>
      <c r="AG118" s="3120"/>
      <c r="AH118" s="2109"/>
      <c r="AI118" s="3120"/>
    </row>
    <row r="119" spans="1:35" x14ac:dyDescent="0.35">
      <c r="A119" s="3125"/>
      <c r="B119" s="3164" t="s">
        <v>3730</v>
      </c>
      <c r="C119" s="3162" t="s">
        <v>3806</v>
      </c>
      <c r="D119" s="3049">
        <v>1</v>
      </c>
      <c r="E119" s="3152"/>
      <c r="F119" s="3165"/>
      <c r="G119" s="3154"/>
      <c r="H119" s="2109" t="s">
        <v>669</v>
      </c>
      <c r="I119" s="3120"/>
      <c r="J119" s="2109" t="s">
        <v>669</v>
      </c>
      <c r="K119" s="3120"/>
      <c r="L119" s="2109" t="s">
        <v>669</v>
      </c>
      <c r="M119" s="3120"/>
      <c r="N119" s="2109" t="s">
        <v>669</v>
      </c>
      <c r="O119" s="3120"/>
      <c r="P119" s="2109" t="s">
        <v>669</v>
      </c>
      <c r="Q119" s="3120"/>
      <c r="R119" s="2109" t="s">
        <v>669</v>
      </c>
      <c r="S119" s="3120"/>
      <c r="T119" s="2109" t="s">
        <v>669</v>
      </c>
      <c r="U119" s="3120"/>
      <c r="V119" s="2109" t="s">
        <v>669</v>
      </c>
      <c r="W119" s="3120"/>
      <c r="X119" s="2109" t="s">
        <v>669</v>
      </c>
      <c r="Y119" s="3120"/>
      <c r="Z119" s="2109" t="s">
        <v>669</v>
      </c>
      <c r="AA119" s="3120"/>
      <c r="AB119" s="2109" t="s">
        <v>669</v>
      </c>
      <c r="AC119" s="3108"/>
      <c r="AD119" s="2109" t="s">
        <v>669</v>
      </c>
      <c r="AE119" s="3120"/>
      <c r="AF119" s="2109" t="s">
        <v>669</v>
      </c>
      <c r="AG119" s="3120"/>
      <c r="AH119" s="2109"/>
      <c r="AI119" s="3120"/>
    </row>
    <row r="120" spans="1:35" ht="15" customHeight="1" x14ac:dyDescent="0.35">
      <c r="A120" s="3125"/>
      <c r="B120" s="3151" t="s">
        <v>3807</v>
      </c>
      <c r="C120" s="3162"/>
      <c r="D120" s="3049"/>
      <c r="E120" s="3152"/>
      <c r="F120" s="3161"/>
      <c r="G120" s="3154"/>
      <c r="H120" s="2109" t="s">
        <v>669</v>
      </c>
      <c r="I120" s="3120"/>
      <c r="J120" s="2109" t="s">
        <v>669</v>
      </c>
      <c r="K120" s="3120"/>
      <c r="L120" s="2109" t="s">
        <v>669</v>
      </c>
      <c r="M120" s="3120"/>
      <c r="N120" s="2109" t="s">
        <v>669</v>
      </c>
      <c r="O120" s="3120"/>
      <c r="P120" s="2109" t="s">
        <v>669</v>
      </c>
      <c r="Q120" s="3120"/>
      <c r="R120" s="2109" t="s">
        <v>669</v>
      </c>
      <c r="S120" s="3120"/>
      <c r="T120" s="2109" t="s">
        <v>669</v>
      </c>
      <c r="U120" s="3120"/>
      <c r="V120" s="2109" t="s">
        <v>669</v>
      </c>
      <c r="W120" s="3120"/>
      <c r="X120" s="2109" t="s">
        <v>669</v>
      </c>
      <c r="Y120" s="3120"/>
      <c r="Z120" s="2109" t="s">
        <v>669</v>
      </c>
      <c r="AA120" s="3120"/>
      <c r="AB120" s="2109" t="s">
        <v>669</v>
      </c>
      <c r="AC120" s="3108"/>
      <c r="AD120" s="2109" t="s">
        <v>669</v>
      </c>
      <c r="AE120" s="3120"/>
      <c r="AF120" s="2109" t="s">
        <v>669</v>
      </c>
      <c r="AG120" s="3120"/>
      <c r="AH120" s="2109"/>
      <c r="AI120" s="3109"/>
    </row>
    <row r="121" spans="1:35" ht="15" customHeight="1" x14ac:dyDescent="0.35">
      <c r="A121" s="3125"/>
      <c r="B121" s="3151" t="s">
        <v>3808</v>
      </c>
      <c r="C121" s="3162"/>
      <c r="D121" s="3049"/>
      <c r="E121" s="3152"/>
      <c r="F121" s="3161"/>
      <c r="G121" s="3154"/>
      <c r="H121" s="2109" t="s">
        <v>669</v>
      </c>
      <c r="I121" s="3120"/>
      <c r="J121" s="2109" t="s">
        <v>669</v>
      </c>
      <c r="K121" s="3120"/>
      <c r="L121" s="2109" t="s">
        <v>669</v>
      </c>
      <c r="M121" s="3120"/>
      <c r="N121" s="2109" t="s">
        <v>669</v>
      </c>
      <c r="O121" s="3120"/>
      <c r="P121" s="2109" t="s">
        <v>669</v>
      </c>
      <c r="Q121" s="3120"/>
      <c r="R121" s="2109" t="s">
        <v>669</v>
      </c>
      <c r="S121" s="3120"/>
      <c r="T121" s="2109" t="s">
        <v>669</v>
      </c>
      <c r="U121" s="3120"/>
      <c r="V121" s="2109" t="s">
        <v>669</v>
      </c>
      <c r="W121" s="3120"/>
      <c r="X121" s="2109" t="s">
        <v>669</v>
      </c>
      <c r="Y121" s="3120"/>
      <c r="Z121" s="2109" t="s">
        <v>669</v>
      </c>
      <c r="AA121" s="3120"/>
      <c r="AB121" s="2109" t="s">
        <v>669</v>
      </c>
      <c r="AC121" s="3108"/>
      <c r="AD121" s="2109" t="s">
        <v>669</v>
      </c>
      <c r="AE121" s="3120"/>
      <c r="AF121" s="2109" t="s">
        <v>669</v>
      </c>
      <c r="AG121" s="3120"/>
      <c r="AH121" s="2109"/>
      <c r="AI121" s="3109"/>
    </row>
    <row r="122" spans="1:35" ht="15" customHeight="1" x14ac:dyDescent="0.35">
      <c r="A122" s="3125"/>
      <c r="B122" s="3151" t="s">
        <v>3809</v>
      </c>
      <c r="C122" s="3162"/>
      <c r="D122" s="3049"/>
      <c r="E122" s="3152"/>
      <c r="F122" s="3161"/>
      <c r="G122" s="3154"/>
      <c r="H122" s="2109" t="s">
        <v>669</v>
      </c>
      <c r="I122" s="3120"/>
      <c r="J122" s="2109" t="s">
        <v>669</v>
      </c>
      <c r="K122" s="3120"/>
      <c r="L122" s="2109" t="s">
        <v>669</v>
      </c>
      <c r="M122" s="3120"/>
      <c r="N122" s="2109" t="s">
        <v>669</v>
      </c>
      <c r="O122" s="3120"/>
      <c r="P122" s="2109" t="s">
        <v>669</v>
      </c>
      <c r="Q122" s="3120"/>
      <c r="R122" s="2109" t="s">
        <v>669</v>
      </c>
      <c r="S122" s="3120"/>
      <c r="T122" s="2109" t="s">
        <v>669</v>
      </c>
      <c r="U122" s="3120"/>
      <c r="V122" s="2109" t="s">
        <v>669</v>
      </c>
      <c r="W122" s="3120"/>
      <c r="X122" s="2109" t="s">
        <v>669</v>
      </c>
      <c r="Y122" s="3120"/>
      <c r="Z122" s="2109" t="s">
        <v>669</v>
      </c>
      <c r="AA122" s="3120"/>
      <c r="AB122" s="2109" t="s">
        <v>669</v>
      </c>
      <c r="AC122" s="3108"/>
      <c r="AD122" s="2109" t="s">
        <v>669</v>
      </c>
      <c r="AE122" s="3120"/>
      <c r="AF122" s="2109" t="s">
        <v>669</v>
      </c>
      <c r="AG122" s="3120"/>
      <c r="AH122" s="2109"/>
      <c r="AI122" s="3109"/>
    </row>
    <row r="123" spans="1:35" ht="18.649999999999999" customHeight="1" x14ac:dyDescent="0.35">
      <c r="A123" s="3056"/>
      <c r="B123" s="3151"/>
      <c r="C123" s="3162"/>
      <c r="D123" s="3049"/>
      <c r="E123" s="3152"/>
      <c r="F123" s="3161"/>
      <c r="G123" s="3154"/>
      <c r="H123" s="2109"/>
      <c r="I123" s="3120"/>
      <c r="J123" s="2109"/>
      <c r="K123" s="3120"/>
      <c r="L123" s="2109"/>
      <c r="M123" s="3120">
        <v>746304</v>
      </c>
      <c r="N123" s="2109"/>
      <c r="O123" s="3120"/>
      <c r="P123" s="2109"/>
      <c r="Q123" s="3120"/>
      <c r="R123" s="2109"/>
      <c r="S123" s="3120"/>
      <c r="T123" s="2109"/>
      <c r="U123" s="3120"/>
      <c r="V123" s="2109"/>
      <c r="W123" s="3120"/>
      <c r="X123" s="2109"/>
      <c r="Y123" s="3120"/>
      <c r="Z123" s="2109"/>
      <c r="AA123" s="3120"/>
      <c r="AB123" s="2109"/>
      <c r="AC123" s="3108"/>
      <c r="AD123" s="2109"/>
      <c r="AE123" s="3120"/>
      <c r="AF123" s="2109"/>
      <c r="AG123" s="3120"/>
      <c r="AH123" s="2109"/>
      <c r="AI123" s="3109"/>
    </row>
    <row r="124" spans="1:35" ht="15" customHeight="1" x14ac:dyDescent="0.35">
      <c r="A124" s="3125"/>
      <c r="B124" s="3160" t="s">
        <v>3810</v>
      </c>
      <c r="C124" s="3162"/>
      <c r="D124" s="3049"/>
      <c r="E124" s="3152"/>
      <c r="F124" s="3161"/>
      <c r="G124" s="3154"/>
      <c r="H124" s="2109" t="s">
        <v>669</v>
      </c>
      <c r="I124" s="3120">
        <v>568268</v>
      </c>
      <c r="J124" s="2109" t="s">
        <v>669</v>
      </c>
      <c r="K124" s="3120">
        <v>509272</v>
      </c>
      <c r="L124" s="2109" t="s">
        <v>669</v>
      </c>
      <c r="N124" s="2109" t="s">
        <v>669</v>
      </c>
      <c r="O124" s="3120">
        <v>713456</v>
      </c>
      <c r="P124" s="2109" t="s">
        <v>669</v>
      </c>
      <c r="Q124" s="3120">
        <v>670344</v>
      </c>
      <c r="R124" s="2109" t="s">
        <v>669</v>
      </c>
      <c r="S124" s="3120">
        <v>622851</v>
      </c>
      <c r="T124" s="2109" t="s">
        <v>669</v>
      </c>
      <c r="U124" s="3120">
        <v>784500</v>
      </c>
      <c r="V124" s="2109" t="s">
        <v>669</v>
      </c>
      <c r="W124" s="3120">
        <v>706375</v>
      </c>
      <c r="X124" s="2109" t="s">
        <v>669</v>
      </c>
      <c r="Y124" s="3120">
        <v>1118285</v>
      </c>
      <c r="Z124" s="2109" t="s">
        <v>669</v>
      </c>
      <c r="AA124" s="3120"/>
      <c r="AB124" s="2109" t="s">
        <v>669</v>
      </c>
      <c r="AC124" s="3108"/>
      <c r="AD124" s="2109" t="s">
        <v>669</v>
      </c>
      <c r="AE124" s="3120"/>
      <c r="AF124" s="2109" t="s">
        <v>669</v>
      </c>
      <c r="AG124" s="3120">
        <v>664627</v>
      </c>
      <c r="AH124" s="2109"/>
      <c r="AI124" s="3109"/>
    </row>
    <row r="125" spans="1:35" x14ac:dyDescent="0.35">
      <c r="A125" s="3125"/>
      <c r="B125" s="3164" t="s">
        <v>3811</v>
      </c>
      <c r="C125" s="3162"/>
      <c r="D125" s="3049"/>
      <c r="E125" s="3152"/>
      <c r="F125" s="3165"/>
      <c r="G125" s="3154"/>
      <c r="H125" s="2109" t="s">
        <v>669</v>
      </c>
      <c r="I125" s="3120"/>
      <c r="J125" s="2109" t="s">
        <v>669</v>
      </c>
      <c r="K125" s="3120"/>
      <c r="L125" s="2109" t="s">
        <v>669</v>
      </c>
      <c r="M125" s="3120"/>
      <c r="N125" s="2109" t="s">
        <v>669</v>
      </c>
      <c r="O125" s="3120"/>
      <c r="P125" s="2109" t="s">
        <v>669</v>
      </c>
      <c r="Q125" s="3120"/>
      <c r="R125" s="2109" t="s">
        <v>669</v>
      </c>
      <c r="S125" s="3120"/>
      <c r="T125" s="2109" t="s">
        <v>669</v>
      </c>
      <c r="U125" s="3120"/>
      <c r="V125" s="2109" t="s">
        <v>669</v>
      </c>
      <c r="W125" s="3120"/>
      <c r="X125" s="2109" t="s">
        <v>669</v>
      </c>
      <c r="Y125" s="3120"/>
      <c r="Z125" s="2109" t="s">
        <v>669</v>
      </c>
      <c r="AA125" s="3120"/>
      <c r="AB125" s="2109" t="s">
        <v>669</v>
      </c>
      <c r="AC125" s="3108"/>
      <c r="AD125" s="2109" t="s">
        <v>669</v>
      </c>
      <c r="AE125" s="3120"/>
      <c r="AF125" s="2109" t="s">
        <v>669</v>
      </c>
      <c r="AG125" s="3120"/>
      <c r="AH125" s="2109"/>
      <c r="AI125" s="3109"/>
    </row>
    <row r="126" spans="1:35" x14ac:dyDescent="0.35">
      <c r="A126" s="3125"/>
      <c r="B126" s="3164" t="s">
        <v>3812</v>
      </c>
      <c r="C126" s="3162"/>
      <c r="D126" s="3049"/>
      <c r="E126" s="3152"/>
      <c r="F126" s="3165"/>
      <c r="G126" s="3154"/>
      <c r="H126" s="2109" t="s">
        <v>669</v>
      </c>
      <c r="I126" s="3120"/>
      <c r="J126" s="2109" t="s">
        <v>669</v>
      </c>
      <c r="K126" s="3120"/>
      <c r="L126" s="2109" t="s">
        <v>669</v>
      </c>
      <c r="M126" s="3120"/>
      <c r="N126" s="2109" t="s">
        <v>669</v>
      </c>
      <c r="O126" s="3120"/>
      <c r="P126" s="2109" t="s">
        <v>669</v>
      </c>
      <c r="Q126" s="3120"/>
      <c r="R126" s="2109" t="s">
        <v>669</v>
      </c>
      <c r="S126" s="3120"/>
      <c r="T126" s="2109" t="s">
        <v>669</v>
      </c>
      <c r="U126" s="3120"/>
      <c r="V126" s="2109" t="s">
        <v>669</v>
      </c>
      <c r="W126" s="3120"/>
      <c r="X126" s="2109"/>
      <c r="Y126" s="3120"/>
      <c r="Z126" s="2109"/>
      <c r="AA126" s="3120"/>
      <c r="AB126" s="2109" t="s">
        <v>669</v>
      </c>
      <c r="AC126" s="3120"/>
      <c r="AD126" s="2109" t="s">
        <v>669</v>
      </c>
      <c r="AE126" s="3120"/>
      <c r="AF126" s="2109" t="s">
        <v>669</v>
      </c>
      <c r="AG126" s="3120"/>
      <c r="AH126" s="2109"/>
      <c r="AI126" s="3120"/>
    </row>
    <row r="127" spans="1:35" x14ac:dyDescent="0.35">
      <c r="A127" s="3125"/>
      <c r="B127" s="3164" t="s">
        <v>3813</v>
      </c>
      <c r="C127" s="3162"/>
      <c r="D127" s="3049"/>
      <c r="E127" s="3152"/>
      <c r="F127" s="3165"/>
      <c r="G127" s="3154"/>
      <c r="H127" s="2109" t="s">
        <v>669</v>
      </c>
      <c r="I127" s="3120"/>
      <c r="J127" s="2109" t="s">
        <v>669</v>
      </c>
      <c r="K127" s="3120"/>
      <c r="L127" s="2109" t="s">
        <v>669</v>
      </c>
      <c r="M127" s="3120"/>
      <c r="N127" s="2109" t="s">
        <v>669</v>
      </c>
      <c r="O127" s="3120"/>
      <c r="P127" s="2109" t="s">
        <v>669</v>
      </c>
      <c r="Q127" s="3120"/>
      <c r="R127" s="2109" t="s">
        <v>669</v>
      </c>
      <c r="S127" s="3120"/>
      <c r="T127" s="2109" t="s">
        <v>669</v>
      </c>
      <c r="U127" s="3120"/>
      <c r="V127" s="2109" t="s">
        <v>669</v>
      </c>
      <c r="W127" s="3120"/>
      <c r="X127" s="2109"/>
      <c r="Y127" s="3120"/>
      <c r="Z127" s="2109"/>
      <c r="AA127" s="3120"/>
      <c r="AB127" s="2109" t="s">
        <v>669</v>
      </c>
      <c r="AC127" s="3120"/>
      <c r="AD127" s="2109" t="s">
        <v>669</v>
      </c>
      <c r="AE127" s="3120"/>
      <c r="AF127" s="2109" t="s">
        <v>669</v>
      </c>
      <c r="AG127" s="3120"/>
      <c r="AH127" s="2109"/>
      <c r="AI127" s="3120"/>
    </row>
    <row r="128" spans="1:35" x14ac:dyDescent="0.35">
      <c r="A128" s="3056"/>
      <c r="B128" s="3164" t="s">
        <v>3814</v>
      </c>
      <c r="C128" s="3162"/>
      <c r="D128" s="3049"/>
      <c r="E128" s="3152"/>
      <c r="F128" s="3165"/>
      <c r="G128" s="3154"/>
      <c r="H128" s="2109" t="s">
        <v>669</v>
      </c>
      <c r="I128" s="3120"/>
      <c r="J128" s="2109" t="s">
        <v>669</v>
      </c>
      <c r="K128" s="3120"/>
      <c r="L128" s="2109" t="s">
        <v>669</v>
      </c>
      <c r="M128" s="3120"/>
      <c r="N128" s="2109" t="s">
        <v>669</v>
      </c>
      <c r="O128" s="3120"/>
      <c r="P128" s="2109" t="s">
        <v>669</v>
      </c>
      <c r="Q128" s="3120"/>
      <c r="R128" s="2109" t="s">
        <v>669</v>
      </c>
      <c r="S128" s="3120"/>
      <c r="T128" s="2109" t="s">
        <v>669</v>
      </c>
      <c r="U128" s="3120"/>
      <c r="V128" s="2109" t="s">
        <v>669</v>
      </c>
      <c r="W128" s="3120"/>
      <c r="X128" s="2109" t="s">
        <v>669</v>
      </c>
      <c r="Y128" s="3120"/>
      <c r="Z128" s="2109" t="s">
        <v>669</v>
      </c>
      <c r="AA128" s="3120"/>
      <c r="AB128" s="2109" t="s">
        <v>669</v>
      </c>
      <c r="AC128" s="3120"/>
      <c r="AD128" s="2109" t="s">
        <v>669</v>
      </c>
      <c r="AE128" s="3120"/>
      <c r="AF128" s="2109" t="s">
        <v>669</v>
      </c>
      <c r="AG128" s="3120"/>
      <c r="AH128" s="2109"/>
      <c r="AI128" s="3120"/>
    </row>
    <row r="129" spans="1:35" x14ac:dyDescent="0.35">
      <c r="A129" s="3056"/>
      <c r="B129" s="3164" t="s">
        <v>3815</v>
      </c>
      <c r="C129" s="3162"/>
      <c r="D129" s="3049"/>
      <c r="E129" s="3152"/>
      <c r="F129" s="3165"/>
      <c r="G129" s="3154"/>
      <c r="H129" s="2109" t="s">
        <v>669</v>
      </c>
      <c r="I129" s="3120"/>
      <c r="J129" s="2109" t="s">
        <v>669</v>
      </c>
      <c r="K129" s="3120"/>
      <c r="L129" s="2109" t="s">
        <v>669</v>
      </c>
      <c r="M129" s="3120"/>
      <c r="N129" s="2109" t="s">
        <v>669</v>
      </c>
      <c r="O129" s="3120"/>
      <c r="P129" s="2109" t="s">
        <v>669</v>
      </c>
      <c r="Q129" s="3120"/>
      <c r="R129" s="2109" t="s">
        <v>669</v>
      </c>
      <c r="S129" s="3120"/>
      <c r="T129" s="2109" t="s">
        <v>669</v>
      </c>
      <c r="U129" s="3120"/>
      <c r="V129" s="2109" t="s">
        <v>669</v>
      </c>
      <c r="W129" s="3120"/>
      <c r="X129" s="2109" t="s">
        <v>669</v>
      </c>
      <c r="Y129" s="3120"/>
      <c r="Z129" s="2109" t="s">
        <v>669</v>
      </c>
      <c r="AA129" s="3120"/>
      <c r="AB129" s="2109" t="s">
        <v>669</v>
      </c>
      <c r="AC129" s="3108"/>
      <c r="AD129" s="2109" t="s">
        <v>669</v>
      </c>
      <c r="AE129" s="3120"/>
      <c r="AF129" s="2109" t="s">
        <v>669</v>
      </c>
      <c r="AG129" s="3120"/>
      <c r="AH129" s="2109"/>
      <c r="AI129" s="3120"/>
    </row>
    <row r="130" spans="1:35" x14ac:dyDescent="0.35">
      <c r="A130" s="3056"/>
      <c r="B130" s="3160" t="s">
        <v>3816</v>
      </c>
      <c r="C130" s="3162"/>
      <c r="D130" s="3049"/>
      <c r="E130" s="3152"/>
      <c r="F130" s="3161"/>
      <c r="G130" s="3154"/>
      <c r="H130" s="2109" t="s">
        <v>669</v>
      </c>
      <c r="I130" s="3120"/>
      <c r="J130" s="2109" t="s">
        <v>669</v>
      </c>
      <c r="K130" s="3120">
        <v>59257</v>
      </c>
      <c r="L130" s="2109" t="s">
        <v>669</v>
      </c>
      <c r="M130" s="3120">
        <v>634984</v>
      </c>
      <c r="N130" s="2109" t="s">
        <v>669</v>
      </c>
      <c r="O130" s="3120">
        <v>627051</v>
      </c>
      <c r="P130" s="2109" t="s">
        <v>669</v>
      </c>
      <c r="Q130" s="3120">
        <v>585129</v>
      </c>
      <c r="R130" s="2109" t="s">
        <v>669</v>
      </c>
      <c r="S130" s="3120">
        <v>694362</v>
      </c>
      <c r="T130" s="2109" t="s">
        <v>669</v>
      </c>
      <c r="U130" s="3120">
        <v>973195</v>
      </c>
      <c r="V130" s="2109" t="s">
        <v>669</v>
      </c>
      <c r="W130" s="3120">
        <v>775995</v>
      </c>
      <c r="X130" s="2109" t="s">
        <v>669</v>
      </c>
      <c r="Y130" s="3120">
        <v>125965</v>
      </c>
      <c r="Z130" s="2109" t="s">
        <v>669</v>
      </c>
      <c r="AA130" s="3120"/>
      <c r="AB130" s="2109" t="s">
        <v>669</v>
      </c>
      <c r="AC130" s="3108"/>
      <c r="AD130" s="2109" t="s">
        <v>669</v>
      </c>
      <c r="AE130" s="3120"/>
      <c r="AF130" s="2109" t="s">
        <v>669</v>
      </c>
      <c r="AG130" s="3120">
        <v>662143</v>
      </c>
      <c r="AH130" s="2109"/>
      <c r="AI130" s="3120"/>
    </row>
    <row r="131" spans="1:35" x14ac:dyDescent="0.35">
      <c r="A131" s="3125"/>
      <c r="B131" s="3164" t="s">
        <v>3817</v>
      </c>
      <c r="C131" s="3162"/>
      <c r="D131" s="3049"/>
      <c r="E131" s="3152"/>
      <c r="F131" s="3165"/>
      <c r="G131" s="3154"/>
      <c r="H131" s="2109" t="s">
        <v>669</v>
      </c>
      <c r="I131" s="3120"/>
      <c r="J131" s="2109" t="s">
        <v>669</v>
      </c>
      <c r="K131" s="3120"/>
      <c r="L131" s="2109" t="s">
        <v>669</v>
      </c>
      <c r="M131" s="3120"/>
      <c r="N131" s="2109" t="s">
        <v>669</v>
      </c>
      <c r="O131" s="3120"/>
      <c r="P131" s="2109" t="s">
        <v>669</v>
      </c>
      <c r="Q131" s="3120"/>
      <c r="R131" s="2109" t="s">
        <v>669</v>
      </c>
      <c r="S131" s="3120"/>
      <c r="T131" s="2109" t="s">
        <v>669</v>
      </c>
      <c r="U131" s="3120"/>
      <c r="V131" s="2109" t="s">
        <v>669</v>
      </c>
      <c r="W131" s="3120"/>
      <c r="X131" s="2109" t="s">
        <v>669</v>
      </c>
      <c r="Y131" s="3120"/>
      <c r="Z131" s="2109" t="s">
        <v>669</v>
      </c>
      <c r="AA131" s="3120"/>
      <c r="AB131" s="2109" t="s">
        <v>669</v>
      </c>
      <c r="AC131" s="3108"/>
      <c r="AD131" s="2109" t="s">
        <v>669</v>
      </c>
      <c r="AE131" s="3120"/>
      <c r="AF131" s="2109" t="s">
        <v>669</v>
      </c>
      <c r="AG131" s="3120"/>
      <c r="AH131" s="2109"/>
      <c r="AI131" s="3120"/>
    </row>
    <row r="132" spans="1:35" x14ac:dyDescent="0.35">
      <c r="A132" s="3056"/>
      <c r="B132" s="3164" t="s">
        <v>3818</v>
      </c>
      <c r="C132" s="3162"/>
      <c r="D132" s="3049"/>
      <c r="E132" s="3152"/>
      <c r="F132" s="3165"/>
      <c r="G132" s="3154"/>
      <c r="H132" s="2109" t="s">
        <v>669</v>
      </c>
      <c r="I132" s="3109"/>
      <c r="J132" s="2109" t="s">
        <v>669</v>
      </c>
      <c r="K132" s="3109"/>
      <c r="L132" s="2109" t="s">
        <v>669</v>
      </c>
      <c r="M132" s="3109"/>
      <c r="N132" s="2109" t="s">
        <v>669</v>
      </c>
      <c r="O132" s="3109"/>
      <c r="P132" s="2109" t="s">
        <v>669</v>
      </c>
      <c r="Q132" s="3109"/>
      <c r="R132" s="2109" t="s">
        <v>669</v>
      </c>
      <c r="S132" s="3109"/>
      <c r="T132" s="2109" t="s">
        <v>669</v>
      </c>
      <c r="U132" s="3109"/>
      <c r="V132" s="2109" t="s">
        <v>669</v>
      </c>
      <c r="W132" s="3109"/>
      <c r="X132" s="2109" t="s">
        <v>669</v>
      </c>
      <c r="Y132" s="3109"/>
      <c r="Z132" s="2109" t="s">
        <v>669</v>
      </c>
      <c r="AA132" s="3109"/>
      <c r="AB132" s="2109" t="s">
        <v>669</v>
      </c>
      <c r="AC132" s="3108"/>
      <c r="AD132" s="2109" t="s">
        <v>669</v>
      </c>
      <c r="AE132" s="3109"/>
      <c r="AF132" s="2109" t="s">
        <v>669</v>
      </c>
      <c r="AG132" s="3120"/>
      <c r="AH132" s="2109"/>
      <c r="AI132" s="3120"/>
    </row>
    <row r="133" spans="1:35" x14ac:dyDescent="0.35">
      <c r="A133" s="3125"/>
      <c r="B133" s="3164" t="s">
        <v>3819</v>
      </c>
      <c r="C133" s="3162"/>
      <c r="D133" s="3049"/>
      <c r="E133" s="3152"/>
      <c r="F133" s="3165"/>
      <c r="G133" s="3154"/>
      <c r="H133" s="2109" t="s">
        <v>669</v>
      </c>
      <c r="I133" s="3120">
        <v>420000</v>
      </c>
      <c r="J133" s="2109" t="s">
        <v>669</v>
      </c>
      <c r="K133" s="3120">
        <v>420000</v>
      </c>
      <c r="L133" s="2109" t="s">
        <v>669</v>
      </c>
      <c r="M133" s="3120"/>
      <c r="N133" s="2109" t="s">
        <v>669</v>
      </c>
      <c r="O133" s="3120"/>
      <c r="P133" s="2109" t="s">
        <v>669</v>
      </c>
      <c r="Q133" s="3120"/>
      <c r="R133" s="2109" t="s">
        <v>669</v>
      </c>
      <c r="S133" s="3120"/>
      <c r="T133" s="2109" t="s">
        <v>669</v>
      </c>
      <c r="U133" s="3120"/>
      <c r="V133" s="2109" t="s">
        <v>669</v>
      </c>
      <c r="W133" s="3120"/>
      <c r="X133" s="2109" t="s">
        <v>669</v>
      </c>
      <c r="Y133" s="3120">
        <v>583790</v>
      </c>
      <c r="Z133" s="2038" t="s">
        <v>654</v>
      </c>
      <c r="AA133" s="3120">
        <f>Y133</f>
        <v>583790</v>
      </c>
      <c r="AB133" s="2109" t="s">
        <v>669</v>
      </c>
      <c r="AC133" s="3108"/>
      <c r="AD133" s="2109" t="s">
        <v>669</v>
      </c>
      <c r="AE133" s="3109"/>
      <c r="AF133" s="2109" t="s">
        <v>669</v>
      </c>
      <c r="AG133" s="3120"/>
      <c r="AH133" s="2109"/>
      <c r="AI133" s="3120"/>
    </row>
    <row r="134" spans="1:35" x14ac:dyDescent="0.35">
      <c r="A134" s="3056"/>
      <c r="B134" s="3164" t="s">
        <v>3814</v>
      </c>
      <c r="C134" s="3162"/>
      <c r="D134" s="3049"/>
      <c r="E134" s="3152"/>
      <c r="F134" s="3165"/>
      <c r="G134" s="3154"/>
      <c r="H134" s="2109" t="s">
        <v>669</v>
      </c>
      <c r="I134" s="3109"/>
      <c r="J134" s="2109" t="s">
        <v>669</v>
      </c>
      <c r="K134" s="3109"/>
      <c r="L134" s="2109" t="s">
        <v>669</v>
      </c>
      <c r="M134" s="3109"/>
      <c r="N134" s="2109" t="s">
        <v>669</v>
      </c>
      <c r="O134" s="3109"/>
      <c r="P134" s="2109" t="s">
        <v>669</v>
      </c>
      <c r="Q134" s="3109"/>
      <c r="R134" s="2109" t="s">
        <v>669</v>
      </c>
      <c r="S134" s="3109"/>
      <c r="T134" s="2109" t="s">
        <v>669</v>
      </c>
      <c r="U134" s="3109"/>
      <c r="V134" s="2109" t="s">
        <v>669</v>
      </c>
      <c r="W134" s="3109"/>
      <c r="X134" s="2109" t="s">
        <v>669</v>
      </c>
      <c r="Y134" s="3109"/>
      <c r="Z134" s="2109" t="s">
        <v>669</v>
      </c>
      <c r="AA134" s="3109"/>
      <c r="AB134" s="2109" t="s">
        <v>669</v>
      </c>
      <c r="AC134" s="3108"/>
      <c r="AD134" s="2109" t="s">
        <v>669</v>
      </c>
      <c r="AE134" s="3109"/>
      <c r="AF134" s="2109" t="s">
        <v>669</v>
      </c>
      <c r="AG134" s="3120"/>
      <c r="AH134" s="2109"/>
      <c r="AI134" s="3120"/>
    </row>
    <row r="135" spans="1:35" x14ac:dyDescent="0.35">
      <c r="A135" s="3125"/>
      <c r="B135" s="3164" t="s">
        <v>3820</v>
      </c>
      <c r="C135" s="3162"/>
      <c r="D135" s="3049"/>
      <c r="E135" s="3152"/>
      <c r="F135" s="3165"/>
      <c r="G135" s="3154"/>
      <c r="H135" s="2109" t="s">
        <v>669</v>
      </c>
      <c r="I135" s="3109"/>
      <c r="J135" s="2109" t="s">
        <v>669</v>
      </c>
      <c r="K135" s="3109"/>
      <c r="L135" s="2109" t="s">
        <v>669</v>
      </c>
      <c r="M135" s="3109"/>
      <c r="N135" s="2109" t="s">
        <v>669</v>
      </c>
      <c r="O135" s="3109"/>
      <c r="P135" s="2109" t="s">
        <v>669</v>
      </c>
      <c r="Q135" s="3109"/>
      <c r="R135" s="2109" t="s">
        <v>669</v>
      </c>
      <c r="S135" s="3109"/>
      <c r="T135" s="2109" t="s">
        <v>669</v>
      </c>
      <c r="U135" s="3109"/>
      <c r="V135" s="2109" t="s">
        <v>669</v>
      </c>
      <c r="W135" s="3109"/>
      <c r="X135" s="2109" t="s">
        <v>669</v>
      </c>
      <c r="Y135" s="3109"/>
      <c r="Z135" s="2109" t="s">
        <v>669</v>
      </c>
      <c r="AA135" s="3109"/>
      <c r="AB135" s="2109" t="s">
        <v>669</v>
      </c>
      <c r="AC135" s="3108"/>
      <c r="AD135" s="2109" t="s">
        <v>669</v>
      </c>
      <c r="AE135" s="3109"/>
      <c r="AF135" s="2109" t="s">
        <v>669</v>
      </c>
      <c r="AG135" s="3120"/>
      <c r="AH135" s="2109"/>
      <c r="AI135" s="3120"/>
    </row>
    <row r="136" spans="1:35" x14ac:dyDescent="0.35">
      <c r="A136" s="3056"/>
      <c r="B136" s="3151" t="s">
        <v>3821</v>
      </c>
      <c r="C136" s="3162"/>
      <c r="D136" s="3049"/>
      <c r="E136" s="3152"/>
      <c r="F136" s="3161"/>
      <c r="G136" s="3154"/>
      <c r="H136" s="2038" t="s">
        <v>671</v>
      </c>
      <c r="I136" s="3168"/>
      <c r="J136" s="2038" t="s">
        <v>671</v>
      </c>
      <c r="K136" s="3168"/>
      <c r="L136" s="2109" t="s">
        <v>671</v>
      </c>
      <c r="M136" s="3109"/>
      <c r="N136" s="2109" t="s">
        <v>671</v>
      </c>
      <c r="O136" s="3109"/>
      <c r="P136" s="2109" t="s">
        <v>671</v>
      </c>
      <c r="Q136" s="3109"/>
      <c r="R136" s="2109"/>
      <c r="S136" s="3109"/>
      <c r="T136" s="2109" t="s">
        <v>669</v>
      </c>
      <c r="U136" s="3120">
        <v>19210</v>
      </c>
      <c r="V136" s="2109" t="s">
        <v>669</v>
      </c>
      <c r="W136" s="3120">
        <v>17520</v>
      </c>
      <c r="X136" s="2109"/>
      <c r="Y136" s="3109"/>
      <c r="Z136" s="2109"/>
      <c r="AA136" s="3109"/>
      <c r="AB136" s="2109"/>
      <c r="AC136" s="3108"/>
      <c r="AD136" s="2109"/>
      <c r="AE136" s="3109"/>
      <c r="AF136" s="2109"/>
      <c r="AG136" s="3120"/>
      <c r="AH136" s="2109"/>
      <c r="AI136" s="3120"/>
    </row>
    <row r="137" spans="1:35" x14ac:dyDescent="0.35">
      <c r="A137" s="3125"/>
      <c r="B137" s="3151" t="s">
        <v>3822</v>
      </c>
      <c r="C137" s="3162"/>
      <c r="D137" s="3049"/>
      <c r="E137" s="3152"/>
      <c r="F137" s="3161"/>
      <c r="G137" s="3154"/>
      <c r="H137" s="2038" t="s">
        <v>669</v>
      </c>
      <c r="I137" s="3168"/>
      <c r="J137" s="2038" t="s">
        <v>669</v>
      </c>
      <c r="K137" s="3168"/>
      <c r="L137" s="2109" t="s">
        <v>669</v>
      </c>
      <c r="M137" s="3109"/>
      <c r="N137" s="2109" t="s">
        <v>669</v>
      </c>
      <c r="O137" s="3109"/>
      <c r="P137" s="2109" t="s">
        <v>669</v>
      </c>
      <c r="Q137" s="3109"/>
      <c r="R137" s="2109" t="s">
        <v>671</v>
      </c>
      <c r="S137" s="3109"/>
      <c r="T137" s="2109" t="s">
        <v>669</v>
      </c>
      <c r="U137" s="3120">
        <v>93565</v>
      </c>
      <c r="V137" s="2109" t="s">
        <v>669</v>
      </c>
      <c r="W137" s="3120">
        <v>93565</v>
      </c>
      <c r="X137" s="2109" t="s">
        <v>671</v>
      </c>
      <c r="Y137" s="3109"/>
      <c r="Z137" s="2109"/>
      <c r="AA137" s="3109"/>
      <c r="AB137" s="2109"/>
      <c r="AC137" s="3108"/>
      <c r="AD137" s="2109"/>
      <c r="AE137" s="3109"/>
      <c r="AF137" s="2109"/>
      <c r="AG137" s="3120"/>
      <c r="AH137" s="2109"/>
      <c r="AI137" s="3120"/>
    </row>
    <row r="138" spans="1:35" s="55" customFormat="1" x14ac:dyDescent="0.35">
      <c r="A138" s="3169"/>
      <c r="B138" s="3160" t="s">
        <v>3823</v>
      </c>
      <c r="C138" s="3170"/>
      <c r="D138" s="3049"/>
      <c r="E138" s="3152"/>
      <c r="F138" s="3161"/>
      <c r="G138" s="3154"/>
      <c r="H138" s="2109" t="s">
        <v>669</v>
      </c>
      <c r="I138" s="3168">
        <v>514744</v>
      </c>
      <c r="J138" s="2109" t="s">
        <v>669</v>
      </c>
      <c r="K138" s="3168">
        <v>450798</v>
      </c>
      <c r="L138" s="2109" t="s">
        <v>669</v>
      </c>
      <c r="M138" s="3168">
        <v>642027</v>
      </c>
      <c r="N138" s="2109" t="s">
        <v>669</v>
      </c>
      <c r="O138" s="3168">
        <v>535717</v>
      </c>
      <c r="P138" s="2109" t="s">
        <v>669</v>
      </c>
      <c r="Q138" s="3168">
        <v>504463</v>
      </c>
      <c r="R138" s="2109" t="s">
        <v>669</v>
      </c>
      <c r="S138" s="3168">
        <v>823273</v>
      </c>
      <c r="T138" s="2109" t="s">
        <v>669</v>
      </c>
      <c r="U138" s="3168">
        <v>697925</v>
      </c>
      <c r="V138" s="2109" t="s">
        <v>669</v>
      </c>
      <c r="W138" s="3168">
        <v>630015</v>
      </c>
      <c r="X138" s="2109" t="s">
        <v>669</v>
      </c>
      <c r="Y138" s="3168">
        <v>613920</v>
      </c>
      <c r="Z138" s="2109" t="s">
        <v>669</v>
      </c>
      <c r="AA138" s="3168"/>
      <c r="AB138" s="2109" t="s">
        <v>669</v>
      </c>
      <c r="AC138" s="3171"/>
      <c r="AD138" s="2109" t="s">
        <v>669</v>
      </c>
      <c r="AE138" s="3168"/>
      <c r="AF138" s="2109" t="s">
        <v>669</v>
      </c>
      <c r="AG138" s="3120">
        <v>617915</v>
      </c>
      <c r="AH138" s="2109"/>
      <c r="AI138" s="3120"/>
    </row>
    <row r="139" spans="1:35" s="55" customFormat="1" x14ac:dyDescent="0.35">
      <c r="A139" s="3169"/>
      <c r="B139" s="3164" t="s">
        <v>3824</v>
      </c>
      <c r="C139" s="3172"/>
      <c r="D139" s="3049"/>
      <c r="E139" s="3152"/>
      <c r="F139" s="3161"/>
      <c r="G139" s="3154"/>
      <c r="H139" s="2109" t="s">
        <v>669</v>
      </c>
      <c r="I139" s="3168"/>
      <c r="J139" s="2109" t="s">
        <v>669</v>
      </c>
      <c r="K139" s="3168"/>
      <c r="L139" s="2109" t="s">
        <v>669</v>
      </c>
      <c r="M139" s="3168"/>
      <c r="N139" s="2109" t="s">
        <v>669</v>
      </c>
      <c r="O139" s="3168"/>
      <c r="P139" s="2109" t="s">
        <v>669</v>
      </c>
      <c r="Q139" s="3168"/>
      <c r="R139" s="2109" t="s">
        <v>669</v>
      </c>
      <c r="S139" s="3168"/>
      <c r="T139" s="2109" t="s">
        <v>669</v>
      </c>
      <c r="U139" s="3168"/>
      <c r="V139" s="2109" t="s">
        <v>669</v>
      </c>
      <c r="W139" s="3168"/>
      <c r="X139" s="2109"/>
      <c r="Y139" s="3168"/>
      <c r="Z139" s="2109" t="s">
        <v>669</v>
      </c>
      <c r="AA139" s="3168"/>
      <c r="AB139" s="2109" t="s">
        <v>669</v>
      </c>
      <c r="AC139" s="3171"/>
      <c r="AD139" s="2109" t="s">
        <v>669</v>
      </c>
      <c r="AE139" s="3168"/>
      <c r="AF139" s="2109" t="s">
        <v>669</v>
      </c>
      <c r="AG139" s="3120"/>
      <c r="AH139" s="2109"/>
      <c r="AI139" s="3120"/>
    </row>
    <row r="140" spans="1:35" x14ac:dyDescent="0.35">
      <c r="A140" s="3125"/>
      <c r="B140" s="3164" t="s">
        <v>3825</v>
      </c>
      <c r="C140" s="3162"/>
      <c r="D140" s="3049"/>
      <c r="E140" s="3152"/>
      <c r="F140" s="3165"/>
      <c r="G140" s="3154"/>
      <c r="H140" s="2109" t="s">
        <v>669</v>
      </c>
      <c r="I140" s="3120"/>
      <c r="J140" s="2109" t="s">
        <v>669</v>
      </c>
      <c r="K140" s="3120"/>
      <c r="L140" s="2109" t="s">
        <v>669</v>
      </c>
      <c r="M140" s="3120"/>
      <c r="N140" s="2109" t="s">
        <v>669</v>
      </c>
      <c r="O140" s="3120"/>
      <c r="P140" s="2109" t="s">
        <v>669</v>
      </c>
      <c r="Q140" s="3120"/>
      <c r="R140" s="2109" t="s">
        <v>669</v>
      </c>
      <c r="S140" s="3120"/>
      <c r="T140" s="2109" t="s">
        <v>669</v>
      </c>
      <c r="U140" s="3120"/>
      <c r="V140" s="2109" t="s">
        <v>669</v>
      </c>
      <c r="W140" s="3120"/>
      <c r="X140" s="2109"/>
      <c r="Y140" s="3120"/>
      <c r="Z140" s="2109" t="s">
        <v>669</v>
      </c>
      <c r="AA140" s="3120"/>
      <c r="AB140" s="2109" t="s">
        <v>669</v>
      </c>
      <c r="AC140" s="3120"/>
      <c r="AD140" s="2109" t="s">
        <v>669</v>
      </c>
      <c r="AE140" s="3120"/>
      <c r="AF140" s="2109" t="s">
        <v>669</v>
      </c>
      <c r="AG140" s="3120"/>
      <c r="AH140" s="2109"/>
      <c r="AI140" s="3120"/>
    </row>
    <row r="141" spans="1:35" x14ac:dyDescent="0.35">
      <c r="A141" s="3125"/>
      <c r="B141" s="3164" t="s">
        <v>3826</v>
      </c>
      <c r="C141" s="3162"/>
      <c r="D141" s="3049"/>
      <c r="E141" s="3152"/>
      <c r="F141" s="3165"/>
      <c r="G141" s="3154"/>
      <c r="H141" s="2109" t="s">
        <v>669</v>
      </c>
      <c r="I141" s="3120"/>
      <c r="J141" s="2109" t="s">
        <v>669</v>
      </c>
      <c r="K141" s="3120"/>
      <c r="L141" s="2109" t="s">
        <v>669</v>
      </c>
      <c r="M141" s="3120"/>
      <c r="N141" s="2109" t="s">
        <v>669</v>
      </c>
      <c r="O141" s="3120"/>
      <c r="P141" s="2109" t="s">
        <v>669</v>
      </c>
      <c r="Q141" s="3120"/>
      <c r="R141" s="2109" t="s">
        <v>669</v>
      </c>
      <c r="S141" s="3120"/>
      <c r="T141" s="2109" t="s">
        <v>669</v>
      </c>
      <c r="U141" s="3120"/>
      <c r="V141" s="2109" t="s">
        <v>669</v>
      </c>
      <c r="W141" s="3120"/>
      <c r="X141" s="2109"/>
      <c r="Y141" s="3120"/>
      <c r="Z141" s="2109" t="s">
        <v>669</v>
      </c>
      <c r="AA141" s="3120"/>
      <c r="AB141" s="2109" t="s">
        <v>669</v>
      </c>
      <c r="AC141" s="3120"/>
      <c r="AD141" s="2109" t="s">
        <v>669</v>
      </c>
      <c r="AE141" s="3120"/>
      <c r="AF141" s="2109" t="s">
        <v>669</v>
      </c>
      <c r="AG141" s="3120"/>
      <c r="AH141" s="2109"/>
      <c r="AI141" s="3120"/>
    </row>
    <row r="142" spans="1:35" x14ac:dyDescent="0.35">
      <c r="A142" s="3125"/>
      <c r="B142" s="3164" t="s">
        <v>3827</v>
      </c>
      <c r="C142" s="3162"/>
      <c r="D142" s="3049"/>
      <c r="E142" s="3152"/>
      <c r="F142" s="3165"/>
      <c r="G142" s="3154"/>
      <c r="H142" s="2109" t="s">
        <v>669</v>
      </c>
      <c r="I142" s="3120"/>
      <c r="J142" s="2109" t="s">
        <v>669</v>
      </c>
      <c r="K142" s="3120"/>
      <c r="L142" s="2109" t="s">
        <v>669</v>
      </c>
      <c r="M142" s="3120"/>
      <c r="N142" s="2109" t="s">
        <v>669</v>
      </c>
      <c r="O142" s="3120"/>
      <c r="P142" s="2109" t="s">
        <v>669</v>
      </c>
      <c r="Q142" s="3120"/>
      <c r="R142" s="2109" t="s">
        <v>669</v>
      </c>
      <c r="S142" s="3120"/>
      <c r="T142" s="2109" t="s">
        <v>669</v>
      </c>
      <c r="U142" s="3120"/>
      <c r="V142" s="2109" t="s">
        <v>669</v>
      </c>
      <c r="W142" s="3120"/>
      <c r="X142" s="2109"/>
      <c r="Y142" s="3120"/>
      <c r="Z142" s="2109" t="s">
        <v>669</v>
      </c>
      <c r="AA142" s="3120"/>
      <c r="AB142" s="2109" t="s">
        <v>669</v>
      </c>
      <c r="AC142" s="3120"/>
      <c r="AD142" s="2109" t="s">
        <v>669</v>
      </c>
      <c r="AE142" s="3120"/>
      <c r="AF142" s="2109" t="s">
        <v>669</v>
      </c>
      <c r="AG142" s="3120"/>
      <c r="AH142" s="2109"/>
      <c r="AI142" s="3120"/>
    </row>
    <row r="143" spans="1:35" x14ac:dyDescent="0.35">
      <c r="A143" s="3125"/>
      <c r="B143" s="3164" t="s">
        <v>3828</v>
      </c>
      <c r="C143" s="3162"/>
      <c r="D143" s="3049"/>
      <c r="E143" s="3152"/>
      <c r="F143" s="3165"/>
      <c r="G143" s="3154"/>
      <c r="H143" s="2109" t="s">
        <v>669</v>
      </c>
      <c r="I143" s="3120"/>
      <c r="J143" s="2109" t="s">
        <v>669</v>
      </c>
      <c r="K143" s="3120"/>
      <c r="L143" s="2109" t="s">
        <v>669</v>
      </c>
      <c r="M143" s="3120"/>
      <c r="N143" s="2109" t="s">
        <v>669</v>
      </c>
      <c r="O143" s="3120"/>
      <c r="P143" s="2109" t="s">
        <v>669</v>
      </c>
      <c r="Q143" s="3120"/>
      <c r="R143" s="2109" t="s">
        <v>669</v>
      </c>
      <c r="S143" s="3120"/>
      <c r="T143" s="2109" t="s">
        <v>669</v>
      </c>
      <c r="U143" s="3120"/>
      <c r="V143" s="2109" t="s">
        <v>669</v>
      </c>
      <c r="W143" s="3120"/>
      <c r="X143" s="2109"/>
      <c r="Y143" s="3120"/>
      <c r="Z143" s="2109" t="s">
        <v>669</v>
      </c>
      <c r="AA143" s="3120"/>
      <c r="AB143" s="2109" t="s">
        <v>669</v>
      </c>
      <c r="AC143" s="3120"/>
      <c r="AD143" s="2109" t="s">
        <v>669</v>
      </c>
      <c r="AE143" s="3120"/>
      <c r="AF143" s="2109" t="s">
        <v>669</v>
      </c>
      <c r="AG143" s="3120"/>
      <c r="AH143" s="2109"/>
      <c r="AI143" s="3120"/>
    </row>
    <row r="144" spans="1:35" x14ac:dyDescent="0.35">
      <c r="A144" s="3125"/>
      <c r="B144" s="3164" t="s">
        <v>3829</v>
      </c>
      <c r="C144" s="3162"/>
      <c r="D144" s="3049"/>
      <c r="E144" s="3152"/>
      <c r="F144" s="3165"/>
      <c r="G144" s="3154"/>
      <c r="H144" s="2109" t="s">
        <v>669</v>
      </c>
      <c r="I144" s="3120"/>
      <c r="J144" s="2109" t="s">
        <v>669</v>
      </c>
      <c r="K144" s="3120"/>
      <c r="L144" s="2109" t="s">
        <v>669</v>
      </c>
      <c r="M144" s="3120"/>
      <c r="N144" s="2109" t="s">
        <v>669</v>
      </c>
      <c r="O144" s="3120"/>
      <c r="P144" s="2109" t="s">
        <v>669</v>
      </c>
      <c r="Q144" s="3120"/>
      <c r="R144" s="2109" t="s">
        <v>669</v>
      </c>
      <c r="S144" s="3120"/>
      <c r="T144" s="2109" t="s">
        <v>669</v>
      </c>
      <c r="U144" s="3120"/>
      <c r="V144" s="2109" t="s">
        <v>669</v>
      </c>
      <c r="W144" s="3120"/>
      <c r="X144" s="2109"/>
      <c r="Y144" s="3120"/>
      <c r="Z144" s="2109" t="s">
        <v>669</v>
      </c>
      <c r="AA144" s="3120"/>
      <c r="AB144" s="2109" t="s">
        <v>669</v>
      </c>
      <c r="AC144" s="3120"/>
      <c r="AD144" s="2109" t="s">
        <v>669</v>
      </c>
      <c r="AE144" s="3120"/>
      <c r="AF144" s="2109" t="s">
        <v>669</v>
      </c>
      <c r="AG144" s="3120"/>
      <c r="AH144" s="2109"/>
      <c r="AI144" s="3120"/>
    </row>
    <row r="145" spans="1:35" s="55" customFormat="1" x14ac:dyDescent="0.35">
      <c r="A145" s="3169"/>
      <c r="B145" s="3164" t="s">
        <v>3830</v>
      </c>
      <c r="C145" s="3170"/>
      <c r="D145" s="3049"/>
      <c r="E145" s="3152"/>
      <c r="F145" s="3165"/>
      <c r="G145" s="3154"/>
      <c r="H145" s="2109" t="s">
        <v>669</v>
      </c>
      <c r="I145" s="3168"/>
      <c r="J145" s="2109" t="s">
        <v>669</v>
      </c>
      <c r="K145" s="3168"/>
      <c r="L145" s="2109" t="s">
        <v>669</v>
      </c>
      <c r="M145" s="3168"/>
      <c r="N145" s="2109" t="s">
        <v>669</v>
      </c>
      <c r="O145" s="3168"/>
      <c r="P145" s="2109" t="s">
        <v>669</v>
      </c>
      <c r="Q145" s="3168"/>
      <c r="R145" s="2109" t="s">
        <v>669</v>
      </c>
      <c r="S145" s="3168"/>
      <c r="T145" s="2109" t="s">
        <v>669</v>
      </c>
      <c r="U145" s="3168"/>
      <c r="V145" s="2109" t="s">
        <v>669</v>
      </c>
      <c r="W145" s="3168"/>
      <c r="X145" s="2109" t="s">
        <v>669</v>
      </c>
      <c r="Y145" s="3168"/>
      <c r="Z145" s="2109" t="s">
        <v>669</v>
      </c>
      <c r="AA145" s="3168"/>
      <c r="AB145" s="2109" t="s">
        <v>669</v>
      </c>
      <c r="AC145" s="3171"/>
      <c r="AD145" s="2109" t="s">
        <v>669</v>
      </c>
      <c r="AE145" s="3168"/>
      <c r="AF145" s="2109" t="s">
        <v>669</v>
      </c>
      <c r="AG145" s="3120"/>
      <c r="AH145" s="2109"/>
      <c r="AI145" s="3120"/>
    </row>
    <row r="146" spans="1:35" s="55" customFormat="1" x14ac:dyDescent="0.35">
      <c r="A146" s="3169"/>
      <c r="B146" s="3164" t="s">
        <v>3831</v>
      </c>
      <c r="C146" s="3170"/>
      <c r="D146" s="3049"/>
      <c r="E146" s="3152"/>
      <c r="F146" s="3165"/>
      <c r="G146" s="3154"/>
      <c r="H146" s="2109" t="s">
        <v>669</v>
      </c>
      <c r="I146" s="3120"/>
      <c r="J146" s="2109" t="s">
        <v>669</v>
      </c>
      <c r="K146" s="3120"/>
      <c r="L146" s="2109" t="s">
        <v>669</v>
      </c>
      <c r="M146" s="3120"/>
      <c r="N146" s="2109" t="s">
        <v>669</v>
      </c>
      <c r="O146" s="3120"/>
      <c r="P146" s="2109" t="s">
        <v>669</v>
      </c>
      <c r="Q146" s="3120"/>
      <c r="R146" s="2109" t="s">
        <v>669</v>
      </c>
      <c r="S146" s="3120"/>
      <c r="T146" s="2109" t="s">
        <v>669</v>
      </c>
      <c r="U146" s="3120"/>
      <c r="V146" s="2109" t="s">
        <v>669</v>
      </c>
      <c r="W146" s="3120"/>
      <c r="X146" s="2109" t="s">
        <v>669</v>
      </c>
      <c r="Y146" s="3120"/>
      <c r="Z146" s="2109" t="s">
        <v>669</v>
      </c>
      <c r="AA146" s="3120"/>
      <c r="AB146" s="2109" t="s">
        <v>669</v>
      </c>
      <c r="AC146" s="3109"/>
      <c r="AD146" s="2109" t="s">
        <v>669</v>
      </c>
      <c r="AE146" s="3120"/>
      <c r="AF146" s="2109" t="s">
        <v>669</v>
      </c>
      <c r="AG146" s="3120"/>
      <c r="AH146" s="2109"/>
      <c r="AI146" s="3120"/>
    </row>
    <row r="147" spans="1:35" s="55" customFormat="1" x14ac:dyDescent="0.35">
      <c r="A147" s="3169"/>
      <c r="B147" s="3164" t="s">
        <v>3832</v>
      </c>
      <c r="C147" s="3170"/>
      <c r="D147" s="3049"/>
      <c r="E147" s="3152"/>
      <c r="F147" s="3165"/>
      <c r="G147" s="3154"/>
      <c r="H147" s="2109" t="s">
        <v>669</v>
      </c>
      <c r="I147" s="3120"/>
      <c r="J147" s="2109" t="s">
        <v>669</v>
      </c>
      <c r="K147" s="3120"/>
      <c r="L147" s="2109" t="s">
        <v>669</v>
      </c>
      <c r="M147" s="3120"/>
      <c r="N147" s="2109" t="s">
        <v>669</v>
      </c>
      <c r="O147" s="3120"/>
      <c r="P147" s="2109" t="s">
        <v>669</v>
      </c>
      <c r="Q147" s="3120"/>
      <c r="R147" s="2109" t="s">
        <v>669</v>
      </c>
      <c r="S147" s="3120"/>
      <c r="T147" s="2109" t="s">
        <v>669</v>
      </c>
      <c r="U147" s="3120"/>
      <c r="V147" s="2109" t="s">
        <v>669</v>
      </c>
      <c r="W147" s="3120"/>
      <c r="X147" s="2109" t="s">
        <v>669</v>
      </c>
      <c r="Y147" s="3120"/>
      <c r="Z147" s="2109" t="s">
        <v>669</v>
      </c>
      <c r="AA147" s="3120"/>
      <c r="AB147" s="2109" t="s">
        <v>669</v>
      </c>
      <c r="AC147" s="3109"/>
      <c r="AD147" s="2109" t="s">
        <v>669</v>
      </c>
      <c r="AE147" s="3120"/>
      <c r="AF147" s="2109" t="s">
        <v>669</v>
      </c>
      <c r="AG147" s="3120"/>
      <c r="AH147" s="2109"/>
      <c r="AI147" s="3120"/>
    </row>
    <row r="148" spans="1:35" s="55" customFormat="1" x14ac:dyDescent="0.35">
      <c r="A148" s="3169"/>
      <c r="B148" s="3151"/>
      <c r="C148" s="3170"/>
      <c r="D148" s="3049"/>
      <c r="E148" s="3152"/>
      <c r="F148" s="3161"/>
      <c r="G148" s="3154"/>
      <c r="H148" s="2109"/>
      <c r="I148" s="3120"/>
      <c r="J148" s="2109"/>
      <c r="K148" s="3120"/>
      <c r="L148" s="2109"/>
      <c r="M148" s="3120"/>
      <c r="N148" s="2109"/>
      <c r="O148" s="3120"/>
      <c r="P148" s="2109"/>
      <c r="Q148" s="3120"/>
      <c r="R148" s="2109"/>
      <c r="S148" s="3120"/>
      <c r="T148" s="2109"/>
      <c r="U148" s="3120"/>
      <c r="V148" s="2109"/>
      <c r="W148" s="3120"/>
      <c r="X148" s="2109"/>
      <c r="Y148" s="3120"/>
      <c r="Z148" s="2109"/>
      <c r="AA148" s="3120"/>
      <c r="AB148" s="2109"/>
      <c r="AC148" s="3109"/>
      <c r="AD148" s="2109"/>
      <c r="AE148" s="3120"/>
      <c r="AF148" s="2109"/>
      <c r="AG148" s="3120"/>
      <c r="AH148" s="2109"/>
      <c r="AI148" s="3120"/>
    </row>
    <row r="149" spans="1:35" s="55" customFormat="1" x14ac:dyDescent="0.35">
      <c r="A149" s="3169"/>
      <c r="B149" s="3160" t="s">
        <v>3833</v>
      </c>
      <c r="C149" s="3170"/>
      <c r="D149" s="3049"/>
      <c r="E149" s="3152"/>
      <c r="F149" s="3161"/>
      <c r="G149" s="3154"/>
      <c r="H149" s="2109" t="s">
        <v>669</v>
      </c>
      <c r="I149" s="3120">
        <v>714838</v>
      </c>
      <c r="J149" s="2109" t="s">
        <v>669</v>
      </c>
      <c r="K149" s="3120">
        <v>714838</v>
      </c>
      <c r="L149" s="2109" t="s">
        <v>669</v>
      </c>
      <c r="M149" s="3120">
        <v>875245</v>
      </c>
      <c r="N149" s="2109" t="s">
        <v>669</v>
      </c>
      <c r="O149" s="3120">
        <v>875809</v>
      </c>
      <c r="P149" s="2109" t="s">
        <v>669</v>
      </c>
      <c r="Q149" s="3120">
        <v>828228</v>
      </c>
      <c r="R149" s="2109" t="s">
        <v>669</v>
      </c>
      <c r="S149" s="3120">
        <v>812925</v>
      </c>
      <c r="T149" s="2109" t="s">
        <v>669</v>
      </c>
      <c r="U149" s="3120">
        <v>939365</v>
      </c>
      <c r="V149" s="2109" t="s">
        <v>669</v>
      </c>
      <c r="W149" s="3120">
        <v>865010</v>
      </c>
      <c r="X149" s="2109" t="s">
        <v>669</v>
      </c>
      <c r="Y149" s="3120">
        <v>682290</v>
      </c>
      <c r="Z149" s="2109" t="s">
        <v>669</v>
      </c>
      <c r="AA149" s="3120"/>
      <c r="AB149" s="2109" t="s">
        <v>669</v>
      </c>
      <c r="AC149" s="3109"/>
      <c r="AD149" s="2109" t="s">
        <v>669</v>
      </c>
      <c r="AE149" s="3120"/>
      <c r="AF149" s="2109" t="s">
        <v>669</v>
      </c>
      <c r="AG149" s="3120">
        <v>705900</v>
      </c>
      <c r="AH149" s="2109"/>
      <c r="AI149" s="3120"/>
    </row>
    <row r="150" spans="1:35" s="55" customFormat="1" x14ac:dyDescent="0.35">
      <c r="A150" s="3169"/>
      <c r="B150" s="3164" t="s">
        <v>3834</v>
      </c>
      <c r="C150" s="3170"/>
      <c r="D150" s="3049"/>
      <c r="E150" s="3152"/>
      <c r="F150" s="3165"/>
      <c r="G150" s="3154"/>
      <c r="H150" s="2109" t="s">
        <v>669</v>
      </c>
      <c r="I150" s="3168"/>
      <c r="J150" s="2109" t="s">
        <v>669</v>
      </c>
      <c r="K150" s="3168"/>
      <c r="L150" s="2109" t="s">
        <v>669</v>
      </c>
      <c r="M150" s="3168"/>
      <c r="N150" s="2109" t="s">
        <v>669</v>
      </c>
      <c r="O150" s="3168"/>
      <c r="P150" s="2109" t="s">
        <v>669</v>
      </c>
      <c r="Q150" s="3168"/>
      <c r="R150" s="2109" t="s">
        <v>669</v>
      </c>
      <c r="S150" s="3168"/>
      <c r="T150" s="2109" t="s">
        <v>669</v>
      </c>
      <c r="U150" s="3168"/>
      <c r="V150" s="2109" t="s">
        <v>669</v>
      </c>
      <c r="W150" s="3168"/>
      <c r="X150" s="2109" t="s">
        <v>669</v>
      </c>
      <c r="Y150" s="3168"/>
      <c r="Z150" s="2109" t="s">
        <v>669</v>
      </c>
      <c r="AA150" s="3168"/>
      <c r="AB150" s="2109" t="s">
        <v>669</v>
      </c>
      <c r="AC150" s="3171"/>
      <c r="AD150" s="2109" t="s">
        <v>669</v>
      </c>
      <c r="AE150" s="3168"/>
      <c r="AF150" s="2109" t="s">
        <v>669</v>
      </c>
      <c r="AG150" s="3120"/>
      <c r="AH150" s="2109"/>
      <c r="AI150" s="3120"/>
    </row>
    <row r="151" spans="1:35" s="55" customFormat="1" x14ac:dyDescent="0.35">
      <c r="A151" s="3169"/>
      <c r="B151" s="3164" t="s">
        <v>3835</v>
      </c>
      <c r="C151" s="3170"/>
      <c r="D151" s="3049"/>
      <c r="E151" s="3152"/>
      <c r="F151" s="3165"/>
      <c r="G151" s="3154"/>
      <c r="H151" s="2109" t="s">
        <v>669</v>
      </c>
      <c r="I151" s="3168"/>
      <c r="J151" s="2109" t="s">
        <v>669</v>
      </c>
      <c r="K151" s="3168"/>
      <c r="L151" s="2109" t="s">
        <v>669</v>
      </c>
      <c r="M151" s="3168"/>
      <c r="N151" s="2109" t="s">
        <v>669</v>
      </c>
      <c r="O151" s="3168"/>
      <c r="P151" s="2109" t="s">
        <v>669</v>
      </c>
      <c r="Q151" s="3168"/>
      <c r="R151" s="2109" t="s">
        <v>669</v>
      </c>
      <c r="S151" s="3168"/>
      <c r="T151" s="2109" t="s">
        <v>669</v>
      </c>
      <c r="U151" s="3168"/>
      <c r="V151" s="2109" t="s">
        <v>669</v>
      </c>
      <c r="W151" s="3168"/>
      <c r="X151" s="2109" t="s">
        <v>669</v>
      </c>
      <c r="Y151" s="3168"/>
      <c r="Z151" s="2109" t="s">
        <v>669</v>
      </c>
      <c r="AA151" s="3168"/>
      <c r="AB151" s="2109" t="s">
        <v>669</v>
      </c>
      <c r="AC151" s="3171"/>
      <c r="AD151" s="2109" t="s">
        <v>669</v>
      </c>
      <c r="AE151" s="3168"/>
      <c r="AF151" s="2109" t="s">
        <v>669</v>
      </c>
      <c r="AG151" s="3120"/>
      <c r="AH151" s="2109"/>
      <c r="AI151" s="3120"/>
    </row>
    <row r="152" spans="1:35" s="55" customFormat="1" x14ac:dyDescent="0.35">
      <c r="A152" s="3169"/>
      <c r="B152" s="3164" t="s">
        <v>3836</v>
      </c>
      <c r="C152" s="3170"/>
      <c r="D152" s="3049">
        <v>18</v>
      </c>
      <c r="E152" s="3152"/>
      <c r="F152" s="3165"/>
      <c r="G152" s="3154"/>
      <c r="H152" s="2109" t="s">
        <v>669</v>
      </c>
      <c r="I152" s="3168"/>
      <c r="J152" s="2109" t="s">
        <v>669</v>
      </c>
      <c r="K152" s="3168"/>
      <c r="L152" s="2109" t="s">
        <v>669</v>
      </c>
      <c r="M152" s="3168"/>
      <c r="N152" s="2109" t="s">
        <v>669</v>
      </c>
      <c r="O152" s="3168"/>
      <c r="P152" s="2109" t="s">
        <v>669</v>
      </c>
      <c r="Q152" s="3168"/>
      <c r="R152" s="2109" t="s">
        <v>669</v>
      </c>
      <c r="S152" s="3168"/>
      <c r="T152" s="2109" t="s">
        <v>669</v>
      </c>
      <c r="U152" s="3168"/>
      <c r="V152" s="2109" t="s">
        <v>669</v>
      </c>
      <c r="W152" s="3168"/>
      <c r="X152" s="2109" t="s">
        <v>669</v>
      </c>
      <c r="Y152" s="3168"/>
      <c r="Z152" s="2109" t="s">
        <v>669</v>
      </c>
      <c r="AA152" s="3168"/>
      <c r="AB152" s="2109" t="s">
        <v>669</v>
      </c>
      <c r="AC152" s="3171"/>
      <c r="AD152" s="2109" t="s">
        <v>669</v>
      </c>
      <c r="AE152" s="3168"/>
      <c r="AF152" s="2109" t="s">
        <v>669</v>
      </c>
      <c r="AG152" s="3120"/>
      <c r="AH152" s="2109"/>
      <c r="AI152" s="3120"/>
    </row>
    <row r="153" spans="1:35" s="55" customFormat="1" x14ac:dyDescent="0.35">
      <c r="A153" s="3169"/>
      <c r="B153" s="3164" t="s">
        <v>3837</v>
      </c>
      <c r="C153" s="3170"/>
      <c r="D153" s="3049"/>
      <c r="E153" s="3152"/>
      <c r="F153" s="3165"/>
      <c r="G153" s="3154"/>
      <c r="H153" s="2109" t="s">
        <v>669</v>
      </c>
      <c r="I153" s="3168"/>
      <c r="J153" s="2109" t="s">
        <v>669</v>
      </c>
      <c r="K153" s="3168"/>
      <c r="L153" s="2109" t="s">
        <v>669</v>
      </c>
      <c r="M153" s="3168"/>
      <c r="N153" s="2109" t="s">
        <v>669</v>
      </c>
      <c r="O153" s="3168"/>
      <c r="P153" s="2109" t="s">
        <v>669</v>
      </c>
      <c r="Q153" s="3168"/>
      <c r="R153" s="2109" t="s">
        <v>669</v>
      </c>
      <c r="S153" s="3168"/>
      <c r="T153" s="2109" t="s">
        <v>669</v>
      </c>
      <c r="U153" s="3168"/>
      <c r="V153" s="2109" t="s">
        <v>669</v>
      </c>
      <c r="W153" s="3168"/>
      <c r="X153" s="2109" t="s">
        <v>669</v>
      </c>
      <c r="Y153" s="3168"/>
      <c r="Z153" s="2109" t="s">
        <v>669</v>
      </c>
      <c r="AA153" s="3168"/>
      <c r="AB153" s="2109" t="s">
        <v>669</v>
      </c>
      <c r="AC153" s="3171"/>
      <c r="AD153" s="2109" t="s">
        <v>669</v>
      </c>
      <c r="AE153" s="3168"/>
      <c r="AF153" s="2109" t="s">
        <v>669</v>
      </c>
      <c r="AG153" s="3120"/>
      <c r="AH153" s="2109"/>
      <c r="AI153" s="3120"/>
    </row>
    <row r="154" spans="1:35" s="55" customFormat="1" x14ac:dyDescent="0.35">
      <c r="A154" s="3169"/>
      <c r="B154" s="3164" t="s">
        <v>3838</v>
      </c>
      <c r="C154" s="3170"/>
      <c r="D154" s="3049"/>
      <c r="E154" s="3152"/>
      <c r="F154" s="3165"/>
      <c r="G154" s="3154"/>
      <c r="H154" s="2109" t="s">
        <v>669</v>
      </c>
      <c r="I154" s="3168"/>
      <c r="J154" s="2109" t="s">
        <v>669</v>
      </c>
      <c r="K154" s="3168"/>
      <c r="L154" s="2109" t="s">
        <v>669</v>
      </c>
      <c r="M154" s="3168"/>
      <c r="N154" s="2109" t="s">
        <v>669</v>
      </c>
      <c r="O154" s="3168"/>
      <c r="P154" s="2109" t="s">
        <v>669</v>
      </c>
      <c r="Q154" s="3168"/>
      <c r="R154" s="2109" t="s">
        <v>669</v>
      </c>
      <c r="S154" s="3168"/>
      <c r="T154" s="2109" t="s">
        <v>669</v>
      </c>
      <c r="U154" s="3168"/>
      <c r="V154" s="2109" t="s">
        <v>669</v>
      </c>
      <c r="W154" s="3168"/>
      <c r="X154" s="2109" t="s">
        <v>669</v>
      </c>
      <c r="Y154" s="3168"/>
      <c r="Z154" s="2109" t="s">
        <v>669</v>
      </c>
      <c r="AA154" s="3168"/>
      <c r="AB154" s="2109" t="s">
        <v>669</v>
      </c>
      <c r="AC154" s="3171"/>
      <c r="AD154" s="2109" t="s">
        <v>669</v>
      </c>
      <c r="AE154" s="3168"/>
      <c r="AF154" s="2109" t="s">
        <v>669</v>
      </c>
      <c r="AG154" s="3120"/>
      <c r="AH154" s="2109"/>
      <c r="AI154" s="3120"/>
    </row>
    <row r="155" spans="1:35" s="55" customFormat="1" x14ac:dyDescent="0.35">
      <c r="A155" s="3169"/>
      <c r="B155" s="3164" t="s">
        <v>3839</v>
      </c>
      <c r="C155" s="3170"/>
      <c r="D155" s="3049">
        <v>7</v>
      </c>
      <c r="E155" s="3152"/>
      <c r="F155" s="3165"/>
      <c r="G155" s="3154"/>
      <c r="H155" s="2109" t="s">
        <v>669</v>
      </c>
      <c r="I155" s="3120"/>
      <c r="J155" s="2109" t="s">
        <v>669</v>
      </c>
      <c r="K155" s="3120"/>
      <c r="L155" s="2109" t="s">
        <v>669</v>
      </c>
      <c r="M155" s="3120"/>
      <c r="N155" s="2109" t="s">
        <v>669</v>
      </c>
      <c r="O155" s="3120"/>
      <c r="P155" s="2109" t="s">
        <v>669</v>
      </c>
      <c r="Q155" s="3120"/>
      <c r="R155" s="2109" t="s">
        <v>669</v>
      </c>
      <c r="S155" s="3120"/>
      <c r="T155" s="2109" t="s">
        <v>669</v>
      </c>
      <c r="U155" s="3120"/>
      <c r="V155" s="2109" t="s">
        <v>669</v>
      </c>
      <c r="W155" s="3120"/>
      <c r="X155" s="2109" t="s">
        <v>669</v>
      </c>
      <c r="Y155" s="3120"/>
      <c r="Z155" s="2109" t="s">
        <v>669</v>
      </c>
      <c r="AA155" s="3120"/>
      <c r="AB155" s="2109" t="s">
        <v>669</v>
      </c>
      <c r="AC155" s="3120"/>
      <c r="AD155" s="2109" t="s">
        <v>669</v>
      </c>
      <c r="AE155" s="3120"/>
      <c r="AF155" s="2109" t="s">
        <v>669</v>
      </c>
      <c r="AG155" s="3120"/>
      <c r="AH155" s="2109"/>
      <c r="AI155" s="3120"/>
    </row>
    <row r="156" spans="1:35" s="55" customFormat="1" x14ac:dyDescent="0.35">
      <c r="A156" s="3173"/>
      <c r="B156" s="3164" t="s">
        <v>3840</v>
      </c>
      <c r="C156" s="3170"/>
      <c r="D156" s="3049">
        <v>1</v>
      </c>
      <c r="E156" s="3152"/>
      <c r="F156" s="3165"/>
      <c r="G156" s="3154"/>
      <c r="H156" s="2109" t="s">
        <v>669</v>
      </c>
      <c r="I156" s="3168"/>
      <c r="J156" s="2109" t="s">
        <v>669</v>
      </c>
      <c r="K156" s="3168"/>
      <c r="L156" s="2109" t="s">
        <v>669</v>
      </c>
      <c r="M156" s="3168"/>
      <c r="N156" s="2109" t="s">
        <v>669</v>
      </c>
      <c r="O156" s="3168"/>
      <c r="P156" s="2109" t="s">
        <v>669</v>
      </c>
      <c r="Q156" s="3168"/>
      <c r="R156" s="2109" t="s">
        <v>669</v>
      </c>
      <c r="S156" s="3168"/>
      <c r="T156" s="2109" t="s">
        <v>669</v>
      </c>
      <c r="U156" s="3168"/>
      <c r="V156" s="2109" t="s">
        <v>669</v>
      </c>
      <c r="W156" s="3168"/>
      <c r="X156" s="2109" t="s">
        <v>669</v>
      </c>
      <c r="Y156" s="3168"/>
      <c r="Z156" s="2109" t="s">
        <v>669</v>
      </c>
      <c r="AA156" s="3168"/>
      <c r="AB156" s="2109" t="s">
        <v>669</v>
      </c>
      <c r="AC156" s="3168"/>
      <c r="AD156" s="2109" t="s">
        <v>669</v>
      </c>
      <c r="AE156" s="3168"/>
      <c r="AF156" s="2109" t="s">
        <v>669</v>
      </c>
      <c r="AG156" s="3120"/>
      <c r="AH156" s="2109"/>
      <c r="AI156" s="3171"/>
    </row>
    <row r="157" spans="1:35" s="55" customFormat="1" x14ac:dyDescent="0.35">
      <c r="A157" s="3169"/>
      <c r="B157" s="3164" t="s">
        <v>3818</v>
      </c>
      <c r="C157" s="3170"/>
      <c r="D157" s="3049"/>
      <c r="E157" s="3152"/>
      <c r="F157" s="3165"/>
      <c r="G157" s="3154"/>
      <c r="H157" s="2109" t="s">
        <v>669</v>
      </c>
      <c r="I157" s="3120"/>
      <c r="J157" s="2109" t="s">
        <v>669</v>
      </c>
      <c r="K157" s="3120"/>
      <c r="L157" s="2109" t="s">
        <v>669</v>
      </c>
      <c r="M157" s="3120"/>
      <c r="N157" s="2109" t="s">
        <v>669</v>
      </c>
      <c r="O157" s="3120"/>
      <c r="P157" s="2109" t="s">
        <v>669</v>
      </c>
      <c r="Q157" s="3120"/>
      <c r="R157" s="2109" t="s">
        <v>669</v>
      </c>
      <c r="S157" s="3120"/>
      <c r="T157" s="2109" t="s">
        <v>669</v>
      </c>
      <c r="U157" s="3120"/>
      <c r="V157" s="2109" t="s">
        <v>669</v>
      </c>
      <c r="W157" s="3120"/>
      <c r="X157" s="2109" t="s">
        <v>669</v>
      </c>
      <c r="Y157" s="3120"/>
      <c r="Z157" s="2109" t="s">
        <v>669</v>
      </c>
      <c r="AA157" s="3120"/>
      <c r="AB157" s="2109" t="s">
        <v>669</v>
      </c>
      <c r="AC157" s="3109"/>
      <c r="AD157" s="2109" t="s">
        <v>669</v>
      </c>
      <c r="AE157" s="3120"/>
      <c r="AF157" s="2109" t="s">
        <v>669</v>
      </c>
      <c r="AG157" s="3120"/>
      <c r="AH157" s="2109"/>
      <c r="AI157" s="3120"/>
    </row>
    <row r="158" spans="1:35" s="55" customFormat="1" x14ac:dyDescent="0.35">
      <c r="A158" s="3169"/>
      <c r="B158" s="3164" t="s">
        <v>3841</v>
      </c>
      <c r="C158" s="3170"/>
      <c r="D158" s="3049"/>
      <c r="E158" s="3152"/>
      <c r="F158" s="3165"/>
      <c r="G158" s="3154"/>
      <c r="H158" s="2109"/>
      <c r="I158" s="3168"/>
      <c r="J158" s="2109"/>
      <c r="K158" s="3168"/>
      <c r="L158" s="2109"/>
      <c r="M158" s="3168"/>
      <c r="N158" s="2109"/>
      <c r="O158" s="3168"/>
      <c r="P158" s="2109"/>
      <c r="Q158" s="3168"/>
      <c r="R158" s="2109"/>
      <c r="S158" s="3168"/>
      <c r="T158" s="2109"/>
      <c r="U158" s="3168"/>
      <c r="V158" s="2109"/>
      <c r="W158" s="3168"/>
      <c r="X158" s="2109" t="s">
        <v>669</v>
      </c>
      <c r="Y158" s="3168"/>
      <c r="Z158" s="2109" t="s">
        <v>669</v>
      </c>
      <c r="AA158" s="3168"/>
      <c r="AB158" s="2109"/>
      <c r="AC158" s="3171"/>
      <c r="AD158" s="2109"/>
      <c r="AE158" s="3168"/>
      <c r="AF158" s="2109"/>
      <c r="AG158" s="3171"/>
      <c r="AH158" s="2109"/>
      <c r="AI158" s="3171"/>
    </row>
    <row r="159" spans="1:35" s="55" customFormat="1" x14ac:dyDescent="0.35">
      <c r="A159" s="3169"/>
      <c r="B159" s="3151"/>
      <c r="C159" s="3170"/>
      <c r="D159" s="3049"/>
      <c r="E159" s="3152"/>
      <c r="F159" s="3161"/>
      <c r="G159" s="3154"/>
      <c r="H159" s="2109"/>
      <c r="I159" s="3168"/>
      <c r="J159" s="2109"/>
      <c r="K159" s="3168"/>
      <c r="L159" s="2109"/>
      <c r="M159" s="3168"/>
      <c r="N159" s="2109"/>
      <c r="O159" s="3168"/>
      <c r="P159" s="2109"/>
      <c r="Q159" s="3168"/>
      <c r="R159" s="2109"/>
      <c r="S159" s="3168"/>
      <c r="T159" s="2109"/>
      <c r="U159" s="3168"/>
      <c r="V159" s="2109"/>
      <c r="W159" s="3168"/>
      <c r="X159" s="2109"/>
      <c r="Y159" s="3168"/>
      <c r="Z159" s="2109"/>
      <c r="AA159" s="3168"/>
      <c r="AB159" s="2109"/>
      <c r="AC159" s="3171"/>
      <c r="AD159" s="2109"/>
      <c r="AE159" s="3168"/>
      <c r="AF159" s="2109"/>
      <c r="AG159" s="3171"/>
      <c r="AH159" s="2109"/>
      <c r="AI159" s="3171"/>
    </row>
    <row r="160" spans="1:35" s="55" customFormat="1" x14ac:dyDescent="0.35">
      <c r="A160" s="3169"/>
      <c r="B160" s="3160" t="s">
        <v>3842</v>
      </c>
      <c r="C160" s="3170"/>
      <c r="D160" s="3049"/>
      <c r="E160" s="3152"/>
      <c r="F160" s="3161"/>
      <c r="G160" s="3154"/>
      <c r="H160" s="2109" t="s">
        <v>669</v>
      </c>
      <c r="I160" s="3168">
        <v>1061937</v>
      </c>
      <c r="J160" s="2109" t="s">
        <v>669</v>
      </c>
      <c r="K160" s="3168">
        <v>1061937</v>
      </c>
      <c r="L160" s="2109" t="s">
        <v>669</v>
      </c>
      <c r="M160" s="3168">
        <v>1839419</v>
      </c>
      <c r="N160" s="2109" t="s">
        <v>669</v>
      </c>
      <c r="O160" s="3168">
        <v>1834240</v>
      </c>
      <c r="P160" s="2109" t="s">
        <v>669</v>
      </c>
      <c r="Q160" s="3168">
        <v>1812539</v>
      </c>
      <c r="R160" s="2109" t="s">
        <v>669</v>
      </c>
      <c r="S160" s="3168">
        <v>1210540</v>
      </c>
      <c r="T160" s="2109" t="s">
        <v>669</v>
      </c>
      <c r="U160" s="3168">
        <v>1309370</v>
      </c>
      <c r="V160" s="2109" t="s">
        <v>669</v>
      </c>
      <c r="W160" s="3168">
        <v>1193425</v>
      </c>
      <c r="X160" s="2109" t="s">
        <v>669</v>
      </c>
      <c r="Y160" s="3168">
        <v>1770620</v>
      </c>
      <c r="Z160" s="2109" t="s">
        <v>669</v>
      </c>
      <c r="AA160" s="3168">
        <f>1466279+35340</f>
        <v>1501619</v>
      </c>
      <c r="AB160" s="2109" t="s">
        <v>669</v>
      </c>
      <c r="AC160" s="3168"/>
      <c r="AD160" s="2109" t="s">
        <v>669</v>
      </c>
      <c r="AE160" s="3168"/>
      <c r="AF160" s="2109"/>
      <c r="AG160" s="3171"/>
      <c r="AH160" s="2109"/>
      <c r="AI160" s="3120"/>
    </row>
    <row r="161" spans="1:35" s="55" customFormat="1" x14ac:dyDescent="0.35">
      <c r="A161" s="3169"/>
      <c r="B161" s="3164" t="s">
        <v>3843</v>
      </c>
      <c r="C161" s="3170"/>
      <c r="D161" s="3174">
        <v>209832</v>
      </c>
      <c r="E161" s="3152" t="s">
        <v>28</v>
      </c>
      <c r="F161" s="3165"/>
      <c r="G161" s="3154"/>
      <c r="H161" s="2109" t="s">
        <v>669</v>
      </c>
      <c r="I161" s="3168"/>
      <c r="J161" s="2109" t="s">
        <v>669</v>
      </c>
      <c r="K161" s="3168"/>
      <c r="L161" s="2109" t="s">
        <v>669</v>
      </c>
      <c r="M161" s="3168"/>
      <c r="N161" s="2109" t="s">
        <v>669</v>
      </c>
      <c r="O161" s="3168"/>
      <c r="P161" s="2109" t="s">
        <v>669</v>
      </c>
      <c r="Q161" s="3168"/>
      <c r="R161" s="2109" t="s">
        <v>669</v>
      </c>
      <c r="S161" s="3168"/>
      <c r="T161" s="2109" t="s">
        <v>669</v>
      </c>
      <c r="U161" s="3168"/>
      <c r="V161" s="2109" t="s">
        <v>669</v>
      </c>
      <c r="W161" s="3168"/>
      <c r="X161" s="2109" t="s">
        <v>669</v>
      </c>
      <c r="Y161" s="3168"/>
      <c r="Z161" s="2109" t="s">
        <v>669</v>
      </c>
      <c r="AA161" s="3168"/>
      <c r="AB161" s="2109" t="s">
        <v>669</v>
      </c>
      <c r="AC161" s="3171"/>
      <c r="AD161" s="2109" t="s">
        <v>669</v>
      </c>
      <c r="AE161" s="3168"/>
      <c r="AF161" s="2109"/>
      <c r="AG161" s="3171"/>
      <c r="AH161" s="2109"/>
      <c r="AI161" s="3120"/>
    </row>
    <row r="162" spans="1:35" s="55" customFormat="1" x14ac:dyDescent="0.35">
      <c r="A162" s="3169"/>
      <c r="B162" s="3164" t="s">
        <v>3844</v>
      </c>
      <c r="C162" s="3170"/>
      <c r="D162" s="3174">
        <v>209832</v>
      </c>
      <c r="E162" s="3152" t="s">
        <v>28</v>
      </c>
      <c r="F162" s="3165"/>
      <c r="G162" s="3154"/>
      <c r="H162" s="2109" t="s">
        <v>669</v>
      </c>
      <c r="I162" s="3168"/>
      <c r="J162" s="2109" t="s">
        <v>669</v>
      </c>
      <c r="K162" s="3168"/>
      <c r="L162" s="2109" t="s">
        <v>669</v>
      </c>
      <c r="M162" s="3168"/>
      <c r="N162" s="2109" t="s">
        <v>669</v>
      </c>
      <c r="O162" s="3168"/>
      <c r="P162" s="2109" t="s">
        <v>669</v>
      </c>
      <c r="Q162" s="3168"/>
      <c r="R162" s="2109" t="s">
        <v>669</v>
      </c>
      <c r="S162" s="3168"/>
      <c r="T162" s="2109" t="s">
        <v>669</v>
      </c>
      <c r="U162" s="3168"/>
      <c r="V162" s="2109" t="s">
        <v>669</v>
      </c>
      <c r="W162" s="3168"/>
      <c r="X162" s="2109" t="s">
        <v>669</v>
      </c>
      <c r="Y162" s="3168"/>
      <c r="Z162" s="2109" t="s">
        <v>669</v>
      </c>
      <c r="AA162" s="3168"/>
      <c r="AB162" s="2109" t="s">
        <v>669</v>
      </c>
      <c r="AC162" s="3171"/>
      <c r="AD162" s="2109" t="s">
        <v>669</v>
      </c>
      <c r="AE162" s="3168"/>
      <c r="AF162" s="2109"/>
      <c r="AG162" s="3171"/>
      <c r="AH162" s="2109"/>
      <c r="AI162" s="3120"/>
    </row>
    <row r="163" spans="1:35" s="55" customFormat="1" x14ac:dyDescent="0.35">
      <c r="A163" s="3169"/>
      <c r="B163" s="3164" t="s">
        <v>3845</v>
      </c>
      <c r="C163" s="3170" t="s">
        <v>805</v>
      </c>
      <c r="D163" s="3174">
        <v>209832</v>
      </c>
      <c r="E163" s="3152" t="s">
        <v>28</v>
      </c>
      <c r="F163" s="3165"/>
      <c r="G163" s="3154"/>
      <c r="H163" s="2109" t="s">
        <v>669</v>
      </c>
      <c r="I163" s="3168"/>
      <c r="J163" s="2109" t="s">
        <v>669</v>
      </c>
      <c r="K163" s="3168"/>
      <c r="L163" s="2109" t="s">
        <v>669</v>
      </c>
      <c r="M163" s="3168"/>
      <c r="N163" s="2109" t="s">
        <v>669</v>
      </c>
      <c r="O163" s="3168"/>
      <c r="P163" s="2109" t="s">
        <v>669</v>
      </c>
      <c r="Q163" s="3168"/>
      <c r="R163" s="2109" t="s">
        <v>669</v>
      </c>
      <c r="S163" s="3168"/>
      <c r="T163" s="2109" t="s">
        <v>669</v>
      </c>
      <c r="U163" s="3168"/>
      <c r="V163" s="2109" t="s">
        <v>669</v>
      </c>
      <c r="W163" s="3168"/>
      <c r="X163" s="2109" t="s">
        <v>669</v>
      </c>
      <c r="Y163" s="3168"/>
      <c r="Z163" s="2109" t="s">
        <v>669</v>
      </c>
      <c r="AA163" s="3168"/>
      <c r="AB163" s="2109" t="s">
        <v>669</v>
      </c>
      <c r="AC163" s="3168"/>
      <c r="AD163" s="2109" t="s">
        <v>669</v>
      </c>
      <c r="AE163" s="3168"/>
      <c r="AF163" s="2109"/>
      <c r="AG163" s="3171"/>
      <c r="AH163" s="2109"/>
      <c r="AI163" s="3120"/>
    </row>
    <row r="164" spans="1:35" s="55" customFormat="1" x14ac:dyDescent="0.35">
      <c r="A164" s="3169"/>
      <c r="B164" s="3164" t="s">
        <v>3846</v>
      </c>
      <c r="C164" s="3170" t="s">
        <v>805</v>
      </c>
      <c r="D164" s="3174">
        <v>209832</v>
      </c>
      <c r="E164" s="3152" t="s">
        <v>28</v>
      </c>
      <c r="F164" s="3165"/>
      <c r="G164" s="3154"/>
      <c r="H164" s="2109" t="s">
        <v>669</v>
      </c>
      <c r="I164" s="3168"/>
      <c r="J164" s="2109" t="s">
        <v>669</v>
      </c>
      <c r="K164" s="3168"/>
      <c r="L164" s="2109" t="s">
        <v>669</v>
      </c>
      <c r="M164" s="3168"/>
      <c r="N164" s="2109" t="s">
        <v>669</v>
      </c>
      <c r="O164" s="3168"/>
      <c r="P164" s="2109" t="s">
        <v>669</v>
      </c>
      <c r="Q164" s="3168"/>
      <c r="R164" s="2109" t="s">
        <v>669</v>
      </c>
      <c r="S164" s="3168"/>
      <c r="T164" s="2109" t="s">
        <v>669</v>
      </c>
      <c r="U164" s="3168"/>
      <c r="V164" s="2109" t="s">
        <v>669</v>
      </c>
      <c r="W164" s="3168"/>
      <c r="X164" s="2109" t="s">
        <v>669</v>
      </c>
      <c r="Y164" s="3168"/>
      <c r="Z164" s="2109" t="s">
        <v>669</v>
      </c>
      <c r="AA164" s="3168"/>
      <c r="AB164" s="2109" t="s">
        <v>669</v>
      </c>
      <c r="AC164" s="3171"/>
      <c r="AD164" s="2109" t="s">
        <v>669</v>
      </c>
      <c r="AE164" s="3168"/>
      <c r="AF164" s="2109"/>
      <c r="AG164" s="3171"/>
      <c r="AH164" s="2109"/>
      <c r="AI164" s="3120"/>
    </row>
    <row r="165" spans="1:35" s="55" customFormat="1" x14ac:dyDescent="0.35">
      <c r="A165" s="3169"/>
      <c r="B165" s="3164" t="s">
        <v>3847</v>
      </c>
      <c r="C165" s="3170"/>
      <c r="D165" s="3174">
        <v>10320</v>
      </c>
      <c r="E165" s="3152" t="s">
        <v>28</v>
      </c>
      <c r="F165" s="3165"/>
      <c r="G165" s="3154"/>
      <c r="H165" s="2109" t="s">
        <v>669</v>
      </c>
      <c r="I165" s="3168"/>
      <c r="J165" s="2109" t="s">
        <v>669</v>
      </c>
      <c r="K165" s="3168"/>
      <c r="L165" s="2109" t="s">
        <v>669</v>
      </c>
      <c r="M165" s="3168"/>
      <c r="N165" s="2109" t="s">
        <v>669</v>
      </c>
      <c r="O165" s="3168"/>
      <c r="P165" s="2109" t="s">
        <v>669</v>
      </c>
      <c r="Q165" s="3168"/>
      <c r="R165" s="2109" t="s">
        <v>669</v>
      </c>
      <c r="S165" s="3168"/>
      <c r="T165" s="2109" t="s">
        <v>669</v>
      </c>
      <c r="U165" s="3168"/>
      <c r="V165" s="2109" t="s">
        <v>669</v>
      </c>
      <c r="W165" s="3168"/>
      <c r="X165" s="2109" t="s">
        <v>669</v>
      </c>
      <c r="Y165" s="3168"/>
      <c r="Z165" s="2109" t="s">
        <v>669</v>
      </c>
      <c r="AA165" s="3168">
        <v>159000</v>
      </c>
      <c r="AB165" s="2109" t="s">
        <v>669</v>
      </c>
      <c r="AC165" s="3171"/>
      <c r="AD165" s="2109" t="s">
        <v>669</v>
      </c>
      <c r="AE165" s="3168"/>
      <c r="AF165" s="2109"/>
      <c r="AG165" s="3171"/>
      <c r="AH165" s="2109"/>
      <c r="AI165" s="3120"/>
    </row>
    <row r="166" spans="1:35" s="55" customFormat="1" x14ac:dyDescent="0.35">
      <c r="A166" s="3169"/>
      <c r="B166" s="3164" t="s">
        <v>3848</v>
      </c>
      <c r="C166" s="3170"/>
      <c r="D166" s="3174"/>
      <c r="E166" s="3152"/>
      <c r="F166" s="3165"/>
      <c r="G166" s="3154"/>
      <c r="H166" s="2038" t="s">
        <v>669</v>
      </c>
      <c r="I166" s="3168"/>
      <c r="J166" s="2038" t="s">
        <v>669</v>
      </c>
      <c r="K166" s="3168"/>
      <c r="L166" s="2109" t="s">
        <v>669</v>
      </c>
      <c r="M166" s="3168"/>
      <c r="N166" s="2109" t="s">
        <v>669</v>
      </c>
      <c r="O166" s="3168"/>
      <c r="P166" s="2109" t="s">
        <v>669</v>
      </c>
      <c r="Q166" s="3168"/>
      <c r="R166" s="2109" t="s">
        <v>669</v>
      </c>
      <c r="S166" s="3168">
        <f>35200+80960</f>
        <v>116160</v>
      </c>
      <c r="T166" s="2109" t="s">
        <v>669</v>
      </c>
      <c r="U166" s="3168"/>
      <c r="V166" s="2109" t="s">
        <v>669</v>
      </c>
      <c r="W166" s="3168"/>
      <c r="X166" s="2109" t="s">
        <v>669</v>
      </c>
      <c r="Y166" s="3168"/>
      <c r="Z166" s="2109"/>
      <c r="AA166" s="3168"/>
      <c r="AB166" s="2109"/>
      <c r="AC166" s="3171"/>
      <c r="AD166" s="2109"/>
      <c r="AE166" s="3168"/>
      <c r="AF166" s="2109"/>
      <c r="AG166" s="3171"/>
      <c r="AH166" s="2109"/>
      <c r="AI166" s="3120"/>
    </row>
    <row r="167" spans="1:35" s="55" customFormat="1" x14ac:dyDescent="0.35">
      <c r="A167" s="3169"/>
      <c r="B167" s="3164" t="s">
        <v>3849</v>
      </c>
      <c r="C167" s="3170"/>
      <c r="D167" s="3049"/>
      <c r="E167" s="3152"/>
      <c r="F167" s="3165"/>
      <c r="G167" s="3154"/>
      <c r="H167" s="2109" t="s">
        <v>671</v>
      </c>
      <c r="I167" s="3168"/>
      <c r="J167" s="2109" t="s">
        <v>671</v>
      </c>
      <c r="K167" s="3168"/>
      <c r="L167" s="2109" t="s">
        <v>671</v>
      </c>
      <c r="M167" s="3168"/>
      <c r="N167" s="2109" t="s">
        <v>671</v>
      </c>
      <c r="O167" s="3168"/>
      <c r="P167" s="2109" t="s">
        <v>671</v>
      </c>
      <c r="Q167" s="3168"/>
      <c r="R167" s="2109" t="s">
        <v>671</v>
      </c>
      <c r="S167" s="3168"/>
      <c r="T167" s="2109" t="s">
        <v>671</v>
      </c>
      <c r="U167" s="3168"/>
      <c r="V167" s="2109" t="s">
        <v>671</v>
      </c>
      <c r="W167" s="3168"/>
      <c r="X167" s="2109" t="s">
        <v>671</v>
      </c>
      <c r="Y167" s="3168"/>
      <c r="Z167" s="2109" t="s">
        <v>671</v>
      </c>
      <c r="AA167" s="3168"/>
      <c r="AB167" s="2109" t="s">
        <v>671</v>
      </c>
      <c r="AC167" s="3171"/>
      <c r="AD167" s="2109" t="s">
        <v>671</v>
      </c>
      <c r="AE167" s="3168"/>
      <c r="AF167" s="2109"/>
      <c r="AG167" s="3171"/>
      <c r="AH167" s="2109"/>
      <c r="AI167" s="3120"/>
    </row>
    <row r="168" spans="1:35" s="55" customFormat="1" x14ac:dyDescent="0.35">
      <c r="A168" s="3169"/>
      <c r="B168" s="3175" t="s">
        <v>778</v>
      </c>
      <c r="C168" s="3170"/>
      <c r="D168" s="3049"/>
      <c r="E168" s="3152"/>
      <c r="F168" s="3165"/>
      <c r="G168" s="3154"/>
      <c r="H168" s="2109" t="s">
        <v>669</v>
      </c>
      <c r="I168" s="3168">
        <v>1402917</v>
      </c>
      <c r="J168" s="2109" t="s">
        <v>669</v>
      </c>
      <c r="K168" s="3168">
        <v>1402804</v>
      </c>
      <c r="L168" s="2109" t="s">
        <v>669</v>
      </c>
      <c r="M168" s="3168"/>
      <c r="N168" s="2109" t="s">
        <v>669</v>
      </c>
      <c r="O168" s="3168"/>
      <c r="P168" s="2109" t="s">
        <v>669</v>
      </c>
      <c r="Q168" s="3168"/>
      <c r="R168" s="2109" t="s">
        <v>669</v>
      </c>
      <c r="S168" s="3168">
        <f>13800+395850+583670+1360+3760+31020+29750+7225+850+74100</f>
        <v>1141385</v>
      </c>
      <c r="T168" s="2109" t="s">
        <v>669</v>
      </c>
      <c r="U168" s="3168">
        <v>830835</v>
      </c>
      <c r="V168" s="2109" t="s">
        <v>669</v>
      </c>
      <c r="W168" s="3168">
        <v>782645</v>
      </c>
      <c r="X168" s="2109" t="s">
        <v>669</v>
      </c>
      <c r="Y168" s="3168">
        <v>951180</v>
      </c>
      <c r="Z168" s="2109" t="s">
        <v>669</v>
      </c>
      <c r="AA168" s="3168"/>
      <c r="AB168" s="2109" t="s">
        <v>669</v>
      </c>
      <c r="AC168" s="3171"/>
      <c r="AD168" s="2109" t="s">
        <v>669</v>
      </c>
      <c r="AE168" s="3168"/>
      <c r="AF168" s="2109"/>
      <c r="AG168" s="3171"/>
      <c r="AH168" s="2109"/>
      <c r="AI168" s="3120"/>
    </row>
    <row r="169" spans="1:35" s="55" customFormat="1" x14ac:dyDescent="0.35">
      <c r="A169" s="3169"/>
      <c r="B169" s="3164" t="s">
        <v>3850</v>
      </c>
      <c r="C169" s="3170"/>
      <c r="D169" s="3049"/>
      <c r="E169" s="3152"/>
      <c r="F169" s="3165"/>
      <c r="G169" s="3154"/>
      <c r="H169" s="2109" t="s">
        <v>669</v>
      </c>
      <c r="I169" s="3168"/>
      <c r="J169" s="2109" t="s">
        <v>669</v>
      </c>
      <c r="K169" s="3168"/>
      <c r="L169" s="2109" t="s">
        <v>669</v>
      </c>
      <c r="M169" s="3168"/>
      <c r="N169" s="2109" t="s">
        <v>669</v>
      </c>
      <c r="O169" s="3168"/>
      <c r="P169" s="2109" t="s">
        <v>669</v>
      </c>
      <c r="Q169" s="3168"/>
      <c r="R169" s="2109" t="s">
        <v>669</v>
      </c>
      <c r="S169" s="3168"/>
      <c r="T169" s="2109" t="s">
        <v>669</v>
      </c>
      <c r="U169" s="3168"/>
      <c r="V169" s="2109" t="s">
        <v>669</v>
      </c>
      <c r="W169" s="3168"/>
      <c r="X169" s="2109" t="s">
        <v>669</v>
      </c>
      <c r="Y169" s="3168"/>
      <c r="Z169" s="2109" t="s">
        <v>669</v>
      </c>
      <c r="AA169" s="3168"/>
      <c r="AB169" s="2109" t="s">
        <v>669</v>
      </c>
      <c r="AC169" s="3171"/>
      <c r="AD169" s="2109" t="s">
        <v>669</v>
      </c>
      <c r="AE169" s="3168"/>
      <c r="AF169" s="2109"/>
      <c r="AG169" s="3171"/>
      <c r="AH169" s="2109"/>
      <c r="AI169" s="3120"/>
    </row>
    <row r="170" spans="1:35" s="55" customFormat="1" x14ac:dyDescent="0.35">
      <c r="A170" s="3169"/>
      <c r="B170" s="3164" t="s">
        <v>3851</v>
      </c>
      <c r="C170" s="3170"/>
      <c r="D170" s="3049"/>
      <c r="E170" s="3152"/>
      <c r="F170" s="3165"/>
      <c r="G170" s="3154"/>
      <c r="H170" s="2109" t="s">
        <v>669</v>
      </c>
      <c r="I170" s="3168"/>
      <c r="J170" s="2109" t="s">
        <v>669</v>
      </c>
      <c r="K170" s="3168"/>
      <c r="L170" s="2109" t="s">
        <v>669</v>
      </c>
      <c r="M170" s="3168"/>
      <c r="N170" s="2109" t="s">
        <v>669</v>
      </c>
      <c r="O170" s="3168"/>
      <c r="P170" s="2109" t="s">
        <v>669</v>
      </c>
      <c r="Q170" s="3168"/>
      <c r="R170" s="2109" t="s">
        <v>669</v>
      </c>
      <c r="S170" s="3168"/>
      <c r="T170" s="2109" t="s">
        <v>669</v>
      </c>
      <c r="U170" s="3168"/>
      <c r="V170" s="2109" t="s">
        <v>669</v>
      </c>
      <c r="W170" s="3168"/>
      <c r="X170" s="2109" t="s">
        <v>669</v>
      </c>
      <c r="Y170" s="3168"/>
      <c r="Z170" s="2109" t="s">
        <v>669</v>
      </c>
      <c r="AA170" s="3168"/>
      <c r="AB170" s="2109" t="s">
        <v>669</v>
      </c>
      <c r="AC170" s="3171"/>
      <c r="AD170" s="2109" t="s">
        <v>669</v>
      </c>
      <c r="AE170" s="3168"/>
      <c r="AF170" s="2109"/>
      <c r="AG170" s="3171"/>
      <c r="AH170" s="2109"/>
      <c r="AI170" s="3120"/>
    </row>
    <row r="171" spans="1:35" s="55" customFormat="1" x14ac:dyDescent="0.35">
      <c r="A171" s="3169"/>
      <c r="B171" s="3164" t="s">
        <v>3852</v>
      </c>
      <c r="C171" s="3170"/>
      <c r="D171" s="3049"/>
      <c r="E171" s="3152"/>
      <c r="F171" s="3165"/>
      <c r="G171" s="3154"/>
      <c r="H171" s="2109" t="s">
        <v>669</v>
      </c>
      <c r="I171" s="3168"/>
      <c r="J171" s="2109" t="s">
        <v>669</v>
      </c>
      <c r="K171" s="3168"/>
      <c r="L171" s="2109" t="s">
        <v>669</v>
      </c>
      <c r="M171" s="3168"/>
      <c r="N171" s="2109" t="s">
        <v>669</v>
      </c>
      <c r="O171" s="3168"/>
      <c r="P171" s="2109" t="s">
        <v>669</v>
      </c>
      <c r="Q171" s="3168"/>
      <c r="R171" s="2109" t="s">
        <v>669</v>
      </c>
      <c r="S171" s="3168"/>
      <c r="T171" s="2109" t="s">
        <v>669</v>
      </c>
      <c r="U171" s="3168"/>
      <c r="V171" s="2109" t="s">
        <v>669</v>
      </c>
      <c r="W171" s="3168"/>
      <c r="X171" s="2109" t="s">
        <v>669</v>
      </c>
      <c r="Y171" s="3168"/>
      <c r="Z171" s="2109" t="s">
        <v>669</v>
      </c>
      <c r="AA171" s="3168"/>
      <c r="AB171" s="2109" t="s">
        <v>669</v>
      </c>
      <c r="AC171" s="3171"/>
      <c r="AD171" s="2109" t="s">
        <v>669</v>
      </c>
      <c r="AE171" s="3168"/>
      <c r="AF171" s="2109"/>
      <c r="AG171" s="3171"/>
      <c r="AH171" s="2109"/>
      <c r="AI171" s="3120"/>
    </row>
    <row r="172" spans="1:35" s="55" customFormat="1" x14ac:dyDescent="0.35">
      <c r="A172" s="3169"/>
      <c r="B172" s="3164" t="s">
        <v>3853</v>
      </c>
      <c r="C172" s="3170"/>
      <c r="D172" s="3049"/>
      <c r="E172" s="3152"/>
      <c r="F172" s="3165"/>
      <c r="G172" s="3154"/>
      <c r="H172" s="2109" t="s">
        <v>669</v>
      </c>
      <c r="I172" s="3168"/>
      <c r="J172" s="2109" t="s">
        <v>669</v>
      </c>
      <c r="K172" s="3168"/>
      <c r="L172" s="2109" t="s">
        <v>669</v>
      </c>
      <c r="M172" s="3168"/>
      <c r="N172" s="2109" t="s">
        <v>669</v>
      </c>
      <c r="O172" s="3168"/>
      <c r="P172" s="2109" t="s">
        <v>669</v>
      </c>
      <c r="Q172" s="3168"/>
      <c r="R172" s="2109" t="s">
        <v>669</v>
      </c>
      <c r="S172" s="3168"/>
      <c r="T172" s="2109" t="s">
        <v>669</v>
      </c>
      <c r="U172" s="3168"/>
      <c r="V172" s="2109" t="s">
        <v>669</v>
      </c>
      <c r="W172" s="3168"/>
      <c r="X172" s="2109" t="s">
        <v>669</v>
      </c>
      <c r="Y172" s="3168"/>
      <c r="Z172" s="2109" t="s">
        <v>669</v>
      </c>
      <c r="AA172" s="3168"/>
      <c r="AB172" s="2109" t="s">
        <v>669</v>
      </c>
      <c r="AC172" s="3171"/>
      <c r="AD172" s="2109" t="s">
        <v>669</v>
      </c>
      <c r="AE172" s="3168"/>
      <c r="AF172" s="2109"/>
      <c r="AG172" s="3171"/>
      <c r="AH172" s="2109"/>
      <c r="AI172" s="3120"/>
    </row>
    <row r="173" spans="1:35" s="55" customFormat="1" x14ac:dyDescent="0.35">
      <c r="A173" s="3169"/>
      <c r="B173" s="3164" t="s">
        <v>3854</v>
      </c>
      <c r="C173" s="3170"/>
      <c r="D173" s="3049"/>
      <c r="E173" s="3152"/>
      <c r="F173" s="3165"/>
      <c r="G173" s="3154"/>
      <c r="H173" s="2109" t="s">
        <v>669</v>
      </c>
      <c r="I173" s="3168"/>
      <c r="J173" s="2109" t="s">
        <v>669</v>
      </c>
      <c r="K173" s="3168"/>
      <c r="L173" s="2109" t="s">
        <v>669</v>
      </c>
      <c r="M173" s="3168"/>
      <c r="N173" s="2109" t="s">
        <v>669</v>
      </c>
      <c r="O173" s="3168"/>
      <c r="P173" s="2109" t="s">
        <v>669</v>
      </c>
      <c r="Q173" s="3168"/>
      <c r="R173" s="2109" t="s">
        <v>669</v>
      </c>
      <c r="S173" s="3168"/>
      <c r="T173" s="2109" t="s">
        <v>669</v>
      </c>
      <c r="U173" s="3168"/>
      <c r="V173" s="2109" t="s">
        <v>669</v>
      </c>
      <c r="W173" s="3168"/>
      <c r="X173" s="2109" t="s">
        <v>669</v>
      </c>
      <c r="Y173" s="3168"/>
      <c r="Z173" s="2109" t="s">
        <v>669</v>
      </c>
      <c r="AA173" s="3168"/>
      <c r="AB173" s="2109" t="s">
        <v>669</v>
      </c>
      <c r="AC173" s="3171"/>
      <c r="AD173" s="2109" t="s">
        <v>669</v>
      </c>
      <c r="AE173" s="3168"/>
      <c r="AF173" s="2109"/>
      <c r="AG173" s="3171"/>
      <c r="AH173" s="2109"/>
      <c r="AI173" s="3120"/>
    </row>
    <row r="174" spans="1:35" s="55" customFormat="1" ht="18.649999999999999" customHeight="1" x14ac:dyDescent="0.35">
      <c r="A174" s="3169"/>
      <c r="B174" s="3164" t="s">
        <v>3855</v>
      </c>
      <c r="C174" s="3170"/>
      <c r="D174" s="3049">
        <v>62082</v>
      </c>
      <c r="E174" s="3152" t="s">
        <v>28</v>
      </c>
      <c r="F174" s="3165"/>
      <c r="G174" s="3154"/>
      <c r="H174" s="2109" t="s">
        <v>669</v>
      </c>
      <c r="I174" s="3168"/>
      <c r="J174" s="2109" t="s">
        <v>669</v>
      </c>
      <c r="K174" s="3168"/>
      <c r="L174" s="2109" t="s">
        <v>669</v>
      </c>
      <c r="M174" s="3168"/>
      <c r="N174" s="2109" t="s">
        <v>669</v>
      </c>
      <c r="O174" s="3168"/>
      <c r="P174" s="2109" t="s">
        <v>669</v>
      </c>
      <c r="Q174" s="3168"/>
      <c r="R174" s="2109" t="s">
        <v>669</v>
      </c>
      <c r="S174" s="3168"/>
      <c r="T174" s="2109" t="s">
        <v>669</v>
      </c>
      <c r="U174" s="3168"/>
      <c r="V174" s="2109" t="s">
        <v>669</v>
      </c>
      <c r="W174" s="3168"/>
      <c r="X174" s="2109" t="s">
        <v>669</v>
      </c>
      <c r="Y174" s="3168"/>
      <c r="Z174" s="2109" t="s">
        <v>669</v>
      </c>
      <c r="AA174" s="3168"/>
      <c r="AB174" s="2109" t="s">
        <v>669</v>
      </c>
      <c r="AC174" s="3168"/>
      <c r="AD174" s="2109" t="s">
        <v>669</v>
      </c>
      <c r="AE174" s="3168"/>
      <c r="AF174" s="2109"/>
      <c r="AG174" s="3171"/>
      <c r="AH174" s="2109"/>
      <c r="AI174" s="3120"/>
    </row>
    <row r="175" spans="1:35" s="55" customFormat="1" x14ac:dyDescent="0.35">
      <c r="A175" s="3173"/>
      <c r="B175" s="3164" t="s">
        <v>3856</v>
      </c>
      <c r="C175" s="3170"/>
      <c r="D175" s="3049"/>
      <c r="E175" s="3152"/>
      <c r="F175" s="3165"/>
      <c r="G175" s="3154"/>
      <c r="H175" s="2109" t="s">
        <v>669</v>
      </c>
      <c r="I175" s="3168"/>
      <c r="J175" s="2109" t="s">
        <v>669</v>
      </c>
      <c r="K175" s="3168"/>
      <c r="L175" s="2109" t="s">
        <v>669</v>
      </c>
      <c r="M175" s="3168"/>
      <c r="N175" s="2109" t="s">
        <v>669</v>
      </c>
      <c r="O175" s="3168"/>
      <c r="P175" s="2109" t="s">
        <v>669</v>
      </c>
      <c r="Q175" s="3168"/>
      <c r="R175" s="2109" t="s">
        <v>669</v>
      </c>
      <c r="S175" s="3168"/>
      <c r="T175" s="2109" t="s">
        <v>669</v>
      </c>
      <c r="U175" s="3168"/>
      <c r="V175" s="2109" t="s">
        <v>669</v>
      </c>
      <c r="W175" s="3168"/>
      <c r="X175" s="2109" t="s">
        <v>669</v>
      </c>
      <c r="Y175" s="3168"/>
      <c r="Z175" s="2109" t="s">
        <v>669</v>
      </c>
      <c r="AA175" s="3168"/>
      <c r="AB175" s="2109" t="s">
        <v>669</v>
      </c>
      <c r="AC175" s="3171"/>
      <c r="AD175" s="2109" t="s">
        <v>669</v>
      </c>
      <c r="AE175" s="3168"/>
      <c r="AF175" s="2109"/>
      <c r="AG175" s="3171"/>
      <c r="AH175" s="2109"/>
      <c r="AI175" s="3120"/>
    </row>
    <row r="176" spans="1:35" s="55" customFormat="1" ht="15" customHeight="1" x14ac:dyDescent="0.35">
      <c r="A176" s="3173"/>
      <c r="B176" s="3164" t="s">
        <v>3857</v>
      </c>
      <c r="C176" s="3170"/>
      <c r="D176" s="3049"/>
      <c r="E176" s="3152"/>
      <c r="F176" s="3165"/>
      <c r="G176" s="3154"/>
      <c r="H176" s="2109" t="s">
        <v>669</v>
      </c>
      <c r="I176" s="3168"/>
      <c r="J176" s="2109" t="s">
        <v>669</v>
      </c>
      <c r="K176" s="3168"/>
      <c r="L176" s="2109" t="s">
        <v>669</v>
      </c>
      <c r="M176" s="3168"/>
      <c r="N176" s="2109" t="s">
        <v>669</v>
      </c>
      <c r="O176" s="3168"/>
      <c r="P176" s="2109" t="s">
        <v>669</v>
      </c>
      <c r="Q176" s="3168"/>
      <c r="R176" s="2109" t="s">
        <v>669</v>
      </c>
      <c r="S176" s="3168"/>
      <c r="T176" s="2109" t="s">
        <v>669</v>
      </c>
      <c r="U176" s="3168"/>
      <c r="V176" s="2109" t="s">
        <v>669</v>
      </c>
      <c r="W176" s="3168"/>
      <c r="X176" s="2109" t="s">
        <v>669</v>
      </c>
      <c r="Y176" s="3168"/>
      <c r="Z176" s="2109" t="s">
        <v>669</v>
      </c>
      <c r="AA176" s="3168"/>
      <c r="AB176" s="2109" t="s">
        <v>669</v>
      </c>
      <c r="AC176" s="3171"/>
      <c r="AD176" s="2109" t="s">
        <v>669</v>
      </c>
      <c r="AE176" s="3168"/>
      <c r="AF176" s="2109"/>
      <c r="AG176" s="3171"/>
      <c r="AH176" s="2109"/>
      <c r="AI176" s="3120"/>
    </row>
    <row r="177" spans="1:35" s="55" customFormat="1" x14ac:dyDescent="0.35">
      <c r="A177" s="3173"/>
      <c r="B177" s="3164" t="s">
        <v>3858</v>
      </c>
      <c r="C177" s="3170"/>
      <c r="D177" s="3049"/>
      <c r="E177" s="3152"/>
      <c r="F177" s="3165"/>
      <c r="G177" s="3154"/>
      <c r="H177" s="2109" t="s">
        <v>669</v>
      </c>
      <c r="I177" s="3168"/>
      <c r="J177" s="2109" t="s">
        <v>669</v>
      </c>
      <c r="K177" s="3168"/>
      <c r="L177" s="2109" t="s">
        <v>669</v>
      </c>
      <c r="M177" s="3168"/>
      <c r="N177" s="2109" t="s">
        <v>669</v>
      </c>
      <c r="O177" s="3168"/>
      <c r="P177" s="2109" t="s">
        <v>669</v>
      </c>
      <c r="Q177" s="3168"/>
      <c r="R177" s="2109" t="s">
        <v>669</v>
      </c>
      <c r="S177" s="3168"/>
      <c r="T177" s="2109" t="s">
        <v>669</v>
      </c>
      <c r="U177" s="3168"/>
      <c r="V177" s="2109" t="s">
        <v>669</v>
      </c>
      <c r="W177" s="3168"/>
      <c r="X177" s="2109" t="s">
        <v>669</v>
      </c>
      <c r="Y177" s="3168"/>
      <c r="Z177" s="2109" t="s">
        <v>669</v>
      </c>
      <c r="AA177" s="3168"/>
      <c r="AB177" s="2109" t="s">
        <v>669</v>
      </c>
      <c r="AC177" s="3171"/>
      <c r="AD177" s="2109" t="s">
        <v>669</v>
      </c>
      <c r="AE177" s="3168"/>
      <c r="AF177" s="2109"/>
      <c r="AG177" s="3171"/>
      <c r="AH177" s="2109"/>
      <c r="AI177" s="3120"/>
    </row>
    <row r="178" spans="1:35" s="55" customFormat="1" x14ac:dyDescent="0.35">
      <c r="A178" s="3173"/>
      <c r="B178" s="3151"/>
      <c r="C178" s="3170"/>
      <c r="D178" s="3049"/>
      <c r="E178" s="3152"/>
      <c r="F178" s="3161"/>
      <c r="G178" s="3154"/>
      <c r="H178" s="2109"/>
      <c r="I178" s="3171"/>
      <c r="J178" s="2109"/>
      <c r="K178" s="3171"/>
      <c r="L178" s="2109"/>
      <c r="M178" s="3171"/>
      <c r="N178" s="2109"/>
      <c r="O178" s="3171"/>
      <c r="P178" s="2109"/>
      <c r="Q178" s="3171"/>
      <c r="R178" s="2109"/>
      <c r="S178" s="3171"/>
      <c r="T178" s="2109"/>
      <c r="U178" s="3171"/>
      <c r="V178" s="2109"/>
      <c r="W178" s="3171"/>
      <c r="X178" s="2109"/>
      <c r="Y178" s="3171"/>
      <c r="Z178" s="2109"/>
      <c r="AA178" s="3171"/>
      <c r="AB178" s="2109"/>
      <c r="AC178" s="3171"/>
      <c r="AD178" s="2109"/>
      <c r="AE178" s="3171"/>
      <c r="AF178" s="2109"/>
      <c r="AG178" s="3171"/>
      <c r="AH178" s="2109"/>
      <c r="AI178" s="3120"/>
    </row>
    <row r="179" spans="1:35" s="55" customFormat="1" x14ac:dyDescent="0.35">
      <c r="A179" s="3169"/>
      <c r="B179" s="3151" t="s">
        <v>3859</v>
      </c>
      <c r="C179" s="3170"/>
      <c r="D179" s="3049"/>
      <c r="E179" s="3152"/>
      <c r="F179" s="3161"/>
      <c r="G179" s="3154"/>
      <c r="H179" s="2109" t="s">
        <v>669</v>
      </c>
      <c r="I179" s="3168">
        <v>52300</v>
      </c>
      <c r="J179" s="2109" t="s">
        <v>669</v>
      </c>
      <c r="K179" s="3168">
        <v>52300</v>
      </c>
      <c r="L179" s="2109" t="s">
        <v>669</v>
      </c>
      <c r="M179" s="3168"/>
      <c r="N179" s="2109" t="s">
        <v>669</v>
      </c>
      <c r="O179" s="3168"/>
      <c r="P179" s="2109" t="s">
        <v>669</v>
      </c>
      <c r="Q179" s="3168"/>
      <c r="R179" s="2109" t="s">
        <v>669</v>
      </c>
      <c r="S179" s="3168"/>
      <c r="T179" s="2109" t="s">
        <v>669</v>
      </c>
      <c r="U179" s="3168">
        <v>45000</v>
      </c>
      <c r="V179" s="2109" t="s">
        <v>669</v>
      </c>
      <c r="W179" s="3168">
        <v>42390</v>
      </c>
      <c r="X179" s="2109" t="s">
        <v>669</v>
      </c>
      <c r="Y179" s="3168">
        <f>47850</f>
        <v>47850</v>
      </c>
      <c r="Z179" s="2109" t="s">
        <v>669</v>
      </c>
      <c r="AA179" s="3168">
        <v>51680</v>
      </c>
      <c r="AB179" s="2109" t="s">
        <v>669</v>
      </c>
      <c r="AC179" s="3171"/>
      <c r="AD179" s="2109" t="s">
        <v>669</v>
      </c>
      <c r="AE179" s="3171"/>
      <c r="AF179" s="2109"/>
      <c r="AG179" s="3171"/>
      <c r="AH179" s="2109"/>
      <c r="AI179" s="3120"/>
    </row>
    <row r="180" spans="1:35" s="55" customFormat="1" x14ac:dyDescent="0.35">
      <c r="A180" s="3169"/>
      <c r="B180" s="3151"/>
      <c r="C180" s="3170"/>
      <c r="D180" s="3049"/>
      <c r="E180" s="3152"/>
      <c r="F180" s="3161"/>
      <c r="G180" s="3154"/>
      <c r="H180" s="2088"/>
      <c r="I180" s="3168"/>
      <c r="J180" s="2088"/>
      <c r="K180" s="3168"/>
      <c r="L180" s="2038"/>
      <c r="M180" s="3168"/>
      <c r="N180" s="2038"/>
      <c r="O180" s="3168"/>
      <c r="P180" s="2038"/>
      <c r="Q180" s="3168"/>
      <c r="R180" s="2109"/>
      <c r="S180" s="3171"/>
      <c r="T180" s="2109"/>
      <c r="U180" s="3171"/>
      <c r="V180" s="2109"/>
      <c r="W180" s="3171"/>
      <c r="X180" s="2109"/>
      <c r="Y180" s="3171"/>
      <c r="Z180" s="2109"/>
      <c r="AA180" s="3171"/>
      <c r="AB180" s="2331"/>
      <c r="AC180" s="3171"/>
      <c r="AD180" s="2109"/>
      <c r="AE180" s="3171"/>
      <c r="AF180" s="2109"/>
      <c r="AG180" s="3171"/>
      <c r="AH180" s="2109"/>
      <c r="AI180" s="3120"/>
    </row>
    <row r="181" spans="1:35" s="55" customFormat="1" x14ac:dyDescent="0.35">
      <c r="A181" s="3173"/>
      <c r="B181" s="3176" t="s">
        <v>3860</v>
      </c>
      <c r="C181" s="3170"/>
      <c r="D181" s="3049"/>
      <c r="E181" s="3177"/>
      <c r="F181" s="3178"/>
      <c r="G181" s="3179">
        <v>363348</v>
      </c>
      <c r="H181" s="2088"/>
      <c r="I181" s="3171"/>
      <c r="J181" s="2088" t="s">
        <v>669</v>
      </c>
      <c r="K181" s="3171"/>
      <c r="L181" s="2088"/>
      <c r="M181" s="3171"/>
      <c r="N181" s="2088" t="s">
        <v>669</v>
      </c>
      <c r="O181" s="3168">
        <v>297692</v>
      </c>
      <c r="P181" s="2088" t="s">
        <v>669</v>
      </c>
      <c r="Q181" s="3168">
        <v>289207</v>
      </c>
      <c r="R181" s="2088" t="s">
        <v>669</v>
      </c>
      <c r="S181" s="3168"/>
      <c r="T181" s="2088" t="s">
        <v>669</v>
      </c>
      <c r="U181" s="3168"/>
      <c r="V181" s="2109" t="s">
        <v>669</v>
      </c>
      <c r="W181" s="3168"/>
      <c r="X181" s="2088"/>
      <c r="Y181" s="3171"/>
      <c r="Z181" s="2088"/>
      <c r="AA181" s="3171"/>
      <c r="AB181" s="2331"/>
      <c r="AC181" s="3171"/>
      <c r="AD181" s="2088"/>
      <c r="AE181" s="3171"/>
      <c r="AF181" s="2088"/>
      <c r="AG181" s="3171"/>
      <c r="AH181" s="2088"/>
      <c r="AI181" s="3120"/>
    </row>
    <row r="182" spans="1:35" s="55" customFormat="1" x14ac:dyDescent="0.35">
      <c r="A182" s="3173"/>
      <c r="B182" s="3151" t="s">
        <v>3861</v>
      </c>
      <c r="C182" s="3170"/>
      <c r="D182" s="3049">
        <v>1</v>
      </c>
      <c r="E182" s="3152" t="s">
        <v>755</v>
      </c>
      <c r="F182" s="3161">
        <v>44922</v>
      </c>
      <c r="G182" s="3154"/>
      <c r="H182" s="2109"/>
      <c r="I182" s="3171"/>
      <c r="J182" s="2088" t="s">
        <v>669</v>
      </c>
      <c r="K182" s="3171"/>
      <c r="L182" s="2109"/>
      <c r="M182" s="3171"/>
      <c r="N182" s="2109" t="s">
        <v>669</v>
      </c>
      <c r="O182" s="3171"/>
      <c r="P182" s="2109" t="s">
        <v>669</v>
      </c>
      <c r="Q182" s="3171"/>
      <c r="R182" s="2109" t="s">
        <v>669</v>
      </c>
      <c r="S182" s="3171"/>
      <c r="T182" s="2109" t="s">
        <v>669</v>
      </c>
      <c r="U182" s="3171"/>
      <c r="V182" s="2109" t="s">
        <v>669</v>
      </c>
      <c r="W182" s="3171"/>
      <c r="X182" s="2109"/>
      <c r="Y182" s="3171"/>
      <c r="Z182" s="2109"/>
      <c r="AA182" s="3171"/>
      <c r="AB182" s="2331"/>
      <c r="AC182" s="3171"/>
      <c r="AD182" s="2109"/>
      <c r="AE182" s="3171"/>
      <c r="AF182" s="2109"/>
      <c r="AG182" s="3171"/>
      <c r="AH182" s="2109"/>
      <c r="AI182" s="3120"/>
    </row>
    <row r="183" spans="1:35" s="55" customFormat="1" x14ac:dyDescent="0.35">
      <c r="A183" s="3169"/>
      <c r="B183" s="3180" t="s">
        <v>3843</v>
      </c>
      <c r="C183" s="3170" t="s">
        <v>3862</v>
      </c>
      <c r="D183" s="3049">
        <v>975</v>
      </c>
      <c r="E183" s="3152" t="s">
        <v>3863</v>
      </c>
      <c r="F183" s="3161">
        <v>7.31</v>
      </c>
      <c r="G183" s="3154"/>
      <c r="H183" s="2109"/>
      <c r="I183" s="3171"/>
      <c r="J183" s="2088" t="s">
        <v>669</v>
      </c>
      <c r="K183" s="3171"/>
      <c r="L183" s="2109"/>
      <c r="M183" s="3171"/>
      <c r="N183" s="2109" t="s">
        <v>669</v>
      </c>
      <c r="O183" s="3171"/>
      <c r="P183" s="2109" t="s">
        <v>669</v>
      </c>
      <c r="Q183" s="3171"/>
      <c r="R183" s="2109" t="s">
        <v>669</v>
      </c>
      <c r="S183" s="3171"/>
      <c r="T183" s="2109" t="s">
        <v>669</v>
      </c>
      <c r="U183" s="3171"/>
      <c r="V183" s="2109" t="s">
        <v>669</v>
      </c>
      <c r="W183" s="3171"/>
      <c r="X183" s="2109"/>
      <c r="Y183" s="3171"/>
      <c r="Z183" s="2109"/>
      <c r="AA183" s="3171"/>
      <c r="AB183" s="2331"/>
      <c r="AC183" s="3171"/>
      <c r="AD183" s="2109"/>
      <c r="AE183" s="3171"/>
      <c r="AF183" s="2109"/>
      <c r="AG183" s="3171"/>
      <c r="AH183" s="2109"/>
      <c r="AI183" s="3120"/>
    </row>
    <row r="184" spans="1:35" s="55" customFormat="1" x14ac:dyDescent="0.35">
      <c r="A184" s="3169"/>
      <c r="B184" s="3180" t="s">
        <v>3864</v>
      </c>
      <c r="C184" s="3170"/>
      <c r="D184" s="3049">
        <v>2</v>
      </c>
      <c r="E184" s="3152" t="s">
        <v>666</v>
      </c>
      <c r="F184" s="3161">
        <v>11238</v>
      </c>
      <c r="G184" s="3154"/>
      <c r="H184" s="2109"/>
      <c r="I184" s="3171"/>
      <c r="J184" s="2088" t="s">
        <v>669</v>
      </c>
      <c r="K184" s="3171"/>
      <c r="L184" s="2109"/>
      <c r="M184" s="3171"/>
      <c r="N184" s="2109" t="s">
        <v>669</v>
      </c>
      <c r="O184" s="3171"/>
      <c r="P184" s="2109" t="s">
        <v>669</v>
      </c>
      <c r="Q184" s="3171"/>
      <c r="R184" s="2109" t="s">
        <v>669</v>
      </c>
      <c r="S184" s="3171"/>
      <c r="T184" s="2109" t="s">
        <v>669</v>
      </c>
      <c r="U184" s="3171"/>
      <c r="V184" s="2109" t="s">
        <v>669</v>
      </c>
      <c r="W184" s="3171"/>
      <c r="X184" s="2109"/>
      <c r="Y184" s="3171"/>
      <c r="Z184" s="2109"/>
      <c r="AA184" s="3171"/>
      <c r="AB184" s="2331"/>
      <c r="AC184" s="3171"/>
      <c r="AD184" s="2109"/>
      <c r="AE184" s="3171"/>
      <c r="AF184" s="2109"/>
      <c r="AG184" s="3171"/>
      <c r="AH184" s="2109"/>
      <c r="AI184" s="3120"/>
    </row>
    <row r="185" spans="1:35" s="55" customFormat="1" x14ac:dyDescent="0.35">
      <c r="A185" s="3169"/>
      <c r="B185" s="3180" t="s">
        <v>3865</v>
      </c>
      <c r="C185" s="3170"/>
      <c r="D185" s="3049">
        <v>1</v>
      </c>
      <c r="E185" s="3152" t="s">
        <v>666</v>
      </c>
      <c r="F185" s="3161">
        <v>24142</v>
      </c>
      <c r="G185" s="3154"/>
      <c r="H185" s="2109"/>
      <c r="I185" s="3171"/>
      <c r="J185" s="2088" t="s">
        <v>669</v>
      </c>
      <c r="K185" s="3171"/>
      <c r="L185" s="2109"/>
      <c r="M185" s="3171"/>
      <c r="N185" s="2109" t="s">
        <v>669</v>
      </c>
      <c r="O185" s="3171"/>
      <c r="P185" s="2109" t="s">
        <v>669</v>
      </c>
      <c r="Q185" s="3171"/>
      <c r="R185" s="2109" t="s">
        <v>669</v>
      </c>
      <c r="S185" s="3171"/>
      <c r="T185" s="2109" t="s">
        <v>669</v>
      </c>
      <c r="U185" s="3171"/>
      <c r="V185" s="2109" t="s">
        <v>669</v>
      </c>
      <c r="W185" s="3171"/>
      <c r="X185" s="2109"/>
      <c r="Y185" s="3171"/>
      <c r="Z185" s="2109"/>
      <c r="AA185" s="3171"/>
      <c r="AB185" s="2331"/>
      <c r="AC185" s="3171"/>
      <c r="AD185" s="2109"/>
      <c r="AE185" s="3171"/>
      <c r="AF185" s="2109"/>
      <c r="AG185" s="3171"/>
      <c r="AH185" s="2109"/>
      <c r="AI185" s="3120"/>
    </row>
    <row r="186" spans="1:35" s="55" customFormat="1" x14ac:dyDescent="0.35">
      <c r="A186" s="3169"/>
      <c r="B186" s="3180" t="s">
        <v>3866</v>
      </c>
      <c r="C186" s="3170"/>
      <c r="D186" s="3049">
        <v>1</v>
      </c>
      <c r="E186" s="3152" t="s">
        <v>666</v>
      </c>
      <c r="F186" s="3161">
        <v>33136</v>
      </c>
      <c r="G186" s="3154"/>
      <c r="H186" s="2109"/>
      <c r="I186" s="3171"/>
      <c r="J186" s="2088" t="s">
        <v>669</v>
      </c>
      <c r="K186" s="3168"/>
      <c r="L186" s="2109"/>
      <c r="M186" s="3171"/>
      <c r="N186" s="2109" t="s">
        <v>669</v>
      </c>
      <c r="O186" s="3171"/>
      <c r="P186" s="2109" t="s">
        <v>669</v>
      </c>
      <c r="Q186" s="3171"/>
      <c r="R186" s="2109" t="s">
        <v>669</v>
      </c>
      <c r="S186" s="3171"/>
      <c r="T186" s="2109" t="s">
        <v>669</v>
      </c>
      <c r="U186" s="3171"/>
      <c r="V186" s="2109" t="s">
        <v>669</v>
      </c>
      <c r="W186" s="3171"/>
      <c r="X186" s="2109"/>
      <c r="Y186" s="3171"/>
      <c r="Z186" s="2109"/>
      <c r="AA186" s="3171"/>
      <c r="AB186" s="2331"/>
      <c r="AC186" s="3171"/>
      <c r="AD186" s="2109"/>
      <c r="AE186" s="3171"/>
      <c r="AF186" s="2109"/>
      <c r="AG186" s="3171"/>
      <c r="AH186" s="2109"/>
      <c r="AI186" s="3120"/>
    </row>
    <row r="187" spans="1:35" s="55" customFormat="1" x14ac:dyDescent="0.35">
      <c r="A187" s="3169"/>
      <c r="B187" s="3180" t="s">
        <v>3867</v>
      </c>
      <c r="C187" s="3170"/>
      <c r="D187" s="3049">
        <v>128</v>
      </c>
      <c r="E187" s="3152" t="s">
        <v>752</v>
      </c>
      <c r="F187" s="3161">
        <v>295.11</v>
      </c>
      <c r="G187" s="3154"/>
      <c r="H187" s="2109"/>
      <c r="I187" s="3171"/>
      <c r="J187" s="2088" t="s">
        <v>669</v>
      </c>
      <c r="K187" s="3168"/>
      <c r="L187" s="2109"/>
      <c r="M187" s="3171"/>
      <c r="N187" s="2109" t="s">
        <v>669</v>
      </c>
      <c r="O187" s="3171"/>
      <c r="P187" s="2109" t="s">
        <v>669</v>
      </c>
      <c r="Q187" s="3171"/>
      <c r="R187" s="2109" t="s">
        <v>669</v>
      </c>
      <c r="S187" s="3171"/>
      <c r="T187" s="2109" t="s">
        <v>669</v>
      </c>
      <c r="U187" s="3171"/>
      <c r="V187" s="2109" t="s">
        <v>669</v>
      </c>
      <c r="W187" s="3171"/>
      <c r="X187" s="2109"/>
      <c r="Y187" s="3171"/>
      <c r="Z187" s="2109"/>
      <c r="AA187" s="3171"/>
      <c r="AB187" s="2331"/>
      <c r="AC187" s="3171"/>
      <c r="AD187" s="2109"/>
      <c r="AE187" s="3171"/>
      <c r="AF187" s="2109"/>
      <c r="AG187" s="3171"/>
      <c r="AH187" s="2109"/>
      <c r="AI187" s="3120"/>
    </row>
    <row r="188" spans="1:35" s="55" customFormat="1" x14ac:dyDescent="0.35">
      <c r="A188" s="3169"/>
      <c r="B188" s="3180" t="s">
        <v>3868</v>
      </c>
      <c r="C188" s="3170"/>
      <c r="D188" s="3049">
        <v>131</v>
      </c>
      <c r="E188" s="3152" t="s">
        <v>752</v>
      </c>
      <c r="F188" s="3161"/>
      <c r="G188" s="3154"/>
      <c r="H188" s="2109"/>
      <c r="I188" s="3171"/>
      <c r="J188" s="2088" t="s">
        <v>669</v>
      </c>
      <c r="K188" s="3168">
        <v>63946</v>
      </c>
      <c r="L188" s="2109"/>
      <c r="M188" s="3171"/>
      <c r="N188" s="2109" t="s">
        <v>669</v>
      </c>
      <c r="O188" s="3171"/>
      <c r="P188" s="2109" t="s">
        <v>669</v>
      </c>
      <c r="Q188" s="3171"/>
      <c r="R188" s="2109" t="s">
        <v>669</v>
      </c>
      <c r="S188" s="3171"/>
      <c r="T188" s="2109" t="s">
        <v>669</v>
      </c>
      <c r="U188" s="3171"/>
      <c r="V188" s="2109" t="s">
        <v>669</v>
      </c>
      <c r="W188" s="3171"/>
      <c r="X188" s="2109"/>
      <c r="Y188" s="3171"/>
      <c r="Z188" s="2109"/>
      <c r="AA188" s="3171"/>
      <c r="AB188" s="2331"/>
      <c r="AC188" s="3171"/>
      <c r="AD188" s="2109"/>
      <c r="AE188" s="3171"/>
      <c r="AF188" s="2109"/>
      <c r="AG188" s="3171"/>
      <c r="AH188" s="2109"/>
      <c r="AI188" s="3120"/>
    </row>
    <row r="189" spans="1:35" s="55" customFormat="1" x14ac:dyDescent="0.35">
      <c r="A189" s="3169"/>
      <c r="B189" s="3180" t="s">
        <v>3869</v>
      </c>
      <c r="C189" s="3170"/>
      <c r="D189" s="3049"/>
      <c r="E189" s="3152"/>
      <c r="F189" s="3161"/>
      <c r="G189" s="3154"/>
      <c r="H189" s="2109"/>
      <c r="I189" s="3171"/>
      <c r="J189" s="2088" t="s">
        <v>669</v>
      </c>
      <c r="K189" s="3168">
        <v>16802</v>
      </c>
      <c r="L189" s="2109"/>
      <c r="M189" s="3171"/>
      <c r="N189" s="2109"/>
      <c r="O189" s="3171"/>
      <c r="P189" s="2109"/>
      <c r="Q189" s="3171"/>
      <c r="R189" s="2109"/>
      <c r="S189" s="3171"/>
      <c r="T189" s="2109"/>
      <c r="U189" s="3171"/>
      <c r="V189" s="2109"/>
      <c r="W189" s="3171"/>
      <c r="X189" s="2109"/>
      <c r="Y189" s="3171"/>
      <c r="Z189" s="2109"/>
      <c r="AA189" s="3171"/>
      <c r="AB189" s="2331"/>
      <c r="AC189" s="3171"/>
      <c r="AD189" s="2109"/>
      <c r="AE189" s="3171"/>
      <c r="AF189" s="2109"/>
      <c r="AG189" s="3171"/>
      <c r="AH189" s="2109"/>
      <c r="AI189" s="3120"/>
    </row>
    <row r="190" spans="1:35" s="55" customFormat="1" x14ac:dyDescent="0.35">
      <c r="A190" s="3169"/>
      <c r="B190" s="3151" t="s">
        <v>3870</v>
      </c>
      <c r="C190" s="3170"/>
      <c r="D190" s="3049">
        <v>96</v>
      </c>
      <c r="E190" s="3152" t="s">
        <v>3871</v>
      </c>
      <c r="F190" s="3161">
        <v>131.37</v>
      </c>
      <c r="G190" s="3154"/>
      <c r="H190" s="2109"/>
      <c r="I190" s="3171"/>
      <c r="J190" s="2088" t="s">
        <v>669</v>
      </c>
      <c r="K190" s="3171"/>
      <c r="L190" s="2109"/>
      <c r="M190" s="3171"/>
      <c r="N190" s="2109" t="s">
        <v>669</v>
      </c>
      <c r="O190" s="3171"/>
      <c r="P190" s="2109" t="s">
        <v>669</v>
      </c>
      <c r="Q190" s="3171"/>
      <c r="R190" s="2109" t="s">
        <v>669</v>
      </c>
      <c r="S190" s="3171"/>
      <c r="T190" s="2109" t="s">
        <v>669</v>
      </c>
      <c r="U190" s="3171"/>
      <c r="V190" s="2109" t="s">
        <v>669</v>
      </c>
      <c r="W190" s="3171"/>
      <c r="X190" s="2109"/>
      <c r="Y190" s="3171"/>
      <c r="Z190" s="2109"/>
      <c r="AA190" s="3171"/>
      <c r="AB190" s="2331"/>
      <c r="AC190" s="3171"/>
      <c r="AD190" s="2109"/>
      <c r="AE190" s="3171"/>
      <c r="AF190" s="2109"/>
      <c r="AG190" s="3171"/>
      <c r="AH190" s="2109"/>
      <c r="AI190" s="3120"/>
    </row>
    <row r="191" spans="1:35" s="55" customFormat="1" x14ac:dyDescent="0.35">
      <c r="A191" s="3169"/>
      <c r="B191" s="3151" t="s">
        <v>3872</v>
      </c>
      <c r="C191" s="3170"/>
      <c r="D191" s="3049">
        <v>70</v>
      </c>
      <c r="E191" s="3152" t="s">
        <v>3871</v>
      </c>
      <c r="F191" s="3161">
        <v>207.44</v>
      </c>
      <c r="G191" s="3154"/>
      <c r="H191" s="2109"/>
      <c r="I191" s="3171"/>
      <c r="J191" s="2088" t="s">
        <v>669</v>
      </c>
      <c r="K191" s="3171"/>
      <c r="L191" s="2109"/>
      <c r="M191" s="3171"/>
      <c r="N191" s="2109" t="s">
        <v>669</v>
      </c>
      <c r="O191" s="3171"/>
      <c r="P191" s="2109" t="s">
        <v>669</v>
      </c>
      <c r="Q191" s="3171"/>
      <c r="R191" s="2109" t="s">
        <v>669</v>
      </c>
      <c r="S191" s="3171"/>
      <c r="T191" s="2109" t="s">
        <v>669</v>
      </c>
      <c r="U191" s="3171"/>
      <c r="V191" s="2109" t="s">
        <v>669</v>
      </c>
      <c r="W191" s="3171"/>
      <c r="X191" s="2109"/>
      <c r="Y191" s="3171"/>
      <c r="Z191" s="2109"/>
      <c r="AA191" s="3171"/>
      <c r="AB191" s="2331"/>
      <c r="AC191" s="3171"/>
      <c r="AD191" s="2109"/>
      <c r="AE191" s="3171"/>
      <c r="AF191" s="2109"/>
      <c r="AG191" s="3171"/>
      <c r="AH191" s="2109"/>
      <c r="AI191" s="3120"/>
    </row>
    <row r="192" spans="1:35" s="55" customFormat="1" x14ac:dyDescent="0.35">
      <c r="A192" s="3169"/>
      <c r="B192" s="3151" t="s">
        <v>3873</v>
      </c>
      <c r="C192" s="3170"/>
      <c r="D192" s="3049">
        <v>350</v>
      </c>
      <c r="E192" s="3152" t="s">
        <v>752</v>
      </c>
      <c r="F192" s="3161">
        <v>8.6</v>
      </c>
      <c r="G192" s="3154"/>
      <c r="H192" s="2109"/>
      <c r="I192" s="3171"/>
      <c r="J192" s="2088" t="s">
        <v>669</v>
      </c>
      <c r="K192" s="3171"/>
      <c r="L192" s="2109"/>
      <c r="M192" s="3171"/>
      <c r="N192" s="2109" t="s">
        <v>669</v>
      </c>
      <c r="O192" s="3171"/>
      <c r="P192" s="2109" t="s">
        <v>669</v>
      </c>
      <c r="Q192" s="3171"/>
      <c r="R192" s="2109" t="s">
        <v>669</v>
      </c>
      <c r="S192" s="3171"/>
      <c r="T192" s="2109" t="s">
        <v>669</v>
      </c>
      <c r="U192" s="3171"/>
      <c r="V192" s="2109" t="s">
        <v>669</v>
      </c>
      <c r="W192" s="3171"/>
      <c r="X192" s="2109"/>
      <c r="Y192" s="3171"/>
      <c r="Z192" s="2109"/>
      <c r="AA192" s="3171"/>
      <c r="AB192" s="2331"/>
      <c r="AC192" s="3171"/>
      <c r="AD192" s="2109"/>
      <c r="AE192" s="3171"/>
      <c r="AF192" s="2109"/>
      <c r="AG192" s="3171"/>
      <c r="AH192" s="2109"/>
      <c r="AI192" s="3120"/>
    </row>
    <row r="193" spans="1:35" s="55" customFormat="1" x14ac:dyDescent="0.35">
      <c r="A193" s="3169"/>
      <c r="B193" s="3151" t="s">
        <v>3874</v>
      </c>
      <c r="C193" s="3170"/>
      <c r="D193" s="3049">
        <v>97</v>
      </c>
      <c r="E193" s="3152" t="s">
        <v>3863</v>
      </c>
      <c r="F193" s="3161">
        <v>61.47</v>
      </c>
      <c r="G193" s="3154"/>
      <c r="H193" s="2109"/>
      <c r="I193" s="3171"/>
      <c r="J193" s="2088" t="s">
        <v>669</v>
      </c>
      <c r="K193" s="3171"/>
      <c r="L193" s="2109"/>
      <c r="M193" s="3171"/>
      <c r="N193" s="2109" t="s">
        <v>669</v>
      </c>
      <c r="O193" s="3171"/>
      <c r="P193" s="2109" t="s">
        <v>669</v>
      </c>
      <c r="Q193" s="3171"/>
      <c r="R193" s="2109" t="s">
        <v>669</v>
      </c>
      <c r="S193" s="3171"/>
      <c r="T193" s="2109" t="s">
        <v>669</v>
      </c>
      <c r="U193" s="3171"/>
      <c r="V193" s="2109" t="s">
        <v>669</v>
      </c>
      <c r="W193" s="3171"/>
      <c r="X193" s="2109"/>
      <c r="Y193" s="3171"/>
      <c r="Z193" s="2109"/>
      <c r="AA193" s="3171"/>
      <c r="AB193" s="2331"/>
      <c r="AC193" s="3171"/>
      <c r="AD193" s="2109"/>
      <c r="AE193" s="3171"/>
      <c r="AF193" s="2109"/>
      <c r="AG193" s="3171"/>
      <c r="AH193" s="2109"/>
      <c r="AI193" s="3120"/>
    </row>
    <row r="194" spans="1:35" s="55" customFormat="1" x14ac:dyDescent="0.35">
      <c r="A194" s="3169"/>
      <c r="B194" s="3151" t="s">
        <v>3875</v>
      </c>
      <c r="C194" s="3170"/>
      <c r="D194" s="3049">
        <v>15</v>
      </c>
      <c r="E194" s="3152" t="s">
        <v>28</v>
      </c>
      <c r="F194" s="3161">
        <v>17.05</v>
      </c>
      <c r="G194" s="3154"/>
      <c r="H194" s="2109"/>
      <c r="I194" s="3171"/>
      <c r="J194" s="2088" t="s">
        <v>669</v>
      </c>
      <c r="K194" s="3171"/>
      <c r="L194" s="2109"/>
      <c r="M194" s="3171"/>
      <c r="N194" s="2109" t="s">
        <v>669</v>
      </c>
      <c r="O194" s="3171"/>
      <c r="P194" s="2109" t="s">
        <v>669</v>
      </c>
      <c r="Q194" s="3171"/>
      <c r="R194" s="2109" t="s">
        <v>669</v>
      </c>
      <c r="S194" s="3171"/>
      <c r="T194" s="2109" t="s">
        <v>669</v>
      </c>
      <c r="U194" s="3171"/>
      <c r="V194" s="2109" t="s">
        <v>669</v>
      </c>
      <c r="W194" s="3171"/>
      <c r="X194" s="2109"/>
      <c r="Y194" s="3171"/>
      <c r="Z194" s="2109"/>
      <c r="AA194" s="3171"/>
      <c r="AB194" s="2331"/>
      <c r="AC194" s="3171"/>
      <c r="AD194" s="2109"/>
      <c r="AE194" s="3171"/>
      <c r="AF194" s="2109"/>
      <c r="AG194" s="3171"/>
      <c r="AH194" s="2109"/>
      <c r="AI194" s="3120"/>
    </row>
    <row r="195" spans="1:35" s="55" customFormat="1" x14ac:dyDescent="0.35">
      <c r="A195" s="3169"/>
      <c r="B195" s="3151" t="s">
        <v>3876</v>
      </c>
      <c r="C195" s="3170"/>
      <c r="D195" s="3049">
        <v>1</v>
      </c>
      <c r="E195" s="3152" t="s">
        <v>755</v>
      </c>
      <c r="F195" s="3161">
        <v>2231.2199999999998</v>
      </c>
      <c r="G195" s="3154"/>
      <c r="H195" s="2109"/>
      <c r="I195" s="3171"/>
      <c r="J195" s="2088" t="s">
        <v>669</v>
      </c>
      <c r="K195" s="3171"/>
      <c r="L195" s="2109"/>
      <c r="M195" s="3171"/>
      <c r="N195" s="2109" t="s">
        <v>669</v>
      </c>
      <c r="O195" s="3171"/>
      <c r="P195" s="2109" t="s">
        <v>669</v>
      </c>
      <c r="Q195" s="3171"/>
      <c r="R195" s="2109" t="s">
        <v>669</v>
      </c>
      <c r="S195" s="3171"/>
      <c r="T195" s="2109" t="s">
        <v>669</v>
      </c>
      <c r="U195" s="3171"/>
      <c r="V195" s="2109" t="s">
        <v>669</v>
      </c>
      <c r="W195" s="3171"/>
      <c r="X195" s="2109"/>
      <c r="Y195" s="3171"/>
      <c r="Z195" s="2109"/>
      <c r="AA195" s="3171"/>
      <c r="AB195" s="2331"/>
      <c r="AC195" s="3171"/>
      <c r="AD195" s="2109"/>
      <c r="AE195" s="3171"/>
      <c r="AF195" s="2109"/>
      <c r="AG195" s="3171"/>
      <c r="AH195" s="2109"/>
      <c r="AI195" s="3120"/>
    </row>
    <row r="196" spans="1:35" s="55" customFormat="1" x14ac:dyDescent="0.35">
      <c r="A196" s="3169"/>
      <c r="B196" s="3151" t="s">
        <v>3877</v>
      </c>
      <c r="C196" s="3170"/>
      <c r="D196" s="3049">
        <v>750</v>
      </c>
      <c r="E196" s="3152" t="s">
        <v>3863</v>
      </c>
      <c r="F196" s="3161">
        <v>3.67</v>
      </c>
      <c r="G196" s="3154"/>
      <c r="H196" s="2109"/>
      <c r="I196" s="3171"/>
      <c r="J196" s="2088" t="s">
        <v>669</v>
      </c>
      <c r="K196" s="3171"/>
      <c r="L196" s="2109"/>
      <c r="M196" s="3171"/>
      <c r="N196" s="2109" t="s">
        <v>669</v>
      </c>
      <c r="O196" s="3171"/>
      <c r="P196" s="2109" t="s">
        <v>669</v>
      </c>
      <c r="Q196" s="3171"/>
      <c r="R196" s="2109" t="s">
        <v>669</v>
      </c>
      <c r="S196" s="3171"/>
      <c r="T196" s="2109" t="s">
        <v>669</v>
      </c>
      <c r="U196" s="3171"/>
      <c r="V196" s="2109" t="s">
        <v>669</v>
      </c>
      <c r="W196" s="3171"/>
      <c r="X196" s="2109"/>
      <c r="Y196" s="3171"/>
      <c r="Z196" s="2109"/>
      <c r="AA196" s="3171"/>
      <c r="AB196" s="2331"/>
      <c r="AC196" s="3171"/>
      <c r="AD196" s="2109"/>
      <c r="AE196" s="3171"/>
      <c r="AF196" s="2109"/>
      <c r="AG196" s="3171"/>
      <c r="AH196" s="2109"/>
      <c r="AI196" s="3120"/>
    </row>
    <row r="197" spans="1:35" s="55" customFormat="1" x14ac:dyDescent="0.35">
      <c r="A197" s="3169"/>
      <c r="B197" s="3151" t="s">
        <v>3878</v>
      </c>
      <c r="C197" s="3170"/>
      <c r="D197" s="3049">
        <v>1</v>
      </c>
      <c r="E197" s="3152" t="s">
        <v>755</v>
      </c>
      <c r="F197" s="3161">
        <v>38835.269999999997</v>
      </c>
      <c r="G197" s="3154"/>
      <c r="H197" s="2109"/>
      <c r="I197" s="3171"/>
      <c r="J197" s="2088" t="s">
        <v>669</v>
      </c>
      <c r="K197" s="3171"/>
      <c r="L197" s="2109"/>
      <c r="M197" s="3171"/>
      <c r="N197" s="2109" t="s">
        <v>669</v>
      </c>
      <c r="O197" s="3171"/>
      <c r="P197" s="2109" t="s">
        <v>669</v>
      </c>
      <c r="Q197" s="3171"/>
      <c r="R197" s="2109" t="s">
        <v>669</v>
      </c>
      <c r="S197" s="3171"/>
      <c r="T197" s="2109" t="s">
        <v>669</v>
      </c>
      <c r="U197" s="3171"/>
      <c r="V197" s="2109" t="s">
        <v>669</v>
      </c>
      <c r="W197" s="3171"/>
      <c r="X197" s="2109"/>
      <c r="Y197" s="3171"/>
      <c r="Z197" s="2109"/>
      <c r="AA197" s="3171"/>
      <c r="AB197" s="2331"/>
      <c r="AC197" s="3171"/>
      <c r="AD197" s="2109"/>
      <c r="AE197" s="3171"/>
      <c r="AF197" s="2109"/>
      <c r="AG197" s="3171"/>
      <c r="AH197" s="2109"/>
      <c r="AI197" s="3120"/>
    </row>
    <row r="198" spans="1:35" s="55" customFormat="1" x14ac:dyDescent="0.35">
      <c r="A198" s="3169"/>
      <c r="B198" s="3151" t="s">
        <v>3879</v>
      </c>
      <c r="C198" s="3170"/>
      <c r="D198" s="3049">
        <v>1</v>
      </c>
      <c r="E198" s="3152" t="s">
        <v>755</v>
      </c>
      <c r="F198" s="3161">
        <v>181693.27</v>
      </c>
      <c r="G198" s="3154"/>
      <c r="H198" s="2109"/>
      <c r="I198" s="3171"/>
      <c r="J198" s="2088" t="s">
        <v>669</v>
      </c>
      <c r="K198" s="3171"/>
      <c r="L198" s="2109"/>
      <c r="M198" s="3171"/>
      <c r="N198" s="2109" t="s">
        <v>669</v>
      </c>
      <c r="O198" s="3171"/>
      <c r="P198" s="2109" t="s">
        <v>669</v>
      </c>
      <c r="Q198" s="3171"/>
      <c r="R198" s="2109" t="s">
        <v>669</v>
      </c>
      <c r="S198" s="3171"/>
      <c r="T198" s="2109" t="s">
        <v>669</v>
      </c>
      <c r="U198" s="3171"/>
      <c r="V198" s="2109" t="s">
        <v>669</v>
      </c>
      <c r="W198" s="3171"/>
      <c r="X198" s="2109"/>
      <c r="Y198" s="3171"/>
      <c r="Z198" s="2109"/>
      <c r="AA198" s="3171"/>
      <c r="AB198" s="2331"/>
      <c r="AC198" s="3171"/>
      <c r="AD198" s="2109"/>
      <c r="AE198" s="3171"/>
      <c r="AF198" s="2109"/>
      <c r="AG198" s="3171"/>
      <c r="AH198" s="2109"/>
      <c r="AI198" s="3120"/>
    </row>
    <row r="199" spans="1:35" s="55" customFormat="1" x14ac:dyDescent="0.35">
      <c r="A199" s="3169"/>
      <c r="B199" s="3151"/>
      <c r="C199" s="3170"/>
      <c r="D199" s="3049"/>
      <c r="E199" s="3152"/>
      <c r="F199" s="3161"/>
      <c r="G199" s="3154"/>
      <c r="H199" s="2109"/>
      <c r="I199" s="3171"/>
      <c r="J199" s="2109"/>
      <c r="K199" s="3171"/>
      <c r="L199" s="2109"/>
      <c r="M199" s="3171"/>
      <c r="N199" s="2109"/>
      <c r="O199" s="3171"/>
      <c r="P199" s="2109"/>
      <c r="Q199" s="3171"/>
      <c r="R199" s="2109"/>
      <c r="S199" s="3171"/>
      <c r="T199" s="2109"/>
      <c r="U199" s="3171"/>
      <c r="V199" s="2109"/>
      <c r="W199" s="3171"/>
      <c r="X199" s="2109"/>
      <c r="Y199" s="3171"/>
      <c r="Z199" s="2109"/>
      <c r="AA199" s="3171"/>
      <c r="AB199" s="2331"/>
      <c r="AC199" s="3171"/>
      <c r="AD199" s="2109"/>
      <c r="AE199" s="3171"/>
      <c r="AF199" s="2109"/>
      <c r="AG199" s="3171"/>
      <c r="AH199" s="2109"/>
      <c r="AI199" s="3120"/>
    </row>
    <row r="200" spans="1:35" x14ac:dyDescent="0.35">
      <c r="A200" s="3125"/>
      <c r="B200" s="3086" t="s">
        <v>3880</v>
      </c>
      <c r="C200" s="3170"/>
      <c r="D200" s="3049"/>
      <c r="E200" s="3032"/>
      <c r="F200" s="3032"/>
      <c r="G200" s="3154"/>
      <c r="H200" s="2038" t="s">
        <v>654</v>
      </c>
      <c r="I200" s="3168">
        <v>350000</v>
      </c>
      <c r="J200" s="2038" t="s">
        <v>654</v>
      </c>
      <c r="K200" s="3168"/>
      <c r="L200" s="2109"/>
      <c r="M200" s="3109"/>
      <c r="N200" s="2109"/>
      <c r="O200" s="3109"/>
      <c r="P200" s="2109"/>
      <c r="Q200" s="3109"/>
      <c r="R200" s="2109"/>
      <c r="S200" s="3109"/>
      <c r="T200" s="2109"/>
      <c r="U200" s="3109"/>
      <c r="V200" s="2109"/>
      <c r="W200" s="3109"/>
      <c r="X200" s="2109"/>
      <c r="Y200" s="3109"/>
      <c r="Z200" s="2109"/>
      <c r="AA200" s="3109"/>
      <c r="AB200" s="3109"/>
      <c r="AC200" s="3108"/>
      <c r="AD200" s="2109"/>
      <c r="AE200" s="3109"/>
      <c r="AF200" s="2109"/>
      <c r="AG200" s="3120"/>
      <c r="AH200" s="2109"/>
      <c r="AI200" s="3109"/>
    </row>
    <row r="201" spans="1:35" x14ac:dyDescent="0.35">
      <c r="A201" s="3056"/>
      <c r="B201" s="3086"/>
      <c r="C201" s="3036"/>
      <c r="D201" s="3049"/>
      <c r="E201" s="3032"/>
      <c r="F201" s="3032"/>
      <c r="G201" s="3154"/>
      <c r="H201" s="2109"/>
      <c r="I201" s="3109"/>
      <c r="J201" s="2109"/>
      <c r="K201" s="3109"/>
      <c r="L201" s="2109"/>
      <c r="M201" s="3109"/>
      <c r="N201" s="2109"/>
      <c r="O201" s="3109"/>
      <c r="P201" s="2109"/>
      <c r="Q201" s="3109"/>
      <c r="R201" s="2109"/>
      <c r="S201" s="3109"/>
      <c r="T201" s="2109"/>
      <c r="U201" s="3109"/>
      <c r="V201" s="2109"/>
      <c r="W201" s="3109"/>
      <c r="X201" s="2109"/>
      <c r="Y201" s="3109"/>
      <c r="Z201" s="2109"/>
      <c r="AA201" s="3109"/>
      <c r="AB201" s="3109"/>
      <c r="AC201" s="3108"/>
      <c r="AD201" s="2109"/>
      <c r="AE201" s="3109"/>
      <c r="AF201" s="2109"/>
      <c r="AG201" s="3120"/>
      <c r="AH201" s="2109"/>
      <c r="AI201" s="3109"/>
    </row>
    <row r="202" spans="1:35" x14ac:dyDescent="0.35">
      <c r="A202" s="14"/>
      <c r="B202" s="15"/>
      <c r="C202" s="16"/>
      <c r="D202" s="16"/>
      <c r="E202" s="17"/>
      <c r="F202" s="18" t="s">
        <v>715</v>
      </c>
      <c r="G202" s="19"/>
      <c r="H202" s="41"/>
      <c r="I202" s="50">
        <f>SUM(I34:I201)</f>
        <v>10363210</v>
      </c>
      <c r="J202" s="41"/>
      <c r="K202" s="50">
        <f>SUM(K34:K201)</f>
        <v>10544274</v>
      </c>
      <c r="L202" s="41"/>
      <c r="M202" s="50">
        <f>SUM(M34:M201)</f>
        <v>10660283</v>
      </c>
      <c r="N202" s="41"/>
      <c r="O202" s="50">
        <f>SUM(O34:O201)</f>
        <v>10941785</v>
      </c>
      <c r="P202" s="41"/>
      <c r="Q202" s="50">
        <f>SUM(Q34:Q201)</f>
        <v>10138656</v>
      </c>
      <c r="R202" s="41"/>
      <c r="S202" s="50">
        <f>SUM(S34:S201)</f>
        <v>11102344</v>
      </c>
      <c r="T202" s="41"/>
      <c r="U202" s="50">
        <f>SUM(U34:U201)</f>
        <v>11646685</v>
      </c>
      <c r="V202" s="41"/>
      <c r="W202" s="50">
        <f>SUM(W34:W201)</f>
        <v>10538605</v>
      </c>
      <c r="X202" s="20"/>
      <c r="Y202" s="50">
        <f>SUM(Y34:Y201)</f>
        <v>11790515</v>
      </c>
      <c r="Z202" s="41"/>
      <c r="AA202" s="50">
        <f>SUM(AA39:AA201)</f>
        <v>12069813</v>
      </c>
      <c r="AB202" s="20"/>
      <c r="AC202" s="50">
        <f>SUM(AC22:AC201)</f>
        <v>13375288</v>
      </c>
      <c r="AD202" s="41"/>
      <c r="AE202" s="50">
        <f>SUM(AE33:AE201)</f>
        <v>13572410</v>
      </c>
      <c r="AF202" s="41"/>
      <c r="AG202" s="50">
        <f>SUM(AG39:AG201)</f>
        <v>4566819</v>
      </c>
      <c r="AH202" s="41"/>
      <c r="AI202" s="50">
        <f>SUM(AI45:AI201)</f>
        <v>0</v>
      </c>
    </row>
    <row r="203" spans="1:35" x14ac:dyDescent="0.35">
      <c r="A203" s="2973"/>
      <c r="B203" s="2974"/>
      <c r="C203" s="2975"/>
      <c r="D203" s="2975"/>
      <c r="E203" s="2976"/>
      <c r="F203" s="2977" t="s">
        <v>716</v>
      </c>
      <c r="G203" s="2244"/>
      <c r="H203" s="2247">
        <v>0.01</v>
      </c>
      <c r="I203" s="2064"/>
      <c r="J203" s="2247">
        <v>0.01</v>
      </c>
      <c r="K203" s="2064"/>
      <c r="L203" s="2247"/>
      <c r="M203" s="2064"/>
      <c r="N203" s="2247"/>
      <c r="O203" s="2064"/>
      <c r="P203" s="2247"/>
      <c r="Q203" s="2064"/>
      <c r="R203" s="2247">
        <v>0</v>
      </c>
      <c r="S203" s="2064"/>
      <c r="T203" s="2247">
        <v>0</v>
      </c>
      <c r="U203" s="2064"/>
      <c r="V203" s="2247">
        <v>0</v>
      </c>
      <c r="W203" s="2064"/>
      <c r="X203" s="2065">
        <v>0</v>
      </c>
      <c r="Y203" s="2064"/>
      <c r="Z203" s="2247">
        <v>0</v>
      </c>
      <c r="AA203" s="2064"/>
      <c r="AB203" s="2063">
        <v>1.7500000000000002E-2</v>
      </c>
      <c r="AC203" s="2064"/>
      <c r="AD203" s="2247">
        <v>0.01</v>
      </c>
      <c r="AE203" s="2064"/>
      <c r="AF203" s="2247">
        <v>0</v>
      </c>
      <c r="AG203" s="2064"/>
      <c r="AH203" s="2247">
        <v>0</v>
      </c>
      <c r="AI203" s="2064"/>
    </row>
    <row r="204" spans="1:35" x14ac:dyDescent="0.35">
      <c r="A204" s="2973"/>
      <c r="B204" s="2974"/>
      <c r="C204" s="2975"/>
      <c r="D204" s="2975"/>
      <c r="E204" s="2976"/>
      <c r="F204" s="2977" t="s">
        <v>717</v>
      </c>
      <c r="G204" s="2244"/>
      <c r="H204" s="2250"/>
      <c r="I204" s="2067">
        <f>I202*H203</f>
        <v>103632.1</v>
      </c>
      <c r="J204" s="2250"/>
      <c r="K204" s="2067">
        <f>K202*J203</f>
        <v>105442.74</v>
      </c>
      <c r="L204" s="2250"/>
      <c r="M204" s="2067">
        <f>M202*L203</f>
        <v>0</v>
      </c>
      <c r="N204" s="2250"/>
      <c r="O204" s="2067">
        <f>O202*N203</f>
        <v>0</v>
      </c>
      <c r="P204" s="2250"/>
      <c r="Q204" s="2067">
        <f>Q202*P203</f>
        <v>0</v>
      </c>
      <c r="R204" s="2250"/>
      <c r="S204" s="2067">
        <f>S202*R203</f>
        <v>0</v>
      </c>
      <c r="T204" s="2250"/>
      <c r="U204" s="2067">
        <f>U202*T203</f>
        <v>0</v>
      </c>
      <c r="V204" s="2250"/>
      <c r="W204" s="2067">
        <f>W202*V203</f>
        <v>0</v>
      </c>
      <c r="X204" s="2066"/>
      <c r="Y204" s="2067">
        <f>Y202*X203</f>
        <v>0</v>
      </c>
      <c r="Z204" s="2250"/>
      <c r="AA204" s="2067">
        <f>AA202*Z203</f>
        <v>0</v>
      </c>
      <c r="AB204" s="2066"/>
      <c r="AC204" s="2068"/>
      <c r="AD204" s="2250"/>
      <c r="AE204" s="2067">
        <f>AE202*AD203</f>
        <v>135724.1</v>
      </c>
      <c r="AF204" s="2250"/>
      <c r="AG204" s="2067">
        <f>AG202*AF203</f>
        <v>0</v>
      </c>
      <c r="AH204" s="2250"/>
      <c r="AI204" s="2067">
        <f>AI202*AH203</f>
        <v>0</v>
      </c>
    </row>
    <row r="205" spans="1:35" x14ac:dyDescent="0.35">
      <c r="A205" s="2973"/>
      <c r="B205" s="2974"/>
      <c r="C205" s="2975"/>
      <c r="D205" s="2975"/>
      <c r="E205" s="2976"/>
      <c r="F205" s="2977"/>
      <c r="G205" s="2244"/>
      <c r="H205" s="2250"/>
      <c r="I205" s="2068"/>
      <c r="J205" s="2250"/>
      <c r="K205" s="2068"/>
      <c r="L205" s="2250"/>
      <c r="M205" s="2068"/>
      <c r="N205" s="2250"/>
      <c r="O205" s="2068"/>
      <c r="P205" s="2250"/>
      <c r="Q205" s="2068"/>
      <c r="R205" s="2250"/>
      <c r="S205" s="2068"/>
      <c r="T205" s="2250"/>
      <c r="U205" s="2068"/>
      <c r="V205" s="2250"/>
      <c r="W205" s="2068"/>
      <c r="X205" s="2066"/>
      <c r="Y205" s="2068"/>
      <c r="Z205" s="2250"/>
      <c r="AA205" s="2068"/>
      <c r="AB205" s="2066"/>
      <c r="AC205" s="2068"/>
      <c r="AD205" s="2250"/>
      <c r="AE205" s="2068"/>
      <c r="AF205" s="2250"/>
      <c r="AG205" s="2068"/>
      <c r="AH205" s="2250"/>
      <c r="AI205" s="2068"/>
    </row>
    <row r="206" spans="1:35" x14ac:dyDescent="0.35">
      <c r="A206" s="2973"/>
      <c r="B206" s="2974"/>
      <c r="C206" s="2975"/>
      <c r="D206" s="2975"/>
      <c r="E206" s="2976"/>
      <c r="F206" s="2977" t="s">
        <v>718</v>
      </c>
      <c r="G206" s="2244"/>
      <c r="H206" s="2254"/>
      <c r="I206" s="2070">
        <f>SUM(I202:I204)</f>
        <v>10466842.1</v>
      </c>
      <c r="J206" s="2254"/>
      <c r="K206" s="2070">
        <f>SUM(K202:K204)</f>
        <v>10649716.74</v>
      </c>
      <c r="L206" s="2254"/>
      <c r="M206" s="2070">
        <f>SUM(M202:M204)</f>
        <v>10660283</v>
      </c>
      <c r="N206" s="2254"/>
      <c r="O206" s="2070">
        <f>SUM(O202:O204)</f>
        <v>10941785</v>
      </c>
      <c r="P206" s="2254"/>
      <c r="Q206" s="2070">
        <f>SUM(Q202:Q204)</f>
        <v>10138656</v>
      </c>
      <c r="R206" s="2254"/>
      <c r="S206" s="2070">
        <f>SUM(S202:S204)</f>
        <v>11102344</v>
      </c>
      <c r="T206" s="2254"/>
      <c r="U206" s="2070">
        <f>SUM(U202:U204)</f>
        <v>11646685</v>
      </c>
      <c r="V206" s="2254"/>
      <c r="W206" s="2070">
        <f>SUM(W202:W204)</f>
        <v>10538605</v>
      </c>
      <c r="X206" s="2069"/>
      <c r="Y206" s="2070">
        <f>SUM(Y202:Y204)</f>
        <v>11790515</v>
      </c>
      <c r="Z206" s="2254"/>
      <c r="AA206" s="2070">
        <f>SUM(AA202:AA204)</f>
        <v>12069813</v>
      </c>
      <c r="AB206" s="2069"/>
      <c r="AC206" s="2070">
        <f>SUM(AC202:AC204)</f>
        <v>13375288</v>
      </c>
      <c r="AD206" s="2254"/>
      <c r="AE206" s="2070">
        <f>SUM(AE202:AE204)</f>
        <v>13708134.1</v>
      </c>
      <c r="AF206" s="2254"/>
      <c r="AG206" s="2070">
        <f>SUM(AG202:AG204)</f>
        <v>4566819</v>
      </c>
      <c r="AH206" s="2254"/>
      <c r="AI206" s="2070">
        <f>SUM(AI202:AI204)</f>
        <v>0</v>
      </c>
    </row>
    <row r="207" spans="1:35" x14ac:dyDescent="0.35">
      <c r="A207" s="2973"/>
      <c r="B207" s="2974"/>
      <c r="C207" s="2975"/>
      <c r="D207" s="2975"/>
      <c r="E207" s="2976"/>
      <c r="F207" s="2991" t="s">
        <v>719</v>
      </c>
      <c r="G207" s="2256"/>
      <c r="H207" s="2259"/>
      <c r="I207" s="2074" t="e">
        <f>I206/#REF!</f>
        <v>#REF!</v>
      </c>
      <c r="J207" s="2259"/>
      <c r="K207" s="2074" t="e">
        <f>K206/#REF!</f>
        <v>#REF!</v>
      </c>
      <c r="L207" s="2259"/>
      <c r="M207" s="2074" t="e">
        <f>M206/#REF!</f>
        <v>#REF!</v>
      </c>
      <c r="N207" s="2259"/>
      <c r="O207" s="2074" t="e">
        <f>O206/#REF!</f>
        <v>#REF!</v>
      </c>
      <c r="P207" s="2259"/>
      <c r="Q207" s="2074" t="e">
        <f>Q206/#REF!</f>
        <v>#REF!</v>
      </c>
      <c r="R207" s="2259"/>
      <c r="S207" s="2074" t="e">
        <f>S206/#REF!</f>
        <v>#REF!</v>
      </c>
      <c r="T207" s="2259"/>
      <c r="U207" s="2074" t="e">
        <f>U206/#REF!</f>
        <v>#REF!</v>
      </c>
      <c r="V207" s="2259"/>
      <c r="W207" s="2074" t="e">
        <f>W206/#REF!</f>
        <v>#REF!</v>
      </c>
      <c r="X207" s="2073"/>
      <c r="Y207" s="2074" t="e">
        <f>Y206/#REF!</f>
        <v>#REF!</v>
      </c>
      <c r="Z207" s="2259"/>
      <c r="AA207" s="2074" t="e">
        <f>AA206/#REF!</f>
        <v>#REF!</v>
      </c>
      <c r="AB207" s="2073"/>
      <c r="AC207" s="2074" t="e">
        <f>AC206/'Cost Summary'!#REF!</f>
        <v>#REF!</v>
      </c>
      <c r="AD207" s="2259"/>
      <c r="AE207" s="2074" t="e">
        <f>AE206/#REF!</f>
        <v>#REF!</v>
      </c>
      <c r="AF207" s="2259"/>
      <c r="AG207" s="2074" t="e">
        <f>AG206/#REF!</f>
        <v>#REF!</v>
      </c>
      <c r="AH207" s="2259"/>
      <c r="AI207" s="2074" t="e">
        <f>AI206/#REF!</f>
        <v>#REF!</v>
      </c>
    </row>
    <row r="208" spans="1:35" x14ac:dyDescent="0.35">
      <c r="A208" s="2973"/>
      <c r="B208" s="2974"/>
      <c r="C208" s="2975"/>
      <c r="D208" s="2975"/>
      <c r="E208" s="2976"/>
      <c r="F208" s="2991" t="s">
        <v>720</v>
      </c>
      <c r="G208" s="2260"/>
      <c r="H208" s="2259"/>
      <c r="I208" s="2074" t="e">
        <f>I206/#REF!</f>
        <v>#REF!</v>
      </c>
      <c r="J208" s="2259"/>
      <c r="K208" s="2074" t="e">
        <f>K206/#REF!</f>
        <v>#REF!</v>
      </c>
      <c r="L208" s="2259"/>
      <c r="M208" s="2074" t="e">
        <f>M206/#REF!</f>
        <v>#REF!</v>
      </c>
      <c r="N208" s="2259"/>
      <c r="O208" s="2074" t="e">
        <f>O206/#REF!</f>
        <v>#REF!</v>
      </c>
      <c r="P208" s="2259"/>
      <c r="Q208" s="2074" t="e">
        <f>Q206/#REF!</f>
        <v>#REF!</v>
      </c>
      <c r="R208" s="2259"/>
      <c r="S208" s="2074" t="e">
        <f>S206/#REF!</f>
        <v>#REF!</v>
      </c>
      <c r="T208" s="2259"/>
      <c r="U208" s="2074" t="e">
        <f>U206/#REF!</f>
        <v>#REF!</v>
      </c>
      <c r="V208" s="2259"/>
      <c r="W208" s="2074" t="e">
        <f>W206/#REF!</f>
        <v>#REF!</v>
      </c>
      <c r="X208" s="2073"/>
      <c r="Y208" s="2074" t="e">
        <f>Y206/#REF!</f>
        <v>#REF!</v>
      </c>
      <c r="Z208" s="2259"/>
      <c r="AA208" s="2074" t="e">
        <f>AA206/#REF!</f>
        <v>#REF!</v>
      </c>
      <c r="AB208" s="2073"/>
      <c r="AC208" s="2074" t="e">
        <f>AC206/'Cost Summary'!#REF!</f>
        <v>#REF!</v>
      </c>
      <c r="AD208" s="2259"/>
      <c r="AE208" s="2074" t="e">
        <f>AE206/#REF!</f>
        <v>#REF!</v>
      </c>
      <c r="AF208" s="2259"/>
      <c r="AG208" s="2074" t="e">
        <f>AG206/#REF!</f>
        <v>#REF!</v>
      </c>
      <c r="AH208" s="2259"/>
      <c r="AI208" s="2074" t="e">
        <f>AI206/#REF!</f>
        <v>#REF!</v>
      </c>
    </row>
    <row r="209" spans="1:35" x14ac:dyDescent="0.35">
      <c r="A209" s="2973"/>
      <c r="B209" s="2974"/>
      <c r="C209" s="2975"/>
      <c r="D209" s="2975"/>
      <c r="E209" s="2976"/>
      <c r="F209" s="2977"/>
      <c r="G209" s="2244"/>
      <c r="H209" s="3181"/>
      <c r="I209" s="2079"/>
      <c r="J209" s="3181"/>
      <c r="K209" s="2079"/>
      <c r="L209" s="3181"/>
      <c r="M209" s="2079"/>
      <c r="N209" s="3181"/>
      <c r="O209" s="2079"/>
      <c r="P209" s="3181"/>
      <c r="Q209" s="2079"/>
      <c r="R209" s="3181"/>
      <c r="S209" s="2079"/>
      <c r="T209" s="3181"/>
      <c r="U209" s="2079"/>
      <c r="V209" s="3181"/>
      <c r="W209" s="2079"/>
      <c r="X209" s="2079"/>
      <c r="Y209" s="2079"/>
      <c r="Z209" s="3181"/>
      <c r="AA209" s="2079"/>
      <c r="AB209" s="2079"/>
      <c r="AC209" s="2080"/>
      <c r="AD209" s="3181"/>
      <c r="AE209" s="2079"/>
      <c r="AF209" s="3181"/>
      <c r="AG209" s="2079"/>
      <c r="AH209" s="3181"/>
      <c r="AI209" s="2079"/>
    </row>
    <row r="210" spans="1:35" x14ac:dyDescent="0.35">
      <c r="A210" s="3764" t="s">
        <v>721</v>
      </c>
      <c r="B210" s="3765"/>
      <c r="C210" s="12"/>
      <c r="D210" s="12"/>
      <c r="E210" s="12"/>
      <c r="F210" s="12"/>
      <c r="G210" s="13"/>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row>
    <row r="211" spans="1:35" x14ac:dyDescent="0.35">
      <c r="A211" s="3127"/>
      <c r="B211" s="3031"/>
      <c r="C211" s="3128"/>
      <c r="D211" s="3128"/>
      <c r="E211" s="3128"/>
      <c r="F211" s="3128"/>
      <c r="G211" s="3129"/>
      <c r="H211" s="3130"/>
      <c r="I211" s="3130"/>
      <c r="J211" s="3130"/>
      <c r="K211" s="3130"/>
      <c r="L211" s="3130"/>
      <c r="M211" s="3130"/>
      <c r="N211" s="3130"/>
      <c r="O211" s="3130"/>
      <c r="P211" s="3130"/>
      <c r="Q211" s="3130"/>
      <c r="R211" s="3130"/>
      <c r="S211" s="3130"/>
      <c r="T211" s="3130"/>
      <c r="U211" s="3130"/>
      <c r="V211" s="3130"/>
      <c r="W211" s="3130"/>
      <c r="X211" s="3130"/>
      <c r="Y211" s="3130"/>
      <c r="Z211" s="3130"/>
      <c r="AA211" s="3130"/>
      <c r="AB211" s="3130"/>
      <c r="AC211" s="3130"/>
      <c r="AD211" s="3130"/>
      <c r="AE211" s="3130"/>
      <c r="AF211" s="3130"/>
      <c r="AG211" s="3130"/>
      <c r="AH211" s="3130"/>
      <c r="AI211" s="3130"/>
    </row>
    <row r="212" spans="1:35" x14ac:dyDescent="0.35">
      <c r="A212" s="3127"/>
      <c r="B212" s="3031"/>
      <c r="C212" s="3128"/>
      <c r="D212" s="3128"/>
      <c r="E212" s="3128"/>
      <c r="F212" s="3128"/>
      <c r="G212" s="3129"/>
      <c r="H212" s="3130"/>
      <c r="I212" s="3130"/>
      <c r="J212" s="3130"/>
      <c r="K212" s="3130"/>
      <c r="L212" s="3130"/>
      <c r="M212" s="3130"/>
      <c r="N212" s="3130"/>
      <c r="O212" s="3130"/>
      <c r="P212" s="3130"/>
      <c r="Q212" s="3130"/>
      <c r="R212" s="3130"/>
      <c r="S212" s="3130"/>
      <c r="T212" s="3130"/>
      <c r="U212" s="3130"/>
      <c r="V212" s="3130"/>
      <c r="W212" s="3130"/>
      <c r="X212" s="3130"/>
      <c r="Y212" s="3130"/>
      <c r="Z212" s="3130"/>
      <c r="AA212" s="3130"/>
      <c r="AB212" s="3130"/>
      <c r="AC212" s="3130"/>
      <c r="AD212" s="3130"/>
      <c r="AE212" s="3130"/>
      <c r="AF212" s="3130"/>
      <c r="AG212" s="3130"/>
      <c r="AH212" s="3130"/>
      <c r="AI212" s="3130"/>
    </row>
    <row r="213" spans="1:35" ht="15" hidden="1" customHeight="1" x14ac:dyDescent="0.35">
      <c r="A213" s="3127"/>
      <c r="B213" s="3031"/>
      <c r="C213" s="3128"/>
      <c r="D213" s="3128"/>
      <c r="E213" s="3128"/>
      <c r="F213" s="3128"/>
      <c r="G213" s="3129"/>
      <c r="H213" s="3130"/>
      <c r="I213" s="3130"/>
      <c r="J213" s="3130"/>
      <c r="K213" s="3130"/>
      <c r="L213" s="3130"/>
      <c r="M213" s="3130"/>
      <c r="N213" s="3130"/>
      <c r="O213" s="3130"/>
      <c r="P213" s="3130"/>
      <c r="Q213" s="3130"/>
      <c r="R213" s="3130"/>
      <c r="S213" s="3130"/>
      <c r="T213" s="3130"/>
      <c r="U213" s="3130"/>
      <c r="V213" s="3130"/>
      <c r="W213" s="3130"/>
      <c r="X213" s="3130"/>
      <c r="Y213" s="3130"/>
      <c r="Z213" s="3130"/>
      <c r="AA213" s="3130"/>
      <c r="AB213" s="3130"/>
      <c r="AC213" s="3130"/>
      <c r="AD213" s="3130"/>
      <c r="AE213" s="3130"/>
      <c r="AF213" s="3130"/>
      <c r="AG213" s="3130"/>
      <c r="AH213" s="3130"/>
      <c r="AI213" s="3130"/>
    </row>
    <row r="214" spans="1:35" s="2" customFormat="1" ht="16.5" hidden="1" customHeight="1" x14ac:dyDescent="0.35">
      <c r="A214" s="3764" t="s">
        <v>722</v>
      </c>
      <c r="B214" s="3765"/>
      <c r="C214" s="12"/>
      <c r="D214" s="12"/>
      <c r="E214" s="12"/>
      <c r="F214" s="12"/>
      <c r="G214" s="13"/>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row>
    <row r="215" spans="1:35" s="2" customFormat="1" x14ac:dyDescent="0.35">
      <c r="A215" s="3127"/>
      <c r="B215" s="3031"/>
      <c r="C215" s="3128"/>
      <c r="D215" s="3128"/>
      <c r="E215" s="3128"/>
      <c r="F215" s="3128"/>
      <c r="G215" s="3129"/>
      <c r="H215" s="3130"/>
      <c r="I215" s="3130"/>
      <c r="J215" s="3130"/>
      <c r="K215" s="3130"/>
      <c r="L215" s="3130"/>
      <c r="M215" s="3130"/>
      <c r="N215" s="3130"/>
      <c r="O215" s="3130"/>
      <c r="P215" s="3130"/>
      <c r="Q215" s="3130"/>
      <c r="R215" s="3130"/>
      <c r="S215" s="3130"/>
      <c r="T215" s="3130"/>
      <c r="U215" s="3130"/>
      <c r="V215" s="3130"/>
      <c r="W215" s="3130"/>
      <c r="X215" s="3130"/>
      <c r="Y215" s="3130"/>
      <c r="Z215" s="3130"/>
      <c r="AA215" s="3130"/>
      <c r="AB215" s="3130"/>
      <c r="AC215" s="3130"/>
      <c r="AD215" s="3130"/>
      <c r="AE215" s="3130"/>
      <c r="AF215" s="3130"/>
      <c r="AG215" s="3130"/>
      <c r="AH215" s="3130"/>
      <c r="AI215" s="3130"/>
    </row>
    <row r="216" spans="1:35" s="2" customFormat="1" x14ac:dyDescent="0.35">
      <c r="A216" s="3127"/>
      <c r="B216" s="3031"/>
      <c r="C216" s="3128"/>
      <c r="D216" s="3128"/>
      <c r="E216" s="3128"/>
      <c r="F216" s="3128"/>
      <c r="G216" s="3129"/>
      <c r="H216" s="3130"/>
      <c r="I216" s="3130"/>
      <c r="J216" s="3130"/>
      <c r="K216" s="3130"/>
      <c r="L216" s="3130"/>
      <c r="M216" s="3130"/>
      <c r="N216" s="3130"/>
      <c r="O216" s="3130"/>
      <c r="P216" s="3130"/>
      <c r="Q216" s="3130"/>
      <c r="R216" s="3130"/>
      <c r="S216" s="3130"/>
      <c r="T216" s="3130"/>
      <c r="U216" s="3130"/>
      <c r="V216" s="3130"/>
      <c r="W216" s="3130"/>
      <c r="X216" s="3130"/>
      <c r="Y216" s="3130"/>
      <c r="Z216" s="3130"/>
      <c r="AA216" s="3130"/>
      <c r="AB216" s="3130"/>
      <c r="AC216" s="3130"/>
      <c r="AD216" s="3130"/>
      <c r="AE216" s="3130"/>
      <c r="AF216" s="3130"/>
      <c r="AG216" s="3130"/>
      <c r="AH216" s="3130"/>
      <c r="AI216" s="3130"/>
    </row>
    <row r="217" spans="1:35" x14ac:dyDescent="0.35">
      <c r="A217" s="3127"/>
      <c r="B217" s="3031"/>
      <c r="C217" s="3128"/>
      <c r="D217" s="3128"/>
      <c r="E217" s="3128"/>
      <c r="F217" s="3128"/>
      <c r="G217" s="3129"/>
      <c r="H217" s="3130"/>
      <c r="I217" s="3130"/>
      <c r="J217" s="3130"/>
      <c r="K217" s="3130"/>
      <c r="L217" s="3130"/>
      <c r="M217" s="3130"/>
      <c r="N217" s="3130"/>
      <c r="O217" s="3130"/>
      <c r="P217" s="3130"/>
      <c r="Q217" s="3130"/>
      <c r="R217" s="3130"/>
      <c r="S217" s="3130"/>
      <c r="T217" s="3130"/>
      <c r="U217" s="3130"/>
      <c r="V217" s="3130"/>
      <c r="W217" s="3130"/>
      <c r="X217" s="3130"/>
      <c r="Y217" s="3130"/>
      <c r="Z217" s="3130"/>
      <c r="AA217" s="3130"/>
      <c r="AB217" s="3130"/>
      <c r="AC217" s="3130"/>
      <c r="AD217" s="3130"/>
      <c r="AE217" s="3130"/>
      <c r="AF217" s="3130"/>
      <c r="AG217" s="3130"/>
      <c r="AH217" s="3130"/>
      <c r="AI217" s="3130"/>
    </row>
    <row r="218" spans="1:35" s="2" customFormat="1" x14ac:dyDescent="0.35">
      <c r="A218" s="3764" t="s">
        <v>723</v>
      </c>
      <c r="B218" s="3765"/>
      <c r="C218" s="12"/>
      <c r="D218" s="12"/>
      <c r="E218" s="12"/>
      <c r="F218" s="12"/>
      <c r="G218" s="13"/>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row>
    <row r="219" spans="1:35" s="2" customFormat="1" ht="14.25" hidden="1" customHeight="1" x14ac:dyDescent="0.35">
      <c r="A219" s="3127"/>
      <c r="B219" s="3031"/>
      <c r="C219" s="3128"/>
      <c r="D219" s="3128"/>
      <c r="E219" s="3128"/>
      <c r="F219" s="3128"/>
      <c r="G219" s="3129"/>
      <c r="H219" s="3130"/>
      <c r="I219" s="3130"/>
      <c r="J219" s="3130"/>
      <c r="K219" s="3130"/>
      <c r="L219" s="3130"/>
      <c r="M219" s="3130"/>
      <c r="N219" s="3130"/>
      <c r="O219" s="3130"/>
      <c r="P219" s="3130"/>
      <c r="Q219" s="3130"/>
      <c r="R219" s="3130"/>
      <c r="S219" s="3130"/>
      <c r="T219" s="3130"/>
      <c r="U219" s="3130"/>
      <c r="V219" s="3130"/>
      <c r="W219" s="3130"/>
      <c r="X219" s="3130"/>
      <c r="Y219" s="3130"/>
      <c r="Z219" s="3130"/>
      <c r="AA219" s="3130"/>
      <c r="AB219" s="3130"/>
      <c r="AC219" s="3130"/>
      <c r="AD219" s="3130"/>
      <c r="AE219" s="3130"/>
      <c r="AF219" s="3130"/>
      <c r="AG219" s="3130"/>
      <c r="AH219" s="3130"/>
      <c r="AI219" s="3130"/>
    </row>
    <row r="220" spans="1:35" s="2" customFormat="1" ht="15.75" hidden="1" customHeight="1" x14ac:dyDescent="0.35">
      <c r="A220" s="3035"/>
      <c r="B220" s="3031"/>
      <c r="C220" s="3032"/>
      <c r="D220" s="3032"/>
      <c r="E220" s="3032"/>
      <c r="F220" s="3032"/>
      <c r="G220" s="2198"/>
      <c r="H220" s="2081"/>
      <c r="I220" s="2081"/>
      <c r="J220" s="2081"/>
      <c r="K220" s="2081"/>
      <c r="L220" s="2081"/>
      <c r="M220" s="2081"/>
      <c r="N220" s="2081"/>
      <c r="O220" s="2081"/>
      <c r="P220" s="2081"/>
      <c r="Q220" s="2081"/>
      <c r="R220" s="2081"/>
      <c r="S220" s="2081"/>
      <c r="T220" s="2081"/>
      <c r="U220" s="2081"/>
      <c r="V220" s="2081"/>
      <c r="W220" s="2081"/>
      <c r="X220" s="2081"/>
      <c r="Y220" s="2081"/>
      <c r="Z220" s="2081"/>
      <c r="AA220" s="2081"/>
      <c r="AB220" s="2081"/>
      <c r="AC220" s="2081"/>
      <c r="AD220" s="2081"/>
      <c r="AE220" s="2081"/>
      <c r="AF220" s="2081"/>
      <c r="AG220" s="2081"/>
      <c r="AH220" s="2081"/>
      <c r="AI220" s="2081"/>
    </row>
    <row r="221" spans="1:35" s="2" customFormat="1" ht="15.75" customHeight="1" x14ac:dyDescent="0.35">
      <c r="A221" s="3035"/>
      <c r="B221" s="3031" t="s">
        <v>3881</v>
      </c>
      <c r="C221" s="3032"/>
      <c r="D221" s="3032"/>
      <c r="E221" s="3032"/>
      <c r="F221" s="3032"/>
      <c r="G221" s="2198"/>
      <c r="H221" s="2081"/>
      <c r="I221" s="2081"/>
      <c r="J221" s="2081"/>
      <c r="K221" s="2081"/>
      <c r="L221" s="2081"/>
      <c r="M221" s="2081"/>
      <c r="N221" s="2081"/>
      <c r="O221" s="2081">
        <v>297672</v>
      </c>
      <c r="P221" s="2081"/>
      <c r="Q221" s="2081">
        <v>297672</v>
      </c>
      <c r="R221" s="2081"/>
      <c r="S221" s="2081"/>
      <c r="T221" s="2081"/>
      <c r="U221" s="2081"/>
      <c r="V221" s="2081"/>
      <c r="W221" s="2081"/>
      <c r="X221" s="2081"/>
      <c r="Y221" s="2081"/>
      <c r="Z221" s="2081"/>
      <c r="AA221" s="2081"/>
      <c r="AB221" s="2081"/>
      <c r="AC221" s="2081"/>
      <c r="AD221" s="2081"/>
      <c r="AE221" s="2081"/>
      <c r="AF221" s="2081"/>
      <c r="AG221" s="2081"/>
      <c r="AH221" s="2081"/>
      <c r="AI221" s="2081"/>
    </row>
    <row r="222" spans="1:35" s="2" customFormat="1" ht="15.75" customHeight="1" x14ac:dyDescent="0.35">
      <c r="A222" s="3035"/>
      <c r="B222" s="3031"/>
      <c r="C222" s="3032"/>
      <c r="D222" s="3032"/>
      <c r="E222" s="3032"/>
      <c r="F222" s="3032"/>
      <c r="G222" s="2198"/>
      <c r="H222" s="2081"/>
      <c r="I222" s="2081"/>
      <c r="J222" s="2081"/>
      <c r="K222" s="2081"/>
      <c r="L222" s="2081"/>
      <c r="M222" s="2081"/>
      <c r="N222" s="2081"/>
      <c r="O222" s="2081"/>
      <c r="P222" s="2081"/>
      <c r="Q222" s="2081"/>
      <c r="R222" s="2081"/>
      <c r="S222" s="2081"/>
      <c r="T222" s="2081"/>
      <c r="U222" s="2081"/>
      <c r="V222" s="2081"/>
      <c r="W222" s="2081"/>
      <c r="X222" s="2081"/>
      <c r="Y222" s="2081"/>
      <c r="Z222" s="2081"/>
      <c r="AA222" s="2081"/>
      <c r="AB222" s="2081"/>
      <c r="AC222" s="2081"/>
      <c r="AD222" s="2081"/>
      <c r="AE222" s="2081"/>
      <c r="AF222" s="2081"/>
      <c r="AG222" s="2081"/>
      <c r="AH222" s="2081"/>
      <c r="AI222" s="2081"/>
    </row>
    <row r="223" spans="1:35" s="2" customFormat="1" x14ac:dyDescent="0.35">
      <c r="A223" s="3012"/>
      <c r="B223" s="3019"/>
      <c r="C223" s="3032"/>
      <c r="D223" s="3032"/>
      <c r="E223" s="3032"/>
      <c r="F223" s="3032"/>
      <c r="G223" s="2198"/>
      <c r="H223" s="2084"/>
      <c r="I223" s="2084"/>
      <c r="J223" s="2084"/>
      <c r="K223" s="2084"/>
      <c r="L223" s="2084"/>
      <c r="M223" s="2084"/>
      <c r="N223" s="2084"/>
      <c r="O223" s="2084"/>
      <c r="P223" s="2084"/>
      <c r="Q223" s="2084"/>
      <c r="R223" s="2084"/>
      <c r="S223" s="2084"/>
      <c r="T223" s="2084"/>
      <c r="U223" s="2084"/>
      <c r="V223" s="2084"/>
      <c r="W223" s="2084"/>
      <c r="X223" s="2084"/>
      <c r="Y223" s="2084"/>
      <c r="Z223" s="2084"/>
      <c r="AA223" s="2084"/>
      <c r="AB223" s="2084"/>
      <c r="AC223" s="2084"/>
      <c r="AD223" s="2084"/>
      <c r="AE223" s="2084"/>
      <c r="AF223" s="2084"/>
      <c r="AG223" s="2084"/>
      <c r="AH223" s="2084"/>
      <c r="AI223" s="2084"/>
    </row>
    <row r="224" spans="1:35" s="2" customFormat="1" x14ac:dyDescent="0.35">
      <c r="A224" s="3764" t="s">
        <v>724</v>
      </c>
      <c r="B224" s="3765"/>
      <c r="C224" s="12"/>
      <c r="D224" s="12"/>
      <c r="E224" s="12"/>
      <c r="F224" s="12"/>
      <c r="G224" s="13"/>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row>
    <row r="225" spans="1:35" x14ac:dyDescent="0.35">
      <c r="A225" s="3131"/>
      <c r="B225" s="3132" t="s">
        <v>3882</v>
      </c>
      <c r="C225" s="3128"/>
      <c r="D225" s="3128"/>
      <c r="E225" s="3128"/>
      <c r="F225" s="3128"/>
      <c r="G225" s="3129"/>
      <c r="H225" s="3130"/>
      <c r="I225" s="3130"/>
      <c r="J225" s="3130"/>
      <c r="K225" s="3130"/>
      <c r="L225" s="3130"/>
      <c r="M225" s="3130"/>
      <c r="N225" s="3130"/>
      <c r="O225" s="3130"/>
      <c r="P225" s="3130"/>
      <c r="Q225" s="3130"/>
      <c r="R225" s="3130"/>
      <c r="S225" s="3130"/>
      <c r="T225" s="3130"/>
      <c r="U225" s="3182">
        <v>-195155</v>
      </c>
      <c r="V225" s="3130"/>
      <c r="W225" s="3182">
        <v>-195155</v>
      </c>
      <c r="X225" s="3130"/>
      <c r="Y225" s="3130"/>
      <c r="Z225" s="3130"/>
      <c r="AA225" s="3130"/>
      <c r="AB225" s="3130"/>
      <c r="AC225" s="3130"/>
      <c r="AD225" s="3130"/>
      <c r="AE225" s="3130"/>
      <c r="AF225" s="3130"/>
      <c r="AG225" s="3130"/>
      <c r="AH225" s="3130"/>
      <c r="AI225" s="3130"/>
    </row>
    <row r="226" spans="1:35" x14ac:dyDescent="0.35">
      <c r="A226" s="3012"/>
      <c r="B226" s="3019"/>
      <c r="C226" s="3032"/>
      <c r="D226" s="3032"/>
      <c r="E226" s="3032"/>
      <c r="F226" s="3032"/>
      <c r="G226" s="2198"/>
      <c r="H226" s="2087"/>
      <c r="I226" s="2087"/>
      <c r="J226" s="2087"/>
      <c r="K226" s="2087"/>
      <c r="L226" s="2087"/>
      <c r="M226" s="2087"/>
      <c r="N226" s="2087"/>
      <c r="O226" s="2087"/>
      <c r="P226" s="2087"/>
      <c r="Q226" s="2087"/>
      <c r="R226" s="2087"/>
      <c r="S226" s="2087"/>
      <c r="T226" s="2087"/>
      <c r="U226" s="2087"/>
      <c r="V226" s="2087"/>
      <c r="W226" s="2087"/>
      <c r="X226" s="2087"/>
      <c r="Y226" s="2087"/>
      <c r="Z226" s="2087"/>
      <c r="AA226" s="2087"/>
      <c r="AB226" s="2087"/>
      <c r="AC226" s="2087"/>
      <c r="AD226" s="2087"/>
      <c r="AE226" s="2087"/>
      <c r="AF226" s="2087"/>
      <c r="AG226" s="2087"/>
      <c r="AH226" s="2087"/>
      <c r="AI226" s="2087"/>
    </row>
    <row r="227" spans="1:35" x14ac:dyDescent="0.35">
      <c r="A227" s="3012"/>
      <c r="B227" s="3019"/>
      <c r="C227" s="3032"/>
      <c r="D227" s="3032"/>
      <c r="E227" s="3032"/>
      <c r="F227" s="3032"/>
      <c r="G227" s="2198"/>
      <c r="H227" s="2087"/>
      <c r="I227" s="2087"/>
      <c r="J227" s="2087"/>
      <c r="K227" s="2087"/>
      <c r="L227" s="2087"/>
      <c r="M227" s="2087"/>
      <c r="N227" s="2087"/>
      <c r="O227" s="2087"/>
      <c r="P227" s="2087"/>
      <c r="Q227" s="2087"/>
      <c r="R227" s="2087"/>
      <c r="S227" s="2087"/>
      <c r="T227" s="2087"/>
      <c r="U227" s="2087"/>
      <c r="V227" s="2087"/>
      <c r="W227" s="2087"/>
      <c r="X227" s="2087"/>
      <c r="Y227" s="2087"/>
      <c r="Z227" s="2087"/>
      <c r="AA227" s="2087"/>
      <c r="AB227" s="2087"/>
      <c r="AC227" s="2087"/>
      <c r="AD227" s="2087"/>
      <c r="AE227" s="2087"/>
      <c r="AF227" s="2087"/>
      <c r="AG227" s="2087"/>
      <c r="AH227" s="2087"/>
      <c r="AI227" s="2087"/>
    </row>
    <row r="228" spans="1:35" x14ac:dyDescent="0.35">
      <c r="A228" s="3764" t="s">
        <v>725</v>
      </c>
      <c r="B228" s="3765"/>
      <c r="C228" s="12"/>
      <c r="D228" s="12"/>
      <c r="E228" s="12"/>
      <c r="F228" s="12"/>
      <c r="G228" s="13"/>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row>
    <row r="229" spans="1:35" x14ac:dyDescent="0.35">
      <c r="A229" s="3035"/>
      <c r="B229" s="3031" t="s">
        <v>726</v>
      </c>
      <c r="C229" s="3032"/>
      <c r="D229" s="3032"/>
      <c r="E229" s="3032"/>
      <c r="F229" s="3032"/>
      <c r="G229" s="2198"/>
      <c r="H229" s="2087"/>
      <c r="I229" s="2087"/>
      <c r="J229" s="2087"/>
      <c r="K229" s="2087"/>
      <c r="L229" s="2087"/>
      <c r="M229" s="2087"/>
      <c r="N229" s="2087"/>
      <c r="O229" s="2087"/>
      <c r="P229" s="2087"/>
      <c r="Q229" s="2087"/>
      <c r="R229" s="2087"/>
      <c r="S229" s="2087"/>
      <c r="T229" s="2087"/>
      <c r="U229" s="2087"/>
      <c r="V229" s="2087"/>
      <c r="W229" s="2087"/>
      <c r="X229" s="2087"/>
      <c r="Y229" s="2087"/>
      <c r="Z229" s="2087"/>
      <c r="AA229" s="2087"/>
      <c r="AB229" s="2087"/>
      <c r="AC229" s="2087"/>
      <c r="AD229" s="2087"/>
      <c r="AE229" s="2087"/>
      <c r="AF229" s="2087"/>
      <c r="AG229" s="2087"/>
      <c r="AH229" s="2087"/>
      <c r="AI229" s="2087"/>
    </row>
    <row r="230" spans="1:35" x14ac:dyDescent="0.35">
      <c r="A230" s="3035"/>
      <c r="B230" s="3031" t="s">
        <v>727</v>
      </c>
      <c r="C230" s="3032"/>
      <c r="D230" s="3032"/>
      <c r="E230" s="3032"/>
      <c r="F230" s="3032"/>
      <c r="G230" s="2198"/>
      <c r="H230" s="2087"/>
      <c r="I230" s="2087"/>
      <c r="J230" s="2087"/>
      <c r="K230" s="2087"/>
      <c r="L230" s="2087"/>
      <c r="M230" s="2087"/>
      <c r="N230" s="2087"/>
      <c r="O230" s="2087"/>
      <c r="P230" s="2087"/>
      <c r="Q230" s="2087"/>
      <c r="R230" s="2087"/>
      <c r="S230" s="2087"/>
      <c r="T230" s="2087"/>
      <c r="U230" s="2087"/>
      <c r="V230" s="2087"/>
      <c r="W230" s="2087"/>
      <c r="X230" s="2087"/>
      <c r="Y230" s="2087"/>
      <c r="Z230" s="2087"/>
      <c r="AA230" s="2087"/>
      <c r="AB230" s="2087"/>
      <c r="AC230" s="2087"/>
      <c r="AD230" s="2087"/>
      <c r="AE230" s="2087"/>
      <c r="AF230" s="2087"/>
      <c r="AG230" s="2087"/>
      <c r="AH230" s="2087"/>
      <c r="AI230" s="2087"/>
    </row>
    <row r="231" spans="1:35" x14ac:dyDescent="0.35">
      <c r="A231" s="3035"/>
      <c r="B231" s="3031" t="s">
        <v>728</v>
      </c>
      <c r="C231" s="3032"/>
      <c r="D231" s="3032"/>
      <c r="E231" s="3032"/>
      <c r="F231" s="3032"/>
      <c r="G231" s="2198"/>
      <c r="H231" s="2087"/>
      <c r="I231" s="2087"/>
      <c r="J231" s="2087"/>
      <c r="K231" s="2087"/>
      <c r="L231" s="2087"/>
      <c r="M231" s="2087"/>
      <c r="N231" s="2087"/>
      <c r="O231" s="2087"/>
      <c r="P231" s="2087"/>
      <c r="Q231" s="2087"/>
      <c r="R231" s="2087"/>
      <c r="S231" s="2087"/>
      <c r="T231" s="2087"/>
      <c r="U231" s="2087"/>
      <c r="V231" s="2087"/>
      <c r="W231" s="2087"/>
      <c r="X231" s="2087"/>
      <c r="Y231" s="2087"/>
      <c r="Z231" s="2087"/>
      <c r="AA231" s="2087"/>
      <c r="AB231" s="2087"/>
      <c r="AC231" s="2087"/>
      <c r="AD231" s="2087"/>
      <c r="AE231" s="2087"/>
      <c r="AF231" s="2087"/>
      <c r="AG231" s="2087"/>
      <c r="AH231" s="2087"/>
      <c r="AI231" s="2087"/>
    </row>
    <row r="232" spans="1:35" x14ac:dyDescent="0.35">
      <c r="A232" s="3035"/>
      <c r="B232" s="3031" t="s">
        <v>729</v>
      </c>
      <c r="C232" s="3032"/>
      <c r="D232" s="3032"/>
      <c r="E232" s="3032"/>
      <c r="F232" s="3032"/>
      <c r="G232" s="2198"/>
      <c r="H232" s="2087"/>
      <c r="I232" s="2087"/>
      <c r="J232" s="2087"/>
      <c r="K232" s="2087"/>
      <c r="L232" s="2087"/>
      <c r="M232" s="2087"/>
      <c r="N232" s="2087"/>
      <c r="O232" s="2087"/>
      <c r="P232" s="2087"/>
      <c r="Q232" s="2087"/>
      <c r="R232" s="2087"/>
      <c r="S232" s="2087"/>
      <c r="T232" s="2087"/>
      <c r="U232" s="2087"/>
      <c r="V232" s="2087"/>
      <c r="W232" s="2087"/>
      <c r="X232" s="2087"/>
      <c r="Y232" s="2087"/>
      <c r="Z232" s="2087"/>
      <c r="AA232" s="2087"/>
      <c r="AB232" s="2087"/>
      <c r="AC232" s="2087"/>
      <c r="AD232" s="2087"/>
      <c r="AE232" s="2087"/>
      <c r="AF232" s="2087"/>
      <c r="AG232" s="2087"/>
      <c r="AH232" s="2087"/>
      <c r="AI232" s="2087"/>
    </row>
    <row r="233" spans="1:35" x14ac:dyDescent="0.35">
      <c r="A233" s="978"/>
      <c r="B233" s="939"/>
      <c r="C233" s="940"/>
      <c r="D233" s="940"/>
      <c r="E233" s="940"/>
      <c r="F233" s="940"/>
      <c r="G233" s="1039"/>
      <c r="H233" s="981"/>
      <c r="I233" s="981"/>
      <c r="J233" s="981"/>
      <c r="K233" s="981"/>
      <c r="L233" s="981"/>
      <c r="M233" s="981"/>
      <c r="N233" s="981"/>
      <c r="O233" s="981"/>
      <c r="P233" s="981"/>
      <c r="Q233" s="981"/>
      <c r="R233" s="981"/>
      <c r="S233" s="981"/>
      <c r="T233" s="981"/>
      <c r="U233" s="981"/>
      <c r="V233" s="981"/>
      <c r="W233" s="981"/>
      <c r="X233" s="981"/>
      <c r="Y233" s="981"/>
      <c r="Z233" s="981"/>
      <c r="AA233" s="981"/>
      <c r="AB233" s="981"/>
      <c r="AC233" s="981"/>
      <c r="AD233" s="981"/>
      <c r="AE233" s="981"/>
      <c r="AF233" s="981"/>
      <c r="AG233" s="981"/>
      <c r="AH233" s="981"/>
      <c r="AI233" s="981"/>
    </row>
    <row r="234" spans="1:35" x14ac:dyDescent="0.35">
      <c r="A234" s="7" t="s">
        <v>730</v>
      </c>
      <c r="B234" s="8"/>
      <c r="C234" s="12"/>
      <c r="D234" s="12"/>
      <c r="E234" s="12"/>
      <c r="F234" s="12"/>
      <c r="G234" s="13"/>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row>
    <row r="235" spans="1:35" x14ac:dyDescent="0.35">
      <c r="A235" s="3127"/>
      <c r="B235" s="3133" t="s">
        <v>731</v>
      </c>
      <c r="C235" s="3128"/>
      <c r="D235" s="3128"/>
      <c r="E235" s="3128"/>
      <c r="F235" s="3128"/>
      <c r="G235" s="3129"/>
      <c r="H235" s="3134"/>
      <c r="I235" s="3134"/>
      <c r="J235" s="3134"/>
      <c r="K235" s="3134"/>
      <c r="L235" s="3134"/>
      <c r="M235" s="3134"/>
      <c r="N235" s="3134"/>
      <c r="O235" s="3134"/>
      <c r="P235" s="3134"/>
      <c r="Q235" s="3134"/>
      <c r="R235" s="3134"/>
      <c r="S235" s="3134"/>
      <c r="T235" s="3134"/>
      <c r="U235" s="3134"/>
      <c r="V235" s="3134"/>
      <c r="W235" s="3134"/>
      <c r="X235" s="3134"/>
      <c r="Y235" s="3134"/>
      <c r="Z235" s="3134"/>
      <c r="AA235" s="3134"/>
      <c r="AB235" s="3134"/>
      <c r="AC235" s="3134"/>
      <c r="AD235" s="3134"/>
      <c r="AE235" s="3134"/>
      <c r="AF235" s="3134"/>
      <c r="AG235" s="3134"/>
      <c r="AH235" s="3134"/>
      <c r="AI235" s="3134"/>
    </row>
    <row r="236" spans="1:35" x14ac:dyDescent="0.35">
      <c r="A236" s="3035"/>
      <c r="B236" s="3031" t="s">
        <v>732</v>
      </c>
      <c r="C236" s="3032"/>
      <c r="D236" s="3032"/>
      <c r="E236" s="3032"/>
      <c r="F236" s="3032"/>
      <c r="G236" s="2198"/>
      <c r="H236" s="2158"/>
      <c r="I236" s="2158"/>
      <c r="J236" s="2158"/>
      <c r="K236" s="2158"/>
      <c r="L236" s="2158"/>
      <c r="M236" s="2158"/>
      <c r="N236" s="2158"/>
      <c r="O236" s="2158"/>
      <c r="P236" s="2158"/>
      <c r="Q236" s="2158"/>
      <c r="R236" s="2158"/>
      <c r="S236" s="2158"/>
      <c r="T236" s="2158"/>
      <c r="U236" s="2158"/>
      <c r="V236" s="2158"/>
      <c r="W236" s="2158"/>
      <c r="X236" s="2158"/>
      <c r="Y236" s="2158"/>
      <c r="Z236" s="2158"/>
      <c r="AA236" s="2158"/>
      <c r="AB236" s="2158"/>
      <c r="AC236" s="2158"/>
      <c r="AD236" s="2158"/>
      <c r="AE236" s="2158"/>
      <c r="AF236" s="2158"/>
      <c r="AG236" s="2158"/>
      <c r="AH236" s="2158"/>
      <c r="AI236" s="2158"/>
    </row>
    <row r="237" spans="1:35" x14ac:dyDescent="0.35">
      <c r="A237" s="2089"/>
      <c r="B237" s="2090" t="s">
        <v>733</v>
      </c>
      <c r="C237" s="2091"/>
      <c r="D237" s="2091"/>
      <c r="E237" s="2091"/>
      <c r="F237" s="2091"/>
      <c r="G237" s="2092"/>
      <c r="H237" s="2093"/>
      <c r="I237" s="2093"/>
      <c r="J237" s="2093"/>
      <c r="K237" s="2093"/>
      <c r="L237" s="2093"/>
      <c r="M237" s="2093"/>
      <c r="N237" s="2093"/>
      <c r="O237" s="2093"/>
      <c r="P237" s="2093"/>
      <c r="Q237" s="2093"/>
      <c r="R237" s="2093"/>
      <c r="S237" s="2093"/>
      <c r="T237" s="2093"/>
      <c r="U237" s="2093"/>
      <c r="V237" s="2093"/>
      <c r="W237" s="2093"/>
      <c r="X237" s="2093"/>
      <c r="Y237" s="2093"/>
      <c r="Z237" s="2093"/>
      <c r="AA237" s="2093"/>
      <c r="AB237" s="2093"/>
      <c r="AC237" s="2093"/>
      <c r="AD237" s="2093"/>
      <c r="AE237" s="2093"/>
      <c r="AF237" s="2093"/>
      <c r="AG237" s="2093"/>
      <c r="AH237" s="2093"/>
      <c r="AI237" s="2093"/>
    </row>
    <row r="238" spans="1:35" x14ac:dyDescent="0.35">
      <c r="AC238" s="2"/>
    </row>
    <row r="239" spans="1:35" x14ac:dyDescent="0.35">
      <c r="A239" s="78" t="s">
        <v>734</v>
      </c>
      <c r="B239" s="80"/>
      <c r="AC239" s="2"/>
    </row>
    <row r="240" spans="1:35" x14ac:dyDescent="0.35">
      <c r="A240" s="79" t="s">
        <v>632</v>
      </c>
      <c r="B240" s="2094" t="str">
        <f>N4</f>
        <v>Redland R1</v>
      </c>
      <c r="AC240" s="2"/>
    </row>
    <row r="241" spans="1:29" x14ac:dyDescent="0.35">
      <c r="A241" s="3029" t="s">
        <v>636</v>
      </c>
      <c r="B241" s="2094" t="str">
        <f>N5</f>
        <v>David Carmona</v>
      </c>
      <c r="AC241" s="2"/>
    </row>
    <row r="242" spans="1:29" x14ac:dyDescent="0.35">
      <c r="A242" s="2096" t="s">
        <v>639</v>
      </c>
      <c r="B242" s="2097">
        <f>N6</f>
        <v>3052473226</v>
      </c>
      <c r="AC242" s="2"/>
    </row>
    <row r="243" spans="1:29" x14ac:dyDescent="0.35">
      <c r="A243" s="2096" t="s">
        <v>642</v>
      </c>
      <c r="B243" s="2159" t="str">
        <f>N7</f>
        <v>david.carmona@redlandcompany.com</v>
      </c>
      <c r="AC243" s="2"/>
    </row>
    <row r="244" spans="1:29" x14ac:dyDescent="0.35">
      <c r="A244" s="2099" t="s">
        <v>735</v>
      </c>
      <c r="B244" s="2100">
        <f>N8</f>
        <v>10941785</v>
      </c>
      <c r="C244" s="169"/>
      <c r="AC244" s="2"/>
    </row>
    <row r="245" spans="1:29" x14ac:dyDescent="0.35">
      <c r="AC245" s="2"/>
    </row>
    <row r="246" spans="1:29" x14ac:dyDescent="0.35">
      <c r="A246" s="81"/>
      <c r="B246" s="1" t="s">
        <v>736</v>
      </c>
      <c r="AC246" s="2"/>
    </row>
    <row r="247" spans="1:29" x14ac:dyDescent="0.35">
      <c r="A247" s="82"/>
      <c r="B247" s="1" t="s">
        <v>737</v>
      </c>
      <c r="AC247" s="2"/>
    </row>
  </sheetData>
  <mergeCells count="103">
    <mergeCell ref="J8:K8"/>
    <mergeCell ref="J2:K2"/>
    <mergeCell ref="J3:K3"/>
    <mergeCell ref="J4:K4"/>
    <mergeCell ref="J5:K5"/>
    <mergeCell ref="J6:K6"/>
    <mergeCell ref="AD4:AE4"/>
    <mergeCell ref="AD5:AE5"/>
    <mergeCell ref="AD6:AE6"/>
    <mergeCell ref="T4:U4"/>
    <mergeCell ref="T6:U6"/>
    <mergeCell ref="AD7:AE7"/>
    <mergeCell ref="AD8:AE8"/>
    <mergeCell ref="AB6:AC6"/>
    <mergeCell ref="AB7:AC7"/>
    <mergeCell ref="AB8:AC8"/>
    <mergeCell ref="T8:U8"/>
    <mergeCell ref="AB4:AC4"/>
    <mergeCell ref="AB5:AC5"/>
    <mergeCell ref="T7:U7"/>
    <mergeCell ref="V7:W7"/>
    <mergeCell ref="V8:W8"/>
    <mergeCell ref="N7:O7"/>
    <mergeCell ref="N8:O8"/>
    <mergeCell ref="A228:B228"/>
    <mergeCell ref="Z4:AA4"/>
    <mergeCell ref="Z5:AA5"/>
    <mergeCell ref="Z6:AA6"/>
    <mergeCell ref="Z7:AA7"/>
    <mergeCell ref="Z8:AA8"/>
    <mergeCell ref="X4:Y4"/>
    <mergeCell ref="X5:Y5"/>
    <mergeCell ref="X6:Y6"/>
    <mergeCell ref="X7:Y7"/>
    <mergeCell ref="X8:Y8"/>
    <mergeCell ref="A210:B210"/>
    <mergeCell ref="A214:B214"/>
    <mergeCell ref="A218:B218"/>
    <mergeCell ref="A224:B224"/>
    <mergeCell ref="T5:U5"/>
    <mergeCell ref="H4:I4"/>
    <mergeCell ref="H5:I5"/>
    <mergeCell ref="H6:I6"/>
    <mergeCell ref="H7:I7"/>
    <mergeCell ref="H8:I8"/>
    <mergeCell ref="R7:S7"/>
    <mergeCell ref="R8:S8"/>
    <mergeCell ref="J7:K7"/>
    <mergeCell ref="AF8:AG8"/>
    <mergeCell ref="AH4:AI4"/>
    <mergeCell ref="AH5:AI5"/>
    <mergeCell ref="AH6:AI6"/>
    <mergeCell ref="AH7:AI7"/>
    <mergeCell ref="AH8:AI8"/>
    <mergeCell ref="AF4:AG4"/>
    <mergeCell ref="AF5:AG5"/>
    <mergeCell ref="AF6:AG6"/>
    <mergeCell ref="AF7:AG7"/>
    <mergeCell ref="AH3:AI3"/>
    <mergeCell ref="X2:Y2"/>
    <mergeCell ref="Z2:AA2"/>
    <mergeCell ref="AB2:AC2"/>
    <mergeCell ref="H2:I2"/>
    <mergeCell ref="AF2:AG2"/>
    <mergeCell ref="AH2:AI2"/>
    <mergeCell ref="X3:Y3"/>
    <mergeCell ref="Z3:AA3"/>
    <mergeCell ref="AB3:AC3"/>
    <mergeCell ref="H3:I3"/>
    <mergeCell ref="AF3:AG3"/>
    <mergeCell ref="AD3:AE3"/>
    <mergeCell ref="AD2:AE2"/>
    <mergeCell ref="T2:U2"/>
    <mergeCell ref="T3:U3"/>
    <mergeCell ref="N2:O2"/>
    <mergeCell ref="N3:O3"/>
    <mergeCell ref="N4:O4"/>
    <mergeCell ref="N5:O5"/>
    <mergeCell ref="N6:O6"/>
    <mergeCell ref="L7:M7"/>
    <mergeCell ref="L8:M8"/>
    <mergeCell ref="L2:M2"/>
    <mergeCell ref="L3:M3"/>
    <mergeCell ref="L4:M4"/>
    <mergeCell ref="L5:M5"/>
    <mergeCell ref="L6:M6"/>
    <mergeCell ref="P7:Q7"/>
    <mergeCell ref="P8:Q8"/>
    <mergeCell ref="P2:Q2"/>
    <mergeCell ref="P3:Q3"/>
    <mergeCell ref="P4:Q4"/>
    <mergeCell ref="P5:Q5"/>
    <mergeCell ref="P6:Q6"/>
    <mergeCell ref="V2:W2"/>
    <mergeCell ref="V3:W3"/>
    <mergeCell ref="V4:W4"/>
    <mergeCell ref="V5:W5"/>
    <mergeCell ref="V6:W6"/>
    <mergeCell ref="R2:S2"/>
    <mergeCell ref="R3:S3"/>
    <mergeCell ref="R4:S4"/>
    <mergeCell ref="R5:S5"/>
    <mergeCell ref="R6:S6"/>
  </mergeCells>
  <conditionalFormatting sqref="H20:H32 H34:H201 L34:L201 N34:N201 R34:R201 T34:T201 X34:X201 Z34:Z201 AD34:AD201 AF34:AF201 AH34:AH201">
    <cfRule type="cellIs" dxfId="273" priority="51" operator="equal">
      <formula>"X"</formula>
    </cfRule>
    <cfRule type="cellIs" dxfId="272" priority="52" operator="equal">
      <formula>"I"</formula>
    </cfRule>
  </conditionalFormatting>
  <conditionalFormatting sqref="J20:J32 J34:J201">
    <cfRule type="cellIs" dxfId="271" priority="17" operator="equal">
      <formula>"X"</formula>
    </cfRule>
    <cfRule type="cellIs" dxfId="270" priority="18" operator="equal">
      <formula>"I"</formula>
    </cfRule>
  </conditionalFormatting>
  <conditionalFormatting sqref="L20:L32">
    <cfRule type="cellIs" dxfId="269" priority="23" operator="equal">
      <formula>"X"</formula>
    </cfRule>
    <cfRule type="cellIs" dxfId="268" priority="24" operator="equal">
      <formula>"I"</formula>
    </cfRule>
  </conditionalFormatting>
  <conditionalFormatting sqref="N20:N32">
    <cfRule type="cellIs" dxfId="267" priority="19" operator="equal">
      <formula>"X"</formula>
    </cfRule>
    <cfRule type="cellIs" dxfId="266" priority="20" operator="equal">
      <formula>"I"</formula>
    </cfRule>
  </conditionalFormatting>
  <conditionalFormatting sqref="P20:P32">
    <cfRule type="cellIs" dxfId="265" priority="1" operator="equal">
      <formula>"X"</formula>
    </cfRule>
    <cfRule type="cellIs" dxfId="264" priority="2" operator="equal">
      <formula>"I"</formula>
    </cfRule>
  </conditionalFormatting>
  <conditionalFormatting sqref="P34:P201">
    <cfRule type="cellIs" dxfId="263" priority="3" operator="equal">
      <formula>"X"</formula>
    </cfRule>
    <cfRule type="cellIs" dxfId="262" priority="4" operator="equal">
      <formula>"I"</formula>
    </cfRule>
  </conditionalFormatting>
  <conditionalFormatting sqref="R20:R32">
    <cfRule type="cellIs" dxfId="261" priority="27" operator="equal">
      <formula>"X"</formula>
    </cfRule>
    <cfRule type="cellIs" dxfId="260" priority="28" operator="equal">
      <formula>"I"</formula>
    </cfRule>
  </conditionalFormatting>
  <conditionalFormatting sqref="T20:T32">
    <cfRule type="cellIs" dxfId="259" priority="31" operator="equal">
      <formula>"X"</formula>
    </cfRule>
    <cfRule type="cellIs" dxfId="258" priority="32" operator="equal">
      <formula>"I"</formula>
    </cfRule>
  </conditionalFormatting>
  <conditionalFormatting sqref="V20:V32">
    <cfRule type="cellIs" dxfId="257" priority="13" operator="equal">
      <formula>"X"</formula>
    </cfRule>
    <cfRule type="cellIs" dxfId="256" priority="14" operator="equal">
      <formula>"I"</formula>
    </cfRule>
  </conditionalFormatting>
  <conditionalFormatting sqref="V34:V201">
    <cfRule type="cellIs" dxfId="255" priority="11" operator="equal">
      <formula>"X"</formula>
    </cfRule>
    <cfRule type="cellIs" dxfId="254" priority="12" operator="equal">
      <formula>"I"</formula>
    </cfRule>
  </conditionalFormatting>
  <conditionalFormatting sqref="X20:X32 AB39:AB179">
    <cfRule type="cellIs" dxfId="253" priority="59" operator="equal">
      <formula>"X"</formula>
    </cfRule>
    <cfRule type="cellIs" dxfId="252" priority="60" operator="equal">
      <formula>"I"</formula>
    </cfRule>
  </conditionalFormatting>
  <conditionalFormatting sqref="Z20:Z32">
    <cfRule type="cellIs" dxfId="251" priority="53" operator="equal">
      <formula>"X"</formula>
    </cfRule>
    <cfRule type="cellIs" dxfId="250" priority="54" operator="equal">
      <formula>"I"</formula>
    </cfRule>
  </conditionalFormatting>
  <conditionalFormatting sqref="AD20:AD32">
    <cfRule type="cellIs" dxfId="249" priority="45" operator="equal">
      <formula>"X"</formula>
    </cfRule>
    <cfRule type="cellIs" dxfId="248" priority="46" operator="equal">
      <formula>"I"</formula>
    </cfRule>
  </conditionalFormatting>
  <conditionalFormatting sqref="AF20:AF32">
    <cfRule type="cellIs" dxfId="247" priority="43" operator="equal">
      <formula>"X"</formula>
    </cfRule>
    <cfRule type="cellIs" dxfId="246" priority="44" operator="equal">
      <formula>"I"</formula>
    </cfRule>
  </conditionalFormatting>
  <conditionalFormatting sqref="AH20:AH32">
    <cfRule type="cellIs" dxfId="245" priority="37" operator="equal">
      <formula>"X"</formula>
    </cfRule>
    <cfRule type="cellIs" dxfId="244" priority="38" operator="equal">
      <formula>"I"</formula>
    </cfRule>
  </conditionalFormatting>
  <hyperlinks>
    <hyperlink ref="B3" location="'Cost Summary'!A1" display="BACK TO SUMMARY SHEET" xr:uid="{BA903774-D007-4F0C-99A8-EAA0CB346A37}"/>
    <hyperlink ref="X7" r:id="rId1" xr:uid="{940D0D33-3D29-45CD-8056-D16744F88C0F}"/>
    <hyperlink ref="Z7" r:id="rId2" xr:uid="{914AA469-461F-46DE-AB0A-5E2EA50D01EE}"/>
    <hyperlink ref="H7" r:id="rId3" xr:uid="{7A604783-C327-4227-9D64-9F826AF7AD81}"/>
    <hyperlink ref="AB7" r:id="rId4" xr:uid="{9E44CD65-7D57-4015-B7D7-7DCC244AACEC}"/>
    <hyperlink ref="T7" r:id="rId5" xr:uid="{C43971CE-E6FD-48CF-AEAA-76694F4C6CB9}"/>
    <hyperlink ref="R7" r:id="rId6" xr:uid="{0DDD9BE9-0E4C-4E0F-A35F-3FBD61CDEACD}"/>
    <hyperlink ref="L7" r:id="rId7" xr:uid="{CE3972A4-7831-4E74-B8AC-7704BA9F430A}"/>
    <hyperlink ref="AD7" r:id="rId8" xr:uid="{74850EB3-11C4-40F1-9A73-3522FD329604}"/>
    <hyperlink ref="N7" r:id="rId9" xr:uid="{669FEDAB-A373-4E16-9035-C22400DAD73A}"/>
    <hyperlink ref="AF7" r:id="rId10" xr:uid="{3334F80A-AE68-49B5-8647-08F17CD202D6}"/>
    <hyperlink ref="J7" r:id="rId11" xr:uid="{4673607D-F628-4FED-91F6-1C0683462A05}"/>
    <hyperlink ref="V7" r:id="rId12" xr:uid="{08E37B55-2440-4F5D-87FB-9493EDCC4C52}"/>
    <hyperlink ref="P7" r:id="rId13" xr:uid="{7C4420AC-188F-458C-A7D3-2AF6FD0D6B99}"/>
  </hyperlinks>
  <printOptions horizontalCentered="1"/>
  <pageMargins left="0.25" right="0.25" top="0.75" bottom="0.75" header="0.3" footer="0.3"/>
  <pageSetup paperSize="3" scale="57" fitToHeight="0" orientation="landscape" horizontalDpi="300" verticalDpi="300" r:id="rId14"/>
  <rowBreaks count="1" manualBreakCount="1">
    <brk id="106" max="6" man="1"/>
  </rowBreaks>
  <legacyDrawing r:id="rId1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180B-8740-4F42-890F-72A98BEDDE32}">
  <sheetPr>
    <tabColor rgb="FF92D050"/>
  </sheetPr>
  <dimension ref="A1:S86"/>
  <sheetViews>
    <sheetView zoomScaleNormal="100" workbookViewId="0">
      <pane xSplit="2" ySplit="9" topLeftCell="C30" activePane="bottomRight" state="frozen"/>
      <selection pane="topRight" activeCell="C1" sqref="C1"/>
      <selection pane="bottomLeft" activeCell="A11" sqref="A11"/>
      <selection pane="bottomRight" activeCell="B30" sqref="B30"/>
    </sheetView>
  </sheetViews>
  <sheetFormatPr defaultRowHeight="14.5" x14ac:dyDescent="0.35"/>
  <cols>
    <col min="1" max="1" width="11" customWidth="1"/>
    <col min="2" max="2" width="70.7265625" style="1" customWidth="1"/>
    <col min="3" max="3" width="17.269531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20" thickBot="1" x14ac:dyDescent="0.4">
      <c r="B3" s="137" t="s">
        <v>623</v>
      </c>
      <c r="E3" s="152"/>
      <c r="F3" s="124" t="s">
        <v>624</v>
      </c>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3030" t="s">
        <v>634</v>
      </c>
      <c r="B5" s="3031" t="s">
        <v>3883</v>
      </c>
      <c r="C5" s="3032"/>
      <c r="D5" s="3032"/>
      <c r="E5" s="3032"/>
      <c r="F5" s="3032"/>
      <c r="G5" s="2194" t="s">
        <v>636</v>
      </c>
      <c r="H5" s="3992"/>
      <c r="I5" s="3932"/>
      <c r="J5" s="3992"/>
      <c r="K5" s="3932"/>
      <c r="L5" s="3992"/>
      <c r="M5" s="3932"/>
      <c r="N5" s="3992"/>
      <c r="O5" s="3932"/>
      <c r="P5" s="3992"/>
      <c r="Q5" s="3932"/>
      <c r="R5" s="3992"/>
      <c r="S5" s="3932"/>
    </row>
    <row r="6" spans="1:19" x14ac:dyDescent="0.35">
      <c r="A6" s="3030" t="s">
        <v>638</v>
      </c>
      <c r="B6" s="3033" t="s">
        <v>3884</v>
      </c>
      <c r="C6" s="3032"/>
      <c r="D6" s="3032"/>
      <c r="E6" s="3032"/>
      <c r="F6" s="3032"/>
      <c r="G6" s="2194" t="s">
        <v>639</v>
      </c>
      <c r="H6" s="3993"/>
      <c r="I6" s="3938"/>
      <c r="J6" s="3993"/>
      <c r="K6" s="3938"/>
      <c r="L6" s="3993"/>
      <c r="M6" s="3938"/>
      <c r="N6" s="3993"/>
      <c r="O6" s="3938"/>
      <c r="P6" s="3993"/>
      <c r="Q6" s="3938"/>
      <c r="R6" s="3993"/>
      <c r="S6" s="3938"/>
    </row>
    <row r="7" spans="1:19" x14ac:dyDescent="0.35">
      <c r="A7" s="3030" t="s">
        <v>641</v>
      </c>
      <c r="B7" s="3034"/>
      <c r="C7" s="3032"/>
      <c r="D7" s="3032"/>
      <c r="E7" s="3032"/>
      <c r="F7" s="3032"/>
      <c r="G7" s="2194" t="s">
        <v>642</v>
      </c>
      <c r="H7" s="4002"/>
      <c r="I7" s="4004"/>
      <c r="J7" s="4002"/>
      <c r="K7" s="4004"/>
      <c r="L7" s="4002"/>
      <c r="M7" s="4004"/>
      <c r="N7" s="4002"/>
      <c r="O7" s="4004"/>
      <c r="P7" s="4002"/>
      <c r="Q7" s="4004"/>
      <c r="R7" s="4002"/>
      <c r="S7" s="4004"/>
    </row>
    <row r="8" spans="1:19" ht="15" thickBot="1" x14ac:dyDescent="0.4">
      <c r="A8" s="938" t="s">
        <v>644</v>
      </c>
      <c r="B8" s="939"/>
      <c r="C8" s="940"/>
      <c r="D8" s="940"/>
      <c r="E8" s="940"/>
      <c r="F8" s="940"/>
      <c r="G8" s="1024" t="s">
        <v>644</v>
      </c>
      <c r="H8" s="3926">
        <f>I47</f>
        <v>0</v>
      </c>
      <c r="I8" s="3927"/>
      <c r="J8" s="3926">
        <f>K47</f>
        <v>0</v>
      </c>
      <c r="K8" s="3927"/>
      <c r="L8" s="3926">
        <f>M47</f>
        <v>0</v>
      </c>
      <c r="M8" s="3927"/>
      <c r="N8" s="3926">
        <f>O47</f>
        <v>0</v>
      </c>
      <c r="O8" s="3927"/>
      <c r="P8" s="3926">
        <f>Q47</f>
        <v>0</v>
      </c>
      <c r="Q8" s="3927"/>
      <c r="R8" s="3926">
        <f>S47</f>
        <v>0</v>
      </c>
      <c r="S8" s="3927"/>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3035"/>
      <c r="B10" s="3135" t="s">
        <v>653</v>
      </c>
      <c r="C10" s="3032"/>
      <c r="D10" s="3032"/>
      <c r="E10" s="3032"/>
      <c r="F10" s="3032"/>
      <c r="G10" s="2198"/>
      <c r="H10" s="2107"/>
      <c r="I10" s="2107"/>
      <c r="J10" s="2107"/>
      <c r="K10" s="2107"/>
      <c r="L10" s="2107"/>
      <c r="M10" s="2107"/>
      <c r="N10" s="2107"/>
      <c r="O10" s="2107"/>
      <c r="P10" s="2107"/>
      <c r="Q10" s="2107"/>
      <c r="R10" s="2107"/>
      <c r="S10" s="2107"/>
    </row>
    <row r="11" spans="1:19" ht="15" hidden="1" thickTop="1" x14ac:dyDescent="0.35">
      <c r="A11" s="3035"/>
      <c r="B11" s="3031" t="e">
        <f>#REF!</f>
        <v>#REF!</v>
      </c>
      <c r="C11" s="3036" t="s">
        <v>654</v>
      </c>
      <c r="D11" s="3032"/>
      <c r="E11" s="3032"/>
      <c r="F11" s="3032"/>
      <c r="G11" s="2198"/>
      <c r="H11" s="2107"/>
      <c r="I11" s="2107"/>
      <c r="J11" s="2107"/>
      <c r="K11" s="2107"/>
      <c r="L11" s="2107"/>
      <c r="M11" s="2107"/>
      <c r="N11" s="2107"/>
      <c r="O11" s="2107"/>
      <c r="P11" s="2107"/>
      <c r="Q11" s="2107"/>
      <c r="R11" s="2107"/>
      <c r="S11" s="2107"/>
    </row>
    <row r="12" spans="1:19" ht="15" hidden="1" thickTop="1" x14ac:dyDescent="0.35">
      <c r="A12" s="3035"/>
      <c r="B12" s="3031" t="e">
        <f>#REF!</f>
        <v>#REF!</v>
      </c>
      <c r="C12" s="3036" t="s">
        <v>654</v>
      </c>
      <c r="D12" s="3032"/>
      <c r="E12" s="3032"/>
      <c r="F12" s="3032"/>
      <c r="G12" s="2198"/>
      <c r="H12" s="2107"/>
      <c r="I12" s="2107"/>
      <c r="J12" s="2107"/>
      <c r="K12" s="2107"/>
      <c r="L12" s="2107"/>
      <c r="M12" s="2107"/>
      <c r="N12" s="2107"/>
      <c r="O12" s="2107"/>
      <c r="P12" s="2107"/>
      <c r="Q12" s="2107"/>
      <c r="R12" s="2107"/>
      <c r="S12" s="2107"/>
    </row>
    <row r="13" spans="1:19" ht="15" hidden="1" thickTop="1" x14ac:dyDescent="0.35">
      <c r="A13" s="3035"/>
      <c r="B13" s="3031" t="e">
        <f>#REF!</f>
        <v>#REF!</v>
      </c>
      <c r="C13" s="3036" t="s">
        <v>654</v>
      </c>
      <c r="D13" s="3032"/>
      <c r="E13" s="3032"/>
      <c r="F13" s="3032"/>
      <c r="G13" s="2198"/>
      <c r="H13" s="2107"/>
      <c r="I13" s="2107"/>
      <c r="J13" s="2107"/>
      <c r="K13" s="2107"/>
      <c r="L13" s="2107"/>
      <c r="M13" s="2107"/>
      <c r="N13" s="2107"/>
      <c r="O13" s="2107"/>
      <c r="P13" s="2107"/>
      <c r="Q13" s="2107"/>
      <c r="R13" s="2107"/>
      <c r="S13" s="2107"/>
    </row>
    <row r="14" spans="1:19" ht="15" hidden="1" thickTop="1" x14ac:dyDescent="0.35">
      <c r="A14" s="3035"/>
      <c r="B14" s="3031" t="e">
        <f>#REF!</f>
        <v>#REF!</v>
      </c>
      <c r="C14" s="3036" t="s">
        <v>654</v>
      </c>
      <c r="D14" s="3032"/>
      <c r="E14" s="3032"/>
      <c r="F14" s="3032"/>
      <c r="G14" s="2198"/>
      <c r="H14" s="2107"/>
      <c r="I14" s="2107"/>
      <c r="J14" s="2107"/>
      <c r="K14" s="2107"/>
      <c r="L14" s="2107"/>
      <c r="M14" s="2107"/>
      <c r="N14" s="2107"/>
      <c r="O14" s="2107"/>
      <c r="P14" s="2107"/>
      <c r="Q14" s="2107"/>
      <c r="R14" s="2107"/>
      <c r="S14" s="2107"/>
    </row>
    <row r="15" spans="1:19" ht="15" hidden="1" thickTop="1" x14ac:dyDescent="0.35">
      <c r="A15" s="3035"/>
      <c r="B15" s="3031" t="e">
        <f>#REF!</f>
        <v>#REF!</v>
      </c>
      <c r="C15" s="3036" t="s">
        <v>654</v>
      </c>
      <c r="D15" s="3032"/>
      <c r="E15" s="3032"/>
      <c r="F15" s="3032"/>
      <c r="G15" s="2198"/>
      <c r="H15" s="2107"/>
      <c r="I15" s="2107"/>
      <c r="J15" s="2107"/>
      <c r="K15" s="2107"/>
      <c r="L15" s="2107"/>
      <c r="M15" s="2107"/>
      <c r="N15" s="2107"/>
      <c r="O15" s="2107"/>
      <c r="P15" s="2107"/>
      <c r="Q15" s="2107"/>
      <c r="R15" s="2107"/>
      <c r="S15" s="2107"/>
    </row>
    <row r="16" spans="1:19" ht="15" hidden="1" thickTop="1" x14ac:dyDescent="0.35">
      <c r="A16" s="3035"/>
      <c r="B16" s="3031" t="e">
        <f>#REF!</f>
        <v>#REF!</v>
      </c>
      <c r="C16" s="3036" t="s">
        <v>654</v>
      </c>
      <c r="D16" s="3032"/>
      <c r="E16" s="3032"/>
      <c r="F16" s="3032"/>
      <c r="G16" s="2198"/>
      <c r="H16" s="2107"/>
      <c r="I16" s="2107"/>
      <c r="J16" s="2107"/>
      <c r="K16" s="2107"/>
      <c r="L16" s="2107"/>
      <c r="M16" s="2107"/>
      <c r="N16" s="2107"/>
      <c r="O16" s="2107"/>
      <c r="P16" s="2107"/>
      <c r="Q16" s="2107"/>
      <c r="R16" s="2107"/>
      <c r="S16" s="2107"/>
    </row>
    <row r="17" spans="1:19" ht="15" hidden="1" thickTop="1" x14ac:dyDescent="0.35">
      <c r="A17" s="3035"/>
      <c r="B17" s="3031" t="e">
        <f>#REF!</f>
        <v>#REF!</v>
      </c>
      <c r="C17" s="3036" t="s">
        <v>654</v>
      </c>
      <c r="D17" s="3032"/>
      <c r="E17" s="3032"/>
      <c r="F17" s="3032"/>
      <c r="G17" s="2198"/>
      <c r="H17" s="2107"/>
      <c r="I17" s="2107"/>
      <c r="J17" s="2107"/>
      <c r="K17" s="2107"/>
      <c r="L17" s="2107"/>
      <c r="M17" s="2107"/>
      <c r="N17" s="2107"/>
      <c r="O17" s="2107"/>
      <c r="P17" s="2107"/>
      <c r="Q17" s="2107"/>
      <c r="R17" s="2107"/>
      <c r="S17" s="2107"/>
    </row>
    <row r="18" spans="1:19" ht="15" hidden="1" thickTop="1" x14ac:dyDescent="0.35">
      <c r="A18" s="3035"/>
      <c r="B18" s="3031" t="e">
        <f>#REF!</f>
        <v>#REF!</v>
      </c>
      <c r="C18" s="3036" t="s">
        <v>654</v>
      </c>
      <c r="D18" s="3032"/>
      <c r="E18" s="3032"/>
      <c r="F18" s="3032"/>
      <c r="G18" s="2198"/>
      <c r="H18" s="2107"/>
      <c r="I18" s="2107"/>
      <c r="J18" s="2107"/>
      <c r="K18" s="2107"/>
      <c r="L18" s="2107"/>
      <c r="M18" s="2107"/>
      <c r="N18" s="2107"/>
      <c r="O18" s="2107"/>
      <c r="P18" s="2107"/>
      <c r="Q18" s="2107"/>
      <c r="R18" s="2107"/>
      <c r="S18" s="2107"/>
    </row>
    <row r="19" spans="1:19" ht="15" hidden="1" thickTop="1" x14ac:dyDescent="0.35">
      <c r="A19" s="3035"/>
      <c r="B19" s="3031" t="e">
        <f>#REF!</f>
        <v>#REF!</v>
      </c>
      <c r="C19" s="3036" t="s">
        <v>654</v>
      </c>
      <c r="D19" s="3032"/>
      <c r="E19" s="3032"/>
      <c r="F19" s="3032"/>
      <c r="G19" s="2198"/>
      <c r="H19" s="2107"/>
      <c r="I19" s="2107"/>
      <c r="J19" s="2107"/>
      <c r="K19" s="2107"/>
      <c r="L19" s="2107"/>
      <c r="M19" s="2107"/>
      <c r="N19" s="2107"/>
      <c r="O19" s="2107"/>
      <c r="P19" s="2107"/>
      <c r="Q19" s="2107"/>
      <c r="R19" s="2107"/>
      <c r="S19" s="2107"/>
    </row>
    <row r="20" spans="1:19" ht="15" thickTop="1" x14ac:dyDescent="0.35">
      <c r="A20" s="3035"/>
      <c r="B20" s="3031"/>
      <c r="C20" s="3036"/>
      <c r="D20" s="3032"/>
      <c r="E20" s="3032"/>
      <c r="F20" s="3032"/>
      <c r="G20" s="2198"/>
      <c r="H20" s="2109"/>
      <c r="I20" s="2107"/>
      <c r="J20" s="2109"/>
      <c r="K20" s="2107"/>
      <c r="L20" s="2109"/>
      <c r="M20" s="2107"/>
      <c r="N20" s="2109"/>
      <c r="O20" s="2107"/>
      <c r="P20" s="2109"/>
      <c r="Q20" s="2107"/>
      <c r="R20" s="2109"/>
      <c r="S20" s="2107"/>
    </row>
    <row r="21" spans="1:19" ht="15" thickBot="1" x14ac:dyDescent="0.4">
      <c r="A21" s="48"/>
      <c r="B21" s="3037" t="s">
        <v>3883</v>
      </c>
      <c r="C21" s="45"/>
      <c r="D21" s="46"/>
      <c r="E21" s="46"/>
      <c r="F21" s="46"/>
      <c r="G21" s="52"/>
      <c r="H21" s="2109"/>
      <c r="I21" s="2107"/>
      <c r="J21" s="2109"/>
      <c r="K21" s="2107"/>
      <c r="L21" s="2109"/>
      <c r="M21" s="2107"/>
      <c r="N21" s="2109"/>
      <c r="O21" s="2107"/>
      <c r="P21" s="2109"/>
      <c r="Q21" s="2107"/>
      <c r="R21" s="2109"/>
      <c r="S21" s="2107"/>
    </row>
    <row r="22" spans="1:19" x14ac:dyDescent="0.35">
      <c r="A22" s="3125"/>
      <c r="B22" s="606" t="s">
        <v>657</v>
      </c>
      <c r="C22" s="3036"/>
      <c r="D22" s="3032"/>
      <c r="E22" s="3032"/>
      <c r="F22" s="3032"/>
      <c r="G22" s="2198"/>
      <c r="H22" s="2109"/>
      <c r="I22" s="3183"/>
      <c r="J22" s="2109"/>
      <c r="K22" s="3184"/>
      <c r="L22" s="2109"/>
      <c r="M22" s="2276"/>
      <c r="N22" s="2109"/>
      <c r="O22" s="2276"/>
      <c r="P22" s="2109"/>
      <c r="Q22" s="2276"/>
      <c r="R22" s="2109"/>
      <c r="S22" s="2276"/>
    </row>
    <row r="23" spans="1:19" x14ac:dyDescent="0.35">
      <c r="A23" s="3125"/>
      <c r="B23" s="3185" t="s">
        <v>658</v>
      </c>
      <c r="C23" s="3036"/>
      <c r="D23" s="3032"/>
      <c r="E23" s="3032"/>
      <c r="F23" s="3032"/>
      <c r="G23" s="2198"/>
      <c r="H23" s="2109"/>
      <c r="I23" s="3183"/>
      <c r="J23" s="2109"/>
      <c r="K23" s="3184"/>
      <c r="L23" s="2109"/>
      <c r="M23" s="2276"/>
      <c r="N23" s="2109"/>
      <c r="O23" s="2276"/>
      <c r="P23" s="2109"/>
      <c r="Q23" s="2276"/>
      <c r="R23" s="2109"/>
      <c r="S23" s="2276"/>
    </row>
    <row r="24" spans="1:19" x14ac:dyDescent="0.35">
      <c r="A24" s="3125"/>
      <c r="B24" s="3185" t="s">
        <v>659</v>
      </c>
      <c r="C24" s="3036"/>
      <c r="D24" s="3032"/>
      <c r="E24" s="3032"/>
      <c r="F24" s="3032"/>
      <c r="G24" s="2198"/>
      <c r="H24" s="2109"/>
      <c r="I24" s="3186"/>
      <c r="J24" s="2109"/>
      <c r="K24" s="3186"/>
      <c r="L24" s="2109"/>
      <c r="M24" s="3187"/>
      <c r="N24" s="2109"/>
      <c r="O24" s="3187"/>
      <c r="P24" s="2109"/>
      <c r="Q24" s="3187"/>
      <c r="R24" s="2109"/>
      <c r="S24" s="3187"/>
    </row>
    <row r="25" spans="1:19" x14ac:dyDescent="0.35">
      <c r="A25" s="3125"/>
      <c r="B25" s="3188" t="s">
        <v>660</v>
      </c>
      <c r="C25" s="3036"/>
      <c r="D25" s="3032"/>
      <c r="E25" s="3032"/>
      <c r="F25" s="3032"/>
      <c r="G25" s="2198"/>
      <c r="H25" s="2109"/>
      <c r="I25" s="3186"/>
      <c r="J25" s="2109"/>
      <c r="K25" s="3186"/>
      <c r="L25" s="2109"/>
      <c r="M25" s="3187"/>
      <c r="N25" s="2109"/>
      <c r="O25" s="3186"/>
      <c r="P25" s="2109"/>
      <c r="Q25" s="3187"/>
      <c r="R25" s="2109"/>
      <c r="S25" s="3187"/>
    </row>
    <row r="26" spans="1:19" x14ac:dyDescent="0.35">
      <c r="A26" s="3125"/>
      <c r="B26" s="3188" t="s">
        <v>661</v>
      </c>
      <c r="C26" s="3036"/>
      <c r="D26" s="3032"/>
      <c r="E26" s="3032"/>
      <c r="F26" s="3032"/>
      <c r="G26" s="2198"/>
      <c r="H26" s="2109"/>
      <c r="I26" s="3186"/>
      <c r="J26" s="2109"/>
      <c r="K26" s="3186"/>
      <c r="L26" s="2109"/>
      <c r="M26" s="3187"/>
      <c r="N26" s="2109"/>
      <c r="O26" s="3186"/>
      <c r="P26" s="2109"/>
      <c r="Q26" s="3187"/>
      <c r="R26" s="2109"/>
      <c r="S26" s="3187"/>
    </row>
    <row r="27" spans="1:19" x14ac:dyDescent="0.35">
      <c r="A27" s="3125"/>
      <c r="B27" s="3188" t="s">
        <v>662</v>
      </c>
      <c r="C27" s="3036"/>
      <c r="D27" s="3032"/>
      <c r="E27" s="3032"/>
      <c r="F27" s="3032"/>
      <c r="G27" s="2198"/>
      <c r="H27" s="2109"/>
      <c r="I27" s="3186"/>
      <c r="J27" s="2109"/>
      <c r="K27" s="3186"/>
      <c r="L27" s="2109"/>
      <c r="M27" s="3187"/>
      <c r="N27" s="2109"/>
      <c r="O27" s="3186"/>
      <c r="P27" s="2109"/>
      <c r="Q27" s="3187"/>
      <c r="R27" s="2109"/>
      <c r="S27" s="3187"/>
    </row>
    <row r="28" spans="1:19" x14ac:dyDescent="0.35">
      <c r="A28" s="3125"/>
      <c r="B28" s="3188" t="s">
        <v>663</v>
      </c>
      <c r="C28" s="3036"/>
      <c r="D28" s="3032"/>
      <c r="E28" s="3032"/>
      <c r="F28" s="3032"/>
      <c r="G28" s="2198"/>
      <c r="H28" s="2109"/>
      <c r="I28" s="3186"/>
      <c r="J28" s="2109"/>
      <c r="K28" s="3186"/>
      <c r="L28" s="2109"/>
      <c r="M28" s="3187"/>
      <c r="N28" s="2109"/>
      <c r="O28" s="3186"/>
      <c r="P28" s="2109"/>
      <c r="Q28" s="3187"/>
      <c r="R28" s="2109"/>
      <c r="S28" s="3187"/>
    </row>
    <row r="29" spans="1:19" x14ac:dyDescent="0.35">
      <c r="A29" s="3125"/>
      <c r="B29" s="3188" t="s">
        <v>742</v>
      </c>
      <c r="C29" s="3036"/>
      <c r="D29" s="3032"/>
      <c r="E29" s="3032"/>
      <c r="F29" s="3032"/>
      <c r="G29" s="2198"/>
      <c r="H29" s="2109"/>
      <c r="I29" s="3186"/>
      <c r="J29" s="2109"/>
      <c r="K29" s="3186"/>
      <c r="L29" s="2109"/>
      <c r="M29" s="3187"/>
      <c r="N29" s="2109"/>
      <c r="O29" s="3186"/>
      <c r="P29" s="2109"/>
      <c r="Q29" s="3187"/>
      <c r="R29" s="2109"/>
      <c r="S29" s="3187"/>
    </row>
    <row r="30" spans="1:19" x14ac:dyDescent="0.35">
      <c r="A30" s="3125"/>
      <c r="B30" s="3189" t="s">
        <v>664</v>
      </c>
      <c r="C30" s="3036"/>
      <c r="D30" s="3032"/>
      <c r="E30" s="3032"/>
      <c r="F30" s="3032"/>
      <c r="G30" s="2198"/>
      <c r="H30" s="2109"/>
      <c r="I30" s="3190"/>
      <c r="J30" s="2109"/>
      <c r="K30" s="3186"/>
      <c r="L30" s="2109"/>
      <c r="M30" s="3187"/>
      <c r="N30" s="2109"/>
      <c r="O30" s="3186"/>
      <c r="P30" s="2109"/>
      <c r="Q30" s="3187"/>
      <c r="R30" s="2109"/>
      <c r="S30" s="3187"/>
    </row>
    <row r="31" spans="1:19" x14ac:dyDescent="0.35">
      <c r="A31" s="3125"/>
      <c r="B31" s="3191" t="s">
        <v>665</v>
      </c>
      <c r="C31" s="3192"/>
      <c r="D31" s="3039"/>
      <c r="E31" s="3039"/>
      <c r="F31" s="3039"/>
      <c r="G31" s="2945"/>
      <c r="H31" s="3193"/>
      <c r="I31" s="3194"/>
      <c r="J31" s="3194"/>
      <c r="K31" s="3194"/>
      <c r="L31" s="3195"/>
      <c r="M31" s="3196"/>
      <c r="N31" s="3194"/>
      <c r="O31" s="3194"/>
      <c r="P31" s="3194"/>
      <c r="Q31" s="3194"/>
      <c r="R31" s="2288"/>
      <c r="S31" s="3196"/>
    </row>
    <row r="32" spans="1:19" x14ac:dyDescent="0.35">
      <c r="A32" s="3125"/>
      <c r="B32" s="3140"/>
      <c r="C32" s="3036"/>
      <c r="D32" s="3032"/>
      <c r="E32" s="3032"/>
      <c r="F32" s="3032"/>
      <c r="G32" s="2198"/>
      <c r="H32" s="2109"/>
      <c r="I32" s="3190"/>
      <c r="J32" s="2109"/>
      <c r="K32" s="3186"/>
      <c r="L32" s="2109"/>
      <c r="M32" s="3187"/>
      <c r="N32" s="2109"/>
      <c r="O32" s="3186"/>
      <c r="P32" s="2109"/>
      <c r="Q32" s="3187"/>
      <c r="R32" s="2109"/>
      <c r="S32" s="3187"/>
    </row>
    <row r="33" spans="1:19" x14ac:dyDescent="0.35">
      <c r="A33" s="3125"/>
      <c r="B33" s="3140"/>
      <c r="C33" s="3036"/>
      <c r="D33" s="3032"/>
      <c r="E33" s="3032"/>
      <c r="F33" s="3032"/>
      <c r="G33" s="2198"/>
      <c r="H33" s="2109"/>
      <c r="I33" s="3190"/>
      <c r="J33" s="2109"/>
      <c r="K33" s="3186"/>
      <c r="L33" s="2109"/>
      <c r="M33" s="3187"/>
      <c r="N33" s="2109"/>
      <c r="O33" s="3186"/>
      <c r="P33" s="2109"/>
      <c r="Q33" s="3187"/>
      <c r="R33" s="2109"/>
      <c r="S33" s="3187"/>
    </row>
    <row r="34" spans="1:19" x14ac:dyDescent="0.35">
      <c r="A34" s="3125"/>
      <c r="B34" s="3140"/>
      <c r="C34" s="3036"/>
      <c r="D34" s="3032"/>
      <c r="E34" s="3032"/>
      <c r="F34" s="3032"/>
      <c r="G34" s="2198"/>
      <c r="H34" s="2109"/>
      <c r="I34" s="3190"/>
      <c r="J34" s="2109"/>
      <c r="K34" s="3186"/>
      <c r="L34" s="2109"/>
      <c r="M34" s="3187"/>
      <c r="N34" s="2109"/>
      <c r="O34" s="3186"/>
      <c r="P34" s="2109"/>
      <c r="Q34" s="3187"/>
      <c r="R34" s="2109"/>
      <c r="S34" s="3187"/>
    </row>
    <row r="35" spans="1:19" x14ac:dyDescent="0.35">
      <c r="A35" s="3125"/>
      <c r="B35" s="3140"/>
      <c r="C35" s="3036"/>
      <c r="D35" s="3032"/>
      <c r="E35" s="3032"/>
      <c r="F35" s="3032"/>
      <c r="G35" s="2198"/>
      <c r="H35" s="2109"/>
      <c r="I35" s="3190"/>
      <c r="J35" s="2109"/>
      <c r="K35" s="3186"/>
      <c r="L35" s="2109"/>
      <c r="M35" s="3187"/>
      <c r="N35" s="2109"/>
      <c r="O35" s="3186"/>
      <c r="P35" s="2109"/>
      <c r="Q35" s="3187"/>
      <c r="R35" s="2109"/>
      <c r="S35" s="3187"/>
    </row>
    <row r="36" spans="1:19" x14ac:dyDescent="0.35">
      <c r="A36" s="3125"/>
      <c r="B36" s="3140"/>
      <c r="C36" s="3036"/>
      <c r="D36" s="3032"/>
      <c r="E36" s="3032"/>
      <c r="F36" s="3032"/>
      <c r="G36" s="2198"/>
      <c r="H36" s="2109"/>
      <c r="I36" s="3190"/>
      <c r="J36" s="2109"/>
      <c r="K36" s="3186"/>
      <c r="L36" s="2109"/>
      <c r="M36" s="3187"/>
      <c r="N36" s="2109"/>
      <c r="O36" s="3186"/>
      <c r="P36" s="2109"/>
      <c r="Q36" s="3187"/>
      <c r="R36" s="2109"/>
      <c r="S36" s="3187"/>
    </row>
    <row r="37" spans="1:19" x14ac:dyDescent="0.35">
      <c r="A37" s="3125"/>
      <c r="B37" s="3140"/>
      <c r="C37" s="3036"/>
      <c r="D37" s="3032"/>
      <c r="E37" s="3032"/>
      <c r="F37" s="3032"/>
      <c r="G37" s="2198"/>
      <c r="H37" s="2109"/>
      <c r="I37" s="3190"/>
      <c r="J37" s="2109"/>
      <c r="K37" s="3186"/>
      <c r="L37" s="2109"/>
      <c r="M37" s="3187"/>
      <c r="N37" s="2109"/>
      <c r="O37" s="3186"/>
      <c r="P37" s="2109"/>
      <c r="Q37" s="3187"/>
      <c r="R37" s="2109"/>
      <c r="S37" s="3187"/>
    </row>
    <row r="38" spans="1:19" x14ac:dyDescent="0.35">
      <c r="A38" s="3125"/>
      <c r="B38" s="3140"/>
      <c r="C38" s="3036"/>
      <c r="D38" s="3032"/>
      <c r="E38" s="3032"/>
      <c r="F38" s="3032"/>
      <c r="G38" s="2198"/>
      <c r="H38" s="2109"/>
      <c r="I38" s="3190"/>
      <c r="J38" s="2109"/>
      <c r="K38" s="3186"/>
      <c r="L38" s="2109"/>
      <c r="M38" s="3187"/>
      <c r="N38" s="2109"/>
      <c r="O38" s="3186"/>
      <c r="P38" s="2109"/>
      <c r="Q38" s="3187"/>
      <c r="R38" s="2109"/>
      <c r="S38" s="3187"/>
    </row>
    <row r="39" spans="1:19" x14ac:dyDescent="0.35">
      <c r="A39" s="3125"/>
      <c r="B39" s="3140"/>
      <c r="C39" s="3036"/>
      <c r="D39" s="3032"/>
      <c r="E39" s="3032"/>
      <c r="F39" s="3032"/>
      <c r="G39" s="2198"/>
      <c r="H39" s="2109"/>
      <c r="I39" s="3190"/>
      <c r="J39" s="2109"/>
      <c r="K39" s="3186"/>
      <c r="L39" s="2109"/>
      <c r="M39" s="3187"/>
      <c r="N39" s="2109"/>
      <c r="O39" s="3186"/>
      <c r="P39" s="2109"/>
      <c r="Q39" s="3187"/>
      <c r="R39" s="2109"/>
      <c r="S39" s="3187"/>
    </row>
    <row r="40" spans="1:19" x14ac:dyDescent="0.35">
      <c r="A40" s="3125"/>
      <c r="B40" s="3140"/>
      <c r="C40" s="3036"/>
      <c r="D40" s="3032"/>
      <c r="E40" s="3032"/>
      <c r="F40" s="3032"/>
      <c r="G40" s="2198"/>
      <c r="H40" s="2109"/>
      <c r="I40" s="3190"/>
      <c r="J40" s="2109"/>
      <c r="K40" s="3186"/>
      <c r="L40" s="2109"/>
      <c r="M40" s="3187"/>
      <c r="N40" s="2109"/>
      <c r="O40" s="3186"/>
      <c r="P40" s="2109"/>
      <c r="Q40" s="3187"/>
      <c r="R40" s="2109"/>
      <c r="S40" s="3187"/>
    </row>
    <row r="41" spans="1:19" x14ac:dyDescent="0.35">
      <c r="A41" s="3125"/>
      <c r="B41" s="3197"/>
      <c r="C41" s="3036"/>
      <c r="D41" s="3032"/>
      <c r="E41" s="3032"/>
      <c r="F41" s="3032"/>
      <c r="G41" s="2198"/>
      <c r="H41" s="2109"/>
      <c r="I41" s="3190"/>
      <c r="J41" s="2109"/>
      <c r="K41" s="3186"/>
      <c r="L41" s="2109"/>
      <c r="M41" s="3187"/>
      <c r="N41" s="2109"/>
      <c r="O41" s="3186"/>
      <c r="P41" s="2109"/>
      <c r="Q41" s="3186"/>
      <c r="R41" s="2109"/>
      <c r="S41" s="3187"/>
    </row>
    <row r="42" spans="1:19" ht="15" thickBot="1" x14ac:dyDescent="0.4">
      <c r="A42" s="3125"/>
      <c r="B42" s="3197"/>
      <c r="C42" s="3036"/>
      <c r="D42" s="3032"/>
      <c r="E42" s="3032"/>
      <c r="F42" s="3032"/>
      <c r="G42" s="2198"/>
      <c r="H42" s="2109"/>
      <c r="I42" s="3190"/>
      <c r="J42" s="2109"/>
      <c r="K42" s="3187"/>
      <c r="L42" s="2109"/>
      <c r="M42" s="3187"/>
      <c r="N42" s="2109"/>
      <c r="O42" s="3186"/>
      <c r="P42" s="2109"/>
      <c r="Q42" s="3186"/>
      <c r="R42" s="2109"/>
      <c r="S42" s="3187"/>
    </row>
    <row r="43" spans="1:19" ht="15" thickTop="1" x14ac:dyDescent="0.35">
      <c r="A43" s="14"/>
      <c r="B43" s="15"/>
      <c r="C43" s="16"/>
      <c r="D43" s="16"/>
      <c r="E43" s="17"/>
      <c r="F43" s="18" t="s">
        <v>715</v>
      </c>
      <c r="G43" s="19"/>
      <c r="H43" s="20"/>
      <c r="I43" s="50">
        <f>SUM(I23:I42)</f>
        <v>0</v>
      </c>
      <c r="J43" s="20"/>
      <c r="K43" s="50">
        <f>SUM(K23:K42)</f>
        <v>0</v>
      </c>
      <c r="L43" s="20"/>
      <c r="M43" s="50">
        <f>SUM(M23:M42)</f>
        <v>0</v>
      </c>
      <c r="N43" s="20"/>
      <c r="O43" s="50">
        <f>SUM(O23:O42)</f>
        <v>0</v>
      </c>
      <c r="P43" s="20"/>
      <c r="Q43" s="50">
        <f>SUM(Q23:Q42)</f>
        <v>0</v>
      </c>
      <c r="R43" s="20"/>
      <c r="S43" s="50">
        <f>SUM(S23:S42)</f>
        <v>0</v>
      </c>
    </row>
    <row r="44" spans="1:19" x14ac:dyDescent="0.35">
      <c r="A44" s="2973"/>
      <c r="B44" s="2974"/>
      <c r="C44" s="2975"/>
      <c r="D44" s="2975"/>
      <c r="E44" s="2976"/>
      <c r="F44" s="2977" t="s">
        <v>716</v>
      </c>
      <c r="G44" s="2244"/>
      <c r="H44" s="2065">
        <v>0</v>
      </c>
      <c r="I44" s="960"/>
      <c r="J44" s="2065">
        <v>0</v>
      </c>
      <c r="K44" s="960"/>
      <c r="L44" s="2065">
        <v>0</v>
      </c>
      <c r="M44" s="960"/>
      <c r="N44" s="2065">
        <v>0</v>
      </c>
      <c r="O44" s="960"/>
      <c r="P44" s="2065">
        <v>0</v>
      </c>
      <c r="Q44" s="960"/>
      <c r="R44" s="2065">
        <v>0</v>
      </c>
      <c r="S44" s="960"/>
    </row>
    <row r="45" spans="1:19" x14ac:dyDescent="0.35">
      <c r="A45" s="2973"/>
      <c r="B45" s="2974"/>
      <c r="C45" s="2975"/>
      <c r="D45" s="2975"/>
      <c r="E45" s="2976"/>
      <c r="F45" s="2977" t="s">
        <v>717</v>
      </c>
      <c r="G45" s="2244"/>
      <c r="H45" s="2066"/>
      <c r="I45" s="2070">
        <f>I43*H44</f>
        <v>0</v>
      </c>
      <c r="J45" s="2066"/>
      <c r="K45" s="2070">
        <f>K43*J44</f>
        <v>0</v>
      </c>
      <c r="L45" s="2066"/>
      <c r="M45" s="2070">
        <f>M43*L44</f>
        <v>0</v>
      </c>
      <c r="N45" s="2066"/>
      <c r="O45" s="2070">
        <f>O43*N44</f>
        <v>0</v>
      </c>
      <c r="P45" s="2066"/>
      <c r="Q45" s="2070">
        <f>Q43*P44</f>
        <v>0</v>
      </c>
      <c r="R45" s="2066"/>
      <c r="S45" s="2070">
        <f>S43*R44</f>
        <v>0</v>
      </c>
    </row>
    <row r="46" spans="1:19" x14ac:dyDescent="0.35">
      <c r="A46" s="2973"/>
      <c r="B46" s="2974"/>
      <c r="C46" s="2975"/>
      <c r="D46" s="2975"/>
      <c r="E46" s="2976"/>
      <c r="F46" s="2977"/>
      <c r="G46" s="2244"/>
      <c r="H46" s="2066"/>
      <c r="I46" s="2068"/>
      <c r="J46" s="2066"/>
      <c r="K46" s="2068"/>
      <c r="L46" s="2066"/>
      <c r="M46" s="2068"/>
      <c r="N46" s="2066"/>
      <c r="O46" s="2068"/>
      <c r="P46" s="2066"/>
      <c r="Q46" s="2068"/>
      <c r="R46" s="2066"/>
      <c r="S46" s="2068"/>
    </row>
    <row r="47" spans="1:19" x14ac:dyDescent="0.35">
      <c r="A47" s="2973"/>
      <c r="B47" s="2974"/>
      <c r="C47" s="2975"/>
      <c r="D47" s="2975"/>
      <c r="E47" s="2976"/>
      <c r="F47" s="2977" t="s">
        <v>718</v>
      </c>
      <c r="G47" s="2244"/>
      <c r="H47" s="2069"/>
      <c r="I47" s="2070">
        <f>SUM(I43:I45)</f>
        <v>0</v>
      </c>
      <c r="J47" s="2069"/>
      <c r="K47" s="2070">
        <f>SUM(K43:K45)</f>
        <v>0</v>
      </c>
      <c r="L47" s="2069"/>
      <c r="M47" s="2070">
        <f>SUM(M43:M45)</f>
        <v>0</v>
      </c>
      <c r="N47" s="2069"/>
      <c r="O47" s="2070">
        <f>SUM(O43:O45)</f>
        <v>0</v>
      </c>
      <c r="P47" s="2069"/>
      <c r="Q47" s="2070">
        <f>SUM(Q43:Q45)</f>
        <v>0</v>
      </c>
      <c r="R47" s="2069"/>
      <c r="S47" s="2070">
        <f>SUM(S43:S45)</f>
        <v>0</v>
      </c>
    </row>
    <row r="48" spans="1:19" x14ac:dyDescent="0.35">
      <c r="A48" s="2973"/>
      <c r="B48" s="2974"/>
      <c r="C48" s="2975"/>
      <c r="D48" s="2975"/>
      <c r="E48" s="2976"/>
      <c r="F48" s="2991" t="s">
        <v>719</v>
      </c>
      <c r="G48" s="2256"/>
      <c r="H48" s="2073"/>
      <c r="I48" s="2074" t="e">
        <f>I47/#REF!</f>
        <v>#REF!</v>
      </c>
      <c r="J48" s="2073"/>
      <c r="K48" s="2074" t="e">
        <f>K47/#REF!</f>
        <v>#REF!</v>
      </c>
      <c r="L48" s="2073"/>
      <c r="M48" s="2074" t="e">
        <f>M47/#REF!</f>
        <v>#REF!</v>
      </c>
      <c r="N48" s="2073"/>
      <c r="O48" s="2074" t="e">
        <f>O47/#REF!</f>
        <v>#REF!</v>
      </c>
      <c r="P48" s="2073"/>
      <c r="Q48" s="2074" t="e">
        <f>Q47/#REF!</f>
        <v>#REF!</v>
      </c>
      <c r="R48" s="2073"/>
      <c r="S48" s="2074" t="e">
        <f>S47/#REF!</f>
        <v>#REF!</v>
      </c>
    </row>
    <row r="49" spans="1:19" x14ac:dyDescent="0.35">
      <c r="A49" s="2973"/>
      <c r="B49" s="2974"/>
      <c r="C49" s="2975"/>
      <c r="D49" s="2975"/>
      <c r="E49" s="2976"/>
      <c r="F49" s="2991" t="s">
        <v>720</v>
      </c>
      <c r="G49" s="2260"/>
      <c r="H49" s="2073"/>
      <c r="I49" s="2074" t="e">
        <f>I47/#REF!</f>
        <v>#REF!</v>
      </c>
      <c r="J49" s="2073"/>
      <c r="K49" s="2074" t="e">
        <f>K47/#REF!</f>
        <v>#REF!</v>
      </c>
      <c r="L49" s="2073"/>
      <c r="M49" s="2074" t="e">
        <f>M47/#REF!</f>
        <v>#REF!</v>
      </c>
      <c r="N49" s="2073"/>
      <c r="O49" s="2074" t="e">
        <f>O47/#REF!</f>
        <v>#REF!</v>
      </c>
      <c r="P49" s="2073"/>
      <c r="Q49" s="2074" t="e">
        <f>Q47/#REF!</f>
        <v>#REF!</v>
      </c>
      <c r="R49" s="2073"/>
      <c r="S49" s="2074" t="e">
        <f>S47/#REF!</f>
        <v>#REF!</v>
      </c>
    </row>
    <row r="50" spans="1:19" ht="15" thickBot="1" x14ac:dyDescent="0.4">
      <c r="A50" s="2973"/>
      <c r="B50" s="2974"/>
      <c r="C50" s="2975"/>
      <c r="D50" s="2975"/>
      <c r="E50" s="2976"/>
      <c r="F50" s="2977"/>
      <c r="G50" s="2261"/>
      <c r="H50" s="2077"/>
      <c r="I50" s="2078"/>
      <c r="J50" s="2077"/>
      <c r="K50" s="2078"/>
      <c r="L50" s="2077"/>
      <c r="M50" s="2078"/>
      <c r="N50" s="2077"/>
      <c r="O50" s="2078"/>
      <c r="P50" s="2077"/>
      <c r="Q50" s="2078"/>
      <c r="R50" s="2077"/>
      <c r="S50" s="2078"/>
    </row>
    <row r="51" spans="1:19" ht="15.5" thickTop="1" thickBot="1" x14ac:dyDescent="0.4">
      <c r="A51" s="3764" t="s">
        <v>721</v>
      </c>
      <c r="B51" s="3765"/>
      <c r="C51" s="12"/>
      <c r="D51" s="12"/>
      <c r="E51" s="12"/>
      <c r="F51" s="12"/>
      <c r="G51" s="13"/>
      <c r="H51" s="21"/>
      <c r="I51" s="21"/>
      <c r="J51" s="21"/>
      <c r="K51" s="21"/>
      <c r="L51" s="21"/>
      <c r="M51" s="21"/>
      <c r="N51" s="21"/>
      <c r="O51" s="21"/>
      <c r="P51" s="21"/>
      <c r="Q51" s="21"/>
      <c r="R51" s="21"/>
      <c r="S51" s="21"/>
    </row>
    <row r="52" spans="1:19" ht="15" thickTop="1" x14ac:dyDescent="0.35">
      <c r="A52" s="3198"/>
      <c r="B52" s="3031"/>
      <c r="C52" s="3199"/>
      <c r="D52" s="3199"/>
      <c r="E52" s="3199"/>
      <c r="F52" s="3199"/>
      <c r="G52" s="3200"/>
      <c r="H52" s="3201"/>
      <c r="I52" s="3201"/>
      <c r="J52" s="3201"/>
      <c r="K52" s="3201"/>
      <c r="L52" s="3201"/>
      <c r="M52" s="3201"/>
      <c r="N52" s="3201"/>
      <c r="O52" s="3201"/>
      <c r="P52" s="3201"/>
      <c r="Q52" s="3201"/>
      <c r="R52" s="3201"/>
      <c r="S52" s="3201"/>
    </row>
    <row r="53" spans="1:19" x14ac:dyDescent="0.35">
      <c r="A53" s="3198"/>
      <c r="B53" s="3031"/>
      <c r="C53" s="3199"/>
      <c r="D53" s="3199"/>
      <c r="E53" s="3199"/>
      <c r="F53" s="3199"/>
      <c r="G53" s="3200"/>
      <c r="H53" s="3201"/>
      <c r="I53" s="3201"/>
      <c r="J53" s="3201"/>
      <c r="K53" s="3201"/>
      <c r="L53" s="3201"/>
      <c r="M53" s="3201"/>
      <c r="N53" s="3201"/>
      <c r="O53" s="3201"/>
      <c r="P53" s="3201"/>
      <c r="Q53" s="3201"/>
      <c r="R53" s="3201"/>
      <c r="S53" s="3201"/>
    </row>
    <row r="54" spans="1:19" ht="15" thickBot="1" x14ac:dyDescent="0.4">
      <c r="A54" s="3198"/>
      <c r="B54" s="3031"/>
      <c r="C54" s="3199"/>
      <c r="D54" s="3199"/>
      <c r="E54" s="3199"/>
      <c r="F54" s="3199"/>
      <c r="G54" s="3200"/>
      <c r="H54" s="3201"/>
      <c r="I54" s="3201"/>
      <c r="J54" s="3201"/>
      <c r="K54" s="3201"/>
      <c r="L54" s="3201"/>
      <c r="M54" s="3201"/>
      <c r="N54" s="3201"/>
      <c r="O54" s="3201"/>
      <c r="P54" s="3201"/>
      <c r="Q54" s="3201"/>
      <c r="R54" s="3201"/>
      <c r="S54" s="3201"/>
    </row>
    <row r="55" spans="1:19" s="2" customFormat="1" ht="15.5" thickTop="1" thickBot="1" x14ac:dyDescent="0.4">
      <c r="A55" s="3764" t="s">
        <v>722</v>
      </c>
      <c r="B55" s="3765"/>
      <c r="C55" s="12"/>
      <c r="D55" s="12"/>
      <c r="E55" s="12"/>
      <c r="F55" s="12"/>
      <c r="G55" s="13"/>
      <c r="H55" s="21"/>
      <c r="I55" s="21"/>
      <c r="J55" s="21"/>
      <c r="K55" s="21"/>
      <c r="L55" s="21"/>
      <c r="M55" s="21"/>
      <c r="N55" s="21"/>
      <c r="O55" s="21"/>
      <c r="P55" s="21"/>
      <c r="Q55" s="21"/>
      <c r="R55" s="21"/>
      <c r="S55" s="21"/>
    </row>
    <row r="56" spans="1:19" s="2" customFormat="1" ht="15" thickTop="1" x14ac:dyDescent="0.35">
      <c r="A56" s="3198"/>
      <c r="B56" s="3031"/>
      <c r="C56" s="3199"/>
      <c r="D56" s="3199"/>
      <c r="E56" s="3199"/>
      <c r="F56" s="3199"/>
      <c r="G56" s="3200"/>
      <c r="H56" s="3201"/>
      <c r="I56" s="3201"/>
      <c r="J56" s="3201"/>
      <c r="K56" s="3201"/>
      <c r="L56" s="3201"/>
      <c r="M56" s="3201"/>
      <c r="N56" s="3201"/>
      <c r="O56" s="3201"/>
      <c r="P56" s="3201"/>
      <c r="Q56" s="3201"/>
      <c r="R56" s="3201"/>
      <c r="S56" s="3201"/>
    </row>
    <row r="57" spans="1:19" s="2" customFormat="1" x14ac:dyDescent="0.35">
      <c r="A57" s="3198"/>
      <c r="B57" s="3031"/>
      <c r="C57" s="3199"/>
      <c r="D57" s="3199"/>
      <c r="E57" s="3199"/>
      <c r="F57" s="3199"/>
      <c r="G57" s="3200"/>
      <c r="H57" s="3201"/>
      <c r="I57" s="3201"/>
      <c r="J57" s="3201"/>
      <c r="K57" s="3201"/>
      <c r="L57" s="3201"/>
      <c r="M57" s="3201"/>
      <c r="N57" s="3201"/>
      <c r="O57" s="3201"/>
      <c r="P57" s="3201"/>
      <c r="Q57" s="3201"/>
      <c r="R57" s="3201"/>
      <c r="S57" s="3201"/>
    </row>
    <row r="58" spans="1:19" ht="15" thickBot="1" x14ac:dyDescent="0.4">
      <c r="A58" s="3198"/>
      <c r="B58" s="3031"/>
      <c r="C58" s="3199"/>
      <c r="D58" s="3199"/>
      <c r="E58" s="3199"/>
      <c r="F58" s="3199"/>
      <c r="G58" s="3200"/>
      <c r="H58" s="3201"/>
      <c r="I58" s="3201"/>
      <c r="J58" s="3201"/>
      <c r="K58" s="3201"/>
      <c r="L58" s="3201"/>
      <c r="M58" s="3201"/>
      <c r="N58" s="3201"/>
      <c r="O58" s="3201"/>
      <c r="P58" s="3201"/>
      <c r="Q58" s="3201"/>
      <c r="R58" s="3201"/>
      <c r="S58" s="3201"/>
    </row>
    <row r="59" spans="1:19" s="2" customFormat="1" ht="15.5" thickTop="1" thickBot="1" x14ac:dyDescent="0.4">
      <c r="A59" s="3764" t="s">
        <v>723</v>
      </c>
      <c r="B59" s="3765"/>
      <c r="C59" s="12"/>
      <c r="D59" s="12"/>
      <c r="E59" s="12"/>
      <c r="F59" s="12"/>
      <c r="G59" s="13"/>
      <c r="H59" s="21"/>
      <c r="I59" s="21"/>
      <c r="J59" s="21"/>
      <c r="K59" s="21"/>
      <c r="L59" s="21"/>
      <c r="M59" s="21"/>
      <c r="N59" s="21"/>
      <c r="O59" s="21"/>
      <c r="P59" s="21"/>
      <c r="Q59" s="21"/>
      <c r="R59" s="21"/>
      <c r="S59" s="21"/>
    </row>
    <row r="60" spans="1:19" s="2" customFormat="1" ht="15" thickTop="1" x14ac:dyDescent="0.35">
      <c r="A60" s="3198"/>
      <c r="B60" s="3031"/>
      <c r="C60" s="3199"/>
      <c r="D60" s="3199"/>
      <c r="E60" s="3199"/>
      <c r="F60" s="3199"/>
      <c r="G60" s="3200"/>
      <c r="H60" s="3201"/>
      <c r="I60" s="3201"/>
      <c r="J60" s="3201"/>
      <c r="K60" s="3201"/>
      <c r="L60" s="3201"/>
      <c r="M60" s="3201"/>
      <c r="N60" s="3201"/>
      <c r="O60" s="3201"/>
      <c r="P60" s="3201"/>
      <c r="Q60" s="3201"/>
      <c r="R60" s="3201"/>
      <c r="S60" s="3201"/>
    </row>
    <row r="61" spans="1:19" s="2" customFormat="1" x14ac:dyDescent="0.35">
      <c r="A61" s="3035"/>
      <c r="B61" s="3031"/>
      <c r="C61" s="3032"/>
      <c r="D61" s="3032"/>
      <c r="E61" s="3032"/>
      <c r="F61" s="3032"/>
      <c r="G61" s="2198"/>
      <c r="H61" s="2081"/>
      <c r="I61" s="2081"/>
      <c r="J61" s="2081"/>
      <c r="K61" s="2081"/>
      <c r="L61" s="2081"/>
      <c r="M61" s="2081"/>
      <c r="N61" s="2081"/>
      <c r="O61" s="2081"/>
      <c r="P61" s="2081"/>
      <c r="Q61" s="2081"/>
      <c r="R61" s="2081"/>
      <c r="S61" s="2081"/>
    </row>
    <row r="62" spans="1:19" s="2" customFormat="1" ht="15" thickBot="1" x14ac:dyDescent="0.4">
      <c r="A62" s="3012"/>
      <c r="B62" s="3019"/>
      <c r="C62" s="3032"/>
      <c r="D62" s="3032"/>
      <c r="E62" s="3032"/>
      <c r="F62" s="3032"/>
      <c r="G62" s="2198"/>
      <c r="H62" s="2084"/>
      <c r="I62" s="2084"/>
      <c r="J62" s="2084"/>
      <c r="K62" s="2084"/>
      <c r="L62" s="2084"/>
      <c r="M62" s="2084"/>
      <c r="N62" s="2084"/>
      <c r="O62" s="2084"/>
      <c r="P62" s="2084"/>
      <c r="Q62" s="2084"/>
      <c r="R62" s="2084"/>
      <c r="S62" s="2084"/>
    </row>
    <row r="63" spans="1:19" s="2" customFormat="1" ht="15.5" thickTop="1" thickBot="1" x14ac:dyDescent="0.4">
      <c r="A63" s="3764" t="s">
        <v>724</v>
      </c>
      <c r="B63" s="3765"/>
      <c r="C63" s="12"/>
      <c r="D63" s="12"/>
      <c r="E63" s="12"/>
      <c r="F63" s="12"/>
      <c r="G63" s="13"/>
      <c r="H63" s="21"/>
      <c r="I63" s="21"/>
      <c r="J63" s="21"/>
      <c r="K63" s="21"/>
      <c r="L63" s="21"/>
      <c r="M63" s="21"/>
      <c r="N63" s="21"/>
      <c r="O63" s="21"/>
      <c r="P63" s="21"/>
      <c r="Q63" s="21"/>
      <c r="R63" s="21"/>
      <c r="S63" s="21"/>
    </row>
    <row r="64" spans="1:19" ht="15" thickTop="1" x14ac:dyDescent="0.35">
      <c r="A64" s="3202"/>
      <c r="B64" s="3203"/>
      <c r="C64" s="3199"/>
      <c r="D64" s="3199"/>
      <c r="E64" s="3199"/>
      <c r="F64" s="3199"/>
      <c r="G64" s="3200"/>
      <c r="H64" s="3201"/>
      <c r="I64" s="3201"/>
      <c r="J64" s="3201"/>
      <c r="K64" s="3201"/>
      <c r="L64" s="3201"/>
      <c r="M64" s="3201"/>
      <c r="N64" s="3201"/>
      <c r="O64" s="3201"/>
      <c r="P64" s="3201"/>
      <c r="Q64" s="3201"/>
      <c r="R64" s="3201"/>
      <c r="S64" s="3201"/>
    </row>
    <row r="65" spans="1:19" x14ac:dyDescent="0.35">
      <c r="A65" s="3012"/>
      <c r="B65" s="3019"/>
      <c r="C65" s="3032"/>
      <c r="D65" s="3032"/>
      <c r="E65" s="3032"/>
      <c r="F65" s="3032"/>
      <c r="G65" s="2198"/>
      <c r="H65" s="2087"/>
      <c r="I65" s="2087"/>
      <c r="J65" s="2087"/>
      <c r="K65" s="2087"/>
      <c r="L65" s="2087"/>
      <c r="M65" s="2087"/>
      <c r="N65" s="2087"/>
      <c r="O65" s="2087"/>
      <c r="P65" s="2087"/>
      <c r="Q65" s="2087"/>
      <c r="R65" s="2087"/>
      <c r="S65" s="2087"/>
    </row>
    <row r="66" spans="1:19" ht="15" thickBot="1" x14ac:dyDescent="0.4">
      <c r="A66" s="3012"/>
      <c r="B66" s="3019"/>
      <c r="C66" s="3032"/>
      <c r="D66" s="3032"/>
      <c r="E66" s="3032"/>
      <c r="F66" s="3032"/>
      <c r="G66" s="2198"/>
      <c r="H66" s="2087"/>
      <c r="I66" s="2087"/>
      <c r="J66" s="2087"/>
      <c r="K66" s="2087"/>
      <c r="L66" s="2087"/>
      <c r="M66" s="2087"/>
      <c r="N66" s="2087"/>
      <c r="O66" s="2087"/>
      <c r="P66" s="2087"/>
      <c r="Q66" s="2087"/>
      <c r="R66" s="2087"/>
      <c r="S66" s="2087"/>
    </row>
    <row r="67" spans="1:19" ht="15.5" thickTop="1" thickBot="1" x14ac:dyDescent="0.4">
      <c r="A67" s="3764" t="s">
        <v>725</v>
      </c>
      <c r="B67" s="3765"/>
      <c r="C67" s="12"/>
      <c r="D67" s="12"/>
      <c r="E67" s="12"/>
      <c r="F67" s="12"/>
      <c r="G67" s="13"/>
      <c r="H67" s="21"/>
      <c r="I67" s="21"/>
      <c r="J67" s="21"/>
      <c r="K67" s="21"/>
      <c r="L67" s="21"/>
      <c r="M67" s="21"/>
      <c r="N67" s="21"/>
      <c r="O67" s="21"/>
      <c r="P67" s="21"/>
      <c r="Q67" s="21"/>
      <c r="R67" s="21"/>
      <c r="S67" s="21"/>
    </row>
    <row r="68" spans="1:19" ht="15" thickTop="1" x14ac:dyDescent="0.35">
      <c r="A68" s="3035"/>
      <c r="B68" s="3031" t="s">
        <v>726</v>
      </c>
      <c r="C68" s="3032"/>
      <c r="D68" s="3032"/>
      <c r="E68" s="3032"/>
      <c r="F68" s="3032"/>
      <c r="G68" s="2198"/>
      <c r="H68" s="2087"/>
      <c r="I68" s="2087"/>
      <c r="J68" s="2087"/>
      <c r="K68" s="2087"/>
      <c r="L68" s="2087"/>
      <c r="M68" s="2087"/>
      <c r="N68" s="2087"/>
      <c r="O68" s="2087"/>
      <c r="P68" s="2087"/>
      <c r="Q68" s="2087"/>
      <c r="R68" s="2087"/>
      <c r="S68" s="2087"/>
    </row>
    <row r="69" spans="1:19" x14ac:dyDescent="0.35">
      <c r="A69" s="3035"/>
      <c r="B69" s="3031" t="s">
        <v>727</v>
      </c>
      <c r="C69" s="3032"/>
      <c r="D69" s="3032"/>
      <c r="E69" s="3032"/>
      <c r="F69" s="3032"/>
      <c r="G69" s="2198"/>
      <c r="H69" s="2087"/>
      <c r="I69" s="2087"/>
      <c r="J69" s="2087"/>
      <c r="K69" s="2087"/>
      <c r="L69" s="2087"/>
      <c r="M69" s="2087"/>
      <c r="N69" s="2087"/>
      <c r="O69" s="2087"/>
      <c r="P69" s="2087"/>
      <c r="Q69" s="2087"/>
      <c r="R69" s="2087"/>
      <c r="S69" s="2087"/>
    </row>
    <row r="70" spans="1:19" x14ac:dyDescent="0.35">
      <c r="A70" s="3035"/>
      <c r="B70" s="3031" t="s">
        <v>728</v>
      </c>
      <c r="C70" s="3032"/>
      <c r="D70" s="3032"/>
      <c r="E70" s="3032"/>
      <c r="F70" s="3032"/>
      <c r="G70" s="2198"/>
      <c r="H70" s="2087"/>
      <c r="I70" s="2087"/>
      <c r="J70" s="2087"/>
      <c r="K70" s="2087"/>
      <c r="L70" s="2087"/>
      <c r="M70" s="2087"/>
      <c r="N70" s="2087"/>
      <c r="O70" s="2087"/>
      <c r="P70" s="2087"/>
      <c r="Q70" s="2087"/>
      <c r="R70" s="2087"/>
      <c r="S70" s="2087"/>
    </row>
    <row r="71" spans="1:19" x14ac:dyDescent="0.35">
      <c r="A71" s="3035"/>
      <c r="B71" s="3031" t="s">
        <v>729</v>
      </c>
      <c r="C71" s="3032"/>
      <c r="D71" s="3032"/>
      <c r="E71" s="3032"/>
      <c r="F71" s="3032"/>
      <c r="G71" s="2198"/>
      <c r="H71" s="2087"/>
      <c r="I71" s="2087"/>
      <c r="J71" s="2087"/>
      <c r="K71" s="2087"/>
      <c r="L71" s="2087"/>
      <c r="M71" s="2087"/>
      <c r="N71" s="2087"/>
      <c r="O71" s="2087"/>
      <c r="P71" s="2087"/>
      <c r="Q71" s="2087"/>
      <c r="R71" s="2087"/>
      <c r="S71" s="2087"/>
    </row>
    <row r="72" spans="1:19" ht="15" thickBot="1" x14ac:dyDescent="0.4">
      <c r="A72" s="978"/>
      <c r="B72" s="939"/>
      <c r="C72" s="940"/>
      <c r="D72" s="940"/>
      <c r="E72" s="940"/>
      <c r="F72" s="940"/>
      <c r="G72" s="1039"/>
      <c r="H72" s="981"/>
      <c r="I72" s="981"/>
      <c r="J72" s="981"/>
      <c r="K72" s="981"/>
      <c r="L72" s="981"/>
      <c r="M72" s="981"/>
      <c r="N72" s="981"/>
      <c r="O72" s="981"/>
      <c r="P72" s="981"/>
      <c r="Q72" s="981"/>
      <c r="R72" s="981"/>
      <c r="S72" s="981"/>
    </row>
    <row r="73" spans="1:19" ht="15.5" thickTop="1" thickBot="1" x14ac:dyDescent="0.4">
      <c r="A73" s="7" t="s">
        <v>730</v>
      </c>
      <c r="B73" s="8"/>
      <c r="C73" s="12"/>
      <c r="D73" s="12"/>
      <c r="E73" s="12"/>
      <c r="F73" s="12"/>
      <c r="G73" s="13"/>
      <c r="H73" s="21"/>
      <c r="I73" s="21"/>
      <c r="J73" s="21"/>
      <c r="K73" s="21"/>
      <c r="L73" s="21"/>
      <c r="M73" s="21"/>
      <c r="N73" s="21"/>
      <c r="O73" s="21"/>
      <c r="P73" s="21"/>
      <c r="Q73" s="21"/>
      <c r="R73" s="21"/>
      <c r="S73" s="21"/>
    </row>
    <row r="74" spans="1:19" ht="15" thickTop="1" x14ac:dyDescent="0.35">
      <c r="A74" s="3198"/>
      <c r="B74" s="3204" t="s">
        <v>731</v>
      </c>
      <c r="C74" s="3199"/>
      <c r="D74" s="3199"/>
      <c r="E74" s="3199"/>
      <c r="F74" s="3199"/>
      <c r="G74" s="3200"/>
      <c r="H74" s="3205"/>
      <c r="I74" s="3205"/>
      <c r="J74" s="3205"/>
      <c r="K74" s="3205"/>
      <c r="L74" s="3205"/>
      <c r="M74" s="3205"/>
      <c r="N74" s="3205"/>
      <c r="O74" s="3205"/>
      <c r="P74" s="3205"/>
      <c r="Q74" s="3205"/>
      <c r="R74" s="3205"/>
      <c r="S74" s="3205"/>
    </row>
    <row r="75" spans="1:19" x14ac:dyDescent="0.35">
      <c r="A75" s="3035"/>
      <c r="B75" s="3031" t="s">
        <v>732</v>
      </c>
      <c r="C75" s="3032"/>
      <c r="D75" s="3032"/>
      <c r="E75" s="3032"/>
      <c r="F75" s="3032"/>
      <c r="G75" s="2198"/>
      <c r="H75" s="2158"/>
      <c r="I75" s="2158"/>
      <c r="J75" s="2158"/>
      <c r="K75" s="2158"/>
      <c r="L75" s="2158"/>
      <c r="M75" s="2158"/>
      <c r="N75" s="2158"/>
      <c r="O75" s="2158"/>
      <c r="P75" s="2158"/>
      <c r="Q75" s="2158"/>
      <c r="R75" s="2158"/>
      <c r="S75" s="2158"/>
    </row>
    <row r="76" spans="1:19" ht="15" thickBot="1" x14ac:dyDescent="0.4">
      <c r="A76" s="2089"/>
      <c r="B76" s="2090" t="s">
        <v>733</v>
      </c>
      <c r="C76" s="2091"/>
      <c r="D76" s="2091"/>
      <c r="E76" s="2091"/>
      <c r="F76" s="2091"/>
      <c r="G76" s="2092"/>
      <c r="H76" s="2093"/>
      <c r="I76" s="2093"/>
      <c r="J76" s="2093"/>
      <c r="K76" s="2093"/>
      <c r="L76" s="2093"/>
      <c r="M76" s="2093"/>
      <c r="N76" s="2093"/>
      <c r="O76" s="2093"/>
      <c r="P76" s="2093"/>
      <c r="Q76" s="2093"/>
      <c r="R76" s="2093"/>
      <c r="S76" s="2093"/>
    </row>
    <row r="77" spans="1:19" ht="15.5" thickTop="1" thickBot="1" x14ac:dyDescent="0.4"/>
    <row r="78" spans="1:19" ht="15.5" thickTop="1" thickBot="1" x14ac:dyDescent="0.4">
      <c r="A78" s="78" t="s">
        <v>734</v>
      </c>
      <c r="B78" s="80"/>
    </row>
    <row r="79" spans="1:19" ht="15" thickTop="1" x14ac:dyDescent="0.35">
      <c r="A79" s="79" t="s">
        <v>632</v>
      </c>
      <c r="B79" s="2094"/>
    </row>
    <row r="80" spans="1:19" x14ac:dyDescent="0.35">
      <c r="A80" s="3029" t="s">
        <v>636</v>
      </c>
      <c r="B80" s="2094"/>
    </row>
    <row r="81" spans="1:2" x14ac:dyDescent="0.35">
      <c r="A81" s="2096" t="s">
        <v>639</v>
      </c>
      <c r="B81" s="2097"/>
    </row>
    <row r="82" spans="1:2" x14ac:dyDescent="0.35">
      <c r="A82" s="2096" t="s">
        <v>642</v>
      </c>
      <c r="B82" s="2159"/>
    </row>
    <row r="83" spans="1:2" ht="15" thickBot="1" x14ac:dyDescent="0.4">
      <c r="A83" s="2099" t="s">
        <v>735</v>
      </c>
      <c r="B83" s="2100"/>
    </row>
    <row r="84" spans="1:2" ht="15" thickTop="1" x14ac:dyDescent="0.35"/>
    <row r="85" spans="1:2" x14ac:dyDescent="0.35">
      <c r="A85" s="81"/>
      <c r="B85" s="1" t="s">
        <v>736</v>
      </c>
    </row>
    <row r="86" spans="1:2" x14ac:dyDescent="0.35">
      <c r="A86" s="82"/>
      <c r="B86" s="1" t="s">
        <v>737</v>
      </c>
    </row>
  </sheetData>
  <mergeCells count="47">
    <mergeCell ref="A51:B51"/>
    <mergeCell ref="A55:B55"/>
    <mergeCell ref="A59:B59"/>
    <mergeCell ref="A63:B63"/>
    <mergeCell ref="A67:B6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43" priority="1" operator="equal">
      <formula>"X"</formula>
    </cfRule>
    <cfRule type="cellIs" dxfId="242" priority="2" operator="equal">
      <formula>"I"</formula>
    </cfRule>
  </conditionalFormatting>
  <conditionalFormatting sqref="H32:H42">
    <cfRule type="cellIs" dxfId="241" priority="23" operator="equal">
      <formula>"X"</formula>
    </cfRule>
    <cfRule type="cellIs" dxfId="240" priority="24" operator="equal">
      <formula>"I"</formula>
    </cfRule>
  </conditionalFormatting>
  <conditionalFormatting sqref="J20:J30">
    <cfRule type="cellIs" dxfId="239" priority="3" operator="equal">
      <formula>"X"</formula>
    </cfRule>
    <cfRule type="cellIs" dxfId="238" priority="4" operator="equal">
      <formula>"I"</formula>
    </cfRule>
  </conditionalFormatting>
  <conditionalFormatting sqref="J32:J42">
    <cfRule type="cellIs" dxfId="237" priority="21" operator="equal">
      <formula>"X"</formula>
    </cfRule>
    <cfRule type="cellIs" dxfId="236" priority="22" operator="equal">
      <formula>"I"</formula>
    </cfRule>
  </conditionalFormatting>
  <conditionalFormatting sqref="L20:L30">
    <cfRule type="cellIs" dxfId="235" priority="5" operator="equal">
      <formula>"X"</formula>
    </cfRule>
    <cfRule type="cellIs" dxfId="234" priority="6" operator="equal">
      <formula>"I"</formula>
    </cfRule>
  </conditionalFormatting>
  <conditionalFormatting sqref="L32:L42">
    <cfRule type="cellIs" dxfId="233" priority="19" operator="equal">
      <formula>"X"</formula>
    </cfRule>
    <cfRule type="cellIs" dxfId="232" priority="20" operator="equal">
      <formula>"I"</formula>
    </cfRule>
  </conditionalFormatting>
  <conditionalFormatting sqref="N20:N30">
    <cfRule type="cellIs" dxfId="231" priority="7" operator="equal">
      <formula>"X"</formula>
    </cfRule>
    <cfRule type="cellIs" dxfId="230" priority="8" operator="equal">
      <formula>"I"</formula>
    </cfRule>
  </conditionalFormatting>
  <conditionalFormatting sqref="N32:N42">
    <cfRule type="cellIs" dxfId="229" priority="17" operator="equal">
      <formula>"X"</formula>
    </cfRule>
    <cfRule type="cellIs" dxfId="228" priority="18" operator="equal">
      <formula>"I"</formula>
    </cfRule>
  </conditionalFormatting>
  <conditionalFormatting sqref="P20:P30">
    <cfRule type="cellIs" dxfId="227" priority="9" operator="equal">
      <formula>"X"</formula>
    </cfRule>
    <cfRule type="cellIs" dxfId="226" priority="10" operator="equal">
      <formula>"I"</formula>
    </cfRule>
  </conditionalFormatting>
  <conditionalFormatting sqref="P32:P42">
    <cfRule type="cellIs" dxfId="225" priority="15" operator="equal">
      <formula>"X"</formula>
    </cfRule>
    <cfRule type="cellIs" dxfId="224" priority="16" operator="equal">
      <formula>"I"</formula>
    </cfRule>
  </conditionalFormatting>
  <conditionalFormatting sqref="R20:R30">
    <cfRule type="cellIs" dxfId="223" priority="11" operator="equal">
      <formula>"X"</formula>
    </cfRule>
    <cfRule type="cellIs" dxfId="222" priority="12" operator="equal">
      <formula>"I"</formula>
    </cfRule>
  </conditionalFormatting>
  <conditionalFormatting sqref="R32:R42">
    <cfRule type="cellIs" dxfId="221" priority="13" operator="equal">
      <formula>"X"</formula>
    </cfRule>
    <cfRule type="cellIs" dxfId="220" priority="14" operator="equal">
      <formula>"I"</formula>
    </cfRule>
  </conditionalFormatting>
  <hyperlinks>
    <hyperlink ref="B3" location="'Cost Summary'!A1" display="BACK TO SUMMARY SHEET" xr:uid="{F45C27B4-F634-48EA-BA1E-21E519FAB13F}"/>
  </hyperlinks>
  <pageMargins left="0.7" right="0.7" top="0.75" bottom="0.75" header="0.3" footer="0.3"/>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B1A8-1700-4440-A5AC-B1F98024D6BB}">
  <sheetPr>
    <tabColor rgb="FF92D050"/>
  </sheetPr>
  <dimension ref="A1:W89"/>
  <sheetViews>
    <sheetView zoomScaleNormal="100" workbookViewId="0">
      <pane xSplit="2" ySplit="9" topLeftCell="C73"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70.7265625" style="1" customWidth="1"/>
    <col min="3" max="3" width="17.26953125" style="2" bestFit="1" customWidth="1"/>
    <col min="4" max="5" width="7.54296875" style="2" customWidth="1"/>
    <col min="6" max="6" width="7.7265625"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s>
  <sheetData>
    <row r="1" spans="1:21" x14ac:dyDescent="0.35">
      <c r="E1" s="152"/>
      <c r="F1" s="125"/>
      <c r="G1" s="123" t="s">
        <v>621</v>
      </c>
      <c r="M1" s="2" t="s">
        <v>3885</v>
      </c>
      <c r="O1" s="2" t="s">
        <v>3886</v>
      </c>
    </row>
    <row r="2" spans="1:21" ht="15" thickBot="1" x14ac:dyDescent="0.4">
      <c r="E2" s="87"/>
      <c r="F2" s="122" t="s">
        <v>622</v>
      </c>
      <c r="G2" s="123" t="s">
        <v>451</v>
      </c>
      <c r="H2" s="3866">
        <v>8133610034</v>
      </c>
      <c r="I2" s="3866"/>
      <c r="J2" s="3751"/>
      <c r="K2" s="3751"/>
      <c r="L2" s="3866">
        <v>4632486627</v>
      </c>
      <c r="M2" s="3866"/>
      <c r="N2" s="3866">
        <v>4632486627</v>
      </c>
      <c r="O2" s="3866"/>
      <c r="P2" s="3751"/>
      <c r="Q2" s="3751"/>
      <c r="R2" s="3751"/>
      <c r="S2" s="3751"/>
      <c r="T2" s="3751"/>
      <c r="U2" s="3751"/>
    </row>
    <row r="3" spans="1:21" ht="20" thickBot="1" x14ac:dyDescent="0.4">
      <c r="B3" s="137" t="s">
        <v>623</v>
      </c>
      <c r="E3" s="212"/>
      <c r="F3" s="124" t="s">
        <v>624</v>
      </c>
      <c r="G3" s="123" t="s">
        <v>557</v>
      </c>
      <c r="H3" s="3754" t="s">
        <v>625</v>
      </c>
      <c r="I3" s="3755"/>
      <c r="J3" s="3772" t="s">
        <v>626</v>
      </c>
      <c r="K3" s="3773"/>
      <c r="L3" s="3754" t="s">
        <v>627</v>
      </c>
      <c r="M3" s="3755"/>
      <c r="N3" s="3754" t="s">
        <v>627</v>
      </c>
      <c r="O3" s="3755"/>
      <c r="P3" s="3754" t="s">
        <v>628</v>
      </c>
      <c r="Q3" s="3755"/>
      <c r="R3" s="3754" t="s">
        <v>629</v>
      </c>
      <c r="S3" s="3755"/>
      <c r="T3" s="3754" t="s">
        <v>630</v>
      </c>
      <c r="U3" s="3755"/>
    </row>
    <row r="4" spans="1:21" ht="15" thickTop="1" x14ac:dyDescent="0.35">
      <c r="A4" s="3" t="s">
        <v>631</v>
      </c>
      <c r="B4" s="4" t="e">
        <f>#REF!</f>
        <v>#REF!</v>
      </c>
      <c r="C4" s="5"/>
      <c r="D4" s="5"/>
      <c r="E4" s="5"/>
      <c r="F4" s="5"/>
      <c r="G4" s="6" t="s">
        <v>632</v>
      </c>
      <c r="H4" s="3752" t="s">
        <v>3887</v>
      </c>
      <c r="I4" s="3753"/>
      <c r="J4" s="3752" t="s">
        <v>3888</v>
      </c>
      <c r="K4" s="3753"/>
      <c r="L4" s="3752" t="s">
        <v>3889</v>
      </c>
      <c r="M4" s="3753"/>
      <c r="N4" s="3752" t="s">
        <v>3889</v>
      </c>
      <c r="O4" s="3753"/>
      <c r="P4" s="3752"/>
      <c r="Q4" s="3753"/>
      <c r="R4" s="3752"/>
      <c r="S4" s="3753"/>
      <c r="T4" s="3752"/>
      <c r="U4" s="3753"/>
    </row>
    <row r="5" spans="1:21" x14ac:dyDescent="0.35">
      <c r="A5" s="3030" t="s">
        <v>634</v>
      </c>
      <c r="B5" s="3031" t="s">
        <v>571</v>
      </c>
      <c r="C5" s="3032"/>
      <c r="D5" s="3032"/>
      <c r="E5" s="3032"/>
      <c r="F5" s="3032"/>
      <c r="G5" s="2194" t="s">
        <v>636</v>
      </c>
      <c r="H5" s="3992" t="s">
        <v>3890</v>
      </c>
      <c r="I5" s="3932"/>
      <c r="J5" s="3992" t="s">
        <v>3891</v>
      </c>
      <c r="K5" s="3932"/>
      <c r="L5" s="3992" t="s">
        <v>3892</v>
      </c>
      <c r="M5" s="3932"/>
      <c r="N5" s="3992" t="s">
        <v>3892</v>
      </c>
      <c r="O5" s="3932"/>
      <c r="P5" s="3992"/>
      <c r="Q5" s="3932"/>
      <c r="R5" s="3992"/>
      <c r="S5" s="3932"/>
      <c r="T5" s="3992"/>
      <c r="U5" s="3932"/>
    </row>
    <row r="6" spans="1:21" x14ac:dyDescent="0.35">
      <c r="A6" s="3030" t="s">
        <v>638</v>
      </c>
      <c r="B6" s="3033" t="s">
        <v>570</v>
      </c>
      <c r="C6" s="3032"/>
      <c r="D6" s="3032"/>
      <c r="E6" s="3032"/>
      <c r="F6" s="3032"/>
      <c r="G6" s="2194" t="s">
        <v>639</v>
      </c>
      <c r="H6" s="3993">
        <v>8139098000</v>
      </c>
      <c r="I6" s="3938"/>
      <c r="J6" s="3993">
        <v>3055928181</v>
      </c>
      <c r="K6" s="3938"/>
      <c r="L6" s="3993">
        <v>8137766664</v>
      </c>
      <c r="M6" s="3938"/>
      <c r="N6" s="3993">
        <v>8137766664</v>
      </c>
      <c r="O6" s="3938"/>
      <c r="P6" s="3993"/>
      <c r="Q6" s="3938"/>
      <c r="R6" s="3993"/>
      <c r="S6" s="3938"/>
      <c r="T6" s="3993"/>
      <c r="U6" s="3938"/>
    </row>
    <row r="7" spans="1:21" x14ac:dyDescent="0.35">
      <c r="A7" s="3030" t="s">
        <v>641</v>
      </c>
      <c r="B7" s="3034"/>
      <c r="C7" s="3032"/>
      <c r="D7" s="3032"/>
      <c r="E7" s="3032"/>
      <c r="F7" s="3032"/>
      <c r="G7" s="2194" t="s">
        <v>642</v>
      </c>
      <c r="H7" s="4002" t="s">
        <v>3893</v>
      </c>
      <c r="I7" s="4004"/>
      <c r="J7" s="4002" t="s">
        <v>3894</v>
      </c>
      <c r="K7" s="4004"/>
      <c r="L7" s="4002" t="s">
        <v>3895</v>
      </c>
      <c r="M7" s="4004"/>
      <c r="N7" s="4002" t="s">
        <v>3895</v>
      </c>
      <c r="O7" s="4004"/>
      <c r="P7" s="4002"/>
      <c r="Q7" s="4004"/>
      <c r="R7" s="4002"/>
      <c r="S7" s="4004"/>
      <c r="T7" s="4002"/>
      <c r="U7" s="4004"/>
    </row>
    <row r="8" spans="1:21" ht="15" thickBot="1" x14ac:dyDescent="0.4">
      <c r="A8" s="938" t="s">
        <v>644</v>
      </c>
      <c r="B8" s="939"/>
      <c r="C8" s="940"/>
      <c r="D8" s="940"/>
      <c r="E8" s="940"/>
      <c r="F8" s="940"/>
      <c r="G8" s="1024" t="s">
        <v>644</v>
      </c>
      <c r="H8" s="3926">
        <f>I50</f>
        <v>465000</v>
      </c>
      <c r="I8" s="3927"/>
      <c r="J8" s="3926">
        <f>K50</f>
        <v>380000</v>
      </c>
      <c r="K8" s="3927"/>
      <c r="L8" s="3926">
        <f>M50</f>
        <v>349000</v>
      </c>
      <c r="M8" s="3927"/>
      <c r="N8" s="3926">
        <f>O50</f>
        <v>239000</v>
      </c>
      <c r="O8" s="3927"/>
      <c r="P8" s="3926">
        <f>Q50</f>
        <v>0</v>
      </c>
      <c r="Q8" s="3927"/>
      <c r="R8" s="3926">
        <f>S50</f>
        <v>0</v>
      </c>
      <c r="S8" s="3927"/>
      <c r="T8" s="3926">
        <f>U50</f>
        <v>0</v>
      </c>
      <c r="U8" s="3927"/>
    </row>
    <row r="9" spans="1:21"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t="15" hidden="1" thickTop="1" x14ac:dyDescent="0.35">
      <c r="A10" s="3035"/>
      <c r="B10" s="3206" t="s">
        <v>653</v>
      </c>
      <c r="C10" s="3032"/>
      <c r="D10" s="3032"/>
      <c r="E10" s="3032"/>
      <c r="F10" s="3032"/>
      <c r="G10" s="2198"/>
      <c r="H10" s="2107"/>
      <c r="I10" s="2107"/>
      <c r="J10" s="2107"/>
      <c r="K10" s="2107"/>
      <c r="L10" s="2107"/>
      <c r="M10" s="2107"/>
      <c r="N10" s="2107"/>
      <c r="O10" s="2107"/>
      <c r="P10" s="2107"/>
      <c r="Q10" s="2107"/>
      <c r="R10" s="2107"/>
      <c r="S10" s="2107"/>
      <c r="T10" s="2107"/>
      <c r="U10" s="2107"/>
    </row>
    <row r="11" spans="1:21" ht="15" hidden="1" thickTop="1" x14ac:dyDescent="0.35">
      <c r="A11" s="3035"/>
      <c r="B11" s="3031" t="e">
        <f>#REF!</f>
        <v>#REF!</v>
      </c>
      <c r="C11" s="3036" t="s">
        <v>654</v>
      </c>
      <c r="D11" s="3032"/>
      <c r="E11" s="3032"/>
      <c r="F11" s="3032"/>
      <c r="G11" s="2198"/>
      <c r="H11" s="2107"/>
      <c r="I11" s="2107"/>
      <c r="J11" s="2107"/>
      <c r="K11" s="2107"/>
      <c r="L11" s="2107"/>
      <c r="M11" s="2107"/>
      <c r="N11" s="2107"/>
      <c r="O11" s="2107"/>
      <c r="P11" s="2107"/>
      <c r="Q11" s="2107"/>
      <c r="R11" s="2107"/>
      <c r="S11" s="2107"/>
      <c r="T11" s="2107"/>
      <c r="U11" s="2107"/>
    </row>
    <row r="12" spans="1:21" ht="15" hidden="1" thickTop="1" x14ac:dyDescent="0.35">
      <c r="A12" s="3035"/>
      <c r="B12" s="3031" t="e">
        <f>#REF!</f>
        <v>#REF!</v>
      </c>
      <c r="C12" s="3036" t="s">
        <v>654</v>
      </c>
      <c r="D12" s="3032"/>
      <c r="E12" s="3032"/>
      <c r="F12" s="3032"/>
      <c r="G12" s="2198"/>
      <c r="H12" s="2107"/>
      <c r="I12" s="2107"/>
      <c r="J12" s="2107"/>
      <c r="K12" s="2107"/>
      <c r="L12" s="2107"/>
      <c r="M12" s="2107"/>
      <c r="N12" s="2107"/>
      <c r="O12" s="2107"/>
      <c r="P12" s="2107"/>
      <c r="Q12" s="2107"/>
      <c r="R12" s="2107"/>
      <c r="S12" s="2107"/>
      <c r="T12" s="2107"/>
      <c r="U12" s="2107"/>
    </row>
    <row r="13" spans="1:21" ht="15" hidden="1" thickTop="1" x14ac:dyDescent="0.35">
      <c r="A13" s="3035"/>
      <c r="B13" s="3031" t="e">
        <f>#REF!</f>
        <v>#REF!</v>
      </c>
      <c r="C13" s="3036" t="s">
        <v>654</v>
      </c>
      <c r="D13" s="3032"/>
      <c r="E13" s="3032"/>
      <c r="F13" s="3032"/>
      <c r="G13" s="2198"/>
      <c r="H13" s="2107"/>
      <c r="I13" s="2107"/>
      <c r="J13" s="2107"/>
      <c r="K13" s="2107"/>
      <c r="L13" s="2107"/>
      <c r="M13" s="2107"/>
      <c r="N13" s="2107"/>
      <c r="O13" s="2107"/>
      <c r="P13" s="2107"/>
      <c r="Q13" s="2107"/>
      <c r="R13" s="2107"/>
      <c r="S13" s="2107"/>
      <c r="T13" s="2107"/>
      <c r="U13" s="2107"/>
    </row>
    <row r="14" spans="1:21" ht="15" hidden="1" thickTop="1" x14ac:dyDescent="0.35">
      <c r="A14" s="3035"/>
      <c r="B14" s="3031" t="e">
        <f>#REF!</f>
        <v>#REF!</v>
      </c>
      <c r="C14" s="3036" t="s">
        <v>654</v>
      </c>
      <c r="D14" s="3032"/>
      <c r="E14" s="3032"/>
      <c r="F14" s="3032"/>
      <c r="G14" s="2198"/>
      <c r="H14" s="2107"/>
      <c r="I14" s="2107"/>
      <c r="J14" s="2107"/>
      <c r="K14" s="2107"/>
      <c r="L14" s="2107"/>
      <c r="M14" s="2107"/>
      <c r="N14" s="2107"/>
      <c r="O14" s="2107"/>
      <c r="P14" s="2107"/>
      <c r="Q14" s="2107"/>
      <c r="R14" s="2107"/>
      <c r="S14" s="2107"/>
      <c r="T14" s="2107"/>
      <c r="U14" s="2107"/>
    </row>
    <row r="15" spans="1:21" ht="15" hidden="1" thickTop="1" x14ac:dyDescent="0.35">
      <c r="A15" s="3035"/>
      <c r="B15" s="3031" t="e">
        <f>#REF!</f>
        <v>#REF!</v>
      </c>
      <c r="C15" s="3036" t="s">
        <v>654</v>
      </c>
      <c r="D15" s="3032"/>
      <c r="E15" s="3032"/>
      <c r="F15" s="3032"/>
      <c r="G15" s="2198"/>
      <c r="H15" s="2107"/>
      <c r="I15" s="2107"/>
      <c r="J15" s="2107"/>
      <c r="K15" s="2107"/>
      <c r="L15" s="2107"/>
      <c r="M15" s="2107"/>
      <c r="N15" s="2107"/>
      <c r="O15" s="2107"/>
      <c r="P15" s="2107"/>
      <c r="Q15" s="2107"/>
      <c r="R15" s="2107"/>
      <c r="S15" s="2107"/>
      <c r="T15" s="2107"/>
      <c r="U15" s="2107"/>
    </row>
    <row r="16" spans="1:21" ht="15" hidden="1" thickTop="1" x14ac:dyDescent="0.35">
      <c r="A16" s="3035"/>
      <c r="B16" s="3031" t="e">
        <f>#REF!</f>
        <v>#REF!</v>
      </c>
      <c r="C16" s="3036" t="s">
        <v>654</v>
      </c>
      <c r="D16" s="3032"/>
      <c r="E16" s="3032"/>
      <c r="F16" s="3032"/>
      <c r="G16" s="2198"/>
      <c r="H16" s="2107"/>
      <c r="I16" s="2107"/>
      <c r="J16" s="2107"/>
      <c r="K16" s="2107"/>
      <c r="L16" s="2107"/>
      <c r="M16" s="2107"/>
      <c r="N16" s="2107"/>
      <c r="O16" s="2107"/>
      <c r="P16" s="2107"/>
      <c r="Q16" s="2107"/>
      <c r="R16" s="2107"/>
      <c r="S16" s="2107"/>
      <c r="T16" s="2107"/>
      <c r="U16" s="2107"/>
    </row>
    <row r="17" spans="1:21" ht="15" hidden="1" thickTop="1" x14ac:dyDescent="0.35">
      <c r="A17" s="3035"/>
      <c r="B17" s="3031" t="e">
        <f>#REF!</f>
        <v>#REF!</v>
      </c>
      <c r="C17" s="3036" t="s">
        <v>654</v>
      </c>
      <c r="D17" s="3032"/>
      <c r="E17" s="3032"/>
      <c r="F17" s="3032"/>
      <c r="G17" s="2198"/>
      <c r="H17" s="2107"/>
      <c r="I17" s="2107"/>
      <c r="J17" s="2107"/>
      <c r="K17" s="2107"/>
      <c r="L17" s="2107"/>
      <c r="M17" s="2107"/>
      <c r="N17" s="2107"/>
      <c r="O17" s="2107"/>
      <c r="P17" s="2107"/>
      <c r="Q17" s="2107"/>
      <c r="R17" s="2107"/>
      <c r="S17" s="2107"/>
      <c r="T17" s="2107"/>
      <c r="U17" s="2107"/>
    </row>
    <row r="18" spans="1:21" ht="15" hidden="1" thickTop="1" x14ac:dyDescent="0.35">
      <c r="A18" s="3035"/>
      <c r="B18" s="3031" t="e">
        <f>#REF!</f>
        <v>#REF!</v>
      </c>
      <c r="C18" s="3036" t="s">
        <v>654</v>
      </c>
      <c r="D18" s="3032"/>
      <c r="E18" s="3032"/>
      <c r="F18" s="3032"/>
      <c r="G18" s="2198"/>
      <c r="H18" s="2107"/>
      <c r="I18" s="2107"/>
      <c r="J18" s="2107"/>
      <c r="K18" s="2107"/>
      <c r="L18" s="2107"/>
      <c r="M18" s="2107"/>
      <c r="N18" s="2107"/>
      <c r="O18" s="2107"/>
      <c r="P18" s="2107"/>
      <c r="Q18" s="2107"/>
      <c r="R18" s="2107"/>
      <c r="S18" s="2107"/>
      <c r="T18" s="2107"/>
      <c r="U18" s="2107"/>
    </row>
    <row r="19" spans="1:21" ht="15" hidden="1" thickTop="1" x14ac:dyDescent="0.35">
      <c r="A19" s="3035"/>
      <c r="B19" s="3031" t="e">
        <f>#REF!</f>
        <v>#REF!</v>
      </c>
      <c r="C19" s="3036" t="s">
        <v>654</v>
      </c>
      <c r="D19" s="3032"/>
      <c r="E19" s="3032"/>
      <c r="F19" s="3032"/>
      <c r="G19" s="2198"/>
      <c r="H19" s="2107"/>
      <c r="I19" s="2107"/>
      <c r="J19" s="2107"/>
      <c r="K19" s="2107"/>
      <c r="L19" s="2107"/>
      <c r="M19" s="2107"/>
      <c r="N19" s="2107"/>
      <c r="O19" s="2107"/>
      <c r="P19" s="2107"/>
      <c r="Q19" s="2107"/>
      <c r="R19" s="2107"/>
      <c r="S19" s="2107"/>
      <c r="T19" s="2107"/>
      <c r="U19" s="2107"/>
    </row>
    <row r="20" spans="1:21" ht="15" thickTop="1" x14ac:dyDescent="0.35">
      <c r="A20" s="3035"/>
      <c r="B20" s="3031"/>
      <c r="C20" s="3036"/>
      <c r="D20" s="3032"/>
      <c r="E20" s="3032"/>
      <c r="F20" s="3032"/>
      <c r="G20" s="2198"/>
      <c r="H20" s="2109"/>
      <c r="I20" s="2107"/>
      <c r="J20" s="2109"/>
      <c r="K20" s="2107"/>
      <c r="L20" s="2109"/>
      <c r="M20" s="2107"/>
      <c r="N20" s="2109"/>
      <c r="O20" s="2107"/>
      <c r="P20" s="2109"/>
      <c r="Q20" s="2107"/>
      <c r="R20" s="2109"/>
      <c r="S20" s="2107"/>
      <c r="T20" s="2109"/>
      <c r="U20" s="2107"/>
    </row>
    <row r="21" spans="1:21" ht="15" thickBot="1" x14ac:dyDescent="0.4">
      <c r="A21" s="48"/>
      <c r="B21" s="3037" t="s">
        <v>571</v>
      </c>
      <c r="C21" s="45"/>
      <c r="D21" s="46"/>
      <c r="E21" s="46"/>
      <c r="F21" s="46"/>
      <c r="G21" s="52"/>
      <c r="H21" s="2109"/>
      <c r="I21" s="2107"/>
      <c r="J21" s="2109"/>
      <c r="K21" s="2107"/>
      <c r="L21" s="2109"/>
      <c r="M21" s="2107"/>
      <c r="N21" s="2109"/>
      <c r="O21" s="2107"/>
      <c r="P21" s="2109"/>
      <c r="Q21" s="2107"/>
      <c r="R21" s="2109"/>
      <c r="S21" s="2107"/>
      <c r="T21" s="2109"/>
      <c r="U21" s="2107"/>
    </row>
    <row r="22" spans="1:21" x14ac:dyDescent="0.35">
      <c r="A22" s="3207"/>
      <c r="B22" s="606" t="s">
        <v>657</v>
      </c>
      <c r="C22" s="3036"/>
      <c r="D22" s="3032"/>
      <c r="E22" s="3032"/>
      <c r="F22" s="3032"/>
      <c r="G22" s="2198"/>
      <c r="H22" s="2109"/>
      <c r="I22" s="3183"/>
      <c r="J22" s="2109"/>
      <c r="K22" s="3208"/>
      <c r="L22" s="2109"/>
      <c r="M22" s="2158"/>
      <c r="N22" s="2109"/>
      <c r="O22" s="2158"/>
      <c r="P22" s="2109"/>
      <c r="Q22" s="2158"/>
      <c r="R22" s="2109"/>
      <c r="S22" s="2158"/>
      <c r="T22" s="2109"/>
      <c r="U22" s="2158"/>
    </row>
    <row r="23" spans="1:21" x14ac:dyDescent="0.35">
      <c r="A23" s="3207"/>
      <c r="B23" s="3209" t="s">
        <v>658</v>
      </c>
      <c r="C23" s="3036"/>
      <c r="D23" s="3032"/>
      <c r="E23" s="3032"/>
      <c r="F23" s="3032"/>
      <c r="G23" s="2198"/>
      <c r="H23" s="2109"/>
      <c r="I23" s="3210"/>
      <c r="J23" s="2109"/>
      <c r="K23" s="3211"/>
      <c r="L23" s="2109"/>
      <c r="M23" s="3212"/>
      <c r="N23" s="2109"/>
      <c r="O23" s="3212"/>
      <c r="P23" s="2109"/>
      <c r="Q23" s="3212"/>
      <c r="R23" s="2109"/>
      <c r="S23" s="3212"/>
      <c r="T23" s="2109"/>
      <c r="U23" s="3212"/>
    </row>
    <row r="24" spans="1:21" x14ac:dyDescent="0.35">
      <c r="A24" s="3207"/>
      <c r="B24" s="3209" t="s">
        <v>659</v>
      </c>
      <c r="C24" s="3036"/>
      <c r="D24" s="3032"/>
      <c r="E24" s="3032"/>
      <c r="F24" s="3032"/>
      <c r="G24" s="2198"/>
      <c r="H24" s="2109"/>
      <c r="I24" s="3211"/>
      <c r="J24" s="2109"/>
      <c r="K24" s="3211"/>
      <c r="L24" s="2109"/>
      <c r="M24" s="3212"/>
      <c r="N24" s="2109"/>
      <c r="O24" s="3212"/>
      <c r="P24" s="2109"/>
      <c r="Q24" s="3212"/>
      <c r="R24" s="2109"/>
      <c r="S24" s="3212"/>
      <c r="T24" s="2109"/>
      <c r="U24" s="3212"/>
    </row>
    <row r="25" spans="1:21" x14ac:dyDescent="0.35">
      <c r="A25" s="3207"/>
      <c r="B25" s="3213" t="s">
        <v>660</v>
      </c>
      <c r="C25" s="3036"/>
      <c r="D25" s="3032"/>
      <c r="E25" s="3032"/>
      <c r="F25" s="3032"/>
      <c r="G25" s="2198"/>
      <c r="H25" s="2109"/>
      <c r="I25" s="3211"/>
      <c r="J25" s="2109"/>
      <c r="K25" s="3211"/>
      <c r="L25" s="2109"/>
      <c r="M25" s="3212"/>
      <c r="N25" s="2109"/>
      <c r="O25" s="3212"/>
      <c r="P25" s="2109"/>
      <c r="Q25" s="3211"/>
      <c r="R25" s="2109"/>
      <c r="S25" s="3212"/>
      <c r="T25" s="2109"/>
      <c r="U25" s="3212"/>
    </row>
    <row r="26" spans="1:21" x14ac:dyDescent="0.35">
      <c r="A26" s="3207"/>
      <c r="B26" s="3213" t="s">
        <v>661</v>
      </c>
      <c r="C26" s="3036"/>
      <c r="D26" s="3032"/>
      <c r="E26" s="3032"/>
      <c r="F26" s="3032"/>
      <c r="G26" s="2198"/>
      <c r="H26" s="2109"/>
      <c r="I26" s="3211"/>
      <c r="J26" s="2109"/>
      <c r="K26" s="3211"/>
      <c r="L26" s="2109"/>
      <c r="M26" s="3212"/>
      <c r="N26" s="2109"/>
      <c r="O26" s="3212"/>
      <c r="P26" s="2109"/>
      <c r="Q26" s="3211"/>
      <c r="R26" s="2109"/>
      <c r="S26" s="3212"/>
      <c r="T26" s="2109"/>
      <c r="U26" s="3212"/>
    </row>
    <row r="27" spans="1:21" x14ac:dyDescent="0.35">
      <c r="A27" s="3207"/>
      <c r="B27" s="3213" t="s">
        <v>662</v>
      </c>
      <c r="C27" s="3036"/>
      <c r="D27" s="3032"/>
      <c r="E27" s="3032"/>
      <c r="F27" s="3032"/>
      <c r="G27" s="2198"/>
      <c r="H27" s="2109"/>
      <c r="I27" s="3211"/>
      <c r="J27" s="2109"/>
      <c r="K27" s="3211"/>
      <c r="L27" s="2109"/>
      <c r="M27" s="3212"/>
      <c r="N27" s="2109"/>
      <c r="O27" s="3212"/>
      <c r="P27" s="2109"/>
      <c r="Q27" s="3211"/>
      <c r="R27" s="2109"/>
      <c r="S27" s="3212"/>
      <c r="T27" s="2109"/>
      <c r="U27" s="3212"/>
    </row>
    <row r="28" spans="1:21" x14ac:dyDescent="0.35">
      <c r="A28" s="3207"/>
      <c r="B28" s="3213" t="s">
        <v>663</v>
      </c>
      <c r="C28" s="3036"/>
      <c r="D28" s="3032"/>
      <c r="E28" s="3032"/>
      <c r="F28" s="3032"/>
      <c r="G28" s="2198"/>
      <c r="H28" s="2109"/>
      <c r="I28" s="3211"/>
      <c r="J28" s="2109"/>
      <c r="K28" s="3211"/>
      <c r="L28" s="2109"/>
      <c r="M28" s="3212"/>
      <c r="N28" s="2109"/>
      <c r="O28" s="3212"/>
      <c r="P28" s="2109"/>
      <c r="Q28" s="3211"/>
      <c r="R28" s="2109"/>
      <c r="S28" s="3212"/>
      <c r="T28" s="2109"/>
      <c r="U28" s="3212"/>
    </row>
    <row r="29" spans="1:21" x14ac:dyDescent="0.35">
      <c r="A29" s="3207"/>
      <c r="B29" s="3213" t="s">
        <v>789</v>
      </c>
      <c r="C29" s="3036"/>
      <c r="D29" s="3032"/>
      <c r="E29" s="3032"/>
      <c r="F29" s="3032"/>
      <c r="G29" s="2198"/>
      <c r="H29" s="2109"/>
      <c r="I29" s="3211"/>
      <c r="J29" s="2109"/>
      <c r="K29" s="3211"/>
      <c r="L29" s="2109"/>
      <c r="M29" s="3212"/>
      <c r="N29" s="2109"/>
      <c r="O29" s="3212"/>
      <c r="P29" s="2109"/>
      <c r="Q29" s="3211"/>
      <c r="R29" s="2109"/>
      <c r="S29" s="3212"/>
      <c r="T29" s="2109"/>
      <c r="U29" s="3212"/>
    </row>
    <row r="30" spans="1:21" x14ac:dyDescent="0.35">
      <c r="A30" s="3207"/>
      <c r="B30" s="3213" t="s">
        <v>790</v>
      </c>
      <c r="C30" s="3036"/>
      <c r="D30" s="3032"/>
      <c r="E30" s="3032"/>
      <c r="F30" s="3032"/>
      <c r="G30" s="2198"/>
      <c r="H30" s="2109"/>
      <c r="I30" s="3211"/>
      <c r="J30" s="2109"/>
      <c r="K30" s="3211"/>
      <c r="L30" s="2109"/>
      <c r="M30" s="3212"/>
      <c r="N30" s="2109"/>
      <c r="O30" s="3212"/>
      <c r="P30" s="2109"/>
      <c r="Q30" s="3211"/>
      <c r="R30" s="2109"/>
      <c r="S30" s="3212"/>
      <c r="T30" s="2109"/>
      <c r="U30" s="3212"/>
    </row>
    <row r="31" spans="1:21" x14ac:dyDescent="0.35">
      <c r="A31" s="3207"/>
      <c r="B31" s="3213" t="s">
        <v>791</v>
      </c>
      <c r="C31" s="3036"/>
      <c r="D31" s="3032"/>
      <c r="E31" s="3032"/>
      <c r="F31" s="3032"/>
      <c r="G31" s="2198"/>
      <c r="H31" s="2109"/>
      <c r="I31" s="3211"/>
      <c r="J31" s="2109"/>
      <c r="K31" s="3211"/>
      <c r="L31" s="2109"/>
      <c r="M31" s="3212"/>
      <c r="N31" s="2109"/>
      <c r="O31" s="3212"/>
      <c r="P31" s="2109"/>
      <c r="Q31" s="3211"/>
      <c r="R31" s="2109"/>
      <c r="S31" s="3212"/>
      <c r="T31" s="2109"/>
      <c r="U31" s="3212"/>
    </row>
    <row r="32" spans="1:21" x14ac:dyDescent="0.35">
      <c r="A32" s="3207"/>
      <c r="B32" s="3214" t="s">
        <v>664</v>
      </c>
      <c r="C32" s="3036"/>
      <c r="D32" s="3032"/>
      <c r="E32" s="3032"/>
      <c r="F32" s="3032"/>
      <c r="G32" s="2198"/>
      <c r="H32" s="2109"/>
      <c r="I32" s="3210"/>
      <c r="J32" s="2109"/>
      <c r="K32" s="3211"/>
      <c r="L32" s="2109"/>
      <c r="M32" s="3212"/>
      <c r="N32" s="2109"/>
      <c r="O32" s="3212"/>
      <c r="P32" s="2109"/>
      <c r="Q32" s="3211"/>
      <c r="R32" s="2109"/>
      <c r="S32" s="3212"/>
      <c r="T32" s="2109"/>
      <c r="U32" s="3212"/>
    </row>
    <row r="33" spans="1:23" x14ac:dyDescent="0.35">
      <c r="A33" s="3207"/>
      <c r="B33" s="3215" t="s">
        <v>665</v>
      </c>
      <c r="C33" s="3216"/>
      <c r="D33" s="3039"/>
      <c r="E33" s="3039"/>
      <c r="F33" s="3039"/>
      <c r="G33" s="2945"/>
      <c r="H33" s="3217"/>
      <c r="I33" s="3218"/>
      <c r="J33" s="3218"/>
      <c r="K33" s="3218"/>
      <c r="L33" s="3219"/>
      <c r="M33" s="3220"/>
      <c r="N33" s="3219"/>
      <c r="O33" s="3220"/>
      <c r="P33" s="3218"/>
      <c r="Q33" s="3218"/>
      <c r="R33" s="3218"/>
      <c r="S33" s="3218"/>
      <c r="T33" s="2288"/>
      <c r="U33" s="3220"/>
      <c r="V33" s="3219"/>
      <c r="W33" s="3220"/>
    </row>
    <row r="34" spans="1:23" x14ac:dyDescent="0.35">
      <c r="A34" s="3207"/>
      <c r="B34" s="3140"/>
      <c r="C34" s="3036"/>
      <c r="D34" s="3032"/>
      <c r="E34" s="3032"/>
      <c r="F34" s="3032"/>
      <c r="G34" s="2198"/>
      <c r="H34" s="2109"/>
      <c r="I34" s="3210"/>
      <c r="J34" s="2109"/>
      <c r="K34" s="3211"/>
      <c r="L34" s="2109"/>
      <c r="M34" s="3212"/>
      <c r="N34" s="2109"/>
      <c r="O34" s="3212"/>
      <c r="P34" s="2109"/>
      <c r="Q34" s="3211"/>
      <c r="R34" s="2109"/>
      <c r="S34" s="3212"/>
      <c r="T34" s="2109"/>
      <c r="U34" s="3212"/>
    </row>
    <row r="35" spans="1:23" x14ac:dyDescent="0.35">
      <c r="A35" s="3207"/>
      <c r="B35" s="3140" t="s">
        <v>3896</v>
      </c>
      <c r="C35" s="3036"/>
      <c r="D35" s="3032"/>
      <c r="E35" s="3032"/>
      <c r="F35" s="3032"/>
      <c r="G35" s="2198">
        <v>650000</v>
      </c>
      <c r="H35" s="2109" t="s">
        <v>669</v>
      </c>
      <c r="I35" s="3210">
        <v>465000</v>
      </c>
      <c r="J35" s="2109" t="s">
        <v>669</v>
      </c>
      <c r="K35" s="3211">
        <v>380000</v>
      </c>
      <c r="L35" s="2109" t="s">
        <v>669</v>
      </c>
      <c r="M35" s="3211">
        <v>349000</v>
      </c>
      <c r="N35" s="2109"/>
      <c r="O35" s="3212">
        <v>239000</v>
      </c>
      <c r="P35" s="2109"/>
      <c r="Q35" s="3211"/>
      <c r="R35" s="2109"/>
      <c r="S35" s="3212"/>
      <c r="T35" s="2109"/>
      <c r="U35" s="3212"/>
    </row>
    <row r="36" spans="1:23" x14ac:dyDescent="0.35">
      <c r="A36" s="3207"/>
      <c r="B36" s="3140" t="s">
        <v>3897</v>
      </c>
      <c r="C36" s="3036"/>
      <c r="D36" s="3032">
        <v>1</v>
      </c>
      <c r="E36" s="3032" t="s">
        <v>666</v>
      </c>
      <c r="F36" s="3032">
        <v>650000</v>
      </c>
      <c r="G36" s="2198"/>
      <c r="H36" s="2109" t="s">
        <v>669</v>
      </c>
      <c r="I36" s="3210"/>
      <c r="J36" s="2109" t="s">
        <v>669</v>
      </c>
      <c r="K36" s="3211"/>
      <c r="L36" s="2109" t="s">
        <v>669</v>
      </c>
      <c r="M36" s="3212"/>
      <c r="N36" s="2109"/>
      <c r="O36" s="3212"/>
      <c r="P36" s="2109"/>
      <c r="Q36" s="3211"/>
      <c r="R36" s="2109"/>
      <c r="S36" s="3212"/>
      <c r="T36" s="2109"/>
      <c r="U36" s="3212"/>
    </row>
    <row r="37" spans="1:23" x14ac:dyDescent="0.35">
      <c r="A37" s="3207"/>
      <c r="B37" s="3140" t="s">
        <v>3635</v>
      </c>
      <c r="C37" s="3036"/>
      <c r="D37" s="3032"/>
      <c r="E37" s="3032"/>
      <c r="F37" s="3032"/>
      <c r="G37" s="2198"/>
      <c r="H37" s="2109" t="s">
        <v>669</v>
      </c>
      <c r="I37" s="3210"/>
      <c r="J37" s="2109" t="s">
        <v>669</v>
      </c>
      <c r="K37" s="3211"/>
      <c r="L37" s="2109" t="s">
        <v>669</v>
      </c>
      <c r="M37" s="3212"/>
      <c r="N37" s="2109"/>
      <c r="O37" s="3212"/>
      <c r="P37" s="2109"/>
      <c r="Q37" s="3211"/>
      <c r="R37" s="2109"/>
      <c r="S37" s="3212"/>
      <c r="T37" s="2109"/>
      <c r="U37" s="3212"/>
    </row>
    <row r="38" spans="1:23" x14ac:dyDescent="0.35">
      <c r="A38" s="3207"/>
      <c r="B38" s="3140"/>
      <c r="C38" s="3036"/>
      <c r="D38" s="3032"/>
      <c r="E38" s="3032"/>
      <c r="F38" s="3032"/>
      <c r="G38" s="2198"/>
      <c r="H38" s="2109"/>
      <c r="I38" s="3210"/>
      <c r="J38" s="2109"/>
      <c r="K38" s="3211"/>
      <c r="L38" s="2109"/>
      <c r="M38" s="3212"/>
      <c r="N38" s="2109"/>
      <c r="O38" s="3212"/>
      <c r="P38" s="2109"/>
      <c r="Q38" s="3211"/>
      <c r="R38" s="2109"/>
      <c r="S38" s="3212"/>
      <c r="T38" s="2109"/>
      <c r="U38" s="3212"/>
    </row>
    <row r="39" spans="1:23" x14ac:dyDescent="0.35">
      <c r="A39" s="3207"/>
      <c r="B39" s="3140"/>
      <c r="C39" s="3036"/>
      <c r="D39" s="3032"/>
      <c r="E39" s="3032"/>
      <c r="F39" s="3032"/>
      <c r="G39" s="2198"/>
      <c r="H39" s="2109"/>
      <c r="I39" s="3210"/>
      <c r="J39" s="2109"/>
      <c r="K39" s="3211"/>
      <c r="L39" s="2109"/>
      <c r="M39" s="3212"/>
      <c r="N39" s="2109"/>
      <c r="O39" s="3212"/>
      <c r="P39" s="2109"/>
      <c r="Q39" s="3211"/>
      <c r="R39" s="2109"/>
      <c r="S39" s="3212"/>
      <c r="T39" s="2109"/>
      <c r="U39" s="3212"/>
    </row>
    <row r="40" spans="1:23" x14ac:dyDescent="0.35">
      <c r="A40" s="3207"/>
      <c r="B40" s="3140"/>
      <c r="C40" s="3036"/>
      <c r="D40" s="3032"/>
      <c r="E40" s="3032"/>
      <c r="F40" s="3032"/>
      <c r="G40" s="2198"/>
      <c r="H40" s="2109"/>
      <c r="I40" s="3210"/>
      <c r="J40" s="2109"/>
      <c r="K40" s="3211"/>
      <c r="L40" s="2109"/>
      <c r="M40" s="3212"/>
      <c r="N40" s="2109"/>
      <c r="O40" s="3212"/>
      <c r="P40" s="2109"/>
      <c r="Q40" s="3211"/>
      <c r="R40" s="2109"/>
      <c r="S40" s="3212"/>
      <c r="T40" s="2109"/>
      <c r="U40" s="3212"/>
    </row>
    <row r="41" spans="1:23" x14ac:dyDescent="0.35">
      <c r="A41" s="3207"/>
      <c r="B41" s="3140"/>
      <c r="C41" s="3036"/>
      <c r="D41" s="3032"/>
      <c r="E41" s="3032"/>
      <c r="F41" s="3032"/>
      <c r="G41" s="2198"/>
      <c r="H41" s="2109"/>
      <c r="I41" s="3210"/>
      <c r="J41" s="2109"/>
      <c r="K41" s="3211"/>
      <c r="L41" s="2109"/>
      <c r="M41" s="3212"/>
      <c r="N41" s="2109"/>
      <c r="O41" s="3212"/>
      <c r="P41" s="2109"/>
      <c r="Q41" s="3211"/>
      <c r="R41" s="2109"/>
      <c r="S41" s="3212"/>
      <c r="T41" s="2109"/>
      <c r="U41" s="3212"/>
    </row>
    <row r="42" spans="1:23" x14ac:dyDescent="0.35">
      <c r="A42" s="3207"/>
      <c r="B42" s="3140"/>
      <c r="C42" s="3036"/>
      <c r="D42" s="3032"/>
      <c r="E42" s="3032"/>
      <c r="F42" s="3032"/>
      <c r="G42" s="2198"/>
      <c r="H42" s="2109"/>
      <c r="I42" s="3210"/>
      <c r="J42" s="2109"/>
      <c r="K42" s="3211"/>
      <c r="L42" s="2109"/>
      <c r="M42" s="3212"/>
      <c r="N42" s="2109"/>
      <c r="O42" s="3212"/>
      <c r="P42" s="2109"/>
      <c r="Q42" s="3211"/>
      <c r="R42" s="2109"/>
      <c r="S42" s="3212"/>
      <c r="T42" s="2109"/>
      <c r="U42" s="3212"/>
    </row>
    <row r="43" spans="1:23" x14ac:dyDescent="0.35">
      <c r="A43" s="3207"/>
      <c r="B43" s="3221"/>
      <c r="C43" s="3036"/>
      <c r="D43" s="3032"/>
      <c r="E43" s="3032"/>
      <c r="F43" s="3032"/>
      <c r="G43" s="2198"/>
      <c r="H43" s="2109"/>
      <c r="I43" s="3210"/>
      <c r="J43" s="2109"/>
      <c r="K43" s="3211"/>
      <c r="L43" s="2109"/>
      <c r="M43" s="3212"/>
      <c r="N43" s="2109"/>
      <c r="O43" s="3212"/>
      <c r="P43" s="2109"/>
      <c r="Q43" s="3211"/>
      <c r="R43" s="2109"/>
      <c r="S43" s="3211"/>
      <c r="T43" s="2109"/>
      <c r="U43" s="3212"/>
    </row>
    <row r="44" spans="1:23" x14ac:dyDescent="0.35">
      <c r="A44" s="3207"/>
      <c r="B44" s="3221"/>
      <c r="C44" s="3036"/>
      <c r="D44" s="3032"/>
      <c r="E44" s="3032"/>
      <c r="F44" s="3032"/>
      <c r="G44" s="2198"/>
      <c r="H44" s="2109"/>
      <c r="I44" s="3210"/>
      <c r="J44" s="2109"/>
      <c r="K44" s="3212"/>
      <c r="L44" s="2109"/>
      <c r="M44" s="3212"/>
      <c r="N44" s="2109"/>
      <c r="O44" s="3212"/>
      <c r="P44" s="2109"/>
      <c r="Q44" s="3211"/>
      <c r="R44" s="2109"/>
      <c r="S44" s="3211"/>
      <c r="T44" s="2109"/>
      <c r="U44" s="3212"/>
    </row>
    <row r="45" spans="1:23" ht="15" thickBot="1" x14ac:dyDescent="0.4">
      <c r="A45" s="3056"/>
      <c r="B45" s="3086"/>
      <c r="C45" s="3036"/>
      <c r="D45" s="3032"/>
      <c r="E45" s="3032"/>
      <c r="F45" s="3032"/>
      <c r="G45" s="2198"/>
      <c r="H45" s="2109"/>
      <c r="I45" s="3212"/>
      <c r="J45" s="2109"/>
      <c r="K45" s="3212"/>
      <c r="L45" s="2109"/>
      <c r="M45" s="3212"/>
      <c r="N45" s="2109"/>
      <c r="O45" s="3212"/>
      <c r="P45" s="2109"/>
      <c r="Q45" s="3212"/>
      <c r="R45" s="2109"/>
      <c r="S45" s="3212"/>
      <c r="T45" s="2109"/>
      <c r="U45" s="3212"/>
    </row>
    <row r="46" spans="1:23" ht="15" thickTop="1" x14ac:dyDescent="0.35">
      <c r="A46" s="14"/>
      <c r="B46" s="15"/>
      <c r="C46" s="16"/>
      <c r="D46" s="16"/>
      <c r="E46" s="17"/>
      <c r="F46" s="18" t="s">
        <v>715</v>
      </c>
      <c r="G46" s="19"/>
      <c r="H46" s="20"/>
      <c r="I46" s="50">
        <f>SUM(I23:I45)</f>
        <v>465000</v>
      </c>
      <c r="J46" s="20"/>
      <c r="K46" s="50">
        <f>SUM(K23:K45)</f>
        <v>380000</v>
      </c>
      <c r="L46" s="20"/>
      <c r="M46" s="50">
        <f>SUM(M23:M45)</f>
        <v>349000</v>
      </c>
      <c r="N46" s="20"/>
      <c r="O46" s="50">
        <f>SUM(O23:O45)</f>
        <v>239000</v>
      </c>
      <c r="P46" s="20"/>
      <c r="Q46" s="50">
        <f>SUM(Q23:Q45)</f>
        <v>0</v>
      </c>
      <c r="R46" s="20"/>
      <c r="S46" s="50">
        <f>SUM(S23:S45)</f>
        <v>0</v>
      </c>
      <c r="T46" s="20"/>
      <c r="U46" s="50">
        <f>SUM(U23:U45)</f>
        <v>0</v>
      </c>
    </row>
    <row r="47" spans="1:23" x14ac:dyDescent="0.35">
      <c r="A47" s="2973"/>
      <c r="B47" s="2974"/>
      <c r="C47" s="2975"/>
      <c r="D47" s="2975"/>
      <c r="E47" s="2976"/>
      <c r="F47" s="2977" t="s">
        <v>716</v>
      </c>
      <c r="G47" s="2244"/>
      <c r="H47" s="2065">
        <v>0</v>
      </c>
      <c r="I47" s="960"/>
      <c r="J47" s="2065">
        <v>0</v>
      </c>
      <c r="K47" s="960"/>
      <c r="L47" s="2065">
        <v>0</v>
      </c>
      <c r="M47" s="960"/>
      <c r="N47" s="2065">
        <v>0</v>
      </c>
      <c r="O47" s="960"/>
      <c r="P47" s="2065">
        <v>0</v>
      </c>
      <c r="Q47" s="960"/>
      <c r="R47" s="2065">
        <v>0</v>
      </c>
      <c r="S47" s="960"/>
      <c r="T47" s="2065">
        <v>0</v>
      </c>
      <c r="U47" s="960"/>
    </row>
    <row r="48" spans="1:23" x14ac:dyDescent="0.35">
      <c r="A48" s="2973"/>
      <c r="B48" s="2974"/>
      <c r="C48" s="2975"/>
      <c r="D48" s="2975"/>
      <c r="E48" s="2976"/>
      <c r="F48" s="2977" t="s">
        <v>717</v>
      </c>
      <c r="G48" s="2244"/>
      <c r="H48" s="2066"/>
      <c r="I48" s="2070">
        <f>I46*H47</f>
        <v>0</v>
      </c>
      <c r="J48" s="2066"/>
      <c r="K48" s="2070">
        <f>K46*J47</f>
        <v>0</v>
      </c>
      <c r="L48" s="2066"/>
      <c r="M48" s="2070">
        <f>M46*L47</f>
        <v>0</v>
      </c>
      <c r="N48" s="2066"/>
      <c r="O48" s="2070">
        <f>O46*N47</f>
        <v>0</v>
      </c>
      <c r="P48" s="2066"/>
      <c r="Q48" s="2070">
        <f>Q46*P47</f>
        <v>0</v>
      </c>
      <c r="R48" s="2066"/>
      <c r="S48" s="2070">
        <f>S46*R47</f>
        <v>0</v>
      </c>
      <c r="T48" s="2066"/>
      <c r="U48" s="2070">
        <f>U46*T47</f>
        <v>0</v>
      </c>
    </row>
    <row r="49" spans="1:21" x14ac:dyDescent="0.35">
      <c r="A49" s="2973"/>
      <c r="B49" s="2974"/>
      <c r="C49" s="2975"/>
      <c r="D49" s="2975"/>
      <c r="E49" s="2976"/>
      <c r="F49" s="2977"/>
      <c r="G49" s="2244"/>
      <c r="H49" s="2066"/>
      <c r="I49" s="2068"/>
      <c r="J49" s="2066"/>
      <c r="K49" s="2068"/>
      <c r="L49" s="2066"/>
      <c r="M49" s="2068"/>
      <c r="N49" s="2066"/>
      <c r="O49" s="2068"/>
      <c r="P49" s="2066"/>
      <c r="Q49" s="2068"/>
      <c r="R49" s="2066"/>
      <c r="S49" s="2068"/>
      <c r="T49" s="2066"/>
      <c r="U49" s="2068"/>
    </row>
    <row r="50" spans="1:21" x14ac:dyDescent="0.35">
      <c r="A50" s="2973"/>
      <c r="B50" s="2974"/>
      <c r="C50" s="2975"/>
      <c r="D50" s="2975"/>
      <c r="E50" s="2976"/>
      <c r="F50" s="2977" t="s">
        <v>718</v>
      </c>
      <c r="G50" s="2244"/>
      <c r="H50" s="2069"/>
      <c r="I50" s="2070">
        <f>SUM(I46:I48)</f>
        <v>465000</v>
      </c>
      <c r="J50" s="2069"/>
      <c r="K50" s="2070">
        <f>SUM(K46:K48)</f>
        <v>380000</v>
      </c>
      <c r="L50" s="2069"/>
      <c r="M50" s="2070">
        <f>SUM(M46:M48)</f>
        <v>349000</v>
      </c>
      <c r="N50" s="2069"/>
      <c r="O50" s="2070">
        <f>SUM(O46:O48)</f>
        <v>239000</v>
      </c>
      <c r="P50" s="2069"/>
      <c r="Q50" s="2070">
        <f>SUM(Q46:Q48)</f>
        <v>0</v>
      </c>
      <c r="R50" s="2069"/>
      <c r="S50" s="2070">
        <f>SUM(S46:S48)</f>
        <v>0</v>
      </c>
      <c r="T50" s="2069"/>
      <c r="U50" s="2070">
        <f>SUM(U46:U48)</f>
        <v>0</v>
      </c>
    </row>
    <row r="51" spans="1:21" x14ac:dyDescent="0.35">
      <c r="A51" s="2973"/>
      <c r="B51" s="2974"/>
      <c r="C51" s="2975"/>
      <c r="D51" s="2975"/>
      <c r="E51" s="2976"/>
      <c r="F51" s="2991" t="s">
        <v>719</v>
      </c>
      <c r="G51" s="2256"/>
      <c r="H51" s="2073"/>
      <c r="I51" s="2074" t="e">
        <f>I50/#REF!</f>
        <v>#REF!</v>
      </c>
      <c r="J51" s="2073"/>
      <c r="K51" s="2074" t="e">
        <f>K50/#REF!</f>
        <v>#REF!</v>
      </c>
      <c r="L51" s="2073"/>
      <c r="M51" s="2074" t="e">
        <f>M50/#REF!</f>
        <v>#REF!</v>
      </c>
      <c r="N51" s="2073"/>
      <c r="O51" s="2074" t="e">
        <f>O50/#REF!</f>
        <v>#REF!</v>
      </c>
      <c r="P51" s="2073"/>
      <c r="Q51" s="2074" t="e">
        <f>Q50/#REF!</f>
        <v>#REF!</v>
      </c>
      <c r="R51" s="2073"/>
      <c r="S51" s="2074" t="e">
        <f>S50/#REF!</f>
        <v>#REF!</v>
      </c>
      <c r="T51" s="2073"/>
      <c r="U51" s="2074" t="e">
        <f>U50/#REF!</f>
        <v>#REF!</v>
      </c>
    </row>
    <row r="52" spans="1:21" x14ac:dyDescent="0.35">
      <c r="A52" s="2973"/>
      <c r="B52" s="2974"/>
      <c r="C52" s="2975"/>
      <c r="D52" s="2975"/>
      <c r="E52" s="2976"/>
      <c r="F52" s="2991" t="s">
        <v>720</v>
      </c>
      <c r="G52" s="2260"/>
      <c r="H52" s="2073"/>
      <c r="I52" s="2074" t="e">
        <f>I50/#REF!</f>
        <v>#REF!</v>
      </c>
      <c r="J52" s="2073"/>
      <c r="K52" s="2074" t="e">
        <f>K50/#REF!</f>
        <v>#REF!</v>
      </c>
      <c r="L52" s="2073"/>
      <c r="M52" s="2074" t="e">
        <f>M50/#REF!</f>
        <v>#REF!</v>
      </c>
      <c r="N52" s="2073"/>
      <c r="O52" s="2074" t="e">
        <f>O50/#REF!</f>
        <v>#REF!</v>
      </c>
      <c r="P52" s="2073"/>
      <c r="Q52" s="2074" t="e">
        <f>Q50/#REF!</f>
        <v>#REF!</v>
      </c>
      <c r="R52" s="2073"/>
      <c r="S52" s="2074" t="e">
        <f>S50/#REF!</f>
        <v>#REF!</v>
      </c>
      <c r="T52" s="2073"/>
      <c r="U52" s="2074" t="e">
        <f>U50/#REF!</f>
        <v>#REF!</v>
      </c>
    </row>
    <row r="53" spans="1:21" ht="15" thickBot="1" x14ac:dyDescent="0.4">
      <c r="A53" s="2973"/>
      <c r="B53" s="2974"/>
      <c r="C53" s="2975"/>
      <c r="D53" s="2975"/>
      <c r="E53" s="2976"/>
      <c r="F53" s="2977"/>
      <c r="G53" s="2261"/>
      <c r="H53" s="2077"/>
      <c r="I53" s="2078"/>
      <c r="J53" s="2077"/>
      <c r="K53" s="2078"/>
      <c r="L53" s="2077"/>
      <c r="M53" s="2078"/>
      <c r="N53" s="2077"/>
      <c r="O53" s="2078"/>
      <c r="P53" s="2077"/>
      <c r="Q53" s="2078"/>
      <c r="R53" s="2077"/>
      <c r="S53" s="2078"/>
      <c r="T53" s="2077"/>
      <c r="U53" s="2078"/>
    </row>
    <row r="54" spans="1:21" ht="15.5" thickTop="1" thickBot="1" x14ac:dyDescent="0.4">
      <c r="A54" s="3764" t="s">
        <v>721</v>
      </c>
      <c r="B54" s="3765"/>
      <c r="C54" s="12"/>
      <c r="D54" s="12"/>
      <c r="E54" s="12"/>
      <c r="F54" s="12"/>
      <c r="G54" s="13"/>
      <c r="H54" s="21"/>
      <c r="I54" s="21"/>
      <c r="J54" s="21"/>
      <c r="K54" s="21"/>
      <c r="L54" s="21"/>
      <c r="M54" s="21"/>
      <c r="N54" s="21"/>
      <c r="O54" s="21"/>
      <c r="P54" s="21"/>
      <c r="Q54" s="21"/>
      <c r="R54" s="21"/>
      <c r="S54" s="21"/>
      <c r="T54" s="21"/>
      <c r="U54" s="21"/>
    </row>
    <row r="55" spans="1:21" ht="15" thickTop="1" x14ac:dyDescent="0.35">
      <c r="A55" s="3222"/>
      <c r="B55" s="3031"/>
      <c r="C55" s="3223"/>
      <c r="D55" s="3223"/>
      <c r="E55" s="3223"/>
      <c r="F55" s="3223"/>
      <c r="G55" s="3224"/>
      <c r="H55" s="3225"/>
      <c r="I55" s="3225"/>
      <c r="J55" s="3225"/>
      <c r="K55" s="3225"/>
      <c r="L55" s="3225"/>
      <c r="M55" s="3225"/>
      <c r="N55" s="3225"/>
      <c r="O55" s="3225"/>
      <c r="P55" s="3225"/>
      <c r="Q55" s="3225"/>
      <c r="R55" s="3225"/>
      <c r="S55" s="3225"/>
      <c r="T55" s="3225"/>
      <c r="U55" s="3225"/>
    </row>
    <row r="56" spans="1:21" x14ac:dyDescent="0.35">
      <c r="A56" s="3222"/>
      <c r="B56" s="3031"/>
      <c r="C56" s="3223"/>
      <c r="D56" s="3223"/>
      <c r="E56" s="3223"/>
      <c r="F56" s="3223"/>
      <c r="G56" s="3224"/>
      <c r="H56" s="3225"/>
      <c r="I56" s="3225"/>
      <c r="J56" s="3225"/>
      <c r="K56" s="3225"/>
      <c r="L56" s="3225"/>
      <c r="M56" s="3225"/>
      <c r="N56" s="3225"/>
      <c r="O56" s="3225"/>
      <c r="P56" s="3225"/>
      <c r="Q56" s="3225"/>
      <c r="R56" s="3225"/>
      <c r="S56" s="3225"/>
      <c r="T56" s="3225"/>
      <c r="U56" s="3225"/>
    </row>
    <row r="57" spans="1:21" ht="15" thickBot="1" x14ac:dyDescent="0.4">
      <c r="A57" s="3222"/>
      <c r="B57" s="3031"/>
      <c r="C57" s="3223"/>
      <c r="D57" s="3223"/>
      <c r="E57" s="3223"/>
      <c r="F57" s="3223"/>
      <c r="G57" s="3224"/>
      <c r="H57" s="3225"/>
      <c r="I57" s="3225"/>
      <c r="J57" s="3225"/>
      <c r="K57" s="3225"/>
      <c r="L57" s="3225"/>
      <c r="M57" s="3225"/>
      <c r="N57" s="3225"/>
      <c r="O57" s="3225"/>
      <c r="P57" s="3225"/>
      <c r="Q57" s="3225"/>
      <c r="R57" s="3225"/>
      <c r="S57" s="3225"/>
      <c r="T57" s="3225"/>
      <c r="U57" s="3225"/>
    </row>
    <row r="58" spans="1:21" s="2" customFormat="1" ht="15.5" thickTop="1" thickBot="1" x14ac:dyDescent="0.4">
      <c r="A58" s="3764" t="s">
        <v>722</v>
      </c>
      <c r="B58" s="3765"/>
      <c r="C58" s="12"/>
      <c r="D58" s="12"/>
      <c r="E58" s="12"/>
      <c r="F58" s="12"/>
      <c r="G58" s="13"/>
      <c r="H58" s="21"/>
      <c r="I58" s="21"/>
      <c r="J58" s="21"/>
      <c r="K58" s="21"/>
      <c r="L58" s="21"/>
      <c r="M58" s="21"/>
      <c r="N58" s="21"/>
      <c r="O58" s="21"/>
      <c r="P58" s="21"/>
      <c r="Q58" s="21"/>
      <c r="R58" s="21"/>
      <c r="S58" s="21"/>
      <c r="T58" s="21"/>
      <c r="U58" s="21"/>
    </row>
    <row r="59" spans="1:21" s="2" customFormat="1" ht="15" thickTop="1" x14ac:dyDescent="0.35">
      <c r="A59" s="3222"/>
      <c r="B59" s="3031"/>
      <c r="C59" s="3223"/>
      <c r="D59" s="3223"/>
      <c r="E59" s="3223"/>
      <c r="F59" s="3223"/>
      <c r="G59" s="3224"/>
      <c r="H59" s="3225"/>
      <c r="I59" s="3225"/>
      <c r="J59" s="3225"/>
      <c r="K59" s="3225"/>
      <c r="L59" s="3225"/>
      <c r="M59" s="3225"/>
      <c r="N59" s="3225"/>
      <c r="O59" s="3225"/>
      <c r="P59" s="3225"/>
      <c r="Q59" s="3225"/>
      <c r="R59" s="3225"/>
      <c r="S59" s="3225"/>
      <c r="T59" s="3225"/>
      <c r="U59" s="3225"/>
    </row>
    <row r="60" spans="1:21" s="2" customFormat="1" x14ac:dyDescent="0.35">
      <c r="A60" s="3222"/>
      <c r="B60" s="3031"/>
      <c r="C60" s="3223"/>
      <c r="D60" s="3223"/>
      <c r="E60" s="3223"/>
      <c r="F60" s="3223"/>
      <c r="G60" s="3224"/>
      <c r="H60" s="3225"/>
      <c r="I60" s="3225"/>
      <c r="J60" s="3225"/>
      <c r="K60" s="3225"/>
      <c r="L60" s="3225"/>
      <c r="M60" s="3225"/>
      <c r="N60" s="3225"/>
      <c r="O60" s="3225"/>
      <c r="P60" s="3225"/>
      <c r="Q60" s="3225"/>
      <c r="R60" s="3225"/>
      <c r="S60" s="3225"/>
      <c r="T60" s="3225"/>
      <c r="U60" s="3225"/>
    </row>
    <row r="61" spans="1:21" ht="15" thickBot="1" x14ac:dyDescent="0.4">
      <c r="A61" s="3222"/>
      <c r="B61" s="3031"/>
      <c r="C61" s="3223"/>
      <c r="D61" s="3223"/>
      <c r="E61" s="3223"/>
      <c r="F61" s="3223"/>
      <c r="G61" s="3224"/>
      <c r="H61" s="3225"/>
      <c r="I61" s="3225"/>
      <c r="J61" s="3225"/>
      <c r="K61" s="3225"/>
      <c r="L61" s="3225"/>
      <c r="M61" s="3225"/>
      <c r="N61" s="3225"/>
      <c r="O61" s="3225"/>
      <c r="P61" s="3225"/>
      <c r="Q61" s="3225"/>
      <c r="R61" s="3225"/>
      <c r="S61" s="3225"/>
      <c r="T61" s="3225"/>
      <c r="U61" s="3225"/>
    </row>
    <row r="62" spans="1:21" s="2" customFormat="1" ht="15.5" thickTop="1" thickBot="1" x14ac:dyDescent="0.4">
      <c r="A62" s="3764" t="s">
        <v>723</v>
      </c>
      <c r="B62" s="3765"/>
      <c r="C62" s="12"/>
      <c r="D62" s="12"/>
      <c r="E62" s="12"/>
      <c r="F62" s="12"/>
      <c r="G62" s="13"/>
      <c r="H62" s="21"/>
      <c r="I62" s="21"/>
      <c r="J62" s="21"/>
      <c r="K62" s="21"/>
      <c r="L62" s="21"/>
      <c r="M62" s="21"/>
      <c r="N62" s="21"/>
      <c r="O62" s="21"/>
      <c r="P62" s="21"/>
      <c r="Q62" s="21"/>
      <c r="R62" s="21"/>
      <c r="S62" s="21"/>
      <c r="T62" s="21"/>
      <c r="U62" s="21"/>
    </row>
    <row r="63" spans="1:21" s="2" customFormat="1" ht="15" thickTop="1" x14ac:dyDescent="0.35">
      <c r="A63" s="3222"/>
      <c r="B63" s="3031"/>
      <c r="C63" s="3223"/>
      <c r="D63" s="3223"/>
      <c r="E63" s="3223"/>
      <c r="F63" s="3223"/>
      <c r="G63" s="3224"/>
      <c r="H63" s="3225"/>
      <c r="I63" s="3225"/>
      <c r="J63" s="3225"/>
      <c r="K63" s="3225"/>
      <c r="L63" s="3225"/>
      <c r="M63" s="3225"/>
      <c r="N63" s="3225"/>
      <c r="O63" s="3225"/>
      <c r="P63" s="3225"/>
      <c r="Q63" s="3225"/>
      <c r="R63" s="3225"/>
      <c r="S63" s="3225"/>
      <c r="T63" s="3225"/>
      <c r="U63" s="3225"/>
    </row>
    <row r="64" spans="1:21" s="2" customFormat="1" x14ac:dyDescent="0.35">
      <c r="A64" s="3035"/>
      <c r="B64" s="3031"/>
      <c r="C64" s="3032"/>
      <c r="D64" s="3032"/>
      <c r="E64" s="3032"/>
      <c r="F64" s="3032"/>
      <c r="G64" s="2198"/>
      <c r="H64" s="2081"/>
      <c r="I64" s="2081"/>
      <c r="J64" s="2081"/>
      <c r="K64" s="2081"/>
      <c r="L64" s="2081"/>
      <c r="M64" s="2081"/>
      <c r="N64" s="2081"/>
      <c r="O64" s="2081"/>
      <c r="P64" s="2081"/>
      <c r="Q64" s="2081"/>
      <c r="R64" s="2081"/>
      <c r="S64" s="2081"/>
      <c r="T64" s="2081"/>
      <c r="U64" s="2081"/>
    </row>
    <row r="65" spans="1:21" s="2" customFormat="1" ht="15" thickBot="1" x14ac:dyDescent="0.4">
      <c r="A65" s="3012"/>
      <c r="B65" s="3019"/>
      <c r="C65" s="3032"/>
      <c r="D65" s="3032"/>
      <c r="E65" s="3032"/>
      <c r="F65" s="3032"/>
      <c r="G65" s="2198"/>
      <c r="H65" s="2084"/>
      <c r="I65" s="2084"/>
      <c r="J65" s="2084"/>
      <c r="K65" s="2084"/>
      <c r="L65" s="2084"/>
      <c r="M65" s="2084"/>
      <c r="N65" s="2084"/>
      <c r="O65" s="2084"/>
      <c r="P65" s="2084"/>
      <c r="Q65" s="2084"/>
      <c r="R65" s="2084"/>
      <c r="S65" s="2084"/>
      <c r="T65" s="2084"/>
      <c r="U65" s="2084"/>
    </row>
    <row r="66" spans="1:21" s="2" customFormat="1" ht="15.5" thickTop="1" thickBot="1" x14ac:dyDescent="0.4">
      <c r="A66" s="3764" t="s">
        <v>724</v>
      </c>
      <c r="B66" s="3765"/>
      <c r="C66" s="12"/>
      <c r="D66" s="12"/>
      <c r="E66" s="12"/>
      <c r="F66" s="12"/>
      <c r="G66" s="13"/>
      <c r="H66" s="21"/>
      <c r="I66" s="21"/>
      <c r="J66" s="21"/>
      <c r="K66" s="21"/>
      <c r="L66" s="21"/>
      <c r="M66" s="21"/>
      <c r="N66" s="21"/>
      <c r="O66" s="21"/>
      <c r="P66" s="21"/>
      <c r="Q66" s="21"/>
      <c r="R66" s="21"/>
      <c r="S66" s="21"/>
      <c r="T66" s="21"/>
      <c r="U66" s="21"/>
    </row>
    <row r="67" spans="1:21" ht="15" thickTop="1" x14ac:dyDescent="0.35">
      <c r="A67" s="3226"/>
      <c r="B67" s="3227"/>
      <c r="C67" s="3223"/>
      <c r="D67" s="3223"/>
      <c r="E67" s="3223"/>
      <c r="F67" s="3223"/>
      <c r="G67" s="3224"/>
      <c r="H67" s="3225"/>
      <c r="I67" s="3225"/>
      <c r="J67" s="3225"/>
      <c r="K67" s="3225"/>
      <c r="L67" s="3225"/>
      <c r="M67" s="3225"/>
      <c r="N67" s="3225"/>
      <c r="O67" s="3225"/>
      <c r="P67" s="3225"/>
      <c r="Q67" s="3225"/>
      <c r="R67" s="3225"/>
      <c r="S67" s="3225"/>
      <c r="T67" s="3225"/>
      <c r="U67" s="3225"/>
    </row>
    <row r="68" spans="1:21" x14ac:dyDescent="0.35">
      <c r="A68" s="3012"/>
      <c r="B68" s="3019"/>
      <c r="C68" s="3032"/>
      <c r="D68" s="3032"/>
      <c r="E68" s="3032"/>
      <c r="F68" s="3032"/>
      <c r="G68" s="2198"/>
      <c r="H68" s="2087"/>
      <c r="I68" s="2087"/>
      <c r="J68" s="2087"/>
      <c r="K68" s="2087"/>
      <c r="L68" s="2087"/>
      <c r="M68" s="2087"/>
      <c r="N68" s="2087"/>
      <c r="O68" s="2087"/>
      <c r="P68" s="2087"/>
      <c r="Q68" s="2087"/>
      <c r="R68" s="2087"/>
      <c r="S68" s="2087"/>
      <c r="T68" s="2087"/>
      <c r="U68" s="2087"/>
    </row>
    <row r="69" spans="1:21" ht="15" thickBot="1" x14ac:dyDescent="0.4">
      <c r="A69" s="3012"/>
      <c r="B69" s="3019"/>
      <c r="C69" s="3032"/>
      <c r="D69" s="3032"/>
      <c r="E69" s="3032"/>
      <c r="F69" s="3032"/>
      <c r="G69" s="2198"/>
      <c r="H69" s="2087"/>
      <c r="I69" s="2087"/>
      <c r="J69" s="2087"/>
      <c r="K69" s="2087"/>
      <c r="L69" s="2087"/>
      <c r="M69" s="2087"/>
      <c r="N69" s="2087"/>
      <c r="O69" s="2087"/>
      <c r="P69" s="2087"/>
      <c r="Q69" s="2087"/>
      <c r="R69" s="2087"/>
      <c r="S69" s="2087"/>
      <c r="T69" s="2087"/>
      <c r="U69" s="2087"/>
    </row>
    <row r="70" spans="1:21" ht="15.5" thickTop="1" thickBot="1" x14ac:dyDescent="0.4">
      <c r="A70" s="3764" t="s">
        <v>725</v>
      </c>
      <c r="B70" s="3765"/>
      <c r="C70" s="12"/>
      <c r="D70" s="12"/>
      <c r="E70" s="12"/>
      <c r="F70" s="12"/>
      <c r="G70" s="13"/>
      <c r="H70" s="21"/>
      <c r="I70" s="21"/>
      <c r="J70" s="21"/>
      <c r="K70" s="21"/>
      <c r="L70" s="21"/>
      <c r="M70" s="21"/>
      <c r="N70" s="21"/>
      <c r="O70" s="21"/>
      <c r="P70" s="21"/>
      <c r="Q70" s="21"/>
      <c r="R70" s="21"/>
      <c r="S70" s="21"/>
      <c r="T70" s="21"/>
      <c r="U70" s="21"/>
    </row>
    <row r="71" spans="1:21" ht="15" thickTop="1" x14ac:dyDescent="0.35">
      <c r="A71" s="3035"/>
      <c r="B71" s="3031" t="s">
        <v>726</v>
      </c>
      <c r="C71" s="3032"/>
      <c r="D71" s="3032"/>
      <c r="E71" s="3032"/>
      <c r="F71" s="3032"/>
      <c r="G71" s="2198"/>
      <c r="H71" s="2087"/>
      <c r="I71" s="2087"/>
      <c r="J71" s="2087"/>
      <c r="K71" s="2087"/>
      <c r="L71" s="2087"/>
      <c r="M71" s="2087"/>
      <c r="N71" s="2087"/>
      <c r="O71" s="2087"/>
      <c r="P71" s="2087"/>
      <c r="Q71" s="2087"/>
      <c r="R71" s="2087"/>
      <c r="S71" s="2087"/>
      <c r="T71" s="2087"/>
      <c r="U71" s="2087"/>
    </row>
    <row r="72" spans="1:21" x14ac:dyDescent="0.35">
      <c r="A72" s="3035"/>
      <c r="B72" s="3031" t="s">
        <v>727</v>
      </c>
      <c r="C72" s="3032"/>
      <c r="D72" s="3032"/>
      <c r="E72" s="3032"/>
      <c r="F72" s="3032"/>
      <c r="G72" s="2198"/>
      <c r="H72" s="2087"/>
      <c r="I72" s="2087"/>
      <c r="J72" s="2087"/>
      <c r="K72" s="2087"/>
      <c r="L72" s="2087"/>
      <c r="M72" s="2087"/>
      <c r="N72" s="2087"/>
      <c r="O72" s="2087"/>
      <c r="P72" s="2087"/>
      <c r="Q72" s="2087"/>
      <c r="R72" s="2087"/>
      <c r="S72" s="2087"/>
      <c r="T72" s="2087"/>
      <c r="U72" s="2087"/>
    </row>
    <row r="73" spans="1:21" x14ac:dyDescent="0.35">
      <c r="A73" s="3035"/>
      <c r="B73" s="3031" t="s">
        <v>728</v>
      </c>
      <c r="C73" s="3032"/>
      <c r="D73" s="3032"/>
      <c r="E73" s="3032"/>
      <c r="F73" s="3032"/>
      <c r="G73" s="2198"/>
      <c r="H73" s="2087"/>
      <c r="I73" s="2087"/>
      <c r="J73" s="2087"/>
      <c r="K73" s="2087"/>
      <c r="L73" s="2087"/>
      <c r="M73" s="2087"/>
      <c r="N73" s="2087"/>
      <c r="O73" s="2087"/>
      <c r="P73" s="2087"/>
      <c r="Q73" s="2087"/>
      <c r="R73" s="2087"/>
      <c r="S73" s="2087"/>
      <c r="T73" s="2087"/>
      <c r="U73" s="2087"/>
    </row>
    <row r="74" spans="1:21" x14ac:dyDescent="0.35">
      <c r="A74" s="3035"/>
      <c r="B74" s="3031" t="s">
        <v>729</v>
      </c>
      <c r="C74" s="3032"/>
      <c r="D74" s="3032"/>
      <c r="E74" s="3032"/>
      <c r="F74" s="3032"/>
      <c r="G74" s="2198"/>
      <c r="H74" s="2087"/>
      <c r="I74" s="2087"/>
      <c r="J74" s="2087"/>
      <c r="K74" s="2087"/>
      <c r="L74" s="2087"/>
      <c r="M74" s="2087"/>
      <c r="N74" s="2087"/>
      <c r="O74" s="2087"/>
      <c r="P74" s="2087"/>
      <c r="Q74" s="2087"/>
      <c r="R74" s="2087"/>
      <c r="S74" s="2087"/>
      <c r="T74" s="2087"/>
      <c r="U74" s="2087"/>
    </row>
    <row r="75" spans="1:21" ht="15" thickBot="1" x14ac:dyDescent="0.4">
      <c r="A75" s="978"/>
      <c r="B75" s="939"/>
      <c r="C75" s="940"/>
      <c r="D75" s="940"/>
      <c r="E75" s="940"/>
      <c r="F75" s="940"/>
      <c r="G75" s="1039"/>
      <c r="H75" s="981"/>
      <c r="I75" s="981"/>
      <c r="J75" s="981"/>
      <c r="K75" s="981"/>
      <c r="L75" s="981"/>
      <c r="M75" s="981"/>
      <c r="N75" s="981"/>
      <c r="O75" s="981"/>
      <c r="P75" s="981"/>
      <c r="Q75" s="981"/>
      <c r="R75" s="981"/>
      <c r="S75" s="981"/>
      <c r="T75" s="981"/>
      <c r="U75" s="981"/>
    </row>
    <row r="76" spans="1:21" ht="15.5" thickTop="1" thickBot="1" x14ac:dyDescent="0.4">
      <c r="A76" s="7" t="s">
        <v>730</v>
      </c>
      <c r="B76" s="8"/>
      <c r="C76" s="12"/>
      <c r="D76" s="12"/>
      <c r="E76" s="12"/>
      <c r="F76" s="12"/>
      <c r="G76" s="13"/>
      <c r="H76" s="21"/>
      <c r="I76" s="21"/>
      <c r="J76" s="21"/>
      <c r="K76" s="21"/>
      <c r="L76" s="21"/>
      <c r="M76" s="21"/>
      <c r="N76" s="21"/>
      <c r="O76" s="21"/>
      <c r="P76" s="21"/>
      <c r="Q76" s="21"/>
      <c r="R76" s="21"/>
      <c r="S76" s="21"/>
      <c r="T76" s="21"/>
      <c r="U76" s="21"/>
    </row>
    <row r="77" spans="1:21" ht="15" thickTop="1" x14ac:dyDescent="0.35">
      <c r="A77" s="3222"/>
      <c r="B77" s="3228" t="s">
        <v>731</v>
      </c>
      <c r="C77" s="3223"/>
      <c r="D77" s="3223"/>
      <c r="E77" s="3223"/>
      <c r="F77" s="3223"/>
      <c r="G77" s="3224"/>
      <c r="H77" s="3229"/>
      <c r="I77" s="3229"/>
      <c r="J77" s="3229"/>
      <c r="K77" s="3229"/>
      <c r="L77" s="3229"/>
      <c r="M77" s="3229"/>
      <c r="N77" s="3229"/>
      <c r="O77" s="3229"/>
      <c r="P77" s="3229"/>
      <c r="Q77" s="3229"/>
      <c r="R77" s="3229"/>
      <c r="S77" s="3229"/>
      <c r="T77" s="3229"/>
      <c r="U77" s="3229"/>
    </row>
    <row r="78" spans="1:21" x14ac:dyDescent="0.35">
      <c r="A78" s="3035"/>
      <c r="B78" s="3031" t="s">
        <v>732</v>
      </c>
      <c r="C78" s="3032"/>
      <c r="D78" s="3032"/>
      <c r="E78" s="3032"/>
      <c r="F78" s="3032"/>
      <c r="G78" s="2198"/>
      <c r="H78" s="2158"/>
      <c r="I78" s="2158"/>
      <c r="J78" s="2158"/>
      <c r="K78" s="2158"/>
      <c r="L78" s="2158"/>
      <c r="M78" s="2158"/>
      <c r="N78" s="2158"/>
      <c r="O78" s="2158"/>
      <c r="P78" s="2158"/>
      <c r="Q78" s="2158"/>
      <c r="R78" s="2158"/>
      <c r="S78" s="2158"/>
      <c r="T78" s="2158"/>
      <c r="U78" s="2158"/>
    </row>
    <row r="79" spans="1:21" ht="15" thickBot="1" x14ac:dyDescent="0.4">
      <c r="A79" s="2089"/>
      <c r="B79" s="2090" t="s">
        <v>733</v>
      </c>
      <c r="C79" s="2091"/>
      <c r="D79" s="2091"/>
      <c r="E79" s="2091"/>
      <c r="F79" s="2091"/>
      <c r="G79" s="2092"/>
      <c r="H79" s="2093"/>
      <c r="I79" s="2093"/>
      <c r="J79" s="2093"/>
      <c r="K79" s="2093"/>
      <c r="L79" s="2093"/>
      <c r="M79" s="2093"/>
      <c r="N79" s="2093"/>
      <c r="O79" s="2093"/>
      <c r="P79" s="2093"/>
      <c r="Q79" s="2093"/>
      <c r="R79" s="2093"/>
      <c r="S79" s="2093"/>
      <c r="T79" s="2093"/>
      <c r="U79" s="2093"/>
    </row>
    <row r="80" spans="1:21" ht="15.5" thickTop="1" thickBot="1" x14ac:dyDescent="0.4"/>
    <row r="81" spans="1:2" ht="15.5" thickTop="1" thickBot="1" x14ac:dyDescent="0.4">
      <c r="A81" s="78" t="s">
        <v>734</v>
      </c>
      <c r="B81" s="80"/>
    </row>
    <row r="82" spans="1:2" ht="15" thickTop="1" x14ac:dyDescent="0.35">
      <c r="A82" s="79" t="s">
        <v>632</v>
      </c>
      <c r="B82" s="2094" t="str">
        <f>J4</f>
        <v>Keller</v>
      </c>
    </row>
    <row r="83" spans="1:2" x14ac:dyDescent="0.35">
      <c r="A83" s="3029" t="s">
        <v>636</v>
      </c>
      <c r="B83" s="2094" t="str">
        <f>J5</f>
        <v>Marcus Alexis</v>
      </c>
    </row>
    <row r="84" spans="1:2" x14ac:dyDescent="0.35">
      <c r="A84" s="2096" t="s">
        <v>639</v>
      </c>
      <c r="B84" s="2097">
        <f>J6</f>
        <v>3055928181</v>
      </c>
    </row>
    <row r="85" spans="1:2" x14ac:dyDescent="0.35">
      <c r="A85" s="2096" t="s">
        <v>642</v>
      </c>
      <c r="B85" s="2159" t="str">
        <f>J7</f>
        <v>Marcus.Alexis@keller-na.com</v>
      </c>
    </row>
    <row r="86" spans="1:2" ht="15" thickBot="1" x14ac:dyDescent="0.4">
      <c r="A86" s="2099" t="s">
        <v>735</v>
      </c>
      <c r="B86" s="2100">
        <f>J8</f>
        <v>380000</v>
      </c>
    </row>
    <row r="87" spans="1:2" ht="15" thickTop="1" x14ac:dyDescent="0.35"/>
    <row r="88" spans="1:2" x14ac:dyDescent="0.35">
      <c r="A88" s="81"/>
      <c r="B88" s="1" t="s">
        <v>736</v>
      </c>
    </row>
    <row r="89" spans="1:2" x14ac:dyDescent="0.35">
      <c r="A89" s="82"/>
      <c r="B89" s="1" t="s">
        <v>737</v>
      </c>
    </row>
  </sheetData>
  <mergeCells count="54">
    <mergeCell ref="A54:B54"/>
    <mergeCell ref="A58:B58"/>
    <mergeCell ref="A62:B62"/>
    <mergeCell ref="A66:B66"/>
    <mergeCell ref="A70:B70"/>
    <mergeCell ref="T8:U8"/>
    <mergeCell ref="H7:I7"/>
    <mergeCell ref="J7:K7"/>
    <mergeCell ref="L7:M7"/>
    <mergeCell ref="P7:Q7"/>
    <mergeCell ref="R7:S7"/>
    <mergeCell ref="T7:U7"/>
    <mergeCell ref="H8:I8"/>
    <mergeCell ref="J8:K8"/>
    <mergeCell ref="L8:M8"/>
    <mergeCell ref="P8:Q8"/>
    <mergeCell ref="R8:S8"/>
    <mergeCell ref="N7:O7"/>
    <mergeCell ref="N8:O8"/>
    <mergeCell ref="T6:U6"/>
    <mergeCell ref="H5:I5"/>
    <mergeCell ref="J5:K5"/>
    <mergeCell ref="L5:M5"/>
    <mergeCell ref="P5:Q5"/>
    <mergeCell ref="R5:S5"/>
    <mergeCell ref="T5:U5"/>
    <mergeCell ref="H6:I6"/>
    <mergeCell ref="J6:K6"/>
    <mergeCell ref="L6:M6"/>
    <mergeCell ref="P6:Q6"/>
    <mergeCell ref="R6:S6"/>
    <mergeCell ref="N5:O5"/>
    <mergeCell ref="N6:O6"/>
    <mergeCell ref="T4:U4"/>
    <mergeCell ref="H3:I3"/>
    <mergeCell ref="J3:K3"/>
    <mergeCell ref="L3:M3"/>
    <mergeCell ref="P3:Q3"/>
    <mergeCell ref="R3:S3"/>
    <mergeCell ref="T3:U3"/>
    <mergeCell ref="H4:I4"/>
    <mergeCell ref="J4:K4"/>
    <mergeCell ref="L4:M4"/>
    <mergeCell ref="P4:Q4"/>
    <mergeCell ref="R4:S4"/>
    <mergeCell ref="N3:O3"/>
    <mergeCell ref="N4:O4"/>
    <mergeCell ref="T2:U2"/>
    <mergeCell ref="H2:I2"/>
    <mergeCell ref="J2:K2"/>
    <mergeCell ref="L2:M2"/>
    <mergeCell ref="P2:Q2"/>
    <mergeCell ref="R2:S2"/>
    <mergeCell ref="N2:O2"/>
  </mergeCells>
  <conditionalFormatting sqref="H20:H32">
    <cfRule type="cellIs" dxfId="219" priority="29" operator="equal">
      <formula>"X"</formula>
    </cfRule>
    <cfRule type="cellIs" dxfId="218" priority="30" operator="equal">
      <formula>"I"</formula>
    </cfRule>
  </conditionalFormatting>
  <conditionalFormatting sqref="H34:H45">
    <cfRule type="cellIs" dxfId="217" priority="27" operator="equal">
      <formula>"X"</formula>
    </cfRule>
    <cfRule type="cellIs" dxfId="216" priority="28" operator="equal">
      <formula>"I"</formula>
    </cfRule>
  </conditionalFormatting>
  <conditionalFormatting sqref="J20:J32">
    <cfRule type="cellIs" dxfId="215" priority="23" operator="equal">
      <formula>"X"</formula>
    </cfRule>
    <cfRule type="cellIs" dxfId="214" priority="24" operator="equal">
      <formula>"I"</formula>
    </cfRule>
  </conditionalFormatting>
  <conditionalFormatting sqref="J34:J45">
    <cfRule type="cellIs" dxfId="213" priority="25" operator="equal">
      <formula>"X"</formula>
    </cfRule>
    <cfRule type="cellIs" dxfId="212" priority="26" operator="equal">
      <formula>"I"</formula>
    </cfRule>
  </conditionalFormatting>
  <conditionalFormatting sqref="L20:L32">
    <cfRule type="cellIs" dxfId="211" priority="21" operator="equal">
      <formula>"X"</formula>
    </cfRule>
    <cfRule type="cellIs" dxfId="210" priority="22" operator="equal">
      <formula>"I"</formula>
    </cfRule>
  </conditionalFormatting>
  <conditionalFormatting sqref="L34:L45">
    <cfRule type="cellIs" dxfId="209" priority="1" operator="equal">
      <formula>"X"</formula>
    </cfRule>
    <cfRule type="cellIs" dxfId="208" priority="2" operator="equal">
      <formula>"I"</formula>
    </cfRule>
  </conditionalFormatting>
  <conditionalFormatting sqref="N20:N32">
    <cfRule type="cellIs" dxfId="207" priority="5" operator="equal">
      <formula>"X"</formula>
    </cfRule>
    <cfRule type="cellIs" dxfId="206" priority="6" operator="equal">
      <formula>"I"</formula>
    </cfRule>
  </conditionalFormatting>
  <conditionalFormatting sqref="N34:N45">
    <cfRule type="cellIs" dxfId="205" priority="3" operator="equal">
      <formula>"X"</formula>
    </cfRule>
    <cfRule type="cellIs" dxfId="204" priority="4" operator="equal">
      <formula>"I"</formula>
    </cfRule>
  </conditionalFormatting>
  <conditionalFormatting sqref="P20:P32">
    <cfRule type="cellIs" dxfId="203" priority="15" operator="equal">
      <formula>"X"</formula>
    </cfRule>
    <cfRule type="cellIs" dxfId="202" priority="16" operator="equal">
      <formula>"I"</formula>
    </cfRule>
  </conditionalFormatting>
  <conditionalFormatting sqref="P34:P45">
    <cfRule type="cellIs" dxfId="201" priority="17" operator="equal">
      <formula>"X"</formula>
    </cfRule>
    <cfRule type="cellIs" dxfId="200" priority="18" operator="equal">
      <formula>"I"</formula>
    </cfRule>
  </conditionalFormatting>
  <conditionalFormatting sqref="R20:R32">
    <cfRule type="cellIs" dxfId="199" priority="13" operator="equal">
      <formula>"X"</formula>
    </cfRule>
    <cfRule type="cellIs" dxfId="198" priority="14" operator="equal">
      <formula>"I"</formula>
    </cfRule>
  </conditionalFormatting>
  <conditionalFormatting sqref="R34:R45">
    <cfRule type="cellIs" dxfId="197" priority="11" operator="equal">
      <formula>"X"</formula>
    </cfRule>
    <cfRule type="cellIs" dxfId="196" priority="12" operator="equal">
      <formula>"I"</formula>
    </cfRule>
  </conditionalFormatting>
  <conditionalFormatting sqref="T20:T32">
    <cfRule type="cellIs" dxfId="195" priority="7" operator="equal">
      <formula>"X"</formula>
    </cfRule>
    <cfRule type="cellIs" dxfId="194" priority="8" operator="equal">
      <formula>"I"</formula>
    </cfRule>
  </conditionalFormatting>
  <conditionalFormatting sqref="T34:T45">
    <cfRule type="cellIs" dxfId="193" priority="9" operator="equal">
      <formula>"X"</formula>
    </cfRule>
    <cfRule type="cellIs" dxfId="192" priority="10" operator="equal">
      <formula>"I"</formula>
    </cfRule>
  </conditionalFormatting>
  <hyperlinks>
    <hyperlink ref="B3" location="'Cost Summary'!A1" display="BACK TO SUMMARY SHEET" xr:uid="{48021C24-DBA8-4C23-B5CF-6D5EF37479BF}"/>
    <hyperlink ref="H7:I7" r:id="rId1" display="daniel.coxe@menardusa.com" xr:uid="{BE7EDF39-BA0B-4545-8AB7-C3A1E2FBA231}"/>
    <hyperlink ref="J7" r:id="rId2" xr:uid="{FE372566-0BCA-4EA0-8876-B53F68BB28A6}"/>
    <hyperlink ref="L7" r:id="rId3" xr:uid="{55F90324-098F-4C64-B1FD-0D0B67359A64}"/>
    <hyperlink ref="N7" r:id="rId4" xr:uid="{1AF5FB99-4589-4550-A28F-28DC81DEE56C}"/>
  </hyperlinks>
  <pageMargins left="0.7" right="0.7" top="0.75" bottom="0.75" header="0.3" footer="0.3"/>
  <pageSetup orientation="portrait" r:id="rId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EB95-1D7C-4EF6-81EA-BAF7DE5C46F5}">
  <sheetPr>
    <tabColor rgb="FF92D050"/>
  </sheetPr>
  <dimension ref="A1:S84"/>
  <sheetViews>
    <sheetView zoomScaleNormal="100" workbookViewId="0">
      <pane xSplit="2" ySplit="9" topLeftCell="C28" activePane="bottomRight" state="frozen"/>
      <selection pane="topRight" activeCell="C1" sqref="C1"/>
      <selection pane="bottomLeft" activeCell="A10" sqref="A10"/>
      <selection pane="bottomRight" activeCell="B28" sqref="B28"/>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51"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customWidth="1"/>
    <col min="19" max="19" width="14.81640625" style="2" customWidth="1"/>
  </cols>
  <sheetData>
    <row r="1" spans="1:19" x14ac:dyDescent="0.35">
      <c r="E1" s="152"/>
      <c r="F1" s="125"/>
      <c r="G1" s="123" t="s">
        <v>621</v>
      </c>
    </row>
    <row r="2" spans="1:19" ht="15" thickBot="1" x14ac:dyDescent="0.4">
      <c r="E2" s="152"/>
      <c r="F2" s="122" t="s">
        <v>622</v>
      </c>
      <c r="G2" s="123" t="s">
        <v>451</v>
      </c>
      <c r="H2" s="3751"/>
      <c r="I2" s="3751"/>
      <c r="J2" s="3751"/>
      <c r="K2" s="3751"/>
      <c r="L2" s="3751"/>
      <c r="M2" s="3751"/>
      <c r="N2" s="3751"/>
      <c r="O2" s="3751"/>
      <c r="P2" s="3751"/>
      <c r="Q2" s="3751"/>
      <c r="R2" s="3751"/>
      <c r="S2" s="3751"/>
    </row>
    <row r="3" spans="1:19" ht="19" thickBot="1" x14ac:dyDescent="0.5">
      <c r="B3" s="126" t="s">
        <v>623</v>
      </c>
      <c r="E3" s="152"/>
      <c r="F3" s="124" t="s">
        <v>624</v>
      </c>
      <c r="G3" s="123" t="s">
        <v>557</v>
      </c>
      <c r="H3" s="3754" t="s">
        <v>625</v>
      </c>
      <c r="I3" s="3755"/>
      <c r="J3" s="4005"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96"/>
      <c r="K4" s="3796"/>
      <c r="L4" s="3898"/>
      <c r="M4" s="3898"/>
      <c r="N4" s="3898"/>
      <c r="O4" s="3898"/>
      <c r="P4" s="3898"/>
      <c r="Q4" s="3898"/>
      <c r="R4" s="3796"/>
      <c r="S4" s="3753"/>
    </row>
    <row r="5" spans="1:19" x14ac:dyDescent="0.35">
      <c r="A5" s="3030" t="s">
        <v>634</v>
      </c>
      <c r="B5" s="3031" t="s">
        <v>3898</v>
      </c>
      <c r="C5" s="3032"/>
      <c r="D5" s="3032"/>
      <c r="E5" s="3032"/>
      <c r="F5" s="3032"/>
      <c r="G5" s="2194" t="s">
        <v>636</v>
      </c>
      <c r="H5" s="3992"/>
      <c r="I5" s="3932"/>
      <c r="J5" s="3933"/>
      <c r="K5" s="3933"/>
      <c r="L5" s="3950"/>
      <c r="M5" s="3950"/>
      <c r="N5" s="3950"/>
      <c r="O5" s="3950"/>
      <c r="P5" s="3950"/>
      <c r="Q5" s="3950"/>
      <c r="R5" s="3933"/>
      <c r="S5" s="3932"/>
    </row>
    <row r="6" spans="1:19" x14ac:dyDescent="0.35">
      <c r="A6" s="3030" t="s">
        <v>638</v>
      </c>
      <c r="B6" s="3033" t="s">
        <v>3899</v>
      </c>
      <c r="C6" s="3032"/>
      <c r="D6" s="3032"/>
      <c r="E6" s="3032"/>
      <c r="F6" s="3032"/>
      <c r="G6" s="2194" t="s">
        <v>639</v>
      </c>
      <c r="H6" s="3993"/>
      <c r="I6" s="3938"/>
      <c r="J6" s="3939"/>
      <c r="K6" s="3939"/>
      <c r="L6" s="3949"/>
      <c r="M6" s="3949"/>
      <c r="N6" s="3949"/>
      <c r="O6" s="3949"/>
      <c r="P6" s="3949"/>
      <c r="Q6" s="3949"/>
      <c r="R6" s="3939"/>
      <c r="S6" s="3938"/>
    </row>
    <row r="7" spans="1:19" x14ac:dyDescent="0.35">
      <c r="A7" s="3030" t="s">
        <v>641</v>
      </c>
      <c r="B7" s="3034"/>
      <c r="C7" s="3032"/>
      <c r="D7" s="3032"/>
      <c r="E7" s="3032"/>
      <c r="F7" s="3032"/>
      <c r="G7" s="2194" t="s">
        <v>642</v>
      </c>
      <c r="H7" s="3991"/>
      <c r="I7" s="3935"/>
      <c r="J7" s="3936"/>
      <c r="K7" s="3936"/>
      <c r="L7" s="3951"/>
      <c r="M7" s="3951"/>
      <c r="N7" s="3951"/>
      <c r="O7" s="3951"/>
      <c r="P7" s="3951"/>
      <c r="Q7" s="3951"/>
      <c r="R7" s="3936"/>
      <c r="S7" s="3935"/>
    </row>
    <row r="8" spans="1:19" ht="15" thickBot="1" x14ac:dyDescent="0.4">
      <c r="A8" s="938" t="s">
        <v>644</v>
      </c>
      <c r="B8" s="939"/>
      <c r="C8" s="940"/>
      <c r="D8" s="940"/>
      <c r="E8" s="940"/>
      <c r="F8" s="940"/>
      <c r="G8" s="1024" t="s">
        <v>644</v>
      </c>
      <c r="H8" s="3926">
        <f>I45</f>
        <v>0</v>
      </c>
      <c r="I8" s="3927"/>
      <c r="J8" s="3989">
        <f>K45</f>
        <v>0</v>
      </c>
      <c r="K8" s="3989"/>
      <c r="L8" s="3988">
        <f>M45</f>
        <v>0</v>
      </c>
      <c r="M8" s="3988"/>
      <c r="N8" s="3988">
        <f>O45</f>
        <v>0</v>
      </c>
      <c r="O8" s="3988"/>
      <c r="P8" s="3988">
        <f>Q45</f>
        <v>0</v>
      </c>
      <c r="Q8" s="3988"/>
      <c r="R8" s="3989">
        <f>S45</f>
        <v>0</v>
      </c>
      <c r="S8" s="3927"/>
    </row>
    <row r="9" spans="1:19" ht="30" thickTop="1" thickBot="1" x14ac:dyDescent="0.4">
      <c r="A9" s="7" t="s">
        <v>645</v>
      </c>
      <c r="B9" s="8"/>
      <c r="C9" s="9" t="s">
        <v>646</v>
      </c>
      <c r="D9" s="9" t="s">
        <v>647</v>
      </c>
      <c r="E9" s="9" t="s">
        <v>648</v>
      </c>
      <c r="F9" s="9" t="s">
        <v>649</v>
      </c>
      <c r="G9" s="10" t="s">
        <v>650</v>
      </c>
      <c r="H9" s="11" t="s">
        <v>651</v>
      </c>
      <c r="I9" s="49" t="s">
        <v>652</v>
      </c>
      <c r="J9" s="40" t="s">
        <v>651</v>
      </c>
      <c r="K9" s="11" t="s">
        <v>652</v>
      </c>
      <c r="L9" s="11" t="s">
        <v>651</v>
      </c>
      <c r="M9" s="11" t="s">
        <v>652</v>
      </c>
      <c r="N9" s="11" t="s">
        <v>651</v>
      </c>
      <c r="O9" s="11" t="s">
        <v>652</v>
      </c>
      <c r="P9" s="11" t="s">
        <v>651</v>
      </c>
      <c r="Q9" s="11" t="s">
        <v>652</v>
      </c>
      <c r="R9" s="11" t="s">
        <v>651</v>
      </c>
      <c r="S9" s="11" t="s">
        <v>652</v>
      </c>
    </row>
    <row r="10" spans="1:19" ht="15" hidden="1" thickTop="1" x14ac:dyDescent="0.35">
      <c r="A10" s="3035"/>
      <c r="B10" s="3230" t="s">
        <v>653</v>
      </c>
      <c r="C10" s="3032"/>
      <c r="D10" s="3032"/>
      <c r="E10" s="3032"/>
      <c r="F10" s="3032"/>
      <c r="G10" s="2198"/>
      <c r="H10" s="2107"/>
      <c r="I10" s="3148"/>
      <c r="J10" s="2107"/>
      <c r="K10" s="2107"/>
      <c r="L10" s="2107"/>
      <c r="M10" s="2107"/>
      <c r="N10" s="2107"/>
      <c r="O10" s="2107"/>
      <c r="P10" s="2107"/>
      <c r="Q10" s="2107"/>
      <c r="R10" s="2107"/>
      <c r="S10" s="2107"/>
    </row>
    <row r="11" spans="1:19" hidden="1" x14ac:dyDescent="0.35">
      <c r="A11" s="3035"/>
      <c r="B11" s="3031" t="e">
        <f>#REF!</f>
        <v>#REF!</v>
      </c>
      <c r="C11" s="3036" t="s">
        <v>654</v>
      </c>
      <c r="D11" s="3032"/>
      <c r="E11" s="3032"/>
      <c r="F11" s="3032"/>
      <c r="G11" s="2198"/>
      <c r="H11" s="2107"/>
      <c r="I11" s="3148"/>
      <c r="J11" s="2107"/>
      <c r="K11" s="2107"/>
      <c r="L11" s="2107"/>
      <c r="M11" s="2107"/>
      <c r="N11" s="2107"/>
      <c r="O11" s="2107"/>
      <c r="P11" s="2107"/>
      <c r="Q11" s="2107"/>
      <c r="R11" s="2107"/>
      <c r="S11" s="2107"/>
    </row>
    <row r="12" spans="1:19" hidden="1" x14ac:dyDescent="0.35">
      <c r="A12" s="3035"/>
      <c r="B12" s="3031" t="e">
        <f>#REF!</f>
        <v>#REF!</v>
      </c>
      <c r="C12" s="3036" t="s">
        <v>654</v>
      </c>
      <c r="D12" s="3032"/>
      <c r="E12" s="3032"/>
      <c r="F12" s="3032"/>
      <c r="G12" s="2198"/>
      <c r="H12" s="2107"/>
      <c r="I12" s="3148"/>
      <c r="J12" s="2107"/>
      <c r="K12" s="2107"/>
      <c r="L12" s="2107"/>
      <c r="M12" s="2107"/>
      <c r="N12" s="2107"/>
      <c r="O12" s="2107"/>
      <c r="P12" s="2107"/>
      <c r="Q12" s="2107"/>
      <c r="R12" s="2107"/>
      <c r="S12" s="2107"/>
    </row>
    <row r="13" spans="1:19" hidden="1" x14ac:dyDescent="0.35">
      <c r="A13" s="3035"/>
      <c r="B13" s="3031" t="e">
        <f>#REF!</f>
        <v>#REF!</v>
      </c>
      <c r="C13" s="3036" t="s">
        <v>654</v>
      </c>
      <c r="D13" s="3032"/>
      <c r="E13" s="3032"/>
      <c r="F13" s="3032"/>
      <c r="G13" s="2198"/>
      <c r="H13" s="2107"/>
      <c r="I13" s="3148"/>
      <c r="J13" s="2107"/>
      <c r="K13" s="2107"/>
      <c r="L13" s="2107"/>
      <c r="M13" s="2107"/>
      <c r="N13" s="2107"/>
      <c r="O13" s="2107"/>
      <c r="P13" s="2107"/>
      <c r="Q13" s="2107"/>
      <c r="R13" s="2107"/>
      <c r="S13" s="2107"/>
    </row>
    <row r="14" spans="1:19" hidden="1" x14ac:dyDescent="0.35">
      <c r="A14" s="3035"/>
      <c r="B14" s="3031" t="e">
        <f>#REF!</f>
        <v>#REF!</v>
      </c>
      <c r="C14" s="3036" t="s">
        <v>654</v>
      </c>
      <c r="D14" s="3032"/>
      <c r="E14" s="3032"/>
      <c r="F14" s="3032"/>
      <c r="G14" s="2198"/>
      <c r="H14" s="2107"/>
      <c r="I14" s="3148"/>
      <c r="J14" s="2107"/>
      <c r="K14" s="2107"/>
      <c r="L14" s="2107"/>
      <c r="M14" s="2107"/>
      <c r="N14" s="2107"/>
      <c r="O14" s="2107"/>
      <c r="P14" s="2107"/>
      <c r="Q14" s="2107"/>
      <c r="R14" s="2107"/>
      <c r="S14" s="2107"/>
    </row>
    <row r="15" spans="1:19" hidden="1" x14ac:dyDescent="0.35">
      <c r="A15" s="3035"/>
      <c r="B15" s="3031" t="e">
        <f>#REF!</f>
        <v>#REF!</v>
      </c>
      <c r="C15" s="3036" t="s">
        <v>654</v>
      </c>
      <c r="D15" s="3032"/>
      <c r="E15" s="3032"/>
      <c r="F15" s="3032"/>
      <c r="G15" s="2198"/>
      <c r="H15" s="2107"/>
      <c r="I15" s="3148"/>
      <c r="J15" s="2107"/>
      <c r="K15" s="2107"/>
      <c r="L15" s="2107"/>
      <c r="M15" s="2107"/>
      <c r="N15" s="2107"/>
      <c r="O15" s="2107"/>
      <c r="P15" s="2107"/>
      <c r="Q15" s="2107"/>
      <c r="R15" s="2107"/>
      <c r="S15" s="2107"/>
    </row>
    <row r="16" spans="1:19" hidden="1" x14ac:dyDescent="0.35">
      <c r="A16" s="3035"/>
      <c r="B16" s="3031" t="e">
        <f>#REF!</f>
        <v>#REF!</v>
      </c>
      <c r="C16" s="3036" t="s">
        <v>654</v>
      </c>
      <c r="D16" s="3032"/>
      <c r="E16" s="3032"/>
      <c r="F16" s="3032"/>
      <c r="G16" s="2198"/>
      <c r="H16" s="2107"/>
      <c r="I16" s="3148"/>
      <c r="J16" s="2107"/>
      <c r="K16" s="2107"/>
      <c r="L16" s="2107"/>
      <c r="M16" s="2107"/>
      <c r="N16" s="2107"/>
      <c r="O16" s="2107"/>
      <c r="P16" s="2107"/>
      <c r="Q16" s="2107"/>
      <c r="R16" s="2107"/>
      <c r="S16" s="2107"/>
    </row>
    <row r="17" spans="1:19" hidden="1" x14ac:dyDescent="0.35">
      <c r="A17" s="3035"/>
      <c r="B17" s="3031" t="e">
        <f>#REF!</f>
        <v>#REF!</v>
      </c>
      <c r="C17" s="3036" t="s">
        <v>654</v>
      </c>
      <c r="D17" s="3032"/>
      <c r="E17" s="3032"/>
      <c r="F17" s="3032"/>
      <c r="G17" s="2198"/>
      <c r="H17" s="2107"/>
      <c r="I17" s="3148"/>
      <c r="J17" s="2107"/>
      <c r="K17" s="2107"/>
      <c r="L17" s="2107"/>
      <c r="M17" s="2107"/>
      <c r="N17" s="2107"/>
      <c r="O17" s="2107"/>
      <c r="P17" s="2107"/>
      <c r="Q17" s="2107"/>
      <c r="R17" s="2107"/>
      <c r="S17" s="2107"/>
    </row>
    <row r="18" spans="1:19" hidden="1" x14ac:dyDescent="0.35">
      <c r="A18" s="3035"/>
      <c r="B18" s="3031" t="e">
        <f>#REF!</f>
        <v>#REF!</v>
      </c>
      <c r="C18" s="3036" t="s">
        <v>654</v>
      </c>
      <c r="D18" s="3032"/>
      <c r="E18" s="3032"/>
      <c r="F18" s="3032"/>
      <c r="G18" s="2198"/>
      <c r="H18" s="2107"/>
      <c r="I18" s="3148"/>
      <c r="J18" s="2107"/>
      <c r="K18" s="2107"/>
      <c r="L18" s="2107"/>
      <c r="M18" s="2107"/>
      <c r="N18" s="2107"/>
      <c r="O18" s="2107"/>
      <c r="P18" s="2107"/>
      <c r="Q18" s="2107"/>
      <c r="R18" s="2107"/>
      <c r="S18" s="2107"/>
    </row>
    <row r="19" spans="1:19" ht="14.5" hidden="1" customHeight="1" x14ac:dyDescent="0.35">
      <c r="A19" s="3035"/>
      <c r="B19" s="3031" t="e">
        <f>#REF!</f>
        <v>#REF!</v>
      </c>
      <c r="C19" s="3036" t="s">
        <v>654</v>
      </c>
      <c r="D19" s="3032"/>
      <c r="E19" s="3032"/>
      <c r="F19" s="3032"/>
      <c r="G19" s="2198"/>
      <c r="H19" s="2107"/>
      <c r="I19" s="3148"/>
      <c r="J19" s="2107"/>
      <c r="K19" s="2107"/>
      <c r="L19" s="2107"/>
      <c r="M19" s="2107"/>
      <c r="N19" s="2107"/>
      <c r="O19" s="2107"/>
      <c r="P19" s="2107"/>
      <c r="Q19" s="2107"/>
      <c r="R19" s="2107"/>
      <c r="S19" s="2107"/>
    </row>
    <row r="20" spans="1:19" ht="15" thickTop="1" x14ac:dyDescent="0.35">
      <c r="A20" s="138"/>
      <c r="B20" s="44"/>
      <c r="C20" s="139"/>
      <c r="D20" s="139"/>
      <c r="E20" s="139"/>
      <c r="F20" s="139"/>
      <c r="G20" s="140"/>
      <c r="H20" s="2109"/>
      <c r="I20" s="3231"/>
      <c r="J20" s="2109"/>
      <c r="K20" s="3232"/>
      <c r="L20" s="2109"/>
      <c r="M20" s="3232"/>
      <c r="N20" s="2109"/>
      <c r="O20" s="3232"/>
      <c r="P20" s="2109"/>
      <c r="Q20" s="3232"/>
      <c r="R20" s="2109"/>
      <c r="S20" s="3232"/>
    </row>
    <row r="21" spans="1:19" ht="15" thickBot="1" x14ac:dyDescent="0.4">
      <c r="A21" s="3233"/>
      <c r="B21" s="3037" t="s">
        <v>3898</v>
      </c>
      <c r="C21" s="3036"/>
      <c r="D21" s="3032"/>
      <c r="E21" s="3032"/>
      <c r="F21" s="3032"/>
      <c r="G21" s="2198"/>
      <c r="H21" s="2109"/>
      <c r="I21" s="3208"/>
      <c r="J21" s="2109"/>
      <c r="K21" s="3184"/>
      <c r="L21" s="2109"/>
      <c r="M21" s="2276"/>
      <c r="N21" s="2109"/>
      <c r="O21" s="2276"/>
      <c r="P21" s="2109"/>
      <c r="Q21" s="2276"/>
      <c r="R21" s="2109"/>
      <c r="S21" s="2276"/>
    </row>
    <row r="22" spans="1:19" x14ac:dyDescent="0.35">
      <c r="A22" s="3233"/>
      <c r="B22" s="606" t="s">
        <v>657</v>
      </c>
      <c r="C22" s="3036"/>
      <c r="D22" s="3032"/>
      <c r="E22" s="3032"/>
      <c r="F22" s="3032"/>
      <c r="G22" s="2198"/>
      <c r="H22" s="2109"/>
      <c r="I22" s="3210"/>
      <c r="J22" s="2109"/>
      <c r="K22" s="3211"/>
      <c r="L22" s="2109"/>
      <c r="M22" s="3212"/>
      <c r="N22" s="2109"/>
      <c r="O22" s="3212"/>
      <c r="P22" s="2109"/>
      <c r="Q22" s="3212"/>
      <c r="R22" s="2109"/>
      <c r="S22" s="3212"/>
    </row>
    <row r="23" spans="1:19" x14ac:dyDescent="0.35">
      <c r="A23" s="3233"/>
      <c r="B23" s="3209" t="s">
        <v>658</v>
      </c>
      <c r="C23" s="3036"/>
      <c r="D23" s="3032"/>
      <c r="E23" s="3032"/>
      <c r="F23" s="3032"/>
      <c r="G23" s="2198"/>
      <c r="H23" s="2109"/>
      <c r="I23" s="3210"/>
      <c r="J23" s="2109"/>
      <c r="K23" s="3211"/>
      <c r="L23" s="2109"/>
      <c r="M23" s="3212"/>
      <c r="N23" s="2109"/>
      <c r="O23" s="3212"/>
      <c r="P23" s="2109"/>
      <c r="Q23" s="3212"/>
      <c r="R23" s="2109"/>
      <c r="S23" s="3212"/>
    </row>
    <row r="24" spans="1:19" x14ac:dyDescent="0.35">
      <c r="A24" s="3233"/>
      <c r="B24" s="3209" t="s">
        <v>659</v>
      </c>
      <c r="C24" s="3036"/>
      <c r="D24" s="3032"/>
      <c r="E24" s="3032"/>
      <c r="F24" s="3032"/>
      <c r="G24" s="2198"/>
      <c r="H24" s="2109"/>
      <c r="I24" s="3211"/>
      <c r="J24" s="2109"/>
      <c r="K24" s="3211"/>
      <c r="L24" s="2109"/>
      <c r="M24" s="3212"/>
      <c r="N24" s="2109"/>
      <c r="O24" s="3212"/>
      <c r="P24" s="2109"/>
      <c r="Q24" s="3212"/>
      <c r="R24" s="2109"/>
      <c r="S24" s="3212"/>
    </row>
    <row r="25" spans="1:19" x14ac:dyDescent="0.35">
      <c r="A25" s="3233"/>
      <c r="B25" s="3213" t="s">
        <v>660</v>
      </c>
      <c r="C25" s="3036"/>
      <c r="D25" s="3032"/>
      <c r="E25" s="3032"/>
      <c r="F25" s="3032"/>
      <c r="G25" s="2198"/>
      <c r="H25" s="2109"/>
      <c r="I25" s="3211"/>
      <c r="J25" s="2109"/>
      <c r="K25" s="3211"/>
      <c r="L25" s="2109"/>
      <c r="M25" s="3212"/>
      <c r="N25" s="2109"/>
      <c r="O25" s="3211"/>
      <c r="P25" s="2109"/>
      <c r="Q25" s="3212"/>
      <c r="R25" s="2109"/>
      <c r="S25" s="3212"/>
    </row>
    <row r="26" spans="1:19" x14ac:dyDescent="0.35">
      <c r="A26" s="3233"/>
      <c r="B26" s="3213" t="s">
        <v>661</v>
      </c>
      <c r="C26" s="3036"/>
      <c r="D26" s="3032"/>
      <c r="E26" s="3032"/>
      <c r="F26" s="3032"/>
      <c r="G26" s="2198"/>
      <c r="H26" s="2109"/>
      <c r="I26" s="3211"/>
      <c r="J26" s="2109"/>
      <c r="K26" s="3211"/>
      <c r="L26" s="2109"/>
      <c r="M26" s="3212"/>
      <c r="N26" s="2109"/>
      <c r="O26" s="3211"/>
      <c r="P26" s="2109"/>
      <c r="Q26" s="3212"/>
      <c r="R26" s="2109"/>
      <c r="S26" s="3212"/>
    </row>
    <row r="27" spans="1:19" x14ac:dyDescent="0.35">
      <c r="A27" s="3233"/>
      <c r="B27" s="3213" t="s">
        <v>662</v>
      </c>
      <c r="C27" s="3036"/>
      <c r="D27" s="3032"/>
      <c r="E27" s="3032"/>
      <c r="F27" s="3032"/>
      <c r="G27" s="2198"/>
      <c r="H27" s="2109"/>
      <c r="I27" s="3211"/>
      <c r="J27" s="2109"/>
      <c r="K27" s="3211"/>
      <c r="L27" s="2109"/>
      <c r="M27" s="3212"/>
      <c r="N27" s="2109"/>
      <c r="O27" s="3211"/>
      <c r="P27" s="2109"/>
      <c r="Q27" s="3212"/>
      <c r="R27" s="2109"/>
      <c r="S27" s="3212"/>
    </row>
    <row r="28" spans="1:19" x14ac:dyDescent="0.35">
      <c r="A28" s="3233"/>
      <c r="B28" s="3213" t="s">
        <v>663</v>
      </c>
      <c r="C28" s="3036"/>
      <c r="D28" s="3032"/>
      <c r="E28" s="3032"/>
      <c r="F28" s="3032"/>
      <c r="G28" s="2198"/>
      <c r="H28" s="2109"/>
      <c r="I28" s="3211"/>
      <c r="J28" s="2109"/>
      <c r="K28" s="3211"/>
      <c r="L28" s="2109"/>
      <c r="M28" s="3212"/>
      <c r="N28" s="2109"/>
      <c r="O28" s="3211"/>
      <c r="P28" s="2109"/>
      <c r="Q28" s="3212"/>
      <c r="R28" s="2109"/>
      <c r="S28" s="3212"/>
    </row>
    <row r="29" spans="1:19" x14ac:dyDescent="0.35">
      <c r="A29" s="3233"/>
      <c r="B29" s="3213" t="s">
        <v>742</v>
      </c>
      <c r="C29" s="3036"/>
      <c r="D29" s="3032"/>
      <c r="E29" s="3032"/>
      <c r="F29" s="3032"/>
      <c r="G29" s="2198"/>
      <c r="H29" s="2109"/>
      <c r="I29" s="3211"/>
      <c r="J29" s="2109"/>
      <c r="K29" s="3211"/>
      <c r="L29" s="2109"/>
      <c r="M29" s="3212"/>
      <c r="N29" s="2109"/>
      <c r="O29" s="3211"/>
      <c r="P29" s="2109"/>
      <c r="Q29" s="3212"/>
      <c r="R29" s="2109"/>
      <c r="S29" s="3212"/>
    </row>
    <row r="30" spans="1:19" x14ac:dyDescent="0.35">
      <c r="A30" s="3233"/>
      <c r="B30" s="3214" t="s">
        <v>664</v>
      </c>
      <c r="C30" s="3036"/>
      <c r="D30" s="3032"/>
      <c r="E30" s="3032"/>
      <c r="F30" s="3032"/>
      <c r="G30" s="2198"/>
      <c r="H30" s="2109"/>
      <c r="I30" s="3210"/>
      <c r="J30" s="2109"/>
      <c r="K30" s="3211"/>
      <c r="L30" s="2109"/>
      <c r="M30" s="3212"/>
      <c r="N30" s="2109"/>
      <c r="O30" s="3211"/>
      <c r="P30" s="2109"/>
      <c r="Q30" s="3212"/>
      <c r="R30" s="2109"/>
      <c r="S30" s="3212"/>
    </row>
    <row r="31" spans="1:19" x14ac:dyDescent="0.35">
      <c r="A31" s="3233"/>
      <c r="B31" s="3215" t="s">
        <v>665</v>
      </c>
      <c r="C31" s="3216"/>
      <c r="D31" s="3039"/>
      <c r="E31" s="3039"/>
      <c r="F31" s="3039"/>
      <c r="G31" s="2945"/>
      <c r="H31" s="3217"/>
      <c r="I31" s="3218"/>
      <c r="J31" s="3218"/>
      <c r="K31" s="3218"/>
      <c r="L31" s="3219"/>
      <c r="M31" s="3220"/>
      <c r="N31" s="3218"/>
      <c r="O31" s="3218"/>
      <c r="P31" s="3218"/>
      <c r="Q31" s="3218"/>
      <c r="R31" s="2288"/>
      <c r="S31" s="3220"/>
    </row>
    <row r="32" spans="1:19" x14ac:dyDescent="0.35">
      <c r="A32" s="3234"/>
      <c r="B32" s="1294"/>
      <c r="C32" s="3235"/>
      <c r="D32" s="3236"/>
      <c r="E32" s="3236"/>
      <c r="F32" s="3032"/>
      <c r="G32" s="2198"/>
      <c r="H32" s="2109"/>
      <c r="I32" s="3211"/>
      <c r="J32" s="2109"/>
      <c r="K32" s="3210"/>
      <c r="L32" s="2109"/>
      <c r="M32" s="3237"/>
      <c r="N32" s="2109"/>
      <c r="O32" s="3237"/>
      <c r="P32" s="2109"/>
      <c r="Q32" s="3237"/>
      <c r="R32" s="2109"/>
      <c r="S32" s="3237"/>
    </row>
    <row r="33" spans="1:19" x14ac:dyDescent="0.35">
      <c r="A33" s="3234"/>
      <c r="B33" s="1294"/>
      <c r="C33" s="3238"/>
      <c r="D33" s="1295"/>
      <c r="E33" s="1295"/>
      <c r="F33" s="940"/>
      <c r="G33" s="1039"/>
      <c r="H33" s="2109"/>
      <c r="I33" s="3211"/>
      <c r="J33" s="2109"/>
      <c r="K33" s="3239"/>
      <c r="L33" s="2109"/>
      <c r="M33" s="3237"/>
      <c r="N33" s="2109"/>
      <c r="O33" s="3237"/>
      <c r="P33" s="2109"/>
      <c r="Q33" s="3237"/>
      <c r="R33" s="2109"/>
      <c r="S33" s="3237"/>
    </row>
    <row r="34" spans="1:19" x14ac:dyDescent="0.35">
      <c r="A34" s="3234"/>
      <c r="B34" s="1294"/>
      <c r="C34" s="3238"/>
      <c r="D34" s="1295"/>
      <c r="E34" s="1295"/>
      <c r="F34" s="940"/>
      <c r="G34" s="1039"/>
      <c r="H34" s="2109"/>
      <c r="I34" s="3211"/>
      <c r="J34" s="2109"/>
      <c r="K34" s="3239"/>
      <c r="L34" s="2109"/>
      <c r="M34" s="3237"/>
      <c r="N34" s="2109"/>
      <c r="O34" s="3237"/>
      <c r="P34" s="2109"/>
      <c r="Q34" s="3237"/>
      <c r="R34" s="2109"/>
      <c r="S34" s="3237"/>
    </row>
    <row r="35" spans="1:19" x14ac:dyDescent="0.35">
      <c r="A35" s="3234"/>
      <c r="B35" s="1294"/>
      <c r="C35" s="3238"/>
      <c r="D35" s="1295"/>
      <c r="E35" s="1295"/>
      <c r="F35" s="940"/>
      <c r="G35" s="1039"/>
      <c r="H35" s="2109"/>
      <c r="I35" s="3211"/>
      <c r="J35" s="2109"/>
      <c r="K35" s="3239"/>
      <c r="L35" s="2109"/>
      <c r="M35" s="3237"/>
      <c r="N35" s="2109"/>
      <c r="O35" s="3237"/>
      <c r="P35" s="2109"/>
      <c r="Q35" s="3237"/>
      <c r="R35" s="2109"/>
      <c r="S35" s="3237"/>
    </row>
    <row r="36" spans="1:19" x14ac:dyDescent="0.35">
      <c r="A36" s="3234"/>
      <c r="B36" s="1294"/>
      <c r="C36" s="3238"/>
      <c r="D36" s="1295"/>
      <c r="E36" s="1295"/>
      <c r="F36" s="940"/>
      <c r="G36" s="1039"/>
      <c r="H36" s="2109"/>
      <c r="I36" s="3211"/>
      <c r="J36" s="2109"/>
      <c r="K36" s="3239"/>
      <c r="L36" s="2109"/>
      <c r="M36" s="3237"/>
      <c r="N36" s="2109"/>
      <c r="O36" s="3237"/>
      <c r="P36" s="2109"/>
      <c r="Q36" s="3237"/>
      <c r="R36" s="2109"/>
      <c r="S36" s="3237"/>
    </row>
    <row r="37" spans="1:19" x14ac:dyDescent="0.35">
      <c r="A37" s="3234"/>
      <c r="B37" s="1294"/>
      <c r="C37" s="3238"/>
      <c r="D37" s="1295"/>
      <c r="E37" s="1295"/>
      <c r="F37" s="940"/>
      <c r="G37" s="1039"/>
      <c r="H37" s="2109"/>
      <c r="I37" s="3211"/>
      <c r="J37" s="2109"/>
      <c r="K37" s="3239"/>
      <c r="L37" s="2109"/>
      <c r="M37" s="3237"/>
      <c r="N37" s="2109"/>
      <c r="O37" s="3237"/>
      <c r="P37" s="2109"/>
      <c r="Q37" s="3237"/>
      <c r="R37" s="2109"/>
      <c r="S37" s="3237"/>
    </row>
    <row r="38" spans="1:19" x14ac:dyDescent="0.35">
      <c r="A38" s="3234"/>
      <c r="B38" s="1294"/>
      <c r="C38" s="3238"/>
      <c r="D38" s="1295"/>
      <c r="E38" s="1295"/>
      <c r="F38" s="940"/>
      <c r="G38" s="1039"/>
      <c r="H38" s="2109"/>
      <c r="I38" s="3211"/>
      <c r="J38" s="2109"/>
      <c r="K38" s="3239"/>
      <c r="L38" s="2109"/>
      <c r="M38" s="3237"/>
      <c r="N38" s="2109"/>
      <c r="O38" s="3237"/>
      <c r="P38" s="2109"/>
      <c r="Q38" s="3237"/>
      <c r="R38" s="2109"/>
      <c r="S38" s="3237"/>
    </row>
    <row r="39" spans="1:19" x14ac:dyDescent="0.35">
      <c r="A39" s="3234"/>
      <c r="B39" s="1294"/>
      <c r="C39" s="3238"/>
      <c r="D39" s="1295"/>
      <c r="E39" s="1295"/>
      <c r="F39" s="940"/>
      <c r="G39" s="1039"/>
      <c r="H39" s="2109"/>
      <c r="I39" s="3211"/>
      <c r="J39" s="2109"/>
      <c r="K39" s="3239"/>
      <c r="L39" s="2109"/>
      <c r="M39" s="3237"/>
      <c r="N39" s="2109"/>
      <c r="O39" s="3237"/>
      <c r="P39" s="2109"/>
      <c r="Q39" s="3237"/>
      <c r="R39" s="2109"/>
      <c r="S39" s="3237"/>
    </row>
    <row r="40" spans="1:19" x14ac:dyDescent="0.35">
      <c r="A40" s="3234"/>
      <c r="B40" s="1294"/>
      <c r="C40" s="3238"/>
      <c r="D40" s="1295"/>
      <c r="E40" s="1295"/>
      <c r="F40" s="940"/>
      <c r="G40" s="1039"/>
      <c r="H40" s="2109"/>
      <c r="I40" s="3211"/>
      <c r="J40" s="2109"/>
      <c r="K40" s="3237"/>
      <c r="L40" s="2109"/>
      <c r="M40" s="3211"/>
      <c r="N40" s="2109"/>
      <c r="O40" s="3212"/>
      <c r="P40" s="2109"/>
      <c r="Q40" s="3212"/>
      <c r="R40" s="2109"/>
      <c r="S40" s="3212"/>
    </row>
    <row r="41" spans="1:19" ht="15" thickTop="1" x14ac:dyDescent="0.35">
      <c r="A41" s="14"/>
      <c r="B41" s="15"/>
      <c r="C41" s="16"/>
      <c r="D41" s="16"/>
      <c r="E41" s="17"/>
      <c r="F41" s="18" t="s">
        <v>715</v>
      </c>
      <c r="G41" s="19"/>
      <c r="H41" s="20"/>
      <c r="I41" s="50">
        <f>SUM(I24:I40)</f>
        <v>0</v>
      </c>
      <c r="J41" s="20"/>
      <c r="K41" s="50">
        <f>SUM(K24:K40)</f>
        <v>0</v>
      </c>
      <c r="L41" s="20"/>
      <c r="M41" s="50">
        <f>SUM(M24:M40)</f>
        <v>0</v>
      </c>
      <c r="N41" s="20"/>
      <c r="O41" s="50">
        <f>SUM(O24:O40)</f>
        <v>0</v>
      </c>
      <c r="P41" s="20"/>
      <c r="Q41" s="50">
        <f>SUM(Q24:Q40)</f>
        <v>0</v>
      </c>
      <c r="R41" s="20"/>
      <c r="S41" s="50">
        <f>SUM(S24:S40)</f>
        <v>0</v>
      </c>
    </row>
    <row r="42" spans="1:19" x14ac:dyDescent="0.35">
      <c r="A42" s="2973"/>
      <c r="B42" s="2974"/>
      <c r="C42" s="2975"/>
      <c r="D42" s="2975"/>
      <c r="E42" s="2976"/>
      <c r="F42" s="2977" t="s">
        <v>716</v>
      </c>
      <c r="G42" s="2244"/>
      <c r="H42" s="2065">
        <v>0</v>
      </c>
      <c r="I42" s="2064"/>
      <c r="J42" s="2065">
        <v>0</v>
      </c>
      <c r="K42" s="2064"/>
      <c r="L42" s="2065">
        <v>0</v>
      </c>
      <c r="M42" s="2064"/>
      <c r="N42" s="2065">
        <v>0</v>
      </c>
      <c r="O42" s="2064"/>
      <c r="P42" s="2065">
        <v>0</v>
      </c>
      <c r="Q42" s="2064"/>
      <c r="R42" s="2065">
        <v>0</v>
      </c>
      <c r="S42" s="2064"/>
    </row>
    <row r="43" spans="1:19" x14ac:dyDescent="0.35">
      <c r="A43" s="2973"/>
      <c r="B43" s="2974"/>
      <c r="C43" s="2975"/>
      <c r="D43" s="2975"/>
      <c r="E43" s="2976"/>
      <c r="F43" s="2977" t="s">
        <v>717</v>
      </c>
      <c r="G43" s="2244"/>
      <c r="H43" s="2066"/>
      <c r="I43" s="2067">
        <f>I41*H42</f>
        <v>0</v>
      </c>
      <c r="J43" s="2066"/>
      <c r="K43" s="2067">
        <f>K41*J42</f>
        <v>0</v>
      </c>
      <c r="L43" s="2066"/>
      <c r="M43" s="2067">
        <f>M41*L42</f>
        <v>0</v>
      </c>
      <c r="N43" s="2066"/>
      <c r="O43" s="2067">
        <f>O41*N42</f>
        <v>0</v>
      </c>
      <c r="P43" s="2066"/>
      <c r="Q43" s="2067">
        <f>Q41*P42</f>
        <v>0</v>
      </c>
      <c r="R43" s="2066"/>
      <c r="S43" s="2067">
        <f>S41*R42</f>
        <v>0</v>
      </c>
    </row>
    <row r="44" spans="1:19" x14ac:dyDescent="0.35">
      <c r="A44" s="2973"/>
      <c r="B44" s="2974"/>
      <c r="C44" s="2975"/>
      <c r="D44" s="2975"/>
      <c r="E44" s="2976"/>
      <c r="F44" s="2977"/>
      <c r="G44" s="2244"/>
      <c r="H44" s="2066"/>
      <c r="I44" s="2068"/>
      <c r="J44" s="2066"/>
      <c r="K44" s="2068"/>
      <c r="L44" s="2066"/>
      <c r="M44" s="2068"/>
      <c r="N44" s="2066"/>
      <c r="O44" s="2068"/>
      <c r="P44" s="2066"/>
      <c r="Q44" s="2068"/>
      <c r="R44" s="2066"/>
      <c r="S44" s="2068"/>
    </row>
    <row r="45" spans="1:19" x14ac:dyDescent="0.35">
      <c r="A45" s="2973"/>
      <c r="B45" s="2974"/>
      <c r="C45" s="2975"/>
      <c r="D45" s="2975"/>
      <c r="E45" s="2976"/>
      <c r="F45" s="2977" t="s">
        <v>718</v>
      </c>
      <c r="G45" s="2244"/>
      <c r="H45" s="2069"/>
      <c r="I45" s="2070">
        <f>SUM(I41:I43)</f>
        <v>0</v>
      </c>
      <c r="J45" s="2069"/>
      <c r="K45" s="2070">
        <f>SUM(K41:K43)</f>
        <v>0</v>
      </c>
      <c r="L45" s="2069"/>
      <c r="M45" s="2070">
        <f>SUM(M41:M43)</f>
        <v>0</v>
      </c>
      <c r="N45" s="2069"/>
      <c r="O45" s="2070">
        <f>SUM(O41:O43)</f>
        <v>0</v>
      </c>
      <c r="P45" s="2069"/>
      <c r="Q45" s="2070">
        <f>SUM(Q41:Q43)</f>
        <v>0</v>
      </c>
      <c r="R45" s="2069"/>
      <c r="S45" s="2070">
        <f>SUM(S41:S43)</f>
        <v>0</v>
      </c>
    </row>
    <row r="46" spans="1:19" x14ac:dyDescent="0.35">
      <c r="A46" s="2973"/>
      <c r="B46" s="2974"/>
      <c r="C46" s="2975"/>
      <c r="D46" s="2975"/>
      <c r="E46" s="2976"/>
      <c r="F46" s="2991" t="s">
        <v>719</v>
      </c>
      <c r="G46" s="2256"/>
      <c r="H46" s="2073"/>
      <c r="I46" s="2074" t="e">
        <f>I45/#REF!</f>
        <v>#REF!</v>
      </c>
      <c r="J46" s="2073"/>
      <c r="K46" s="2074" t="e">
        <f>K45/#REF!</f>
        <v>#REF!</v>
      </c>
      <c r="L46" s="2073"/>
      <c r="M46" s="2074" t="e">
        <f>M45/#REF!</f>
        <v>#REF!</v>
      </c>
      <c r="N46" s="2073"/>
      <c r="O46" s="2074" t="e">
        <f>O45/#REF!</f>
        <v>#REF!</v>
      </c>
      <c r="P46" s="2073"/>
      <c r="Q46" s="2074" t="e">
        <f>Q45/#REF!</f>
        <v>#REF!</v>
      </c>
      <c r="R46" s="2073"/>
      <c r="S46" s="2074" t="e">
        <f>S45/#REF!</f>
        <v>#REF!</v>
      </c>
    </row>
    <row r="47" spans="1:19" x14ac:dyDescent="0.35">
      <c r="A47" s="2973"/>
      <c r="B47" s="2974"/>
      <c r="C47" s="2975"/>
      <c r="D47" s="2975"/>
      <c r="E47" s="2976"/>
      <c r="F47" s="2991" t="s">
        <v>720</v>
      </c>
      <c r="G47" s="2260"/>
      <c r="H47" s="2073"/>
      <c r="I47" s="2074" t="e">
        <f>I45/#REF!</f>
        <v>#REF!</v>
      </c>
      <c r="J47" s="2073"/>
      <c r="K47" s="2074" t="e">
        <f>K45/#REF!</f>
        <v>#REF!</v>
      </c>
      <c r="L47" s="2073"/>
      <c r="M47" s="2074" t="e">
        <f>M45/#REF!</f>
        <v>#REF!</v>
      </c>
      <c r="N47" s="2073"/>
      <c r="O47" s="2074" t="e">
        <f>O45/#REF!</f>
        <v>#REF!</v>
      </c>
      <c r="P47" s="2073"/>
      <c r="Q47" s="2074" t="e">
        <f>Q45/#REF!</f>
        <v>#REF!</v>
      </c>
      <c r="R47" s="2073"/>
      <c r="S47" s="2074" t="e">
        <f>S45/#REF!</f>
        <v>#REF!</v>
      </c>
    </row>
    <row r="48" spans="1:19" ht="15" thickBot="1" x14ac:dyDescent="0.4">
      <c r="A48" s="2973"/>
      <c r="B48" s="2974"/>
      <c r="C48" s="2975"/>
      <c r="D48" s="2975"/>
      <c r="E48" s="2976"/>
      <c r="F48" s="2977"/>
      <c r="G48" s="2244"/>
      <c r="H48" s="2079"/>
      <c r="I48" s="2080"/>
      <c r="J48" s="2079"/>
      <c r="K48" s="2080"/>
      <c r="L48" s="2079"/>
      <c r="M48" s="2080"/>
      <c r="N48" s="2079"/>
      <c r="O48" s="2080"/>
      <c r="P48" s="2079"/>
      <c r="Q48" s="2080"/>
      <c r="R48" s="2079"/>
      <c r="S48" s="2080"/>
    </row>
    <row r="49" spans="1:19" ht="15.5" thickTop="1" thickBot="1" x14ac:dyDescent="0.4">
      <c r="A49" s="3764" t="s">
        <v>721</v>
      </c>
      <c r="B49" s="3765"/>
      <c r="C49" s="12"/>
      <c r="D49" s="12"/>
      <c r="E49" s="12"/>
      <c r="F49" s="12"/>
      <c r="G49" s="13"/>
      <c r="H49" s="21"/>
      <c r="I49" s="21"/>
      <c r="J49" s="21"/>
      <c r="K49" s="21"/>
      <c r="L49" s="21"/>
      <c r="M49" s="21"/>
      <c r="N49" s="21"/>
      <c r="O49" s="21"/>
      <c r="P49" s="21"/>
      <c r="Q49" s="21"/>
      <c r="R49" s="21"/>
      <c r="S49" s="21"/>
    </row>
    <row r="50" spans="1:19" ht="15" thickTop="1" x14ac:dyDescent="0.35">
      <c r="A50" s="3222"/>
      <c r="B50" s="3031"/>
      <c r="C50" s="3223"/>
      <c r="D50" s="3223"/>
      <c r="E50" s="3223"/>
      <c r="F50" s="3223"/>
      <c r="G50" s="3224"/>
      <c r="H50" s="3225"/>
      <c r="I50" s="3225"/>
      <c r="J50" s="3225"/>
      <c r="K50" s="3225"/>
      <c r="L50" s="3225"/>
      <c r="M50" s="3225"/>
      <c r="N50" s="3225"/>
      <c r="O50" s="3225"/>
      <c r="P50" s="3225"/>
      <c r="Q50" s="3225"/>
      <c r="R50" s="3225"/>
      <c r="S50" s="3225"/>
    </row>
    <row r="51" spans="1:19" s="2" customFormat="1" x14ac:dyDescent="0.35">
      <c r="A51" s="3222"/>
      <c r="B51" s="3031"/>
      <c r="C51" s="3223"/>
      <c r="D51" s="3223"/>
      <c r="E51" s="3223"/>
      <c r="F51" s="3223"/>
      <c r="G51" s="3224"/>
      <c r="H51" s="3225"/>
      <c r="I51" s="3225"/>
      <c r="J51" s="3225"/>
      <c r="K51" s="3225"/>
      <c r="L51" s="3225"/>
      <c r="M51" s="3225"/>
      <c r="N51" s="3225"/>
      <c r="O51" s="3225"/>
      <c r="P51" s="3225"/>
      <c r="Q51" s="3225"/>
      <c r="R51" s="3225"/>
      <c r="S51" s="3225"/>
    </row>
    <row r="52" spans="1:19" s="2" customFormat="1" ht="15" thickBot="1" x14ac:dyDescent="0.4">
      <c r="A52" s="3222"/>
      <c r="B52" s="3031"/>
      <c r="C52" s="3223"/>
      <c r="D52" s="3223"/>
      <c r="E52" s="3223"/>
      <c r="F52" s="3223"/>
      <c r="G52" s="3224"/>
      <c r="H52" s="3225"/>
      <c r="I52" s="3225"/>
      <c r="J52" s="3225"/>
      <c r="K52" s="3225"/>
      <c r="L52" s="3225"/>
      <c r="M52" s="3225"/>
      <c r="N52" s="3225"/>
      <c r="O52" s="3225"/>
      <c r="P52" s="3225"/>
      <c r="Q52" s="3225"/>
      <c r="R52" s="3225"/>
      <c r="S52" s="3225"/>
    </row>
    <row r="53" spans="1:19" s="2" customFormat="1" ht="15.5" thickTop="1" thickBot="1" x14ac:dyDescent="0.4">
      <c r="A53" s="3764" t="s">
        <v>722</v>
      </c>
      <c r="B53" s="3765"/>
      <c r="C53" s="12"/>
      <c r="D53" s="12"/>
      <c r="E53" s="12"/>
      <c r="F53" s="12"/>
      <c r="G53" s="13"/>
      <c r="H53" s="21"/>
      <c r="I53" s="21"/>
      <c r="J53" s="21"/>
      <c r="K53" s="21"/>
      <c r="L53" s="21"/>
      <c r="M53" s="21"/>
      <c r="N53" s="21"/>
      <c r="O53" s="21"/>
      <c r="P53" s="21"/>
      <c r="Q53" s="21"/>
      <c r="R53" s="21"/>
      <c r="S53" s="21"/>
    </row>
    <row r="54" spans="1:19" s="2" customFormat="1" ht="15" thickTop="1" x14ac:dyDescent="0.35">
      <c r="A54" s="3222"/>
      <c r="B54" s="3031"/>
      <c r="C54" s="3223"/>
      <c r="D54" s="3223"/>
      <c r="E54" s="3223"/>
      <c r="F54" s="3223"/>
      <c r="G54" s="3224"/>
      <c r="H54" s="3225"/>
      <c r="I54" s="3225"/>
      <c r="J54" s="3225"/>
      <c r="K54" s="3225"/>
      <c r="L54" s="3225"/>
      <c r="M54" s="3225"/>
      <c r="N54" s="3225"/>
      <c r="O54" s="3225"/>
      <c r="P54" s="3225"/>
      <c r="Q54" s="3225"/>
      <c r="R54" s="3225"/>
      <c r="S54" s="3225"/>
    </row>
    <row r="55" spans="1:19" s="2" customFormat="1" x14ac:dyDescent="0.35">
      <c r="A55" s="3222"/>
      <c r="B55" s="3031"/>
      <c r="C55" s="3223"/>
      <c r="D55" s="3223"/>
      <c r="E55" s="3223"/>
      <c r="F55" s="3223"/>
      <c r="G55" s="3224"/>
      <c r="H55" s="3225"/>
      <c r="I55" s="3225"/>
      <c r="J55" s="3225"/>
      <c r="K55" s="3225"/>
      <c r="L55" s="3225"/>
      <c r="M55" s="3225"/>
      <c r="N55" s="3225"/>
      <c r="O55" s="3225"/>
      <c r="P55" s="3225"/>
      <c r="Q55" s="3225"/>
      <c r="R55" s="3225"/>
      <c r="S55" s="3225"/>
    </row>
    <row r="56" spans="1:19" s="2" customFormat="1" ht="15" thickBot="1" x14ac:dyDescent="0.4">
      <c r="A56" s="3222"/>
      <c r="B56" s="3031"/>
      <c r="C56" s="3223"/>
      <c r="D56" s="3223"/>
      <c r="E56" s="3223"/>
      <c r="F56" s="3223"/>
      <c r="G56" s="3224"/>
      <c r="H56" s="3225"/>
      <c r="I56" s="3225"/>
      <c r="J56" s="3225"/>
      <c r="K56" s="3225"/>
      <c r="L56" s="3225"/>
      <c r="M56" s="3225"/>
      <c r="N56" s="3225"/>
      <c r="O56" s="3225"/>
      <c r="P56" s="3225"/>
      <c r="Q56" s="3225"/>
      <c r="R56" s="3225"/>
      <c r="S56" s="3225"/>
    </row>
    <row r="57" spans="1:19" s="2" customFormat="1" ht="15.5" thickTop="1" thickBot="1" x14ac:dyDescent="0.4">
      <c r="A57" s="3764" t="s">
        <v>723</v>
      </c>
      <c r="B57" s="3765"/>
      <c r="C57" s="12"/>
      <c r="D57" s="12"/>
      <c r="E57" s="12"/>
      <c r="F57" s="12"/>
      <c r="G57" s="13"/>
      <c r="H57" s="21"/>
      <c r="I57" s="21"/>
      <c r="J57" s="21"/>
      <c r="K57" s="21"/>
      <c r="L57" s="21"/>
      <c r="M57" s="21"/>
      <c r="N57" s="21"/>
      <c r="O57" s="21"/>
      <c r="P57" s="21"/>
      <c r="Q57" s="21"/>
      <c r="R57" s="21"/>
      <c r="S57" s="21"/>
    </row>
    <row r="58" spans="1:19" s="2" customFormat="1" ht="15" thickTop="1" x14ac:dyDescent="0.35">
      <c r="A58" s="3222"/>
      <c r="B58" s="3031"/>
      <c r="C58" s="3223"/>
      <c r="D58" s="3223"/>
      <c r="E58" s="3223"/>
      <c r="F58" s="3223"/>
      <c r="G58" s="3224"/>
      <c r="H58" s="3225"/>
      <c r="I58" s="3225"/>
      <c r="J58" s="3225"/>
      <c r="K58" s="3225"/>
      <c r="L58" s="3225"/>
      <c r="M58" s="3225"/>
      <c r="N58" s="3225"/>
      <c r="O58" s="3225"/>
      <c r="P58" s="3225"/>
      <c r="Q58" s="3225"/>
      <c r="R58" s="3225"/>
      <c r="S58" s="3225"/>
    </row>
    <row r="59" spans="1:19" x14ac:dyDescent="0.35">
      <c r="A59" s="3035"/>
      <c r="B59" s="3031"/>
      <c r="C59" s="3032"/>
      <c r="D59" s="3032"/>
      <c r="E59" s="3032"/>
      <c r="F59" s="3032"/>
      <c r="G59" s="2198"/>
      <c r="H59" s="2081"/>
      <c r="I59" s="2081"/>
      <c r="J59" s="2081"/>
      <c r="K59" s="2081"/>
      <c r="L59" s="2081"/>
      <c r="M59" s="2081"/>
      <c r="N59" s="2081"/>
      <c r="O59" s="2081"/>
      <c r="P59" s="2081"/>
      <c r="Q59" s="2081"/>
      <c r="R59" s="2081"/>
      <c r="S59" s="2081"/>
    </row>
    <row r="60" spans="1:19" s="2" customFormat="1" ht="15" thickBot="1" x14ac:dyDescent="0.4">
      <c r="A60" s="3012"/>
      <c r="B60" s="3019"/>
      <c r="C60" s="3032"/>
      <c r="D60" s="3032"/>
      <c r="E60" s="3032"/>
      <c r="F60" s="3032"/>
      <c r="G60" s="2198"/>
      <c r="H60" s="2084"/>
      <c r="I60" s="2084"/>
      <c r="J60" s="2084"/>
      <c r="K60" s="2084"/>
      <c r="L60" s="2084"/>
      <c r="M60" s="2084"/>
      <c r="N60" s="2084"/>
      <c r="O60" s="2084"/>
      <c r="P60" s="2084"/>
      <c r="Q60" s="2084"/>
      <c r="R60" s="2084"/>
      <c r="S60" s="2084"/>
    </row>
    <row r="61" spans="1:19" s="2" customFormat="1" ht="15.5" thickTop="1" thickBot="1" x14ac:dyDescent="0.4">
      <c r="A61" s="3764" t="s">
        <v>724</v>
      </c>
      <c r="B61" s="3765"/>
      <c r="C61" s="12"/>
      <c r="D61" s="12"/>
      <c r="E61" s="12"/>
      <c r="F61" s="12"/>
      <c r="G61" s="13"/>
      <c r="H61" s="21"/>
      <c r="I61" s="21"/>
      <c r="J61" s="21"/>
      <c r="K61" s="21"/>
      <c r="L61" s="21"/>
      <c r="M61" s="21"/>
      <c r="N61" s="21"/>
      <c r="O61" s="21"/>
      <c r="P61" s="21"/>
      <c r="Q61" s="21"/>
      <c r="R61" s="21"/>
      <c r="S61" s="21"/>
    </row>
    <row r="62" spans="1:19" s="2" customFormat="1" ht="15" thickTop="1" x14ac:dyDescent="0.35">
      <c r="A62" s="3226"/>
      <c r="B62" s="3227"/>
      <c r="C62" s="3223"/>
      <c r="D62" s="3223"/>
      <c r="E62" s="3223"/>
      <c r="F62" s="3223"/>
      <c r="G62" s="3224"/>
      <c r="H62" s="3225"/>
      <c r="I62" s="3225"/>
      <c r="J62" s="3225"/>
      <c r="K62" s="3225"/>
      <c r="L62" s="3225"/>
      <c r="M62" s="3225"/>
      <c r="N62" s="3225"/>
      <c r="O62" s="3225"/>
      <c r="P62" s="3225"/>
      <c r="Q62" s="3225"/>
      <c r="R62" s="3225"/>
      <c r="S62" s="3225"/>
    </row>
    <row r="63" spans="1:19" x14ac:dyDescent="0.35">
      <c r="A63" s="3012"/>
      <c r="B63" s="3019"/>
      <c r="C63" s="3032"/>
      <c r="D63" s="3032"/>
      <c r="E63" s="3032"/>
      <c r="F63" s="3032"/>
      <c r="G63" s="2198"/>
      <c r="H63" s="2087"/>
      <c r="I63" s="2087"/>
      <c r="J63" s="2087"/>
      <c r="K63" s="2087"/>
      <c r="L63" s="2087"/>
      <c r="M63" s="2087"/>
      <c r="N63" s="2087"/>
      <c r="O63" s="2087"/>
      <c r="P63" s="2087"/>
      <c r="Q63" s="2087"/>
      <c r="R63" s="2087"/>
      <c r="S63" s="2087"/>
    </row>
    <row r="64" spans="1:19" ht="15" thickBot="1" x14ac:dyDescent="0.4">
      <c r="A64" s="3012"/>
      <c r="B64" s="3019"/>
      <c r="C64" s="3032"/>
      <c r="D64" s="3032"/>
      <c r="E64" s="3032"/>
      <c r="F64" s="3032"/>
      <c r="G64" s="2198"/>
      <c r="H64" s="2087"/>
      <c r="I64" s="2087"/>
      <c r="J64" s="2087"/>
      <c r="K64" s="2087"/>
      <c r="L64" s="2087"/>
      <c r="M64" s="2087"/>
      <c r="N64" s="2087"/>
      <c r="O64" s="2087"/>
      <c r="P64" s="2087"/>
      <c r="Q64" s="2087"/>
      <c r="R64" s="2087"/>
      <c r="S64" s="2087"/>
    </row>
    <row r="65" spans="1:19" ht="15.5" thickTop="1" thickBot="1" x14ac:dyDescent="0.4">
      <c r="A65" s="3764" t="s">
        <v>725</v>
      </c>
      <c r="B65" s="3765"/>
      <c r="C65" s="12"/>
      <c r="D65" s="12"/>
      <c r="E65" s="12"/>
      <c r="F65" s="12"/>
      <c r="G65" s="13"/>
      <c r="H65" s="21"/>
      <c r="I65" s="21"/>
      <c r="J65" s="21"/>
      <c r="K65" s="21"/>
      <c r="L65" s="21"/>
      <c r="M65" s="21"/>
      <c r="N65" s="21"/>
      <c r="O65" s="21"/>
      <c r="P65" s="21"/>
      <c r="Q65" s="21"/>
      <c r="R65" s="21"/>
      <c r="S65" s="21"/>
    </row>
    <row r="66" spans="1:19" ht="15" thickTop="1" x14ac:dyDescent="0.35">
      <c r="A66" s="3035"/>
      <c r="B66" s="3031" t="s">
        <v>726</v>
      </c>
      <c r="C66" s="3032"/>
      <c r="D66" s="3032"/>
      <c r="E66" s="3032"/>
      <c r="F66" s="3032"/>
      <c r="G66" s="2198"/>
      <c r="H66" s="2087"/>
      <c r="I66" s="2087"/>
      <c r="J66" s="2087"/>
      <c r="K66" s="2087"/>
      <c r="L66" s="2087"/>
      <c r="M66" s="2087"/>
      <c r="N66" s="2087"/>
      <c r="O66" s="2087"/>
      <c r="P66" s="2087"/>
      <c r="Q66" s="2087"/>
      <c r="R66" s="2087"/>
      <c r="S66" s="2087"/>
    </row>
    <row r="67" spans="1:19" x14ac:dyDescent="0.35">
      <c r="A67" s="3035"/>
      <c r="B67" s="3031" t="s">
        <v>727</v>
      </c>
      <c r="C67" s="3032"/>
      <c r="D67" s="3032"/>
      <c r="E67" s="3032"/>
      <c r="F67" s="3032"/>
      <c r="G67" s="2198"/>
      <c r="H67" s="2087"/>
      <c r="I67" s="2087"/>
      <c r="J67" s="2087"/>
      <c r="K67" s="2087"/>
      <c r="L67" s="2087"/>
      <c r="M67" s="2087"/>
      <c r="N67" s="2087"/>
      <c r="O67" s="2087"/>
      <c r="P67" s="2087"/>
      <c r="Q67" s="2087"/>
      <c r="R67" s="2087"/>
      <c r="S67" s="2087"/>
    </row>
    <row r="68" spans="1:19" x14ac:dyDescent="0.35">
      <c r="A68" s="3035"/>
      <c r="B68" s="3031" t="s">
        <v>728</v>
      </c>
      <c r="C68" s="3032"/>
      <c r="D68" s="3032"/>
      <c r="E68" s="3032"/>
      <c r="F68" s="3032"/>
      <c r="G68" s="2198"/>
      <c r="H68" s="2087"/>
      <c r="I68" s="2087"/>
      <c r="J68" s="2087"/>
      <c r="K68" s="2087"/>
      <c r="L68" s="2087"/>
      <c r="M68" s="2087"/>
      <c r="N68" s="2087"/>
      <c r="O68" s="2087"/>
      <c r="P68" s="2087"/>
      <c r="Q68" s="2087"/>
      <c r="R68" s="2087"/>
      <c r="S68" s="2087"/>
    </row>
    <row r="69" spans="1:19" x14ac:dyDescent="0.35">
      <c r="A69" s="3035"/>
      <c r="B69" s="3031" t="s">
        <v>729</v>
      </c>
      <c r="C69" s="3032"/>
      <c r="D69" s="3032"/>
      <c r="E69" s="3032"/>
      <c r="F69" s="3032"/>
      <c r="G69" s="2198"/>
      <c r="H69" s="2087"/>
      <c r="I69" s="2087"/>
      <c r="J69" s="2087"/>
      <c r="K69" s="2087"/>
      <c r="L69" s="2087"/>
      <c r="M69" s="2087"/>
      <c r="N69" s="2087"/>
      <c r="O69" s="2087"/>
      <c r="P69" s="2087"/>
      <c r="Q69" s="2087"/>
      <c r="R69" s="2087"/>
      <c r="S69" s="2087"/>
    </row>
    <row r="70" spans="1:19" ht="15" thickBot="1" x14ac:dyDescent="0.4">
      <c r="A70" s="978"/>
      <c r="B70" s="939"/>
      <c r="C70" s="940"/>
      <c r="D70" s="940"/>
      <c r="E70" s="940"/>
      <c r="F70" s="940"/>
      <c r="G70" s="1039"/>
      <c r="H70" s="981"/>
      <c r="I70" s="981"/>
      <c r="J70" s="981"/>
      <c r="K70" s="981"/>
      <c r="L70" s="981"/>
      <c r="M70" s="981"/>
      <c r="N70" s="981"/>
      <c r="O70" s="981"/>
      <c r="P70" s="981"/>
      <c r="Q70" s="981"/>
      <c r="R70" s="981"/>
      <c r="S70" s="981"/>
    </row>
    <row r="71" spans="1:19" ht="15.5" thickTop="1" thickBot="1" x14ac:dyDescent="0.4">
      <c r="A71" s="7" t="s">
        <v>730</v>
      </c>
      <c r="B71" s="8"/>
      <c r="C71" s="12"/>
      <c r="D71" s="12"/>
      <c r="E71" s="12"/>
      <c r="F71" s="12"/>
      <c r="G71" s="13"/>
      <c r="H71" s="21"/>
      <c r="I71" s="21"/>
      <c r="J71" s="21"/>
      <c r="K71" s="21"/>
      <c r="L71" s="21"/>
      <c r="M71" s="21"/>
      <c r="N71" s="21"/>
      <c r="O71" s="21"/>
      <c r="P71" s="21"/>
      <c r="Q71" s="21"/>
      <c r="R71" s="21"/>
      <c r="S71" s="21"/>
    </row>
    <row r="72" spans="1:19" ht="15" thickTop="1" x14ac:dyDescent="0.35">
      <c r="A72" s="3222"/>
      <c r="B72" s="3228" t="s">
        <v>731</v>
      </c>
      <c r="C72" s="3223"/>
      <c r="D72" s="3223"/>
      <c r="E72" s="3223"/>
      <c r="F72" s="3223"/>
      <c r="G72" s="3224"/>
      <c r="H72" s="3229"/>
      <c r="I72" s="3229"/>
      <c r="J72" s="3229"/>
      <c r="K72" s="3229"/>
      <c r="L72" s="3229"/>
      <c r="M72" s="3229"/>
      <c r="N72" s="3229"/>
      <c r="O72" s="3229"/>
      <c r="P72" s="3229"/>
      <c r="Q72" s="3229"/>
      <c r="R72" s="3229"/>
      <c r="S72" s="3229"/>
    </row>
    <row r="73" spans="1:19" x14ac:dyDescent="0.35">
      <c r="A73" s="3035"/>
      <c r="B73" s="3031" t="s">
        <v>732</v>
      </c>
      <c r="C73" s="3032"/>
      <c r="D73" s="3032"/>
      <c r="E73" s="3032"/>
      <c r="F73" s="3032"/>
      <c r="G73" s="2198"/>
      <c r="H73" s="2158"/>
      <c r="I73" s="2158"/>
      <c r="J73" s="2158"/>
      <c r="K73" s="2158"/>
      <c r="L73" s="2158"/>
      <c r="M73" s="2158"/>
      <c r="N73" s="2158"/>
      <c r="O73" s="2158"/>
      <c r="P73" s="2158"/>
      <c r="Q73" s="2158"/>
      <c r="R73" s="2158"/>
      <c r="S73" s="2158"/>
    </row>
    <row r="74" spans="1:19" ht="15" thickBot="1" x14ac:dyDescent="0.4">
      <c r="A74" s="2089"/>
      <c r="B74" s="2090" t="s">
        <v>733</v>
      </c>
      <c r="C74" s="2091"/>
      <c r="D74" s="2091"/>
      <c r="E74" s="2091"/>
      <c r="F74" s="2091"/>
      <c r="G74" s="2092"/>
      <c r="H74" s="2093"/>
      <c r="I74" s="2093"/>
      <c r="J74" s="2093"/>
      <c r="K74" s="2093"/>
      <c r="L74" s="2093"/>
      <c r="M74" s="2093"/>
      <c r="N74" s="2093"/>
      <c r="O74" s="2093"/>
      <c r="P74" s="2093"/>
      <c r="Q74" s="2093"/>
      <c r="R74" s="2093"/>
      <c r="S74" s="2093"/>
    </row>
    <row r="75" spans="1:19" ht="15.5" thickTop="1" thickBot="1" x14ac:dyDescent="0.4">
      <c r="I75" s="2"/>
    </row>
    <row r="76" spans="1:19" ht="15.5" thickTop="1" thickBot="1" x14ac:dyDescent="0.4">
      <c r="A76" s="78" t="s">
        <v>734</v>
      </c>
      <c r="B76" s="80"/>
      <c r="I76" s="2"/>
    </row>
    <row r="77" spans="1:19" ht="15.5" thickTop="1" thickBot="1" x14ac:dyDescent="0.4">
      <c r="A77" s="79" t="s">
        <v>632</v>
      </c>
      <c r="B77" s="80"/>
      <c r="I77" s="2"/>
    </row>
    <row r="78" spans="1:19" ht="15" thickTop="1" x14ac:dyDescent="0.35">
      <c r="A78" s="3029" t="s">
        <v>636</v>
      </c>
      <c r="B78" s="2094"/>
      <c r="I78" s="2"/>
    </row>
    <row r="79" spans="1:19" x14ac:dyDescent="0.35">
      <c r="A79" s="2096" t="s">
        <v>639</v>
      </c>
      <c r="B79" s="2097"/>
      <c r="I79" s="2"/>
    </row>
    <row r="80" spans="1:19" x14ac:dyDescent="0.35">
      <c r="A80" s="2096" t="s">
        <v>642</v>
      </c>
      <c r="B80" s="2159"/>
      <c r="I80" s="2"/>
    </row>
    <row r="81" spans="1:9" ht="15" thickBot="1" x14ac:dyDescent="0.4">
      <c r="A81" s="2099" t="s">
        <v>735</v>
      </c>
      <c r="B81" s="2100"/>
      <c r="I81" s="2"/>
    </row>
    <row r="82" spans="1:9" ht="15" thickTop="1" x14ac:dyDescent="0.35">
      <c r="I82" s="2"/>
    </row>
    <row r="83" spans="1:9" x14ac:dyDescent="0.35">
      <c r="A83" s="81"/>
      <c r="B83" s="1" t="s">
        <v>736</v>
      </c>
      <c r="I83" s="2"/>
    </row>
    <row r="84" spans="1:9" x14ac:dyDescent="0.35">
      <c r="A84" s="82"/>
      <c r="B84" s="1" t="s">
        <v>737</v>
      </c>
      <c r="I84" s="2"/>
    </row>
  </sheetData>
  <mergeCells count="47">
    <mergeCell ref="A49:B49"/>
    <mergeCell ref="A53:B53"/>
    <mergeCell ref="A57:B57"/>
    <mergeCell ref="A61:B61"/>
    <mergeCell ref="A65:B65"/>
    <mergeCell ref="N4:O4"/>
    <mergeCell ref="N5:O5"/>
    <mergeCell ref="N6:O6"/>
    <mergeCell ref="N7:O7"/>
    <mergeCell ref="N8:O8"/>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J4:K4"/>
    <mergeCell ref="J5:K5"/>
    <mergeCell ref="J6:K6"/>
    <mergeCell ref="J7:K7"/>
    <mergeCell ref="J8:K8"/>
    <mergeCell ref="L4:M4"/>
    <mergeCell ref="L5:M5"/>
    <mergeCell ref="L6:M6"/>
    <mergeCell ref="L7:M7"/>
    <mergeCell ref="L8:M8"/>
    <mergeCell ref="P4:Q4"/>
    <mergeCell ref="P5:Q5"/>
    <mergeCell ref="P6:Q6"/>
    <mergeCell ref="P7:Q7"/>
    <mergeCell ref="P8:Q8"/>
    <mergeCell ref="R4:S4"/>
    <mergeCell ref="R5:S5"/>
    <mergeCell ref="R6:S6"/>
    <mergeCell ref="R7:S7"/>
    <mergeCell ref="R8:S8"/>
  </mergeCells>
  <conditionalFormatting sqref="H20:H30">
    <cfRule type="cellIs" dxfId="191" priority="23" operator="equal">
      <formula>"X"</formula>
    </cfRule>
    <cfRule type="cellIs" dxfId="190" priority="24" operator="equal">
      <formula>"I"</formula>
    </cfRule>
  </conditionalFormatting>
  <conditionalFormatting sqref="H32:H40">
    <cfRule type="cellIs" dxfId="189" priority="21" operator="equal">
      <formula>"X"</formula>
    </cfRule>
    <cfRule type="cellIs" dxfId="188" priority="22" operator="equal">
      <formula>"I"</formula>
    </cfRule>
  </conditionalFormatting>
  <conditionalFormatting sqref="J20:J30">
    <cfRule type="cellIs" dxfId="187" priority="19" operator="equal">
      <formula>"X"</formula>
    </cfRule>
    <cfRule type="cellIs" dxfId="186" priority="20" operator="equal">
      <formula>"I"</formula>
    </cfRule>
  </conditionalFormatting>
  <conditionalFormatting sqref="J32:J40">
    <cfRule type="cellIs" dxfId="185" priority="17" operator="equal">
      <formula>"X"</formula>
    </cfRule>
    <cfRule type="cellIs" dxfId="184" priority="18" operator="equal">
      <formula>"I"</formula>
    </cfRule>
  </conditionalFormatting>
  <conditionalFormatting sqref="L20:L30">
    <cfRule type="cellIs" dxfId="183" priority="13" operator="equal">
      <formula>"X"</formula>
    </cfRule>
    <cfRule type="cellIs" dxfId="182" priority="14" operator="equal">
      <formula>"I"</formula>
    </cfRule>
  </conditionalFormatting>
  <conditionalFormatting sqref="L32:L40">
    <cfRule type="cellIs" dxfId="181" priority="15" operator="equal">
      <formula>"X"</formula>
    </cfRule>
    <cfRule type="cellIs" dxfId="180" priority="16" operator="equal">
      <formula>"I"</formula>
    </cfRule>
  </conditionalFormatting>
  <conditionalFormatting sqref="N20:N30">
    <cfRule type="cellIs" dxfId="179" priority="11" operator="equal">
      <formula>"X"</formula>
    </cfRule>
    <cfRule type="cellIs" dxfId="178" priority="12" operator="equal">
      <formula>"I"</formula>
    </cfRule>
  </conditionalFormatting>
  <conditionalFormatting sqref="N32:N40">
    <cfRule type="cellIs" dxfId="177" priority="9" operator="equal">
      <formula>"X"</formula>
    </cfRule>
    <cfRule type="cellIs" dxfId="176" priority="10" operator="equal">
      <formula>"I"</formula>
    </cfRule>
  </conditionalFormatting>
  <conditionalFormatting sqref="P20:P30">
    <cfRule type="cellIs" dxfId="175" priority="5" operator="equal">
      <formula>"X"</formula>
    </cfRule>
    <cfRule type="cellIs" dxfId="174" priority="6" operator="equal">
      <formula>"I"</formula>
    </cfRule>
  </conditionalFormatting>
  <conditionalFormatting sqref="P32:P40">
    <cfRule type="cellIs" dxfId="173" priority="7" operator="equal">
      <formula>"X"</formula>
    </cfRule>
    <cfRule type="cellIs" dxfId="172" priority="8" operator="equal">
      <formula>"I"</formula>
    </cfRule>
  </conditionalFormatting>
  <conditionalFormatting sqref="R20:R30">
    <cfRule type="cellIs" dxfId="171" priority="3" operator="equal">
      <formula>"X"</formula>
    </cfRule>
    <cfRule type="cellIs" dxfId="170" priority="4" operator="equal">
      <formula>"I"</formula>
    </cfRule>
  </conditionalFormatting>
  <conditionalFormatting sqref="R32:R40">
    <cfRule type="cellIs" dxfId="169" priority="1" operator="equal">
      <formula>"X"</formula>
    </cfRule>
    <cfRule type="cellIs" dxfId="168" priority="2" operator="equal">
      <formula>"I"</formula>
    </cfRule>
  </conditionalFormatting>
  <hyperlinks>
    <hyperlink ref="B3" location="'Cost Summary'!A1" display="BACK TO SUMMARY SHEET" xr:uid="{48851F71-EC8B-4041-BB97-3F3A1835B586}"/>
  </hyperlinks>
  <pageMargins left="0.7" right="0.7" top="0.75" bottom="0.75" header="0.3" footer="0.3"/>
  <pageSetup scale="70" orientation="portrait" horizontalDpi="300" verticalDpi="30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EEF4-6A5C-41A4-9D39-F71197D5A58E}">
  <sheetPr>
    <tabColor rgb="FF92D050"/>
  </sheetPr>
  <dimension ref="A1:S84"/>
  <sheetViews>
    <sheetView zoomScaleNormal="100" workbookViewId="0">
      <pane xSplit="2" ySplit="9" topLeftCell="C25" activePane="bottomRight" state="frozen"/>
      <selection pane="topRight" activeCell="C1" sqref="C1"/>
      <selection pane="bottomLeft" activeCell="A10" sqref="A10"/>
      <selection pane="bottomRight" activeCell="B25" sqref="B25"/>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7.7265625" style="2" customWidth="1"/>
    <col min="7" max="7" width="12.26953125" style="2" customWidth="1"/>
    <col min="8" max="8" width="7.453125" style="2" bestFit="1" customWidth="1"/>
    <col min="9" max="9" width="14.81640625" style="51"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c r="M2" s="3751"/>
      <c r="N2" s="3751"/>
      <c r="O2" s="3751"/>
      <c r="P2" s="3751"/>
      <c r="Q2" s="3751"/>
      <c r="R2" s="3751"/>
      <c r="S2" s="3751"/>
    </row>
    <row r="3" spans="1:19" ht="18.5" x14ac:dyDescent="0.45">
      <c r="B3" s="126" t="s">
        <v>623</v>
      </c>
      <c r="E3" s="152"/>
      <c r="F3" s="124" t="s">
        <v>624</v>
      </c>
      <c r="G3" s="123" t="s">
        <v>557</v>
      </c>
      <c r="H3" s="3754" t="s">
        <v>625</v>
      </c>
      <c r="I3" s="3755"/>
      <c r="J3" s="4005" t="s">
        <v>626</v>
      </c>
      <c r="K3" s="3755"/>
      <c r="L3" s="3754" t="s">
        <v>627</v>
      </c>
      <c r="M3" s="3755"/>
      <c r="N3" s="3754" t="s">
        <v>628</v>
      </c>
      <c r="O3" s="3755"/>
      <c r="P3" s="3754" t="s">
        <v>629</v>
      </c>
      <c r="Q3" s="3755"/>
      <c r="R3" s="3754" t="s">
        <v>630</v>
      </c>
      <c r="S3" s="3755"/>
    </row>
    <row r="4" spans="1:19" x14ac:dyDescent="0.35">
      <c r="A4" s="3" t="s">
        <v>631</v>
      </c>
      <c r="B4" s="4" t="e">
        <f>#REF!</f>
        <v>#REF!</v>
      </c>
      <c r="C4" s="5"/>
      <c r="D4" s="5"/>
      <c r="E4" s="5"/>
      <c r="F4" s="5"/>
      <c r="G4" s="6" t="s">
        <v>632</v>
      </c>
      <c r="H4" s="3752"/>
      <c r="I4" s="3753"/>
      <c r="J4" s="3796"/>
      <c r="K4" s="3796"/>
      <c r="L4" s="3898"/>
      <c r="M4" s="3898"/>
      <c r="N4" s="3898"/>
      <c r="O4" s="3898"/>
      <c r="P4" s="3898"/>
      <c r="Q4" s="3898"/>
      <c r="R4" s="3796"/>
      <c r="S4" s="3753"/>
    </row>
    <row r="5" spans="1:19" x14ac:dyDescent="0.35">
      <c r="A5" s="3030" t="s">
        <v>634</v>
      </c>
      <c r="B5" s="3031" t="s">
        <v>3900</v>
      </c>
      <c r="C5" s="3032"/>
      <c r="D5" s="3032"/>
      <c r="E5" s="3032"/>
      <c r="F5" s="3032"/>
      <c r="G5" s="2194" t="s">
        <v>636</v>
      </c>
      <c r="H5" s="3992"/>
      <c r="I5" s="3932"/>
      <c r="J5" s="3933"/>
      <c r="K5" s="3933"/>
      <c r="L5" s="3950"/>
      <c r="M5" s="3950"/>
      <c r="N5" s="3950"/>
      <c r="O5" s="3950"/>
      <c r="P5" s="3950"/>
      <c r="Q5" s="3950"/>
      <c r="R5" s="3933"/>
      <c r="S5" s="3932"/>
    </row>
    <row r="6" spans="1:19" x14ac:dyDescent="0.35">
      <c r="A6" s="3030" t="s">
        <v>638</v>
      </c>
      <c r="B6" s="3033" t="s">
        <v>3901</v>
      </c>
      <c r="C6" s="3032"/>
      <c r="D6" s="3032"/>
      <c r="E6" s="3032"/>
      <c r="F6" s="3032"/>
      <c r="G6" s="2194" t="s">
        <v>639</v>
      </c>
      <c r="H6" s="3993"/>
      <c r="I6" s="3938"/>
      <c r="J6" s="3939"/>
      <c r="K6" s="3939"/>
      <c r="L6" s="3949"/>
      <c r="M6" s="3949"/>
      <c r="N6" s="3949"/>
      <c r="O6" s="3949"/>
      <c r="P6" s="3949"/>
      <c r="Q6" s="3949"/>
      <c r="R6" s="3939"/>
      <c r="S6" s="3938"/>
    </row>
    <row r="7" spans="1:19" x14ac:dyDescent="0.35">
      <c r="A7" s="3030" t="s">
        <v>641</v>
      </c>
      <c r="B7" s="3034"/>
      <c r="C7" s="3032"/>
      <c r="D7" s="3032"/>
      <c r="E7" s="3032"/>
      <c r="F7" s="3032"/>
      <c r="G7" s="2194" t="s">
        <v>642</v>
      </c>
      <c r="H7" s="3991"/>
      <c r="I7" s="3935"/>
      <c r="J7" s="3936"/>
      <c r="K7" s="3936"/>
      <c r="L7" s="3951"/>
      <c r="M7" s="3951"/>
      <c r="N7" s="3951"/>
      <c r="O7" s="3951"/>
      <c r="P7" s="3951"/>
      <c r="Q7" s="3951"/>
      <c r="R7" s="3936"/>
      <c r="S7" s="3935"/>
    </row>
    <row r="8" spans="1:19" x14ac:dyDescent="0.35">
      <c r="A8" s="938" t="s">
        <v>644</v>
      </c>
      <c r="B8" s="939"/>
      <c r="C8" s="940"/>
      <c r="D8" s="940"/>
      <c r="E8" s="940"/>
      <c r="F8" s="940"/>
      <c r="G8" s="1024" t="s">
        <v>644</v>
      </c>
      <c r="H8" s="3926">
        <f>I45</f>
        <v>0</v>
      </c>
      <c r="I8" s="3927"/>
      <c r="J8" s="3989">
        <f>K45</f>
        <v>0</v>
      </c>
      <c r="K8" s="3989"/>
      <c r="L8" s="3988">
        <f>M45</f>
        <v>0</v>
      </c>
      <c r="M8" s="3988"/>
      <c r="N8" s="3988">
        <f>O45</f>
        <v>0</v>
      </c>
      <c r="O8" s="3988"/>
      <c r="P8" s="3988">
        <f>Q45</f>
        <v>0</v>
      </c>
      <c r="Q8" s="3988"/>
      <c r="R8" s="3989">
        <f>S45</f>
        <v>0</v>
      </c>
      <c r="S8" s="3927"/>
    </row>
    <row r="9" spans="1:19" ht="29" x14ac:dyDescent="0.35">
      <c r="A9" s="7" t="s">
        <v>645</v>
      </c>
      <c r="B9" s="8"/>
      <c r="C9" s="9" t="s">
        <v>646</v>
      </c>
      <c r="D9" s="9" t="s">
        <v>647</v>
      </c>
      <c r="E9" s="9" t="s">
        <v>648</v>
      </c>
      <c r="F9" s="9" t="s">
        <v>649</v>
      </c>
      <c r="G9" s="10" t="s">
        <v>650</v>
      </c>
      <c r="H9" s="11" t="s">
        <v>651</v>
      </c>
      <c r="I9" s="49" t="s">
        <v>652</v>
      </c>
      <c r="J9" s="40" t="s">
        <v>651</v>
      </c>
      <c r="K9" s="11" t="s">
        <v>652</v>
      </c>
      <c r="L9" s="11" t="s">
        <v>651</v>
      </c>
      <c r="M9" s="11" t="s">
        <v>652</v>
      </c>
      <c r="N9" s="11" t="s">
        <v>651</v>
      </c>
      <c r="O9" s="11" t="s">
        <v>652</v>
      </c>
      <c r="P9" s="11" t="s">
        <v>651</v>
      </c>
      <c r="Q9" s="11" t="s">
        <v>652</v>
      </c>
      <c r="R9" s="11" t="s">
        <v>651</v>
      </c>
      <c r="S9" s="11" t="s">
        <v>652</v>
      </c>
    </row>
    <row r="10" spans="1:19" hidden="1" x14ac:dyDescent="0.35">
      <c r="A10" s="3035"/>
      <c r="B10" s="3230" t="s">
        <v>653</v>
      </c>
      <c r="C10" s="3032"/>
      <c r="D10" s="3032"/>
      <c r="E10" s="3032"/>
      <c r="F10" s="3032"/>
      <c r="G10" s="2198"/>
      <c r="H10" s="2107"/>
      <c r="I10" s="3148"/>
      <c r="J10" s="2107"/>
      <c r="K10" s="2107"/>
      <c r="L10" s="2107"/>
      <c r="M10" s="2107"/>
      <c r="N10" s="2107"/>
      <c r="O10" s="2107"/>
      <c r="P10" s="2107"/>
      <c r="Q10" s="2107"/>
      <c r="R10" s="2107"/>
      <c r="S10" s="2107"/>
    </row>
    <row r="11" spans="1:19" hidden="1" x14ac:dyDescent="0.35">
      <c r="A11" s="3035"/>
      <c r="B11" s="3031" t="e">
        <f>#REF!</f>
        <v>#REF!</v>
      </c>
      <c r="C11" s="3036" t="s">
        <v>654</v>
      </c>
      <c r="D11" s="3032"/>
      <c r="E11" s="3032"/>
      <c r="F11" s="3032"/>
      <c r="G11" s="2198"/>
      <c r="H11" s="2107"/>
      <c r="I11" s="3148"/>
      <c r="J11" s="2107"/>
      <c r="K11" s="2107"/>
      <c r="L11" s="2107"/>
      <c r="M11" s="2107"/>
      <c r="N11" s="2107"/>
      <c r="O11" s="2107"/>
      <c r="P11" s="2107"/>
      <c r="Q11" s="2107"/>
      <c r="R11" s="2107"/>
      <c r="S11" s="2107"/>
    </row>
    <row r="12" spans="1:19" hidden="1" x14ac:dyDescent="0.35">
      <c r="A12" s="3035"/>
      <c r="B12" s="3031" t="e">
        <f>#REF!</f>
        <v>#REF!</v>
      </c>
      <c r="C12" s="3036" t="s">
        <v>654</v>
      </c>
      <c r="D12" s="3032"/>
      <c r="E12" s="3032"/>
      <c r="F12" s="3032"/>
      <c r="G12" s="2198"/>
      <c r="H12" s="2107"/>
      <c r="I12" s="3148"/>
      <c r="J12" s="2107"/>
      <c r="K12" s="2107"/>
      <c r="L12" s="2107"/>
      <c r="M12" s="2107"/>
      <c r="N12" s="2107"/>
      <c r="O12" s="2107"/>
      <c r="P12" s="2107"/>
      <c r="Q12" s="2107"/>
      <c r="R12" s="2107"/>
      <c r="S12" s="2107"/>
    </row>
    <row r="13" spans="1:19" hidden="1" x14ac:dyDescent="0.35">
      <c r="A13" s="3035"/>
      <c r="B13" s="3031" t="e">
        <f>#REF!</f>
        <v>#REF!</v>
      </c>
      <c r="C13" s="3036" t="s">
        <v>654</v>
      </c>
      <c r="D13" s="3032"/>
      <c r="E13" s="3032"/>
      <c r="F13" s="3032"/>
      <c r="G13" s="2198"/>
      <c r="H13" s="2107"/>
      <c r="I13" s="3148"/>
      <c r="J13" s="2107"/>
      <c r="K13" s="2107"/>
      <c r="L13" s="2107"/>
      <c r="M13" s="2107"/>
      <c r="N13" s="2107"/>
      <c r="O13" s="2107"/>
      <c r="P13" s="2107"/>
      <c r="Q13" s="2107"/>
      <c r="R13" s="2107"/>
      <c r="S13" s="2107"/>
    </row>
    <row r="14" spans="1:19" hidden="1" x14ac:dyDescent="0.35">
      <c r="A14" s="3035"/>
      <c r="B14" s="3031" t="e">
        <f>#REF!</f>
        <v>#REF!</v>
      </c>
      <c r="C14" s="3036" t="s">
        <v>654</v>
      </c>
      <c r="D14" s="3032"/>
      <c r="E14" s="3032"/>
      <c r="F14" s="3032"/>
      <c r="G14" s="2198"/>
      <c r="H14" s="2107"/>
      <c r="I14" s="3148"/>
      <c r="J14" s="2107"/>
      <c r="K14" s="2107"/>
      <c r="L14" s="2107"/>
      <c r="M14" s="2107"/>
      <c r="N14" s="2107"/>
      <c r="O14" s="2107"/>
      <c r="P14" s="2107"/>
      <c r="Q14" s="2107"/>
      <c r="R14" s="2107"/>
      <c r="S14" s="2107"/>
    </row>
    <row r="15" spans="1:19" hidden="1" x14ac:dyDescent="0.35">
      <c r="A15" s="3035"/>
      <c r="B15" s="3031" t="e">
        <f>#REF!</f>
        <v>#REF!</v>
      </c>
      <c r="C15" s="3036" t="s">
        <v>654</v>
      </c>
      <c r="D15" s="3032"/>
      <c r="E15" s="3032"/>
      <c r="F15" s="3032"/>
      <c r="G15" s="2198"/>
      <c r="H15" s="2107"/>
      <c r="I15" s="3148"/>
      <c r="J15" s="2107"/>
      <c r="K15" s="2107"/>
      <c r="L15" s="2107"/>
      <c r="M15" s="2107"/>
      <c r="N15" s="2107"/>
      <c r="O15" s="2107"/>
      <c r="P15" s="2107"/>
      <c r="Q15" s="2107"/>
      <c r="R15" s="2107"/>
      <c r="S15" s="2107"/>
    </row>
    <row r="16" spans="1:19" hidden="1" x14ac:dyDescent="0.35">
      <c r="A16" s="3035"/>
      <c r="B16" s="3031" t="e">
        <f>#REF!</f>
        <v>#REF!</v>
      </c>
      <c r="C16" s="3036" t="s">
        <v>654</v>
      </c>
      <c r="D16" s="3032"/>
      <c r="E16" s="3032"/>
      <c r="F16" s="3032"/>
      <c r="G16" s="2198"/>
      <c r="H16" s="2107"/>
      <c r="I16" s="3148"/>
      <c r="J16" s="2107"/>
      <c r="K16" s="2107"/>
      <c r="L16" s="2107"/>
      <c r="M16" s="2107"/>
      <c r="N16" s="2107"/>
      <c r="O16" s="2107"/>
      <c r="P16" s="2107"/>
      <c r="Q16" s="2107"/>
      <c r="R16" s="2107"/>
      <c r="S16" s="2107"/>
    </row>
    <row r="17" spans="1:19" hidden="1" x14ac:dyDescent="0.35">
      <c r="A17" s="3035"/>
      <c r="B17" s="3031" t="e">
        <f>#REF!</f>
        <v>#REF!</v>
      </c>
      <c r="C17" s="3036" t="s">
        <v>654</v>
      </c>
      <c r="D17" s="3032"/>
      <c r="E17" s="3032"/>
      <c r="F17" s="3032"/>
      <c r="G17" s="2198"/>
      <c r="H17" s="2107"/>
      <c r="I17" s="3148"/>
      <c r="J17" s="2107"/>
      <c r="K17" s="2107"/>
      <c r="L17" s="2107"/>
      <c r="M17" s="2107"/>
      <c r="N17" s="2107"/>
      <c r="O17" s="2107"/>
      <c r="P17" s="2107"/>
      <c r="Q17" s="2107"/>
      <c r="R17" s="2107"/>
      <c r="S17" s="2107"/>
    </row>
    <row r="18" spans="1:19" hidden="1" x14ac:dyDescent="0.35">
      <c r="A18" s="3035"/>
      <c r="B18" s="3031" t="e">
        <f>#REF!</f>
        <v>#REF!</v>
      </c>
      <c r="C18" s="3036" t="s">
        <v>654</v>
      </c>
      <c r="D18" s="3032"/>
      <c r="E18" s="3032"/>
      <c r="F18" s="3032"/>
      <c r="G18" s="2198"/>
      <c r="H18" s="2107"/>
      <c r="I18" s="3148"/>
      <c r="J18" s="2107"/>
      <c r="K18" s="2107"/>
      <c r="L18" s="2107"/>
      <c r="M18" s="2107"/>
      <c r="N18" s="2107"/>
      <c r="O18" s="2107"/>
      <c r="P18" s="2107"/>
      <c r="Q18" s="2107"/>
      <c r="R18" s="2107"/>
      <c r="S18" s="2107"/>
    </row>
    <row r="19" spans="1:19" ht="14.5" hidden="1" customHeight="1" x14ac:dyDescent="0.35">
      <c r="A19" s="3035"/>
      <c r="B19" s="3031" t="e">
        <f>#REF!</f>
        <v>#REF!</v>
      </c>
      <c r="C19" s="3036" t="s">
        <v>654</v>
      </c>
      <c r="D19" s="3032"/>
      <c r="E19" s="3032"/>
      <c r="F19" s="3032"/>
      <c r="G19" s="2198"/>
      <c r="H19" s="2107"/>
      <c r="I19" s="3148"/>
      <c r="J19" s="2107"/>
      <c r="K19" s="2107"/>
      <c r="L19" s="2107"/>
      <c r="M19" s="2107"/>
      <c r="N19" s="2107"/>
      <c r="O19" s="2107"/>
      <c r="P19" s="2107"/>
      <c r="Q19" s="2107"/>
      <c r="R19" s="2107"/>
      <c r="S19" s="2107"/>
    </row>
    <row r="20" spans="1:19" x14ac:dyDescent="0.35">
      <c r="A20" s="138"/>
      <c r="B20" s="44"/>
      <c r="C20" s="139"/>
      <c r="D20" s="139"/>
      <c r="E20" s="139"/>
      <c r="F20" s="139"/>
      <c r="G20" s="140"/>
      <c r="H20" s="2109"/>
      <c r="I20" s="3231"/>
      <c r="J20" s="2109"/>
      <c r="K20" s="3232"/>
      <c r="L20" s="2109"/>
      <c r="M20" s="3232"/>
      <c r="N20" s="2109"/>
      <c r="O20" s="3232"/>
      <c r="P20" s="2109"/>
      <c r="Q20" s="3232"/>
      <c r="R20" s="2109"/>
      <c r="S20" s="3232"/>
    </row>
    <row r="21" spans="1:19" x14ac:dyDescent="0.35">
      <c r="A21" s="3233"/>
      <c r="B21" s="3037" t="s">
        <v>3900</v>
      </c>
      <c r="C21" s="3036"/>
      <c r="D21" s="3032"/>
      <c r="E21" s="3032"/>
      <c r="F21" s="3032"/>
      <c r="G21" s="2198"/>
      <c r="H21" s="2109"/>
      <c r="I21" s="3208"/>
      <c r="J21" s="2109"/>
      <c r="K21" s="3184"/>
      <c r="L21" s="2109"/>
      <c r="M21" s="2276"/>
      <c r="N21" s="2109"/>
      <c r="O21" s="2276"/>
      <c r="P21" s="2109"/>
      <c r="Q21" s="2276"/>
      <c r="R21" s="2109"/>
      <c r="S21" s="2276"/>
    </row>
    <row r="22" spans="1:19" x14ac:dyDescent="0.35">
      <c r="A22" s="3233"/>
      <c r="B22" s="606" t="s">
        <v>657</v>
      </c>
      <c r="C22" s="3036"/>
      <c r="D22" s="3032"/>
      <c r="E22" s="3032"/>
      <c r="F22" s="3032"/>
      <c r="G22" s="2198"/>
      <c r="H22" s="2109"/>
      <c r="I22" s="3210"/>
      <c r="J22" s="2109"/>
      <c r="K22" s="3211"/>
      <c r="L22" s="2109"/>
      <c r="M22" s="3212"/>
      <c r="N22" s="2109"/>
      <c r="O22" s="3212"/>
      <c r="P22" s="2109"/>
      <c r="Q22" s="3212"/>
      <c r="R22" s="2109"/>
      <c r="S22" s="3212"/>
    </row>
    <row r="23" spans="1:19" x14ac:dyDescent="0.35">
      <c r="A23" s="3233"/>
      <c r="B23" s="3209" t="s">
        <v>658</v>
      </c>
      <c r="C23" s="3036"/>
      <c r="D23" s="3032"/>
      <c r="E23" s="3032"/>
      <c r="F23" s="3032"/>
      <c r="G23" s="2198"/>
      <c r="H23" s="2109"/>
      <c r="I23" s="3210"/>
      <c r="J23" s="2109"/>
      <c r="K23" s="3211"/>
      <c r="L23" s="2109"/>
      <c r="M23" s="3212"/>
      <c r="N23" s="2109"/>
      <c r="O23" s="3212"/>
      <c r="P23" s="2109"/>
      <c r="Q23" s="3212"/>
      <c r="R23" s="2109"/>
      <c r="S23" s="3212"/>
    </row>
    <row r="24" spans="1:19" x14ac:dyDescent="0.35">
      <c r="A24" s="3233"/>
      <c r="B24" s="3209" t="s">
        <v>659</v>
      </c>
      <c r="C24" s="3036"/>
      <c r="D24" s="3032"/>
      <c r="E24" s="3032"/>
      <c r="F24" s="3032"/>
      <c r="G24" s="2198"/>
      <c r="H24" s="2109"/>
      <c r="I24" s="3211"/>
      <c r="J24" s="2109"/>
      <c r="K24" s="3211"/>
      <c r="L24" s="2109"/>
      <c r="M24" s="3212"/>
      <c r="N24" s="2109"/>
      <c r="O24" s="3212"/>
      <c r="P24" s="2109"/>
      <c r="Q24" s="3212"/>
      <c r="R24" s="2109"/>
      <c r="S24" s="3212"/>
    </row>
    <row r="25" spans="1:19" x14ac:dyDescent="0.35">
      <c r="A25" s="3233"/>
      <c r="B25" s="3213" t="s">
        <v>660</v>
      </c>
      <c r="C25" s="3036"/>
      <c r="D25" s="3032"/>
      <c r="E25" s="3032"/>
      <c r="F25" s="3032"/>
      <c r="G25" s="2198"/>
      <c r="H25" s="2109"/>
      <c r="I25" s="3211"/>
      <c r="J25" s="2109"/>
      <c r="K25" s="3211"/>
      <c r="L25" s="2109"/>
      <c r="M25" s="3212"/>
      <c r="N25" s="2109"/>
      <c r="O25" s="3211"/>
      <c r="P25" s="2109"/>
      <c r="Q25" s="3212"/>
      <c r="R25" s="2109"/>
      <c r="S25" s="3212"/>
    </row>
    <row r="26" spans="1:19" x14ac:dyDescent="0.35">
      <c r="A26" s="3233"/>
      <c r="B26" s="3213" t="s">
        <v>661</v>
      </c>
      <c r="C26" s="3036"/>
      <c r="D26" s="3032"/>
      <c r="E26" s="3032"/>
      <c r="F26" s="3032"/>
      <c r="G26" s="2198"/>
      <c r="H26" s="2109"/>
      <c r="I26" s="3211"/>
      <c r="J26" s="2109"/>
      <c r="K26" s="3211"/>
      <c r="L26" s="2109"/>
      <c r="M26" s="3212"/>
      <c r="N26" s="2109"/>
      <c r="O26" s="3211"/>
      <c r="P26" s="2109"/>
      <c r="Q26" s="3212"/>
      <c r="R26" s="2109"/>
      <c r="S26" s="3212"/>
    </row>
    <row r="27" spans="1:19" x14ac:dyDescent="0.35">
      <c r="A27" s="3233"/>
      <c r="B27" s="3213" t="s">
        <v>662</v>
      </c>
      <c r="C27" s="3036"/>
      <c r="D27" s="3032"/>
      <c r="E27" s="3032"/>
      <c r="F27" s="3032"/>
      <c r="G27" s="2198"/>
      <c r="H27" s="2109"/>
      <c r="I27" s="3211"/>
      <c r="J27" s="2109"/>
      <c r="K27" s="3211"/>
      <c r="L27" s="2109"/>
      <c r="M27" s="3212"/>
      <c r="N27" s="2109"/>
      <c r="O27" s="3211"/>
      <c r="P27" s="2109"/>
      <c r="Q27" s="3212"/>
      <c r="R27" s="2109"/>
      <c r="S27" s="3212"/>
    </row>
    <row r="28" spans="1:19" x14ac:dyDescent="0.35">
      <c r="A28" s="3233"/>
      <c r="B28" s="3213" t="s">
        <v>663</v>
      </c>
      <c r="C28" s="3036"/>
      <c r="D28" s="3032"/>
      <c r="E28" s="3032"/>
      <c r="F28" s="3032"/>
      <c r="G28" s="2198"/>
      <c r="H28" s="2109"/>
      <c r="I28" s="3211"/>
      <c r="J28" s="2109"/>
      <c r="K28" s="3211"/>
      <c r="L28" s="2109"/>
      <c r="M28" s="3212"/>
      <c r="N28" s="2109"/>
      <c r="O28" s="3211"/>
      <c r="P28" s="2109"/>
      <c r="Q28" s="3212"/>
      <c r="R28" s="2109"/>
      <c r="S28" s="3212"/>
    </row>
    <row r="29" spans="1:19" x14ac:dyDescent="0.35">
      <c r="A29" s="3233"/>
      <c r="B29" s="3213" t="s">
        <v>742</v>
      </c>
      <c r="C29" s="3036"/>
      <c r="D29" s="3032"/>
      <c r="E29" s="3032"/>
      <c r="F29" s="3032"/>
      <c r="G29" s="2198"/>
      <c r="H29" s="2109"/>
      <c r="I29" s="3211"/>
      <c r="J29" s="2109"/>
      <c r="K29" s="3211"/>
      <c r="L29" s="2109"/>
      <c r="M29" s="3212"/>
      <c r="N29" s="2109"/>
      <c r="O29" s="3211"/>
      <c r="P29" s="2109"/>
      <c r="Q29" s="3212"/>
      <c r="R29" s="2109"/>
      <c r="S29" s="3212"/>
    </row>
    <row r="30" spans="1:19" x14ac:dyDescent="0.35">
      <c r="A30" s="3233"/>
      <c r="B30" s="3214" t="s">
        <v>664</v>
      </c>
      <c r="C30" s="3036"/>
      <c r="D30" s="3032"/>
      <c r="E30" s="3032"/>
      <c r="F30" s="3032"/>
      <c r="G30" s="2198"/>
      <c r="H30" s="2109"/>
      <c r="I30" s="3210"/>
      <c r="J30" s="2109"/>
      <c r="K30" s="3211"/>
      <c r="L30" s="2109"/>
      <c r="M30" s="3212"/>
      <c r="N30" s="2109"/>
      <c r="O30" s="3211"/>
      <c r="P30" s="2109"/>
      <c r="Q30" s="3212"/>
      <c r="R30" s="2109"/>
      <c r="S30" s="3212"/>
    </row>
    <row r="31" spans="1:19" x14ac:dyDescent="0.35">
      <c r="A31" s="3233"/>
      <c r="B31" s="3215" t="s">
        <v>665</v>
      </c>
      <c r="C31" s="3216"/>
      <c r="D31" s="3039"/>
      <c r="E31" s="3039"/>
      <c r="F31" s="3039"/>
      <c r="G31" s="2945"/>
      <c r="H31" s="3217"/>
      <c r="I31" s="3218"/>
      <c r="J31" s="3218"/>
      <c r="K31" s="3218"/>
      <c r="L31" s="3219"/>
      <c r="M31" s="3220"/>
      <c r="N31" s="3218"/>
      <c r="O31" s="3218"/>
      <c r="P31" s="3218"/>
      <c r="Q31" s="3218"/>
      <c r="R31" s="2288"/>
      <c r="S31" s="3220"/>
    </row>
    <row r="32" spans="1:19" x14ac:dyDescent="0.35">
      <c r="A32" s="3234"/>
      <c r="B32" s="1294"/>
      <c r="C32" s="3235"/>
      <c r="D32" s="3236"/>
      <c r="E32" s="3236"/>
      <c r="F32" s="3032"/>
      <c r="G32" s="2198"/>
      <c r="H32" s="2109"/>
      <c r="I32" s="3211"/>
      <c r="J32" s="2109"/>
      <c r="K32" s="3210"/>
      <c r="L32" s="2109"/>
      <c r="M32" s="3237"/>
      <c r="N32" s="2109"/>
      <c r="O32" s="3237"/>
      <c r="P32" s="2109"/>
      <c r="Q32" s="3237"/>
      <c r="R32" s="2109"/>
      <c r="S32" s="3237"/>
    </row>
    <row r="33" spans="1:19" x14ac:dyDescent="0.35">
      <c r="A33" s="3234"/>
      <c r="B33" s="1294"/>
      <c r="C33" s="3238"/>
      <c r="D33" s="1295"/>
      <c r="E33" s="1295"/>
      <c r="F33" s="940"/>
      <c r="G33" s="1039"/>
      <c r="H33" s="2109"/>
      <c r="I33" s="3211"/>
      <c r="J33" s="2109"/>
      <c r="K33" s="3239"/>
      <c r="L33" s="2109"/>
      <c r="M33" s="3237"/>
      <c r="N33" s="2109"/>
      <c r="O33" s="3237"/>
      <c r="P33" s="2109"/>
      <c r="Q33" s="3237"/>
      <c r="R33" s="2109"/>
      <c r="S33" s="3237"/>
    </row>
    <row r="34" spans="1:19" x14ac:dyDescent="0.35">
      <c r="A34" s="3234"/>
      <c r="B34" s="1294"/>
      <c r="C34" s="3238"/>
      <c r="D34" s="1295"/>
      <c r="E34" s="1295"/>
      <c r="F34" s="940"/>
      <c r="G34" s="1039"/>
      <c r="H34" s="2109"/>
      <c r="I34" s="3211"/>
      <c r="J34" s="2109"/>
      <c r="K34" s="3239"/>
      <c r="L34" s="2109"/>
      <c r="M34" s="3237"/>
      <c r="N34" s="2109"/>
      <c r="O34" s="3237"/>
      <c r="P34" s="2109"/>
      <c r="Q34" s="3237"/>
      <c r="R34" s="2109"/>
      <c r="S34" s="3237"/>
    </row>
    <row r="35" spans="1:19" x14ac:dyDescent="0.35">
      <c r="A35" s="3234"/>
      <c r="B35" s="1294"/>
      <c r="C35" s="3238"/>
      <c r="D35" s="1295"/>
      <c r="E35" s="1295"/>
      <c r="F35" s="940"/>
      <c r="G35" s="1039"/>
      <c r="H35" s="2109"/>
      <c r="I35" s="3211"/>
      <c r="J35" s="2109"/>
      <c r="K35" s="3239"/>
      <c r="L35" s="2109"/>
      <c r="M35" s="3237"/>
      <c r="N35" s="2109"/>
      <c r="O35" s="3237"/>
      <c r="P35" s="2109"/>
      <c r="Q35" s="3237"/>
      <c r="R35" s="2109"/>
      <c r="S35" s="3237"/>
    </row>
    <row r="36" spans="1:19" x14ac:dyDescent="0.35">
      <c r="A36" s="3234"/>
      <c r="B36" s="1294"/>
      <c r="C36" s="3238"/>
      <c r="D36" s="1295"/>
      <c r="E36" s="1295"/>
      <c r="F36" s="940"/>
      <c r="G36" s="1039"/>
      <c r="H36" s="2109"/>
      <c r="I36" s="3211"/>
      <c r="J36" s="2109"/>
      <c r="K36" s="3239"/>
      <c r="L36" s="2109"/>
      <c r="M36" s="3237"/>
      <c r="N36" s="2109"/>
      <c r="O36" s="3237"/>
      <c r="P36" s="2109"/>
      <c r="Q36" s="3237"/>
      <c r="R36" s="2109"/>
      <c r="S36" s="3237"/>
    </row>
    <row r="37" spans="1:19" x14ac:dyDescent="0.35">
      <c r="A37" s="3234"/>
      <c r="B37" s="1294"/>
      <c r="C37" s="3238"/>
      <c r="D37" s="1295"/>
      <c r="E37" s="1295"/>
      <c r="F37" s="940"/>
      <c r="G37" s="1039"/>
      <c r="H37" s="2109"/>
      <c r="I37" s="3211"/>
      <c r="J37" s="2109"/>
      <c r="K37" s="3239"/>
      <c r="L37" s="2109"/>
      <c r="M37" s="3237"/>
      <c r="N37" s="2109"/>
      <c r="O37" s="3237"/>
      <c r="P37" s="2109"/>
      <c r="Q37" s="3237"/>
      <c r="R37" s="2109"/>
      <c r="S37" s="3237"/>
    </row>
    <row r="38" spans="1:19" x14ac:dyDescent="0.35">
      <c r="A38" s="3234"/>
      <c r="B38" s="1294"/>
      <c r="C38" s="3238"/>
      <c r="D38" s="1295"/>
      <c r="E38" s="1295"/>
      <c r="F38" s="940"/>
      <c r="G38" s="1039"/>
      <c r="H38" s="2109"/>
      <c r="I38" s="3211"/>
      <c r="J38" s="2109"/>
      <c r="K38" s="3239"/>
      <c r="L38" s="2109"/>
      <c r="M38" s="3237"/>
      <c r="N38" s="2109"/>
      <c r="O38" s="3237"/>
      <c r="P38" s="2109"/>
      <c r="Q38" s="3237"/>
      <c r="R38" s="2109"/>
      <c r="S38" s="3237"/>
    </row>
    <row r="39" spans="1:19" x14ac:dyDescent="0.35">
      <c r="A39" s="3234"/>
      <c r="B39" s="1294"/>
      <c r="C39" s="3238"/>
      <c r="D39" s="1295"/>
      <c r="E39" s="1295"/>
      <c r="F39" s="940"/>
      <c r="G39" s="1039"/>
      <c r="H39" s="2109"/>
      <c r="I39" s="3211"/>
      <c r="J39" s="2109"/>
      <c r="K39" s="3239"/>
      <c r="L39" s="2109"/>
      <c r="M39" s="3237"/>
      <c r="N39" s="2109"/>
      <c r="O39" s="3237"/>
      <c r="P39" s="2109"/>
      <c r="Q39" s="3237"/>
      <c r="R39" s="2109"/>
      <c r="S39" s="3237"/>
    </row>
    <row r="40" spans="1:19" x14ac:dyDescent="0.35">
      <c r="A40" s="3234"/>
      <c r="B40" s="1294"/>
      <c r="C40" s="3238"/>
      <c r="D40" s="1295"/>
      <c r="E40" s="1295"/>
      <c r="F40" s="940"/>
      <c r="G40" s="1039"/>
      <c r="H40" s="2109"/>
      <c r="I40" s="3211"/>
      <c r="J40" s="2109"/>
      <c r="K40" s="3237"/>
      <c r="L40" s="2109"/>
      <c r="M40" s="3211"/>
      <c r="N40" s="2109"/>
      <c r="O40" s="3212"/>
      <c r="P40" s="2109"/>
      <c r="Q40" s="3212"/>
      <c r="R40" s="2109"/>
      <c r="S40" s="3212"/>
    </row>
    <row r="41" spans="1:19" x14ac:dyDescent="0.35">
      <c r="A41" s="14"/>
      <c r="B41" s="15"/>
      <c r="C41" s="16"/>
      <c r="D41" s="16"/>
      <c r="E41" s="17"/>
      <c r="F41" s="18" t="s">
        <v>715</v>
      </c>
      <c r="G41" s="19"/>
      <c r="H41" s="20"/>
      <c r="I41" s="50">
        <f>SUM(I24:I40)</f>
        <v>0</v>
      </c>
      <c r="J41" s="20"/>
      <c r="K41" s="50">
        <f>SUM(K24:K40)</f>
        <v>0</v>
      </c>
      <c r="L41" s="20"/>
      <c r="M41" s="50">
        <f>SUM(M24:M40)</f>
        <v>0</v>
      </c>
      <c r="N41" s="20"/>
      <c r="O41" s="50">
        <f>SUM(O24:O40)</f>
        <v>0</v>
      </c>
      <c r="P41" s="20"/>
      <c r="Q41" s="50">
        <f>SUM(Q24:Q40)</f>
        <v>0</v>
      </c>
      <c r="R41" s="20"/>
      <c r="S41" s="50">
        <f>SUM(S24:S40)</f>
        <v>0</v>
      </c>
    </row>
    <row r="42" spans="1:19" x14ac:dyDescent="0.35">
      <c r="A42" s="2973"/>
      <c r="B42" s="2974"/>
      <c r="C42" s="2975"/>
      <c r="D42" s="2975"/>
      <c r="E42" s="2976"/>
      <c r="F42" s="2977" t="s">
        <v>716</v>
      </c>
      <c r="G42" s="2244"/>
      <c r="H42" s="2065">
        <v>0</v>
      </c>
      <c r="I42" s="2064"/>
      <c r="J42" s="2065">
        <v>0</v>
      </c>
      <c r="K42" s="2064"/>
      <c r="L42" s="2065">
        <v>0</v>
      </c>
      <c r="M42" s="2064"/>
      <c r="N42" s="2065">
        <v>0</v>
      </c>
      <c r="O42" s="2064"/>
      <c r="P42" s="2065">
        <v>0</v>
      </c>
      <c r="Q42" s="2064"/>
      <c r="R42" s="2065">
        <v>0</v>
      </c>
      <c r="S42" s="2064"/>
    </row>
    <row r="43" spans="1:19" x14ac:dyDescent="0.35">
      <c r="A43" s="2973"/>
      <c r="B43" s="2974"/>
      <c r="C43" s="2975"/>
      <c r="D43" s="2975"/>
      <c r="E43" s="2976"/>
      <c r="F43" s="2977" t="s">
        <v>717</v>
      </c>
      <c r="G43" s="2244"/>
      <c r="H43" s="2066"/>
      <c r="I43" s="2067">
        <f>I41*H42</f>
        <v>0</v>
      </c>
      <c r="J43" s="2066"/>
      <c r="K43" s="2067">
        <f>K41*J42</f>
        <v>0</v>
      </c>
      <c r="L43" s="2066"/>
      <c r="M43" s="2067">
        <f>M41*L42</f>
        <v>0</v>
      </c>
      <c r="N43" s="2066"/>
      <c r="O43" s="2067">
        <f>O41*N42</f>
        <v>0</v>
      </c>
      <c r="P43" s="2066"/>
      <c r="Q43" s="2067">
        <f>Q41*P42</f>
        <v>0</v>
      </c>
      <c r="R43" s="2066"/>
      <c r="S43" s="2067">
        <f>S41*R42</f>
        <v>0</v>
      </c>
    </row>
    <row r="44" spans="1:19" x14ac:dyDescent="0.35">
      <c r="A44" s="2973"/>
      <c r="B44" s="2974"/>
      <c r="C44" s="2975"/>
      <c r="D44" s="2975"/>
      <c r="E44" s="2976"/>
      <c r="F44" s="2977"/>
      <c r="G44" s="2244"/>
      <c r="H44" s="2066"/>
      <c r="I44" s="2068"/>
      <c r="J44" s="2066"/>
      <c r="K44" s="2068"/>
      <c r="L44" s="2066"/>
      <c r="M44" s="2068"/>
      <c r="N44" s="2066"/>
      <c r="O44" s="2068"/>
      <c r="P44" s="2066"/>
      <c r="Q44" s="2068"/>
      <c r="R44" s="2066"/>
      <c r="S44" s="2068"/>
    </row>
    <row r="45" spans="1:19" x14ac:dyDescent="0.35">
      <c r="A45" s="2973"/>
      <c r="B45" s="2974"/>
      <c r="C45" s="2975"/>
      <c r="D45" s="2975"/>
      <c r="E45" s="2976"/>
      <c r="F45" s="2977" t="s">
        <v>718</v>
      </c>
      <c r="G45" s="2244"/>
      <c r="H45" s="2069"/>
      <c r="I45" s="2070">
        <f>SUM(I41:I43)</f>
        <v>0</v>
      </c>
      <c r="J45" s="2069"/>
      <c r="K45" s="2070">
        <f>SUM(K41:K43)</f>
        <v>0</v>
      </c>
      <c r="L45" s="2069"/>
      <c r="M45" s="2070">
        <f>SUM(M41:M43)</f>
        <v>0</v>
      </c>
      <c r="N45" s="2069"/>
      <c r="O45" s="2070">
        <f>SUM(O41:O43)</f>
        <v>0</v>
      </c>
      <c r="P45" s="2069"/>
      <c r="Q45" s="2070">
        <f>SUM(Q41:Q43)</f>
        <v>0</v>
      </c>
      <c r="R45" s="2069"/>
      <c r="S45" s="2070">
        <f>SUM(S41:S43)</f>
        <v>0</v>
      </c>
    </row>
    <row r="46" spans="1:19" x14ac:dyDescent="0.35">
      <c r="A46" s="2973"/>
      <c r="B46" s="2974"/>
      <c r="C46" s="2975"/>
      <c r="D46" s="2975"/>
      <c r="E46" s="2976"/>
      <c r="F46" s="2991" t="s">
        <v>719</v>
      </c>
      <c r="G46" s="2256"/>
      <c r="H46" s="2073"/>
      <c r="I46" s="2074" t="e">
        <f>I45/#REF!</f>
        <v>#REF!</v>
      </c>
      <c r="J46" s="2073"/>
      <c r="K46" s="2074" t="e">
        <f>K45/#REF!</f>
        <v>#REF!</v>
      </c>
      <c r="L46" s="2073"/>
      <c r="M46" s="2074" t="e">
        <f>M45/#REF!</f>
        <v>#REF!</v>
      </c>
      <c r="N46" s="2073"/>
      <c r="O46" s="2074" t="e">
        <f>O45/#REF!</f>
        <v>#REF!</v>
      </c>
      <c r="P46" s="2073"/>
      <c r="Q46" s="2074" t="e">
        <f>Q45/#REF!</f>
        <v>#REF!</v>
      </c>
      <c r="R46" s="2073"/>
      <c r="S46" s="2074" t="e">
        <f>S45/#REF!</f>
        <v>#REF!</v>
      </c>
    </row>
    <row r="47" spans="1:19" x14ac:dyDescent="0.35">
      <c r="A47" s="2973"/>
      <c r="B47" s="2974"/>
      <c r="C47" s="2975"/>
      <c r="D47" s="2975"/>
      <c r="E47" s="2976"/>
      <c r="F47" s="2991" t="s">
        <v>720</v>
      </c>
      <c r="G47" s="2260"/>
      <c r="H47" s="2073"/>
      <c r="I47" s="2074" t="e">
        <f>I45/#REF!</f>
        <v>#REF!</v>
      </c>
      <c r="J47" s="2073"/>
      <c r="K47" s="2074" t="e">
        <f>K45/#REF!</f>
        <v>#REF!</v>
      </c>
      <c r="L47" s="2073"/>
      <c r="M47" s="2074" t="e">
        <f>M45/#REF!</f>
        <v>#REF!</v>
      </c>
      <c r="N47" s="2073"/>
      <c r="O47" s="2074" t="e">
        <f>O45/#REF!</f>
        <v>#REF!</v>
      </c>
      <c r="P47" s="2073"/>
      <c r="Q47" s="2074" t="e">
        <f>Q45/#REF!</f>
        <v>#REF!</v>
      </c>
      <c r="R47" s="2073"/>
      <c r="S47" s="2074" t="e">
        <f>S45/#REF!</f>
        <v>#REF!</v>
      </c>
    </row>
    <row r="48" spans="1:19" x14ac:dyDescent="0.35">
      <c r="A48" s="2973"/>
      <c r="B48" s="2974"/>
      <c r="C48" s="2975"/>
      <c r="D48" s="2975"/>
      <c r="E48" s="2976"/>
      <c r="F48" s="2977"/>
      <c r="G48" s="2244"/>
      <c r="H48" s="2079"/>
      <c r="I48" s="2080"/>
      <c r="J48" s="2079"/>
      <c r="K48" s="2080"/>
      <c r="L48" s="2079"/>
      <c r="M48" s="2080"/>
      <c r="N48" s="2079"/>
      <c r="O48" s="2080"/>
      <c r="P48" s="2079"/>
      <c r="Q48" s="2080"/>
      <c r="R48" s="2079"/>
      <c r="S48" s="2080"/>
    </row>
    <row r="49" spans="1:19" x14ac:dyDescent="0.35">
      <c r="A49" s="3764" t="s">
        <v>721</v>
      </c>
      <c r="B49" s="3765"/>
      <c r="C49" s="12"/>
      <c r="D49" s="12"/>
      <c r="E49" s="12"/>
      <c r="F49" s="12"/>
      <c r="G49" s="13"/>
      <c r="H49" s="21"/>
      <c r="I49" s="21"/>
      <c r="J49" s="21"/>
      <c r="K49" s="21"/>
      <c r="L49" s="21"/>
      <c r="M49" s="21"/>
      <c r="N49" s="21"/>
      <c r="O49" s="21"/>
      <c r="P49" s="21"/>
      <c r="Q49" s="21"/>
      <c r="R49" s="21"/>
      <c r="S49" s="21"/>
    </row>
    <row r="50" spans="1:19" x14ac:dyDescent="0.35">
      <c r="A50" s="3222"/>
      <c r="B50" s="3031"/>
      <c r="C50" s="3223"/>
      <c r="D50" s="3223"/>
      <c r="E50" s="3223"/>
      <c r="F50" s="3223"/>
      <c r="G50" s="3224"/>
      <c r="H50" s="3225"/>
      <c r="I50" s="3225"/>
      <c r="J50" s="3225"/>
      <c r="K50" s="3225"/>
      <c r="L50" s="3225"/>
      <c r="M50" s="3225"/>
      <c r="N50" s="3225"/>
      <c r="O50" s="3225"/>
      <c r="P50" s="3225"/>
      <c r="Q50" s="3225"/>
      <c r="R50" s="3225"/>
      <c r="S50" s="3225"/>
    </row>
    <row r="51" spans="1:19" s="2" customFormat="1" x14ac:dyDescent="0.35">
      <c r="A51" s="3222"/>
      <c r="B51" s="3031"/>
      <c r="C51" s="3223"/>
      <c r="D51" s="3223"/>
      <c r="E51" s="3223"/>
      <c r="F51" s="3223"/>
      <c r="G51" s="3224"/>
      <c r="H51" s="3225"/>
      <c r="I51" s="3225"/>
      <c r="J51" s="3225"/>
      <c r="K51" s="3225"/>
      <c r="L51" s="3225"/>
      <c r="M51" s="3225"/>
      <c r="N51" s="3225"/>
      <c r="O51" s="3225"/>
      <c r="P51" s="3225"/>
      <c r="Q51" s="3225"/>
      <c r="R51" s="3225"/>
      <c r="S51" s="3225"/>
    </row>
    <row r="52" spans="1:19" s="2" customFormat="1" x14ac:dyDescent="0.35">
      <c r="A52" s="3222"/>
      <c r="B52" s="3031"/>
      <c r="C52" s="3223"/>
      <c r="D52" s="3223"/>
      <c r="E52" s="3223"/>
      <c r="F52" s="3223"/>
      <c r="G52" s="3224"/>
      <c r="H52" s="3225"/>
      <c r="I52" s="3225"/>
      <c r="J52" s="3225"/>
      <c r="K52" s="3225"/>
      <c r="L52" s="3225"/>
      <c r="M52" s="3225"/>
      <c r="N52" s="3225"/>
      <c r="O52" s="3225"/>
      <c r="P52" s="3225"/>
      <c r="Q52" s="3225"/>
      <c r="R52" s="3225"/>
      <c r="S52" s="3225"/>
    </row>
    <row r="53" spans="1:19" s="2" customFormat="1" x14ac:dyDescent="0.35">
      <c r="A53" s="3764" t="s">
        <v>722</v>
      </c>
      <c r="B53" s="3765"/>
      <c r="C53" s="12"/>
      <c r="D53" s="12"/>
      <c r="E53" s="12"/>
      <c r="F53" s="12"/>
      <c r="G53" s="13"/>
      <c r="H53" s="21"/>
      <c r="I53" s="21"/>
      <c r="J53" s="21"/>
      <c r="K53" s="21"/>
      <c r="L53" s="21"/>
      <c r="M53" s="21"/>
      <c r="N53" s="21"/>
      <c r="O53" s="21"/>
      <c r="P53" s="21"/>
      <c r="Q53" s="21"/>
      <c r="R53" s="21"/>
      <c r="S53" s="21"/>
    </row>
    <row r="54" spans="1:19" s="2" customFormat="1" x14ac:dyDescent="0.35">
      <c r="A54" s="3222"/>
      <c r="B54" s="3031"/>
      <c r="C54" s="3223"/>
      <c r="D54" s="3223"/>
      <c r="E54" s="3223"/>
      <c r="F54" s="3223"/>
      <c r="G54" s="3224"/>
      <c r="H54" s="3225"/>
      <c r="I54" s="3225"/>
      <c r="J54" s="3225"/>
      <c r="K54" s="3225"/>
      <c r="L54" s="3225"/>
      <c r="M54" s="3225"/>
      <c r="N54" s="3225"/>
      <c r="O54" s="3225"/>
      <c r="P54" s="3225"/>
      <c r="Q54" s="3225"/>
      <c r="R54" s="3225"/>
      <c r="S54" s="3225"/>
    </row>
    <row r="55" spans="1:19" s="2" customFormat="1" x14ac:dyDescent="0.35">
      <c r="A55" s="3222"/>
      <c r="B55" s="3031"/>
      <c r="C55" s="3223"/>
      <c r="D55" s="3223"/>
      <c r="E55" s="3223"/>
      <c r="F55" s="3223"/>
      <c r="G55" s="3224"/>
      <c r="H55" s="3225"/>
      <c r="I55" s="3225"/>
      <c r="J55" s="3225"/>
      <c r="K55" s="3225"/>
      <c r="L55" s="3225"/>
      <c r="M55" s="3225"/>
      <c r="N55" s="3225"/>
      <c r="O55" s="3225"/>
      <c r="P55" s="3225"/>
      <c r="Q55" s="3225"/>
      <c r="R55" s="3225"/>
      <c r="S55" s="3225"/>
    </row>
    <row r="56" spans="1:19" s="2" customFormat="1" x14ac:dyDescent="0.35">
      <c r="A56" s="3222"/>
      <c r="B56" s="3031"/>
      <c r="C56" s="3223"/>
      <c r="D56" s="3223"/>
      <c r="E56" s="3223"/>
      <c r="F56" s="3223"/>
      <c r="G56" s="3224"/>
      <c r="H56" s="3225"/>
      <c r="I56" s="3225"/>
      <c r="J56" s="3225"/>
      <c r="K56" s="3225"/>
      <c r="L56" s="3225"/>
      <c r="M56" s="3225"/>
      <c r="N56" s="3225"/>
      <c r="O56" s="3225"/>
      <c r="P56" s="3225"/>
      <c r="Q56" s="3225"/>
      <c r="R56" s="3225"/>
      <c r="S56" s="3225"/>
    </row>
    <row r="57" spans="1:19" s="2" customFormat="1" x14ac:dyDescent="0.35">
      <c r="A57" s="3764" t="s">
        <v>723</v>
      </c>
      <c r="B57" s="3765"/>
      <c r="C57" s="12"/>
      <c r="D57" s="12"/>
      <c r="E57" s="12"/>
      <c r="F57" s="12"/>
      <c r="G57" s="13"/>
      <c r="H57" s="21"/>
      <c r="I57" s="21"/>
      <c r="J57" s="21"/>
      <c r="K57" s="21"/>
      <c r="L57" s="21"/>
      <c r="M57" s="21"/>
      <c r="N57" s="21"/>
      <c r="O57" s="21"/>
      <c r="P57" s="21"/>
      <c r="Q57" s="21"/>
      <c r="R57" s="21"/>
      <c r="S57" s="21"/>
    </row>
    <row r="58" spans="1:19" s="2" customFormat="1" x14ac:dyDescent="0.35">
      <c r="A58" s="3222"/>
      <c r="B58" s="3031"/>
      <c r="C58" s="3223"/>
      <c r="D58" s="3223"/>
      <c r="E58" s="3223"/>
      <c r="F58" s="3223"/>
      <c r="G58" s="3224"/>
      <c r="H58" s="3225"/>
      <c r="I58" s="3225"/>
      <c r="J58" s="3225"/>
      <c r="K58" s="3225"/>
      <c r="L58" s="3225"/>
      <c r="M58" s="3225"/>
      <c r="N58" s="3225"/>
      <c r="O58" s="3225"/>
      <c r="P58" s="3225"/>
      <c r="Q58" s="3225"/>
      <c r="R58" s="3225"/>
      <c r="S58" s="3225"/>
    </row>
    <row r="59" spans="1:19" x14ac:dyDescent="0.35">
      <c r="A59" s="3035"/>
      <c r="B59" s="3031"/>
      <c r="C59" s="3032"/>
      <c r="D59" s="3032"/>
      <c r="E59" s="3032"/>
      <c r="F59" s="3032"/>
      <c r="G59" s="2198"/>
      <c r="H59" s="2081"/>
      <c r="I59" s="2081"/>
      <c r="J59" s="2081"/>
      <c r="K59" s="2081"/>
      <c r="L59" s="2081"/>
      <c r="M59" s="2081"/>
      <c r="N59" s="2081"/>
      <c r="O59" s="2081"/>
      <c r="P59" s="2081"/>
      <c r="Q59" s="2081"/>
      <c r="R59" s="2081"/>
      <c r="S59" s="2081"/>
    </row>
    <row r="60" spans="1:19" s="2" customFormat="1" x14ac:dyDescent="0.35">
      <c r="A60" s="3012"/>
      <c r="B60" s="3019"/>
      <c r="C60" s="3032"/>
      <c r="D60" s="3032"/>
      <c r="E60" s="3032"/>
      <c r="F60" s="3032"/>
      <c r="G60" s="2198"/>
      <c r="H60" s="2084"/>
      <c r="I60" s="2084"/>
      <c r="J60" s="2084"/>
      <c r="K60" s="2084"/>
      <c r="L60" s="2084"/>
      <c r="M60" s="2084"/>
      <c r="N60" s="2084"/>
      <c r="O60" s="2084"/>
      <c r="P60" s="2084"/>
      <c r="Q60" s="2084"/>
      <c r="R60" s="2084"/>
      <c r="S60" s="2084"/>
    </row>
    <row r="61" spans="1:19" s="2" customFormat="1" x14ac:dyDescent="0.35">
      <c r="A61" s="3764" t="s">
        <v>724</v>
      </c>
      <c r="B61" s="3765"/>
      <c r="C61" s="12"/>
      <c r="D61" s="12"/>
      <c r="E61" s="12"/>
      <c r="F61" s="12"/>
      <c r="G61" s="13"/>
      <c r="H61" s="21"/>
      <c r="I61" s="21"/>
      <c r="J61" s="21"/>
      <c r="K61" s="21"/>
      <c r="L61" s="21"/>
      <c r="M61" s="21"/>
      <c r="N61" s="21"/>
      <c r="O61" s="21"/>
      <c r="P61" s="21"/>
      <c r="Q61" s="21"/>
      <c r="R61" s="21"/>
      <c r="S61" s="21"/>
    </row>
    <row r="62" spans="1:19" s="2" customFormat="1" x14ac:dyDescent="0.35">
      <c r="A62" s="3226"/>
      <c r="B62" s="3227"/>
      <c r="C62" s="3223"/>
      <c r="D62" s="3223"/>
      <c r="E62" s="3223"/>
      <c r="F62" s="3223"/>
      <c r="G62" s="3224"/>
      <c r="H62" s="3225"/>
      <c r="I62" s="3225"/>
      <c r="J62" s="3225"/>
      <c r="K62" s="3225"/>
      <c r="L62" s="3225"/>
      <c r="M62" s="3225"/>
      <c r="N62" s="3225"/>
      <c r="O62" s="3225"/>
      <c r="P62" s="3225"/>
      <c r="Q62" s="3225"/>
      <c r="R62" s="3225"/>
      <c r="S62" s="3225"/>
    </row>
    <row r="63" spans="1:19" x14ac:dyDescent="0.35">
      <c r="A63" s="3012"/>
      <c r="B63" s="3019"/>
      <c r="C63" s="3032"/>
      <c r="D63" s="3032"/>
      <c r="E63" s="3032"/>
      <c r="F63" s="3032"/>
      <c r="G63" s="2198"/>
      <c r="H63" s="2087"/>
      <c r="I63" s="2087"/>
      <c r="J63" s="2087"/>
      <c r="K63" s="2087"/>
      <c r="L63" s="2087"/>
      <c r="M63" s="2087"/>
      <c r="N63" s="2087"/>
      <c r="O63" s="2087"/>
      <c r="P63" s="2087"/>
      <c r="Q63" s="2087"/>
      <c r="R63" s="2087"/>
      <c r="S63" s="2087"/>
    </row>
    <row r="64" spans="1:19" x14ac:dyDescent="0.35">
      <c r="A64" s="3012"/>
      <c r="B64" s="3019"/>
      <c r="C64" s="3032"/>
      <c r="D64" s="3032"/>
      <c r="E64" s="3032"/>
      <c r="F64" s="3032"/>
      <c r="G64" s="2198"/>
      <c r="H64" s="2087"/>
      <c r="I64" s="2087"/>
      <c r="J64" s="2087"/>
      <c r="K64" s="2087"/>
      <c r="L64" s="2087"/>
      <c r="M64" s="2087"/>
      <c r="N64" s="2087"/>
      <c r="O64" s="2087"/>
      <c r="P64" s="2087"/>
      <c r="Q64" s="2087"/>
      <c r="R64" s="2087"/>
      <c r="S64" s="2087"/>
    </row>
    <row r="65" spans="1:19" x14ac:dyDescent="0.35">
      <c r="A65" s="3764" t="s">
        <v>725</v>
      </c>
      <c r="B65" s="3765"/>
      <c r="C65" s="12"/>
      <c r="D65" s="12"/>
      <c r="E65" s="12"/>
      <c r="F65" s="12"/>
      <c r="G65" s="13"/>
      <c r="H65" s="21"/>
      <c r="I65" s="21"/>
      <c r="J65" s="21"/>
      <c r="K65" s="21"/>
      <c r="L65" s="21"/>
      <c r="M65" s="21"/>
      <c r="N65" s="21"/>
      <c r="O65" s="21"/>
      <c r="P65" s="21"/>
      <c r="Q65" s="21"/>
      <c r="R65" s="21"/>
      <c r="S65" s="21"/>
    </row>
    <row r="66" spans="1:19" x14ac:dyDescent="0.35">
      <c r="A66" s="3035"/>
      <c r="B66" s="3031" t="s">
        <v>726</v>
      </c>
      <c r="C66" s="3032"/>
      <c r="D66" s="3032"/>
      <c r="E66" s="3032"/>
      <c r="F66" s="3032"/>
      <c r="G66" s="2198"/>
      <c r="H66" s="2087"/>
      <c r="I66" s="2087"/>
      <c r="J66" s="2087"/>
      <c r="K66" s="2087"/>
      <c r="L66" s="2087"/>
      <c r="M66" s="2087"/>
      <c r="N66" s="2087"/>
      <c r="O66" s="2087"/>
      <c r="P66" s="2087"/>
      <c r="Q66" s="2087"/>
      <c r="R66" s="2087"/>
      <c r="S66" s="2087"/>
    </row>
    <row r="67" spans="1:19" x14ac:dyDescent="0.35">
      <c r="A67" s="3035"/>
      <c r="B67" s="3031" t="s">
        <v>727</v>
      </c>
      <c r="C67" s="3032"/>
      <c r="D67" s="3032"/>
      <c r="E67" s="3032"/>
      <c r="F67" s="3032"/>
      <c r="G67" s="2198"/>
      <c r="H67" s="2087"/>
      <c r="I67" s="2087"/>
      <c r="J67" s="2087"/>
      <c r="K67" s="2087"/>
      <c r="L67" s="2087"/>
      <c r="M67" s="2087"/>
      <c r="N67" s="2087"/>
      <c r="O67" s="2087"/>
      <c r="P67" s="2087"/>
      <c r="Q67" s="2087"/>
      <c r="R67" s="2087"/>
      <c r="S67" s="2087"/>
    </row>
    <row r="68" spans="1:19" x14ac:dyDescent="0.35">
      <c r="A68" s="3035"/>
      <c r="B68" s="3031" t="s">
        <v>728</v>
      </c>
      <c r="C68" s="3032"/>
      <c r="D68" s="3032"/>
      <c r="E68" s="3032"/>
      <c r="F68" s="3032"/>
      <c r="G68" s="2198"/>
      <c r="H68" s="2087"/>
      <c r="I68" s="2087"/>
      <c r="J68" s="2087"/>
      <c r="K68" s="2087"/>
      <c r="L68" s="2087"/>
      <c r="M68" s="2087"/>
      <c r="N68" s="2087"/>
      <c r="O68" s="2087"/>
      <c r="P68" s="2087"/>
      <c r="Q68" s="2087"/>
      <c r="R68" s="2087"/>
      <c r="S68" s="2087"/>
    </row>
    <row r="69" spans="1:19" x14ac:dyDescent="0.35">
      <c r="A69" s="3035"/>
      <c r="B69" s="3031" t="s">
        <v>729</v>
      </c>
      <c r="C69" s="3032"/>
      <c r="D69" s="3032"/>
      <c r="E69" s="3032"/>
      <c r="F69" s="3032"/>
      <c r="G69" s="2198"/>
      <c r="H69" s="2087"/>
      <c r="I69" s="2087"/>
      <c r="J69" s="2087"/>
      <c r="K69" s="2087"/>
      <c r="L69" s="2087"/>
      <c r="M69" s="2087"/>
      <c r="N69" s="2087"/>
      <c r="O69" s="2087"/>
      <c r="P69" s="2087"/>
      <c r="Q69" s="2087"/>
      <c r="R69" s="2087"/>
      <c r="S69" s="2087"/>
    </row>
    <row r="70" spans="1:19" x14ac:dyDescent="0.35">
      <c r="A70" s="978"/>
      <c r="B70" s="939"/>
      <c r="C70" s="940"/>
      <c r="D70" s="940"/>
      <c r="E70" s="940"/>
      <c r="F70" s="940"/>
      <c r="G70" s="1039"/>
      <c r="H70" s="981"/>
      <c r="I70" s="981"/>
      <c r="J70" s="981"/>
      <c r="K70" s="981"/>
      <c r="L70" s="981"/>
      <c r="M70" s="981"/>
      <c r="N70" s="981"/>
      <c r="O70" s="981"/>
      <c r="P70" s="981"/>
      <c r="Q70" s="981"/>
      <c r="R70" s="981"/>
      <c r="S70" s="981"/>
    </row>
    <row r="71" spans="1:19" x14ac:dyDescent="0.35">
      <c r="A71" s="7" t="s">
        <v>730</v>
      </c>
      <c r="B71" s="8"/>
      <c r="C71" s="12"/>
      <c r="D71" s="12"/>
      <c r="E71" s="12"/>
      <c r="F71" s="12"/>
      <c r="G71" s="13"/>
      <c r="H71" s="21"/>
      <c r="I71" s="21"/>
      <c r="J71" s="21"/>
      <c r="K71" s="21"/>
      <c r="L71" s="21"/>
      <c r="M71" s="21"/>
      <c r="N71" s="21"/>
      <c r="O71" s="21"/>
      <c r="P71" s="21"/>
      <c r="Q71" s="21"/>
      <c r="R71" s="21"/>
      <c r="S71" s="21"/>
    </row>
    <row r="72" spans="1:19" x14ac:dyDescent="0.35">
      <c r="A72" s="3222"/>
      <c r="B72" s="3228" t="s">
        <v>731</v>
      </c>
      <c r="C72" s="3223"/>
      <c r="D72" s="3223"/>
      <c r="E72" s="3223"/>
      <c r="F72" s="3223"/>
      <c r="G72" s="3224"/>
      <c r="H72" s="3229"/>
      <c r="I72" s="3229"/>
      <c r="J72" s="3229"/>
      <c r="K72" s="3229"/>
      <c r="L72" s="3229"/>
      <c r="M72" s="3229"/>
      <c r="N72" s="3229"/>
      <c r="O72" s="3229"/>
      <c r="P72" s="3229"/>
      <c r="Q72" s="3229"/>
      <c r="R72" s="3229"/>
      <c r="S72" s="3229"/>
    </row>
    <row r="73" spans="1:19" x14ac:dyDescent="0.35">
      <c r="A73" s="3035"/>
      <c r="B73" s="3031" t="s">
        <v>732</v>
      </c>
      <c r="C73" s="3032"/>
      <c r="D73" s="3032"/>
      <c r="E73" s="3032"/>
      <c r="F73" s="3032"/>
      <c r="G73" s="2198"/>
      <c r="H73" s="2158"/>
      <c r="I73" s="2158"/>
      <c r="J73" s="2158"/>
      <c r="K73" s="2158"/>
      <c r="L73" s="2158"/>
      <c r="M73" s="2158"/>
      <c r="N73" s="2158"/>
      <c r="O73" s="2158"/>
      <c r="P73" s="2158"/>
      <c r="Q73" s="2158"/>
      <c r="R73" s="2158"/>
      <c r="S73" s="2158"/>
    </row>
    <row r="74" spans="1:19" x14ac:dyDescent="0.35">
      <c r="A74" s="2089"/>
      <c r="B74" s="2090" t="s">
        <v>733</v>
      </c>
      <c r="C74" s="2091"/>
      <c r="D74" s="2091"/>
      <c r="E74" s="2091"/>
      <c r="F74" s="2091"/>
      <c r="G74" s="2092"/>
      <c r="H74" s="2093"/>
      <c r="I74" s="2093"/>
      <c r="J74" s="2093"/>
      <c r="K74" s="2093"/>
      <c r="L74" s="2093"/>
      <c r="M74" s="2093"/>
      <c r="N74" s="2093"/>
      <c r="O74" s="2093"/>
      <c r="P74" s="2093"/>
      <c r="Q74" s="2093"/>
      <c r="R74" s="2093"/>
      <c r="S74" s="2093"/>
    </row>
    <row r="75" spans="1:19" x14ac:dyDescent="0.35">
      <c r="I75" s="2"/>
    </row>
    <row r="76" spans="1:19" x14ac:dyDescent="0.35">
      <c r="A76" s="78" t="s">
        <v>734</v>
      </c>
      <c r="B76" s="80"/>
      <c r="I76" s="2"/>
    </row>
    <row r="77" spans="1:19" x14ac:dyDescent="0.35">
      <c r="A77" s="79" t="s">
        <v>632</v>
      </c>
      <c r="B77" s="80"/>
      <c r="I77" s="2"/>
    </row>
    <row r="78" spans="1:19" x14ac:dyDescent="0.35">
      <c r="A78" s="3029" t="s">
        <v>636</v>
      </c>
      <c r="B78" s="2094"/>
      <c r="I78" s="2"/>
    </row>
    <row r="79" spans="1:19" x14ac:dyDescent="0.35">
      <c r="A79" s="2096" t="s">
        <v>639</v>
      </c>
      <c r="B79" s="2097"/>
      <c r="I79" s="2"/>
    </row>
    <row r="80" spans="1:19" x14ac:dyDescent="0.35">
      <c r="A80" s="2096" t="s">
        <v>642</v>
      </c>
      <c r="B80" s="2159"/>
      <c r="I80" s="2"/>
    </row>
    <row r="81" spans="1:9" x14ac:dyDescent="0.35">
      <c r="A81" s="2099" t="s">
        <v>735</v>
      </c>
      <c r="B81" s="2100"/>
      <c r="I81" s="2"/>
    </row>
    <row r="82" spans="1:9" x14ac:dyDescent="0.35">
      <c r="I82" s="2"/>
    </row>
    <row r="83" spans="1:9" x14ac:dyDescent="0.35">
      <c r="A83" s="81"/>
      <c r="B83" s="1" t="s">
        <v>736</v>
      </c>
      <c r="I83" s="2"/>
    </row>
    <row r="84" spans="1:9" x14ac:dyDescent="0.35">
      <c r="A84" s="82"/>
      <c r="B84" s="1" t="s">
        <v>737</v>
      </c>
      <c r="I84" s="2"/>
    </row>
  </sheetData>
  <mergeCells count="47">
    <mergeCell ref="A49:B49"/>
    <mergeCell ref="A53:B53"/>
    <mergeCell ref="A57:B57"/>
    <mergeCell ref="A61:B61"/>
    <mergeCell ref="A65:B6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67" priority="23" operator="equal">
      <formula>"X"</formula>
    </cfRule>
    <cfRule type="cellIs" dxfId="166" priority="24" operator="equal">
      <formula>"I"</formula>
    </cfRule>
  </conditionalFormatting>
  <conditionalFormatting sqref="H32:H40">
    <cfRule type="cellIs" dxfId="165" priority="21" operator="equal">
      <formula>"X"</formula>
    </cfRule>
    <cfRule type="cellIs" dxfId="164" priority="22" operator="equal">
      <formula>"I"</formula>
    </cfRule>
  </conditionalFormatting>
  <conditionalFormatting sqref="J20:J30">
    <cfRule type="cellIs" dxfId="163" priority="19" operator="equal">
      <formula>"X"</formula>
    </cfRule>
    <cfRule type="cellIs" dxfId="162" priority="20" operator="equal">
      <formula>"I"</formula>
    </cfRule>
  </conditionalFormatting>
  <conditionalFormatting sqref="J32:J40">
    <cfRule type="cellIs" dxfId="161" priority="17" operator="equal">
      <formula>"X"</formula>
    </cfRule>
    <cfRule type="cellIs" dxfId="160" priority="18" operator="equal">
      <formula>"I"</formula>
    </cfRule>
  </conditionalFormatting>
  <conditionalFormatting sqref="L20:L30">
    <cfRule type="cellIs" dxfId="159" priority="13" operator="equal">
      <formula>"X"</formula>
    </cfRule>
    <cfRule type="cellIs" dxfId="158" priority="14" operator="equal">
      <formula>"I"</formula>
    </cfRule>
  </conditionalFormatting>
  <conditionalFormatting sqref="L32:L40">
    <cfRule type="cellIs" dxfId="157" priority="15" operator="equal">
      <formula>"X"</formula>
    </cfRule>
    <cfRule type="cellIs" dxfId="156" priority="16" operator="equal">
      <formula>"I"</formula>
    </cfRule>
  </conditionalFormatting>
  <conditionalFormatting sqref="N20:N30">
    <cfRule type="cellIs" dxfId="155" priority="11" operator="equal">
      <formula>"X"</formula>
    </cfRule>
    <cfRule type="cellIs" dxfId="154" priority="12" operator="equal">
      <formula>"I"</formula>
    </cfRule>
  </conditionalFormatting>
  <conditionalFormatting sqref="N32:N40">
    <cfRule type="cellIs" dxfId="153" priority="9" operator="equal">
      <formula>"X"</formula>
    </cfRule>
    <cfRule type="cellIs" dxfId="152" priority="10" operator="equal">
      <formula>"I"</formula>
    </cfRule>
  </conditionalFormatting>
  <conditionalFormatting sqref="P20:P30">
    <cfRule type="cellIs" dxfId="151" priority="5" operator="equal">
      <formula>"X"</formula>
    </cfRule>
    <cfRule type="cellIs" dxfId="150" priority="6" operator="equal">
      <formula>"I"</formula>
    </cfRule>
  </conditionalFormatting>
  <conditionalFormatting sqref="P32:P40">
    <cfRule type="cellIs" dxfId="149" priority="7" operator="equal">
      <formula>"X"</formula>
    </cfRule>
    <cfRule type="cellIs" dxfId="148" priority="8" operator="equal">
      <formula>"I"</formula>
    </cfRule>
  </conditionalFormatting>
  <conditionalFormatting sqref="R20:R30">
    <cfRule type="cellIs" dxfId="147" priority="3" operator="equal">
      <formula>"X"</formula>
    </cfRule>
    <cfRule type="cellIs" dxfId="146" priority="4" operator="equal">
      <formula>"I"</formula>
    </cfRule>
  </conditionalFormatting>
  <conditionalFormatting sqref="R32:R40">
    <cfRule type="cellIs" dxfId="145" priority="1" operator="equal">
      <formula>"X"</formula>
    </cfRule>
    <cfRule type="cellIs" dxfId="144" priority="2" operator="equal">
      <formula>"I"</formula>
    </cfRule>
  </conditionalFormatting>
  <hyperlinks>
    <hyperlink ref="B3" location="'Cost Summary'!A1" display="BACK TO SUMMARY SHEET" xr:uid="{292C8DD6-BB7E-494E-8E5D-811E7B3012C1}"/>
  </hyperlinks>
  <pageMargins left="0.7" right="0.7" top="0.75" bottom="0.75" header="0.3" footer="0.3"/>
  <pageSetup scale="70" orientation="portrait" horizontalDpi="300" verticalDpi="30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B25A-5C54-4BD4-B5A9-2BB95FD63A8A}">
  <sheetPr>
    <tabColor rgb="FF92D050"/>
  </sheetPr>
  <dimension ref="A1:W137"/>
  <sheetViews>
    <sheetView zoomScale="95" zoomScaleNormal="95" workbookViewId="0">
      <pane xSplit="2" ySplit="9" topLeftCell="F85" activePane="bottomRight" state="frozen"/>
      <selection pane="topRight" activeCell="C1" sqref="C1"/>
      <selection pane="bottomLeft" activeCell="A11" sqref="A11"/>
      <selection pane="bottomRight" activeCell="F75" sqref="F75"/>
    </sheetView>
  </sheetViews>
  <sheetFormatPr defaultRowHeight="15" customHeight="1" x14ac:dyDescent="0.35"/>
  <cols>
    <col min="1" max="1" width="11" customWidth="1"/>
    <col min="2" max="2" width="70.7265625" style="1" customWidth="1"/>
    <col min="3" max="3" width="17.26953125" style="2" bestFit="1" customWidth="1"/>
    <col min="4" max="4" width="10.54296875" style="2" bestFit="1" customWidth="1"/>
    <col min="5" max="5" width="7.54296875" style="2" customWidth="1"/>
    <col min="6" max="6" width="14.1796875" style="169" customWidth="1"/>
    <col min="7" max="7" width="15" style="2" customWidth="1"/>
    <col min="8" max="8" width="7.453125" style="2" bestFit="1" customWidth="1"/>
    <col min="9" max="9" width="14.81640625" style="2" customWidth="1"/>
    <col min="10" max="10" width="7.453125" style="2" bestFit="1" customWidth="1"/>
    <col min="11" max="11" width="14.81640625" style="2" customWidth="1"/>
    <col min="12" max="12" width="7.453125" style="2" hidden="1" customWidth="1"/>
    <col min="13" max="13" width="14.81640625" style="2" hidden="1"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 min="22" max="22" width="7.453125" style="2" bestFit="1" customWidth="1"/>
    <col min="23" max="23" width="14.81640625" style="2" customWidth="1"/>
  </cols>
  <sheetData>
    <row r="1" spans="1:23" ht="14.5" x14ac:dyDescent="0.35">
      <c r="E1" s="152"/>
      <c r="F1" s="125"/>
      <c r="G1" s="123" t="s">
        <v>621</v>
      </c>
    </row>
    <row r="2" spans="1:23" ht="14.5" x14ac:dyDescent="0.35">
      <c r="E2" s="152"/>
      <c r="F2" s="122" t="s">
        <v>622</v>
      </c>
      <c r="G2" s="123" t="s">
        <v>451</v>
      </c>
      <c r="H2" s="3751"/>
      <c r="I2" s="3751"/>
      <c r="J2" s="3751" t="s">
        <v>3902</v>
      </c>
      <c r="K2" s="3751"/>
      <c r="L2" s="3751"/>
      <c r="M2" s="3751"/>
      <c r="N2" s="3751"/>
      <c r="O2" s="3751"/>
      <c r="P2" s="3751"/>
      <c r="Q2" s="3751"/>
      <c r="R2" s="3751"/>
      <c r="S2" s="3751"/>
      <c r="T2" s="3751"/>
      <c r="U2" s="3751"/>
      <c r="V2" s="3866">
        <v>9046616689</v>
      </c>
      <c r="W2" s="3866"/>
    </row>
    <row r="3" spans="1:23" ht="19.5" x14ac:dyDescent="0.35">
      <c r="B3" s="137" t="s">
        <v>623</v>
      </c>
      <c r="E3" s="152"/>
      <c r="F3" s="124" t="s">
        <v>624</v>
      </c>
      <c r="G3" s="123" t="s">
        <v>557</v>
      </c>
      <c r="H3" s="4006" t="s">
        <v>625</v>
      </c>
      <c r="I3" s="3892"/>
      <c r="J3" s="3754" t="s">
        <v>871</v>
      </c>
      <c r="K3" s="3755"/>
      <c r="L3" s="3772" t="s">
        <v>626</v>
      </c>
      <c r="M3" s="3773"/>
      <c r="N3" s="3772" t="s">
        <v>626</v>
      </c>
      <c r="O3" s="3773"/>
      <c r="P3" s="3754" t="s">
        <v>627</v>
      </c>
      <c r="Q3" s="3755"/>
      <c r="R3" s="3754" t="s">
        <v>1370</v>
      </c>
      <c r="S3" s="3755"/>
      <c r="T3" s="3754" t="s">
        <v>1370</v>
      </c>
      <c r="U3" s="3755"/>
      <c r="V3" s="3754" t="s">
        <v>772</v>
      </c>
      <c r="W3" s="3755"/>
    </row>
    <row r="4" spans="1:23" ht="15.75" customHeight="1" x14ac:dyDescent="0.35">
      <c r="A4" s="3" t="s">
        <v>631</v>
      </c>
      <c r="B4" s="4" t="e">
        <f>#REF!</f>
        <v>#REF!</v>
      </c>
      <c r="C4" s="5"/>
      <c r="D4" s="5"/>
      <c r="E4" s="5"/>
      <c r="F4" s="164"/>
      <c r="G4" s="6" t="s">
        <v>632</v>
      </c>
      <c r="H4" s="3898" t="s">
        <v>2959</v>
      </c>
      <c r="I4" s="3898"/>
      <c r="J4" s="3752" t="s">
        <v>3903</v>
      </c>
      <c r="K4" s="3753"/>
      <c r="L4" s="3752" t="s">
        <v>3904</v>
      </c>
      <c r="M4" s="3753"/>
      <c r="N4" s="3752" t="s">
        <v>3905</v>
      </c>
      <c r="O4" s="3753"/>
      <c r="P4" s="3752" t="s">
        <v>3906</v>
      </c>
      <c r="Q4" s="3753"/>
      <c r="R4" s="3752" t="s">
        <v>3907</v>
      </c>
      <c r="S4" s="3753"/>
      <c r="T4" s="3752" t="s">
        <v>3908</v>
      </c>
      <c r="U4" s="3753"/>
      <c r="V4" s="3752" t="s">
        <v>3909</v>
      </c>
      <c r="W4" s="3753"/>
    </row>
    <row r="5" spans="1:23" ht="14.5" x14ac:dyDescent="0.35">
      <c r="A5" s="3030" t="s">
        <v>634</v>
      </c>
      <c r="B5" s="3031" t="s">
        <v>573</v>
      </c>
      <c r="C5" s="3032"/>
      <c r="D5" s="3032"/>
      <c r="E5" s="3032"/>
      <c r="F5" s="3050"/>
      <c r="G5" s="2194" t="s">
        <v>636</v>
      </c>
      <c r="H5" s="3950" t="s">
        <v>2968</v>
      </c>
      <c r="I5" s="3950"/>
      <c r="J5" s="3992" t="s">
        <v>3910</v>
      </c>
      <c r="K5" s="3932"/>
      <c r="L5" s="3992" t="s">
        <v>3911</v>
      </c>
      <c r="M5" s="3932"/>
      <c r="N5" s="3992" t="s">
        <v>3911</v>
      </c>
      <c r="O5" s="3932"/>
      <c r="P5" s="3992" t="s">
        <v>3912</v>
      </c>
      <c r="Q5" s="3932"/>
      <c r="R5" s="3992" t="s">
        <v>3913</v>
      </c>
      <c r="S5" s="3932"/>
      <c r="T5" s="3992" t="s">
        <v>3914</v>
      </c>
      <c r="U5" s="3932"/>
      <c r="V5" s="3992" t="s">
        <v>3915</v>
      </c>
      <c r="W5" s="3932"/>
    </row>
    <row r="6" spans="1:23" ht="14.5" x14ac:dyDescent="0.35">
      <c r="A6" s="3030" t="s">
        <v>638</v>
      </c>
      <c r="B6" s="3033" t="s">
        <v>572</v>
      </c>
      <c r="C6" s="3032"/>
      <c r="D6" s="3032"/>
      <c r="E6" s="3032"/>
      <c r="F6" s="3050"/>
      <c r="G6" s="3240" t="s">
        <v>639</v>
      </c>
      <c r="H6" s="3949">
        <v>2083712968</v>
      </c>
      <c r="I6" s="3949"/>
      <c r="J6" s="3993">
        <v>5612799200</v>
      </c>
      <c r="K6" s="3938"/>
      <c r="L6" s="3993">
        <v>9544700670</v>
      </c>
      <c r="M6" s="3938"/>
      <c r="N6" s="3993">
        <v>9544700670</v>
      </c>
      <c r="O6" s="3938"/>
      <c r="P6" s="3993">
        <v>4077201405</v>
      </c>
      <c r="Q6" s="3938"/>
      <c r="R6" s="3993">
        <v>9547529695</v>
      </c>
      <c r="S6" s="3938"/>
      <c r="T6" s="3993">
        <v>5612945424</v>
      </c>
      <c r="U6" s="3938"/>
      <c r="V6" s="3993">
        <v>8139734425</v>
      </c>
      <c r="W6" s="3938"/>
    </row>
    <row r="7" spans="1:23" ht="15.5" x14ac:dyDescent="0.35">
      <c r="A7" s="3030" t="s">
        <v>641</v>
      </c>
      <c r="B7" s="3034"/>
      <c r="C7" s="3032"/>
      <c r="D7" s="3032"/>
      <c r="E7" s="3032"/>
      <c r="F7" s="3050"/>
      <c r="G7" s="3240" t="s">
        <v>642</v>
      </c>
      <c r="H7" s="3951" t="s">
        <v>2976</v>
      </c>
      <c r="I7" s="3951"/>
      <c r="J7" s="4002" t="s">
        <v>3916</v>
      </c>
      <c r="K7" s="4004"/>
      <c r="L7" s="3991" t="s">
        <v>3917</v>
      </c>
      <c r="M7" s="4004"/>
      <c r="N7" s="3991" t="s">
        <v>3917</v>
      </c>
      <c r="O7" s="4004"/>
      <c r="P7" s="4002" t="s">
        <v>3918</v>
      </c>
      <c r="Q7" s="4004"/>
      <c r="R7" s="4007" t="s">
        <v>3919</v>
      </c>
      <c r="S7" s="4004"/>
      <c r="T7" s="4002" t="s">
        <v>3920</v>
      </c>
      <c r="U7" s="4004"/>
      <c r="V7" s="4002" t="s">
        <v>3921</v>
      </c>
      <c r="W7" s="4004"/>
    </row>
    <row r="8" spans="1:23" ht="14.5" x14ac:dyDescent="0.35">
      <c r="A8" s="938" t="s">
        <v>644</v>
      </c>
      <c r="B8" s="939"/>
      <c r="C8" s="940"/>
      <c r="D8" s="940"/>
      <c r="E8" s="940"/>
      <c r="F8" s="3241"/>
      <c r="G8" s="938" t="s">
        <v>644</v>
      </c>
      <c r="H8" s="3926">
        <f>I98</f>
        <v>681996</v>
      </c>
      <c r="I8" s="3927"/>
      <c r="J8" s="3926">
        <f>K98</f>
        <v>524231</v>
      </c>
      <c r="K8" s="3927"/>
      <c r="L8" s="3926">
        <f>M98</f>
        <v>506354</v>
      </c>
      <c r="M8" s="3927"/>
      <c r="N8" s="3926">
        <f>O98</f>
        <v>540250</v>
      </c>
      <c r="O8" s="3927"/>
      <c r="P8" s="3926">
        <f>Q98</f>
        <v>516553</v>
      </c>
      <c r="Q8" s="3927"/>
      <c r="R8" s="3926">
        <f>S98</f>
        <v>521727</v>
      </c>
      <c r="S8" s="3927"/>
      <c r="T8" s="3926">
        <f>U98</f>
        <v>663138</v>
      </c>
      <c r="U8" s="3927"/>
      <c r="V8" s="3926">
        <f>W98</f>
        <v>588562</v>
      </c>
      <c r="W8" s="3927"/>
    </row>
    <row r="9" spans="1:23" ht="14.5" x14ac:dyDescent="0.35">
      <c r="A9" s="7" t="s">
        <v>645</v>
      </c>
      <c r="B9" s="8"/>
      <c r="C9" s="9" t="s">
        <v>646</v>
      </c>
      <c r="D9" s="9" t="s">
        <v>647</v>
      </c>
      <c r="E9" s="9" t="s">
        <v>648</v>
      </c>
      <c r="F9" s="165"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c r="V9" s="11" t="s">
        <v>651</v>
      </c>
      <c r="W9" s="11" t="s">
        <v>652</v>
      </c>
    </row>
    <row r="10" spans="1:23" ht="14.5" hidden="1" x14ac:dyDescent="0.35">
      <c r="A10" s="3035"/>
      <c r="B10" s="3230" t="s">
        <v>653</v>
      </c>
      <c r="C10" s="3032"/>
      <c r="D10" s="3032"/>
      <c r="E10" s="3032"/>
      <c r="F10" s="3050"/>
      <c r="G10" s="2198"/>
      <c r="H10" s="2107"/>
      <c r="I10" s="2107"/>
      <c r="J10" s="2107"/>
      <c r="K10" s="2107"/>
      <c r="L10" s="2107"/>
      <c r="M10" s="2107"/>
      <c r="N10" s="2107"/>
      <c r="O10" s="2107"/>
      <c r="P10" s="2107"/>
      <c r="Q10" s="2107"/>
      <c r="R10" s="2107"/>
      <c r="S10" s="2107"/>
      <c r="T10" s="2107"/>
      <c r="U10" s="2107"/>
      <c r="V10" s="2107"/>
      <c r="W10" s="2107"/>
    </row>
    <row r="11" spans="1:23" ht="14.5" hidden="1" x14ac:dyDescent="0.35">
      <c r="A11" s="3035"/>
      <c r="B11" s="3031" t="e">
        <f>#REF!</f>
        <v>#REF!</v>
      </c>
      <c r="C11" s="3036" t="s">
        <v>654</v>
      </c>
      <c r="D11" s="3032"/>
      <c r="E11" s="3032"/>
      <c r="F11" s="3050"/>
      <c r="G11" s="2198"/>
      <c r="H11" s="2107"/>
      <c r="I11" s="2107"/>
      <c r="J11" s="2107"/>
      <c r="K11" s="2107"/>
      <c r="L11" s="2107"/>
      <c r="M11" s="2107"/>
      <c r="N11" s="2107"/>
      <c r="O11" s="2107"/>
      <c r="P11" s="2107"/>
      <c r="Q11" s="2107"/>
      <c r="R11" s="2107"/>
      <c r="S11" s="2107"/>
      <c r="T11" s="2107"/>
      <c r="U11" s="2107"/>
      <c r="V11" s="2107"/>
      <c r="W11" s="2107"/>
    </row>
    <row r="12" spans="1:23" ht="14.5" hidden="1" x14ac:dyDescent="0.35">
      <c r="A12" s="3035"/>
      <c r="B12" s="3031" t="e">
        <f>#REF!</f>
        <v>#REF!</v>
      </c>
      <c r="C12" s="3036" t="s">
        <v>654</v>
      </c>
      <c r="D12" s="3032"/>
      <c r="E12" s="3032"/>
      <c r="F12" s="3050"/>
      <c r="G12" s="2198"/>
      <c r="H12" s="2107"/>
      <c r="I12" s="2107"/>
      <c r="J12" s="2107"/>
      <c r="K12" s="2107"/>
      <c r="L12" s="2107"/>
      <c r="M12" s="2107"/>
      <c r="N12" s="2107"/>
      <c r="O12" s="2107"/>
      <c r="P12" s="2107"/>
      <c r="Q12" s="2107"/>
      <c r="R12" s="2107"/>
      <c r="S12" s="2107"/>
      <c r="T12" s="2107"/>
      <c r="U12" s="2107"/>
      <c r="V12" s="2107"/>
      <c r="W12" s="2107"/>
    </row>
    <row r="13" spans="1:23" ht="14.5" hidden="1" x14ac:dyDescent="0.35">
      <c r="A13" s="3035"/>
      <c r="B13" s="3031" t="e">
        <f>#REF!</f>
        <v>#REF!</v>
      </c>
      <c r="C13" s="3036" t="s">
        <v>654</v>
      </c>
      <c r="D13" s="3032"/>
      <c r="E13" s="3032"/>
      <c r="F13" s="3050"/>
      <c r="G13" s="2198"/>
      <c r="H13" s="2107"/>
      <c r="I13" s="2107"/>
      <c r="J13" s="2107"/>
      <c r="K13" s="2107"/>
      <c r="L13" s="2107"/>
      <c r="M13" s="2107"/>
      <c r="N13" s="2107"/>
      <c r="O13" s="2107"/>
      <c r="P13" s="2107"/>
      <c r="Q13" s="2107"/>
      <c r="R13" s="2107"/>
      <c r="S13" s="2107"/>
      <c r="T13" s="2107"/>
      <c r="U13" s="2107"/>
      <c r="V13" s="2107"/>
      <c r="W13" s="2107"/>
    </row>
    <row r="14" spans="1:23" ht="14.5" hidden="1" x14ac:dyDescent="0.35">
      <c r="A14" s="3035"/>
      <c r="B14" s="3031" t="e">
        <f>#REF!</f>
        <v>#REF!</v>
      </c>
      <c r="C14" s="3036" t="s">
        <v>654</v>
      </c>
      <c r="D14" s="3032"/>
      <c r="E14" s="3032"/>
      <c r="F14" s="3050"/>
      <c r="G14" s="2198"/>
      <c r="H14" s="2107"/>
      <c r="I14" s="2107"/>
      <c r="J14" s="2107"/>
      <c r="K14" s="2107"/>
      <c r="L14" s="2107"/>
      <c r="M14" s="2107"/>
      <c r="N14" s="2107"/>
      <c r="O14" s="2107"/>
      <c r="P14" s="2107"/>
      <c r="Q14" s="2107"/>
      <c r="R14" s="2107"/>
      <c r="S14" s="2107"/>
      <c r="T14" s="2107"/>
      <c r="U14" s="2107"/>
      <c r="V14" s="2107"/>
      <c r="W14" s="2107"/>
    </row>
    <row r="15" spans="1:23" ht="14.5" hidden="1" x14ac:dyDescent="0.35">
      <c r="A15" s="3035"/>
      <c r="B15" s="3031" t="e">
        <f>#REF!</f>
        <v>#REF!</v>
      </c>
      <c r="C15" s="3036" t="s">
        <v>654</v>
      </c>
      <c r="D15" s="3032"/>
      <c r="E15" s="3032"/>
      <c r="F15" s="3050"/>
      <c r="G15" s="2198"/>
      <c r="H15" s="2107"/>
      <c r="I15" s="2107"/>
      <c r="J15" s="2107"/>
      <c r="K15" s="2107"/>
      <c r="L15" s="2107"/>
      <c r="M15" s="2107"/>
      <c r="N15" s="2107"/>
      <c r="O15" s="2107"/>
      <c r="P15" s="2107"/>
      <c r="Q15" s="2107"/>
      <c r="R15" s="2107"/>
      <c r="S15" s="2107"/>
      <c r="T15" s="2107"/>
      <c r="U15" s="2107"/>
      <c r="V15" s="2107"/>
      <c r="W15" s="2107"/>
    </row>
    <row r="16" spans="1:23" ht="14.5" hidden="1" x14ac:dyDescent="0.35">
      <c r="A16" s="3035"/>
      <c r="B16" s="3031" t="e">
        <f>#REF!</f>
        <v>#REF!</v>
      </c>
      <c r="C16" s="3036" t="s">
        <v>654</v>
      </c>
      <c r="D16" s="3032"/>
      <c r="E16" s="3032"/>
      <c r="F16" s="3050"/>
      <c r="G16" s="2198"/>
      <c r="H16" s="2107"/>
      <c r="I16" s="2107"/>
      <c r="J16" s="2107"/>
      <c r="K16" s="2107"/>
      <c r="L16" s="2107"/>
      <c r="M16" s="2107"/>
      <c r="N16" s="2107"/>
      <c r="O16" s="2107"/>
      <c r="P16" s="2107"/>
      <c r="Q16" s="2107"/>
      <c r="R16" s="2107"/>
      <c r="S16" s="2107"/>
      <c r="T16" s="2107"/>
      <c r="U16" s="2107"/>
      <c r="V16" s="2107"/>
      <c r="W16" s="2107"/>
    </row>
    <row r="17" spans="1:23" ht="14.5" hidden="1" x14ac:dyDescent="0.35">
      <c r="A17" s="3035"/>
      <c r="B17" s="3031" t="e">
        <f>#REF!</f>
        <v>#REF!</v>
      </c>
      <c r="C17" s="3036" t="s">
        <v>654</v>
      </c>
      <c r="D17" s="3032"/>
      <c r="E17" s="3032"/>
      <c r="F17" s="3050"/>
      <c r="G17" s="2198"/>
      <c r="H17" s="2107"/>
      <c r="I17" s="2107"/>
      <c r="J17" s="2107"/>
      <c r="K17" s="2107"/>
      <c r="L17" s="2107"/>
      <c r="M17" s="2107"/>
      <c r="N17" s="2107"/>
      <c r="O17" s="2107"/>
      <c r="P17" s="2107"/>
      <c r="Q17" s="2107"/>
      <c r="R17" s="2107"/>
      <c r="S17" s="2107"/>
      <c r="T17" s="2107"/>
      <c r="U17" s="2107"/>
      <c r="V17" s="2107"/>
      <c r="W17" s="2107"/>
    </row>
    <row r="18" spans="1:23" ht="14.5" hidden="1" x14ac:dyDescent="0.35">
      <c r="A18" s="3035"/>
      <c r="B18" s="3031" t="e">
        <f>#REF!</f>
        <v>#REF!</v>
      </c>
      <c r="C18" s="3036" t="s">
        <v>654</v>
      </c>
      <c r="D18" s="3032"/>
      <c r="E18" s="3032"/>
      <c r="F18" s="3050"/>
      <c r="G18" s="2198"/>
      <c r="H18" s="2107"/>
      <c r="I18" s="2107"/>
      <c r="J18" s="2107"/>
      <c r="K18" s="2107"/>
      <c r="L18" s="2107"/>
      <c r="M18" s="2107"/>
      <c r="N18" s="2107"/>
      <c r="O18" s="2107"/>
      <c r="P18" s="2107"/>
      <c r="Q18" s="2107"/>
      <c r="R18" s="2107"/>
      <c r="S18" s="2107"/>
      <c r="T18" s="2107"/>
      <c r="U18" s="2107"/>
      <c r="V18" s="2107"/>
      <c r="W18" s="2107"/>
    </row>
    <row r="19" spans="1:23" ht="14.5" hidden="1" x14ac:dyDescent="0.35">
      <c r="A19" s="3035"/>
      <c r="B19" s="3031" t="e">
        <f>#REF!</f>
        <v>#REF!</v>
      </c>
      <c r="C19" s="3036" t="s">
        <v>654</v>
      </c>
      <c r="D19" s="3032"/>
      <c r="E19" s="3032"/>
      <c r="F19" s="3050"/>
      <c r="G19" s="2198"/>
      <c r="H19" s="2107"/>
      <c r="I19" s="2107"/>
      <c r="J19" s="2107"/>
      <c r="K19" s="2107"/>
      <c r="L19" s="2107"/>
      <c r="M19" s="2107"/>
      <c r="N19" s="2107"/>
      <c r="O19" s="2107"/>
      <c r="P19" s="2107"/>
      <c r="Q19" s="2107"/>
      <c r="R19" s="2107"/>
      <c r="S19" s="2107"/>
      <c r="T19" s="2107"/>
      <c r="U19" s="2107"/>
      <c r="V19" s="2107"/>
      <c r="W19" s="2107"/>
    </row>
    <row r="20" spans="1:23" ht="14.5" x14ac:dyDescent="0.35">
      <c r="A20" s="3035"/>
      <c r="B20" s="3031"/>
      <c r="C20" s="3036"/>
      <c r="D20" s="3032"/>
      <c r="E20" s="3032"/>
      <c r="F20" s="3050"/>
      <c r="G20" s="2198"/>
      <c r="H20" s="2109"/>
      <c r="I20" s="2107"/>
      <c r="J20" s="2109"/>
      <c r="K20" s="2107"/>
      <c r="L20" s="2109"/>
      <c r="M20" s="2107"/>
      <c r="N20" s="2109"/>
      <c r="O20" s="2107"/>
      <c r="P20" s="2109"/>
      <c r="Q20" s="2107"/>
      <c r="R20" s="2109"/>
      <c r="S20" s="2107"/>
      <c r="T20" s="2109"/>
      <c r="U20" s="2107"/>
      <c r="V20" s="2109"/>
      <c r="W20" s="2107"/>
    </row>
    <row r="21" spans="1:23" ht="14.5" x14ac:dyDescent="0.35">
      <c r="A21" s="48"/>
      <c r="B21" s="3037" t="s">
        <v>573</v>
      </c>
      <c r="C21" s="45"/>
      <c r="D21" s="46"/>
      <c r="E21" s="46"/>
      <c r="F21" s="166"/>
      <c r="G21" s="52"/>
      <c r="H21" s="2109"/>
      <c r="I21" s="47"/>
      <c r="J21" s="2109"/>
      <c r="K21" s="2107"/>
      <c r="L21" s="2109"/>
      <c r="M21" s="2107"/>
      <c r="N21" s="2109"/>
      <c r="O21" s="2107"/>
      <c r="P21" s="2109"/>
      <c r="Q21" s="2107"/>
      <c r="R21" s="2109"/>
      <c r="S21" s="2107"/>
      <c r="T21" s="2109"/>
      <c r="U21" s="2107"/>
      <c r="V21" s="2109"/>
      <c r="W21" s="2107"/>
    </row>
    <row r="22" spans="1:23" ht="14.5" x14ac:dyDescent="0.35">
      <c r="A22" s="3233"/>
      <c r="B22" s="606" t="s">
        <v>657</v>
      </c>
      <c r="C22" s="3036"/>
      <c r="D22" s="3032"/>
      <c r="E22" s="3032"/>
      <c r="F22" s="3050"/>
      <c r="G22" s="3242"/>
      <c r="H22" s="2109"/>
      <c r="I22" s="3210"/>
      <c r="J22" s="2109"/>
      <c r="K22" s="2276"/>
      <c r="L22" s="2109"/>
      <c r="M22" s="3208"/>
      <c r="N22" s="2109"/>
      <c r="O22" s="3208"/>
      <c r="P22" s="2109"/>
      <c r="Q22" s="2276"/>
      <c r="R22" s="2109"/>
      <c r="S22" s="2276"/>
      <c r="T22" s="2109"/>
      <c r="U22" s="2276"/>
      <c r="V22" s="2109"/>
      <c r="W22" s="2276"/>
    </row>
    <row r="23" spans="1:23" ht="14.5" x14ac:dyDescent="0.35">
      <c r="A23" s="3233"/>
      <c r="B23" s="3209" t="s">
        <v>658</v>
      </c>
      <c r="C23" s="3036"/>
      <c r="D23" s="3032"/>
      <c r="E23" s="3032"/>
      <c r="F23" s="3050"/>
      <c r="G23" s="3242"/>
      <c r="H23" s="2109" t="s">
        <v>669</v>
      </c>
      <c r="I23" s="3210"/>
      <c r="J23" s="2109" t="s">
        <v>669</v>
      </c>
      <c r="K23" s="3211"/>
      <c r="L23" s="2109"/>
      <c r="M23" s="3211"/>
      <c r="N23" s="2109" t="s">
        <v>669</v>
      </c>
      <c r="O23" s="3211"/>
      <c r="P23" s="2109" t="s">
        <v>669</v>
      </c>
      <c r="Q23" s="3212"/>
      <c r="R23" s="2109" t="s">
        <v>669</v>
      </c>
      <c r="S23" s="3212"/>
      <c r="T23" s="2109" t="s">
        <v>669</v>
      </c>
      <c r="U23" s="3212"/>
      <c r="V23" s="2109" t="s">
        <v>669</v>
      </c>
      <c r="W23" s="3211"/>
    </row>
    <row r="24" spans="1:23" ht="14.5" x14ac:dyDescent="0.35">
      <c r="A24" s="3233"/>
      <c r="B24" s="3209" t="s">
        <v>659</v>
      </c>
      <c r="C24" s="3036"/>
      <c r="D24" s="3032"/>
      <c r="E24" s="3032"/>
      <c r="F24" s="3050"/>
      <c r="G24" s="3242"/>
      <c r="H24" s="2109" t="s">
        <v>669</v>
      </c>
      <c r="I24" s="3211"/>
      <c r="J24" s="2109" t="s">
        <v>669</v>
      </c>
      <c r="K24" s="3211"/>
      <c r="L24" s="2109"/>
      <c r="M24" s="3211"/>
      <c r="N24" s="2109" t="s">
        <v>669</v>
      </c>
      <c r="O24" s="3211"/>
      <c r="P24" s="2109" t="s">
        <v>669</v>
      </c>
      <c r="Q24" s="3212"/>
      <c r="R24" s="2109" t="s">
        <v>669</v>
      </c>
      <c r="S24" s="3212"/>
      <c r="T24" s="2109" t="s">
        <v>669</v>
      </c>
      <c r="U24" s="3212"/>
      <c r="V24" s="2109" t="s">
        <v>669</v>
      </c>
      <c r="W24" s="3211"/>
    </row>
    <row r="25" spans="1:23" ht="14.5" x14ac:dyDescent="0.35">
      <c r="A25" s="3233"/>
      <c r="B25" s="3213" t="s">
        <v>660</v>
      </c>
      <c r="C25" s="3036"/>
      <c r="D25" s="3032"/>
      <c r="E25" s="3032"/>
      <c r="F25" s="3050"/>
      <c r="G25" s="3242"/>
      <c r="H25" s="2109" t="s">
        <v>671</v>
      </c>
      <c r="I25" s="3211"/>
      <c r="J25" s="2109" t="s">
        <v>671</v>
      </c>
      <c r="K25" s="3211"/>
      <c r="L25" s="2109"/>
      <c r="M25" s="3211"/>
      <c r="N25" s="2109" t="s">
        <v>671</v>
      </c>
      <c r="O25" s="3211"/>
      <c r="P25" s="2109" t="s">
        <v>671</v>
      </c>
      <c r="Q25" s="3212"/>
      <c r="R25" s="2109" t="s">
        <v>671</v>
      </c>
      <c r="S25" s="3212"/>
      <c r="T25" s="2109" t="s">
        <v>671</v>
      </c>
      <c r="U25" s="3212"/>
      <c r="V25" s="2109" t="s">
        <v>671</v>
      </c>
      <c r="W25" s="3211"/>
    </row>
    <row r="26" spans="1:23" ht="14.5" x14ac:dyDescent="0.35">
      <c r="A26" s="3233"/>
      <c r="B26" s="3213" t="s">
        <v>661</v>
      </c>
      <c r="C26" s="3036"/>
      <c r="D26" s="3032"/>
      <c r="E26" s="3032"/>
      <c r="F26" s="3050"/>
      <c r="G26" s="3242"/>
      <c r="H26" s="2109" t="s">
        <v>669</v>
      </c>
      <c r="I26" s="3211"/>
      <c r="J26" s="2109" t="s">
        <v>669</v>
      </c>
      <c r="K26" s="3211"/>
      <c r="L26" s="2109"/>
      <c r="M26" s="3211"/>
      <c r="N26" s="2109" t="s">
        <v>669</v>
      </c>
      <c r="O26" s="3211"/>
      <c r="P26" s="2109" t="s">
        <v>669</v>
      </c>
      <c r="Q26" s="3212"/>
      <c r="R26" s="2109" t="s">
        <v>669</v>
      </c>
      <c r="S26" s="3212"/>
      <c r="T26" s="2109" t="s">
        <v>669</v>
      </c>
      <c r="U26" s="3212"/>
      <c r="V26" s="2109" t="s">
        <v>669</v>
      </c>
      <c r="W26" s="3211"/>
    </row>
    <row r="27" spans="1:23" ht="14.5" x14ac:dyDescent="0.35">
      <c r="A27" s="3233"/>
      <c r="B27" s="3213" t="s">
        <v>662</v>
      </c>
      <c r="C27" s="3036"/>
      <c r="D27" s="3032"/>
      <c r="E27" s="3032"/>
      <c r="F27" s="3050"/>
      <c r="G27" s="3242"/>
      <c r="H27" s="2109" t="s">
        <v>669</v>
      </c>
      <c r="I27" s="3211"/>
      <c r="J27" s="2109" t="s">
        <v>669</v>
      </c>
      <c r="K27" s="3211"/>
      <c r="L27" s="2109"/>
      <c r="M27" s="3211"/>
      <c r="N27" s="2109" t="s">
        <v>669</v>
      </c>
      <c r="O27" s="3211"/>
      <c r="P27" s="2109" t="s">
        <v>669</v>
      </c>
      <c r="Q27" s="3212"/>
      <c r="R27" s="2109" t="s">
        <v>669</v>
      </c>
      <c r="S27" s="3212"/>
      <c r="T27" s="2109" t="s">
        <v>669</v>
      </c>
      <c r="U27" s="3212"/>
      <c r="V27" s="2109" t="s">
        <v>669</v>
      </c>
      <c r="W27" s="3211"/>
    </row>
    <row r="28" spans="1:23" ht="14.5" x14ac:dyDescent="0.35">
      <c r="A28" s="3233"/>
      <c r="B28" s="3213" t="s">
        <v>663</v>
      </c>
      <c r="C28" s="3036"/>
      <c r="D28" s="3032"/>
      <c r="E28" s="3032"/>
      <c r="F28" s="3050"/>
      <c r="G28" s="3242"/>
      <c r="H28" s="2109" t="s">
        <v>669</v>
      </c>
      <c r="I28" s="3211"/>
      <c r="J28" s="2109" t="s">
        <v>669</v>
      </c>
      <c r="K28" s="3211"/>
      <c r="L28" s="2109"/>
      <c r="M28" s="3211"/>
      <c r="N28" s="2109" t="s">
        <v>669</v>
      </c>
      <c r="O28" s="3211"/>
      <c r="P28" s="2109" t="s">
        <v>669</v>
      </c>
      <c r="Q28" s="3212"/>
      <c r="R28" s="2109" t="s">
        <v>669</v>
      </c>
      <c r="S28" s="3212"/>
      <c r="T28" s="2109" t="s">
        <v>669</v>
      </c>
      <c r="U28" s="3212"/>
      <c r="V28" s="2109" t="s">
        <v>669</v>
      </c>
      <c r="W28" s="3211"/>
    </row>
    <row r="29" spans="1:23" ht="14.5" x14ac:dyDescent="0.35">
      <c r="A29" s="3243"/>
      <c r="B29" s="3213" t="s">
        <v>789</v>
      </c>
      <c r="C29" s="3036"/>
      <c r="D29" s="3032"/>
      <c r="E29" s="3032"/>
      <c r="F29" s="3050"/>
      <c r="G29" s="3242"/>
      <c r="H29" s="2109" t="s">
        <v>671</v>
      </c>
      <c r="I29" s="3211" t="s">
        <v>1008</v>
      </c>
      <c r="J29" s="2109" t="s">
        <v>671</v>
      </c>
      <c r="K29" s="3211" t="s">
        <v>966</v>
      </c>
      <c r="L29" s="2109"/>
      <c r="M29" s="3211"/>
      <c r="N29" s="2109" t="s">
        <v>671</v>
      </c>
      <c r="O29" s="3211" t="s">
        <v>966</v>
      </c>
      <c r="P29" s="2109" t="s">
        <v>671</v>
      </c>
      <c r="Q29" s="3211" t="s">
        <v>1008</v>
      </c>
      <c r="R29" s="2109" t="s">
        <v>671</v>
      </c>
      <c r="S29" s="3211" t="s">
        <v>1008</v>
      </c>
      <c r="T29" s="2109" t="s">
        <v>671</v>
      </c>
      <c r="U29" s="3211" t="s">
        <v>1008</v>
      </c>
      <c r="V29" s="2109" t="s">
        <v>671</v>
      </c>
      <c r="W29" s="3211" t="s">
        <v>966</v>
      </c>
    </row>
    <row r="30" spans="1:23" ht="14.5" x14ac:dyDescent="0.35">
      <c r="A30" s="3243"/>
      <c r="B30" s="3213" t="s">
        <v>790</v>
      </c>
      <c r="C30" s="3036"/>
      <c r="D30" s="3032"/>
      <c r="E30" s="3032"/>
      <c r="F30" s="3050"/>
      <c r="G30" s="3242"/>
      <c r="H30" s="2109" t="s">
        <v>671</v>
      </c>
      <c r="I30" s="3211" t="s">
        <v>2094</v>
      </c>
      <c r="J30" s="2109" t="s">
        <v>671</v>
      </c>
      <c r="K30" s="3211"/>
      <c r="L30" s="2109"/>
      <c r="M30" s="3211"/>
      <c r="N30" s="2109" t="s">
        <v>671</v>
      </c>
      <c r="O30" s="3211"/>
      <c r="P30" s="2109" t="s">
        <v>671</v>
      </c>
      <c r="Q30" s="3211" t="s">
        <v>968</v>
      </c>
      <c r="R30" s="2109" t="s">
        <v>671</v>
      </c>
      <c r="S30" s="3211" t="s">
        <v>3922</v>
      </c>
      <c r="T30" s="2109" t="s">
        <v>671</v>
      </c>
      <c r="U30" s="3211" t="s">
        <v>3922</v>
      </c>
      <c r="V30" s="2109" t="s">
        <v>671</v>
      </c>
      <c r="W30" s="3211"/>
    </row>
    <row r="31" spans="1:23" ht="14.5" x14ac:dyDescent="0.35">
      <c r="A31" s="3243"/>
      <c r="B31" s="3213" t="s">
        <v>791</v>
      </c>
      <c r="C31" s="3036"/>
      <c r="D31" s="3032"/>
      <c r="E31" s="3032"/>
      <c r="F31" s="3050"/>
      <c r="G31" s="3242"/>
      <c r="H31" s="2109" t="s">
        <v>671</v>
      </c>
      <c r="I31" s="3211"/>
      <c r="J31" s="2109" t="s">
        <v>671</v>
      </c>
      <c r="K31" s="3211"/>
      <c r="L31" s="2109"/>
      <c r="M31" s="3211"/>
      <c r="N31" s="2109" t="s">
        <v>671</v>
      </c>
      <c r="O31" s="3211"/>
      <c r="P31" s="2109" t="s">
        <v>671</v>
      </c>
      <c r="Q31" s="3212"/>
      <c r="R31" s="2109" t="s">
        <v>671</v>
      </c>
      <c r="S31" s="3212"/>
      <c r="T31" s="2109" t="s">
        <v>671</v>
      </c>
      <c r="U31" s="3212"/>
      <c r="V31" s="2109" t="s">
        <v>671</v>
      </c>
      <c r="W31" s="3211"/>
    </row>
    <row r="32" spans="1:23" ht="14.5" x14ac:dyDescent="0.35">
      <c r="A32" s="3243"/>
      <c r="B32" s="3244" t="s">
        <v>664</v>
      </c>
      <c r="C32" s="3036"/>
      <c r="D32" s="3032"/>
      <c r="E32" s="3032"/>
      <c r="F32" s="3050"/>
      <c r="G32" s="3242"/>
      <c r="H32" s="2109"/>
      <c r="I32" s="3210"/>
      <c r="J32" s="2109"/>
      <c r="K32" s="3212"/>
      <c r="L32" s="2109"/>
      <c r="M32" s="3211"/>
      <c r="N32" s="2109"/>
      <c r="O32" s="3211"/>
      <c r="P32" s="2109"/>
      <c r="Q32" s="3212"/>
      <c r="R32" s="2109"/>
      <c r="S32" s="3212"/>
      <c r="T32" s="2109"/>
      <c r="U32" s="3212"/>
      <c r="V32" s="2109"/>
      <c r="W32" s="3211"/>
    </row>
    <row r="33" spans="1:23" ht="14.5" x14ac:dyDescent="0.35">
      <c r="A33" s="3243"/>
      <c r="B33" s="3245" t="s">
        <v>665</v>
      </c>
      <c r="C33" s="3246"/>
      <c r="D33" s="3247"/>
      <c r="E33" s="3247"/>
      <c r="F33" s="3248"/>
      <c r="G33" s="3249">
        <f>SUM(G87:G90)</f>
        <v>0</v>
      </c>
      <c r="H33" s="3250"/>
      <c r="I33" s="3251">
        <v>681996</v>
      </c>
      <c r="J33" s="3218"/>
      <c r="K33" s="3220">
        <v>425981</v>
      </c>
      <c r="L33" s="3250"/>
      <c r="M33" s="3220">
        <v>506354</v>
      </c>
      <c r="N33" s="3250"/>
      <c r="O33" s="3220"/>
      <c r="P33" s="3250"/>
      <c r="Q33" s="3220">
        <v>498273</v>
      </c>
      <c r="R33" s="3218"/>
      <c r="S33" s="3220">
        <v>425288</v>
      </c>
      <c r="T33" s="3218"/>
      <c r="U33" s="3220">
        <v>566699</v>
      </c>
      <c r="V33" s="3250"/>
      <c r="W33" s="3220">
        <v>588562</v>
      </c>
    </row>
    <row r="34" spans="1:23" ht="14.5" x14ac:dyDescent="0.35">
      <c r="A34" s="3243"/>
      <c r="B34" s="3252" t="s">
        <v>874</v>
      </c>
      <c r="C34" s="3253"/>
      <c r="D34" s="3032"/>
      <c r="E34" s="3032"/>
      <c r="F34" s="3050"/>
      <c r="G34" s="3242"/>
      <c r="H34" s="2109"/>
      <c r="I34" s="3210"/>
      <c r="J34" s="2109"/>
      <c r="K34" s="3212"/>
      <c r="L34" s="2109"/>
      <c r="M34" s="3211"/>
      <c r="N34" s="2109"/>
      <c r="O34" s="3211"/>
      <c r="P34" s="2109"/>
      <c r="Q34" s="3212"/>
      <c r="R34" s="2109"/>
      <c r="S34" s="3212"/>
      <c r="T34" s="2109"/>
      <c r="U34" s="3212"/>
      <c r="V34" s="2109"/>
      <c r="W34" s="3211"/>
    </row>
    <row r="35" spans="1:23" ht="14.5" x14ac:dyDescent="0.35">
      <c r="A35" s="3243"/>
      <c r="B35" s="3252" t="s">
        <v>3923</v>
      </c>
      <c r="C35" s="3253"/>
      <c r="D35" s="3032"/>
      <c r="E35" s="3032"/>
      <c r="F35" s="3050"/>
      <c r="G35" s="3242"/>
      <c r="H35" s="2109"/>
      <c r="I35" s="3210"/>
      <c r="J35" s="2109"/>
      <c r="K35" s="3212"/>
      <c r="L35" s="2109"/>
      <c r="M35" s="3211"/>
      <c r="N35" s="2109"/>
      <c r="O35" s="3211"/>
      <c r="P35" s="2109"/>
      <c r="Q35" s="3212"/>
      <c r="R35" s="2109"/>
      <c r="S35" s="3212"/>
      <c r="T35" s="2109"/>
      <c r="U35" s="3212"/>
      <c r="V35" s="2109"/>
      <c r="W35" s="3211"/>
    </row>
    <row r="36" spans="1:23" ht="14.5" x14ac:dyDescent="0.35">
      <c r="A36" s="3243"/>
      <c r="B36" s="3254" t="s">
        <v>3924</v>
      </c>
      <c r="C36" s="3032" t="s">
        <v>3925</v>
      </c>
      <c r="D36" s="3032">
        <v>1376</v>
      </c>
      <c r="E36" s="3032" t="s">
        <v>28</v>
      </c>
      <c r="F36" s="3050"/>
      <c r="G36" s="3242"/>
      <c r="H36" s="2109"/>
      <c r="I36" s="3210"/>
      <c r="J36" s="2109"/>
      <c r="K36" s="3212"/>
      <c r="L36" s="2109"/>
      <c r="M36" s="3211"/>
      <c r="N36" s="2109"/>
      <c r="O36" s="3211"/>
      <c r="P36" s="2109"/>
      <c r="Q36" s="3212"/>
      <c r="R36" s="2109"/>
      <c r="S36" s="3212"/>
      <c r="T36" s="2109"/>
      <c r="U36" s="3212"/>
      <c r="V36" s="2109"/>
      <c r="W36" s="3211"/>
    </row>
    <row r="37" spans="1:23" ht="14.5" x14ac:dyDescent="0.35">
      <c r="A37" s="3243"/>
      <c r="B37" s="3252" t="s">
        <v>3926</v>
      </c>
      <c r="C37" s="3032" t="s">
        <v>3925</v>
      </c>
      <c r="D37" s="3032"/>
      <c r="E37" s="3032"/>
      <c r="F37" s="3050"/>
      <c r="G37" s="2198"/>
      <c r="H37" s="2109"/>
      <c r="I37" s="3210"/>
      <c r="J37" s="2109" t="s">
        <v>669</v>
      </c>
      <c r="K37" s="3212"/>
      <c r="L37" s="2109" t="s">
        <v>669</v>
      </c>
      <c r="M37" s="3211"/>
      <c r="N37" s="2109" t="s">
        <v>669</v>
      </c>
      <c r="O37" s="3211"/>
      <c r="P37" s="2109" t="s">
        <v>669</v>
      </c>
      <c r="Q37" s="3212"/>
      <c r="R37" s="2109" t="s">
        <v>669</v>
      </c>
      <c r="S37" s="3212"/>
      <c r="T37" s="2109" t="s">
        <v>669</v>
      </c>
      <c r="U37" s="3212"/>
      <c r="V37" s="2109" t="s">
        <v>669</v>
      </c>
      <c r="W37" s="3211"/>
    </row>
    <row r="38" spans="1:23" ht="14.5" x14ac:dyDescent="0.35">
      <c r="A38" s="3243"/>
      <c r="B38" s="3252" t="s">
        <v>3927</v>
      </c>
      <c r="C38" s="3032" t="s">
        <v>3925</v>
      </c>
      <c r="D38" s="3032"/>
      <c r="E38" s="3032"/>
      <c r="F38" s="3050"/>
      <c r="G38" s="2198"/>
      <c r="H38" s="2109"/>
      <c r="I38" s="3210"/>
      <c r="J38" s="2109" t="s">
        <v>669</v>
      </c>
      <c r="K38" s="3212"/>
      <c r="L38" s="2109" t="s">
        <v>669</v>
      </c>
      <c r="M38" s="3211"/>
      <c r="N38" s="2109" t="s">
        <v>669</v>
      </c>
      <c r="O38" s="3211"/>
      <c r="P38" s="2109" t="s">
        <v>669</v>
      </c>
      <c r="Q38" s="3212"/>
      <c r="R38" s="2109" t="s">
        <v>669</v>
      </c>
      <c r="S38" s="3212"/>
      <c r="T38" s="2109" t="s">
        <v>669</v>
      </c>
      <c r="U38" s="3212"/>
      <c r="V38" s="2109" t="s">
        <v>669</v>
      </c>
      <c r="W38" s="3211"/>
    </row>
    <row r="39" spans="1:23" ht="14.5" x14ac:dyDescent="0.35">
      <c r="A39" s="3243"/>
      <c r="B39" s="3254" t="s">
        <v>3928</v>
      </c>
      <c r="C39" s="3032" t="s">
        <v>3925</v>
      </c>
      <c r="D39" s="3032">
        <v>33520</v>
      </c>
      <c r="E39" s="3032" t="s">
        <v>28</v>
      </c>
      <c r="F39" s="3050"/>
      <c r="G39" s="2198"/>
      <c r="H39" s="2109"/>
      <c r="I39" s="3210"/>
      <c r="J39" s="2109" t="s">
        <v>669</v>
      </c>
      <c r="K39" s="3212"/>
      <c r="L39" s="2109" t="s">
        <v>669</v>
      </c>
      <c r="M39" s="3211"/>
      <c r="N39" s="2109" t="s">
        <v>669</v>
      </c>
      <c r="O39" s="3211"/>
      <c r="P39" s="2109" t="s">
        <v>669</v>
      </c>
      <c r="Q39" s="3212"/>
      <c r="R39" s="2109" t="s">
        <v>669</v>
      </c>
      <c r="S39" s="3212"/>
      <c r="T39" s="2109" t="s">
        <v>669</v>
      </c>
      <c r="U39" s="3212"/>
      <c r="V39" s="2109" t="s">
        <v>669</v>
      </c>
      <c r="W39" s="3211"/>
    </row>
    <row r="40" spans="1:23" ht="14.5" x14ac:dyDescent="0.35">
      <c r="A40" s="3243"/>
      <c r="B40" s="3252" t="s">
        <v>3929</v>
      </c>
      <c r="C40" s="3032" t="s">
        <v>3925</v>
      </c>
      <c r="D40" s="3032"/>
      <c r="E40" s="3032"/>
      <c r="F40" s="3050"/>
      <c r="G40" s="2198"/>
      <c r="H40" s="2109"/>
      <c r="I40" s="3210"/>
      <c r="J40" s="2109" t="s">
        <v>669</v>
      </c>
      <c r="K40" s="3212"/>
      <c r="L40" s="2109" t="s">
        <v>669</v>
      </c>
      <c r="M40" s="3211"/>
      <c r="N40" s="2109" t="s">
        <v>669</v>
      </c>
      <c r="O40" s="3211"/>
      <c r="P40" s="2109" t="s">
        <v>669</v>
      </c>
      <c r="Q40" s="3212"/>
      <c r="R40" s="2109" t="s">
        <v>669</v>
      </c>
      <c r="S40" s="3212"/>
      <c r="T40" s="2109" t="s">
        <v>669</v>
      </c>
      <c r="U40" s="3212"/>
      <c r="V40" s="2109" t="s">
        <v>669</v>
      </c>
      <c r="W40" s="3211"/>
    </row>
    <row r="41" spans="1:23" ht="14.5" x14ac:dyDescent="0.35">
      <c r="A41" s="3243"/>
      <c r="B41" s="3252" t="s">
        <v>3930</v>
      </c>
      <c r="C41" s="3032" t="s">
        <v>3925</v>
      </c>
      <c r="D41" s="3032"/>
      <c r="E41" s="3032"/>
      <c r="F41" s="3050"/>
      <c r="G41" s="2198"/>
      <c r="H41" s="2109"/>
      <c r="I41" s="3210"/>
      <c r="J41" s="2109" t="s">
        <v>669</v>
      </c>
      <c r="K41" s="3212"/>
      <c r="L41" s="2109" t="s">
        <v>669</v>
      </c>
      <c r="M41" s="3211"/>
      <c r="N41" s="2109" t="s">
        <v>669</v>
      </c>
      <c r="O41" s="3211"/>
      <c r="P41" s="2109" t="s">
        <v>669</v>
      </c>
      <c r="Q41" s="3212"/>
      <c r="R41" s="2109" t="s">
        <v>669</v>
      </c>
      <c r="S41" s="3212"/>
      <c r="T41" s="2109" t="s">
        <v>669</v>
      </c>
      <c r="U41" s="3212"/>
      <c r="V41" s="2109" t="s">
        <v>669</v>
      </c>
      <c r="W41" s="3211"/>
    </row>
    <row r="42" spans="1:23" ht="14.5" x14ac:dyDescent="0.35">
      <c r="A42" s="3243"/>
      <c r="B42" s="3252" t="s">
        <v>3931</v>
      </c>
      <c r="C42" s="3032" t="s">
        <v>3925</v>
      </c>
      <c r="D42" s="3032"/>
      <c r="E42" s="3032"/>
      <c r="F42" s="3050"/>
      <c r="G42" s="2198"/>
      <c r="H42" s="2109"/>
      <c r="I42" s="3210"/>
      <c r="J42" s="2109" t="s">
        <v>669</v>
      </c>
      <c r="K42" s="3212"/>
      <c r="L42" s="2109" t="s">
        <v>669</v>
      </c>
      <c r="M42" s="3211"/>
      <c r="N42" s="2109" t="s">
        <v>669</v>
      </c>
      <c r="O42" s="3211"/>
      <c r="P42" s="2109" t="s">
        <v>669</v>
      </c>
      <c r="Q42" s="3212"/>
      <c r="R42" s="2109" t="s">
        <v>669</v>
      </c>
      <c r="S42" s="3212"/>
      <c r="T42" s="2109" t="s">
        <v>669</v>
      </c>
      <c r="U42" s="3212"/>
      <c r="V42" s="2109" t="s">
        <v>669</v>
      </c>
      <c r="W42" s="3211"/>
    </row>
    <row r="43" spans="1:23" ht="14.5" x14ac:dyDescent="0.35">
      <c r="A43" s="3243"/>
      <c r="B43" s="3254" t="s">
        <v>3932</v>
      </c>
      <c r="C43" s="3032" t="s">
        <v>3925</v>
      </c>
      <c r="D43" s="3032">
        <v>3654</v>
      </c>
      <c r="E43" s="3032"/>
      <c r="F43" s="3050"/>
      <c r="G43" s="2198"/>
      <c r="H43" s="2109"/>
      <c r="I43" s="3210"/>
      <c r="J43" s="2109" t="s">
        <v>669</v>
      </c>
      <c r="K43" s="3212"/>
      <c r="L43" s="2109" t="s">
        <v>669</v>
      </c>
      <c r="M43" s="3211"/>
      <c r="N43" s="2109" t="s">
        <v>669</v>
      </c>
      <c r="O43" s="3211"/>
      <c r="P43" s="2109" t="s">
        <v>669</v>
      </c>
      <c r="Q43" s="3212"/>
      <c r="R43" s="2109" t="s">
        <v>669</v>
      </c>
      <c r="S43" s="3212"/>
      <c r="T43" s="2109" t="s">
        <v>669</v>
      </c>
      <c r="U43" s="3212"/>
      <c r="V43" s="2109" t="s">
        <v>669</v>
      </c>
      <c r="W43" s="3211"/>
    </row>
    <row r="44" spans="1:23" ht="14.5" x14ac:dyDescent="0.35">
      <c r="A44" s="3243"/>
      <c r="B44" s="3252" t="s">
        <v>3933</v>
      </c>
      <c r="C44" s="3032" t="s">
        <v>3925</v>
      </c>
      <c r="D44" s="3032"/>
      <c r="E44" s="3032"/>
      <c r="F44" s="3050"/>
      <c r="G44" s="2198"/>
      <c r="H44" s="2109"/>
      <c r="I44" s="3210"/>
      <c r="J44" s="2109" t="s">
        <v>669</v>
      </c>
      <c r="K44" s="3212"/>
      <c r="L44" s="2109" t="s">
        <v>669</v>
      </c>
      <c r="M44" s="3211"/>
      <c r="N44" s="2109" t="s">
        <v>669</v>
      </c>
      <c r="O44" s="3211"/>
      <c r="P44" s="2109" t="s">
        <v>669</v>
      </c>
      <c r="Q44" s="3212"/>
      <c r="R44" s="2109" t="s">
        <v>669</v>
      </c>
      <c r="S44" s="3212"/>
      <c r="T44" s="2109" t="s">
        <v>669</v>
      </c>
      <c r="U44" s="3212"/>
      <c r="V44" s="2109" t="s">
        <v>669</v>
      </c>
      <c r="W44" s="3211"/>
    </row>
    <row r="45" spans="1:23" ht="14.5" x14ac:dyDescent="0.35">
      <c r="A45" s="3243"/>
      <c r="B45" s="3252" t="s">
        <v>3934</v>
      </c>
      <c r="C45" s="3032" t="s">
        <v>3925</v>
      </c>
      <c r="D45" s="3032"/>
      <c r="E45" s="3032"/>
      <c r="F45" s="3050"/>
      <c r="G45" s="2198"/>
      <c r="H45" s="2109"/>
      <c r="I45" s="3210"/>
      <c r="J45" s="2109" t="s">
        <v>669</v>
      </c>
      <c r="K45" s="3212"/>
      <c r="L45" s="2109" t="s">
        <v>669</v>
      </c>
      <c r="M45" s="3211"/>
      <c r="N45" s="2109" t="s">
        <v>669</v>
      </c>
      <c r="O45" s="3211"/>
      <c r="P45" s="2109" t="s">
        <v>669</v>
      </c>
      <c r="Q45" s="3212"/>
      <c r="R45" s="2109" t="s">
        <v>669</v>
      </c>
      <c r="S45" s="3212"/>
      <c r="T45" s="2109" t="s">
        <v>669</v>
      </c>
      <c r="U45" s="3212"/>
      <c r="V45" s="2109" t="s">
        <v>669</v>
      </c>
      <c r="W45" s="3211"/>
    </row>
    <row r="46" spans="1:23" ht="14.5" x14ac:dyDescent="0.35">
      <c r="A46" s="3243"/>
      <c r="B46" s="3254" t="s">
        <v>3935</v>
      </c>
      <c r="C46" s="3032" t="s">
        <v>3925</v>
      </c>
      <c r="D46" s="3032">
        <v>7660</v>
      </c>
      <c r="E46" s="3032"/>
      <c r="F46" s="3050"/>
      <c r="G46" s="2198"/>
      <c r="H46" s="2109"/>
      <c r="I46" s="3210"/>
      <c r="J46" s="2109" t="s">
        <v>669</v>
      </c>
      <c r="K46" s="3212"/>
      <c r="L46" s="2109" t="s">
        <v>669</v>
      </c>
      <c r="M46" s="3211"/>
      <c r="N46" s="2109" t="s">
        <v>669</v>
      </c>
      <c r="O46" s="3211"/>
      <c r="P46" s="2109" t="s">
        <v>669</v>
      </c>
      <c r="Q46" s="3212"/>
      <c r="R46" s="2109" t="s">
        <v>669</v>
      </c>
      <c r="S46" s="3212"/>
      <c r="T46" s="2109" t="s">
        <v>669</v>
      </c>
      <c r="U46" s="3212"/>
      <c r="V46" s="2109" t="s">
        <v>669</v>
      </c>
      <c r="W46" s="3211"/>
    </row>
    <row r="47" spans="1:23" ht="14.5" x14ac:dyDescent="0.35">
      <c r="A47" s="3243"/>
      <c r="B47" s="3252" t="s">
        <v>3936</v>
      </c>
      <c r="C47" s="3032" t="s">
        <v>3925</v>
      </c>
      <c r="D47" s="3032"/>
      <c r="E47" s="3032"/>
      <c r="F47" s="3050"/>
      <c r="G47" s="2198"/>
      <c r="H47" s="2109"/>
      <c r="I47" s="3210"/>
      <c r="J47" s="2109" t="s">
        <v>669</v>
      </c>
      <c r="K47" s="3212"/>
      <c r="L47" s="2109" t="s">
        <v>669</v>
      </c>
      <c r="M47" s="3211"/>
      <c r="N47" s="2109" t="s">
        <v>669</v>
      </c>
      <c r="O47" s="3211"/>
      <c r="P47" s="2109" t="s">
        <v>669</v>
      </c>
      <c r="Q47" s="3212"/>
      <c r="R47" s="2109" t="s">
        <v>669</v>
      </c>
      <c r="S47" s="3212"/>
      <c r="T47" s="2109" t="s">
        <v>669</v>
      </c>
      <c r="U47" s="3212"/>
      <c r="V47" s="2109" t="s">
        <v>669</v>
      </c>
      <c r="W47" s="3211"/>
    </row>
    <row r="48" spans="1:23" ht="14.5" x14ac:dyDescent="0.35">
      <c r="A48" s="3243"/>
      <c r="B48" s="3255" t="s">
        <v>3937</v>
      </c>
      <c r="C48" s="3032" t="s">
        <v>3938</v>
      </c>
      <c r="D48" s="3032"/>
      <c r="E48" s="3032"/>
      <c r="F48" s="3050"/>
      <c r="G48" s="2198"/>
      <c r="H48" s="2109"/>
      <c r="I48" s="3210"/>
      <c r="J48" s="2109" t="s">
        <v>669</v>
      </c>
      <c r="K48" s="3212"/>
      <c r="L48" s="2109"/>
      <c r="M48" s="3211"/>
      <c r="N48" s="2109" t="s">
        <v>669</v>
      </c>
      <c r="O48" s="3211"/>
      <c r="P48" s="2109"/>
      <c r="Q48" s="3212"/>
      <c r="R48" s="2109" t="s">
        <v>669</v>
      </c>
      <c r="S48" s="3212"/>
      <c r="T48" s="2109" t="s">
        <v>669</v>
      </c>
      <c r="U48" s="3212"/>
      <c r="V48" s="2109" t="s">
        <v>669</v>
      </c>
      <c r="W48" s="3211"/>
    </row>
    <row r="49" spans="1:23" ht="14.5" x14ac:dyDescent="0.35">
      <c r="A49" s="3243"/>
      <c r="B49" s="3252" t="s">
        <v>3939</v>
      </c>
      <c r="C49" s="3032" t="s">
        <v>3938</v>
      </c>
      <c r="D49" s="3032"/>
      <c r="E49" s="3032"/>
      <c r="F49" s="3050"/>
      <c r="G49" s="2198"/>
      <c r="H49" s="2109"/>
      <c r="I49" s="3210"/>
      <c r="J49" s="2109" t="s">
        <v>669</v>
      </c>
      <c r="K49" s="3212"/>
      <c r="L49" s="2109"/>
      <c r="M49" s="3211"/>
      <c r="N49" s="2109" t="s">
        <v>669</v>
      </c>
      <c r="O49" s="3211"/>
      <c r="P49" s="2109"/>
      <c r="Q49" s="3212"/>
      <c r="R49" s="2109" t="s">
        <v>669</v>
      </c>
      <c r="S49" s="3212"/>
      <c r="T49" s="2109" t="s">
        <v>669</v>
      </c>
      <c r="U49" s="3212"/>
      <c r="V49" s="2109" t="s">
        <v>669</v>
      </c>
      <c r="W49" s="3211"/>
    </row>
    <row r="50" spans="1:23" ht="14.5" x14ac:dyDescent="0.35">
      <c r="A50" s="3243"/>
      <c r="B50" s="3252" t="s">
        <v>3940</v>
      </c>
      <c r="C50" s="3032" t="s">
        <v>3938</v>
      </c>
      <c r="D50" s="3032"/>
      <c r="E50" s="3032"/>
      <c r="F50" s="3050"/>
      <c r="G50" s="2198"/>
      <c r="H50" s="2109"/>
      <c r="I50" s="3210"/>
      <c r="J50" s="3256"/>
      <c r="K50" s="3212"/>
      <c r="L50" s="2109"/>
      <c r="M50" s="3211"/>
      <c r="N50" s="2109" t="s">
        <v>669</v>
      </c>
      <c r="O50" s="3211"/>
      <c r="P50" s="2109"/>
      <c r="Q50" s="3212"/>
      <c r="R50" s="3256"/>
      <c r="S50" s="3212"/>
      <c r="T50" s="3256"/>
      <c r="U50" s="3212"/>
      <c r="V50" s="3256"/>
      <c r="W50" s="3211"/>
    </row>
    <row r="51" spans="1:23" ht="14.5" x14ac:dyDescent="0.35">
      <c r="A51" s="3243"/>
      <c r="B51" s="3252"/>
      <c r="C51" s="2695"/>
      <c r="D51" s="3032"/>
      <c r="E51" s="3032"/>
      <c r="F51" s="3050"/>
      <c r="G51" s="2198"/>
      <c r="H51" s="2109"/>
      <c r="I51" s="3210"/>
      <c r="J51" s="2109"/>
      <c r="K51" s="3212"/>
      <c r="L51" s="2109"/>
      <c r="M51" s="3211"/>
      <c r="N51" s="2109"/>
      <c r="O51" s="3211"/>
      <c r="P51" s="2109"/>
      <c r="Q51" s="3212"/>
      <c r="R51" s="2109"/>
      <c r="S51" s="3212"/>
      <c r="T51" s="2109"/>
      <c r="U51" s="3212"/>
      <c r="V51" s="2109"/>
      <c r="W51" s="3211"/>
    </row>
    <row r="52" spans="1:23" ht="14.5" x14ac:dyDescent="0.35">
      <c r="A52" s="3243"/>
      <c r="B52" s="3254" t="s">
        <v>3941</v>
      </c>
      <c r="C52" s="3253"/>
      <c r="D52" s="3032"/>
      <c r="E52" s="3032"/>
      <c r="F52" s="3050"/>
      <c r="G52" s="2198"/>
      <c r="H52" s="2109"/>
      <c r="I52" s="3210"/>
      <c r="J52" s="3256" t="s">
        <v>654</v>
      </c>
      <c r="K52" s="3211">
        <v>55000</v>
      </c>
      <c r="L52" s="2109"/>
      <c r="M52" s="3211"/>
      <c r="N52" s="2109" t="s">
        <v>669</v>
      </c>
      <c r="O52" s="3211"/>
      <c r="P52" s="2109"/>
      <c r="Q52" s="3212"/>
      <c r="R52" s="3256" t="s">
        <v>654</v>
      </c>
      <c r="S52" s="3211">
        <v>55000</v>
      </c>
      <c r="T52" s="3256" t="s">
        <v>654</v>
      </c>
      <c r="U52" s="3211">
        <v>55000</v>
      </c>
      <c r="V52" s="3256"/>
      <c r="W52" s="3211"/>
    </row>
    <row r="53" spans="1:23" ht="14.5" x14ac:dyDescent="0.35">
      <c r="A53" s="3243"/>
      <c r="B53" s="3252" t="s">
        <v>3942</v>
      </c>
      <c r="C53" s="3253"/>
      <c r="D53" s="3032"/>
      <c r="E53" s="3032"/>
      <c r="F53" s="3050"/>
      <c r="G53" s="2198"/>
      <c r="H53" s="2109"/>
      <c r="I53" s="3210"/>
      <c r="J53" s="2109" t="s">
        <v>669</v>
      </c>
      <c r="K53" s="3212"/>
      <c r="L53" s="2109"/>
      <c r="M53" s="3211"/>
      <c r="N53" s="2109" t="s">
        <v>669</v>
      </c>
      <c r="O53" s="3211"/>
      <c r="P53" s="2109"/>
      <c r="Q53" s="3212"/>
      <c r="R53" s="2109" t="s">
        <v>669</v>
      </c>
      <c r="S53" s="3211">
        <v>2500</v>
      </c>
      <c r="T53" s="2109" t="s">
        <v>669</v>
      </c>
      <c r="U53" s="3211">
        <v>2500</v>
      </c>
      <c r="V53" s="2109"/>
      <c r="W53" s="3211"/>
    </row>
    <row r="54" spans="1:23" ht="14.5" x14ac:dyDescent="0.35">
      <c r="A54" s="3243"/>
      <c r="B54" s="3252" t="s">
        <v>3943</v>
      </c>
      <c r="C54" s="3253"/>
      <c r="D54" s="3032"/>
      <c r="E54" s="3032"/>
      <c r="F54" s="3050"/>
      <c r="G54" s="2198"/>
      <c r="H54" s="2109"/>
      <c r="I54" s="3210"/>
      <c r="J54" s="2109" t="s">
        <v>669</v>
      </c>
      <c r="K54" s="3212"/>
      <c r="L54" s="2109" t="s">
        <v>669</v>
      </c>
      <c r="M54" s="3211"/>
      <c r="N54" s="2109" t="s">
        <v>669</v>
      </c>
      <c r="O54" s="3211"/>
      <c r="P54" s="2109" t="s">
        <v>669</v>
      </c>
      <c r="Q54" s="3212"/>
      <c r="R54" s="2109"/>
      <c r="S54" s="3211"/>
      <c r="T54" s="2109"/>
      <c r="U54" s="3211"/>
      <c r="V54" s="2109"/>
      <c r="W54" s="3211"/>
    </row>
    <row r="55" spans="1:23" ht="14.5" x14ac:dyDescent="0.35">
      <c r="A55" s="3243"/>
      <c r="B55" s="3252" t="s">
        <v>3944</v>
      </c>
      <c r="C55" s="3253"/>
      <c r="D55" s="3032"/>
      <c r="E55" s="3032"/>
      <c r="F55" s="3050"/>
      <c r="G55" s="2198"/>
      <c r="H55" s="2109"/>
      <c r="I55" s="3210"/>
      <c r="J55" s="3256" t="s">
        <v>1659</v>
      </c>
      <c r="K55" s="3257">
        <f>O55</f>
        <v>43250</v>
      </c>
      <c r="L55" s="2109"/>
      <c r="M55" s="3211"/>
      <c r="N55" s="2109" t="s">
        <v>624</v>
      </c>
      <c r="O55" s="3211">
        <v>43250</v>
      </c>
      <c r="P55" s="2109" t="s">
        <v>669</v>
      </c>
      <c r="Q55" s="3211">
        <f>6000*1.02</f>
        <v>6120</v>
      </c>
      <c r="R55" s="2109" t="s">
        <v>669</v>
      </c>
      <c r="S55" s="3211">
        <v>38939</v>
      </c>
      <c r="T55" s="2109" t="s">
        <v>669</v>
      </c>
      <c r="U55" s="3211">
        <v>38939</v>
      </c>
      <c r="V55" s="2109"/>
      <c r="W55" s="3211"/>
    </row>
    <row r="56" spans="1:23" ht="14.5" x14ac:dyDescent="0.35">
      <c r="A56" s="3243"/>
      <c r="B56" s="3252" t="s">
        <v>80</v>
      </c>
      <c r="C56" s="3253"/>
      <c r="D56" s="3032">
        <v>6400</v>
      </c>
      <c r="E56" s="3032" t="s">
        <v>28</v>
      </c>
      <c r="F56" s="3050">
        <v>15</v>
      </c>
      <c r="G56" s="3050">
        <f>D56*F56</f>
        <v>96000</v>
      </c>
      <c r="H56" s="2109" t="s">
        <v>669</v>
      </c>
      <c r="I56" s="3210"/>
      <c r="J56" s="2109" t="s">
        <v>669</v>
      </c>
      <c r="K56" s="3212"/>
      <c r="L56" s="2109"/>
      <c r="M56" s="3211"/>
      <c r="N56" s="2109" t="s">
        <v>669</v>
      </c>
      <c r="O56" s="3211">
        <v>48150</v>
      </c>
      <c r="P56" s="2109"/>
      <c r="Q56" s="3212"/>
      <c r="R56" s="2109" t="s">
        <v>669</v>
      </c>
      <c r="S56" s="3212"/>
      <c r="T56" s="2109" t="s">
        <v>669</v>
      </c>
      <c r="U56" s="3212"/>
      <c r="V56" s="2109"/>
      <c r="W56" s="3211"/>
    </row>
    <row r="57" spans="1:23" ht="14.5" x14ac:dyDescent="0.35">
      <c r="A57" s="3243"/>
      <c r="B57" s="3252" t="s">
        <v>796</v>
      </c>
      <c r="C57" s="3253"/>
      <c r="D57" s="3032"/>
      <c r="E57" s="3032"/>
      <c r="F57" s="3050"/>
      <c r="G57" s="3050"/>
      <c r="H57" s="2109"/>
      <c r="I57" s="3210"/>
      <c r="J57" s="2109" t="s">
        <v>669</v>
      </c>
      <c r="K57" s="3212"/>
      <c r="L57" s="2109"/>
      <c r="M57" s="3211"/>
      <c r="N57" s="2109" t="s">
        <v>669</v>
      </c>
      <c r="O57" s="3211">
        <v>92365</v>
      </c>
      <c r="P57" s="2109"/>
      <c r="Q57" s="3212"/>
      <c r="R57" s="2109" t="s">
        <v>669</v>
      </c>
      <c r="S57" s="3212"/>
      <c r="T57" s="2109" t="s">
        <v>669</v>
      </c>
      <c r="U57" s="3212"/>
      <c r="V57" s="2109"/>
      <c r="W57" s="3211"/>
    </row>
    <row r="58" spans="1:23" ht="14.5" x14ac:dyDescent="0.35">
      <c r="A58" s="3243"/>
      <c r="B58" s="3252" t="s">
        <v>3945</v>
      </c>
      <c r="C58" s="3253"/>
      <c r="D58" s="3032">
        <v>40265</v>
      </c>
      <c r="E58" s="3032" t="s">
        <v>28</v>
      </c>
      <c r="F58" s="3050">
        <v>15</v>
      </c>
      <c r="G58" s="3050">
        <f t="shared" ref="G58:G59" si="0">D58*F58</f>
        <v>603975</v>
      </c>
      <c r="H58" s="2109" t="s">
        <v>669</v>
      </c>
      <c r="I58" s="3210"/>
      <c r="J58" s="2109" t="s">
        <v>669</v>
      </c>
      <c r="K58" s="3212"/>
      <c r="L58" s="2109"/>
      <c r="M58" s="3211"/>
      <c r="N58" s="2109" t="s">
        <v>669</v>
      </c>
      <c r="O58" s="3211">
        <v>317400</v>
      </c>
      <c r="P58" s="2109"/>
      <c r="Q58" s="3212"/>
      <c r="R58" s="2109" t="s">
        <v>669</v>
      </c>
      <c r="S58" s="3212"/>
      <c r="T58" s="2109" t="s">
        <v>669</v>
      </c>
      <c r="U58" s="3212"/>
      <c r="V58" s="2109"/>
      <c r="W58" s="3211"/>
    </row>
    <row r="59" spans="1:23" ht="14.5" x14ac:dyDescent="0.35">
      <c r="A59" s="3243"/>
      <c r="B59" s="3252" t="s">
        <v>3946</v>
      </c>
      <c r="C59" s="3253"/>
      <c r="D59" s="3032">
        <v>475</v>
      </c>
      <c r="E59" s="3032" t="s">
        <v>28</v>
      </c>
      <c r="F59" s="3050">
        <v>15</v>
      </c>
      <c r="G59" s="3050">
        <f t="shared" si="0"/>
        <v>7125</v>
      </c>
      <c r="H59" s="2109" t="s">
        <v>669</v>
      </c>
      <c r="I59" s="3210"/>
      <c r="J59" s="2109" t="s">
        <v>669</v>
      </c>
      <c r="K59" s="3212"/>
      <c r="L59" s="2109"/>
      <c r="M59" s="3211"/>
      <c r="N59" s="2109" t="s">
        <v>669</v>
      </c>
      <c r="O59" s="3211">
        <v>18400</v>
      </c>
      <c r="P59" s="2109"/>
      <c r="Q59" s="3212"/>
      <c r="R59" s="2109" t="s">
        <v>669</v>
      </c>
      <c r="S59" s="3212"/>
      <c r="T59" s="2109" t="s">
        <v>669</v>
      </c>
      <c r="U59" s="3212"/>
      <c r="V59" s="2109"/>
      <c r="W59" s="3211"/>
    </row>
    <row r="60" spans="1:23" ht="14.5" x14ac:dyDescent="0.35">
      <c r="A60" s="3243"/>
      <c r="B60" s="3252" t="s">
        <v>747</v>
      </c>
      <c r="C60" s="3253"/>
      <c r="D60" s="3032"/>
      <c r="E60" s="3032"/>
      <c r="F60" s="3050"/>
      <c r="G60" s="2198"/>
      <c r="H60" s="2109"/>
      <c r="I60" s="3210"/>
      <c r="J60" s="2109" t="s">
        <v>669</v>
      </c>
      <c r="K60" s="3212"/>
      <c r="L60" s="2109"/>
      <c r="M60" s="3211"/>
      <c r="N60" s="2109" t="s">
        <v>669</v>
      </c>
      <c r="O60" s="3211">
        <v>20685</v>
      </c>
      <c r="P60" s="2109"/>
      <c r="Q60" s="3212"/>
      <c r="R60" s="2109" t="s">
        <v>669</v>
      </c>
      <c r="S60" s="3212"/>
      <c r="T60" s="2109" t="s">
        <v>669</v>
      </c>
      <c r="U60" s="3212"/>
      <c r="V60" s="2109"/>
      <c r="W60" s="3211"/>
    </row>
    <row r="61" spans="1:23" ht="14.5" x14ac:dyDescent="0.35">
      <c r="A61" s="3243"/>
      <c r="B61" s="3252"/>
      <c r="C61" s="3253"/>
      <c r="D61" s="3032"/>
      <c r="E61" s="3032"/>
      <c r="F61" s="3050"/>
      <c r="G61" s="2198"/>
      <c r="H61" s="2109"/>
      <c r="I61" s="3210"/>
      <c r="J61" s="2109"/>
      <c r="K61" s="3212"/>
      <c r="L61" s="2109"/>
      <c r="M61" s="3211"/>
      <c r="N61" s="2109"/>
      <c r="O61" s="3211"/>
      <c r="P61" s="2109"/>
      <c r="Q61" s="3212"/>
      <c r="R61" s="2109"/>
      <c r="S61" s="3212"/>
      <c r="T61" s="2109"/>
      <c r="U61" s="3212"/>
      <c r="V61" s="2109"/>
      <c r="W61" s="3211"/>
    </row>
    <row r="62" spans="1:23" ht="14.5" x14ac:dyDescent="0.35">
      <c r="A62" s="3243"/>
      <c r="B62" s="3252"/>
      <c r="C62" s="3253"/>
      <c r="D62" s="3032"/>
      <c r="E62" s="3032"/>
      <c r="F62" s="3050"/>
      <c r="G62" s="2198"/>
      <c r="H62" s="2109"/>
      <c r="I62" s="3210"/>
      <c r="J62" s="2109"/>
      <c r="K62" s="3212"/>
      <c r="L62" s="2109"/>
      <c r="M62" s="3211"/>
      <c r="N62" s="2109"/>
      <c r="O62" s="3211"/>
      <c r="P62" s="2109"/>
      <c r="Q62" s="3212"/>
      <c r="R62" s="2109"/>
      <c r="S62" s="3212"/>
      <c r="T62" s="2109"/>
      <c r="U62" s="3212"/>
      <c r="V62" s="2109"/>
      <c r="W62" s="3211"/>
    </row>
    <row r="63" spans="1:23" ht="14.5" x14ac:dyDescent="0.35">
      <c r="A63" s="3243"/>
      <c r="B63" s="3258" t="s">
        <v>3947</v>
      </c>
      <c r="C63" s="3032" t="s">
        <v>3948</v>
      </c>
      <c r="D63" s="3032">
        <v>2918</v>
      </c>
      <c r="E63" s="3032"/>
      <c r="F63" s="3050"/>
      <c r="G63" s="2198"/>
      <c r="H63" s="2109"/>
      <c r="I63" s="3210"/>
      <c r="J63" s="2109"/>
      <c r="K63" s="3212"/>
      <c r="L63" s="2109" t="s">
        <v>669</v>
      </c>
      <c r="M63" s="3211"/>
      <c r="N63" s="2109" t="s">
        <v>669</v>
      </c>
      <c r="O63" s="3211"/>
      <c r="P63" s="2109" t="s">
        <v>669</v>
      </c>
      <c r="Q63" s="3212"/>
      <c r="R63" s="2109"/>
      <c r="S63" s="3212"/>
      <c r="T63" s="2109"/>
      <c r="U63" s="3212"/>
      <c r="V63" s="2109"/>
      <c r="W63" s="3211"/>
    </row>
    <row r="64" spans="1:23" ht="14.5" x14ac:dyDescent="0.35">
      <c r="A64" s="3243"/>
      <c r="B64" s="3259" t="s">
        <v>3949</v>
      </c>
      <c r="C64" s="3032" t="s">
        <v>3948</v>
      </c>
      <c r="D64" s="3032"/>
      <c r="E64" s="3032"/>
      <c r="F64" s="3050"/>
      <c r="G64" s="2198"/>
      <c r="H64" s="2109"/>
      <c r="I64" s="3210"/>
      <c r="J64" s="2109"/>
      <c r="K64" s="3212"/>
      <c r="L64" s="2109" t="s">
        <v>669</v>
      </c>
      <c r="M64" s="3211"/>
      <c r="N64" s="2109" t="s">
        <v>669</v>
      </c>
      <c r="O64" s="3211"/>
      <c r="P64" s="2109" t="s">
        <v>669</v>
      </c>
      <c r="Q64" s="3212"/>
      <c r="R64" s="2109"/>
      <c r="S64" s="3212"/>
      <c r="T64" s="2109"/>
      <c r="U64" s="3212"/>
      <c r="V64" s="2109"/>
      <c r="W64" s="3211"/>
    </row>
    <row r="65" spans="1:23" ht="14.5" x14ac:dyDescent="0.35">
      <c r="A65" s="3243"/>
      <c r="B65" s="3259" t="s">
        <v>3950</v>
      </c>
      <c r="C65" s="3032" t="s">
        <v>3948</v>
      </c>
      <c r="D65" s="3032"/>
      <c r="E65" s="3032"/>
      <c r="F65" s="3050"/>
      <c r="G65" s="2198"/>
      <c r="H65" s="2109"/>
      <c r="I65" s="3210"/>
      <c r="J65" s="2109"/>
      <c r="K65" s="3212"/>
      <c r="L65" s="2109" t="s">
        <v>669</v>
      </c>
      <c r="M65" s="3211"/>
      <c r="N65" s="2109" t="s">
        <v>669</v>
      </c>
      <c r="O65" s="3211"/>
      <c r="P65" s="2109" t="s">
        <v>669</v>
      </c>
      <c r="Q65" s="3212"/>
      <c r="R65" s="2109"/>
      <c r="S65" s="3212"/>
      <c r="T65" s="2109"/>
      <c r="U65" s="3212"/>
      <c r="V65" s="2109"/>
      <c r="W65" s="3211"/>
    </row>
    <row r="66" spans="1:23" ht="14.5" x14ac:dyDescent="0.35">
      <c r="A66" s="3243"/>
      <c r="B66" s="3259" t="s">
        <v>3951</v>
      </c>
      <c r="C66" s="3032" t="s">
        <v>3948</v>
      </c>
      <c r="D66" s="3032"/>
      <c r="E66" s="3032"/>
      <c r="F66" s="3050"/>
      <c r="G66" s="2198"/>
      <c r="H66" s="2109"/>
      <c r="I66" s="3210"/>
      <c r="J66" s="2109"/>
      <c r="K66" s="3212"/>
      <c r="L66" s="2109" t="s">
        <v>669</v>
      </c>
      <c r="M66" s="3211"/>
      <c r="N66" s="2109" t="s">
        <v>669</v>
      </c>
      <c r="O66" s="3211"/>
      <c r="P66" s="2109" t="s">
        <v>669</v>
      </c>
      <c r="Q66" s="3212"/>
      <c r="R66" s="2109"/>
      <c r="S66" s="3212"/>
      <c r="T66" s="2109"/>
      <c r="U66" s="3212"/>
      <c r="V66" s="2109"/>
      <c r="W66" s="3211"/>
    </row>
    <row r="67" spans="1:23" ht="14.5" x14ac:dyDescent="0.35">
      <c r="A67" s="3243"/>
      <c r="B67" s="3259" t="s">
        <v>3952</v>
      </c>
      <c r="C67" s="3032" t="s">
        <v>3948</v>
      </c>
      <c r="D67" s="3032"/>
      <c r="E67" s="3032"/>
      <c r="F67" s="3050"/>
      <c r="G67" s="2198"/>
      <c r="H67" s="2109"/>
      <c r="I67" s="3210"/>
      <c r="J67" s="2109"/>
      <c r="K67" s="3212"/>
      <c r="L67" s="2109" t="s">
        <v>669</v>
      </c>
      <c r="M67" s="3211"/>
      <c r="N67" s="2109" t="s">
        <v>669</v>
      </c>
      <c r="O67" s="3211"/>
      <c r="P67" s="2109" t="s">
        <v>669</v>
      </c>
      <c r="Q67" s="3212"/>
      <c r="R67" s="2109"/>
      <c r="S67" s="3212"/>
      <c r="T67" s="2109"/>
      <c r="U67" s="3212"/>
      <c r="V67" s="2109"/>
      <c r="W67" s="3211"/>
    </row>
    <row r="68" spans="1:23" ht="14.5" x14ac:dyDescent="0.35">
      <c r="A68" s="3243"/>
      <c r="B68" s="3258" t="s">
        <v>3953</v>
      </c>
      <c r="C68" s="3032" t="s">
        <v>3948</v>
      </c>
      <c r="D68" s="3032">
        <v>2001</v>
      </c>
      <c r="E68" s="3032"/>
      <c r="F68" s="3050"/>
      <c r="G68" s="2198"/>
      <c r="H68" s="2109"/>
      <c r="I68" s="3210"/>
      <c r="J68" s="2109"/>
      <c r="K68" s="3212"/>
      <c r="L68" s="2109" t="s">
        <v>669</v>
      </c>
      <c r="M68" s="3211"/>
      <c r="N68" s="2109" t="s">
        <v>669</v>
      </c>
      <c r="O68" s="3211"/>
      <c r="P68" s="2109" t="s">
        <v>669</v>
      </c>
      <c r="Q68" s="3212"/>
      <c r="R68" s="2109"/>
      <c r="S68" s="3212"/>
      <c r="T68" s="2109"/>
      <c r="U68" s="3212"/>
      <c r="V68" s="2109"/>
      <c r="W68" s="3211"/>
    </row>
    <row r="69" spans="1:23" ht="14.5" x14ac:dyDescent="0.35">
      <c r="A69" s="3243"/>
      <c r="B69" s="3259" t="s">
        <v>3954</v>
      </c>
      <c r="C69" s="3032" t="s">
        <v>3948</v>
      </c>
      <c r="D69" s="3032"/>
      <c r="E69" s="3032"/>
      <c r="F69" s="3050"/>
      <c r="G69" s="2198"/>
      <c r="H69" s="2109"/>
      <c r="I69" s="3210"/>
      <c r="J69" s="2109"/>
      <c r="K69" s="3212"/>
      <c r="L69" s="2109" t="s">
        <v>669</v>
      </c>
      <c r="M69" s="3211"/>
      <c r="N69" s="2109" t="s">
        <v>669</v>
      </c>
      <c r="O69" s="3211"/>
      <c r="P69" s="2109" t="s">
        <v>669</v>
      </c>
      <c r="Q69" s="3212"/>
      <c r="R69" s="2109"/>
      <c r="S69" s="3212"/>
      <c r="T69" s="2109"/>
      <c r="U69" s="3212"/>
      <c r="V69" s="2109"/>
      <c r="W69" s="3211"/>
    </row>
    <row r="70" spans="1:23" ht="14.5" x14ac:dyDescent="0.35">
      <c r="A70" s="3243"/>
      <c r="B70" s="3259" t="s">
        <v>3955</v>
      </c>
      <c r="C70" s="3032" t="s">
        <v>3948</v>
      </c>
      <c r="D70" s="3032"/>
      <c r="E70" s="3032"/>
      <c r="F70" s="3050"/>
      <c r="G70" s="2198"/>
      <c r="H70" s="2109"/>
      <c r="I70" s="3210"/>
      <c r="J70" s="2109"/>
      <c r="K70" s="3212"/>
      <c r="L70" s="2109" t="s">
        <v>669</v>
      </c>
      <c r="M70" s="3211"/>
      <c r="N70" s="2109" t="s">
        <v>669</v>
      </c>
      <c r="O70" s="3211"/>
      <c r="P70" s="2109" t="s">
        <v>669</v>
      </c>
      <c r="Q70" s="3212"/>
      <c r="R70" s="2109"/>
      <c r="S70" s="3212"/>
      <c r="T70" s="2109"/>
      <c r="U70" s="3212"/>
      <c r="V70" s="2109"/>
      <c r="W70" s="3211"/>
    </row>
    <row r="71" spans="1:23" ht="14.5" x14ac:dyDescent="0.35">
      <c r="A71" s="3243"/>
      <c r="B71" s="3259" t="s">
        <v>3956</v>
      </c>
      <c r="C71" s="3032" t="s">
        <v>3948</v>
      </c>
      <c r="D71" s="3032"/>
      <c r="E71" s="3032"/>
      <c r="F71" s="3050"/>
      <c r="G71" s="2198"/>
      <c r="H71" s="2109"/>
      <c r="I71" s="3210"/>
      <c r="J71" s="2109"/>
      <c r="K71" s="3212"/>
      <c r="L71" s="2109" t="s">
        <v>669</v>
      </c>
      <c r="M71" s="3211"/>
      <c r="N71" s="2109" t="s">
        <v>669</v>
      </c>
      <c r="O71" s="3211"/>
      <c r="P71" s="2109" t="s">
        <v>669</v>
      </c>
      <c r="Q71" s="3212"/>
      <c r="R71" s="2109"/>
      <c r="S71" s="3212"/>
      <c r="T71" s="2109"/>
      <c r="U71" s="3212"/>
      <c r="V71" s="2109"/>
      <c r="W71" s="3211"/>
    </row>
    <row r="72" spans="1:23" ht="14.5" x14ac:dyDescent="0.35">
      <c r="A72" s="3243"/>
      <c r="B72" s="3259" t="s">
        <v>3957</v>
      </c>
      <c r="C72" s="3032" t="s">
        <v>3948</v>
      </c>
      <c r="D72" s="3032"/>
      <c r="E72" s="3032"/>
      <c r="F72" s="3050"/>
      <c r="G72" s="2198"/>
      <c r="H72" s="2109"/>
      <c r="I72" s="3210"/>
      <c r="J72" s="2109"/>
      <c r="K72" s="3212"/>
      <c r="L72" s="2109" t="s">
        <v>669</v>
      </c>
      <c r="M72" s="3211"/>
      <c r="N72" s="2109" t="s">
        <v>669</v>
      </c>
      <c r="O72" s="3211"/>
      <c r="P72" s="2109" t="s">
        <v>669</v>
      </c>
      <c r="Q72" s="3212"/>
      <c r="R72" s="2109"/>
      <c r="S72" s="3212"/>
      <c r="T72" s="2109"/>
      <c r="U72" s="3212"/>
      <c r="V72" s="2109"/>
      <c r="W72" s="3211"/>
    </row>
    <row r="73" spans="1:23" ht="14.5" x14ac:dyDescent="0.35">
      <c r="A73" s="3243"/>
      <c r="B73" s="3259" t="s">
        <v>3958</v>
      </c>
      <c r="C73" s="3032" t="s">
        <v>3948</v>
      </c>
      <c r="D73" s="3032"/>
      <c r="E73" s="3032"/>
      <c r="F73" s="3050"/>
      <c r="G73" s="2198"/>
      <c r="H73" s="2109"/>
      <c r="I73" s="3210"/>
      <c r="J73" s="2109"/>
      <c r="K73" s="3212"/>
      <c r="L73" s="2109" t="s">
        <v>669</v>
      </c>
      <c r="M73" s="3211"/>
      <c r="N73" s="2109" t="s">
        <v>669</v>
      </c>
      <c r="O73" s="3211"/>
      <c r="P73" s="2109" t="s">
        <v>669</v>
      </c>
      <c r="Q73" s="3212"/>
      <c r="R73" s="2109"/>
      <c r="S73" s="3212"/>
      <c r="T73" s="2109"/>
      <c r="U73" s="3212"/>
      <c r="V73" s="2109"/>
      <c r="W73" s="3211"/>
    </row>
    <row r="74" spans="1:23" ht="14.5" x14ac:dyDescent="0.35">
      <c r="A74" s="3243"/>
      <c r="B74" s="3259" t="s">
        <v>3959</v>
      </c>
      <c r="C74" s="3032" t="s">
        <v>3948</v>
      </c>
      <c r="D74" s="3032"/>
      <c r="E74" s="3032"/>
      <c r="F74" s="3050"/>
      <c r="G74" s="2198"/>
      <c r="H74" s="2109"/>
      <c r="I74" s="3210"/>
      <c r="J74" s="2109"/>
      <c r="K74" s="3212"/>
      <c r="L74" s="2109" t="s">
        <v>669</v>
      </c>
      <c r="M74" s="3211"/>
      <c r="N74" s="2109" t="s">
        <v>669</v>
      </c>
      <c r="O74" s="3211"/>
      <c r="P74" s="2109" t="s">
        <v>669</v>
      </c>
      <c r="Q74" s="3212"/>
      <c r="R74" s="2109"/>
      <c r="S74" s="3212"/>
      <c r="T74" s="2109"/>
      <c r="U74" s="3212"/>
      <c r="V74" s="2109"/>
      <c r="W74" s="3211"/>
    </row>
    <row r="75" spans="1:23" ht="14.5" x14ac:dyDescent="0.35">
      <c r="A75" s="3243"/>
      <c r="B75" s="3258" t="s">
        <v>3960</v>
      </c>
      <c r="C75" s="3032" t="s">
        <v>3948</v>
      </c>
      <c r="D75" s="3032">
        <v>825</v>
      </c>
      <c r="E75" s="3032"/>
      <c r="F75" s="3050"/>
      <c r="G75" s="2198"/>
      <c r="H75" s="2109"/>
      <c r="I75" s="3210"/>
      <c r="J75" s="2109"/>
      <c r="K75" s="3212"/>
      <c r="L75" s="2109" t="s">
        <v>669</v>
      </c>
      <c r="M75" s="3211"/>
      <c r="N75" s="2109" t="s">
        <v>669</v>
      </c>
      <c r="O75" s="3211"/>
      <c r="P75" s="2109" t="s">
        <v>669</v>
      </c>
      <c r="Q75" s="3211">
        <v>12160</v>
      </c>
      <c r="R75" s="2109"/>
      <c r="S75" s="3212"/>
      <c r="T75" s="2109"/>
      <c r="U75" s="3212"/>
      <c r="V75" s="2109"/>
      <c r="W75" s="3211"/>
    </row>
    <row r="76" spans="1:23" ht="14.5" x14ac:dyDescent="0.35">
      <c r="A76" s="3243"/>
      <c r="B76" s="3259" t="s">
        <v>3961</v>
      </c>
      <c r="C76" s="3032" t="s">
        <v>3948</v>
      </c>
      <c r="D76" s="3032"/>
      <c r="E76" s="3032"/>
      <c r="F76" s="3050"/>
      <c r="G76" s="2198"/>
      <c r="H76" s="2109"/>
      <c r="I76" s="3210"/>
      <c r="J76" s="2109"/>
      <c r="K76" s="3212"/>
      <c r="L76" s="2109" t="s">
        <v>669</v>
      </c>
      <c r="M76" s="3211"/>
      <c r="N76" s="2109" t="s">
        <v>669</v>
      </c>
      <c r="O76" s="3211"/>
      <c r="P76" s="2109" t="s">
        <v>669</v>
      </c>
      <c r="Q76" s="3212"/>
      <c r="R76" s="2109"/>
      <c r="S76" s="3212"/>
      <c r="T76" s="2109"/>
      <c r="U76" s="3212"/>
      <c r="V76" s="2109"/>
      <c r="W76" s="3211"/>
    </row>
    <row r="77" spans="1:23" ht="14.5" x14ac:dyDescent="0.35">
      <c r="A77" s="3243"/>
      <c r="B77" s="3259" t="s">
        <v>3962</v>
      </c>
      <c r="C77" s="3032" t="s">
        <v>3948</v>
      </c>
      <c r="D77" s="3032"/>
      <c r="E77" s="3032"/>
      <c r="F77" s="3050"/>
      <c r="G77" s="2198"/>
      <c r="H77" s="2109"/>
      <c r="I77" s="3210"/>
      <c r="J77" s="2109"/>
      <c r="K77" s="3212"/>
      <c r="L77" s="2109" t="s">
        <v>669</v>
      </c>
      <c r="M77" s="3211"/>
      <c r="N77" s="2109" t="s">
        <v>669</v>
      </c>
      <c r="O77" s="3211"/>
      <c r="P77" s="2109" t="s">
        <v>669</v>
      </c>
      <c r="Q77" s="3212"/>
      <c r="R77" s="2109"/>
      <c r="S77" s="3212"/>
      <c r="T77" s="2109"/>
      <c r="U77" s="3212"/>
      <c r="V77" s="2109"/>
      <c r="W77" s="3211"/>
    </row>
    <row r="78" spans="1:23" ht="14.5" x14ac:dyDescent="0.35">
      <c r="A78" s="3243"/>
      <c r="B78" s="3259" t="s">
        <v>3963</v>
      </c>
      <c r="C78" s="3032" t="s">
        <v>3948</v>
      </c>
      <c r="D78" s="3032"/>
      <c r="E78" s="3032"/>
      <c r="F78" s="3050"/>
      <c r="G78" s="2198"/>
      <c r="H78" s="2109"/>
      <c r="I78" s="3210"/>
      <c r="J78" s="2109"/>
      <c r="K78" s="3212"/>
      <c r="L78" s="2109" t="s">
        <v>669</v>
      </c>
      <c r="M78" s="3211"/>
      <c r="N78" s="2109" t="s">
        <v>669</v>
      </c>
      <c r="O78" s="3211"/>
      <c r="P78" s="2109" t="s">
        <v>669</v>
      </c>
      <c r="Q78" s="3212"/>
      <c r="R78" s="2109"/>
      <c r="S78" s="3212"/>
      <c r="T78" s="2109"/>
      <c r="U78" s="3212"/>
      <c r="V78" s="2109"/>
      <c r="W78" s="3211"/>
    </row>
    <row r="79" spans="1:23" ht="14.5" x14ac:dyDescent="0.35">
      <c r="A79" s="3243"/>
      <c r="B79" s="3259" t="s">
        <v>3963</v>
      </c>
      <c r="C79" s="3032" t="s">
        <v>3948</v>
      </c>
      <c r="D79" s="3032"/>
      <c r="E79" s="3032"/>
      <c r="F79" s="3050"/>
      <c r="G79" s="2198"/>
      <c r="H79" s="2109"/>
      <c r="I79" s="3210"/>
      <c r="J79" s="2109"/>
      <c r="K79" s="3212"/>
      <c r="L79" s="2109" t="s">
        <v>669</v>
      </c>
      <c r="M79" s="3211"/>
      <c r="N79" s="2109" t="s">
        <v>669</v>
      </c>
      <c r="O79" s="3211"/>
      <c r="P79" s="2109" t="s">
        <v>669</v>
      </c>
      <c r="Q79" s="3212"/>
      <c r="R79" s="2109"/>
      <c r="S79" s="3212"/>
      <c r="T79" s="2109"/>
      <c r="U79" s="3212"/>
      <c r="V79" s="2109"/>
      <c r="W79" s="3211"/>
    </row>
    <row r="80" spans="1:23" ht="14.5" x14ac:dyDescent="0.35">
      <c r="A80" s="3243"/>
      <c r="B80" s="3259" t="s">
        <v>3964</v>
      </c>
      <c r="C80" s="3032" t="s">
        <v>3948</v>
      </c>
      <c r="D80" s="3032"/>
      <c r="E80" s="3032"/>
      <c r="F80" s="3050"/>
      <c r="G80" s="2198"/>
      <c r="H80" s="2109"/>
      <c r="I80" s="3210"/>
      <c r="J80" s="2109"/>
      <c r="K80" s="3212"/>
      <c r="L80" s="2109" t="s">
        <v>669</v>
      </c>
      <c r="M80" s="3211"/>
      <c r="N80" s="2109" t="s">
        <v>669</v>
      </c>
      <c r="O80" s="3211"/>
      <c r="P80" s="2109" t="s">
        <v>669</v>
      </c>
      <c r="Q80" s="3212"/>
      <c r="R80" s="2109"/>
      <c r="S80" s="3212"/>
      <c r="T80" s="2109"/>
      <c r="U80" s="3212"/>
      <c r="V80" s="2109"/>
      <c r="W80" s="3211"/>
    </row>
    <row r="81" spans="1:23" ht="14.5" x14ac:dyDescent="0.35">
      <c r="A81" s="3243"/>
      <c r="B81" s="3258" t="s">
        <v>3965</v>
      </c>
      <c r="C81" s="3032" t="s">
        <v>3948</v>
      </c>
      <c r="D81" s="3032">
        <v>787</v>
      </c>
      <c r="E81" s="3032"/>
      <c r="F81" s="3050"/>
      <c r="G81" s="2198"/>
      <c r="H81" s="2109"/>
      <c r="I81" s="3210"/>
      <c r="J81" s="2109"/>
      <c r="K81" s="3212"/>
      <c r="L81" s="2109" t="s">
        <v>669</v>
      </c>
      <c r="M81" s="3211"/>
      <c r="N81" s="2109" t="s">
        <v>669</v>
      </c>
      <c r="O81" s="3211"/>
      <c r="P81" s="2109" t="s">
        <v>669</v>
      </c>
      <c r="Q81" s="3212"/>
      <c r="R81" s="2109"/>
      <c r="S81" s="3212"/>
      <c r="T81" s="2109"/>
      <c r="U81" s="3212"/>
      <c r="V81" s="2109"/>
      <c r="W81" s="3211"/>
    </row>
    <row r="82" spans="1:23" ht="14.5" x14ac:dyDescent="0.35">
      <c r="A82" s="3243"/>
      <c r="B82" s="3259" t="s">
        <v>3966</v>
      </c>
      <c r="C82" s="3032" t="s">
        <v>3948</v>
      </c>
      <c r="D82" s="3032"/>
      <c r="E82" s="3032"/>
      <c r="F82" s="3050"/>
      <c r="G82" s="2198"/>
      <c r="H82" s="2109"/>
      <c r="I82" s="3210"/>
      <c r="J82" s="2109"/>
      <c r="K82" s="3212"/>
      <c r="L82" s="2109" t="s">
        <v>669</v>
      </c>
      <c r="M82" s="3211"/>
      <c r="N82" s="2109" t="s">
        <v>669</v>
      </c>
      <c r="O82" s="3211"/>
      <c r="P82" s="2109" t="s">
        <v>669</v>
      </c>
      <c r="Q82" s="3212"/>
      <c r="R82" s="2109"/>
      <c r="S82" s="3212"/>
      <c r="T82" s="2109"/>
      <c r="U82" s="3212"/>
      <c r="V82" s="2109"/>
      <c r="W82" s="3211"/>
    </row>
    <row r="83" spans="1:23" ht="14.5" x14ac:dyDescent="0.35">
      <c r="A83" s="3243"/>
      <c r="B83" s="3258" t="s">
        <v>3967</v>
      </c>
      <c r="C83" s="3032" t="s">
        <v>3948</v>
      </c>
      <c r="D83" s="3032"/>
      <c r="E83" s="3032"/>
      <c r="F83" s="3050"/>
      <c r="G83" s="2198"/>
      <c r="H83" s="2109"/>
      <c r="I83" s="3210"/>
      <c r="J83" s="2109"/>
      <c r="K83" s="3212"/>
      <c r="L83" s="2109" t="s">
        <v>669</v>
      </c>
      <c r="M83" s="3211"/>
      <c r="N83" s="2109" t="s">
        <v>669</v>
      </c>
      <c r="O83" s="3211"/>
      <c r="P83" s="2109" t="s">
        <v>669</v>
      </c>
      <c r="Q83" s="3212"/>
      <c r="R83" s="2109"/>
      <c r="S83" s="3212"/>
      <c r="T83" s="2109"/>
      <c r="U83" s="3212"/>
      <c r="V83" s="2109"/>
      <c r="W83" s="3211"/>
    </row>
    <row r="84" spans="1:23" ht="14.5" x14ac:dyDescent="0.35">
      <c r="A84" s="3243"/>
      <c r="B84" s="3259" t="s">
        <v>3968</v>
      </c>
      <c r="C84" s="3032" t="s">
        <v>3948</v>
      </c>
      <c r="D84" s="3032">
        <v>353</v>
      </c>
      <c r="E84" s="3032"/>
      <c r="F84" s="3050"/>
      <c r="G84" s="2198"/>
      <c r="H84" s="2109"/>
      <c r="I84" s="3210"/>
      <c r="J84" s="2109"/>
      <c r="K84" s="3212"/>
      <c r="L84" s="2109" t="s">
        <v>669</v>
      </c>
      <c r="M84" s="3211"/>
      <c r="N84" s="2109" t="s">
        <v>669</v>
      </c>
      <c r="O84" s="3211"/>
      <c r="P84" s="2109" t="s">
        <v>669</v>
      </c>
      <c r="Q84" s="3212"/>
      <c r="R84" s="2109"/>
      <c r="S84" s="3212"/>
      <c r="T84" s="2109"/>
      <c r="U84" s="3212"/>
      <c r="V84" s="2109"/>
      <c r="W84" s="3211"/>
    </row>
    <row r="85" spans="1:23" ht="14.5" x14ac:dyDescent="0.35">
      <c r="A85" s="3243"/>
      <c r="B85" s="3252"/>
      <c r="C85" s="3253"/>
      <c r="D85" s="3032"/>
      <c r="E85" s="3032"/>
      <c r="F85" s="3050"/>
      <c r="G85" s="2198"/>
      <c r="H85" s="2109"/>
      <c r="I85" s="3210"/>
      <c r="J85" s="2109"/>
      <c r="K85" s="3212"/>
      <c r="L85" s="2109"/>
      <c r="M85" s="3211"/>
      <c r="N85" s="2109"/>
      <c r="O85" s="3211"/>
      <c r="P85" s="2109"/>
      <c r="Q85" s="3212"/>
      <c r="R85" s="2109"/>
      <c r="S85" s="3212"/>
      <c r="T85" s="2109"/>
      <c r="U85" s="3212"/>
      <c r="V85" s="2109"/>
      <c r="W85" s="3211"/>
    </row>
    <row r="86" spans="1:23" ht="14.5" x14ac:dyDescent="0.35">
      <c r="A86" s="3243"/>
      <c r="B86" s="3254"/>
      <c r="C86" s="3253"/>
      <c r="D86" s="3032"/>
      <c r="E86" s="3032"/>
      <c r="F86" s="3050"/>
      <c r="G86" s="3242"/>
      <c r="H86" s="2109"/>
      <c r="I86" s="3210"/>
      <c r="J86" s="2109"/>
      <c r="K86" s="3212"/>
      <c r="L86" s="2109"/>
      <c r="M86" s="3211"/>
      <c r="N86" s="2109"/>
      <c r="O86" s="3211"/>
      <c r="P86" s="2109"/>
      <c r="Q86" s="3212"/>
      <c r="R86" s="2109"/>
      <c r="S86" s="3212"/>
      <c r="T86" s="2109"/>
      <c r="U86" s="3212"/>
      <c r="V86" s="2109"/>
      <c r="W86" s="3211"/>
    </row>
    <row r="87" spans="1:23" ht="14.5" x14ac:dyDescent="0.35">
      <c r="A87" s="3243"/>
      <c r="B87" s="3252"/>
      <c r="C87" s="3253"/>
      <c r="D87" s="3260"/>
      <c r="E87" s="3032"/>
      <c r="F87" s="3050"/>
      <c r="G87" s="3261"/>
      <c r="H87" s="2109"/>
      <c r="I87" s="3210"/>
      <c r="J87" s="2109"/>
      <c r="K87" s="3212"/>
      <c r="L87" s="2109"/>
      <c r="M87" s="3211"/>
      <c r="N87" s="2109"/>
      <c r="O87" s="3211"/>
      <c r="P87" s="2109"/>
      <c r="Q87" s="3212"/>
      <c r="R87" s="2109"/>
      <c r="S87" s="3212"/>
      <c r="T87" s="2109"/>
      <c r="U87" s="3212"/>
      <c r="V87" s="2109"/>
      <c r="W87" s="3211"/>
    </row>
    <row r="88" spans="1:23" ht="14.5" x14ac:dyDescent="0.35">
      <c r="A88" s="3243"/>
      <c r="B88" s="3252"/>
      <c r="C88" s="3253"/>
      <c r="D88" s="3260"/>
      <c r="E88" s="3032"/>
      <c r="F88" s="3050"/>
      <c r="G88" s="3261"/>
      <c r="H88" s="2109"/>
      <c r="I88" s="3210"/>
      <c r="J88" s="2109"/>
      <c r="K88" s="3212"/>
      <c r="L88" s="2109"/>
      <c r="M88" s="3211"/>
      <c r="N88" s="2109"/>
      <c r="O88" s="3211"/>
      <c r="P88" s="2109"/>
      <c r="Q88" s="3212"/>
      <c r="R88" s="2109"/>
      <c r="S88" s="3212"/>
      <c r="T88" s="2109"/>
      <c r="U88" s="3212"/>
      <c r="V88" s="2109"/>
      <c r="W88" s="3211"/>
    </row>
    <row r="89" spans="1:23" ht="14.5" x14ac:dyDescent="0.35">
      <c r="A89" s="3243"/>
      <c r="B89" s="3252"/>
      <c r="C89" s="3253"/>
      <c r="D89" s="3260"/>
      <c r="E89" s="3032"/>
      <c r="F89" s="3050"/>
      <c r="G89" s="3261"/>
      <c r="H89" s="2109"/>
      <c r="I89" s="3210"/>
      <c r="J89" s="2109"/>
      <c r="K89" s="3212"/>
      <c r="L89" s="2109"/>
      <c r="M89" s="3211"/>
      <c r="N89" s="2109"/>
      <c r="O89" s="3211"/>
      <c r="P89" s="2109"/>
      <c r="Q89" s="3212"/>
      <c r="R89" s="2109"/>
      <c r="S89" s="3212"/>
      <c r="T89" s="2109"/>
      <c r="U89" s="3212"/>
      <c r="V89" s="2109"/>
      <c r="W89" s="3211"/>
    </row>
    <row r="90" spans="1:23" ht="14.5" x14ac:dyDescent="0.35">
      <c r="A90" s="3243"/>
      <c r="B90" s="3252"/>
      <c r="C90" s="3253"/>
      <c r="D90" s="3032"/>
      <c r="E90" s="3032"/>
      <c r="F90" s="3050"/>
      <c r="G90" s="3242"/>
      <c r="H90" s="2109"/>
      <c r="I90" s="3210"/>
      <c r="J90" s="2109"/>
      <c r="K90" s="3212"/>
      <c r="L90" s="2109"/>
      <c r="M90" s="3211"/>
      <c r="N90" s="2109"/>
      <c r="O90" s="3211"/>
      <c r="P90" s="2109"/>
      <c r="Q90" s="3212"/>
      <c r="R90" s="2109"/>
      <c r="S90" s="3212"/>
      <c r="T90" s="2109"/>
      <c r="U90" s="3212"/>
      <c r="V90" s="2109"/>
      <c r="W90" s="3211"/>
    </row>
    <row r="91" spans="1:23" ht="14.5" x14ac:dyDescent="0.35">
      <c r="A91" s="3243"/>
      <c r="B91" s="3252"/>
      <c r="C91" s="3253"/>
      <c r="D91" s="3032"/>
      <c r="E91" s="3032"/>
      <c r="F91" s="3050"/>
      <c r="G91" s="3242"/>
      <c r="H91" s="2109"/>
      <c r="I91" s="3210"/>
      <c r="J91" s="2109"/>
      <c r="K91" s="3212"/>
      <c r="L91" s="2109"/>
      <c r="M91" s="3211"/>
      <c r="N91" s="2109"/>
      <c r="O91" s="3211"/>
      <c r="P91" s="2109"/>
      <c r="Q91" s="3212"/>
      <c r="R91" s="2109"/>
      <c r="S91" s="3212"/>
      <c r="T91" s="2109"/>
      <c r="U91" s="3212"/>
      <c r="V91" s="2109"/>
      <c r="W91" s="3211"/>
    </row>
    <row r="92" spans="1:23" ht="18.649999999999999" customHeight="1" x14ac:dyDescent="0.35">
      <c r="A92" s="3233"/>
      <c r="B92" s="3262"/>
      <c r="C92" s="3036"/>
      <c r="D92" s="3032"/>
      <c r="E92" s="3032"/>
      <c r="F92" s="3050"/>
      <c r="G92" s="3242"/>
      <c r="H92" s="2109"/>
      <c r="I92" s="3210"/>
      <c r="J92" s="2109"/>
      <c r="K92" s="3211"/>
      <c r="L92" s="2109"/>
      <c r="M92" s="3212"/>
      <c r="N92" s="2109"/>
      <c r="O92" s="3212"/>
      <c r="P92" s="2109"/>
      <c r="Q92" s="3212"/>
      <c r="R92" s="2109"/>
      <c r="S92" s="3211"/>
      <c r="T92" s="2109"/>
      <c r="U92" s="3211"/>
      <c r="V92" s="2109"/>
      <c r="W92" s="3212"/>
    </row>
    <row r="93" spans="1:23" ht="14.5" x14ac:dyDescent="0.35">
      <c r="A93" s="3263"/>
      <c r="B93" s="3264"/>
      <c r="C93" s="3036"/>
      <c r="D93" s="3032"/>
      <c r="E93" s="3032"/>
      <c r="F93" s="3050"/>
      <c r="G93" s="3242"/>
      <c r="H93" s="2109"/>
      <c r="I93" s="3212"/>
      <c r="J93" s="2109"/>
      <c r="K93" s="3212"/>
      <c r="L93" s="2109"/>
      <c r="M93" s="3212"/>
      <c r="N93" s="2109"/>
      <c r="O93" s="3212"/>
      <c r="P93" s="2109"/>
      <c r="Q93" s="3212"/>
      <c r="R93" s="2109"/>
      <c r="S93" s="3212"/>
      <c r="T93" s="2109"/>
      <c r="U93" s="3212"/>
      <c r="V93" s="2109"/>
      <c r="W93" s="3212"/>
    </row>
    <row r="94" spans="1:23" ht="14.5" x14ac:dyDescent="0.35">
      <c r="A94" s="14"/>
      <c r="B94" s="15"/>
      <c r="C94" s="16"/>
      <c r="D94" s="16"/>
      <c r="E94" s="17"/>
      <c r="F94" s="167" t="s">
        <v>715</v>
      </c>
      <c r="G94" s="19"/>
      <c r="H94" s="20"/>
      <c r="I94" s="50">
        <f>SUM(I23:I93)</f>
        <v>681996</v>
      </c>
      <c r="J94" s="20"/>
      <c r="K94" s="50">
        <f>SUM(K23:K93)</f>
        <v>524231</v>
      </c>
      <c r="L94" s="20"/>
      <c r="M94" s="50">
        <f>SUM(M23:M93)</f>
        <v>506354</v>
      </c>
      <c r="N94" s="20"/>
      <c r="O94" s="50">
        <f>SUM(O23:O93)</f>
        <v>540250</v>
      </c>
      <c r="P94" s="20"/>
      <c r="Q94" s="50">
        <f>SUM(Q23:Q93)</f>
        <v>516553</v>
      </c>
      <c r="R94" s="20"/>
      <c r="S94" s="50">
        <f>SUM(S23:S93)</f>
        <v>521727</v>
      </c>
      <c r="T94" s="20"/>
      <c r="U94" s="50">
        <f>SUM(U23:U93)</f>
        <v>663138</v>
      </c>
      <c r="V94" s="20"/>
      <c r="W94" s="50">
        <f>SUM(W23:W93)</f>
        <v>588562</v>
      </c>
    </row>
    <row r="95" spans="1:23" ht="14.5" x14ac:dyDescent="0.35">
      <c r="A95" s="3265"/>
      <c r="B95" s="3266"/>
      <c r="C95" s="3267"/>
      <c r="D95" s="3267"/>
      <c r="E95" s="3268"/>
      <c r="F95" s="3269" t="s">
        <v>716</v>
      </c>
      <c r="G95" s="2244"/>
      <c r="H95" s="3270">
        <v>0</v>
      </c>
      <c r="I95" s="960"/>
      <c r="J95" s="3270">
        <v>0</v>
      </c>
      <c r="K95" s="960"/>
      <c r="L95" s="3270">
        <v>0</v>
      </c>
      <c r="M95" s="960"/>
      <c r="N95" s="3270">
        <v>0</v>
      </c>
      <c r="O95" s="960"/>
      <c r="P95" s="3270">
        <v>0</v>
      </c>
      <c r="Q95" s="960"/>
      <c r="R95" s="3270">
        <v>0</v>
      </c>
      <c r="S95" s="960"/>
      <c r="T95" s="3270">
        <v>0</v>
      </c>
      <c r="U95" s="960"/>
      <c r="V95" s="3270">
        <v>0</v>
      </c>
      <c r="W95" s="960"/>
    </row>
    <row r="96" spans="1:23" ht="14.5" x14ac:dyDescent="0.35">
      <c r="A96" s="3265"/>
      <c r="B96" s="3266"/>
      <c r="C96" s="3267"/>
      <c r="D96" s="3267"/>
      <c r="E96" s="3268"/>
      <c r="F96" s="3269" t="s">
        <v>717</v>
      </c>
      <c r="G96" s="2244"/>
      <c r="H96" s="3271"/>
      <c r="I96" s="3272">
        <f>I94*H95</f>
        <v>0</v>
      </c>
      <c r="J96" s="3271"/>
      <c r="K96" s="3272">
        <f>K94*J95</f>
        <v>0</v>
      </c>
      <c r="L96" s="3271"/>
      <c r="M96" s="3272">
        <f>M94*L95</f>
        <v>0</v>
      </c>
      <c r="N96" s="3271"/>
      <c r="O96" s="3272">
        <f>O94*N95</f>
        <v>0</v>
      </c>
      <c r="P96" s="3271"/>
      <c r="Q96" s="3272">
        <f>Q94*P95</f>
        <v>0</v>
      </c>
      <c r="R96" s="3271"/>
      <c r="S96" s="3272">
        <f>S94*R95</f>
        <v>0</v>
      </c>
      <c r="T96" s="3271"/>
      <c r="U96" s="3272">
        <f>U94*T95</f>
        <v>0</v>
      </c>
      <c r="V96" s="3271"/>
      <c r="W96" s="3272">
        <f>W94*V95</f>
        <v>0</v>
      </c>
    </row>
    <row r="97" spans="1:23" ht="14.5" x14ac:dyDescent="0.35">
      <c r="A97" s="3265"/>
      <c r="B97" s="3266"/>
      <c r="C97" s="3267"/>
      <c r="D97" s="3267"/>
      <c r="E97" s="3268"/>
      <c r="F97" s="3269"/>
      <c r="G97" s="2244"/>
      <c r="H97" s="3271"/>
      <c r="I97" s="3273"/>
      <c r="J97" s="3271"/>
      <c r="K97" s="3273"/>
      <c r="L97" s="3271"/>
      <c r="M97" s="3273"/>
      <c r="N97" s="3271"/>
      <c r="O97" s="3273"/>
      <c r="P97" s="3271"/>
      <c r="Q97" s="3273"/>
      <c r="R97" s="3271"/>
      <c r="S97" s="3273"/>
      <c r="T97" s="3271"/>
      <c r="U97" s="3273"/>
      <c r="V97" s="3271"/>
      <c r="W97" s="3273"/>
    </row>
    <row r="98" spans="1:23" ht="14.5" x14ac:dyDescent="0.35">
      <c r="A98" s="3265"/>
      <c r="B98" s="3266"/>
      <c r="C98" s="3267"/>
      <c r="D98" s="3267"/>
      <c r="E98" s="3268"/>
      <c r="F98" s="3269" t="s">
        <v>718</v>
      </c>
      <c r="G98" s="2244"/>
      <c r="H98" s="3274"/>
      <c r="I98" s="3272">
        <f>SUM(I94:I96)</f>
        <v>681996</v>
      </c>
      <c r="J98" s="3274"/>
      <c r="K98" s="3272">
        <f>SUM(K94:K96)</f>
        <v>524231</v>
      </c>
      <c r="L98" s="3274"/>
      <c r="M98" s="3272">
        <f>SUM(M94:M96)</f>
        <v>506354</v>
      </c>
      <c r="N98" s="3274"/>
      <c r="O98" s="3272">
        <f>SUM(O94:O96)</f>
        <v>540250</v>
      </c>
      <c r="P98" s="3274"/>
      <c r="Q98" s="3272">
        <f>SUM(Q94:Q96)</f>
        <v>516553</v>
      </c>
      <c r="R98" s="3274"/>
      <c r="S98" s="3272">
        <f>SUM(S94:S96)</f>
        <v>521727</v>
      </c>
      <c r="T98" s="3274"/>
      <c r="U98" s="3272">
        <f>SUM(U94:U96)</f>
        <v>663138</v>
      </c>
      <c r="V98" s="3274"/>
      <c r="W98" s="3272">
        <f>SUM(W94:W96)</f>
        <v>588562</v>
      </c>
    </row>
    <row r="99" spans="1:23" ht="14.5" x14ac:dyDescent="0.35">
      <c r="A99" s="3265"/>
      <c r="B99" s="3266"/>
      <c r="C99" s="3267"/>
      <c r="D99" s="3267"/>
      <c r="E99" s="3268"/>
      <c r="F99" s="3275" t="s">
        <v>719</v>
      </c>
      <c r="G99" s="2256"/>
      <c r="H99" s="3276"/>
      <c r="I99" s="3277" t="e">
        <f>I98/#REF!</f>
        <v>#REF!</v>
      </c>
      <c r="J99" s="3276"/>
      <c r="K99" s="3277" t="e">
        <f>K98/#REF!</f>
        <v>#REF!</v>
      </c>
      <c r="L99" s="3276"/>
      <c r="M99" s="3277" t="e">
        <f>M98/#REF!</f>
        <v>#REF!</v>
      </c>
      <c r="N99" s="3276"/>
      <c r="O99" s="3277" t="e">
        <f>O98/#REF!</f>
        <v>#REF!</v>
      </c>
      <c r="P99" s="3276"/>
      <c r="Q99" s="3277" t="e">
        <f>Q98/#REF!</f>
        <v>#REF!</v>
      </c>
      <c r="R99" s="3276"/>
      <c r="S99" s="3277" t="e">
        <f>S98/#REF!</f>
        <v>#REF!</v>
      </c>
      <c r="T99" s="3276"/>
      <c r="U99" s="3277" t="e">
        <f>U98/#REF!</f>
        <v>#REF!</v>
      </c>
      <c r="V99" s="3276"/>
      <c r="W99" s="3277" t="e">
        <f>W98/#REF!</f>
        <v>#REF!</v>
      </c>
    </row>
    <row r="100" spans="1:23" ht="14.5" x14ac:dyDescent="0.35">
      <c r="A100" s="3265"/>
      <c r="B100" s="3266"/>
      <c r="C100" s="3267"/>
      <c r="D100" s="3267"/>
      <c r="E100" s="3268"/>
      <c r="F100" s="3275" t="s">
        <v>720</v>
      </c>
      <c r="G100" s="2260"/>
      <c r="H100" s="3276"/>
      <c r="I100" s="3277" t="e">
        <f>I98/#REF!</f>
        <v>#REF!</v>
      </c>
      <c r="J100" s="3276"/>
      <c r="K100" s="3277" t="e">
        <f>K98/#REF!</f>
        <v>#REF!</v>
      </c>
      <c r="L100" s="3276"/>
      <c r="M100" s="3277" t="e">
        <f>M98/#REF!</f>
        <v>#REF!</v>
      </c>
      <c r="N100" s="3276"/>
      <c r="O100" s="3277" t="e">
        <f>O98/#REF!</f>
        <v>#REF!</v>
      </c>
      <c r="P100" s="3276"/>
      <c r="Q100" s="3277" t="e">
        <f>Q98/#REF!</f>
        <v>#REF!</v>
      </c>
      <c r="R100" s="3276"/>
      <c r="S100" s="3277" t="e">
        <f>S98/#REF!</f>
        <v>#REF!</v>
      </c>
      <c r="T100" s="3276"/>
      <c r="U100" s="3277" t="e">
        <f>U98/#REF!</f>
        <v>#REF!</v>
      </c>
      <c r="V100" s="3276"/>
      <c r="W100" s="3277" t="e">
        <f>W98/#REF!</f>
        <v>#REF!</v>
      </c>
    </row>
    <row r="101" spans="1:23" ht="14.5" x14ac:dyDescent="0.35">
      <c r="A101" s="3265"/>
      <c r="B101" s="3266"/>
      <c r="C101" s="3267"/>
      <c r="D101" s="3267"/>
      <c r="E101" s="3268"/>
      <c r="F101" s="3269"/>
      <c r="G101" s="2261"/>
      <c r="H101" s="3278"/>
      <c r="I101" s="3279"/>
      <c r="J101" s="3278"/>
      <c r="K101" s="3279"/>
      <c r="L101" s="3278"/>
      <c r="M101" s="3279"/>
      <c r="N101" s="3278"/>
      <c r="O101" s="3279"/>
      <c r="P101" s="3278"/>
      <c r="Q101" s="3279"/>
      <c r="R101" s="3278"/>
      <c r="S101" s="3279"/>
      <c r="T101" s="3278"/>
      <c r="U101" s="3279"/>
      <c r="V101" s="3278"/>
      <c r="W101" s="3279"/>
    </row>
    <row r="102" spans="1:23" ht="14.5" x14ac:dyDescent="0.35">
      <c r="A102" s="3764" t="s">
        <v>721</v>
      </c>
      <c r="B102" s="3765"/>
      <c r="C102" s="12"/>
      <c r="D102" s="12"/>
      <c r="E102" s="12"/>
      <c r="F102" s="168"/>
      <c r="G102" s="43"/>
      <c r="H102" s="42"/>
      <c r="I102" s="21"/>
      <c r="J102" s="21"/>
      <c r="K102" s="21"/>
      <c r="L102" s="21"/>
      <c r="M102" s="21"/>
      <c r="N102" s="21"/>
      <c r="O102" s="21"/>
      <c r="P102" s="21"/>
      <c r="Q102" s="21"/>
      <c r="R102" s="21"/>
      <c r="S102" s="21"/>
      <c r="T102" s="21"/>
      <c r="U102" s="21"/>
      <c r="V102" s="21"/>
      <c r="W102" s="21"/>
    </row>
    <row r="103" spans="1:23" ht="14.5" x14ac:dyDescent="0.35">
      <c r="A103" s="3222"/>
      <c r="B103" s="3031"/>
      <c r="C103" s="3223"/>
      <c r="D103" s="3223"/>
      <c r="E103" s="3223"/>
      <c r="F103" s="3280"/>
      <c r="G103" s="3281"/>
      <c r="H103" s="3282"/>
      <c r="I103" s="3225"/>
      <c r="J103" s="3225"/>
      <c r="K103" s="3225"/>
      <c r="L103" s="3225"/>
      <c r="M103" s="3225"/>
      <c r="N103" s="3225"/>
      <c r="O103" s="3225"/>
      <c r="P103" s="3225"/>
      <c r="Q103" s="3225"/>
      <c r="R103" s="3225"/>
      <c r="S103" s="3225"/>
      <c r="T103" s="3225"/>
      <c r="U103" s="3225"/>
      <c r="V103" s="3225"/>
      <c r="W103" s="3225"/>
    </row>
    <row r="104" spans="1:23" ht="14.5" x14ac:dyDescent="0.35">
      <c r="A104" s="3222"/>
      <c r="B104" s="3031"/>
      <c r="C104" s="3223"/>
      <c r="D104" s="3223"/>
      <c r="E104" s="3223"/>
      <c r="F104" s="3280"/>
      <c r="G104" s="3281"/>
      <c r="H104" s="3282"/>
      <c r="I104" s="3225"/>
      <c r="J104" s="3225"/>
      <c r="K104" s="3225"/>
      <c r="L104" s="3225"/>
      <c r="M104" s="3225"/>
      <c r="N104" s="3225"/>
      <c r="O104" s="3225"/>
      <c r="P104" s="3225"/>
      <c r="Q104" s="3225"/>
      <c r="R104" s="3225"/>
      <c r="S104" s="3225"/>
      <c r="T104" s="3225"/>
      <c r="U104" s="3225"/>
      <c r="V104" s="3225"/>
      <c r="W104" s="3225"/>
    </row>
    <row r="105" spans="1:23" ht="14.5" x14ac:dyDescent="0.35">
      <c r="A105" s="3222"/>
      <c r="B105" s="3031"/>
      <c r="C105" s="3223"/>
      <c r="D105" s="3223"/>
      <c r="E105" s="3223"/>
      <c r="F105" s="3280"/>
      <c r="G105" s="3281"/>
      <c r="H105" s="3282"/>
      <c r="I105" s="3225"/>
      <c r="J105" s="3225"/>
      <c r="K105" s="3225"/>
      <c r="L105" s="3225"/>
      <c r="M105" s="3225"/>
      <c r="N105" s="3225"/>
      <c r="O105" s="3225"/>
      <c r="P105" s="3225"/>
      <c r="Q105" s="3225"/>
      <c r="R105" s="3225"/>
      <c r="S105" s="3225"/>
      <c r="T105" s="3225"/>
      <c r="U105" s="3225"/>
      <c r="V105" s="3225"/>
      <c r="W105" s="3225"/>
    </row>
    <row r="106" spans="1:23" s="2" customFormat="1" ht="14.5" x14ac:dyDescent="0.35">
      <c r="A106" s="3764" t="s">
        <v>722</v>
      </c>
      <c r="B106" s="3765"/>
      <c r="C106" s="12"/>
      <c r="D106" s="12"/>
      <c r="E106" s="12"/>
      <c r="F106" s="168"/>
      <c r="G106" s="43"/>
      <c r="H106" s="42"/>
      <c r="I106" s="21"/>
      <c r="J106" s="21"/>
      <c r="K106" s="21"/>
      <c r="L106" s="21"/>
      <c r="M106" s="21"/>
      <c r="N106" s="21"/>
      <c r="O106" s="21"/>
      <c r="P106" s="21"/>
      <c r="Q106" s="21"/>
      <c r="R106" s="21"/>
      <c r="S106" s="21"/>
      <c r="T106" s="21"/>
      <c r="U106" s="21"/>
      <c r="V106" s="21"/>
      <c r="W106" s="21"/>
    </row>
    <row r="107" spans="1:23" s="2" customFormat="1" ht="14.5" x14ac:dyDescent="0.35">
      <c r="A107" s="3222"/>
      <c r="B107" s="3031"/>
      <c r="C107" s="3223"/>
      <c r="D107" s="3223"/>
      <c r="E107" s="3223"/>
      <c r="F107" s="3280"/>
      <c r="G107" s="3281"/>
      <c r="H107" s="3282"/>
      <c r="I107" s="3225"/>
      <c r="J107" s="3225"/>
      <c r="K107" s="3225"/>
      <c r="L107" s="3225"/>
      <c r="M107" s="3225"/>
      <c r="N107" s="3225"/>
      <c r="O107" s="3225"/>
      <c r="P107" s="3225"/>
      <c r="Q107" s="3225"/>
      <c r="R107" s="3225"/>
      <c r="S107" s="3225"/>
      <c r="T107" s="3225"/>
      <c r="U107" s="3225"/>
      <c r="V107" s="3225"/>
      <c r="W107" s="3225"/>
    </row>
    <row r="108" spans="1:23" s="2" customFormat="1" ht="14.5" x14ac:dyDescent="0.35">
      <c r="A108" s="3222"/>
      <c r="B108" s="3031"/>
      <c r="C108" s="3223"/>
      <c r="D108" s="3223"/>
      <c r="E108" s="3223"/>
      <c r="F108" s="3280"/>
      <c r="G108" s="3281"/>
      <c r="H108" s="3282"/>
      <c r="I108" s="3225"/>
      <c r="J108" s="3225"/>
      <c r="K108" s="3225"/>
      <c r="L108" s="3225"/>
      <c r="M108" s="3225"/>
      <c r="N108" s="3225"/>
      <c r="O108" s="3225"/>
      <c r="P108" s="3225"/>
      <c r="Q108" s="3225"/>
      <c r="R108" s="3225"/>
      <c r="S108" s="3225"/>
      <c r="T108" s="3225"/>
      <c r="U108" s="3225"/>
      <c r="V108" s="3225"/>
      <c r="W108" s="3225"/>
    </row>
    <row r="109" spans="1:23" ht="14.5" x14ac:dyDescent="0.35">
      <c r="A109" s="3222"/>
      <c r="B109" s="3031"/>
      <c r="C109" s="3223"/>
      <c r="D109" s="3223"/>
      <c r="E109" s="3223"/>
      <c r="F109" s="3280"/>
      <c r="G109" s="3281"/>
      <c r="H109" s="3282"/>
      <c r="I109" s="3225"/>
      <c r="J109" s="3225"/>
      <c r="K109" s="3225"/>
      <c r="L109" s="3225"/>
      <c r="M109" s="3225"/>
      <c r="N109" s="3225"/>
      <c r="O109" s="3225"/>
      <c r="P109" s="3225"/>
      <c r="Q109" s="3225"/>
      <c r="R109" s="3225"/>
      <c r="S109" s="3225"/>
      <c r="T109" s="3225"/>
      <c r="U109" s="3225"/>
      <c r="V109" s="3225"/>
      <c r="W109" s="3225"/>
    </row>
    <row r="110" spans="1:23" s="2" customFormat="1" ht="14.5" x14ac:dyDescent="0.35">
      <c r="A110" s="3764" t="s">
        <v>723</v>
      </c>
      <c r="B110" s="3765"/>
      <c r="C110" s="12"/>
      <c r="D110" s="12"/>
      <c r="E110" s="12"/>
      <c r="F110" s="168"/>
      <c r="G110" s="43"/>
      <c r="H110" s="42"/>
      <c r="I110" s="21"/>
      <c r="J110" s="21"/>
      <c r="K110" s="21"/>
      <c r="L110" s="21"/>
      <c r="M110" s="21"/>
      <c r="N110" s="21"/>
      <c r="O110" s="21"/>
      <c r="P110" s="21"/>
      <c r="Q110" s="21"/>
      <c r="R110" s="21"/>
      <c r="S110" s="21"/>
      <c r="T110" s="21"/>
      <c r="U110" s="21"/>
      <c r="V110" s="21"/>
      <c r="W110" s="21"/>
    </row>
    <row r="111" spans="1:23" s="2" customFormat="1" ht="14.5" x14ac:dyDescent="0.35">
      <c r="A111" s="3222"/>
      <c r="B111" s="3031" t="s">
        <v>3969</v>
      </c>
      <c r="C111" s="3223"/>
      <c r="D111" s="3223"/>
      <c r="E111" s="3223"/>
      <c r="F111" s="3280"/>
      <c r="G111" s="3281"/>
      <c r="H111" s="3282"/>
      <c r="I111" s="3225"/>
      <c r="J111" s="3225"/>
      <c r="K111" s="3225"/>
      <c r="L111" s="3225"/>
      <c r="M111" s="3225">
        <v>43250</v>
      </c>
      <c r="N111" s="3225"/>
      <c r="O111" s="3225">
        <v>43250</v>
      </c>
      <c r="P111" s="3225"/>
      <c r="Q111" s="3225"/>
      <c r="R111" s="3225"/>
      <c r="S111" s="3225"/>
      <c r="T111" s="3225"/>
      <c r="U111" s="3225"/>
      <c r="V111" s="3225"/>
      <c r="W111" s="3225"/>
    </row>
    <row r="112" spans="1:23" s="2" customFormat="1" ht="14.5" x14ac:dyDescent="0.35">
      <c r="A112" s="3035"/>
      <c r="B112" s="3031"/>
      <c r="C112" s="3032"/>
      <c r="D112" s="3032"/>
      <c r="E112" s="3032"/>
      <c r="F112" s="3050"/>
      <c r="G112" s="3283"/>
      <c r="H112" s="2268"/>
      <c r="I112" s="3284"/>
      <c r="J112" s="3284"/>
      <c r="K112" s="3284"/>
      <c r="L112" s="3284"/>
      <c r="M112" s="3284"/>
      <c r="N112" s="3284"/>
      <c r="O112" s="3284"/>
      <c r="P112" s="3284"/>
      <c r="Q112" s="3284"/>
      <c r="R112" s="3284"/>
      <c r="S112" s="3284"/>
      <c r="T112" s="3284"/>
      <c r="U112" s="3284"/>
      <c r="V112" s="3284"/>
      <c r="W112" s="3284"/>
    </row>
    <row r="113" spans="1:23" s="2" customFormat="1" ht="14.5" x14ac:dyDescent="0.35">
      <c r="A113" s="3285"/>
      <c r="B113" s="3286"/>
      <c r="C113" s="3032"/>
      <c r="D113" s="3032"/>
      <c r="E113" s="3032"/>
      <c r="F113" s="3050"/>
      <c r="G113" s="3283"/>
      <c r="H113" s="2272"/>
      <c r="I113" s="3287"/>
      <c r="J113" s="3287"/>
      <c r="K113" s="3287"/>
      <c r="L113" s="3287"/>
      <c r="M113" s="3287"/>
      <c r="N113" s="3287"/>
      <c r="O113" s="3287"/>
      <c r="P113" s="3287"/>
      <c r="Q113" s="3287"/>
      <c r="R113" s="3287"/>
      <c r="S113" s="3287"/>
      <c r="T113" s="3287"/>
      <c r="U113" s="3287"/>
      <c r="V113" s="3287"/>
      <c r="W113" s="3287"/>
    </row>
    <row r="114" spans="1:23" s="2" customFormat="1" ht="14.5" x14ac:dyDescent="0.35">
      <c r="A114" s="3764" t="s">
        <v>724</v>
      </c>
      <c r="B114" s="3765"/>
      <c r="C114" s="12"/>
      <c r="D114" s="12"/>
      <c r="E114" s="12"/>
      <c r="F114" s="168"/>
      <c r="G114" s="43"/>
      <c r="H114" s="42"/>
      <c r="I114" s="21"/>
      <c r="J114" s="21"/>
      <c r="K114" s="21"/>
      <c r="L114" s="21"/>
      <c r="M114" s="21"/>
      <c r="N114" s="21"/>
      <c r="O114" s="21"/>
      <c r="P114" s="21"/>
      <c r="Q114" s="21"/>
      <c r="R114" s="21"/>
      <c r="S114" s="21"/>
      <c r="T114" s="21"/>
      <c r="U114" s="21"/>
      <c r="V114" s="21"/>
      <c r="W114" s="21"/>
    </row>
    <row r="115" spans="1:23" ht="29" x14ac:dyDescent="0.35">
      <c r="A115" s="3226"/>
      <c r="B115" s="3227" t="s">
        <v>3970</v>
      </c>
      <c r="C115" s="3223"/>
      <c r="D115" s="3223"/>
      <c r="E115" s="3223"/>
      <c r="F115" s="3280"/>
      <c r="G115" s="3281"/>
      <c r="H115" s="3282"/>
      <c r="I115" s="3225"/>
      <c r="J115" s="3225"/>
      <c r="K115" s="3225"/>
      <c r="L115" s="3225"/>
      <c r="M115" s="3288">
        <v>-23211</v>
      </c>
      <c r="N115" s="3225"/>
      <c r="O115" s="3288">
        <v>-20590</v>
      </c>
      <c r="P115" s="3225"/>
      <c r="Q115" s="3225"/>
      <c r="R115" s="3225"/>
      <c r="S115" s="3225"/>
      <c r="T115" s="3225"/>
      <c r="U115" s="3225"/>
      <c r="V115" s="3225"/>
      <c r="W115" s="3225"/>
    </row>
    <row r="116" spans="1:23" ht="14.5" x14ac:dyDescent="0.35">
      <c r="A116" s="3285"/>
      <c r="B116" s="3286" t="s">
        <v>3971</v>
      </c>
      <c r="C116" s="3032"/>
      <c r="D116" s="3032"/>
      <c r="E116" s="3032"/>
      <c r="F116" s="3050"/>
      <c r="G116" s="3283"/>
      <c r="H116" s="2274"/>
      <c r="I116" s="3289"/>
      <c r="J116" s="3289"/>
      <c r="K116" s="3289"/>
      <c r="L116" s="3289"/>
      <c r="M116" s="3289"/>
      <c r="N116" s="3289"/>
      <c r="O116" s="3288"/>
      <c r="P116" s="3289"/>
      <c r="Q116" s="3289"/>
      <c r="R116" s="3289"/>
      <c r="S116" s="3289"/>
      <c r="T116" s="3289"/>
      <c r="U116" s="3289"/>
      <c r="V116" s="3289"/>
      <c r="W116" s="3289"/>
    </row>
    <row r="117" spans="1:23" ht="14.5" x14ac:dyDescent="0.35">
      <c r="A117" s="3285"/>
      <c r="B117" s="3286"/>
      <c r="C117" s="3032"/>
      <c r="D117" s="3032"/>
      <c r="E117" s="3032"/>
      <c r="F117" s="3050"/>
      <c r="G117" s="3283"/>
      <c r="H117" s="2274"/>
      <c r="I117" s="3289"/>
      <c r="J117" s="3289"/>
      <c r="K117" s="3289"/>
      <c r="L117" s="3289"/>
      <c r="M117" s="3289"/>
      <c r="N117" s="3289"/>
      <c r="O117" s="3289"/>
      <c r="P117" s="3289"/>
      <c r="Q117" s="3289"/>
      <c r="R117" s="3289"/>
      <c r="S117" s="3289"/>
      <c r="T117" s="3289"/>
      <c r="U117" s="3289"/>
      <c r="V117" s="3289"/>
      <c r="W117" s="3289"/>
    </row>
    <row r="118" spans="1:23" ht="14.5" x14ac:dyDescent="0.35">
      <c r="A118" s="3764" t="s">
        <v>725</v>
      </c>
      <c r="B118" s="3765"/>
      <c r="C118" s="12"/>
      <c r="D118" s="12"/>
      <c r="E118" s="12"/>
      <c r="F118" s="168"/>
      <c r="G118" s="43"/>
      <c r="H118" s="42"/>
      <c r="I118" s="21"/>
      <c r="J118" s="21"/>
      <c r="K118" s="21"/>
      <c r="L118" s="21"/>
      <c r="M118" s="21"/>
      <c r="N118" s="21"/>
      <c r="O118" s="21"/>
      <c r="P118" s="21"/>
      <c r="Q118" s="21"/>
      <c r="R118" s="21"/>
      <c r="S118" s="21"/>
      <c r="T118" s="21"/>
      <c r="U118" s="21"/>
      <c r="V118" s="21"/>
      <c r="W118" s="21"/>
    </row>
    <row r="119" spans="1:23" ht="14.5" x14ac:dyDescent="0.35">
      <c r="A119" s="3035"/>
      <c r="B119" s="3031" t="s">
        <v>726</v>
      </c>
      <c r="C119" s="3032"/>
      <c r="D119" s="3032"/>
      <c r="E119" s="3032"/>
      <c r="F119" s="3050"/>
      <c r="G119" s="3283"/>
      <c r="H119" s="2274"/>
      <c r="I119" s="3289"/>
      <c r="J119" s="3289"/>
      <c r="K119" s="3289"/>
      <c r="L119" s="3289"/>
      <c r="M119" s="3289"/>
      <c r="N119" s="3289"/>
      <c r="O119" s="3289"/>
      <c r="P119" s="3289"/>
      <c r="Q119" s="3289"/>
      <c r="R119" s="3289"/>
      <c r="S119" s="3289"/>
      <c r="T119" s="3289"/>
      <c r="U119" s="3289"/>
      <c r="V119" s="3289"/>
      <c r="W119" s="3289"/>
    </row>
    <row r="120" spans="1:23" ht="14.5" x14ac:dyDescent="0.35">
      <c r="A120" s="3035"/>
      <c r="B120" s="3031" t="s">
        <v>727</v>
      </c>
      <c r="C120" s="3032"/>
      <c r="D120" s="3032"/>
      <c r="E120" s="3032"/>
      <c r="F120" s="3050"/>
      <c r="G120" s="3283"/>
      <c r="H120" s="2274"/>
      <c r="I120" s="3289"/>
      <c r="J120" s="3289"/>
      <c r="K120" s="3289"/>
      <c r="L120" s="3289"/>
      <c r="M120" s="3289"/>
      <c r="N120" s="3289"/>
      <c r="O120" s="3289"/>
      <c r="P120" s="3289"/>
      <c r="Q120" s="3289"/>
      <c r="R120" s="3289"/>
      <c r="S120" s="3289"/>
      <c r="T120" s="3289"/>
      <c r="U120" s="3289"/>
      <c r="V120" s="3289"/>
      <c r="W120" s="3289"/>
    </row>
    <row r="121" spans="1:23" ht="14.5" x14ac:dyDescent="0.35">
      <c r="A121" s="3035"/>
      <c r="B121" s="3031" t="s">
        <v>728</v>
      </c>
      <c r="C121" s="3032"/>
      <c r="D121" s="3032"/>
      <c r="E121" s="3032"/>
      <c r="F121" s="3050"/>
      <c r="G121" s="3283"/>
      <c r="H121" s="2274"/>
      <c r="I121" s="3289"/>
      <c r="J121" s="3289"/>
      <c r="K121" s="3289"/>
      <c r="L121" s="3289"/>
      <c r="M121" s="3289"/>
      <c r="N121" s="3289"/>
      <c r="O121" s="3289"/>
      <c r="P121" s="3289"/>
      <c r="Q121" s="3289"/>
      <c r="R121" s="3289"/>
      <c r="S121" s="3289"/>
      <c r="T121" s="3289"/>
      <c r="U121" s="3289"/>
      <c r="V121" s="3289"/>
      <c r="W121" s="3289"/>
    </row>
    <row r="122" spans="1:23" ht="14.5" x14ac:dyDescent="0.35">
      <c r="A122" s="3035"/>
      <c r="B122" s="3031" t="s">
        <v>729</v>
      </c>
      <c r="C122" s="3032"/>
      <c r="D122" s="3032"/>
      <c r="E122" s="3032"/>
      <c r="F122" s="3050"/>
      <c r="G122" s="3283"/>
      <c r="H122" s="2274"/>
      <c r="I122" s="3289"/>
      <c r="J122" s="3289"/>
      <c r="K122" s="3289"/>
      <c r="L122" s="3289"/>
      <c r="M122" s="3289"/>
      <c r="N122" s="3289"/>
      <c r="O122" s="3289"/>
      <c r="P122" s="3289"/>
      <c r="Q122" s="3289"/>
      <c r="R122" s="3289"/>
      <c r="S122" s="3289"/>
      <c r="T122" s="3289"/>
      <c r="U122" s="3289"/>
      <c r="V122" s="3289"/>
      <c r="W122" s="3289"/>
    </row>
    <row r="123" spans="1:23" ht="14.5" x14ac:dyDescent="0.35">
      <c r="A123" s="978"/>
      <c r="B123" s="939"/>
      <c r="C123" s="940"/>
      <c r="D123" s="940"/>
      <c r="E123" s="940"/>
      <c r="F123" s="3241"/>
      <c r="G123" s="979"/>
      <c r="H123" s="980"/>
      <c r="I123" s="981"/>
      <c r="J123" s="981"/>
      <c r="K123" s="981"/>
      <c r="L123" s="981"/>
      <c r="M123" s="981"/>
      <c r="N123" s="981"/>
      <c r="O123" s="981"/>
      <c r="P123" s="981"/>
      <c r="Q123" s="981"/>
      <c r="R123" s="981"/>
      <c r="S123" s="981"/>
      <c r="T123" s="981"/>
      <c r="U123" s="981"/>
      <c r="V123" s="981"/>
      <c r="W123" s="981"/>
    </row>
    <row r="124" spans="1:23" ht="14.5" x14ac:dyDescent="0.35">
      <c r="A124" s="7" t="s">
        <v>730</v>
      </c>
      <c r="B124" s="8"/>
      <c r="C124" s="12"/>
      <c r="D124" s="12"/>
      <c r="E124" s="12"/>
      <c r="F124" s="168"/>
      <c r="G124" s="43"/>
      <c r="H124" s="42"/>
      <c r="I124" s="21"/>
      <c r="J124" s="21"/>
      <c r="K124" s="21"/>
      <c r="L124" s="21"/>
      <c r="M124" s="21"/>
      <c r="N124" s="21"/>
      <c r="O124" s="21"/>
      <c r="P124" s="21"/>
      <c r="Q124" s="21"/>
      <c r="R124" s="21"/>
      <c r="S124" s="21"/>
      <c r="T124" s="21"/>
      <c r="U124" s="21"/>
      <c r="V124" s="21"/>
      <c r="W124" s="21"/>
    </row>
    <row r="125" spans="1:23" ht="14.5" x14ac:dyDescent="0.35">
      <c r="A125" s="3222"/>
      <c r="B125" s="3228" t="s">
        <v>731</v>
      </c>
      <c r="C125" s="3223"/>
      <c r="D125" s="3223"/>
      <c r="E125" s="3223"/>
      <c r="F125" s="3280"/>
      <c r="G125" s="3281"/>
      <c r="H125" s="3212"/>
      <c r="I125" s="3229"/>
      <c r="J125" s="3229"/>
      <c r="K125" s="3229"/>
      <c r="L125" s="3229"/>
      <c r="M125" s="3229"/>
      <c r="N125" s="3229"/>
      <c r="O125" s="3229"/>
      <c r="P125" s="3229"/>
      <c r="Q125" s="3229"/>
      <c r="R125" s="3229"/>
      <c r="S125" s="3229"/>
      <c r="T125" s="3229"/>
      <c r="U125" s="3229"/>
      <c r="V125" s="3229"/>
      <c r="W125" s="3229"/>
    </row>
    <row r="126" spans="1:23" ht="14.5" x14ac:dyDescent="0.35">
      <c r="A126" s="3035"/>
      <c r="B126" s="3031" t="s">
        <v>732</v>
      </c>
      <c r="C126" s="3032"/>
      <c r="D126" s="3032"/>
      <c r="E126" s="3032"/>
      <c r="F126" s="3050"/>
      <c r="G126" s="3283"/>
      <c r="H126" s="2276"/>
      <c r="I126" s="3290"/>
      <c r="J126" s="3290"/>
      <c r="K126" s="3290"/>
      <c r="L126" s="3290"/>
      <c r="M126" s="3290"/>
      <c r="N126" s="3290"/>
      <c r="O126" s="3290"/>
      <c r="P126" s="3290"/>
      <c r="Q126" s="3290"/>
      <c r="R126" s="3290"/>
      <c r="S126" s="3290"/>
      <c r="T126" s="3290"/>
      <c r="U126" s="3290"/>
      <c r="V126" s="3290"/>
      <c r="W126" s="3290"/>
    </row>
    <row r="127" spans="1:23" ht="14.5" x14ac:dyDescent="0.35">
      <c r="A127" s="3291"/>
      <c r="B127" s="3292" t="s">
        <v>733</v>
      </c>
      <c r="C127" s="3293"/>
      <c r="D127" s="3293"/>
      <c r="E127" s="3293"/>
      <c r="F127" s="3294"/>
      <c r="G127" s="3295"/>
      <c r="H127" s="3296"/>
      <c r="I127" s="3297"/>
      <c r="J127" s="3297"/>
      <c r="K127" s="3297"/>
      <c r="L127" s="3297"/>
      <c r="M127" s="3297"/>
      <c r="N127" s="3297"/>
      <c r="O127" s="3297"/>
      <c r="P127" s="3297"/>
      <c r="Q127" s="3297"/>
      <c r="R127" s="3297"/>
      <c r="S127" s="3297"/>
      <c r="T127" s="3297"/>
      <c r="U127" s="3297"/>
      <c r="V127" s="3297"/>
      <c r="W127" s="3297"/>
    </row>
    <row r="129" spans="1:2" ht="14.5" x14ac:dyDescent="0.35">
      <c r="A129" s="78" t="s">
        <v>734</v>
      </c>
      <c r="B129" s="80"/>
    </row>
    <row r="130" spans="1:2" ht="14.5" x14ac:dyDescent="0.35">
      <c r="A130" s="79" t="s">
        <v>632</v>
      </c>
      <c r="B130" s="3298" t="str">
        <f>N4</f>
        <v>US. Brick &amp; BlockR3</v>
      </c>
    </row>
    <row r="131" spans="1:2" ht="14.5" x14ac:dyDescent="0.35">
      <c r="A131" s="3299" t="s">
        <v>636</v>
      </c>
      <c r="B131" s="3300" t="str">
        <f>N5</f>
        <v>Lexi Gardner</v>
      </c>
    </row>
    <row r="132" spans="1:2" ht="14.5" x14ac:dyDescent="0.35">
      <c r="A132" s="3301" t="s">
        <v>639</v>
      </c>
      <c r="B132" s="3300">
        <f>N6</f>
        <v>9544700670</v>
      </c>
    </row>
    <row r="133" spans="1:2" ht="14.5" x14ac:dyDescent="0.35">
      <c r="A133" s="3301" t="s">
        <v>642</v>
      </c>
      <c r="B133" s="3302" t="str">
        <f>N7</f>
        <v>lexi@usbrickandblock.com</v>
      </c>
    </row>
    <row r="134" spans="1:2" ht="14.5" x14ac:dyDescent="0.35">
      <c r="A134" s="3303" t="s">
        <v>735</v>
      </c>
      <c r="B134" s="3304">
        <f>N8</f>
        <v>540250</v>
      </c>
    </row>
    <row r="136" spans="1:2" ht="14.5" x14ac:dyDescent="0.35">
      <c r="A136" s="81"/>
      <c r="B136" s="1" t="s">
        <v>736</v>
      </c>
    </row>
    <row r="137" spans="1:2" ht="14.5" x14ac:dyDescent="0.35">
      <c r="A137" s="82"/>
      <c r="B137" s="1" t="s">
        <v>737</v>
      </c>
    </row>
  </sheetData>
  <mergeCells count="61">
    <mergeCell ref="A102:B102"/>
    <mergeCell ref="A106:B106"/>
    <mergeCell ref="A110:B110"/>
    <mergeCell ref="A114:B114"/>
    <mergeCell ref="A118:B118"/>
    <mergeCell ref="R8:S8"/>
    <mergeCell ref="H7:I7"/>
    <mergeCell ref="L7:M7"/>
    <mergeCell ref="P7:Q7"/>
    <mergeCell ref="V7:W7"/>
    <mergeCell ref="J7:K7"/>
    <mergeCell ref="R7:S7"/>
    <mergeCell ref="H8:I8"/>
    <mergeCell ref="L8:M8"/>
    <mergeCell ref="P8:Q8"/>
    <mergeCell ref="V8:W8"/>
    <mergeCell ref="J8:K8"/>
    <mergeCell ref="N7:O7"/>
    <mergeCell ref="N8:O8"/>
    <mergeCell ref="T7:U7"/>
    <mergeCell ref="T8:U8"/>
    <mergeCell ref="R6:S6"/>
    <mergeCell ref="H5:I5"/>
    <mergeCell ref="L5:M5"/>
    <mergeCell ref="P5:Q5"/>
    <mergeCell ref="V5:W5"/>
    <mergeCell ref="J5:K5"/>
    <mergeCell ref="R5:S5"/>
    <mergeCell ref="H6:I6"/>
    <mergeCell ref="L6:M6"/>
    <mergeCell ref="P6:Q6"/>
    <mergeCell ref="V6:W6"/>
    <mergeCell ref="J6:K6"/>
    <mergeCell ref="N5:O5"/>
    <mergeCell ref="N6:O6"/>
    <mergeCell ref="T5:U5"/>
    <mergeCell ref="T6:U6"/>
    <mergeCell ref="R4:S4"/>
    <mergeCell ref="H3:I3"/>
    <mergeCell ref="L3:M3"/>
    <mergeCell ref="P3:Q3"/>
    <mergeCell ref="V3:W3"/>
    <mergeCell ref="J3:K3"/>
    <mergeCell ref="R3:S3"/>
    <mergeCell ref="H4:I4"/>
    <mergeCell ref="L4:M4"/>
    <mergeCell ref="P4:Q4"/>
    <mergeCell ref="V4:W4"/>
    <mergeCell ref="J4:K4"/>
    <mergeCell ref="N3:O3"/>
    <mergeCell ref="N4:O4"/>
    <mergeCell ref="T3:U3"/>
    <mergeCell ref="T4:U4"/>
    <mergeCell ref="R2:S2"/>
    <mergeCell ref="H2:I2"/>
    <mergeCell ref="L2:M2"/>
    <mergeCell ref="P2:Q2"/>
    <mergeCell ref="V2:W2"/>
    <mergeCell ref="J2:K2"/>
    <mergeCell ref="N2:O2"/>
    <mergeCell ref="T2:U2"/>
  </mergeCells>
  <conditionalFormatting sqref="H20:H32">
    <cfRule type="cellIs" dxfId="143" priority="13" operator="equal">
      <formula>"X"</formula>
    </cfRule>
    <cfRule type="cellIs" dxfId="142" priority="14" operator="equal">
      <formula>"I"</formula>
    </cfRule>
  </conditionalFormatting>
  <conditionalFormatting sqref="H34:H93 J34:J93 L34:L93 N34:N93 P34:P93 R34:R93 V34:V93">
    <cfRule type="cellIs" dxfId="141" priority="49" operator="equal">
      <formula>"X"</formula>
    </cfRule>
    <cfRule type="cellIs" dxfId="140" priority="50" operator="equal">
      <formula>"I"</formula>
    </cfRule>
  </conditionalFormatting>
  <conditionalFormatting sqref="J20:J32">
    <cfRule type="cellIs" dxfId="139" priority="7" operator="equal">
      <formula>"X"</formula>
    </cfRule>
    <cfRule type="cellIs" dxfId="138" priority="8" operator="equal">
      <formula>"I"</formula>
    </cfRule>
  </conditionalFormatting>
  <conditionalFormatting sqref="L20:L32">
    <cfRule type="cellIs" dxfId="137" priority="45" operator="equal">
      <formula>"X"</formula>
    </cfRule>
    <cfRule type="cellIs" dxfId="136" priority="46" operator="equal">
      <formula>"I"</formula>
    </cfRule>
  </conditionalFormatting>
  <conditionalFormatting sqref="N20:N32">
    <cfRule type="cellIs" dxfId="135" priority="15" operator="equal">
      <formula>"X"</formula>
    </cfRule>
    <cfRule type="cellIs" dxfId="134" priority="16" operator="equal">
      <formula>"I"</formula>
    </cfRule>
  </conditionalFormatting>
  <conditionalFormatting sqref="P20:P32">
    <cfRule type="cellIs" dxfId="133" priority="11" operator="equal">
      <formula>"X"</formula>
    </cfRule>
    <cfRule type="cellIs" dxfId="132" priority="12" operator="equal">
      <formula>"I"</formula>
    </cfRule>
  </conditionalFormatting>
  <conditionalFormatting sqref="R20:R32">
    <cfRule type="cellIs" dxfId="131" priority="9" operator="equal">
      <formula>"X"</formula>
    </cfRule>
    <cfRule type="cellIs" dxfId="130" priority="10" operator="equal">
      <formula>"I"</formula>
    </cfRule>
  </conditionalFormatting>
  <conditionalFormatting sqref="T20:T32">
    <cfRule type="cellIs" dxfId="129" priority="1" operator="equal">
      <formula>"X"</formula>
    </cfRule>
    <cfRule type="cellIs" dxfId="128" priority="2" operator="equal">
      <formula>"I"</formula>
    </cfRule>
  </conditionalFormatting>
  <conditionalFormatting sqref="T34:T93">
    <cfRule type="cellIs" dxfId="127" priority="3" operator="equal">
      <formula>"X"</formula>
    </cfRule>
    <cfRule type="cellIs" dxfId="126" priority="4" operator="equal">
      <formula>"I"</formula>
    </cfRule>
  </conditionalFormatting>
  <conditionalFormatting sqref="V20:V32">
    <cfRule type="cellIs" dxfId="125" priority="5" operator="equal">
      <formula>"X"</formula>
    </cfRule>
    <cfRule type="cellIs" dxfId="124" priority="6" operator="equal">
      <formula>"I"</formula>
    </cfRule>
  </conditionalFormatting>
  <hyperlinks>
    <hyperlink ref="B3" location="'Cost Summary'!A1" display="BACK TO SUMMARY SHEET" xr:uid="{CA0F4310-E47F-4464-876B-DE7B88433921}"/>
    <hyperlink ref="H7:I7" r:id="rId1" display="estimating@apexpavers.com" xr:uid="{63D11A98-4F60-47BA-A04A-9A749E6EDBB4}"/>
    <hyperlink ref="L7" r:id="rId2" xr:uid="{1091C50B-E08D-4EC8-A4DC-9AF978FB34FE}"/>
    <hyperlink ref="P7" r:id="rId3" xr:uid="{9292206A-5C31-4283-84ED-22430AF86652}"/>
    <hyperlink ref="V7" r:id="rId4" xr:uid="{70C98F13-0E91-4E80-B501-1F988014EE46}"/>
    <hyperlink ref="N7" r:id="rId5" xr:uid="{FA21C857-ECC9-4637-A1D6-10F33C753B5F}"/>
    <hyperlink ref="J7" r:id="rId6" xr:uid="{18F9E797-AAC6-4383-8566-415559EA0808}"/>
    <hyperlink ref="T7" r:id="rId7" xr:uid="{B8CC09F7-A852-4CDC-8081-5661063D9BD8}"/>
  </hyperlinks>
  <pageMargins left="0.7" right="0.7" top="0.75" bottom="0.75" header="0.3" footer="0.3"/>
  <pageSetup orientation="portrait" r:id="rId8"/>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85D-4C37-43E8-8DB1-6376546362F8}">
  <sheetPr>
    <tabColor rgb="FFFFC000"/>
  </sheetPr>
  <dimension ref="A1:U105"/>
  <sheetViews>
    <sheetView zoomScale="98" zoomScaleNormal="98" workbookViewId="0">
      <pane xSplit="2" ySplit="9" topLeftCell="F25" activePane="bottomRight" state="frozen"/>
      <selection pane="topRight" activeCell="C1" sqref="C1"/>
      <selection pane="bottomLeft" activeCell="A11" sqref="A11"/>
      <selection pane="bottomRight" activeCell="I34" sqref="I34"/>
    </sheetView>
  </sheetViews>
  <sheetFormatPr defaultRowHeight="14.5" x14ac:dyDescent="0.35"/>
  <cols>
    <col min="1" max="1" width="11" customWidth="1"/>
    <col min="2" max="2" width="70.7265625" style="1" customWidth="1"/>
    <col min="3" max="3" width="17.26953125" style="2" bestFit="1" customWidth="1"/>
    <col min="4" max="5" width="7.54296875" style="2" customWidth="1"/>
    <col min="6" max="6" width="12" style="2"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E1" s="152"/>
      <c r="F1" s="125"/>
      <c r="G1" s="123" t="s">
        <v>621</v>
      </c>
    </row>
    <row r="2" spans="1:19" x14ac:dyDescent="0.35">
      <c r="E2" s="152"/>
      <c r="F2" s="122" t="s">
        <v>622</v>
      </c>
      <c r="G2" s="123" t="s">
        <v>451</v>
      </c>
      <c r="H2" s="3751"/>
      <c r="I2" s="3751"/>
      <c r="J2" s="3751"/>
      <c r="K2" s="3751"/>
      <c r="L2" s="3751" t="s">
        <v>1798</v>
      </c>
      <c r="M2" s="3751"/>
      <c r="N2" s="3751"/>
      <c r="O2" s="3751"/>
      <c r="P2" s="3751"/>
      <c r="Q2" s="3751"/>
      <c r="R2" s="3751"/>
      <c r="S2" s="3751"/>
    </row>
    <row r="3" spans="1:19" ht="19.5" x14ac:dyDescent="0.35">
      <c r="B3" s="137" t="s">
        <v>623</v>
      </c>
      <c r="E3" s="152"/>
      <c r="F3" s="124" t="s">
        <v>624</v>
      </c>
      <c r="G3" s="123" t="s">
        <v>557</v>
      </c>
      <c r="H3" s="3754" t="s">
        <v>625</v>
      </c>
      <c r="I3" s="3755"/>
      <c r="J3" s="3797" t="s">
        <v>625</v>
      </c>
      <c r="K3" s="3798"/>
      <c r="L3" s="3754" t="s">
        <v>627</v>
      </c>
      <c r="M3" s="3755"/>
      <c r="N3" s="3754" t="s">
        <v>628</v>
      </c>
      <c r="O3" s="3755"/>
      <c r="P3" s="3754" t="s">
        <v>629</v>
      </c>
      <c r="Q3" s="3755"/>
      <c r="R3" s="3754" t="s">
        <v>630</v>
      </c>
      <c r="S3" s="3755"/>
    </row>
    <row r="4" spans="1:19" x14ac:dyDescent="0.35">
      <c r="A4" s="3" t="s">
        <v>631</v>
      </c>
      <c r="B4" s="4" t="str">
        <f>'AREA CALC''s'!B4</f>
        <v>Alton Hilltop Gardens</v>
      </c>
      <c r="C4" s="5"/>
      <c r="D4" s="5"/>
      <c r="E4" s="5"/>
      <c r="F4" s="5"/>
      <c r="G4" s="6" t="s">
        <v>632</v>
      </c>
      <c r="H4" s="3752"/>
      <c r="I4" s="3753"/>
      <c r="J4" s="3752"/>
      <c r="K4" s="3753"/>
      <c r="L4" s="3898" t="s">
        <v>2197</v>
      </c>
      <c r="M4" s="3898"/>
      <c r="N4" s="3752" t="s">
        <v>3972</v>
      </c>
      <c r="O4" s="3753"/>
      <c r="P4" s="3752" t="s">
        <v>3973</v>
      </c>
      <c r="Q4" s="3753"/>
      <c r="R4" s="3752"/>
      <c r="S4" s="3753"/>
    </row>
    <row r="5" spans="1:19" x14ac:dyDescent="0.35">
      <c r="A5" s="3305" t="s">
        <v>634</v>
      </c>
      <c r="B5" s="3306" t="s">
        <v>575</v>
      </c>
      <c r="C5" s="3307"/>
      <c r="D5" s="3307"/>
      <c r="E5" s="3307"/>
      <c r="F5" s="3307"/>
      <c r="G5" s="2194" t="s">
        <v>636</v>
      </c>
      <c r="H5" s="4009"/>
      <c r="I5" s="3932"/>
      <c r="J5" s="4009"/>
      <c r="K5" s="3932"/>
      <c r="L5" s="4010" t="s">
        <v>2202</v>
      </c>
      <c r="M5" s="4010"/>
      <c r="N5" s="4009"/>
      <c r="O5" s="3932"/>
      <c r="P5" s="4009" t="s">
        <v>3974</v>
      </c>
      <c r="Q5" s="3932"/>
      <c r="R5" s="4009"/>
      <c r="S5" s="3932"/>
    </row>
    <row r="6" spans="1:19" x14ac:dyDescent="0.35">
      <c r="A6" s="3305" t="s">
        <v>638</v>
      </c>
      <c r="B6" s="3308" t="s">
        <v>574</v>
      </c>
      <c r="C6" s="3307"/>
      <c r="D6" s="3307"/>
      <c r="E6" s="3307"/>
      <c r="F6" s="3307"/>
      <c r="G6" s="2194" t="s">
        <v>639</v>
      </c>
      <c r="H6" s="4008"/>
      <c r="I6" s="3938"/>
      <c r="J6" s="4008"/>
      <c r="K6" s="3938"/>
      <c r="L6" s="4011" t="s">
        <v>2206</v>
      </c>
      <c r="M6" s="4011"/>
      <c r="N6" s="4008"/>
      <c r="O6" s="3938"/>
      <c r="P6" s="4008" t="s">
        <v>3975</v>
      </c>
      <c r="Q6" s="3938"/>
      <c r="R6" s="4008"/>
      <c r="S6" s="3938"/>
    </row>
    <row r="7" spans="1:19" x14ac:dyDescent="0.35">
      <c r="A7" s="3305" t="s">
        <v>641</v>
      </c>
      <c r="B7" s="3309"/>
      <c r="C7" s="3307"/>
      <c r="D7" s="3307"/>
      <c r="E7" s="3307"/>
      <c r="F7" s="3307"/>
      <c r="G7" s="2194" t="s">
        <v>642</v>
      </c>
      <c r="H7" s="4014"/>
      <c r="I7" s="4004"/>
      <c r="J7" s="4014"/>
      <c r="K7" s="4004"/>
      <c r="L7" s="4015" t="s">
        <v>2211</v>
      </c>
      <c r="M7" s="4015"/>
      <c r="N7" s="4014"/>
      <c r="O7" s="4004"/>
      <c r="P7" s="4014" t="s">
        <v>3976</v>
      </c>
      <c r="Q7" s="4004"/>
      <c r="R7" s="4014"/>
      <c r="S7" s="4004"/>
    </row>
    <row r="8" spans="1:19" x14ac:dyDescent="0.35">
      <c r="A8" s="938" t="s">
        <v>644</v>
      </c>
      <c r="B8" s="939"/>
      <c r="C8" s="940"/>
      <c r="D8" s="940"/>
      <c r="E8" s="940"/>
      <c r="F8" s="940"/>
      <c r="G8" s="1024" t="s">
        <v>644</v>
      </c>
      <c r="H8" s="4012">
        <f>I66</f>
        <v>598464.62</v>
      </c>
      <c r="I8" s="4013"/>
      <c r="J8" s="4012">
        <f>K66</f>
        <v>606146.1</v>
      </c>
      <c r="K8" s="4013"/>
      <c r="L8" s="4012">
        <f>M66</f>
        <v>521660.10000000003</v>
      </c>
      <c r="M8" s="4013"/>
      <c r="N8" s="4012">
        <f>O66</f>
        <v>14632.38</v>
      </c>
      <c r="O8" s="4013"/>
      <c r="P8" s="4012">
        <f>Q66</f>
        <v>0</v>
      </c>
      <c r="Q8" s="4013"/>
      <c r="R8" s="4012">
        <f>S66</f>
        <v>0</v>
      </c>
      <c r="S8" s="4013"/>
    </row>
    <row r="9" spans="1:19"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idden="1" x14ac:dyDescent="0.35">
      <c r="A10" s="3310"/>
      <c r="B10" s="3230" t="s">
        <v>653</v>
      </c>
      <c r="C10" s="3307"/>
      <c r="D10" s="3307"/>
      <c r="E10" s="3307"/>
      <c r="F10" s="3307"/>
      <c r="G10" s="2198"/>
      <c r="H10" s="3311"/>
      <c r="I10" s="3311"/>
      <c r="J10" s="3311"/>
      <c r="K10" s="3311"/>
      <c r="L10" s="3311"/>
      <c r="M10" s="3311"/>
      <c r="N10" s="3311"/>
      <c r="O10" s="3311"/>
      <c r="P10" s="3311"/>
      <c r="Q10" s="3311"/>
      <c r="R10" s="3311"/>
      <c r="S10" s="3311"/>
    </row>
    <row r="11" spans="1:19" hidden="1" x14ac:dyDescent="0.35">
      <c r="A11" s="3310"/>
      <c r="B11" s="3306" t="e">
        <f>#REF!</f>
        <v>#REF!</v>
      </c>
      <c r="C11" s="3312" t="s">
        <v>654</v>
      </c>
      <c r="D11" s="3307"/>
      <c r="E11" s="3307"/>
      <c r="F11" s="3307"/>
      <c r="G11" s="2198"/>
      <c r="H11" s="3311"/>
      <c r="I11" s="3311"/>
      <c r="J11" s="3311"/>
      <c r="K11" s="3311"/>
      <c r="L11" s="3311"/>
      <c r="M11" s="3311"/>
      <c r="N11" s="3311"/>
      <c r="O11" s="3311"/>
      <c r="P11" s="3311"/>
      <c r="Q11" s="3311"/>
      <c r="R11" s="3311"/>
      <c r="S11" s="3311"/>
    </row>
    <row r="12" spans="1:19" hidden="1" x14ac:dyDescent="0.35">
      <c r="A12" s="3310"/>
      <c r="B12" s="3306" t="e">
        <f>#REF!</f>
        <v>#REF!</v>
      </c>
      <c r="C12" s="3312" t="s">
        <v>654</v>
      </c>
      <c r="D12" s="3307"/>
      <c r="E12" s="3307"/>
      <c r="F12" s="3307"/>
      <c r="G12" s="2198"/>
      <c r="H12" s="3311"/>
      <c r="I12" s="3311"/>
      <c r="J12" s="3311"/>
      <c r="K12" s="3311"/>
      <c r="L12" s="3311"/>
      <c r="M12" s="3311"/>
      <c r="N12" s="3311"/>
      <c r="O12" s="3311"/>
      <c r="P12" s="3311"/>
      <c r="Q12" s="3311"/>
      <c r="R12" s="3311"/>
      <c r="S12" s="3311"/>
    </row>
    <row r="13" spans="1:19" hidden="1" x14ac:dyDescent="0.35">
      <c r="A13" s="3310"/>
      <c r="B13" s="3306" t="e">
        <f>#REF!</f>
        <v>#REF!</v>
      </c>
      <c r="C13" s="3312" t="s">
        <v>654</v>
      </c>
      <c r="D13" s="3307"/>
      <c r="E13" s="3307"/>
      <c r="F13" s="3307"/>
      <c r="G13" s="2198"/>
      <c r="H13" s="3311"/>
      <c r="I13" s="3311"/>
      <c r="J13" s="3311"/>
      <c r="K13" s="3311"/>
      <c r="L13" s="3311"/>
      <c r="M13" s="3311"/>
      <c r="N13" s="3311"/>
      <c r="O13" s="3311"/>
      <c r="P13" s="3311"/>
      <c r="Q13" s="3311"/>
      <c r="R13" s="3311"/>
      <c r="S13" s="3311"/>
    </row>
    <row r="14" spans="1:19" hidden="1" x14ac:dyDescent="0.35">
      <c r="A14" s="3310"/>
      <c r="B14" s="3306" t="e">
        <f>#REF!</f>
        <v>#REF!</v>
      </c>
      <c r="C14" s="3312" t="s">
        <v>654</v>
      </c>
      <c r="D14" s="3307"/>
      <c r="E14" s="3307"/>
      <c r="F14" s="3307"/>
      <c r="G14" s="2198"/>
      <c r="H14" s="3311"/>
      <c r="I14" s="3311"/>
      <c r="J14" s="3311"/>
      <c r="K14" s="3311"/>
      <c r="L14" s="3311"/>
      <c r="M14" s="3311"/>
      <c r="N14" s="3311"/>
      <c r="O14" s="3311"/>
      <c r="P14" s="3311"/>
      <c r="Q14" s="3311"/>
      <c r="R14" s="3311"/>
      <c r="S14" s="3311"/>
    </row>
    <row r="15" spans="1:19" hidden="1" x14ac:dyDescent="0.35">
      <c r="A15" s="3310"/>
      <c r="B15" s="3306" t="e">
        <f>#REF!</f>
        <v>#REF!</v>
      </c>
      <c r="C15" s="3312" t="s">
        <v>654</v>
      </c>
      <c r="D15" s="3307"/>
      <c r="E15" s="3307"/>
      <c r="F15" s="3307"/>
      <c r="G15" s="2198"/>
      <c r="H15" s="3311"/>
      <c r="I15" s="3311"/>
      <c r="J15" s="3311"/>
      <c r="K15" s="3311"/>
      <c r="L15" s="3311"/>
      <c r="M15" s="3311"/>
      <c r="N15" s="3311"/>
      <c r="O15" s="3311"/>
      <c r="P15" s="3311"/>
      <c r="Q15" s="3311"/>
      <c r="R15" s="3311"/>
      <c r="S15" s="3311"/>
    </row>
    <row r="16" spans="1:19" hidden="1" x14ac:dyDescent="0.35">
      <c r="A16" s="3310"/>
      <c r="B16" s="3306" t="e">
        <f>#REF!</f>
        <v>#REF!</v>
      </c>
      <c r="C16" s="3312" t="s">
        <v>654</v>
      </c>
      <c r="D16" s="3307"/>
      <c r="E16" s="3307"/>
      <c r="F16" s="3307"/>
      <c r="G16" s="2198"/>
      <c r="H16" s="3311"/>
      <c r="I16" s="3311"/>
      <c r="J16" s="3311"/>
      <c r="K16" s="3311"/>
      <c r="L16" s="3311"/>
      <c r="M16" s="3311"/>
      <c r="N16" s="3311"/>
      <c r="O16" s="3311"/>
      <c r="P16" s="3311"/>
      <c r="Q16" s="3311"/>
      <c r="R16" s="3311"/>
      <c r="S16" s="3311"/>
    </row>
    <row r="17" spans="1:21" hidden="1" x14ac:dyDescent="0.35">
      <c r="A17" s="3310"/>
      <c r="B17" s="3306" t="e">
        <f>#REF!</f>
        <v>#REF!</v>
      </c>
      <c r="C17" s="3312" t="s">
        <v>654</v>
      </c>
      <c r="D17" s="3307"/>
      <c r="E17" s="3307"/>
      <c r="F17" s="3307"/>
      <c r="G17" s="2198"/>
      <c r="H17" s="3311"/>
      <c r="I17" s="3311"/>
      <c r="J17" s="3311"/>
      <c r="K17" s="3311"/>
      <c r="L17" s="3311"/>
      <c r="M17" s="3311"/>
      <c r="N17" s="3311"/>
      <c r="O17" s="3311"/>
      <c r="P17" s="3311"/>
      <c r="Q17" s="3311"/>
      <c r="R17" s="3311"/>
      <c r="S17" s="3311"/>
    </row>
    <row r="18" spans="1:21" hidden="1" x14ac:dyDescent="0.35">
      <c r="A18" s="3310"/>
      <c r="B18" s="3306" t="e">
        <f>#REF!</f>
        <v>#REF!</v>
      </c>
      <c r="C18" s="3312" t="s">
        <v>654</v>
      </c>
      <c r="D18" s="3307"/>
      <c r="E18" s="3307"/>
      <c r="F18" s="3307"/>
      <c r="G18" s="2198"/>
      <c r="H18" s="3311"/>
      <c r="I18" s="3311"/>
      <c r="J18" s="3311"/>
      <c r="K18" s="3311"/>
      <c r="L18" s="3311"/>
      <c r="M18" s="3311"/>
      <c r="N18" s="3311"/>
      <c r="O18" s="3311"/>
      <c r="P18" s="3311"/>
      <c r="Q18" s="3311"/>
      <c r="R18" s="3311"/>
      <c r="S18" s="3311"/>
    </row>
    <row r="19" spans="1:21" hidden="1" x14ac:dyDescent="0.35">
      <c r="A19" s="3310"/>
      <c r="B19" s="3306" t="e">
        <f>#REF!</f>
        <v>#REF!</v>
      </c>
      <c r="C19" s="3312" t="s">
        <v>654</v>
      </c>
      <c r="D19" s="3307"/>
      <c r="E19" s="3307"/>
      <c r="F19" s="3307"/>
      <c r="G19" s="2198"/>
      <c r="H19" s="3311"/>
      <c r="I19" s="3311"/>
      <c r="J19" s="3311"/>
      <c r="K19" s="3311"/>
      <c r="L19" s="3311"/>
      <c r="M19" s="3311"/>
      <c r="N19" s="3311"/>
      <c r="O19" s="3311"/>
      <c r="P19" s="3311"/>
      <c r="Q19" s="3311"/>
      <c r="R19" s="3311"/>
      <c r="S19" s="3311"/>
    </row>
    <row r="20" spans="1:21" x14ac:dyDescent="0.35">
      <c r="A20" s="3310"/>
      <c r="B20" s="3306"/>
      <c r="C20" s="3312"/>
      <c r="D20" s="3307"/>
      <c r="E20" s="3307"/>
      <c r="F20" s="3307"/>
      <c r="G20" s="2198"/>
      <c r="H20" s="3313"/>
      <c r="I20" s="3311"/>
      <c r="J20" s="3313"/>
      <c r="K20" s="3311"/>
      <c r="L20" s="3313"/>
      <c r="M20" s="3311"/>
      <c r="N20" s="3313"/>
      <c r="O20" s="3311"/>
      <c r="P20" s="3313"/>
      <c r="Q20" s="3311"/>
      <c r="R20" s="3313"/>
      <c r="S20" s="3311"/>
    </row>
    <row r="21" spans="1:21" x14ac:dyDescent="0.35">
      <c r="A21" s="3233"/>
      <c r="B21" s="3314" t="s">
        <v>575</v>
      </c>
      <c r="C21" s="45"/>
      <c r="D21" s="46"/>
      <c r="E21" s="46"/>
      <c r="F21" s="46"/>
      <c r="G21" s="52"/>
      <c r="H21" s="3313"/>
      <c r="I21" s="3311"/>
      <c r="J21" s="3313"/>
      <c r="K21" s="3311"/>
      <c r="L21" s="3313"/>
      <c r="M21" s="3311"/>
      <c r="N21" s="3313"/>
      <c r="O21" s="3311"/>
      <c r="P21" s="3313"/>
      <c r="Q21" s="3311"/>
      <c r="R21" s="3313"/>
      <c r="S21" s="3311"/>
    </row>
    <row r="22" spans="1:21" x14ac:dyDescent="0.35">
      <c r="A22" s="3233"/>
      <c r="B22" s="606" t="s">
        <v>657</v>
      </c>
      <c r="C22" s="3312"/>
      <c r="D22" s="3307"/>
      <c r="E22" s="3307"/>
      <c r="F22" s="3307"/>
      <c r="G22" s="2198"/>
      <c r="H22" s="3313"/>
      <c r="I22" s="3315"/>
      <c r="J22" s="3313"/>
      <c r="K22" s="3315"/>
      <c r="L22" s="3313"/>
      <c r="M22" s="2276"/>
      <c r="N22" s="3313"/>
      <c r="O22" s="2276"/>
      <c r="P22" s="3313"/>
      <c r="Q22" s="2276"/>
      <c r="R22" s="3313"/>
      <c r="S22" s="2276"/>
    </row>
    <row r="23" spans="1:21" x14ac:dyDescent="0.35">
      <c r="A23" s="3233"/>
      <c r="B23" s="3316" t="s">
        <v>658</v>
      </c>
      <c r="C23" s="3312"/>
      <c r="D23" s="3307"/>
      <c r="E23" s="3307"/>
      <c r="F23" s="3307"/>
      <c r="G23" s="2198"/>
      <c r="H23" s="3313"/>
      <c r="I23" s="3317"/>
      <c r="J23" s="3313"/>
      <c r="K23" s="3317"/>
      <c r="L23" s="3313"/>
      <c r="M23" s="3318"/>
      <c r="N23" s="3313"/>
      <c r="O23" s="3318"/>
      <c r="P23" s="3313"/>
      <c r="Q23" s="3318"/>
      <c r="R23" s="3313"/>
      <c r="S23" s="3318"/>
    </row>
    <row r="24" spans="1:21" x14ac:dyDescent="0.35">
      <c r="A24" s="3233"/>
      <c r="B24" s="3316" t="s">
        <v>659</v>
      </c>
      <c r="C24" s="3312"/>
      <c r="D24" s="3307"/>
      <c r="E24" s="3307"/>
      <c r="F24" s="3307"/>
      <c r="G24" s="2198"/>
      <c r="H24" s="3313"/>
      <c r="I24" s="3319"/>
      <c r="J24" s="3313"/>
      <c r="K24" s="3319"/>
      <c r="L24" s="3313"/>
      <c r="M24" s="3318"/>
      <c r="N24" s="3313"/>
      <c r="O24" s="3318"/>
      <c r="P24" s="3313"/>
      <c r="Q24" s="3318"/>
      <c r="R24" s="3313"/>
      <c r="S24" s="3318"/>
    </row>
    <row r="25" spans="1:21" x14ac:dyDescent="0.35">
      <c r="A25" s="3233"/>
      <c r="B25" s="3320" t="s">
        <v>660</v>
      </c>
      <c r="C25" s="3312"/>
      <c r="D25" s="3307"/>
      <c r="E25" s="3307"/>
      <c r="F25" s="3307"/>
      <c r="G25" s="2198"/>
      <c r="H25" s="3313"/>
      <c r="I25" s="3319"/>
      <c r="J25" s="3313"/>
      <c r="K25" s="3319"/>
      <c r="L25" s="3313"/>
      <c r="M25" s="3319"/>
      <c r="N25" s="3313"/>
      <c r="O25" s="3318"/>
      <c r="P25" s="3313"/>
      <c r="Q25" s="3318"/>
      <c r="R25" s="3313"/>
      <c r="S25" s="3318"/>
    </row>
    <row r="26" spans="1:21" x14ac:dyDescent="0.35">
      <c r="A26" s="3233"/>
      <c r="B26" s="3320" t="s">
        <v>661</v>
      </c>
      <c r="C26" s="3312"/>
      <c r="D26" s="3307"/>
      <c r="E26" s="3307"/>
      <c r="F26" s="3307"/>
      <c r="G26" s="2198"/>
      <c r="H26" s="3313"/>
      <c r="I26" s="3319"/>
      <c r="J26" s="3313"/>
      <c r="K26" s="3319"/>
      <c r="L26" s="3313"/>
      <c r="M26" s="3319"/>
      <c r="N26" s="3313"/>
      <c r="O26" s="3318"/>
      <c r="P26" s="3313"/>
      <c r="Q26" s="3318"/>
      <c r="R26" s="3313"/>
      <c r="S26" s="3318"/>
    </row>
    <row r="27" spans="1:21" x14ac:dyDescent="0.35">
      <c r="A27" s="3233"/>
      <c r="B27" s="3320" t="s">
        <v>662</v>
      </c>
      <c r="C27" s="3312"/>
      <c r="D27" s="3307"/>
      <c r="E27" s="3307"/>
      <c r="F27" s="3307"/>
      <c r="G27" s="2198"/>
      <c r="H27" s="3313"/>
      <c r="I27" s="3319"/>
      <c r="J27" s="3313"/>
      <c r="K27" s="3319"/>
      <c r="L27" s="3313"/>
      <c r="M27" s="3319"/>
      <c r="N27" s="3313"/>
      <c r="O27" s="3318"/>
      <c r="P27" s="3313"/>
      <c r="Q27" s="3318"/>
      <c r="R27" s="3313"/>
      <c r="S27" s="3318"/>
    </row>
    <row r="28" spans="1:21" x14ac:dyDescent="0.35">
      <c r="A28" s="3233"/>
      <c r="B28" s="3320" t="s">
        <v>663</v>
      </c>
      <c r="C28" s="3312"/>
      <c r="D28" s="3307"/>
      <c r="E28" s="3307"/>
      <c r="F28" s="3307"/>
      <c r="G28" s="2198"/>
      <c r="H28" s="3313"/>
      <c r="I28" s="3319"/>
      <c r="J28" s="3313"/>
      <c r="K28" s="3319"/>
      <c r="L28" s="3313"/>
      <c r="M28" s="3319"/>
      <c r="N28" s="3313"/>
      <c r="O28" s="3318"/>
      <c r="P28" s="3313"/>
      <c r="Q28" s="3318"/>
      <c r="R28" s="3313"/>
      <c r="S28" s="3318"/>
    </row>
    <row r="29" spans="1:21" x14ac:dyDescent="0.35">
      <c r="A29" s="3233"/>
      <c r="B29" s="3320" t="s">
        <v>742</v>
      </c>
      <c r="C29" s="3312"/>
      <c r="D29" s="3307"/>
      <c r="E29" s="3307"/>
      <c r="F29" s="3307"/>
      <c r="G29" s="2198"/>
      <c r="H29" s="3313"/>
      <c r="I29" s="3319"/>
      <c r="J29" s="3313"/>
      <c r="K29" s="3319"/>
      <c r="L29" s="3313"/>
      <c r="M29" s="3319"/>
      <c r="N29" s="3313"/>
      <c r="O29" s="3318"/>
      <c r="P29" s="3313"/>
      <c r="Q29" s="3318"/>
      <c r="R29" s="3313"/>
      <c r="S29" s="3318"/>
    </row>
    <row r="30" spans="1:21" x14ac:dyDescent="0.35">
      <c r="A30" s="3233"/>
      <c r="B30" s="3321" t="s">
        <v>664</v>
      </c>
      <c r="C30" s="3312"/>
      <c r="D30" s="3307"/>
      <c r="E30" s="3307"/>
      <c r="F30" s="3307"/>
      <c r="G30" s="2198"/>
      <c r="H30" s="3313"/>
      <c r="I30" s="3317"/>
      <c r="J30" s="3313"/>
      <c r="K30" s="3317"/>
      <c r="L30" s="3313"/>
      <c r="M30" s="3319"/>
      <c r="N30" s="3313"/>
      <c r="O30" s="3318"/>
      <c r="P30" s="3313"/>
      <c r="Q30" s="3318"/>
      <c r="R30" s="3313"/>
      <c r="S30" s="3318"/>
    </row>
    <row r="31" spans="1:21" x14ac:dyDescent="0.35">
      <c r="A31" s="3233"/>
      <c r="B31" s="3322" t="s">
        <v>665</v>
      </c>
      <c r="C31" s="3323"/>
      <c r="D31" s="3247"/>
      <c r="E31" s="3247"/>
      <c r="F31" s="3247"/>
      <c r="G31" s="2945"/>
      <c r="H31" s="3324"/>
      <c r="I31" s="3325"/>
      <c r="J31" s="3324"/>
      <c r="K31" s="3325"/>
      <c r="L31" s="3325"/>
      <c r="M31" s="3325"/>
      <c r="N31" s="3326"/>
      <c r="O31" s="3327"/>
      <c r="P31" s="3325"/>
      <c r="Q31" s="3325"/>
      <c r="R31" s="3250"/>
      <c r="S31" s="3327"/>
      <c r="T31" s="3326"/>
      <c r="U31" s="3327"/>
    </row>
    <row r="32" spans="1:21" x14ac:dyDescent="0.35">
      <c r="A32" s="3233"/>
      <c r="B32" s="3328"/>
      <c r="C32" s="3312"/>
      <c r="D32" s="3307"/>
      <c r="E32" s="3307"/>
      <c r="F32" s="3307"/>
      <c r="G32" s="2198"/>
      <c r="H32" s="3313"/>
      <c r="I32" s="3317"/>
      <c r="J32" s="3313"/>
      <c r="K32" s="3317"/>
      <c r="L32" s="3313"/>
      <c r="M32" s="3319"/>
      <c r="N32" s="3313"/>
      <c r="O32" s="3318"/>
      <c r="P32" s="3313"/>
      <c r="Q32" s="3318"/>
      <c r="R32" s="3313"/>
      <c r="S32" s="3318"/>
    </row>
    <row r="33" spans="1:19" x14ac:dyDescent="0.35">
      <c r="A33" s="3233"/>
      <c r="B33" s="3329" t="s">
        <v>575</v>
      </c>
      <c r="C33" s="3330"/>
      <c r="D33" s="3307"/>
      <c r="E33" s="3307"/>
      <c r="F33" s="3307"/>
      <c r="G33" s="2198"/>
      <c r="H33" s="3313"/>
      <c r="I33" s="3317"/>
      <c r="J33" s="3313"/>
      <c r="K33" s="3317"/>
      <c r="L33" s="3313"/>
      <c r="M33" s="3319"/>
      <c r="N33" s="3313"/>
      <c r="O33" s="3318"/>
      <c r="P33" s="3313"/>
      <c r="Q33" s="3318"/>
      <c r="R33" s="3313"/>
      <c r="S33" s="3318"/>
    </row>
    <row r="34" spans="1:19" x14ac:dyDescent="0.35">
      <c r="A34" s="3233"/>
      <c r="B34" s="3331" t="s">
        <v>3977</v>
      </c>
      <c r="C34" s="3330" t="s">
        <v>864</v>
      </c>
      <c r="D34" s="3307">
        <v>12</v>
      </c>
      <c r="E34" s="3307" t="s">
        <v>666</v>
      </c>
      <c r="F34" s="3332">
        <v>500</v>
      </c>
      <c r="G34" s="3333">
        <f>F34*D34</f>
        <v>6000</v>
      </c>
      <c r="H34" s="3313" t="s">
        <v>669</v>
      </c>
      <c r="I34" s="3334">
        <v>26236</v>
      </c>
      <c r="J34" s="3313" t="s">
        <v>669</v>
      </c>
      <c r="K34" s="3334">
        <v>26236</v>
      </c>
      <c r="L34" s="3313" t="s">
        <v>669</v>
      </c>
      <c r="M34" s="3319"/>
      <c r="N34" s="3313"/>
      <c r="O34" s="3318"/>
      <c r="P34" s="3313"/>
      <c r="Q34" s="3318"/>
      <c r="R34" s="3313"/>
      <c r="S34" s="3318"/>
    </row>
    <row r="35" spans="1:19" x14ac:dyDescent="0.35">
      <c r="A35" s="3335"/>
      <c r="B35" s="3336" t="s">
        <v>3978</v>
      </c>
      <c r="C35" s="3330"/>
      <c r="D35" s="3307">
        <v>1</v>
      </c>
      <c r="E35" s="3307" t="s">
        <v>755</v>
      </c>
      <c r="F35" s="3332">
        <v>5000</v>
      </c>
      <c r="G35" s="3333">
        <f>F35*D35</f>
        <v>5000</v>
      </c>
      <c r="H35" s="3256" t="s">
        <v>654</v>
      </c>
      <c r="I35" s="3337">
        <f>G35</f>
        <v>5000</v>
      </c>
      <c r="J35" s="3256" t="s">
        <v>654</v>
      </c>
      <c r="K35" s="3337">
        <f>I35</f>
        <v>5000</v>
      </c>
      <c r="L35" s="3313" t="s">
        <v>669</v>
      </c>
      <c r="M35" s="3319"/>
      <c r="N35" s="3313"/>
      <c r="O35" s="3318"/>
      <c r="P35" s="3313"/>
      <c r="Q35" s="3318"/>
      <c r="R35" s="3313"/>
      <c r="S35" s="3318"/>
    </row>
    <row r="36" spans="1:19" x14ac:dyDescent="0.35">
      <c r="A36" s="3335"/>
      <c r="B36" s="3338" t="s">
        <v>3979</v>
      </c>
      <c r="C36" s="3330"/>
      <c r="D36" s="3307"/>
      <c r="E36" s="3307"/>
      <c r="F36" s="3332"/>
      <c r="G36" s="3333"/>
      <c r="H36" s="3313" t="s">
        <v>669</v>
      </c>
      <c r="I36" s="3339"/>
      <c r="J36" s="3313" t="s">
        <v>669</v>
      </c>
      <c r="K36" s="3339"/>
      <c r="L36" s="3313" t="s">
        <v>669</v>
      </c>
      <c r="M36" s="3319"/>
      <c r="N36" s="3313"/>
      <c r="O36" s="3318"/>
      <c r="P36" s="3313"/>
      <c r="Q36" s="3318"/>
      <c r="R36" s="3313"/>
      <c r="S36" s="3318"/>
    </row>
    <row r="37" spans="1:19" x14ac:dyDescent="0.35">
      <c r="A37" s="3233"/>
      <c r="B37" s="3331" t="s">
        <v>3980</v>
      </c>
      <c r="C37" s="3340" t="s">
        <v>3981</v>
      </c>
      <c r="D37" s="3307">
        <v>10</v>
      </c>
      <c r="E37" s="3307" t="s">
        <v>666</v>
      </c>
      <c r="F37" s="3332"/>
      <c r="G37" s="3333"/>
      <c r="H37" s="3313" t="s">
        <v>669</v>
      </c>
      <c r="I37" s="3334">
        <v>24304</v>
      </c>
      <c r="J37" s="3313" t="s">
        <v>669</v>
      </c>
      <c r="K37" s="3334">
        <f>27250</f>
        <v>27250</v>
      </c>
      <c r="L37" s="3313" t="s">
        <v>669</v>
      </c>
      <c r="M37" s="3319"/>
      <c r="N37" s="3313"/>
      <c r="O37" s="3318"/>
      <c r="P37" s="3313"/>
      <c r="Q37" s="3318"/>
      <c r="R37" s="3313"/>
      <c r="S37" s="3318"/>
    </row>
    <row r="38" spans="1:19" x14ac:dyDescent="0.35">
      <c r="A38" s="3233"/>
      <c r="B38" s="3331" t="s">
        <v>3982</v>
      </c>
      <c r="C38" s="3340" t="s">
        <v>3981</v>
      </c>
      <c r="D38" s="3307">
        <v>2</v>
      </c>
      <c r="E38" s="3307" t="s">
        <v>666</v>
      </c>
      <c r="F38" s="3332"/>
      <c r="G38" s="3333"/>
      <c r="H38" s="3313" t="s">
        <v>669</v>
      </c>
      <c r="I38" s="3334">
        <v>75193.5</v>
      </c>
      <c r="J38" s="3313" t="s">
        <v>669</v>
      </c>
      <c r="K38" s="3334">
        <v>75193.5</v>
      </c>
      <c r="L38" s="3256" t="s">
        <v>654</v>
      </c>
      <c r="M38" s="3341">
        <f>K38</f>
        <v>75193.5</v>
      </c>
      <c r="N38" s="3313"/>
      <c r="O38" s="3318"/>
      <c r="P38" s="3313"/>
      <c r="Q38" s="3318"/>
      <c r="R38" s="3313"/>
      <c r="S38" s="3318"/>
    </row>
    <row r="39" spans="1:19" x14ac:dyDescent="0.35">
      <c r="A39" s="3233"/>
      <c r="B39" s="3331" t="s">
        <v>3983</v>
      </c>
      <c r="C39" s="3340" t="s">
        <v>3981</v>
      </c>
      <c r="D39" s="3307">
        <v>9</v>
      </c>
      <c r="E39" s="3307" t="s">
        <v>666</v>
      </c>
      <c r="F39" s="3332"/>
      <c r="G39" s="3333"/>
      <c r="H39" s="3313" t="s">
        <v>669</v>
      </c>
      <c r="I39" s="3317"/>
      <c r="J39" s="3313" t="s">
        <v>669</v>
      </c>
      <c r="K39" s="3317"/>
      <c r="L39" s="3256" t="s">
        <v>654</v>
      </c>
      <c r="M39" s="3341" t="s">
        <v>1442</v>
      </c>
      <c r="N39" s="3313"/>
      <c r="O39" s="3318"/>
      <c r="P39" s="3313"/>
      <c r="Q39" s="3318"/>
      <c r="R39" s="3313"/>
      <c r="S39" s="3318"/>
    </row>
    <row r="40" spans="1:19" x14ac:dyDescent="0.35">
      <c r="A40" s="3335"/>
      <c r="B40" s="3342" t="s">
        <v>3984</v>
      </c>
      <c r="C40" s="3340" t="s">
        <v>3981</v>
      </c>
      <c r="D40" s="3307">
        <v>1</v>
      </c>
      <c r="E40" s="3307" t="s">
        <v>666</v>
      </c>
      <c r="F40" s="3332"/>
      <c r="G40" s="3333"/>
      <c r="H40" s="3256" t="s">
        <v>654</v>
      </c>
      <c r="I40" s="3337">
        <v>5000</v>
      </c>
      <c r="J40" s="3313" t="s">
        <v>669</v>
      </c>
      <c r="K40" s="3317"/>
      <c r="L40" s="3313" t="s">
        <v>669</v>
      </c>
      <c r="M40" s="3319"/>
      <c r="N40" s="3313"/>
      <c r="O40" s="3318"/>
      <c r="P40" s="3313"/>
      <c r="Q40" s="3318"/>
      <c r="R40" s="3313"/>
      <c r="S40" s="3318"/>
    </row>
    <row r="41" spans="1:19" x14ac:dyDescent="0.35">
      <c r="A41" s="3335"/>
      <c r="B41" s="3336" t="s">
        <v>3978</v>
      </c>
      <c r="C41" s="3330"/>
      <c r="D41" s="3307">
        <v>1</v>
      </c>
      <c r="E41" s="3307" t="s">
        <v>755</v>
      </c>
      <c r="F41" s="3332">
        <v>20000</v>
      </c>
      <c r="G41" s="3333">
        <f>F41*D41</f>
        <v>20000</v>
      </c>
      <c r="H41" s="3256" t="s">
        <v>654</v>
      </c>
      <c r="I41" s="3337">
        <f>G41</f>
        <v>20000</v>
      </c>
      <c r="J41" s="3256" t="s">
        <v>654</v>
      </c>
      <c r="K41" s="3337">
        <f>I41</f>
        <v>20000</v>
      </c>
      <c r="L41" s="3313" t="s">
        <v>669</v>
      </c>
      <c r="M41" s="3319"/>
      <c r="N41" s="3313"/>
      <c r="O41" s="3318"/>
      <c r="P41" s="3313"/>
      <c r="Q41" s="3318"/>
      <c r="R41" s="3313"/>
      <c r="S41" s="3318"/>
    </row>
    <row r="42" spans="1:19" x14ac:dyDescent="0.35">
      <c r="A42" s="3335"/>
      <c r="B42" s="3331"/>
      <c r="C42" s="3340"/>
      <c r="D42" s="3307"/>
      <c r="E42" s="3307"/>
      <c r="F42" s="3332"/>
      <c r="G42" s="3333"/>
      <c r="H42" s="3313"/>
      <c r="I42" s="3317"/>
      <c r="J42" s="3313"/>
      <c r="K42" s="3317"/>
      <c r="L42" s="3313"/>
      <c r="M42" s="3319"/>
      <c r="N42" s="3313"/>
      <c r="O42" s="3318"/>
      <c r="P42" s="3313"/>
      <c r="Q42" s="3318"/>
      <c r="R42" s="3313"/>
      <c r="S42" s="3318"/>
    </row>
    <row r="43" spans="1:19" x14ac:dyDescent="0.35">
      <c r="A43" s="3335" t="s">
        <v>241</v>
      </c>
      <c r="B43" s="3331" t="s">
        <v>3985</v>
      </c>
      <c r="C43" s="3330" t="s">
        <v>864</v>
      </c>
      <c r="D43" s="3307">
        <v>7</v>
      </c>
      <c r="E43" s="3307" t="s">
        <v>666</v>
      </c>
      <c r="F43" s="3332">
        <v>800</v>
      </c>
      <c r="G43" s="3333">
        <f>F43*D43</f>
        <v>5600</v>
      </c>
      <c r="H43" s="3313" t="s">
        <v>671</v>
      </c>
      <c r="I43" s="3317"/>
      <c r="J43" s="3313" t="s">
        <v>671</v>
      </c>
      <c r="K43" s="3317"/>
      <c r="L43" s="3313" t="s">
        <v>669</v>
      </c>
      <c r="M43" s="3319"/>
      <c r="N43" s="3313"/>
      <c r="O43" s="3318"/>
      <c r="P43" s="3313"/>
      <c r="Q43" s="3318"/>
      <c r="R43" s="3313"/>
      <c r="S43" s="3318"/>
    </row>
    <row r="44" spans="1:19" x14ac:dyDescent="0.35">
      <c r="A44" s="3335"/>
      <c r="B44" s="3342"/>
      <c r="C44" s="3330"/>
      <c r="D44" s="3307"/>
      <c r="E44" s="3307"/>
      <c r="F44" s="3332"/>
      <c r="G44" s="3333"/>
      <c r="H44" s="3343"/>
      <c r="I44" s="3334"/>
      <c r="J44" s="3343"/>
      <c r="K44" s="3334"/>
      <c r="L44" s="3343"/>
      <c r="M44" s="3319"/>
      <c r="N44" s="3343"/>
      <c r="O44" s="3318"/>
      <c r="P44" s="3343"/>
      <c r="Q44" s="3318"/>
      <c r="R44" s="3343"/>
      <c r="S44" s="3318"/>
    </row>
    <row r="45" spans="1:19" x14ac:dyDescent="0.35">
      <c r="A45" s="3335"/>
      <c r="B45" s="3344" t="s">
        <v>3986</v>
      </c>
      <c r="C45" s="3330"/>
      <c r="D45" s="3307"/>
      <c r="E45" s="3307"/>
      <c r="F45" s="3332"/>
      <c r="G45" s="3333"/>
      <c r="H45" s="3313" t="s">
        <v>669</v>
      </c>
      <c r="I45" s="3334"/>
      <c r="J45" s="3313" t="s">
        <v>669</v>
      </c>
      <c r="K45" s="3334"/>
      <c r="L45" s="3313" t="s">
        <v>669</v>
      </c>
      <c r="M45" s="3319"/>
      <c r="N45" s="3313"/>
      <c r="O45" s="3318"/>
      <c r="P45" s="3313"/>
      <c r="Q45" s="3318"/>
      <c r="R45" s="3313"/>
      <c r="S45" s="3318"/>
    </row>
    <row r="46" spans="1:19" x14ac:dyDescent="0.35">
      <c r="A46" s="3335"/>
      <c r="B46" s="3342" t="s">
        <v>3987</v>
      </c>
      <c r="C46" s="3340" t="s">
        <v>3988</v>
      </c>
      <c r="D46" s="3307">
        <v>1</v>
      </c>
      <c r="E46" s="3307" t="s">
        <v>666</v>
      </c>
      <c r="F46" s="3332">
        <v>5000</v>
      </c>
      <c r="G46" s="3333">
        <f>F46*D46</f>
        <v>5000</v>
      </c>
      <c r="H46" s="3313" t="s">
        <v>669</v>
      </c>
      <c r="I46" s="3334">
        <f>G46</f>
        <v>5000</v>
      </c>
      <c r="J46" s="3313" t="s">
        <v>669</v>
      </c>
      <c r="K46" s="3334">
        <f>I46</f>
        <v>5000</v>
      </c>
      <c r="L46" s="3313" t="s">
        <v>669</v>
      </c>
      <c r="M46" s="3319"/>
      <c r="N46" s="3313"/>
      <c r="O46" s="3318"/>
      <c r="P46" s="3313"/>
      <c r="Q46" s="3318"/>
      <c r="R46" s="3313"/>
      <c r="S46" s="3318"/>
    </row>
    <row r="47" spans="1:19" x14ac:dyDescent="0.35">
      <c r="A47" s="3335"/>
      <c r="B47" s="3342" t="s">
        <v>3989</v>
      </c>
      <c r="C47" s="3340" t="s">
        <v>3988</v>
      </c>
      <c r="D47" s="3307">
        <v>1</v>
      </c>
      <c r="E47" s="3307" t="s">
        <v>666</v>
      </c>
      <c r="F47" s="3332">
        <v>1000</v>
      </c>
      <c r="G47" s="3333">
        <f>F47*D47</f>
        <v>1000</v>
      </c>
      <c r="H47" s="3313" t="s">
        <v>669</v>
      </c>
      <c r="I47" s="3334">
        <f>G47</f>
        <v>1000</v>
      </c>
      <c r="J47" s="3313" t="s">
        <v>669</v>
      </c>
      <c r="K47" s="3334">
        <f>I47</f>
        <v>1000</v>
      </c>
      <c r="L47" s="3313" t="s">
        <v>669</v>
      </c>
      <c r="M47" s="3319"/>
      <c r="N47" s="3313"/>
      <c r="O47" s="3318"/>
      <c r="P47" s="3313"/>
      <c r="Q47" s="3318"/>
      <c r="R47" s="3313"/>
      <c r="S47" s="3318"/>
    </row>
    <row r="48" spans="1:19" ht="30" customHeight="1" x14ac:dyDescent="0.35">
      <c r="A48" s="3335"/>
      <c r="B48" s="3345" t="s">
        <v>3990</v>
      </c>
      <c r="C48" s="3340" t="s">
        <v>3988</v>
      </c>
      <c r="D48" s="3307">
        <v>1</v>
      </c>
      <c r="E48" s="3307" t="s">
        <v>666</v>
      </c>
      <c r="F48" s="3332">
        <v>20000</v>
      </c>
      <c r="G48" s="3333">
        <f>F48*D48</f>
        <v>20000</v>
      </c>
      <c r="H48" s="3313" t="s">
        <v>669</v>
      </c>
      <c r="I48" s="3334">
        <v>19896.900000000001</v>
      </c>
      <c r="J48" s="3313" t="s">
        <v>669</v>
      </c>
      <c r="K48" s="3334">
        <v>14632.38</v>
      </c>
      <c r="L48" s="3256" t="s">
        <v>654</v>
      </c>
      <c r="M48" s="3341">
        <f>K48</f>
        <v>14632.38</v>
      </c>
      <c r="N48" s="3313" t="s">
        <v>669</v>
      </c>
      <c r="O48" s="3334">
        <v>14632.38</v>
      </c>
      <c r="P48" s="3313"/>
      <c r="Q48" s="3318"/>
      <c r="R48" s="3313"/>
      <c r="S48" s="3318"/>
    </row>
    <row r="49" spans="1:19" ht="30" customHeight="1" x14ac:dyDescent="0.35">
      <c r="A49" s="3335"/>
      <c r="B49" s="3336" t="s">
        <v>3978</v>
      </c>
      <c r="C49" s="3307"/>
      <c r="D49" s="3307">
        <v>1</v>
      </c>
      <c r="E49" s="3307" t="s">
        <v>755</v>
      </c>
      <c r="F49" s="3332">
        <v>20000</v>
      </c>
      <c r="G49" s="3333">
        <f>F49*D49</f>
        <v>20000</v>
      </c>
      <c r="H49" s="3256" t="s">
        <v>654</v>
      </c>
      <c r="I49" s="3337">
        <f>G49</f>
        <v>20000</v>
      </c>
      <c r="J49" s="3256" t="s">
        <v>654</v>
      </c>
      <c r="K49" s="3337">
        <f>I49</f>
        <v>20000</v>
      </c>
      <c r="L49" s="3256" t="s">
        <v>654</v>
      </c>
      <c r="M49" s="3341">
        <f>K49</f>
        <v>20000</v>
      </c>
      <c r="N49" s="3313"/>
      <c r="O49" s="3318"/>
      <c r="P49" s="3313"/>
      <c r="Q49" s="3318"/>
      <c r="R49" s="3313"/>
      <c r="S49" s="3318"/>
    </row>
    <row r="50" spans="1:19" x14ac:dyDescent="0.35">
      <c r="A50" s="3335"/>
      <c r="B50" s="3342"/>
      <c r="C50" s="3330"/>
      <c r="D50" s="3307"/>
      <c r="E50" s="3307"/>
      <c r="F50" s="3332"/>
      <c r="G50" s="3333"/>
      <c r="H50" s="3313"/>
      <c r="I50" s="3317"/>
      <c r="J50" s="3313"/>
      <c r="K50" s="3317"/>
      <c r="L50" s="3313"/>
      <c r="M50" s="3319"/>
      <c r="N50" s="3313"/>
      <c r="O50" s="3318"/>
      <c r="P50" s="3313"/>
      <c r="Q50" s="3318"/>
      <c r="R50" s="3313"/>
      <c r="S50" s="3318"/>
    </row>
    <row r="51" spans="1:19" x14ac:dyDescent="0.35">
      <c r="A51" s="3335"/>
      <c r="B51" s="3346" t="s">
        <v>3991</v>
      </c>
      <c r="C51" s="3330"/>
      <c r="D51" s="3307"/>
      <c r="E51" s="3307"/>
      <c r="F51" s="3332"/>
      <c r="G51" s="3333"/>
      <c r="H51" s="3313" t="s">
        <v>669</v>
      </c>
      <c r="I51" s="3334">
        <v>234423.62</v>
      </c>
      <c r="J51" s="3313" t="s">
        <v>669</v>
      </c>
      <c r="K51" s="3334">
        <v>234423.62</v>
      </c>
      <c r="L51" s="3256" t="s">
        <v>654</v>
      </c>
      <c r="M51" s="3341">
        <f>K51</f>
        <v>234423.62</v>
      </c>
      <c r="N51" s="3313"/>
      <c r="O51" s="3318"/>
      <c r="P51" s="3313"/>
      <c r="Q51" s="3318"/>
      <c r="R51" s="3313"/>
      <c r="S51" s="3318"/>
    </row>
    <row r="52" spans="1:19" ht="26" x14ac:dyDescent="0.35">
      <c r="A52" s="3347" t="s">
        <v>3992</v>
      </c>
      <c r="B52" s="3348" t="s">
        <v>3993</v>
      </c>
      <c r="C52" s="3330" t="s">
        <v>864</v>
      </c>
      <c r="D52" s="3307"/>
      <c r="E52" s="3307"/>
      <c r="F52" s="3332"/>
      <c r="G52" s="3333"/>
      <c r="H52" s="3313" t="s">
        <v>669</v>
      </c>
      <c r="I52" s="3317" t="s">
        <v>3994</v>
      </c>
      <c r="J52" s="3313" t="s">
        <v>669</v>
      </c>
      <c r="K52" s="3317" t="s">
        <v>3994</v>
      </c>
      <c r="L52" s="3256" t="s">
        <v>654</v>
      </c>
      <c r="M52" s="3341" t="s">
        <v>1442</v>
      </c>
      <c r="N52" s="3313"/>
      <c r="O52" s="3318"/>
      <c r="P52" s="3313"/>
      <c r="Q52" s="3318"/>
      <c r="R52" s="3313"/>
      <c r="S52" s="3318"/>
    </row>
    <row r="53" spans="1:19" x14ac:dyDescent="0.35">
      <c r="A53" s="3335"/>
      <c r="B53" s="3336" t="s">
        <v>3995</v>
      </c>
      <c r="C53" s="3330"/>
      <c r="D53" s="3307">
        <v>1</v>
      </c>
      <c r="E53" s="3307" t="s">
        <v>755</v>
      </c>
      <c r="F53" s="3332">
        <v>20000</v>
      </c>
      <c r="G53" s="3333">
        <f>F53*D53</f>
        <v>20000</v>
      </c>
      <c r="H53" s="3313" t="s">
        <v>669</v>
      </c>
      <c r="I53" s="3334">
        <v>73505.52</v>
      </c>
      <c r="J53" s="3313" t="s">
        <v>669</v>
      </c>
      <c r="K53" s="3334">
        <v>73505.52</v>
      </c>
      <c r="L53" s="3256" t="s">
        <v>654</v>
      </c>
      <c r="M53" s="3341">
        <f>K53</f>
        <v>73505.52</v>
      </c>
      <c r="N53" s="3313"/>
      <c r="O53" s="3318"/>
      <c r="P53" s="3313"/>
      <c r="Q53" s="3318"/>
      <c r="R53" s="3313"/>
      <c r="S53" s="3318"/>
    </row>
    <row r="54" spans="1:19" x14ac:dyDescent="0.35">
      <c r="A54" s="3233"/>
      <c r="B54" s="3349"/>
      <c r="C54" s="3330"/>
      <c r="D54" s="3307"/>
      <c r="E54" s="3307"/>
      <c r="F54" s="3332"/>
      <c r="G54" s="3333"/>
      <c r="H54" s="3313"/>
      <c r="I54" s="3317"/>
      <c r="J54" s="3313"/>
      <c r="K54" s="3317"/>
      <c r="L54" s="3313"/>
      <c r="M54" s="3319"/>
      <c r="N54" s="3313"/>
      <c r="O54" s="3318"/>
      <c r="P54" s="3313"/>
      <c r="Q54" s="3319"/>
      <c r="R54" s="3313"/>
      <c r="S54" s="3318"/>
    </row>
    <row r="55" spans="1:19" x14ac:dyDescent="0.35">
      <c r="A55" s="3335"/>
      <c r="B55" s="3349" t="s">
        <v>3996</v>
      </c>
      <c r="C55" s="3330"/>
      <c r="D55" s="3307"/>
      <c r="E55" s="3307"/>
      <c r="F55" s="3332"/>
      <c r="G55" s="3333"/>
      <c r="H55" s="3313" t="s">
        <v>669</v>
      </c>
      <c r="I55" s="3334">
        <f>49155.08</f>
        <v>49155.08</v>
      </c>
      <c r="J55" s="3313" t="s">
        <v>669</v>
      </c>
      <c r="K55" s="3334">
        <f>49155.08</f>
        <v>49155.08</v>
      </c>
      <c r="L55" s="3256" t="s">
        <v>654</v>
      </c>
      <c r="M55" s="3341">
        <f>K55</f>
        <v>49155.08</v>
      </c>
      <c r="N55" s="3313"/>
      <c r="O55" s="3318"/>
      <c r="P55" s="3313"/>
      <c r="Q55" s="3319"/>
      <c r="R55" s="3313"/>
      <c r="S55" s="3318"/>
    </row>
    <row r="56" spans="1:19" x14ac:dyDescent="0.35">
      <c r="A56" s="3335"/>
      <c r="B56" s="3349" t="s">
        <v>3997</v>
      </c>
      <c r="C56" s="3330"/>
      <c r="D56" s="3307">
        <v>1</v>
      </c>
      <c r="E56" s="3307" t="s">
        <v>755</v>
      </c>
      <c r="F56" s="3332">
        <v>20000</v>
      </c>
      <c r="G56" s="3333">
        <f>F56*D56</f>
        <v>20000</v>
      </c>
      <c r="H56" s="3256" t="s">
        <v>654</v>
      </c>
      <c r="I56" s="3337">
        <v>30000</v>
      </c>
      <c r="J56" s="3256" t="s">
        <v>654</v>
      </c>
      <c r="K56" s="3337">
        <v>30000</v>
      </c>
      <c r="L56" s="3256" t="s">
        <v>654</v>
      </c>
      <c r="M56" s="3341">
        <f>K56</f>
        <v>30000</v>
      </c>
      <c r="N56" s="3313"/>
      <c r="O56" s="3318"/>
      <c r="P56" s="3313"/>
      <c r="Q56" s="3319"/>
      <c r="R56" s="3313"/>
      <c r="S56" s="3318"/>
    </row>
    <row r="57" spans="1:19" x14ac:dyDescent="0.35">
      <c r="A57" s="3335"/>
      <c r="B57" s="3349"/>
      <c r="C57" s="3330"/>
      <c r="D57" s="3307"/>
      <c r="E57" s="3307"/>
      <c r="F57" s="3332"/>
      <c r="G57" s="3333"/>
      <c r="H57" s="3313"/>
      <c r="I57" s="3317"/>
      <c r="J57" s="3313"/>
      <c r="K57" s="3317"/>
      <c r="L57" s="3313"/>
      <c r="M57" s="3319"/>
      <c r="N57" s="3313"/>
      <c r="O57" s="3318"/>
      <c r="P57" s="3313"/>
      <c r="Q57" s="3319"/>
      <c r="R57" s="3313"/>
      <c r="S57" s="3318"/>
    </row>
    <row r="58" spans="1:19" x14ac:dyDescent="0.35">
      <c r="A58" s="3335"/>
      <c r="B58" s="3349" t="s">
        <v>3998</v>
      </c>
      <c r="C58" s="3330"/>
      <c r="D58" s="3307">
        <f>15*10</f>
        <v>150</v>
      </c>
      <c r="E58" s="3307" t="s">
        <v>28</v>
      </c>
      <c r="F58" s="3332">
        <v>65</v>
      </c>
      <c r="G58" s="3333">
        <f>F58*D58</f>
        <v>9750</v>
      </c>
      <c r="H58" s="3313" t="s">
        <v>669</v>
      </c>
      <c r="I58" s="3334">
        <f>G58</f>
        <v>9750</v>
      </c>
      <c r="J58" s="3313" t="s">
        <v>669</v>
      </c>
      <c r="K58" s="3334">
        <f>I58</f>
        <v>9750</v>
      </c>
      <c r="L58" s="3256" t="s">
        <v>654</v>
      </c>
      <c r="M58" s="3341">
        <f>K58</f>
        <v>9750</v>
      </c>
      <c r="N58" s="3313"/>
      <c r="O58" s="3318"/>
      <c r="P58" s="3313"/>
      <c r="Q58" s="3319"/>
      <c r="R58" s="3313"/>
      <c r="S58" s="3318"/>
    </row>
    <row r="59" spans="1:19" x14ac:dyDescent="0.35">
      <c r="A59" s="3335"/>
      <c r="B59" s="3349" t="s">
        <v>3999</v>
      </c>
      <c r="C59" s="3330"/>
      <c r="D59" s="3307">
        <v>2</v>
      </c>
      <c r="E59" s="3307" t="s">
        <v>666</v>
      </c>
      <c r="F59" s="3332">
        <v>7500</v>
      </c>
      <c r="G59" s="3333">
        <f>F59*D59</f>
        <v>15000</v>
      </c>
      <c r="H59" s="3313" t="s">
        <v>671</v>
      </c>
      <c r="I59" s="3334"/>
      <c r="J59" s="3256" t="s">
        <v>654</v>
      </c>
      <c r="K59" s="3337">
        <f>G59</f>
        <v>15000</v>
      </c>
      <c r="L59" s="3256" t="s">
        <v>654</v>
      </c>
      <c r="M59" s="3341">
        <f>K59</f>
        <v>15000</v>
      </c>
      <c r="N59" s="3313"/>
      <c r="O59" s="3318"/>
      <c r="P59" s="3313"/>
      <c r="Q59" s="3319"/>
      <c r="R59" s="3313"/>
      <c r="S59" s="3318"/>
    </row>
    <row r="60" spans="1:19" x14ac:dyDescent="0.35">
      <c r="A60" s="3335"/>
      <c r="B60" s="3349"/>
      <c r="C60" s="3330"/>
      <c r="D60" s="3307"/>
      <c r="E60" s="3307"/>
      <c r="F60" s="3332"/>
      <c r="G60" s="3333"/>
      <c r="H60" s="3313"/>
      <c r="I60" s="3334"/>
      <c r="J60" s="3313"/>
      <c r="K60" s="3334"/>
      <c r="L60" s="3313"/>
      <c r="M60" s="3319"/>
      <c r="N60" s="3313"/>
      <c r="O60" s="3318"/>
      <c r="P60" s="3313"/>
      <c r="Q60" s="3319"/>
      <c r="R60" s="3313"/>
      <c r="S60" s="3318"/>
    </row>
    <row r="61" spans="1:19" x14ac:dyDescent="0.35">
      <c r="A61" s="3233"/>
      <c r="B61" s="3349"/>
      <c r="C61" s="3330"/>
      <c r="D61" s="3307"/>
      <c r="E61" s="3307"/>
      <c r="F61" s="3332"/>
      <c r="G61" s="3333"/>
      <c r="H61" s="3313"/>
      <c r="I61" s="3317"/>
      <c r="J61" s="3313"/>
      <c r="K61" s="3317"/>
      <c r="L61" s="3313"/>
      <c r="M61" s="3319"/>
      <c r="N61" s="3313"/>
      <c r="O61" s="3318"/>
      <c r="P61" s="3313"/>
      <c r="Q61" s="3319"/>
      <c r="R61" s="3313"/>
      <c r="S61" s="3318"/>
    </row>
    <row r="62" spans="1:19" x14ac:dyDescent="0.35">
      <c r="A62" s="14"/>
      <c r="B62" s="15"/>
      <c r="C62" s="16"/>
      <c r="D62" s="16"/>
      <c r="E62" s="17"/>
      <c r="F62" s="18" t="s">
        <v>715</v>
      </c>
      <c r="G62" s="19" t="s">
        <v>735</v>
      </c>
      <c r="H62" s="20"/>
      <c r="I62" s="50">
        <f>SUM(I31:I61)</f>
        <v>598464.62</v>
      </c>
      <c r="J62" s="20"/>
      <c r="K62" s="50">
        <f>SUM(K31:K61)</f>
        <v>606146.1</v>
      </c>
      <c r="L62" s="20"/>
      <c r="M62" s="50">
        <f>SUM(M23:M61)</f>
        <v>521660.10000000003</v>
      </c>
      <c r="N62" s="20"/>
      <c r="O62" s="50">
        <f>SUM(O23:O61)</f>
        <v>14632.38</v>
      </c>
      <c r="P62" s="20"/>
      <c r="Q62" s="50">
        <f>SUM(Q23:Q61)</f>
        <v>0</v>
      </c>
      <c r="R62" s="20"/>
      <c r="S62" s="50">
        <f>SUM(S23:S61)</f>
        <v>0</v>
      </c>
    </row>
    <row r="63" spans="1:19" x14ac:dyDescent="0.35">
      <c r="A63" s="3265"/>
      <c r="B63" s="3266"/>
      <c r="C63" s="3267"/>
      <c r="D63" s="3267"/>
      <c r="E63" s="3268"/>
      <c r="F63" s="3350" t="s">
        <v>716</v>
      </c>
      <c r="G63" s="2244"/>
      <c r="H63" s="3270">
        <v>0</v>
      </c>
      <c r="I63" s="960"/>
      <c r="J63" s="3270">
        <v>0</v>
      </c>
      <c r="K63" s="960"/>
      <c r="L63" s="3270">
        <v>0</v>
      </c>
      <c r="M63" s="960"/>
      <c r="N63" s="3270">
        <v>0</v>
      </c>
      <c r="O63" s="960"/>
      <c r="P63" s="3270">
        <v>0</v>
      </c>
      <c r="Q63" s="960"/>
      <c r="R63" s="3270">
        <v>0</v>
      </c>
      <c r="S63" s="960"/>
    </row>
    <row r="64" spans="1:19" x14ac:dyDescent="0.35">
      <c r="A64" s="3265"/>
      <c r="B64" s="3266"/>
      <c r="C64" s="3267"/>
      <c r="D64" s="3267"/>
      <c r="E64" s="3268"/>
      <c r="F64" s="3350" t="s">
        <v>717</v>
      </c>
      <c r="G64" s="2244"/>
      <c r="H64" s="3271"/>
      <c r="I64" s="3272">
        <f>I62*H63</f>
        <v>0</v>
      </c>
      <c r="J64" s="3271"/>
      <c r="K64" s="3272">
        <f>K62*J63</f>
        <v>0</v>
      </c>
      <c r="L64" s="3271"/>
      <c r="M64" s="3272">
        <f>M62*L63</f>
        <v>0</v>
      </c>
      <c r="N64" s="3271"/>
      <c r="O64" s="3272">
        <f>O62*N63</f>
        <v>0</v>
      </c>
      <c r="P64" s="3271"/>
      <c r="Q64" s="3272">
        <f>Q62*P63</f>
        <v>0</v>
      </c>
      <c r="R64" s="3271"/>
      <c r="S64" s="3272">
        <f>S62*R63</f>
        <v>0</v>
      </c>
    </row>
    <row r="65" spans="1:19" x14ac:dyDescent="0.35">
      <c r="A65" s="3265"/>
      <c r="B65" s="3266"/>
      <c r="C65" s="3267"/>
      <c r="D65" s="3267"/>
      <c r="E65" s="3268"/>
      <c r="F65" s="3350"/>
      <c r="G65" s="2244"/>
      <c r="H65" s="3271"/>
      <c r="I65" s="3273"/>
      <c r="J65" s="3271"/>
      <c r="K65" s="3273"/>
      <c r="L65" s="3271"/>
      <c r="M65" s="3273"/>
      <c r="N65" s="3271"/>
      <c r="O65" s="3273"/>
      <c r="P65" s="3271"/>
      <c r="Q65" s="3273"/>
      <c r="R65" s="3271"/>
      <c r="S65" s="3273"/>
    </row>
    <row r="66" spans="1:19" x14ac:dyDescent="0.35">
      <c r="A66" s="3265"/>
      <c r="B66" s="3266"/>
      <c r="C66" s="3267"/>
      <c r="D66" s="3267"/>
      <c r="E66" s="3268"/>
      <c r="F66" s="3350" t="s">
        <v>718</v>
      </c>
      <c r="G66" s="2244"/>
      <c r="H66" s="3274"/>
      <c r="I66" s="3272">
        <f>SUM(I62:I64)</f>
        <v>598464.62</v>
      </c>
      <c r="J66" s="3274"/>
      <c r="K66" s="3272">
        <f>SUM(K62:K64)</f>
        <v>606146.1</v>
      </c>
      <c r="L66" s="3274"/>
      <c r="M66" s="3272">
        <f>SUM(M62:M64)</f>
        <v>521660.10000000003</v>
      </c>
      <c r="N66" s="3274"/>
      <c r="O66" s="3272">
        <f>SUM(O62:O64)</f>
        <v>14632.38</v>
      </c>
      <c r="P66" s="3274"/>
      <c r="Q66" s="3272">
        <f>SUM(Q62:Q64)</f>
        <v>0</v>
      </c>
      <c r="R66" s="3274"/>
      <c r="S66" s="3272">
        <f>SUM(S62:S64)</f>
        <v>0</v>
      </c>
    </row>
    <row r="67" spans="1:19" x14ac:dyDescent="0.35">
      <c r="A67" s="3265"/>
      <c r="B67" s="3266"/>
      <c r="C67" s="3267"/>
      <c r="D67" s="3267"/>
      <c r="E67" s="3268"/>
      <c r="F67" s="3351" t="s">
        <v>719</v>
      </c>
      <c r="G67" s="2256"/>
      <c r="H67" s="3276"/>
      <c r="I67" s="3277" t="e">
        <f>I66/#REF!</f>
        <v>#REF!</v>
      </c>
      <c r="J67" s="3276"/>
      <c r="K67" s="3277" t="e">
        <f>K66/#REF!</f>
        <v>#REF!</v>
      </c>
      <c r="L67" s="3276"/>
      <c r="M67" s="3277" t="e">
        <f>M66/#REF!</f>
        <v>#REF!</v>
      </c>
      <c r="N67" s="3276"/>
      <c r="O67" s="3277" t="e">
        <f>O66/#REF!</f>
        <v>#REF!</v>
      </c>
      <c r="P67" s="3276"/>
      <c r="Q67" s="3277" t="e">
        <f>Q66/#REF!</f>
        <v>#REF!</v>
      </c>
      <c r="R67" s="3276"/>
      <c r="S67" s="3277" t="e">
        <f>S66/#REF!</f>
        <v>#REF!</v>
      </c>
    </row>
    <row r="68" spans="1:19" x14ac:dyDescent="0.35">
      <c r="A68" s="3265"/>
      <c r="B68" s="3266"/>
      <c r="C68" s="3267"/>
      <c r="D68" s="3267"/>
      <c r="E68" s="3268"/>
      <c r="F68" s="3351" t="s">
        <v>720</v>
      </c>
      <c r="G68" s="2260"/>
      <c r="H68" s="3276"/>
      <c r="I68" s="3277" t="e">
        <f>I66/#REF!</f>
        <v>#REF!</v>
      </c>
      <c r="J68" s="3276"/>
      <c r="K68" s="3277" t="e">
        <f>K66/#REF!</f>
        <v>#REF!</v>
      </c>
      <c r="L68" s="3276"/>
      <c r="M68" s="3277" t="e">
        <f>M66/#REF!</f>
        <v>#REF!</v>
      </c>
      <c r="N68" s="3276"/>
      <c r="O68" s="3277" t="e">
        <f>O66/#REF!</f>
        <v>#REF!</v>
      </c>
      <c r="P68" s="3276"/>
      <c r="Q68" s="3277" t="e">
        <f>Q66/#REF!</f>
        <v>#REF!</v>
      </c>
      <c r="R68" s="3276"/>
      <c r="S68" s="3277" t="e">
        <f>S66/#REF!</f>
        <v>#REF!</v>
      </c>
    </row>
    <row r="69" spans="1:19" x14ac:dyDescent="0.35">
      <c r="A69" s="3265"/>
      <c r="B69" s="3266"/>
      <c r="C69" s="3267"/>
      <c r="D69" s="3267"/>
      <c r="E69" s="3268"/>
      <c r="F69" s="3350"/>
      <c r="G69" s="2261"/>
      <c r="H69" s="3278"/>
      <c r="I69" s="3279"/>
      <c r="J69" s="3278"/>
      <c r="K69" s="3279"/>
      <c r="L69" s="3278"/>
      <c r="M69" s="3279"/>
      <c r="N69" s="3278"/>
      <c r="O69" s="3279"/>
      <c r="P69" s="3278"/>
      <c r="Q69" s="3279"/>
      <c r="R69" s="3278"/>
      <c r="S69" s="3279"/>
    </row>
    <row r="70" spans="1:19" x14ac:dyDescent="0.35">
      <c r="A70" s="3764" t="s">
        <v>721</v>
      </c>
      <c r="B70" s="3765"/>
      <c r="C70" s="12"/>
      <c r="D70" s="12"/>
      <c r="E70" s="12"/>
      <c r="F70" s="12"/>
      <c r="G70" s="13"/>
      <c r="H70" s="21"/>
      <c r="I70" s="21"/>
      <c r="J70" s="21"/>
      <c r="K70" s="21"/>
      <c r="L70" s="21"/>
      <c r="M70" s="21"/>
      <c r="N70" s="21"/>
      <c r="O70" s="21"/>
      <c r="P70" s="21"/>
      <c r="Q70" s="21"/>
      <c r="R70" s="21"/>
      <c r="S70" s="21"/>
    </row>
    <row r="71" spans="1:19" x14ac:dyDescent="0.35">
      <c r="A71" s="3352"/>
      <c r="B71" s="3306"/>
      <c r="C71" s="3353"/>
      <c r="D71" s="3353"/>
      <c r="E71" s="3353"/>
      <c r="F71" s="3353"/>
      <c r="G71" s="3354"/>
      <c r="H71" s="3355"/>
      <c r="I71" s="3355"/>
      <c r="J71" s="3355"/>
      <c r="K71" s="3355"/>
      <c r="L71" s="3355"/>
      <c r="M71" s="3355"/>
      <c r="N71" s="3355"/>
      <c r="O71" s="3355"/>
      <c r="P71" s="3355"/>
      <c r="Q71" s="3355"/>
      <c r="R71" s="3355"/>
      <c r="S71" s="3355"/>
    </row>
    <row r="72" spans="1:19" x14ac:dyDescent="0.35">
      <c r="A72" s="3352"/>
      <c r="B72" s="3306"/>
      <c r="C72" s="3353"/>
      <c r="D72" s="3353"/>
      <c r="E72" s="3353"/>
      <c r="F72" s="3353"/>
      <c r="G72" s="3354"/>
      <c r="H72" s="3355"/>
      <c r="I72" s="3355"/>
      <c r="J72" s="3355"/>
      <c r="K72" s="3355"/>
      <c r="L72" s="3355"/>
      <c r="M72" s="3355"/>
      <c r="N72" s="3355"/>
      <c r="O72" s="3355"/>
      <c r="P72" s="3355"/>
      <c r="Q72" s="3355"/>
      <c r="R72" s="3355"/>
      <c r="S72" s="3355"/>
    </row>
    <row r="73" spans="1:19" x14ac:dyDescent="0.35">
      <c r="A73" s="3352"/>
      <c r="B73" s="3306"/>
      <c r="C73" s="3353"/>
      <c r="D73" s="3353"/>
      <c r="E73" s="3353"/>
      <c r="F73" s="3353"/>
      <c r="G73" s="3354"/>
      <c r="H73" s="3355"/>
      <c r="I73" s="3355"/>
      <c r="J73" s="3355"/>
      <c r="K73" s="3355"/>
      <c r="L73" s="3355"/>
      <c r="M73" s="3355"/>
      <c r="N73" s="3355"/>
      <c r="O73" s="3355"/>
      <c r="P73" s="3355"/>
      <c r="Q73" s="3355"/>
      <c r="R73" s="3355"/>
      <c r="S73" s="3355"/>
    </row>
    <row r="74" spans="1:19" s="2" customFormat="1" x14ac:dyDescent="0.35">
      <c r="A74" s="3764" t="s">
        <v>722</v>
      </c>
      <c r="B74" s="3765"/>
      <c r="C74" s="12"/>
      <c r="D74" s="12"/>
      <c r="E74" s="12"/>
      <c r="F74" s="12"/>
      <c r="G74" s="13"/>
      <c r="H74" s="21"/>
      <c r="I74" s="21"/>
      <c r="J74" s="21"/>
      <c r="K74" s="21"/>
      <c r="L74" s="21"/>
      <c r="M74" s="21"/>
      <c r="N74" s="21"/>
      <c r="O74" s="21"/>
      <c r="P74" s="21"/>
      <c r="Q74" s="21"/>
      <c r="R74" s="21"/>
      <c r="S74" s="21"/>
    </row>
    <row r="75" spans="1:19" s="2" customFormat="1" x14ac:dyDescent="0.35">
      <c r="A75" s="3352"/>
      <c r="B75" s="3306"/>
      <c r="C75" s="3353"/>
      <c r="D75" s="3353"/>
      <c r="E75" s="3353"/>
      <c r="F75" s="3353"/>
      <c r="G75" s="3354"/>
      <c r="H75" s="3355"/>
      <c r="I75" s="3355"/>
      <c r="J75" s="3355"/>
      <c r="K75" s="3355"/>
      <c r="L75" s="3355"/>
      <c r="M75" s="3355"/>
      <c r="N75" s="3355"/>
      <c r="O75" s="3355"/>
      <c r="P75" s="3355"/>
      <c r="Q75" s="3355"/>
      <c r="R75" s="3355"/>
      <c r="S75" s="3355"/>
    </row>
    <row r="76" spans="1:19" s="2" customFormat="1" x14ac:dyDescent="0.35">
      <c r="A76" s="3352"/>
      <c r="B76" s="3306"/>
      <c r="C76" s="3353"/>
      <c r="D76" s="3353"/>
      <c r="E76" s="3353"/>
      <c r="F76" s="3353"/>
      <c r="G76" s="3354"/>
      <c r="H76" s="3355"/>
      <c r="I76" s="3355"/>
      <c r="J76" s="3355"/>
      <c r="K76" s="3355"/>
      <c r="L76" s="3355"/>
      <c r="M76" s="3355"/>
      <c r="N76" s="3355"/>
      <c r="O76" s="3355"/>
      <c r="P76" s="3355"/>
      <c r="Q76" s="3355"/>
      <c r="R76" s="3355"/>
      <c r="S76" s="3355"/>
    </row>
    <row r="77" spans="1:19" x14ac:dyDescent="0.35">
      <c r="A77" s="3352"/>
      <c r="B77" s="3306"/>
      <c r="C77" s="3353"/>
      <c r="D77" s="3353"/>
      <c r="E77" s="3353"/>
      <c r="F77" s="3353"/>
      <c r="G77" s="3354"/>
      <c r="H77" s="3355"/>
      <c r="I77" s="3355"/>
      <c r="J77" s="3355"/>
      <c r="K77" s="3355"/>
      <c r="L77" s="3355"/>
      <c r="M77" s="3355"/>
      <c r="N77" s="3355"/>
      <c r="O77" s="3355"/>
      <c r="P77" s="3355"/>
      <c r="Q77" s="3355"/>
      <c r="R77" s="3355"/>
      <c r="S77" s="3355"/>
    </row>
    <row r="78" spans="1:19" s="2" customFormat="1" x14ac:dyDescent="0.35">
      <c r="A78" s="3764" t="s">
        <v>723</v>
      </c>
      <c r="B78" s="3765"/>
      <c r="C78" s="12"/>
      <c r="D78" s="12"/>
      <c r="E78" s="12"/>
      <c r="F78" s="12"/>
      <c r="G78" s="13"/>
      <c r="H78" s="21"/>
      <c r="I78" s="21"/>
      <c r="J78" s="21"/>
      <c r="K78" s="21"/>
      <c r="L78" s="21"/>
      <c r="M78" s="21"/>
      <c r="N78" s="21"/>
      <c r="O78" s="21"/>
      <c r="P78" s="21"/>
      <c r="Q78" s="21"/>
      <c r="R78" s="21"/>
      <c r="S78" s="21"/>
    </row>
    <row r="79" spans="1:19" s="2" customFormat="1" x14ac:dyDescent="0.35">
      <c r="A79" s="3352"/>
      <c r="B79" s="3306" t="s">
        <v>4000</v>
      </c>
      <c r="C79" s="3353"/>
      <c r="D79" s="3353"/>
      <c r="E79" s="3353"/>
      <c r="F79" s="3353"/>
      <c r="G79" s="3354"/>
      <c r="H79" s="3313" t="s">
        <v>669</v>
      </c>
      <c r="I79" s="3355">
        <f>7385*5</f>
        <v>36925</v>
      </c>
      <c r="J79" s="3313" t="s">
        <v>669</v>
      </c>
      <c r="K79" s="3355">
        <f>7385*5</f>
        <v>36925</v>
      </c>
      <c r="L79" s="3355"/>
      <c r="M79" s="3355"/>
      <c r="N79" s="3355"/>
      <c r="O79" s="3355"/>
      <c r="P79" s="3355"/>
      <c r="Q79" s="3355"/>
      <c r="R79" s="3355"/>
      <c r="S79" s="3355"/>
    </row>
    <row r="80" spans="1:19" s="2" customFormat="1" x14ac:dyDescent="0.35">
      <c r="A80" s="3310"/>
      <c r="B80" s="3356" t="s">
        <v>4001</v>
      </c>
      <c r="C80" s="3307"/>
      <c r="D80" s="3307"/>
      <c r="E80" s="3307"/>
      <c r="F80" s="3307"/>
      <c r="G80" s="2198"/>
      <c r="H80" s="3284"/>
      <c r="I80" s="3284"/>
      <c r="J80" s="3284"/>
      <c r="K80" s="3284"/>
      <c r="L80" s="3284"/>
      <c r="M80" s="3284"/>
      <c r="N80" s="3284"/>
      <c r="O80" s="3284"/>
      <c r="P80" s="3284"/>
      <c r="Q80" s="3284"/>
      <c r="R80" s="3284"/>
      <c r="S80" s="3284"/>
    </row>
    <row r="81" spans="1:19" s="2" customFormat="1" x14ac:dyDescent="0.35">
      <c r="A81" s="3285"/>
      <c r="B81" s="3286"/>
      <c r="C81" s="3307"/>
      <c r="D81" s="3307"/>
      <c r="E81" s="3307"/>
      <c r="F81" s="3307"/>
      <c r="G81" s="2198"/>
      <c r="H81" s="3287"/>
      <c r="I81" s="3287"/>
      <c r="J81" s="3287"/>
      <c r="K81" s="3287"/>
      <c r="L81" s="3287"/>
      <c r="M81" s="3287"/>
      <c r="N81" s="3287"/>
      <c r="O81" s="3287"/>
      <c r="P81" s="3287"/>
      <c r="Q81" s="3287"/>
      <c r="R81" s="3287"/>
      <c r="S81" s="3287"/>
    </row>
    <row r="82" spans="1:19" s="2" customFormat="1" x14ac:dyDescent="0.35">
      <c r="A82" s="3764" t="s">
        <v>724</v>
      </c>
      <c r="B82" s="3765"/>
      <c r="C82" s="12"/>
      <c r="D82" s="12"/>
      <c r="E82" s="12"/>
      <c r="F82" s="12"/>
      <c r="G82" s="13"/>
      <c r="H82" s="21"/>
      <c r="I82" s="21"/>
      <c r="J82" s="21"/>
      <c r="K82" s="21"/>
      <c r="L82" s="21"/>
      <c r="M82" s="21"/>
      <c r="N82" s="21"/>
      <c r="O82" s="21"/>
      <c r="P82" s="21"/>
      <c r="Q82" s="21"/>
      <c r="R82" s="21"/>
      <c r="S82" s="21"/>
    </row>
    <row r="83" spans="1:19" x14ac:dyDescent="0.35">
      <c r="A83" s="3357"/>
      <c r="B83" s="3356" t="s">
        <v>4002</v>
      </c>
      <c r="C83" s="3353"/>
      <c r="D83" s="3353"/>
      <c r="E83" s="3353"/>
      <c r="F83" s="3353"/>
      <c r="G83" s="3354"/>
      <c r="H83" s="3313" t="s">
        <v>669</v>
      </c>
      <c r="I83" s="3355">
        <f>219502.99-I51-I53</f>
        <v>-88426.150000000009</v>
      </c>
      <c r="J83" s="3313" t="s">
        <v>669</v>
      </c>
      <c r="K83" s="3355">
        <f>219502.99-K51-K53</f>
        <v>-88426.150000000009</v>
      </c>
      <c r="L83" s="3355"/>
      <c r="M83" s="3355"/>
      <c r="N83" s="3355"/>
      <c r="O83" s="3355"/>
      <c r="P83" s="3355"/>
      <c r="Q83" s="3355"/>
      <c r="R83" s="3355"/>
      <c r="S83" s="3355"/>
    </row>
    <row r="84" spans="1:19" x14ac:dyDescent="0.35">
      <c r="A84" s="3285"/>
      <c r="B84" s="3356" t="s">
        <v>4003</v>
      </c>
      <c r="C84" s="3307"/>
      <c r="D84" s="3307"/>
      <c r="E84" s="3307"/>
      <c r="F84" s="3307"/>
      <c r="G84" s="2198"/>
      <c r="H84" s="3313" t="s">
        <v>669</v>
      </c>
      <c r="I84" s="3355">
        <f>219502.99-296747.33</f>
        <v>-77244.340000000026</v>
      </c>
      <c r="J84" s="3313" t="s">
        <v>669</v>
      </c>
      <c r="K84" s="3355">
        <f>219502.99-296747.33</f>
        <v>-77244.340000000026</v>
      </c>
      <c r="L84" s="3289"/>
      <c r="M84" s="3289"/>
      <c r="N84" s="3289"/>
      <c r="O84" s="3289"/>
      <c r="P84" s="3289"/>
      <c r="Q84" s="3289"/>
      <c r="R84" s="3289"/>
      <c r="S84" s="3289"/>
    </row>
    <row r="85" spans="1:19" x14ac:dyDescent="0.35">
      <c r="A85" s="3285"/>
      <c r="B85" s="3286" t="s">
        <v>4004</v>
      </c>
      <c r="C85" s="3307"/>
      <c r="D85" s="3307"/>
      <c r="E85" s="3307"/>
      <c r="F85" s="3307"/>
      <c r="G85" s="2198"/>
      <c r="H85" s="3313" t="s">
        <v>669</v>
      </c>
      <c r="I85" s="3289"/>
      <c r="J85" s="3313" t="s">
        <v>669</v>
      </c>
      <c r="K85" s="3289"/>
      <c r="L85" s="3289"/>
      <c r="M85" s="3289"/>
      <c r="N85" s="3289"/>
      <c r="O85" s="3289"/>
      <c r="P85" s="3289"/>
      <c r="Q85" s="3289"/>
      <c r="R85" s="3289"/>
      <c r="S85" s="3289"/>
    </row>
    <row r="86" spans="1:19" x14ac:dyDescent="0.35">
      <c r="A86" s="3764" t="s">
        <v>725</v>
      </c>
      <c r="B86" s="3765"/>
      <c r="C86" s="12"/>
      <c r="D86" s="12"/>
      <c r="E86" s="12"/>
      <c r="F86" s="12"/>
      <c r="G86" s="13"/>
      <c r="H86" s="21"/>
      <c r="I86" s="21"/>
      <c r="J86" s="21"/>
      <c r="K86" s="21"/>
      <c r="L86" s="21"/>
      <c r="M86" s="21"/>
      <c r="N86" s="21"/>
      <c r="O86" s="21"/>
      <c r="P86" s="21"/>
      <c r="Q86" s="21"/>
      <c r="R86" s="21"/>
      <c r="S86" s="21"/>
    </row>
    <row r="87" spans="1:19" x14ac:dyDescent="0.35">
      <c r="A87" s="3310"/>
      <c r="B87" s="3306" t="s">
        <v>726</v>
      </c>
      <c r="C87" s="3307"/>
      <c r="D87" s="3307"/>
      <c r="E87" s="3307"/>
      <c r="F87" s="3307"/>
      <c r="G87" s="2198"/>
      <c r="H87" s="3289"/>
      <c r="I87" s="3289"/>
      <c r="J87" s="3289"/>
      <c r="K87" s="3289"/>
      <c r="L87" s="3289"/>
      <c r="M87" s="3289"/>
      <c r="N87" s="3289"/>
      <c r="O87" s="3289"/>
      <c r="P87" s="3289"/>
      <c r="Q87" s="3289"/>
      <c r="R87" s="3289"/>
      <c r="S87" s="3289"/>
    </row>
    <row r="88" spans="1:19" x14ac:dyDescent="0.35">
      <c r="A88" s="3310"/>
      <c r="B88" s="3306" t="s">
        <v>727</v>
      </c>
      <c r="C88" s="3307"/>
      <c r="D88" s="3307"/>
      <c r="E88" s="3307"/>
      <c r="F88" s="3307"/>
      <c r="G88" s="2198"/>
      <c r="H88" s="3289"/>
      <c r="I88" s="3289"/>
      <c r="J88" s="3289"/>
      <c r="K88" s="3289"/>
      <c r="L88" s="3289"/>
      <c r="M88" s="3289"/>
      <c r="N88" s="3289"/>
      <c r="O88" s="3289"/>
      <c r="P88" s="3289"/>
      <c r="Q88" s="3289"/>
      <c r="R88" s="3289"/>
      <c r="S88" s="3289"/>
    </row>
    <row r="89" spans="1:19" x14ac:dyDescent="0.35">
      <c r="A89" s="3310"/>
      <c r="B89" s="3306" t="s">
        <v>728</v>
      </c>
      <c r="C89" s="3307"/>
      <c r="D89" s="3307"/>
      <c r="E89" s="3307"/>
      <c r="F89" s="3307"/>
      <c r="G89" s="2198"/>
      <c r="H89" s="3289"/>
      <c r="I89" s="3289"/>
      <c r="J89" s="3289"/>
      <c r="K89" s="3289"/>
      <c r="L89" s="3289"/>
      <c r="M89" s="3289"/>
      <c r="N89" s="3289"/>
      <c r="O89" s="3289"/>
      <c r="P89" s="3289"/>
      <c r="Q89" s="3289"/>
      <c r="R89" s="3289"/>
      <c r="S89" s="3289"/>
    </row>
    <row r="90" spans="1:19" x14ac:dyDescent="0.35">
      <c r="A90" s="3310"/>
      <c r="B90" s="3306" t="s">
        <v>729</v>
      </c>
      <c r="C90" s="3307"/>
      <c r="D90" s="3307"/>
      <c r="E90" s="3307"/>
      <c r="F90" s="3307"/>
      <c r="G90" s="2198"/>
      <c r="H90" s="3289"/>
      <c r="I90" s="3289"/>
      <c r="J90" s="3289"/>
      <c r="K90" s="3289"/>
      <c r="L90" s="3289"/>
      <c r="M90" s="3289"/>
      <c r="N90" s="3289"/>
      <c r="O90" s="3289"/>
      <c r="P90" s="3289"/>
      <c r="Q90" s="3289"/>
      <c r="R90" s="3289"/>
      <c r="S90" s="3289"/>
    </row>
    <row r="91" spans="1:19" x14ac:dyDescent="0.35">
      <c r="A91" s="978"/>
      <c r="B91" s="939"/>
      <c r="C91" s="940"/>
      <c r="D91" s="940"/>
      <c r="E91" s="940"/>
      <c r="F91" s="940"/>
      <c r="G91" s="1039"/>
      <c r="H91" s="981"/>
      <c r="I91" s="981"/>
      <c r="J91" s="981"/>
      <c r="K91" s="981"/>
      <c r="L91" s="981"/>
      <c r="M91" s="981"/>
      <c r="N91" s="981"/>
      <c r="O91" s="981"/>
      <c r="P91" s="981"/>
      <c r="Q91" s="981"/>
      <c r="R91" s="981"/>
      <c r="S91" s="981"/>
    </row>
    <row r="92" spans="1:19" x14ac:dyDescent="0.35">
      <c r="A92" s="7" t="s">
        <v>730</v>
      </c>
      <c r="B92" s="8"/>
      <c r="C92" s="12"/>
      <c r="D92" s="12"/>
      <c r="E92" s="12"/>
      <c r="F92" s="12"/>
      <c r="G92" s="13"/>
      <c r="H92" s="21"/>
      <c r="I92" s="21"/>
      <c r="J92" s="21"/>
      <c r="K92" s="21"/>
      <c r="L92" s="21"/>
      <c r="M92" s="21"/>
      <c r="N92" s="21"/>
      <c r="O92" s="21"/>
      <c r="P92" s="21"/>
      <c r="Q92" s="21"/>
      <c r="R92" s="21"/>
      <c r="S92" s="21"/>
    </row>
    <row r="93" spans="1:19" x14ac:dyDescent="0.35">
      <c r="A93" s="3352"/>
      <c r="B93" s="3358" t="s">
        <v>731</v>
      </c>
      <c r="C93" s="3353"/>
      <c r="D93" s="3353"/>
      <c r="E93" s="3353"/>
      <c r="F93" s="3353"/>
      <c r="G93" s="3354"/>
      <c r="H93" s="3359"/>
      <c r="I93" s="3359"/>
      <c r="J93" s="3359"/>
      <c r="K93" s="3359"/>
      <c r="L93" s="3359"/>
      <c r="M93" s="3359"/>
      <c r="N93" s="3359"/>
      <c r="O93" s="3359"/>
      <c r="P93" s="3359"/>
      <c r="Q93" s="3359"/>
      <c r="R93" s="3359"/>
      <c r="S93" s="3359"/>
    </row>
    <row r="94" spans="1:19" x14ac:dyDescent="0.35">
      <c r="A94" s="3310"/>
      <c r="B94" s="3306" t="s">
        <v>732</v>
      </c>
      <c r="C94" s="3307"/>
      <c r="D94" s="3307"/>
      <c r="E94" s="3307"/>
      <c r="F94" s="3307"/>
      <c r="G94" s="2198"/>
      <c r="H94" s="3290"/>
      <c r="I94" s="3290"/>
      <c r="J94" s="3290"/>
      <c r="K94" s="3290"/>
      <c r="L94" s="3290"/>
      <c r="M94" s="3290"/>
      <c r="N94" s="3290"/>
      <c r="O94" s="3290"/>
      <c r="P94" s="3290"/>
      <c r="Q94" s="3290"/>
      <c r="R94" s="3290"/>
      <c r="S94" s="3290"/>
    </row>
    <row r="95" spans="1:19" x14ac:dyDescent="0.35">
      <c r="A95" s="3291"/>
      <c r="B95" s="3292" t="s">
        <v>733</v>
      </c>
      <c r="C95" s="3293"/>
      <c r="D95" s="3293"/>
      <c r="E95" s="3293"/>
      <c r="F95" s="3293"/>
      <c r="G95" s="3360"/>
      <c r="H95" s="3297"/>
      <c r="I95" s="3297"/>
      <c r="J95" s="3297"/>
      <c r="K95" s="3297"/>
      <c r="L95" s="3297"/>
      <c r="M95" s="3297"/>
      <c r="N95" s="3297"/>
      <c r="O95" s="3297"/>
      <c r="P95" s="3297"/>
      <c r="Q95" s="3297"/>
      <c r="R95" s="3297"/>
      <c r="S95" s="3297"/>
    </row>
    <row r="97" spans="1:2" x14ac:dyDescent="0.35">
      <c r="A97" s="78" t="s">
        <v>734</v>
      </c>
      <c r="B97" s="80"/>
    </row>
    <row r="98" spans="1:2" x14ac:dyDescent="0.35">
      <c r="A98" s="79" t="s">
        <v>632</v>
      </c>
      <c r="B98" s="3298">
        <f>J4</f>
        <v>0</v>
      </c>
    </row>
    <row r="99" spans="1:2" x14ac:dyDescent="0.35">
      <c r="A99" s="3299" t="s">
        <v>636</v>
      </c>
      <c r="B99" s="3298">
        <f>J5</f>
        <v>0</v>
      </c>
    </row>
    <row r="100" spans="1:2" x14ac:dyDescent="0.35">
      <c r="A100" s="3301" t="s">
        <v>639</v>
      </c>
      <c r="B100" s="3300">
        <f>J6</f>
        <v>0</v>
      </c>
    </row>
    <row r="101" spans="1:2" x14ac:dyDescent="0.35">
      <c r="A101" s="3301" t="s">
        <v>642</v>
      </c>
      <c r="B101" s="3302">
        <f>J7</f>
        <v>0</v>
      </c>
    </row>
    <row r="102" spans="1:2" x14ac:dyDescent="0.35">
      <c r="A102" s="3303" t="s">
        <v>735</v>
      </c>
      <c r="B102" s="3304">
        <f>J8</f>
        <v>606146.1</v>
      </c>
    </row>
    <row r="104" spans="1:2" x14ac:dyDescent="0.35">
      <c r="A104" s="81"/>
      <c r="B104" s="1" t="s">
        <v>736</v>
      </c>
    </row>
    <row r="105" spans="1:2" x14ac:dyDescent="0.35">
      <c r="A105" s="82"/>
      <c r="B105" s="1" t="s">
        <v>737</v>
      </c>
    </row>
  </sheetData>
  <mergeCells count="47">
    <mergeCell ref="A70:B70"/>
    <mergeCell ref="A74:B74"/>
    <mergeCell ref="A78:B78"/>
    <mergeCell ref="A82:B82"/>
    <mergeCell ref="A86:B86"/>
    <mergeCell ref="R8:S8"/>
    <mergeCell ref="H7:I7"/>
    <mergeCell ref="N7:O7"/>
    <mergeCell ref="L7:M7"/>
    <mergeCell ref="P7:Q7"/>
    <mergeCell ref="R7:S7"/>
    <mergeCell ref="H8:I8"/>
    <mergeCell ref="N8:O8"/>
    <mergeCell ref="L8:M8"/>
    <mergeCell ref="P8:Q8"/>
    <mergeCell ref="J7:K7"/>
    <mergeCell ref="J8:K8"/>
    <mergeCell ref="R6:S6"/>
    <mergeCell ref="H5:I5"/>
    <mergeCell ref="N5:O5"/>
    <mergeCell ref="L5:M5"/>
    <mergeCell ref="P5:Q5"/>
    <mergeCell ref="R5:S5"/>
    <mergeCell ref="H6:I6"/>
    <mergeCell ref="N6:O6"/>
    <mergeCell ref="L6:M6"/>
    <mergeCell ref="P6:Q6"/>
    <mergeCell ref="J5:K5"/>
    <mergeCell ref="J6:K6"/>
    <mergeCell ref="R4:S4"/>
    <mergeCell ref="H3:I3"/>
    <mergeCell ref="N3:O3"/>
    <mergeCell ref="L3:M3"/>
    <mergeCell ref="P3:Q3"/>
    <mergeCell ref="R3:S3"/>
    <mergeCell ref="H4:I4"/>
    <mergeCell ref="N4:O4"/>
    <mergeCell ref="L4:M4"/>
    <mergeCell ref="P4:Q4"/>
    <mergeCell ref="J3:K3"/>
    <mergeCell ref="J4:K4"/>
    <mergeCell ref="R2:S2"/>
    <mergeCell ref="H2:I2"/>
    <mergeCell ref="N2:O2"/>
    <mergeCell ref="L2:M2"/>
    <mergeCell ref="P2:Q2"/>
    <mergeCell ref="J2:K2"/>
  </mergeCells>
  <conditionalFormatting sqref="H20:H30 N32:N61 P32:P61 R32:R61 H83:H85">
    <cfRule type="cellIs" dxfId="123" priority="33" operator="equal">
      <formula>"X"</formula>
    </cfRule>
    <cfRule type="cellIs" dxfId="122" priority="34" operator="equal">
      <formula>"I"</formula>
    </cfRule>
  </conditionalFormatting>
  <conditionalFormatting sqref="H32:H61">
    <cfRule type="cellIs" dxfId="121" priority="21" operator="equal">
      <formula>"X"</formula>
    </cfRule>
    <cfRule type="cellIs" dxfId="120" priority="22" operator="equal">
      <formula>"I"</formula>
    </cfRule>
  </conditionalFormatting>
  <conditionalFormatting sqref="H79">
    <cfRule type="cellIs" dxfId="119" priority="29" operator="equal">
      <formula>"X"</formula>
    </cfRule>
    <cfRule type="cellIs" dxfId="118" priority="30" operator="equal">
      <formula>"I"</formula>
    </cfRule>
  </conditionalFormatting>
  <conditionalFormatting sqref="J20:J30">
    <cfRule type="cellIs" dxfId="117" priority="27" operator="equal">
      <formula>"X"</formula>
    </cfRule>
    <cfRule type="cellIs" dxfId="116" priority="28" operator="equal">
      <formula>"I"</formula>
    </cfRule>
  </conditionalFormatting>
  <conditionalFormatting sqref="J32:J61">
    <cfRule type="cellIs" dxfId="115" priority="19" operator="equal">
      <formula>"X"</formula>
    </cfRule>
    <cfRule type="cellIs" dxfId="114" priority="20" operator="equal">
      <formula>"I"</formula>
    </cfRule>
  </conditionalFormatting>
  <conditionalFormatting sqref="J79">
    <cfRule type="cellIs" dxfId="113" priority="23" operator="equal">
      <formula>"X"</formula>
    </cfRule>
    <cfRule type="cellIs" dxfId="112" priority="24" operator="equal">
      <formula>"I"</formula>
    </cfRule>
  </conditionalFormatting>
  <conditionalFormatting sqref="J83:J85">
    <cfRule type="cellIs" dxfId="111" priority="25" operator="equal">
      <formula>"X"</formula>
    </cfRule>
    <cfRule type="cellIs" dxfId="110" priority="26" operator="equal">
      <formula>"I"</formula>
    </cfRule>
  </conditionalFormatting>
  <conditionalFormatting sqref="L20:L30">
    <cfRule type="cellIs" dxfId="109" priority="43" operator="equal">
      <formula>"X"</formula>
    </cfRule>
    <cfRule type="cellIs" dxfId="108" priority="44" operator="equal">
      <formula>"I"</formula>
    </cfRule>
  </conditionalFormatting>
  <conditionalFormatting sqref="L32:L61">
    <cfRule type="cellIs" dxfId="107" priority="1" operator="equal">
      <formula>"X"</formula>
    </cfRule>
    <cfRule type="cellIs" dxfId="106" priority="2" operator="equal">
      <formula>"I"</formula>
    </cfRule>
  </conditionalFormatting>
  <conditionalFormatting sqref="N20:N30">
    <cfRule type="cellIs" dxfId="105" priority="49" operator="equal">
      <formula>"X"</formula>
    </cfRule>
    <cfRule type="cellIs" dxfId="104" priority="50" operator="equal">
      <formula>"I"</formula>
    </cfRule>
  </conditionalFormatting>
  <conditionalFormatting sqref="P20:P30">
    <cfRule type="cellIs" dxfId="103" priority="41" operator="equal">
      <formula>"X"</formula>
    </cfRule>
    <cfRule type="cellIs" dxfId="102" priority="42" operator="equal">
      <formula>"I"</formula>
    </cfRule>
  </conditionalFormatting>
  <conditionalFormatting sqref="R20:R30">
    <cfRule type="cellIs" dxfId="101" priority="35" operator="equal">
      <formula>"X"</formula>
    </cfRule>
    <cfRule type="cellIs" dxfId="100" priority="36" operator="equal">
      <formula>"I"</formula>
    </cfRule>
  </conditionalFormatting>
  <hyperlinks>
    <hyperlink ref="B3" location="'Cost Summary'!A1" display="BACK TO SUMMARY SHEET" xr:uid="{BA3B83A2-A955-4126-8DA1-DF720C4981A1}"/>
    <hyperlink ref="L7:M7" r:id="rId1" display="Michael@nationalkb.com" xr:uid="{A4348D8F-D134-4D15-B7E9-F7702533449D}"/>
    <hyperlink ref="P7:Q7" r:id="rId2" display="&lt;pbravo@repservices.com&gt;" xr:uid="{95708258-04D2-40F3-B0AA-8B806A1DCD40}"/>
  </hyperlinks>
  <pageMargins left="0.7" right="0.7" top="0.75" bottom="0.75" header="0.3" footer="0.3"/>
  <pageSetup orientation="portrait" r:id="rId3"/>
  <legacyDrawing r:id="rId4"/>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34A8-C1D6-4783-AD7F-A9271A44FFDE}">
  <sheetPr>
    <tabColor rgb="FF92D050"/>
  </sheetPr>
  <dimension ref="A1:W106"/>
  <sheetViews>
    <sheetView tabSelected="1" workbookViewId="0">
      <pane xSplit="2" ySplit="9" topLeftCell="C20" activePane="bottomRight" state="frozen"/>
      <selection pane="topRight" activeCell="C1" sqref="C1"/>
      <selection pane="bottomLeft" activeCell="A10" sqref="A10"/>
      <selection pane="bottomRight" activeCell="M66" sqref="M66"/>
    </sheetView>
  </sheetViews>
  <sheetFormatPr defaultRowHeight="15" customHeight="1" x14ac:dyDescent="0.35"/>
  <cols>
    <col min="1" max="1" width="11" customWidth="1"/>
    <col min="2" max="2" width="70.7265625" style="1" customWidth="1"/>
    <col min="3" max="3" width="10.81640625" style="2" bestFit="1" customWidth="1"/>
    <col min="4" max="5" width="7.54296875" style="2" customWidth="1"/>
    <col min="6" max="6" width="11.26953125" style="2" customWidth="1"/>
    <col min="7" max="7" width="14.816406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51" customWidth="1"/>
    <col min="20" max="20" width="7.453125" style="2" bestFit="1" customWidth="1"/>
    <col min="21" max="21" width="14.81640625" style="2" customWidth="1"/>
    <col min="22" max="22" width="7.453125" style="2" bestFit="1" customWidth="1"/>
    <col min="23" max="23" width="14.81640625" style="2" customWidth="1"/>
  </cols>
  <sheetData>
    <row r="1" spans="1:23" ht="14.5" x14ac:dyDescent="0.35">
      <c r="E1" s="152"/>
      <c r="F1" s="125"/>
      <c r="G1" s="123" t="s">
        <v>621</v>
      </c>
    </row>
    <row r="2" spans="1:23" ht="14.5" x14ac:dyDescent="0.35">
      <c r="E2" s="152"/>
      <c r="F2" s="122" t="s">
        <v>622</v>
      </c>
      <c r="G2" s="123" t="s">
        <v>451</v>
      </c>
      <c r="H2" s="3866">
        <v>5619051900</v>
      </c>
      <c r="I2" s="3866"/>
      <c r="J2" s="3751"/>
      <c r="K2" s="3751"/>
      <c r="L2" s="3751"/>
      <c r="M2" s="3751"/>
      <c r="N2" s="3751"/>
      <c r="O2" s="3751"/>
      <c r="P2" s="3751"/>
      <c r="Q2" s="3751"/>
      <c r="R2" s="3776"/>
      <c r="S2" s="3776"/>
      <c r="T2" s="3751"/>
      <c r="U2" s="3751"/>
      <c r="V2" s="3751"/>
      <c r="W2" s="3751"/>
    </row>
    <row r="3" spans="1:23" ht="19.5" x14ac:dyDescent="0.35">
      <c r="B3" s="137" t="s">
        <v>623</v>
      </c>
      <c r="E3" s="152"/>
      <c r="F3" s="124" t="s">
        <v>624</v>
      </c>
      <c r="G3" s="123" t="s">
        <v>557</v>
      </c>
      <c r="H3" s="3772" t="s">
        <v>627</v>
      </c>
      <c r="I3" s="3773"/>
      <c r="J3" s="3754" t="s">
        <v>626</v>
      </c>
      <c r="K3" s="3755"/>
      <c r="L3" s="3754" t="s">
        <v>627</v>
      </c>
      <c r="M3" s="3755"/>
      <c r="N3" s="3754" t="s">
        <v>627</v>
      </c>
      <c r="O3" s="3755"/>
      <c r="P3" s="3754" t="s">
        <v>627</v>
      </c>
      <c r="Q3" s="3755"/>
      <c r="R3" s="3754" t="s">
        <v>628</v>
      </c>
      <c r="S3" s="3755"/>
      <c r="T3" s="3754" t="s">
        <v>772</v>
      </c>
      <c r="U3" s="3755"/>
      <c r="V3" s="3754" t="s">
        <v>773</v>
      </c>
      <c r="W3" s="3755"/>
    </row>
    <row r="4" spans="1:23" ht="14.5" x14ac:dyDescent="0.35">
      <c r="A4" s="3" t="s">
        <v>631</v>
      </c>
      <c r="B4" s="4" t="str">
        <f>'AREA CALC''s'!B4</f>
        <v>Alton Hilltop Gardens</v>
      </c>
      <c r="C4" s="5"/>
      <c r="D4" s="5"/>
      <c r="E4" s="5"/>
      <c r="F4" s="5"/>
      <c r="G4" s="6" t="s">
        <v>632</v>
      </c>
      <c r="H4" s="3898" t="s">
        <v>4005</v>
      </c>
      <c r="I4" s="3898"/>
      <c r="J4" s="3898" t="s">
        <v>4006</v>
      </c>
      <c r="K4" s="3898"/>
      <c r="L4" s="3898" t="s">
        <v>4007</v>
      </c>
      <c r="M4" s="3898"/>
      <c r="N4" s="3898" t="s">
        <v>4008</v>
      </c>
      <c r="O4" s="3898"/>
      <c r="P4" s="3898" t="s">
        <v>4009</v>
      </c>
      <c r="Q4" s="3898"/>
      <c r="R4" s="3752" t="s">
        <v>4010</v>
      </c>
      <c r="S4" s="3753"/>
      <c r="T4" s="3898" t="s">
        <v>4011</v>
      </c>
      <c r="U4" s="3898"/>
      <c r="V4" s="3796" t="s">
        <v>4012</v>
      </c>
      <c r="W4" s="3753"/>
    </row>
    <row r="5" spans="1:23" ht="14.5" x14ac:dyDescent="0.35">
      <c r="A5" s="3305" t="s">
        <v>634</v>
      </c>
      <c r="B5" s="3306" t="s">
        <v>578</v>
      </c>
      <c r="C5" s="3307"/>
      <c r="D5" s="3307"/>
      <c r="E5" s="3307"/>
      <c r="F5" s="3307"/>
      <c r="G5" s="2194" t="s">
        <v>636</v>
      </c>
      <c r="H5" s="4010" t="s">
        <v>4013</v>
      </c>
      <c r="I5" s="4010"/>
      <c r="J5" s="4010" t="s">
        <v>4014</v>
      </c>
      <c r="K5" s="4010"/>
      <c r="L5" s="4010" t="s">
        <v>4015</v>
      </c>
      <c r="M5" s="4010"/>
      <c r="N5" s="4010" t="s">
        <v>4016</v>
      </c>
      <c r="O5" s="4010"/>
      <c r="P5" s="4010" t="s">
        <v>4016</v>
      </c>
      <c r="Q5" s="4010"/>
      <c r="R5" s="4009" t="s">
        <v>4017</v>
      </c>
      <c r="S5" s="3932"/>
      <c r="T5" s="4010" t="s">
        <v>4018</v>
      </c>
      <c r="U5" s="4010"/>
      <c r="V5" s="3933"/>
      <c r="W5" s="3932"/>
    </row>
    <row r="6" spans="1:23" ht="14.5" x14ac:dyDescent="0.35">
      <c r="A6" s="3305" t="s">
        <v>638</v>
      </c>
      <c r="B6" s="3308" t="s">
        <v>577</v>
      </c>
      <c r="C6" s="3307"/>
      <c r="D6" s="3307"/>
      <c r="E6" s="3307"/>
      <c r="F6" s="3307"/>
      <c r="G6" s="2194" t="s">
        <v>639</v>
      </c>
      <c r="H6" s="4011">
        <v>5616173300</v>
      </c>
      <c r="I6" s="4011"/>
      <c r="J6" s="4018">
        <v>9545819886</v>
      </c>
      <c r="K6" s="4011"/>
      <c r="L6" s="4018">
        <v>7722862924</v>
      </c>
      <c r="M6" s="4011"/>
      <c r="N6" s="4011">
        <v>9544392662</v>
      </c>
      <c r="O6" s="4011"/>
      <c r="P6" s="4011">
        <v>9544392662</v>
      </c>
      <c r="Q6" s="4011"/>
      <c r="R6" s="4008">
        <v>5617951995</v>
      </c>
      <c r="S6" s="3938"/>
      <c r="T6" s="4011">
        <v>9146984065</v>
      </c>
      <c r="U6" s="4011"/>
      <c r="V6" s="3939"/>
      <c r="W6" s="3938"/>
    </row>
    <row r="7" spans="1:23" ht="14.5" x14ac:dyDescent="0.35">
      <c r="A7" s="3305" t="s">
        <v>641</v>
      </c>
      <c r="B7" s="3309"/>
      <c r="C7" s="3307"/>
      <c r="D7" s="3307"/>
      <c r="E7" s="3307"/>
      <c r="F7" s="3307"/>
      <c r="G7" s="2194" t="s">
        <v>642</v>
      </c>
      <c r="H7" s="4015" t="s">
        <v>4019</v>
      </c>
      <c r="I7" s="4015"/>
      <c r="J7" s="4015" t="s">
        <v>4020</v>
      </c>
      <c r="K7" s="4016"/>
      <c r="L7" s="4015" t="s">
        <v>4021</v>
      </c>
      <c r="M7" s="4016"/>
      <c r="N7" s="4015" t="s">
        <v>4022</v>
      </c>
      <c r="O7" s="4015"/>
      <c r="P7" s="4015" t="s">
        <v>4022</v>
      </c>
      <c r="Q7" s="4015"/>
      <c r="R7" s="4019" t="s">
        <v>4023</v>
      </c>
      <c r="S7" s="3935"/>
      <c r="T7" s="4015" t="s">
        <v>4024</v>
      </c>
      <c r="U7" s="4015"/>
      <c r="V7" s="3936"/>
      <c r="W7" s="3935"/>
    </row>
    <row r="8" spans="1:23" ht="14.5" x14ac:dyDescent="0.35">
      <c r="A8" s="938" t="s">
        <v>644</v>
      </c>
      <c r="B8" s="939"/>
      <c r="C8" s="940"/>
      <c r="D8" s="940"/>
      <c r="E8" s="940"/>
      <c r="F8" s="940"/>
      <c r="G8" s="1024" t="s">
        <v>644</v>
      </c>
      <c r="H8" s="4012">
        <f>I67</f>
        <v>2789413.04</v>
      </c>
      <c r="I8" s="4013"/>
      <c r="J8" s="4017">
        <f>K67</f>
        <v>2807003</v>
      </c>
      <c r="K8" s="4013"/>
      <c r="L8" s="4017">
        <f>M67</f>
        <v>3017519</v>
      </c>
      <c r="M8" s="4013"/>
      <c r="N8" s="4012">
        <f>O67</f>
        <v>4349879</v>
      </c>
      <c r="O8" s="4013"/>
      <c r="P8" s="4012">
        <f>Q67</f>
        <v>3967156</v>
      </c>
      <c r="Q8" s="4013"/>
      <c r="R8" s="4012">
        <f>S67</f>
        <v>3733371</v>
      </c>
      <c r="S8" s="4013"/>
      <c r="T8" s="4012">
        <f>U67</f>
        <v>5240655</v>
      </c>
      <c r="U8" s="4013"/>
      <c r="V8" s="4012">
        <f>W67</f>
        <v>3835754</v>
      </c>
      <c r="W8" s="4013"/>
    </row>
    <row r="9" spans="1:23" ht="29" x14ac:dyDescent="0.35">
      <c r="A9" s="7" t="s">
        <v>645</v>
      </c>
      <c r="B9" s="8"/>
      <c r="C9" s="9" t="s">
        <v>646</v>
      </c>
      <c r="D9" s="9" t="s">
        <v>647</v>
      </c>
      <c r="E9" s="9" t="s">
        <v>648</v>
      </c>
      <c r="F9" s="9" t="s">
        <v>649</v>
      </c>
      <c r="G9" s="10" t="s">
        <v>650</v>
      </c>
      <c r="H9" s="11" t="s">
        <v>651</v>
      </c>
      <c r="I9" s="11" t="s">
        <v>652</v>
      </c>
      <c r="J9" s="40" t="s">
        <v>651</v>
      </c>
      <c r="K9" s="11" t="s">
        <v>652</v>
      </c>
      <c r="L9" s="40" t="s">
        <v>651</v>
      </c>
      <c r="M9" s="11" t="s">
        <v>652</v>
      </c>
      <c r="N9" s="11" t="s">
        <v>651</v>
      </c>
      <c r="O9" s="11" t="s">
        <v>652</v>
      </c>
      <c r="P9" s="11" t="s">
        <v>651</v>
      </c>
      <c r="Q9" s="11" t="s">
        <v>652</v>
      </c>
      <c r="R9" s="11" t="s">
        <v>651</v>
      </c>
      <c r="S9" s="49" t="s">
        <v>652</v>
      </c>
      <c r="T9" s="11" t="s">
        <v>651</v>
      </c>
      <c r="U9" s="11" t="s">
        <v>652</v>
      </c>
      <c r="V9" s="11" t="s">
        <v>651</v>
      </c>
      <c r="W9" s="11" t="s">
        <v>652</v>
      </c>
    </row>
    <row r="10" spans="1:23" ht="14.5" hidden="1" x14ac:dyDescent="0.35">
      <c r="A10" s="3310"/>
      <c r="B10" s="3361" t="s">
        <v>653</v>
      </c>
      <c r="C10" s="3307"/>
      <c r="D10" s="3307"/>
      <c r="E10" s="3307"/>
      <c r="F10" s="3307"/>
      <c r="G10" s="2198"/>
      <c r="H10" s="3311"/>
      <c r="I10" s="3311"/>
      <c r="J10" s="2200"/>
      <c r="K10" s="3311"/>
      <c r="L10" s="2200"/>
      <c r="M10" s="3311"/>
      <c r="N10" s="3311"/>
      <c r="O10" s="3311"/>
      <c r="P10" s="3311"/>
      <c r="Q10" s="3311"/>
      <c r="R10" s="3311"/>
      <c r="S10" s="3362"/>
      <c r="T10" s="3311"/>
      <c r="U10" s="3311"/>
      <c r="V10" s="3311"/>
      <c r="W10" s="3311"/>
    </row>
    <row r="11" spans="1:23" ht="14.5" hidden="1" x14ac:dyDescent="0.35">
      <c r="A11" s="3310"/>
      <c r="B11" s="3306" t="e">
        <f>#REF!</f>
        <v>#REF!</v>
      </c>
      <c r="C11" s="3312" t="s">
        <v>654</v>
      </c>
      <c r="D11" s="3307"/>
      <c r="E11" s="3307"/>
      <c r="F11" s="3307"/>
      <c r="G11" s="2198"/>
      <c r="H11" s="3311"/>
      <c r="I11" s="3311"/>
      <c r="J11" s="2200"/>
      <c r="K11" s="3311"/>
      <c r="L11" s="2200"/>
      <c r="M11" s="3311"/>
      <c r="N11" s="3311"/>
      <c r="O11" s="3311"/>
      <c r="P11" s="3311"/>
      <c r="Q11" s="3311"/>
      <c r="R11" s="3311"/>
      <c r="S11" s="3362"/>
      <c r="T11" s="3311"/>
      <c r="U11" s="3311"/>
      <c r="V11" s="3311"/>
      <c r="W11" s="3311"/>
    </row>
    <row r="12" spans="1:23" ht="14.5" hidden="1" x14ac:dyDescent="0.35">
      <c r="A12" s="3310"/>
      <c r="B12" s="3306" t="e">
        <f>#REF!</f>
        <v>#REF!</v>
      </c>
      <c r="C12" s="3312" t="s">
        <v>654</v>
      </c>
      <c r="D12" s="3307"/>
      <c r="E12" s="3307"/>
      <c r="F12" s="3307"/>
      <c r="G12" s="2198"/>
      <c r="H12" s="3311"/>
      <c r="I12" s="3311"/>
      <c r="J12" s="2200"/>
      <c r="K12" s="3311"/>
      <c r="L12" s="2200"/>
      <c r="M12" s="3311"/>
      <c r="N12" s="3311"/>
      <c r="O12" s="3311"/>
      <c r="P12" s="3311"/>
      <c r="Q12" s="3311"/>
      <c r="R12" s="3311"/>
      <c r="S12" s="3362"/>
      <c r="T12" s="3311"/>
      <c r="U12" s="3311"/>
      <c r="V12" s="3311"/>
      <c r="W12" s="3311"/>
    </row>
    <row r="13" spans="1:23" ht="14.5" hidden="1" x14ac:dyDescent="0.35">
      <c r="A13" s="3310"/>
      <c r="B13" s="3306" t="e">
        <f>#REF!</f>
        <v>#REF!</v>
      </c>
      <c r="C13" s="3312" t="s">
        <v>654</v>
      </c>
      <c r="D13" s="3307"/>
      <c r="E13" s="3307"/>
      <c r="F13" s="3307"/>
      <c r="G13" s="2198"/>
      <c r="H13" s="3311"/>
      <c r="I13" s="3311"/>
      <c r="J13" s="2200"/>
      <c r="K13" s="3311"/>
      <c r="L13" s="2200"/>
      <c r="M13" s="3311"/>
      <c r="N13" s="3311"/>
      <c r="O13" s="3311"/>
      <c r="P13" s="3311"/>
      <c r="Q13" s="3311"/>
      <c r="R13" s="3311"/>
      <c r="S13" s="3362"/>
      <c r="T13" s="3311"/>
      <c r="U13" s="3311"/>
      <c r="V13" s="3311"/>
      <c r="W13" s="3311"/>
    </row>
    <row r="14" spans="1:23" ht="14.5" hidden="1" x14ac:dyDescent="0.35">
      <c r="A14" s="3310"/>
      <c r="B14" s="3306" t="e">
        <f>#REF!</f>
        <v>#REF!</v>
      </c>
      <c r="C14" s="3312" t="s">
        <v>654</v>
      </c>
      <c r="D14" s="3307"/>
      <c r="E14" s="3307"/>
      <c r="F14" s="3307"/>
      <c r="G14" s="2198"/>
      <c r="H14" s="3311"/>
      <c r="I14" s="3311"/>
      <c r="J14" s="2200"/>
      <c r="K14" s="3311"/>
      <c r="L14" s="2200"/>
      <c r="M14" s="3311"/>
      <c r="N14" s="3311"/>
      <c r="O14" s="3311"/>
      <c r="P14" s="3311"/>
      <c r="Q14" s="3311"/>
      <c r="R14" s="3311"/>
      <c r="S14" s="3362"/>
      <c r="T14" s="3311"/>
      <c r="U14" s="3311"/>
      <c r="V14" s="3311"/>
      <c r="W14" s="3311"/>
    </row>
    <row r="15" spans="1:23" ht="14.5" hidden="1" x14ac:dyDescent="0.35">
      <c r="A15" s="3310"/>
      <c r="B15" s="3306" t="e">
        <f>#REF!</f>
        <v>#REF!</v>
      </c>
      <c r="C15" s="3312" t="s">
        <v>654</v>
      </c>
      <c r="D15" s="3307"/>
      <c r="E15" s="3307"/>
      <c r="F15" s="3307"/>
      <c r="G15" s="2198"/>
      <c r="H15" s="3311"/>
      <c r="I15" s="3311"/>
      <c r="J15" s="2200"/>
      <c r="K15" s="3311"/>
      <c r="L15" s="2200"/>
      <c r="M15" s="3311"/>
      <c r="N15" s="3311"/>
      <c r="O15" s="3311"/>
      <c r="P15" s="3311"/>
      <c r="Q15" s="3311"/>
      <c r="R15" s="3311"/>
      <c r="S15" s="3362"/>
      <c r="T15" s="3311"/>
      <c r="U15" s="3311"/>
      <c r="V15" s="3311"/>
      <c r="W15" s="3311"/>
    </row>
    <row r="16" spans="1:23" ht="14.5" hidden="1" x14ac:dyDescent="0.35">
      <c r="A16" s="3310"/>
      <c r="B16" s="3306" t="e">
        <f>#REF!</f>
        <v>#REF!</v>
      </c>
      <c r="C16" s="3312" t="s">
        <v>654</v>
      </c>
      <c r="D16" s="3307"/>
      <c r="E16" s="3307"/>
      <c r="F16" s="3307"/>
      <c r="G16" s="2198"/>
      <c r="H16" s="3311"/>
      <c r="I16" s="3311"/>
      <c r="J16" s="2200"/>
      <c r="K16" s="3311"/>
      <c r="L16" s="2200"/>
      <c r="M16" s="3311"/>
      <c r="N16" s="3311"/>
      <c r="O16" s="3311"/>
      <c r="P16" s="3311"/>
      <c r="Q16" s="3311"/>
      <c r="R16" s="3311"/>
      <c r="S16" s="3362"/>
      <c r="T16" s="3311"/>
      <c r="U16" s="3311"/>
      <c r="V16" s="3311"/>
      <c r="W16" s="3311"/>
    </row>
    <row r="17" spans="1:23" ht="14.5" hidden="1" x14ac:dyDescent="0.35">
      <c r="A17" s="3310"/>
      <c r="B17" s="3306" t="e">
        <f>#REF!</f>
        <v>#REF!</v>
      </c>
      <c r="C17" s="3312" t="s">
        <v>654</v>
      </c>
      <c r="D17" s="3307"/>
      <c r="E17" s="3307"/>
      <c r="F17" s="3307"/>
      <c r="G17" s="2198"/>
      <c r="H17" s="3311"/>
      <c r="I17" s="3311"/>
      <c r="J17" s="2200"/>
      <c r="K17" s="3311"/>
      <c r="L17" s="2200"/>
      <c r="M17" s="3311"/>
      <c r="N17" s="3311"/>
      <c r="O17" s="3311"/>
      <c r="P17" s="3311"/>
      <c r="Q17" s="3311"/>
      <c r="R17" s="3311"/>
      <c r="S17" s="3362"/>
      <c r="T17" s="3311"/>
      <c r="U17" s="3311"/>
      <c r="V17" s="3311"/>
      <c r="W17" s="3311"/>
    </row>
    <row r="18" spans="1:23" ht="14.5" hidden="1" x14ac:dyDescent="0.35">
      <c r="A18" s="3310"/>
      <c r="B18" s="3306" t="e">
        <f>#REF!</f>
        <v>#REF!</v>
      </c>
      <c r="C18" s="3312" t="s">
        <v>654</v>
      </c>
      <c r="D18" s="3307"/>
      <c r="E18" s="3307"/>
      <c r="F18" s="3307"/>
      <c r="G18" s="2198"/>
      <c r="H18" s="3311"/>
      <c r="I18" s="3311"/>
      <c r="J18" s="2200"/>
      <c r="K18" s="3311"/>
      <c r="L18" s="2200"/>
      <c r="M18" s="3311"/>
      <c r="N18" s="3311"/>
      <c r="O18" s="3311"/>
      <c r="P18" s="3311"/>
      <c r="Q18" s="3311"/>
      <c r="R18" s="3311"/>
      <c r="S18" s="3362"/>
      <c r="T18" s="3311"/>
      <c r="U18" s="3311"/>
      <c r="V18" s="3311"/>
      <c r="W18" s="3311"/>
    </row>
    <row r="19" spans="1:23" ht="14.5" hidden="1" customHeight="1" x14ac:dyDescent="0.35">
      <c r="A19" s="3310"/>
      <c r="B19" s="3306" t="e">
        <f>#REF!</f>
        <v>#REF!</v>
      </c>
      <c r="C19" s="3312" t="s">
        <v>654</v>
      </c>
      <c r="D19" s="3307"/>
      <c r="E19" s="3307"/>
      <c r="F19" s="3307"/>
      <c r="G19" s="2198"/>
      <c r="H19" s="3311"/>
      <c r="I19" s="3311"/>
      <c r="J19" s="2200"/>
      <c r="K19" s="3311"/>
      <c r="L19" s="2200"/>
      <c r="M19" s="3311"/>
      <c r="N19" s="3311"/>
      <c r="O19" s="3311"/>
      <c r="P19" s="3311"/>
      <c r="Q19" s="3311"/>
      <c r="R19" s="3311"/>
      <c r="S19" s="3362"/>
      <c r="T19" s="3311"/>
      <c r="U19" s="3311"/>
      <c r="V19" s="3311"/>
      <c r="W19" s="3311"/>
    </row>
    <row r="20" spans="1:23" ht="14.5" x14ac:dyDescent="0.35">
      <c r="A20" s="3310"/>
      <c r="B20" s="3306"/>
      <c r="C20" s="3312"/>
      <c r="D20" s="3307"/>
      <c r="E20" s="3307"/>
      <c r="F20" s="3307"/>
      <c r="G20" s="2198"/>
      <c r="H20" s="3313"/>
      <c r="I20" s="3363"/>
      <c r="J20" s="2200"/>
      <c r="K20" s="3363"/>
      <c r="L20" s="2200"/>
      <c r="M20" s="3363"/>
      <c r="N20" s="3313"/>
      <c r="O20" s="3363"/>
      <c r="P20" s="3313"/>
      <c r="Q20" s="3363"/>
      <c r="R20" s="3311"/>
      <c r="S20" s="3319"/>
      <c r="T20" s="3313"/>
      <c r="U20" s="3363"/>
      <c r="V20" s="3313"/>
      <c r="W20" s="3364"/>
    </row>
    <row r="21" spans="1:23" ht="14.5" x14ac:dyDescent="0.35">
      <c r="A21" s="48"/>
      <c r="B21" s="3314" t="s">
        <v>578</v>
      </c>
      <c r="C21" s="45"/>
      <c r="D21" s="46"/>
      <c r="E21" s="46"/>
      <c r="F21" s="46"/>
      <c r="G21" s="52"/>
      <c r="H21" s="3313"/>
      <c r="I21" s="3363"/>
      <c r="J21" s="3313"/>
      <c r="K21" s="3363"/>
      <c r="L21" s="3313"/>
      <c r="M21" s="3363"/>
      <c r="N21" s="3313"/>
      <c r="O21" s="3363"/>
      <c r="P21" s="3313"/>
      <c r="Q21" s="3363"/>
      <c r="R21" s="3313"/>
      <c r="S21" s="3319"/>
      <c r="T21" s="3313"/>
      <c r="U21" s="3363"/>
      <c r="V21" s="3313"/>
      <c r="W21" s="3365"/>
    </row>
    <row r="22" spans="1:23" ht="14.5" x14ac:dyDescent="0.35">
      <c r="A22" s="3335"/>
      <c r="B22" s="606" t="s">
        <v>657</v>
      </c>
      <c r="C22" s="3312"/>
      <c r="D22" s="3307"/>
      <c r="E22" s="3307"/>
      <c r="F22" s="3307"/>
      <c r="G22" s="2198"/>
      <c r="H22" s="3313"/>
      <c r="I22" s="3363"/>
      <c r="J22" s="3313"/>
      <c r="K22" s="3363"/>
      <c r="L22" s="3313"/>
      <c r="M22" s="3363"/>
      <c r="N22" s="3313"/>
      <c r="O22" s="3363"/>
      <c r="P22" s="3313"/>
      <c r="Q22" s="3363"/>
      <c r="R22" s="3313"/>
      <c r="S22" s="3319"/>
      <c r="T22" s="3313"/>
      <c r="U22" s="3363"/>
      <c r="V22" s="3313"/>
      <c r="W22" s="3365"/>
    </row>
    <row r="23" spans="1:23" ht="14.5" x14ac:dyDescent="0.35">
      <c r="A23" s="3366"/>
      <c r="B23" s="3367" t="s">
        <v>658</v>
      </c>
      <c r="C23" s="3368"/>
      <c r="D23" s="3369"/>
      <c r="E23" s="3369"/>
      <c r="F23" s="3307"/>
      <c r="G23" s="2198"/>
      <c r="H23" s="3313"/>
      <c r="I23" s="3363"/>
      <c r="J23" s="3313" t="s">
        <v>669</v>
      </c>
      <c r="K23" s="3363"/>
      <c r="L23" s="3313" t="s">
        <v>669</v>
      </c>
      <c r="M23" s="3363"/>
      <c r="N23" s="3313"/>
      <c r="O23" s="3363"/>
      <c r="P23" s="3313"/>
      <c r="Q23" s="3363"/>
      <c r="R23" s="3313" t="s">
        <v>669</v>
      </c>
      <c r="S23" s="3319"/>
      <c r="T23" s="3313"/>
      <c r="U23" s="3363"/>
      <c r="V23" s="3313"/>
      <c r="W23" s="3365"/>
    </row>
    <row r="24" spans="1:23" ht="14.5" x14ac:dyDescent="0.35">
      <c r="A24" s="3366"/>
      <c r="B24" s="3367" t="s">
        <v>659</v>
      </c>
      <c r="C24" s="3370"/>
      <c r="D24" s="3369"/>
      <c r="E24" s="3369"/>
      <c r="F24" s="3307"/>
      <c r="G24" s="2198"/>
      <c r="H24" s="3313"/>
      <c r="I24" s="3363"/>
      <c r="J24" s="3313" t="s">
        <v>669</v>
      </c>
      <c r="K24" s="3363"/>
      <c r="L24" s="3313" t="s">
        <v>669</v>
      </c>
      <c r="M24" s="3363"/>
      <c r="N24" s="3313"/>
      <c r="O24" s="3363"/>
      <c r="P24" s="3313"/>
      <c r="Q24" s="3363"/>
      <c r="R24" s="3313" t="s">
        <v>669</v>
      </c>
      <c r="S24" s="3319"/>
      <c r="T24" s="3313"/>
      <c r="U24" s="3363"/>
      <c r="V24" s="3313"/>
      <c r="W24" s="3365"/>
    </row>
    <row r="25" spans="1:23" ht="14.5" x14ac:dyDescent="0.35">
      <c r="A25" s="3366"/>
      <c r="B25" s="3371" t="s">
        <v>660</v>
      </c>
      <c r="C25" s="3370"/>
      <c r="D25" s="3369"/>
      <c r="E25" s="3369"/>
      <c r="F25" s="3307"/>
      <c r="G25" s="2198"/>
      <c r="H25" s="3313"/>
      <c r="I25" s="3363"/>
      <c r="J25" s="3313" t="s">
        <v>671</v>
      </c>
      <c r="K25" s="3363"/>
      <c r="L25" s="3313" t="s">
        <v>671</v>
      </c>
      <c r="M25" s="3363"/>
      <c r="N25" s="3313"/>
      <c r="O25" s="3363"/>
      <c r="P25" s="3313"/>
      <c r="Q25" s="3363"/>
      <c r="R25" s="3313" t="s">
        <v>671</v>
      </c>
      <c r="S25" s="3319"/>
      <c r="T25" s="3313"/>
      <c r="U25" s="3363"/>
      <c r="V25" s="3313"/>
      <c r="W25" s="3365"/>
    </row>
    <row r="26" spans="1:23" ht="14.5" x14ac:dyDescent="0.35">
      <c r="A26" s="3366"/>
      <c r="B26" s="3371" t="s">
        <v>661</v>
      </c>
      <c r="C26" s="3370"/>
      <c r="D26" s="3369"/>
      <c r="E26" s="3369"/>
      <c r="F26" s="3307"/>
      <c r="G26" s="2198"/>
      <c r="H26" s="3313"/>
      <c r="I26" s="3363"/>
      <c r="J26" s="3313" t="s">
        <v>669</v>
      </c>
      <c r="K26" s="3363"/>
      <c r="L26" s="3313" t="s">
        <v>669</v>
      </c>
      <c r="M26" s="3363"/>
      <c r="N26" s="3313"/>
      <c r="O26" s="3363"/>
      <c r="P26" s="3313"/>
      <c r="Q26" s="3363"/>
      <c r="R26" s="3313" t="s">
        <v>669</v>
      </c>
      <c r="S26" s="3319"/>
      <c r="T26" s="3313"/>
      <c r="U26" s="3363"/>
      <c r="V26" s="3313"/>
      <c r="W26" s="3365"/>
    </row>
    <row r="27" spans="1:23" ht="14.5" x14ac:dyDescent="0.35">
      <c r="A27" s="3366"/>
      <c r="B27" s="3371" t="s">
        <v>3607</v>
      </c>
      <c r="C27" s="3370"/>
      <c r="D27" s="3369"/>
      <c r="E27" s="3369"/>
      <c r="F27" s="3307"/>
      <c r="G27" s="2198"/>
      <c r="H27" s="3313"/>
      <c r="I27" s="3363"/>
      <c r="J27" s="3313" t="s">
        <v>669</v>
      </c>
      <c r="K27" s="3363"/>
      <c r="L27" s="3313" t="s">
        <v>669</v>
      </c>
      <c r="M27" s="3363"/>
      <c r="N27" s="3313"/>
      <c r="O27" s="3363"/>
      <c r="P27" s="3313"/>
      <c r="Q27" s="3363"/>
      <c r="R27" s="3313" t="s">
        <v>669</v>
      </c>
      <c r="S27" s="3319"/>
      <c r="T27" s="3313"/>
      <c r="U27" s="3363"/>
      <c r="V27" s="3313"/>
      <c r="W27" s="3365"/>
    </row>
    <row r="28" spans="1:23" ht="14.5" x14ac:dyDescent="0.35">
      <c r="A28" s="3366"/>
      <c r="B28" s="3371" t="s">
        <v>662</v>
      </c>
      <c r="C28" s="3370"/>
      <c r="D28" s="3369"/>
      <c r="E28" s="3369"/>
      <c r="F28" s="3307"/>
      <c r="G28" s="2198"/>
      <c r="H28" s="3313"/>
      <c r="I28" s="3363"/>
      <c r="J28" s="3313" t="s">
        <v>669</v>
      </c>
      <c r="K28" s="3363"/>
      <c r="L28" s="3313" t="s">
        <v>669</v>
      </c>
      <c r="M28" s="3363"/>
      <c r="N28" s="3313"/>
      <c r="O28" s="3363"/>
      <c r="P28" s="3313"/>
      <c r="Q28" s="3363"/>
      <c r="R28" s="3313" t="s">
        <v>669</v>
      </c>
      <c r="S28" s="3319"/>
      <c r="T28" s="3313"/>
      <c r="U28" s="3363"/>
      <c r="V28" s="3313"/>
      <c r="W28" s="3365"/>
    </row>
    <row r="29" spans="1:23" ht="14.5" x14ac:dyDescent="0.35">
      <c r="A29" s="3366"/>
      <c r="B29" s="3372" t="s">
        <v>663</v>
      </c>
      <c r="C29" s="3370"/>
      <c r="D29" s="3369"/>
      <c r="E29" s="3369"/>
      <c r="F29" s="3307"/>
      <c r="G29" s="2198"/>
      <c r="H29" s="3313"/>
      <c r="I29" s="3363"/>
      <c r="J29" s="3313" t="s">
        <v>669</v>
      </c>
      <c r="K29" s="3363"/>
      <c r="L29" s="3313" t="s">
        <v>669</v>
      </c>
      <c r="M29" s="3363"/>
      <c r="N29" s="3313"/>
      <c r="O29" s="3363"/>
      <c r="P29" s="3313"/>
      <c r="Q29" s="3363"/>
      <c r="R29" s="3313" t="s">
        <v>669</v>
      </c>
      <c r="S29" s="3319"/>
      <c r="T29" s="3313"/>
      <c r="U29" s="3363"/>
      <c r="V29" s="3313"/>
      <c r="W29" s="3365"/>
    </row>
    <row r="30" spans="1:23" ht="14.5" x14ac:dyDescent="0.35">
      <c r="A30" s="3366"/>
      <c r="B30" s="3371" t="s">
        <v>789</v>
      </c>
      <c r="C30" s="3370"/>
      <c r="D30" s="3369"/>
      <c r="E30" s="3369"/>
      <c r="F30" s="3307"/>
      <c r="G30" s="2198"/>
      <c r="H30" s="3313"/>
      <c r="I30" s="3363"/>
      <c r="J30" s="3313" t="s">
        <v>669</v>
      </c>
      <c r="K30" s="3373"/>
      <c r="L30" s="3313" t="s">
        <v>669</v>
      </c>
      <c r="M30" s="3373" t="s">
        <v>1733</v>
      </c>
      <c r="N30" s="3313"/>
      <c r="O30" s="3363"/>
      <c r="P30" s="3313"/>
      <c r="Q30" s="3363"/>
      <c r="R30" s="3313" t="s">
        <v>669</v>
      </c>
      <c r="S30" s="3373" t="s">
        <v>1099</v>
      </c>
      <c r="T30" s="3313"/>
      <c r="U30" s="3363"/>
      <c r="V30" s="3313"/>
      <c r="W30" s="3374"/>
    </row>
    <row r="31" spans="1:23" ht="14.5" x14ac:dyDescent="0.35">
      <c r="A31" s="3375"/>
      <c r="B31" s="3376" t="s">
        <v>790</v>
      </c>
      <c r="C31" s="3370"/>
      <c r="D31" s="3369"/>
      <c r="E31" s="3369"/>
      <c r="F31" s="3307"/>
      <c r="G31" s="2198"/>
      <c r="H31" s="3313"/>
      <c r="I31" s="3377"/>
      <c r="J31" s="3313" t="s">
        <v>671</v>
      </c>
      <c r="K31" s="3378"/>
      <c r="L31" s="3313" t="s">
        <v>671</v>
      </c>
      <c r="M31" s="3378" t="s">
        <v>1100</v>
      </c>
      <c r="N31" s="3313"/>
      <c r="O31" s="3377"/>
      <c r="P31" s="3313"/>
      <c r="Q31" s="3377"/>
      <c r="R31" s="3313" t="s">
        <v>669</v>
      </c>
      <c r="S31" s="3378" t="s">
        <v>4025</v>
      </c>
      <c r="T31" s="3313"/>
      <c r="U31" s="3377"/>
      <c r="V31" s="3313"/>
      <c r="W31" s="3379"/>
    </row>
    <row r="32" spans="1:23" ht="14.5" x14ac:dyDescent="0.35">
      <c r="A32" s="3380"/>
      <c r="B32" s="3381" t="s">
        <v>791</v>
      </c>
      <c r="C32" s="3370"/>
      <c r="D32" s="3369"/>
      <c r="E32" s="3369"/>
      <c r="F32" s="3307"/>
      <c r="G32" s="2198"/>
      <c r="H32" s="3313"/>
      <c r="I32" s="3382"/>
      <c r="J32" s="3313" t="s">
        <v>671</v>
      </c>
      <c r="K32" s="3382"/>
      <c r="L32" s="3313" t="s">
        <v>671</v>
      </c>
      <c r="M32" s="3382" t="s">
        <v>4026</v>
      </c>
      <c r="N32" s="3313"/>
      <c r="O32" s="3382"/>
      <c r="P32" s="3313"/>
      <c r="Q32" s="3382"/>
      <c r="R32" s="3313" t="s">
        <v>669</v>
      </c>
      <c r="S32" s="3383" t="s">
        <v>4027</v>
      </c>
      <c r="T32" s="3313"/>
      <c r="U32" s="3382"/>
      <c r="V32" s="3313"/>
      <c r="W32" s="3384"/>
    </row>
    <row r="33" spans="1:23" ht="14.5" x14ac:dyDescent="0.35">
      <c r="A33" s="3366"/>
      <c r="B33" s="3244" t="s">
        <v>664</v>
      </c>
      <c r="C33" s="3370"/>
      <c r="D33" s="3369"/>
      <c r="E33" s="3369"/>
      <c r="F33" s="3307"/>
      <c r="G33" s="2198"/>
      <c r="H33" s="3313"/>
      <c r="I33" s="3363"/>
      <c r="J33" s="3313"/>
      <c r="K33" s="3363"/>
      <c r="L33" s="3313"/>
      <c r="M33" s="3363"/>
      <c r="N33" s="3313"/>
      <c r="O33" s="3363"/>
      <c r="P33" s="3313"/>
      <c r="Q33" s="3363"/>
      <c r="R33" s="3313"/>
      <c r="S33" s="3319"/>
      <c r="T33" s="3313"/>
      <c r="U33" s="3363"/>
      <c r="V33" s="3313"/>
      <c r="W33" s="3365"/>
    </row>
    <row r="34" spans="1:23" ht="14.5" x14ac:dyDescent="0.35">
      <c r="A34" s="3366"/>
      <c r="B34" s="3385" t="s">
        <v>665</v>
      </c>
      <c r="C34" s="3386"/>
      <c r="D34" s="3247"/>
      <c r="E34" s="3247"/>
      <c r="F34" s="3247"/>
      <c r="G34" s="2945"/>
      <c r="H34" s="3387"/>
      <c r="I34" s="3388">
        <v>2115068</v>
      </c>
      <c r="J34" s="3389"/>
      <c r="K34" s="3388">
        <v>2249903</v>
      </c>
      <c r="L34" s="3389"/>
      <c r="M34" s="3388">
        <v>2373056</v>
      </c>
      <c r="N34" s="3389"/>
      <c r="O34" s="3388"/>
      <c r="P34" s="3389"/>
      <c r="Q34" s="3388"/>
      <c r="R34" s="3390"/>
      <c r="S34" s="3391"/>
      <c r="T34" s="3389"/>
      <c r="U34" s="3389"/>
      <c r="V34" s="3250"/>
      <c r="W34" s="3388">
        <f>2577132+148616+40603+60717+65222+31198+425388+28411</f>
        <v>3377287</v>
      </c>
    </row>
    <row r="35" spans="1:23" ht="15.5" x14ac:dyDescent="0.35">
      <c r="A35" s="3366"/>
      <c r="B35" s="3392"/>
      <c r="C35" s="3370"/>
      <c r="D35" s="3369"/>
      <c r="E35" s="3369"/>
      <c r="F35" s="3307"/>
      <c r="G35" s="2198"/>
      <c r="H35" s="3313"/>
      <c r="I35" s="3363"/>
      <c r="J35" s="3313"/>
      <c r="K35" s="3363"/>
      <c r="L35" s="3313"/>
      <c r="M35" s="3363"/>
      <c r="N35" s="3313"/>
      <c r="O35" s="3363"/>
      <c r="P35" s="3313"/>
      <c r="Q35" s="3363"/>
      <c r="R35" s="3393"/>
      <c r="S35" s="3319"/>
      <c r="T35" s="3313"/>
      <c r="U35" s="3363"/>
      <c r="V35" s="3313"/>
      <c r="W35" s="3311"/>
    </row>
    <row r="36" spans="1:23" ht="15.5" x14ac:dyDescent="0.35">
      <c r="A36" s="3366"/>
      <c r="B36" s="3392" t="s">
        <v>4028</v>
      </c>
      <c r="C36" s="3370"/>
      <c r="D36" s="3369">
        <v>17.54</v>
      </c>
      <c r="E36" s="3369" t="s">
        <v>4029</v>
      </c>
      <c r="F36" s="3332">
        <v>75000</v>
      </c>
      <c r="G36" s="3333">
        <f>F36*D36</f>
        <v>1315500</v>
      </c>
      <c r="H36" s="3313"/>
      <c r="I36" s="3363"/>
      <c r="J36" s="3313"/>
      <c r="K36" s="3363"/>
      <c r="L36" s="3313"/>
      <c r="M36" s="3363"/>
      <c r="N36" s="3313"/>
      <c r="O36" s="3363"/>
      <c r="P36" s="3313"/>
      <c r="Q36" s="3363"/>
      <c r="R36" s="3313"/>
      <c r="S36" s="3319"/>
      <c r="T36" s="3313"/>
      <c r="U36" s="3363"/>
      <c r="V36" s="3313"/>
      <c r="W36" s="3311"/>
    </row>
    <row r="37" spans="1:23" ht="15.5" x14ac:dyDescent="0.35">
      <c r="A37" s="3394"/>
      <c r="B37" s="3392" t="s">
        <v>4030</v>
      </c>
      <c r="C37" s="3370"/>
      <c r="D37" s="3369"/>
      <c r="E37" s="3369"/>
      <c r="F37" s="3307"/>
      <c r="G37" s="2198"/>
      <c r="H37" s="3313"/>
      <c r="I37" s="3395"/>
      <c r="J37" s="3313"/>
      <c r="K37" s="3395"/>
      <c r="L37" s="3313"/>
      <c r="M37" s="3395"/>
      <c r="N37" s="3313"/>
      <c r="O37" s="3395"/>
      <c r="P37" s="3313"/>
      <c r="Q37" s="3395"/>
      <c r="R37" s="3313"/>
      <c r="S37" s="3396"/>
      <c r="T37" s="3313"/>
      <c r="U37" s="3395"/>
      <c r="V37" s="3313"/>
      <c r="W37" s="3311"/>
    </row>
    <row r="38" spans="1:23" ht="15.5" x14ac:dyDescent="0.35">
      <c r="A38" s="3394"/>
      <c r="B38" s="3392" t="s">
        <v>4031</v>
      </c>
      <c r="C38" s="3370"/>
      <c r="D38" s="3369"/>
      <c r="E38" s="3369"/>
      <c r="F38" s="3307"/>
      <c r="G38" s="2198"/>
      <c r="H38" s="3313"/>
      <c r="I38" s="3395"/>
      <c r="J38" s="3313"/>
      <c r="K38" s="3395"/>
      <c r="L38" s="3313"/>
      <c r="M38" s="3395"/>
      <c r="N38" s="3313"/>
      <c r="O38" s="3395"/>
      <c r="P38" s="3313"/>
      <c r="Q38" s="3395"/>
      <c r="R38" s="3313"/>
      <c r="S38" s="3396"/>
      <c r="T38" s="3313"/>
      <c r="U38" s="3395"/>
      <c r="V38" s="3313"/>
      <c r="W38" s="3311"/>
    </row>
    <row r="39" spans="1:23" ht="15.5" x14ac:dyDescent="0.35">
      <c r="A39" s="3366"/>
      <c r="B39" s="3397"/>
      <c r="C39" s="3370"/>
      <c r="D39" s="3398"/>
      <c r="E39" s="3369"/>
      <c r="F39" s="3399"/>
      <c r="G39" s="2233"/>
      <c r="H39" s="3313"/>
      <c r="I39" s="3363"/>
      <c r="J39" s="3313"/>
      <c r="K39" s="3363"/>
      <c r="L39" s="3313"/>
      <c r="M39" s="3363"/>
      <c r="N39" s="3313"/>
      <c r="O39" s="3363"/>
      <c r="P39" s="3313"/>
      <c r="Q39" s="3363"/>
      <c r="R39" s="3313"/>
      <c r="S39" s="3319"/>
      <c r="T39" s="3313"/>
      <c r="U39" s="3363"/>
      <c r="V39" s="3313"/>
      <c r="W39" s="3311"/>
    </row>
    <row r="40" spans="1:23" ht="15.5" x14ac:dyDescent="0.35">
      <c r="A40" s="3366"/>
      <c r="B40" s="3397" t="s">
        <v>4032</v>
      </c>
      <c r="C40" s="3370"/>
      <c r="D40" s="3369"/>
      <c r="E40" s="3369"/>
      <c r="F40" s="3307"/>
      <c r="G40" s="2198"/>
      <c r="H40" s="3313" t="s">
        <v>669</v>
      </c>
      <c r="I40" s="3363"/>
      <c r="J40" s="3313" t="s">
        <v>669</v>
      </c>
      <c r="K40" s="3363"/>
      <c r="L40" s="3313" t="s">
        <v>669</v>
      </c>
      <c r="M40" s="3363"/>
      <c r="N40" s="3313" t="s">
        <v>669</v>
      </c>
      <c r="O40" s="3363">
        <f>3902677</f>
        <v>3902677</v>
      </c>
      <c r="P40" s="3313" t="s">
        <v>669</v>
      </c>
      <c r="Q40" s="3363">
        <f>3772255+194901-446268-50782</f>
        <v>3470106</v>
      </c>
      <c r="R40" s="3313" t="s">
        <v>669</v>
      </c>
      <c r="S40" s="3319">
        <f>2929917-S50</f>
        <v>2884167</v>
      </c>
      <c r="T40" s="3313" t="s">
        <v>669</v>
      </c>
      <c r="U40" s="3363">
        <v>4629925</v>
      </c>
      <c r="V40" s="3313" t="s">
        <v>669</v>
      </c>
      <c r="W40" s="3311"/>
    </row>
    <row r="41" spans="1:23" ht="15.5" x14ac:dyDescent="0.35">
      <c r="A41" s="3366"/>
      <c r="B41" s="3400" t="s">
        <v>4033</v>
      </c>
      <c r="C41" s="2198"/>
      <c r="D41" s="3369"/>
      <c r="E41" s="3369"/>
      <c r="F41" s="3307"/>
      <c r="G41" s="2198"/>
      <c r="H41" s="3313" t="s">
        <v>669</v>
      </c>
      <c r="I41" s="3401"/>
      <c r="J41" s="3313" t="s">
        <v>669</v>
      </c>
      <c r="K41" s="3363"/>
      <c r="L41" s="3313" t="s">
        <v>669</v>
      </c>
      <c r="M41" s="3363"/>
      <c r="N41" s="3313" t="s">
        <v>669</v>
      </c>
      <c r="O41" s="3401"/>
      <c r="P41" s="3313" t="s">
        <v>669</v>
      </c>
      <c r="Q41" s="3401"/>
      <c r="R41" s="3313" t="s">
        <v>669</v>
      </c>
      <c r="S41" s="3402"/>
      <c r="T41" s="3313" t="s">
        <v>669</v>
      </c>
      <c r="U41" s="3401"/>
      <c r="V41" s="3313" t="s">
        <v>669</v>
      </c>
      <c r="W41" s="3311"/>
    </row>
    <row r="42" spans="1:23" ht="15.5" x14ac:dyDescent="0.35">
      <c r="A42" s="3366"/>
      <c r="B42" s="3400" t="s">
        <v>4034</v>
      </c>
      <c r="C42" s="2198" t="s">
        <v>4035</v>
      </c>
      <c r="D42" s="3369"/>
      <c r="E42" s="3369"/>
      <c r="F42" s="3307"/>
      <c r="G42" s="2198"/>
      <c r="H42" s="3313" t="s">
        <v>669</v>
      </c>
      <c r="I42" s="3401"/>
      <c r="J42" s="3313" t="s">
        <v>669</v>
      </c>
      <c r="K42" s="3363"/>
      <c r="L42" s="3313" t="s">
        <v>669</v>
      </c>
      <c r="M42" s="3363"/>
      <c r="N42" s="3313" t="s">
        <v>669</v>
      </c>
      <c r="O42" s="3401"/>
      <c r="P42" s="3313" t="s">
        <v>669</v>
      </c>
      <c r="Q42" s="3401"/>
      <c r="R42" s="3313" t="s">
        <v>669</v>
      </c>
      <c r="S42" s="3402"/>
      <c r="T42" s="3313" t="s">
        <v>669</v>
      </c>
      <c r="U42" s="3401"/>
      <c r="V42" s="3313" t="s">
        <v>669</v>
      </c>
      <c r="W42" s="3311"/>
    </row>
    <row r="43" spans="1:23" ht="15.5" x14ac:dyDescent="0.35">
      <c r="A43" s="3366"/>
      <c r="B43" s="3400" t="s">
        <v>4036</v>
      </c>
      <c r="C43" s="2198"/>
      <c r="D43" s="3369"/>
      <c r="E43" s="3369"/>
      <c r="F43" s="3307"/>
      <c r="G43" s="2198"/>
      <c r="H43" s="3313" t="s">
        <v>669</v>
      </c>
      <c r="I43" s="3401"/>
      <c r="J43" s="3313" t="s">
        <v>669</v>
      </c>
      <c r="K43" s="3363"/>
      <c r="L43" s="3313" t="s">
        <v>669</v>
      </c>
      <c r="M43" s="3363"/>
      <c r="N43" s="3313" t="s">
        <v>669</v>
      </c>
      <c r="O43" s="3363"/>
      <c r="P43" s="3313" t="s">
        <v>669</v>
      </c>
      <c r="Q43" s="3363"/>
      <c r="R43" s="3313" t="s">
        <v>669</v>
      </c>
      <c r="S43" s="3402"/>
      <c r="T43" s="3313" t="s">
        <v>669</v>
      </c>
      <c r="U43" s="3363"/>
      <c r="V43" s="3313" t="s">
        <v>669</v>
      </c>
      <c r="W43" s="3311"/>
    </row>
    <row r="44" spans="1:23" ht="31" x14ac:dyDescent="0.35">
      <c r="A44" s="3394"/>
      <c r="B44" s="3400" t="s">
        <v>4037</v>
      </c>
      <c r="C44" s="2198" t="s">
        <v>4038</v>
      </c>
      <c r="D44" s="3369"/>
      <c r="E44" s="3369"/>
      <c r="F44" s="3307"/>
      <c r="G44" s="2198"/>
      <c r="H44" s="3256" t="s">
        <v>671</v>
      </c>
      <c r="I44" s="3401"/>
      <c r="J44" s="3256" t="s">
        <v>671</v>
      </c>
      <c r="K44" s="3395"/>
      <c r="L44" s="3256" t="s">
        <v>671</v>
      </c>
      <c r="M44" s="3395"/>
      <c r="N44" s="3256" t="s">
        <v>671</v>
      </c>
      <c r="O44" s="3395"/>
      <c r="P44" s="3256" t="s">
        <v>671</v>
      </c>
      <c r="Q44" s="3395"/>
      <c r="R44" s="3313" t="s">
        <v>671</v>
      </c>
      <c r="S44" s="3402"/>
      <c r="T44" s="3313" t="s">
        <v>671</v>
      </c>
      <c r="U44" s="3395"/>
      <c r="V44" s="3313" t="s">
        <v>671</v>
      </c>
      <c r="W44" s="3311"/>
    </row>
    <row r="45" spans="1:23" ht="15.5" x14ac:dyDescent="0.35">
      <c r="A45" s="3366"/>
      <c r="B45" s="3400" t="s">
        <v>4039</v>
      </c>
      <c r="C45" s="2198"/>
      <c r="D45" s="3369"/>
      <c r="E45" s="3369"/>
      <c r="F45" s="3307"/>
      <c r="G45" s="2198"/>
      <c r="H45" s="3313" t="s">
        <v>669</v>
      </c>
      <c r="I45" s="3401"/>
      <c r="J45" s="3313" t="s">
        <v>669</v>
      </c>
      <c r="K45" s="3363"/>
      <c r="L45" s="3313" t="s">
        <v>669</v>
      </c>
      <c r="M45" s="3363"/>
      <c r="N45" s="3313" t="s">
        <v>669</v>
      </c>
      <c r="O45" s="3401"/>
      <c r="P45" s="3313" t="s">
        <v>669</v>
      </c>
      <c r="Q45" s="3401"/>
      <c r="R45" s="3313" t="s">
        <v>669</v>
      </c>
      <c r="S45" s="3402"/>
      <c r="T45" s="3313" t="s">
        <v>669</v>
      </c>
      <c r="U45" s="3401"/>
      <c r="V45" s="3313" t="s">
        <v>669</v>
      </c>
      <c r="W45" s="3311"/>
    </row>
    <row r="46" spans="1:23" ht="14.5" x14ac:dyDescent="0.35">
      <c r="A46" s="3366"/>
      <c r="B46" s="3403" t="s">
        <v>4040</v>
      </c>
      <c r="C46" s="2198"/>
      <c r="D46" s="3369"/>
      <c r="E46" s="3369"/>
      <c r="F46" s="3307"/>
      <c r="G46" s="2198"/>
      <c r="H46" s="3313" t="s">
        <v>669</v>
      </c>
      <c r="I46" s="3401"/>
      <c r="J46" s="3313" t="s">
        <v>669</v>
      </c>
      <c r="K46" s="3363"/>
      <c r="L46" s="3313" t="s">
        <v>669</v>
      </c>
      <c r="M46" s="3363"/>
      <c r="N46" s="3313" t="s">
        <v>669</v>
      </c>
      <c r="O46" s="3401"/>
      <c r="P46" s="3313" t="s">
        <v>669</v>
      </c>
      <c r="Q46" s="3401"/>
      <c r="R46" s="3313" t="s">
        <v>669</v>
      </c>
      <c r="S46" s="3402"/>
      <c r="T46" s="3313" t="s">
        <v>669</v>
      </c>
      <c r="U46" s="3401"/>
      <c r="V46" s="3313" t="s">
        <v>669</v>
      </c>
      <c r="W46" s="3311"/>
    </row>
    <row r="47" spans="1:23" ht="15.5" x14ac:dyDescent="0.35">
      <c r="A47" s="3366"/>
      <c r="B47" s="3400" t="s">
        <v>4041</v>
      </c>
      <c r="C47" s="2198"/>
      <c r="D47" s="3369"/>
      <c r="E47" s="3369"/>
      <c r="F47" s="3307"/>
      <c r="G47" s="2198"/>
      <c r="H47" s="3313" t="s">
        <v>669</v>
      </c>
      <c r="I47" s="3401"/>
      <c r="J47" s="3313" t="s">
        <v>669</v>
      </c>
      <c r="K47" s="3363"/>
      <c r="L47" s="3313" t="s">
        <v>669</v>
      </c>
      <c r="M47" s="3363"/>
      <c r="N47" s="3313" t="s">
        <v>669</v>
      </c>
      <c r="O47" s="3401"/>
      <c r="P47" s="3313" t="s">
        <v>669</v>
      </c>
      <c r="Q47" s="3401"/>
      <c r="R47" s="3313" t="s">
        <v>669</v>
      </c>
      <c r="S47" s="3395"/>
      <c r="T47" s="3313" t="s">
        <v>669</v>
      </c>
      <c r="U47" s="3401"/>
      <c r="V47" s="3313" t="s">
        <v>669</v>
      </c>
      <c r="W47" s="3311"/>
    </row>
    <row r="48" spans="1:23" ht="15.5" x14ac:dyDescent="0.35">
      <c r="A48" s="3394"/>
      <c r="B48" s="3400" t="s">
        <v>4042</v>
      </c>
      <c r="C48" s="2198"/>
      <c r="D48" s="3369"/>
      <c r="E48" s="3369"/>
      <c r="F48" s="3307"/>
      <c r="G48" s="2198"/>
      <c r="H48" s="3313" t="s">
        <v>669</v>
      </c>
      <c r="I48" s="3363">
        <v>250000</v>
      </c>
      <c r="J48" s="3313"/>
      <c r="K48" s="3395"/>
      <c r="L48" s="3313"/>
      <c r="M48" s="3395"/>
      <c r="N48" s="3313"/>
      <c r="O48" s="3401"/>
      <c r="P48" s="3313"/>
      <c r="Q48" s="3401"/>
      <c r="R48" s="3313"/>
      <c r="S48" s="3395"/>
      <c r="T48" s="3313"/>
      <c r="U48" s="3401"/>
      <c r="V48" s="3313"/>
      <c r="W48" s="3311"/>
    </row>
    <row r="49" spans="1:23" ht="15.5" x14ac:dyDescent="0.35">
      <c r="A49" s="3366"/>
      <c r="B49" s="3400" t="s">
        <v>4043</v>
      </c>
      <c r="C49" s="2198"/>
      <c r="D49" s="3369"/>
      <c r="E49" s="3369"/>
      <c r="F49" s="3307"/>
      <c r="G49" s="2198"/>
      <c r="H49" s="3313" t="s">
        <v>669</v>
      </c>
      <c r="I49" s="3401"/>
      <c r="J49" s="3313" t="s">
        <v>669</v>
      </c>
      <c r="K49" s="3363"/>
      <c r="L49" s="3313" t="s">
        <v>669</v>
      </c>
      <c r="M49" s="3363"/>
      <c r="N49" s="3313" t="s">
        <v>669</v>
      </c>
      <c r="O49" s="3401"/>
      <c r="P49" s="3313" t="s">
        <v>669</v>
      </c>
      <c r="Q49" s="3401"/>
      <c r="R49" s="3313" t="s">
        <v>669</v>
      </c>
      <c r="S49" s="3395"/>
      <c r="T49" s="3313" t="s">
        <v>669</v>
      </c>
      <c r="U49" s="3401"/>
      <c r="V49" s="3313" t="s">
        <v>669</v>
      </c>
      <c r="W49" s="3311"/>
    </row>
    <row r="50" spans="1:23" ht="15.5" x14ac:dyDescent="0.35">
      <c r="A50" s="3394"/>
      <c r="B50" s="3400" t="s">
        <v>4044</v>
      </c>
      <c r="C50" s="2198" t="s">
        <v>4038</v>
      </c>
      <c r="D50" s="3369"/>
      <c r="E50" s="3369"/>
      <c r="F50" s="3307"/>
      <c r="G50" s="2198"/>
      <c r="H50" s="3256" t="s">
        <v>654</v>
      </c>
      <c r="I50" s="3363">
        <f>M50</f>
        <v>45750</v>
      </c>
      <c r="J50" s="3256" t="s">
        <v>654</v>
      </c>
      <c r="K50" s="3395">
        <v>45750</v>
      </c>
      <c r="L50" s="3256" t="s">
        <v>654</v>
      </c>
      <c r="M50" s="3395">
        <v>45750</v>
      </c>
      <c r="N50" s="3256" t="s">
        <v>654</v>
      </c>
      <c r="O50" s="3401"/>
      <c r="P50" s="3256" t="s">
        <v>654</v>
      </c>
      <c r="Q50" s="3401"/>
      <c r="R50" s="3313" t="s">
        <v>669</v>
      </c>
      <c r="S50" s="3395">
        <v>45750</v>
      </c>
      <c r="T50" s="3313" t="s">
        <v>669</v>
      </c>
      <c r="U50" s="3401"/>
      <c r="V50" s="3313" t="s">
        <v>669</v>
      </c>
      <c r="W50" s="3311"/>
    </row>
    <row r="51" spans="1:23" ht="15.5" x14ac:dyDescent="0.35">
      <c r="A51" s="3394"/>
      <c r="B51" s="3400" t="s">
        <v>4045</v>
      </c>
      <c r="C51" s="2198" t="s">
        <v>4038</v>
      </c>
      <c r="D51" s="3369"/>
      <c r="E51" s="3369"/>
      <c r="F51" s="3307"/>
      <c r="G51" s="2198"/>
      <c r="H51" s="3313" t="s">
        <v>669</v>
      </c>
      <c r="I51" s="3401"/>
      <c r="J51" s="3313" t="s">
        <v>669</v>
      </c>
      <c r="K51" s="3395"/>
      <c r="L51" s="3313" t="s">
        <v>669</v>
      </c>
      <c r="M51" s="3395"/>
      <c r="N51" s="3313" t="s">
        <v>669</v>
      </c>
      <c r="O51" s="3401"/>
      <c r="P51" s="3313" t="s">
        <v>669</v>
      </c>
      <c r="Q51" s="3401"/>
      <c r="R51" s="3313" t="s">
        <v>669</v>
      </c>
      <c r="S51" s="3395"/>
      <c r="T51" s="3313" t="s">
        <v>669</v>
      </c>
      <c r="U51" s="3401"/>
      <c r="V51" s="3313" t="s">
        <v>669</v>
      </c>
      <c r="W51" s="3311"/>
    </row>
    <row r="52" spans="1:23" ht="15.5" x14ac:dyDescent="0.35">
      <c r="A52" s="3366"/>
      <c r="B52" s="3400" t="s">
        <v>4046</v>
      </c>
      <c r="C52" s="2198" t="s">
        <v>4035</v>
      </c>
      <c r="D52" s="3369">
        <v>5</v>
      </c>
      <c r="E52" s="3369"/>
      <c r="F52" s="3307"/>
      <c r="G52" s="2198"/>
      <c r="H52" s="3256" t="s">
        <v>669</v>
      </c>
      <c r="I52" s="3401"/>
      <c r="J52" s="3256" t="s">
        <v>669</v>
      </c>
      <c r="K52" s="3363"/>
      <c r="L52" s="3256" t="s">
        <v>654</v>
      </c>
      <c r="M52" s="3363">
        <v>66475</v>
      </c>
      <c r="N52" s="3256" t="s">
        <v>669</v>
      </c>
      <c r="O52" s="3401"/>
      <c r="P52" s="3256" t="s">
        <v>669</v>
      </c>
      <c r="Q52" s="3401"/>
      <c r="R52" s="3313" t="s">
        <v>669</v>
      </c>
      <c r="S52" s="3395">
        <v>66475</v>
      </c>
      <c r="T52" s="3313" t="s">
        <v>669</v>
      </c>
      <c r="U52" s="3401"/>
      <c r="V52" s="3313" t="s">
        <v>669</v>
      </c>
      <c r="W52" s="3311"/>
    </row>
    <row r="53" spans="1:23" ht="14.5" x14ac:dyDescent="0.35">
      <c r="A53" s="3366"/>
      <c r="B53" s="3404" t="s">
        <v>4047</v>
      </c>
      <c r="C53" s="2198"/>
      <c r="D53" s="3369"/>
      <c r="E53" s="3369"/>
      <c r="F53" s="3307"/>
      <c r="G53" s="2198"/>
      <c r="H53" s="3313" t="s">
        <v>669</v>
      </c>
      <c r="I53" s="3363">
        <v>297350</v>
      </c>
      <c r="J53" s="3256" t="s">
        <v>669</v>
      </c>
      <c r="K53" s="3363">
        <v>511350</v>
      </c>
      <c r="L53" s="3313" t="s">
        <v>669</v>
      </c>
      <c r="M53" s="3363">
        <v>532238</v>
      </c>
      <c r="N53" s="3313" t="s">
        <v>669</v>
      </c>
      <c r="O53" s="3363">
        <v>447202</v>
      </c>
      <c r="P53" s="3313" t="s">
        <v>669</v>
      </c>
      <c r="Q53" s="3363">
        <f>446268+50782</f>
        <v>497050</v>
      </c>
      <c r="R53" s="3313" t="s">
        <v>669</v>
      </c>
      <c r="S53" s="3395">
        <v>610730</v>
      </c>
      <c r="T53" s="3256" t="s">
        <v>654</v>
      </c>
      <c r="U53" s="3363">
        <f>S53</f>
        <v>610730</v>
      </c>
      <c r="V53" s="3313" t="s">
        <v>669</v>
      </c>
      <c r="W53" s="3311">
        <v>458467</v>
      </c>
    </row>
    <row r="54" spans="1:23" ht="15.5" x14ac:dyDescent="0.35">
      <c r="A54" s="3366"/>
      <c r="B54" s="3400" t="s">
        <v>4048</v>
      </c>
      <c r="C54" s="3368"/>
      <c r="D54" s="3369"/>
      <c r="E54" s="3369"/>
      <c r="F54" s="3307"/>
      <c r="G54" s="2198"/>
      <c r="H54" s="3313" t="s">
        <v>669</v>
      </c>
      <c r="I54" s="3401"/>
      <c r="J54" s="3313" t="s">
        <v>669</v>
      </c>
      <c r="K54" s="3363"/>
      <c r="L54" s="3313" t="s">
        <v>669</v>
      </c>
      <c r="M54" s="3363"/>
      <c r="N54" s="3313" t="s">
        <v>669</v>
      </c>
      <c r="O54" s="3401"/>
      <c r="P54" s="3313" t="s">
        <v>669</v>
      </c>
      <c r="Q54" s="3401"/>
      <c r="R54" s="3313" t="s">
        <v>669</v>
      </c>
      <c r="S54" s="3402"/>
      <c r="T54" s="3256" t="s">
        <v>654</v>
      </c>
      <c r="U54" s="3401"/>
      <c r="V54" s="3313" t="s">
        <v>669</v>
      </c>
      <c r="W54" s="3311"/>
    </row>
    <row r="55" spans="1:23" ht="14.5" x14ac:dyDescent="0.35">
      <c r="A55" s="3366"/>
      <c r="B55" s="3403" t="s">
        <v>4049</v>
      </c>
      <c r="C55" s="3368"/>
      <c r="D55" s="3369"/>
      <c r="E55" s="3369"/>
      <c r="F55" s="3307"/>
      <c r="G55" s="2198"/>
      <c r="H55" s="3313"/>
      <c r="I55" s="3401"/>
      <c r="J55" s="3313"/>
      <c r="K55" s="3363"/>
      <c r="L55" s="3313"/>
      <c r="M55" s="3363"/>
      <c r="N55" s="3313"/>
      <c r="O55" s="3401"/>
      <c r="P55" s="3313"/>
      <c r="Q55" s="3401"/>
      <c r="R55" s="3313" t="s">
        <v>669</v>
      </c>
      <c r="S55" s="3396">
        <v>126249</v>
      </c>
      <c r="T55" s="3256" t="s">
        <v>654</v>
      </c>
      <c r="U55" s="3401"/>
      <c r="V55" s="3313" t="s">
        <v>669</v>
      </c>
      <c r="W55" s="3290"/>
    </row>
    <row r="56" spans="1:23" ht="14.5" x14ac:dyDescent="0.35">
      <c r="A56" s="3366"/>
      <c r="B56" s="3403" t="s">
        <v>4050</v>
      </c>
      <c r="C56" s="3368"/>
      <c r="D56" s="3369"/>
      <c r="E56" s="3369"/>
      <c r="F56" s="3307"/>
      <c r="G56" s="2198"/>
      <c r="H56" s="3313" t="s">
        <v>669</v>
      </c>
      <c r="I56" s="3401"/>
      <c r="J56" s="3313"/>
      <c r="K56" s="3363"/>
      <c r="L56" s="3313"/>
      <c r="M56" s="3363"/>
      <c r="N56" s="3313" t="s">
        <v>669</v>
      </c>
      <c r="O56" s="3401"/>
      <c r="P56" s="3313" t="s">
        <v>669</v>
      </c>
      <c r="Q56" s="3401"/>
      <c r="R56" s="3313" t="s">
        <v>669</v>
      </c>
      <c r="S56" s="3396"/>
      <c r="T56" s="3256" t="s">
        <v>654</v>
      </c>
      <c r="U56" s="3401"/>
      <c r="V56" s="3313" t="s">
        <v>669</v>
      </c>
      <c r="W56" s="3401"/>
    </row>
    <row r="57" spans="1:23" ht="14.5" x14ac:dyDescent="0.35">
      <c r="A57" s="3366"/>
      <c r="B57" s="3405" t="s">
        <v>3445</v>
      </c>
      <c r="C57" s="3368"/>
      <c r="D57" s="3369"/>
      <c r="E57" s="3369"/>
      <c r="F57" s="3307"/>
      <c r="G57" s="2198"/>
      <c r="H57" s="3313"/>
      <c r="I57" s="3401"/>
      <c r="J57" s="3313"/>
      <c r="K57" s="3363"/>
      <c r="L57" s="3313"/>
      <c r="M57" s="3363"/>
      <c r="N57" s="3313"/>
      <c r="O57" s="3401"/>
      <c r="P57" s="3313"/>
      <c r="Q57" s="3401"/>
      <c r="R57" s="3313"/>
      <c r="S57" s="3406"/>
      <c r="T57" s="3313"/>
      <c r="U57" s="3401"/>
      <c r="V57" s="3393"/>
      <c r="W57" s="3401"/>
    </row>
    <row r="58" spans="1:23" ht="15" hidden="1" customHeight="1" x14ac:dyDescent="0.35">
      <c r="A58" s="3263"/>
      <c r="B58" s="3407"/>
      <c r="C58" s="3408"/>
      <c r="D58" s="3408"/>
      <c r="E58" s="3408"/>
      <c r="F58" s="3408"/>
      <c r="G58" s="3409"/>
      <c r="H58" s="3401"/>
      <c r="I58" s="3401"/>
      <c r="J58" s="3401"/>
      <c r="K58" s="3401"/>
      <c r="L58" s="3401"/>
      <c r="M58" s="3401"/>
      <c r="N58" s="3401"/>
      <c r="O58" s="3401"/>
      <c r="P58" s="3401"/>
      <c r="Q58" s="3401"/>
      <c r="R58" s="3410"/>
      <c r="S58" s="3402"/>
      <c r="T58" s="3401"/>
      <c r="U58" s="3401"/>
      <c r="V58" s="3401"/>
      <c r="W58" s="3401"/>
    </row>
    <row r="59" spans="1:23" ht="15" hidden="1" customHeight="1" x14ac:dyDescent="0.35">
      <c r="A59" s="3335">
        <v>1</v>
      </c>
      <c r="B59" s="3411"/>
      <c r="C59" s="3412"/>
      <c r="D59" s="3412"/>
      <c r="E59" s="3412"/>
      <c r="F59" s="3412"/>
      <c r="G59" s="3413"/>
      <c r="H59" s="3401"/>
      <c r="I59" s="3401"/>
      <c r="J59" s="3401"/>
      <c r="K59" s="3401"/>
      <c r="L59" s="3401"/>
      <c r="M59" s="3401"/>
      <c r="N59" s="3401"/>
      <c r="O59" s="3401"/>
      <c r="P59" s="3401"/>
      <c r="Q59" s="3401"/>
      <c r="R59" s="3410"/>
      <c r="S59" s="3402"/>
      <c r="T59" s="3401"/>
      <c r="U59" s="3401"/>
      <c r="V59" s="3401"/>
      <c r="W59" s="3401"/>
    </row>
    <row r="60" spans="1:23" ht="15" hidden="1" customHeight="1" x14ac:dyDescent="0.35">
      <c r="A60" s="3263">
        <v>2</v>
      </c>
      <c r="B60" s="3414"/>
      <c r="C60" s="3415" t="s">
        <v>654</v>
      </c>
      <c r="D60" s="3416"/>
      <c r="E60" s="3416"/>
      <c r="F60" s="3416"/>
      <c r="G60" s="3417"/>
      <c r="H60" s="3401"/>
      <c r="I60" s="3401"/>
      <c r="J60" s="3401"/>
      <c r="K60" s="3401"/>
      <c r="L60" s="3401"/>
      <c r="M60" s="3401"/>
      <c r="N60" s="3401"/>
      <c r="O60" s="3401"/>
      <c r="P60" s="3401"/>
      <c r="Q60" s="3401"/>
      <c r="R60" s="3410"/>
      <c r="S60" s="3402"/>
      <c r="T60" s="3401"/>
      <c r="U60" s="3401"/>
      <c r="V60" s="3401"/>
      <c r="W60" s="3401"/>
    </row>
    <row r="61" spans="1:23" ht="15" hidden="1" customHeight="1" x14ac:dyDescent="0.35">
      <c r="A61" s="3335">
        <v>3</v>
      </c>
      <c r="B61" s="3264"/>
      <c r="C61" s="3312" t="s">
        <v>654</v>
      </c>
      <c r="D61" s="3307"/>
      <c r="E61" s="3307"/>
      <c r="F61" s="3307"/>
      <c r="G61" s="2198"/>
      <c r="H61" s="3401"/>
      <c r="I61" s="3401"/>
      <c r="J61" s="3401"/>
      <c r="K61" s="3401"/>
      <c r="L61" s="3401"/>
      <c r="M61" s="3401"/>
      <c r="N61" s="3401"/>
      <c r="O61" s="3401"/>
      <c r="P61" s="3401"/>
      <c r="Q61" s="3401"/>
      <c r="R61" s="3410"/>
      <c r="S61" s="3402"/>
      <c r="T61" s="3401"/>
      <c r="U61" s="3401"/>
      <c r="V61" s="3401"/>
      <c r="W61" s="3401"/>
    </row>
    <row r="62" spans="1:23" ht="15" hidden="1" customHeight="1" x14ac:dyDescent="0.35">
      <c r="A62" s="3263">
        <v>4</v>
      </c>
      <c r="B62" s="3264"/>
      <c r="C62" s="3312" t="s">
        <v>654</v>
      </c>
      <c r="D62" s="3307"/>
      <c r="E62" s="3307"/>
      <c r="F62" s="3307"/>
      <c r="G62" s="2198"/>
      <c r="H62" s="3401"/>
      <c r="I62" s="3401"/>
      <c r="J62" s="3401"/>
      <c r="K62" s="3401"/>
      <c r="L62" s="3401"/>
      <c r="M62" s="3401"/>
      <c r="N62" s="3401"/>
      <c r="O62" s="3401"/>
      <c r="P62" s="3401"/>
      <c r="Q62" s="3401"/>
      <c r="R62" s="3410"/>
      <c r="S62" s="3402"/>
      <c r="T62" s="3401"/>
      <c r="U62" s="3401"/>
      <c r="V62" s="3401"/>
      <c r="W62" s="3401"/>
    </row>
    <row r="63" spans="1:23" ht="14.5" x14ac:dyDescent="0.35">
      <c r="A63" s="14"/>
      <c r="B63" s="15"/>
      <c r="C63" s="16"/>
      <c r="D63" s="16"/>
      <c r="E63" s="17"/>
      <c r="F63" s="18" t="s">
        <v>715</v>
      </c>
      <c r="G63" s="19"/>
      <c r="H63" s="20"/>
      <c r="I63" s="50">
        <f>SUM(I23:I62)</f>
        <v>2708168</v>
      </c>
      <c r="J63" s="41"/>
      <c r="K63" s="50">
        <f>SUM(K23:K62)</f>
        <v>2807003</v>
      </c>
      <c r="L63" s="41"/>
      <c r="M63" s="50">
        <f>SUM(M23:M62)</f>
        <v>3017519</v>
      </c>
      <c r="N63" s="20"/>
      <c r="O63" s="50">
        <f>SUM(O23:O62)</f>
        <v>4349879</v>
      </c>
      <c r="P63" s="20"/>
      <c r="Q63" s="50">
        <f>SUM(Q23:Q62)</f>
        <v>3967156</v>
      </c>
      <c r="R63" s="20"/>
      <c r="S63" s="50">
        <f>SUM(S23:S62)</f>
        <v>3733371</v>
      </c>
      <c r="T63" s="20"/>
      <c r="U63" s="50">
        <f>SUM(U23:U62)</f>
        <v>5240655</v>
      </c>
      <c r="V63" s="20"/>
      <c r="W63" s="50">
        <f>SUM(W23:W62)</f>
        <v>3835754</v>
      </c>
    </row>
    <row r="64" spans="1:23" ht="14.5" x14ac:dyDescent="0.35">
      <c r="A64" s="3265"/>
      <c r="B64" s="3266"/>
      <c r="C64" s="3267"/>
      <c r="D64" s="3267"/>
      <c r="E64" s="3268"/>
      <c r="F64" s="3350" t="s">
        <v>716</v>
      </c>
      <c r="G64" s="2244"/>
      <c r="H64" s="3270">
        <v>0.03</v>
      </c>
      <c r="I64" s="3418"/>
      <c r="J64" s="2247">
        <v>0</v>
      </c>
      <c r="K64" s="3418"/>
      <c r="L64" s="2247">
        <v>0</v>
      </c>
      <c r="M64" s="3418"/>
      <c r="N64" s="3270">
        <v>0</v>
      </c>
      <c r="O64" s="3418"/>
      <c r="P64" s="3270">
        <v>0</v>
      </c>
      <c r="Q64" s="3418"/>
      <c r="R64" s="3270">
        <v>0</v>
      </c>
      <c r="S64" s="3418"/>
      <c r="T64" s="3270">
        <v>0</v>
      </c>
      <c r="U64" s="3418"/>
      <c r="V64" s="3270">
        <v>0</v>
      </c>
      <c r="W64" s="3418"/>
    </row>
    <row r="65" spans="1:23" ht="14.5" x14ac:dyDescent="0.35">
      <c r="A65" s="3265"/>
      <c r="B65" s="3266"/>
      <c r="C65" s="3267"/>
      <c r="D65" s="3267"/>
      <c r="E65" s="3268"/>
      <c r="F65" s="3350" t="s">
        <v>717</v>
      </c>
      <c r="G65" s="2244"/>
      <c r="H65" s="3271"/>
      <c r="I65" s="3419">
        <f>I63*H64</f>
        <v>81245.039999999994</v>
      </c>
      <c r="J65" s="2250"/>
      <c r="K65" s="3419">
        <f>K63*J64</f>
        <v>0</v>
      </c>
      <c r="L65" s="2250"/>
      <c r="M65" s="3419">
        <f>M63*L64</f>
        <v>0</v>
      </c>
      <c r="N65" s="3271"/>
      <c r="O65" s="3419">
        <f>O63*N64</f>
        <v>0</v>
      </c>
      <c r="P65" s="3271"/>
      <c r="Q65" s="3419">
        <f>Q63*P64</f>
        <v>0</v>
      </c>
      <c r="R65" s="3271"/>
      <c r="S65" s="3419">
        <f>S63*R64</f>
        <v>0</v>
      </c>
      <c r="T65" s="3271"/>
      <c r="U65" s="3419">
        <f>U63*T64</f>
        <v>0</v>
      </c>
      <c r="V65" s="3271"/>
      <c r="W65" s="3419">
        <f>W63*V64</f>
        <v>0</v>
      </c>
    </row>
    <row r="66" spans="1:23" ht="14.5" x14ac:dyDescent="0.35">
      <c r="A66" s="3265"/>
      <c r="B66" s="3266"/>
      <c r="C66" s="3267"/>
      <c r="D66" s="3267"/>
      <c r="E66" s="3268"/>
      <c r="F66" s="3350"/>
      <c r="G66" s="2244"/>
      <c r="H66" s="3271"/>
      <c r="I66" s="3273"/>
      <c r="J66" s="2250"/>
      <c r="K66" s="3273"/>
      <c r="L66" s="2250"/>
      <c r="M66" s="3273"/>
      <c r="N66" s="3271"/>
      <c r="O66" s="3273"/>
      <c r="P66" s="3271"/>
      <c r="Q66" s="3273"/>
      <c r="R66" s="3271"/>
      <c r="S66" s="3273"/>
      <c r="T66" s="3271"/>
      <c r="U66" s="3273"/>
      <c r="V66" s="3271"/>
      <c r="W66" s="3273"/>
    </row>
    <row r="67" spans="1:23" ht="14.5" x14ac:dyDescent="0.35">
      <c r="A67" s="3265"/>
      <c r="B67" s="3266"/>
      <c r="C67" s="3267"/>
      <c r="D67" s="3267"/>
      <c r="E67" s="3268"/>
      <c r="F67" s="3350" t="s">
        <v>718</v>
      </c>
      <c r="G67" s="2244"/>
      <c r="H67" s="3274"/>
      <c r="I67" s="3272">
        <f>SUM(I63:I65)</f>
        <v>2789413.04</v>
      </c>
      <c r="J67" s="2254"/>
      <c r="K67" s="3272">
        <f>SUM(K63:K65)</f>
        <v>2807003</v>
      </c>
      <c r="L67" s="2254"/>
      <c r="M67" s="3272">
        <f>SUM(M63:M65)</f>
        <v>3017519</v>
      </c>
      <c r="N67" s="3274"/>
      <c r="O67" s="3272">
        <f>SUM(O63:O65)</f>
        <v>4349879</v>
      </c>
      <c r="P67" s="3274"/>
      <c r="Q67" s="3272">
        <f>SUM(Q63:Q65)</f>
        <v>3967156</v>
      </c>
      <c r="R67" s="3274"/>
      <c r="S67" s="3272">
        <f>SUM(S63:S65)</f>
        <v>3733371</v>
      </c>
      <c r="T67" s="3274"/>
      <c r="U67" s="3272">
        <f>SUM(U63:U65)</f>
        <v>5240655</v>
      </c>
      <c r="V67" s="3274"/>
      <c r="W67" s="3272">
        <f>SUM(W63:W65)</f>
        <v>3835754</v>
      </c>
    </row>
    <row r="68" spans="1:23" ht="14.5" x14ac:dyDescent="0.35">
      <c r="A68" s="3265"/>
      <c r="B68" s="3266"/>
      <c r="C68" s="3267"/>
      <c r="D68" s="3267"/>
      <c r="E68" s="3268"/>
      <c r="F68" s="3351" t="s">
        <v>719</v>
      </c>
      <c r="G68" s="2256"/>
      <c r="H68" s="3276"/>
      <c r="I68" s="3277" t="e">
        <f>I67/#REF!</f>
        <v>#REF!</v>
      </c>
      <c r="J68" s="2259"/>
      <c r="K68" s="3277" t="e">
        <f>K67/#REF!</f>
        <v>#REF!</v>
      </c>
      <c r="L68" s="2259"/>
      <c r="M68" s="3277" t="e">
        <f>M67/#REF!</f>
        <v>#REF!</v>
      </c>
      <c r="N68" s="3276"/>
      <c r="O68" s="3277" t="e">
        <f>O67/#REF!</f>
        <v>#REF!</v>
      </c>
      <c r="P68" s="3276"/>
      <c r="Q68" s="3277" t="e">
        <f>Q67/#REF!</f>
        <v>#REF!</v>
      </c>
      <c r="R68" s="3276"/>
      <c r="S68" s="3277" t="e">
        <f>S67/#REF!</f>
        <v>#REF!</v>
      </c>
      <c r="T68" s="3276"/>
      <c r="U68" s="3277" t="e">
        <f>U67/#REF!</f>
        <v>#REF!</v>
      </c>
      <c r="V68" s="3276"/>
      <c r="W68" s="3277" t="e">
        <f>W67/#REF!</f>
        <v>#REF!</v>
      </c>
    </row>
    <row r="69" spans="1:23" ht="14.5" x14ac:dyDescent="0.35">
      <c r="A69" s="3265"/>
      <c r="B69" s="3266"/>
      <c r="C69" s="3267"/>
      <c r="D69" s="3267"/>
      <c r="E69" s="3268"/>
      <c r="F69" s="3351" t="s">
        <v>720</v>
      </c>
      <c r="G69" s="2260"/>
      <c r="H69" s="3276"/>
      <c r="I69" s="3277" t="e">
        <f>I67/#REF!</f>
        <v>#REF!</v>
      </c>
      <c r="J69" s="2259"/>
      <c r="K69" s="3277" t="e">
        <f>K67/#REF!</f>
        <v>#REF!</v>
      </c>
      <c r="L69" s="2259"/>
      <c r="M69" s="3277" t="e">
        <f>M67/#REF!</f>
        <v>#REF!</v>
      </c>
      <c r="N69" s="3276"/>
      <c r="O69" s="3277" t="e">
        <f>O67/#REF!</f>
        <v>#REF!</v>
      </c>
      <c r="P69" s="3276"/>
      <c r="Q69" s="3277" t="e">
        <f>Q67/#REF!</f>
        <v>#REF!</v>
      </c>
      <c r="R69" s="3276"/>
      <c r="S69" s="3277" t="e">
        <f>S67/#REF!</f>
        <v>#REF!</v>
      </c>
      <c r="T69" s="3276"/>
      <c r="U69" s="3277" t="e">
        <f>U67/#REF!</f>
        <v>#REF!</v>
      </c>
      <c r="V69" s="3276"/>
      <c r="W69" s="3277" t="e">
        <f>W67/#REF!</f>
        <v>#REF!</v>
      </c>
    </row>
    <row r="70" spans="1:23" ht="14.5" x14ac:dyDescent="0.35">
      <c r="A70" s="3265"/>
      <c r="B70" s="3266"/>
      <c r="C70" s="3267"/>
      <c r="D70" s="3267"/>
      <c r="E70" s="3268"/>
      <c r="F70" s="3350"/>
      <c r="G70" s="2244"/>
      <c r="H70" s="3420"/>
      <c r="I70" s="3420"/>
      <c r="J70" s="3181"/>
      <c r="K70" s="3420"/>
      <c r="L70" s="3181"/>
      <c r="M70" s="3420"/>
      <c r="N70" s="3420"/>
      <c r="O70" s="3420"/>
      <c r="P70" s="3420"/>
      <c r="Q70" s="3420"/>
      <c r="R70" s="3420"/>
      <c r="S70" s="3421"/>
      <c r="T70" s="3420"/>
      <c r="U70" s="3420"/>
      <c r="V70" s="3420"/>
      <c r="W70" s="3420"/>
    </row>
    <row r="71" spans="1:23" ht="14.5" x14ac:dyDescent="0.35">
      <c r="A71" s="3764" t="s">
        <v>721</v>
      </c>
      <c r="B71" s="3765"/>
      <c r="C71" s="12"/>
      <c r="D71" s="12"/>
      <c r="E71" s="12"/>
      <c r="F71" s="12"/>
      <c r="G71" s="13"/>
      <c r="H71" s="21"/>
      <c r="I71" s="21"/>
      <c r="J71" s="42"/>
      <c r="K71" s="21"/>
      <c r="L71" s="42"/>
      <c r="M71" s="21"/>
      <c r="N71" s="21"/>
      <c r="O71" s="21"/>
      <c r="P71" s="21"/>
      <c r="Q71" s="21"/>
      <c r="R71" s="21"/>
      <c r="S71" s="21"/>
      <c r="T71" s="21"/>
      <c r="U71" s="21"/>
      <c r="V71" s="21"/>
      <c r="W71" s="21"/>
    </row>
    <row r="72" spans="1:23" ht="14.5" x14ac:dyDescent="0.35">
      <c r="A72" s="3422"/>
      <c r="B72" s="3306"/>
      <c r="C72" s="3423"/>
      <c r="D72" s="3423"/>
      <c r="E72" s="3423"/>
      <c r="F72" s="3423"/>
      <c r="G72" s="3424"/>
      <c r="H72" s="3425"/>
      <c r="I72" s="3425"/>
      <c r="J72" s="3426"/>
      <c r="K72" s="3425"/>
      <c r="L72" s="3426"/>
      <c r="M72" s="3425"/>
      <c r="N72" s="3425"/>
      <c r="O72" s="3425"/>
      <c r="P72" s="3425"/>
      <c r="Q72" s="3425"/>
      <c r="R72" s="3425"/>
      <c r="S72" s="3425"/>
      <c r="T72" s="3425"/>
      <c r="U72" s="3425"/>
      <c r="V72" s="3425"/>
      <c r="W72" s="3425"/>
    </row>
    <row r="73" spans="1:23" s="2" customFormat="1" ht="14.5" x14ac:dyDescent="0.35">
      <c r="A73" s="3422"/>
      <c r="B73" s="3306"/>
      <c r="C73" s="3423"/>
      <c r="D73" s="3423"/>
      <c r="E73" s="3423"/>
      <c r="F73" s="3423"/>
      <c r="G73" s="3424"/>
      <c r="H73" s="3425"/>
      <c r="I73" s="3425"/>
      <c r="J73" s="3426"/>
      <c r="K73" s="3425"/>
      <c r="L73" s="3426"/>
      <c r="M73" s="3425"/>
      <c r="N73" s="3425"/>
      <c r="O73" s="3425"/>
      <c r="P73" s="3425"/>
      <c r="Q73" s="3425"/>
      <c r="R73" s="3425"/>
      <c r="S73" s="3425"/>
      <c r="T73" s="3425"/>
      <c r="U73" s="3425"/>
      <c r="V73" s="3425"/>
      <c r="W73" s="3425"/>
    </row>
    <row r="74" spans="1:23" s="2" customFormat="1" ht="14.5" x14ac:dyDescent="0.35">
      <c r="A74" s="3422"/>
      <c r="B74" s="3306"/>
      <c r="C74" s="3423"/>
      <c r="D74" s="3423"/>
      <c r="E74" s="3423"/>
      <c r="F74" s="3423"/>
      <c r="G74" s="3424"/>
      <c r="H74" s="3425"/>
      <c r="I74" s="3425"/>
      <c r="J74" s="3426"/>
      <c r="K74" s="3425"/>
      <c r="L74" s="3426"/>
      <c r="M74" s="3425"/>
      <c r="N74" s="3425"/>
      <c r="O74" s="3425"/>
      <c r="P74" s="3425"/>
      <c r="Q74" s="3425"/>
      <c r="R74" s="3425"/>
      <c r="S74" s="3425"/>
      <c r="T74" s="3425"/>
      <c r="U74" s="3425"/>
      <c r="V74" s="3425"/>
      <c r="W74" s="3425"/>
    </row>
    <row r="75" spans="1:23" s="2" customFormat="1" ht="14.5" x14ac:dyDescent="0.35">
      <c r="A75" s="3764" t="s">
        <v>722</v>
      </c>
      <c r="B75" s="3765"/>
      <c r="C75" s="12"/>
      <c r="D75" s="12"/>
      <c r="E75" s="12"/>
      <c r="F75" s="12"/>
      <c r="G75" s="13"/>
      <c r="H75" s="21"/>
      <c r="I75" s="21"/>
      <c r="J75" s="42"/>
      <c r="K75" s="21"/>
      <c r="L75" s="42"/>
      <c r="M75" s="21"/>
      <c r="N75" s="21"/>
      <c r="O75" s="21"/>
      <c r="P75" s="21"/>
      <c r="Q75" s="21"/>
      <c r="R75" s="21"/>
      <c r="S75" s="21"/>
      <c r="T75" s="21"/>
      <c r="U75" s="21"/>
      <c r="V75" s="21"/>
      <c r="W75" s="21"/>
    </row>
    <row r="76" spans="1:23" s="2" customFormat="1" ht="14.5" x14ac:dyDescent="0.35">
      <c r="A76" s="3422"/>
      <c r="B76" s="3306"/>
      <c r="C76" s="3423"/>
      <c r="D76" s="3423"/>
      <c r="E76" s="3423"/>
      <c r="F76" s="3423"/>
      <c r="G76" s="3424"/>
      <c r="H76" s="3425"/>
      <c r="I76" s="3425"/>
      <c r="J76" s="3426"/>
      <c r="K76" s="3425"/>
      <c r="L76" s="3426"/>
      <c r="M76" s="3425"/>
      <c r="N76" s="3425"/>
      <c r="O76" s="3425"/>
      <c r="P76" s="3425"/>
      <c r="Q76" s="3425"/>
      <c r="R76" s="3425"/>
      <c r="S76" s="3425"/>
      <c r="T76" s="3425"/>
      <c r="U76" s="3425"/>
      <c r="V76" s="3425"/>
      <c r="W76" s="3425"/>
    </row>
    <row r="77" spans="1:23" s="2" customFormat="1" ht="14.5" x14ac:dyDescent="0.35">
      <c r="A77" s="3422"/>
      <c r="B77" s="3306"/>
      <c r="C77" s="3423"/>
      <c r="D77" s="3423"/>
      <c r="E77" s="3423"/>
      <c r="F77" s="3423"/>
      <c r="G77" s="3424"/>
      <c r="H77" s="3425"/>
      <c r="I77" s="3425"/>
      <c r="J77" s="3426"/>
      <c r="K77" s="3425"/>
      <c r="L77" s="3426"/>
      <c r="M77" s="3425"/>
      <c r="N77" s="3425"/>
      <c r="O77" s="3425"/>
      <c r="P77" s="3425"/>
      <c r="Q77" s="3425"/>
      <c r="R77" s="3425"/>
      <c r="S77" s="3425"/>
      <c r="T77" s="3425"/>
      <c r="U77" s="3425"/>
      <c r="V77" s="3425"/>
      <c r="W77" s="3425"/>
    </row>
    <row r="78" spans="1:23" s="2" customFormat="1" ht="14.5" x14ac:dyDescent="0.35">
      <c r="A78" s="3422"/>
      <c r="B78" s="3306"/>
      <c r="C78" s="3423"/>
      <c r="D78" s="3423"/>
      <c r="E78" s="3423"/>
      <c r="F78" s="3423"/>
      <c r="G78" s="3424"/>
      <c r="H78" s="3425"/>
      <c r="I78" s="3425"/>
      <c r="J78" s="3426"/>
      <c r="K78" s="3425"/>
      <c r="L78" s="3426"/>
      <c r="M78" s="3425"/>
      <c r="N78" s="3425"/>
      <c r="O78" s="3425"/>
      <c r="P78" s="3425"/>
      <c r="Q78" s="3425"/>
      <c r="R78" s="3425"/>
      <c r="S78" s="3425"/>
      <c r="T78" s="3425"/>
      <c r="U78" s="3425"/>
      <c r="V78" s="3425"/>
      <c r="W78" s="3425"/>
    </row>
    <row r="79" spans="1:23" s="2" customFormat="1" ht="14.5" x14ac:dyDescent="0.35">
      <c r="A79" s="3764" t="s">
        <v>723</v>
      </c>
      <c r="B79" s="3765"/>
      <c r="C79" s="12"/>
      <c r="D79" s="12"/>
      <c r="E79" s="12"/>
      <c r="F79" s="12"/>
      <c r="G79" s="13"/>
      <c r="H79" s="21"/>
      <c r="I79" s="21"/>
      <c r="J79" s="42"/>
      <c r="K79" s="21"/>
      <c r="L79" s="42"/>
      <c r="M79" s="21"/>
      <c r="N79" s="21"/>
      <c r="O79" s="21"/>
      <c r="P79" s="21"/>
      <c r="Q79" s="21"/>
      <c r="R79" s="21"/>
      <c r="S79" s="21"/>
      <c r="T79" s="21"/>
      <c r="U79" s="21"/>
      <c r="V79" s="21"/>
      <c r="W79" s="21"/>
    </row>
    <row r="80" spans="1:23" ht="31" x14ac:dyDescent="0.35">
      <c r="A80" s="3422"/>
      <c r="B80" s="3400" t="s">
        <v>4051</v>
      </c>
      <c r="C80" s="3423"/>
      <c r="D80" s="3423"/>
      <c r="E80" s="3423"/>
      <c r="F80" s="3423"/>
      <c r="G80" s="3424"/>
      <c r="H80" s="3425"/>
      <c r="I80" s="3425"/>
      <c r="J80" s="3426"/>
      <c r="K80" s="3425">
        <f>969000+342000+33250+61750+19000+4750</f>
        <v>1429750</v>
      </c>
      <c r="L80" s="3426"/>
      <c r="M80" s="3425">
        <f>969000+342000+33250+61750+19000+4750</f>
        <v>1429750</v>
      </c>
      <c r="N80" s="3425"/>
      <c r="O80" s="3425"/>
      <c r="P80" s="3425"/>
      <c r="Q80" s="3425"/>
      <c r="R80" s="3425"/>
      <c r="S80" s="3425"/>
      <c r="T80" s="3425"/>
      <c r="U80" s="3425"/>
      <c r="V80" s="3425"/>
      <c r="W80" s="3425"/>
    </row>
    <row r="81" spans="1:23" s="2" customFormat="1" ht="14.5" x14ac:dyDescent="0.35">
      <c r="A81" s="3310"/>
      <c r="B81" s="3306"/>
      <c r="C81" s="3307"/>
      <c r="D81" s="3307"/>
      <c r="E81" s="3307"/>
      <c r="F81" s="3307"/>
      <c r="G81" s="2198"/>
      <c r="H81" s="3284"/>
      <c r="I81" s="3284"/>
      <c r="J81" s="2268"/>
      <c r="K81" s="3284"/>
      <c r="L81" s="2268"/>
      <c r="M81" s="3284"/>
      <c r="N81" s="3284"/>
      <c r="O81" s="3284"/>
      <c r="P81" s="3284"/>
      <c r="Q81" s="3284"/>
      <c r="R81" s="3284"/>
      <c r="S81" s="3284"/>
      <c r="T81" s="3284"/>
      <c r="U81" s="3284"/>
      <c r="V81" s="3284"/>
      <c r="W81" s="3284"/>
    </row>
    <row r="82" spans="1:23" s="2" customFormat="1" ht="14.5" x14ac:dyDescent="0.35">
      <c r="A82" s="3285"/>
      <c r="B82" s="3286"/>
      <c r="C82" s="3307"/>
      <c r="D82" s="3307"/>
      <c r="E82" s="3307"/>
      <c r="F82" s="3307"/>
      <c r="G82" s="2198"/>
      <c r="H82" s="3287"/>
      <c r="I82" s="3287"/>
      <c r="J82" s="2272"/>
      <c r="K82" s="3287"/>
      <c r="L82" s="2272"/>
      <c r="M82" s="3287"/>
      <c r="N82" s="3287"/>
      <c r="O82" s="3287"/>
      <c r="P82" s="3287"/>
      <c r="Q82" s="3287"/>
      <c r="R82" s="3287"/>
      <c r="S82" s="3287"/>
      <c r="T82" s="3287"/>
      <c r="U82" s="3287"/>
      <c r="V82" s="3287"/>
      <c r="W82" s="3287"/>
    </row>
    <row r="83" spans="1:23" s="2" customFormat="1" ht="14.5" x14ac:dyDescent="0.35">
      <c r="A83" s="3764" t="s">
        <v>724</v>
      </c>
      <c r="B83" s="3765"/>
      <c r="C83" s="12"/>
      <c r="D83" s="12"/>
      <c r="E83" s="12"/>
      <c r="F83" s="12"/>
      <c r="G83" s="13"/>
      <c r="H83" s="21"/>
      <c r="I83" s="21"/>
      <c r="J83" s="42"/>
      <c r="K83" s="21"/>
      <c r="L83" s="42"/>
      <c r="M83" s="21"/>
      <c r="N83" s="21"/>
      <c r="O83" s="21"/>
      <c r="P83" s="21"/>
      <c r="Q83" s="21"/>
      <c r="R83" s="21"/>
      <c r="S83" s="21"/>
      <c r="T83" s="21"/>
      <c r="U83" s="21"/>
      <c r="V83" s="21"/>
      <c r="W83" s="21"/>
    </row>
    <row r="84" spans="1:23" ht="14.5" x14ac:dyDescent="0.35">
      <c r="A84" s="3427"/>
      <c r="B84" s="3428"/>
      <c r="C84" s="3423"/>
      <c r="D84" s="3423"/>
      <c r="E84" s="3423"/>
      <c r="F84" s="3423"/>
      <c r="G84" s="3424"/>
      <c r="H84" s="3425"/>
      <c r="I84" s="3425"/>
      <c r="J84" s="3426"/>
      <c r="K84" s="3425"/>
      <c r="L84" s="3426"/>
      <c r="M84" s="3425"/>
      <c r="N84" s="3425"/>
      <c r="O84" s="3425"/>
      <c r="P84" s="3425"/>
      <c r="Q84" s="3425"/>
      <c r="R84" s="3425"/>
      <c r="S84" s="3425"/>
      <c r="T84" s="3425"/>
      <c r="U84" s="3425"/>
      <c r="V84" s="3425"/>
      <c r="W84" s="3425"/>
    </row>
    <row r="85" spans="1:23" ht="14.5" x14ac:dyDescent="0.35">
      <c r="A85" s="3285"/>
      <c r="B85" s="3286"/>
      <c r="C85" s="3307"/>
      <c r="D85" s="3307"/>
      <c r="E85" s="3307"/>
      <c r="F85" s="3307"/>
      <c r="G85" s="2198"/>
      <c r="H85" s="3289"/>
      <c r="I85" s="3289"/>
      <c r="J85" s="2274"/>
      <c r="K85" s="3289"/>
      <c r="L85" s="2274"/>
      <c r="M85" s="3289"/>
      <c r="N85" s="3289"/>
      <c r="O85" s="3289"/>
      <c r="P85" s="3289"/>
      <c r="Q85" s="3289"/>
      <c r="R85" s="3289"/>
      <c r="S85" s="3289"/>
      <c r="T85" s="3289"/>
      <c r="U85" s="3289"/>
      <c r="V85" s="3289"/>
      <c r="W85" s="3289"/>
    </row>
    <row r="86" spans="1:23" ht="14.5" x14ac:dyDescent="0.35">
      <c r="A86" s="3285"/>
      <c r="B86" s="3286"/>
      <c r="C86" s="3307"/>
      <c r="D86" s="3307"/>
      <c r="E86" s="3307"/>
      <c r="F86" s="3307"/>
      <c r="G86" s="2198"/>
      <c r="H86" s="3289"/>
      <c r="I86" s="3289"/>
      <c r="J86" s="2274"/>
      <c r="K86" s="3289"/>
      <c r="L86" s="2274"/>
      <c r="M86" s="3289"/>
      <c r="N86" s="3289"/>
      <c r="O86" s="3289"/>
      <c r="P86" s="3289"/>
      <c r="Q86" s="3289"/>
      <c r="R86" s="3289"/>
      <c r="S86" s="3289"/>
      <c r="T86" s="3289"/>
      <c r="U86" s="3289"/>
      <c r="V86" s="3289"/>
      <c r="W86" s="3289"/>
    </row>
    <row r="87" spans="1:23" ht="14.5" x14ac:dyDescent="0.35">
      <c r="A87" s="3764" t="s">
        <v>725</v>
      </c>
      <c r="B87" s="3765"/>
      <c r="C87" s="12"/>
      <c r="D87" s="12"/>
      <c r="E87" s="12"/>
      <c r="F87" s="12"/>
      <c r="G87" s="13"/>
      <c r="H87" s="21"/>
      <c r="I87" s="21"/>
      <c r="J87" s="42"/>
      <c r="K87" s="21"/>
      <c r="L87" s="42"/>
      <c r="M87" s="21"/>
      <c r="N87" s="21"/>
      <c r="O87" s="21"/>
      <c r="P87" s="21"/>
      <c r="Q87" s="21"/>
      <c r="R87" s="21"/>
      <c r="S87" s="21"/>
      <c r="T87" s="21"/>
      <c r="U87" s="21"/>
      <c r="V87" s="21"/>
      <c r="W87" s="21"/>
    </row>
    <row r="88" spans="1:23" ht="14.5" x14ac:dyDescent="0.35">
      <c r="A88" s="3310"/>
      <c r="B88" s="3306" t="s">
        <v>726</v>
      </c>
      <c r="C88" s="3307"/>
      <c r="D88" s="3307"/>
      <c r="E88" s="3307"/>
      <c r="F88" s="3307"/>
      <c r="G88" s="2198"/>
      <c r="H88" s="3289"/>
      <c r="I88" s="3289"/>
      <c r="J88" s="2274"/>
      <c r="K88" s="3289"/>
      <c r="L88" s="2274"/>
      <c r="M88" s="3289"/>
      <c r="N88" s="3289"/>
      <c r="O88" s="3289"/>
      <c r="P88" s="3289"/>
      <c r="Q88" s="3289"/>
      <c r="R88" s="3289"/>
      <c r="S88" s="3289"/>
      <c r="T88" s="3289"/>
      <c r="U88" s="3289"/>
      <c r="V88" s="3289"/>
      <c r="W88" s="3289"/>
    </row>
    <row r="89" spans="1:23" ht="14.5" x14ac:dyDescent="0.35">
      <c r="A89" s="3310"/>
      <c r="B89" s="3306" t="s">
        <v>727</v>
      </c>
      <c r="C89" s="3307"/>
      <c r="D89" s="3307"/>
      <c r="E89" s="3307"/>
      <c r="F89" s="3307"/>
      <c r="G89" s="2198"/>
      <c r="H89" s="3289"/>
      <c r="I89" s="3289"/>
      <c r="J89" s="2274"/>
      <c r="K89" s="3289"/>
      <c r="L89" s="2274"/>
      <c r="M89" s="3289"/>
      <c r="N89" s="3289"/>
      <c r="O89" s="3289"/>
      <c r="P89" s="3289"/>
      <c r="Q89" s="3289"/>
      <c r="R89" s="3289"/>
      <c r="S89" s="3289"/>
      <c r="T89" s="3289"/>
      <c r="U89" s="3289"/>
      <c r="V89" s="3289"/>
      <c r="W89" s="3289"/>
    </row>
    <row r="90" spans="1:23" ht="14.5" x14ac:dyDescent="0.35">
      <c r="A90" s="3310"/>
      <c r="B90" s="3306" t="s">
        <v>728</v>
      </c>
      <c r="C90" s="3307"/>
      <c r="D90" s="3307"/>
      <c r="E90" s="3307"/>
      <c r="F90" s="3307"/>
      <c r="G90" s="2198"/>
      <c r="H90" s="3289"/>
      <c r="I90" s="3289"/>
      <c r="J90" s="2274"/>
      <c r="K90" s="3289"/>
      <c r="L90" s="2274"/>
      <c r="M90" s="3289"/>
      <c r="N90" s="3289"/>
      <c r="O90" s="3289"/>
      <c r="P90" s="3289"/>
      <c r="Q90" s="3289"/>
      <c r="R90" s="3289"/>
      <c r="S90" s="3289"/>
      <c r="T90" s="3289"/>
      <c r="U90" s="3289"/>
      <c r="V90" s="3289"/>
      <c r="W90" s="3289"/>
    </row>
    <row r="91" spans="1:23" ht="14.5" x14ac:dyDescent="0.35">
      <c r="A91" s="3310"/>
      <c r="B91" s="3306" t="s">
        <v>729</v>
      </c>
      <c r="C91" s="3307"/>
      <c r="D91" s="3307"/>
      <c r="E91" s="3307"/>
      <c r="F91" s="3307"/>
      <c r="G91" s="2198"/>
      <c r="H91" s="3289"/>
      <c r="I91" s="3289"/>
      <c r="J91" s="2274"/>
      <c r="K91" s="3289"/>
      <c r="L91" s="2274"/>
      <c r="M91" s="3289"/>
      <c r="N91" s="3289"/>
      <c r="O91" s="3289"/>
      <c r="P91" s="3289"/>
      <c r="Q91" s="3289"/>
      <c r="R91" s="3289"/>
      <c r="S91" s="3289"/>
      <c r="T91" s="3289"/>
      <c r="U91" s="3289"/>
      <c r="V91" s="3289"/>
      <c r="W91" s="3289"/>
    </row>
    <row r="92" spans="1:23" ht="14.5" x14ac:dyDescent="0.35">
      <c r="A92" s="978"/>
      <c r="B92" s="939"/>
      <c r="C92" s="940"/>
      <c r="D92" s="940"/>
      <c r="E92" s="940"/>
      <c r="F92" s="940"/>
      <c r="G92" s="1039"/>
      <c r="H92" s="981"/>
      <c r="I92" s="981"/>
      <c r="J92" s="980"/>
      <c r="K92" s="981"/>
      <c r="L92" s="980"/>
      <c r="M92" s="981"/>
      <c r="N92" s="981"/>
      <c r="O92" s="981"/>
      <c r="P92" s="981"/>
      <c r="Q92" s="981"/>
      <c r="R92" s="981"/>
      <c r="S92" s="981"/>
      <c r="T92" s="981"/>
      <c r="U92" s="981"/>
      <c r="V92" s="981"/>
      <c r="W92" s="981"/>
    </row>
    <row r="93" spans="1:23" ht="14.5" x14ac:dyDescent="0.35">
      <c r="A93" s="7" t="s">
        <v>730</v>
      </c>
      <c r="B93" s="8"/>
      <c r="C93" s="12"/>
      <c r="D93" s="12"/>
      <c r="E93" s="12"/>
      <c r="F93" s="12"/>
      <c r="G93" s="13"/>
      <c r="H93" s="21"/>
      <c r="I93" s="21"/>
      <c r="J93" s="42"/>
      <c r="K93" s="21"/>
      <c r="L93" s="42"/>
      <c r="M93" s="21"/>
      <c r="N93" s="21"/>
      <c r="O93" s="21"/>
      <c r="P93" s="21"/>
      <c r="Q93" s="21"/>
      <c r="R93" s="21"/>
      <c r="S93" s="21"/>
      <c r="T93" s="21"/>
      <c r="U93" s="21"/>
      <c r="V93" s="21"/>
      <c r="W93" s="21"/>
    </row>
    <row r="94" spans="1:23" ht="14.5" x14ac:dyDescent="0.35">
      <c r="A94" s="3422"/>
      <c r="B94" s="3429" t="s">
        <v>731</v>
      </c>
      <c r="C94" s="3423"/>
      <c r="D94" s="3423"/>
      <c r="E94" s="3423"/>
      <c r="F94" s="3423"/>
      <c r="G94" s="3424"/>
      <c r="H94" s="3410"/>
      <c r="I94" s="3410"/>
      <c r="J94" s="3401"/>
      <c r="K94" s="3410"/>
      <c r="L94" s="3401"/>
      <c r="M94" s="3410"/>
      <c r="N94" s="3410"/>
      <c r="O94" s="3410"/>
      <c r="P94" s="3410"/>
      <c r="Q94" s="3410"/>
      <c r="R94" s="3410"/>
      <c r="S94" s="3410"/>
      <c r="T94" s="3410"/>
      <c r="U94" s="3410"/>
      <c r="V94" s="3410"/>
      <c r="W94" s="3410"/>
    </row>
    <row r="95" spans="1:23" ht="14.5" x14ac:dyDescent="0.35">
      <c r="A95" s="3310"/>
      <c r="B95" s="3306" t="s">
        <v>732</v>
      </c>
      <c r="C95" s="3307"/>
      <c r="D95" s="3307"/>
      <c r="E95" s="3307"/>
      <c r="F95" s="3307"/>
      <c r="G95" s="2198"/>
      <c r="H95" s="3290"/>
      <c r="I95" s="3290"/>
      <c r="J95" s="2276"/>
      <c r="K95" s="3290"/>
      <c r="L95" s="2276"/>
      <c r="M95" s="3290"/>
      <c r="N95" s="3290"/>
      <c r="O95" s="3290"/>
      <c r="P95" s="3290"/>
      <c r="Q95" s="3290"/>
      <c r="R95" s="3290"/>
      <c r="S95" s="3290"/>
      <c r="T95" s="3290"/>
      <c r="U95" s="3290"/>
      <c r="V95" s="3290"/>
      <c r="W95" s="3290"/>
    </row>
    <row r="96" spans="1:23" ht="14.5" x14ac:dyDescent="0.35">
      <c r="A96" s="3291"/>
      <c r="B96" s="3292" t="s">
        <v>733</v>
      </c>
      <c r="C96" s="3293"/>
      <c r="D96" s="3293"/>
      <c r="E96" s="3293"/>
      <c r="F96" s="3293"/>
      <c r="G96" s="3360"/>
      <c r="H96" s="3297"/>
      <c r="I96" s="3297"/>
      <c r="J96" s="3296"/>
      <c r="K96" s="3297"/>
      <c r="L96" s="3296"/>
      <c r="M96" s="3297"/>
      <c r="N96" s="3297"/>
      <c r="O96" s="3297"/>
      <c r="P96" s="3297"/>
      <c r="Q96" s="3297"/>
      <c r="R96" s="3297"/>
      <c r="S96" s="3297"/>
      <c r="T96" s="3297"/>
      <c r="U96" s="3297"/>
      <c r="V96" s="3297"/>
      <c r="W96" s="3297"/>
    </row>
    <row r="97" spans="1:19" ht="14.5" x14ac:dyDescent="0.35">
      <c r="S97" s="2"/>
    </row>
    <row r="98" spans="1:19" ht="14.5" x14ac:dyDescent="0.35">
      <c r="A98" s="78" t="s">
        <v>734</v>
      </c>
      <c r="B98" s="80"/>
      <c r="S98" s="2"/>
    </row>
    <row r="99" spans="1:19" ht="14.5" x14ac:dyDescent="0.35">
      <c r="A99" s="79" t="s">
        <v>632</v>
      </c>
      <c r="B99" s="3298" t="str">
        <f>H4</f>
        <v>General Landscaping</v>
      </c>
      <c r="S99" s="2"/>
    </row>
    <row r="100" spans="1:19" ht="14.5" x14ac:dyDescent="0.35">
      <c r="A100" s="3299" t="s">
        <v>636</v>
      </c>
      <c r="B100" s="3298" t="str">
        <f>H5</f>
        <v>Hernan Guerrero 1002</v>
      </c>
      <c r="S100" s="2"/>
    </row>
    <row r="101" spans="1:19" ht="14.5" x14ac:dyDescent="0.35">
      <c r="A101" s="3301" t="s">
        <v>639</v>
      </c>
      <c r="B101" s="3300">
        <f>H6</f>
        <v>5616173300</v>
      </c>
      <c r="S101" s="2"/>
    </row>
    <row r="102" spans="1:19" ht="14.5" x14ac:dyDescent="0.35">
      <c r="A102" s="3301" t="s">
        <v>642</v>
      </c>
      <c r="B102" s="3302" t="str">
        <f>H7</f>
        <v>estimating@glsplants.com</v>
      </c>
      <c r="S102" s="2"/>
    </row>
    <row r="103" spans="1:19" ht="14.5" x14ac:dyDescent="0.35">
      <c r="A103" s="3303" t="s">
        <v>735</v>
      </c>
      <c r="B103" s="3304">
        <f>H8</f>
        <v>2789413.04</v>
      </c>
      <c r="S103" s="2"/>
    </row>
    <row r="104" spans="1:19" ht="14.5" x14ac:dyDescent="0.35">
      <c r="S104" s="2"/>
    </row>
    <row r="105" spans="1:19" ht="14.5" x14ac:dyDescent="0.35">
      <c r="A105" s="81"/>
      <c r="B105" s="1" t="s">
        <v>736</v>
      </c>
      <c r="S105" s="2"/>
    </row>
    <row r="106" spans="1:19" ht="14.5" x14ac:dyDescent="0.35">
      <c r="A106" s="82"/>
      <c r="B106" s="1" t="s">
        <v>737</v>
      </c>
      <c r="S106" s="2"/>
    </row>
  </sheetData>
  <mergeCells count="61">
    <mergeCell ref="A71:B71"/>
    <mergeCell ref="A75:B75"/>
    <mergeCell ref="A79:B79"/>
    <mergeCell ref="A83:B83"/>
    <mergeCell ref="A87:B87"/>
    <mergeCell ref="H6:I6"/>
    <mergeCell ref="N6:O6"/>
    <mergeCell ref="N7:O7"/>
    <mergeCell ref="N8:O8"/>
    <mergeCell ref="T6:U6"/>
    <mergeCell ref="T7:U7"/>
    <mergeCell ref="T8:U8"/>
    <mergeCell ref="H7:I7"/>
    <mergeCell ref="H8:I8"/>
    <mergeCell ref="R8:S8"/>
    <mergeCell ref="L8:M8"/>
    <mergeCell ref="R6:S6"/>
    <mergeCell ref="L6:M6"/>
    <mergeCell ref="R7:S7"/>
    <mergeCell ref="L7:M7"/>
    <mergeCell ref="P7:Q7"/>
    <mergeCell ref="H4:I4"/>
    <mergeCell ref="H5:I5"/>
    <mergeCell ref="N2:O2"/>
    <mergeCell ref="N3:O3"/>
    <mergeCell ref="T2:U2"/>
    <mergeCell ref="T3:U3"/>
    <mergeCell ref="R4:S4"/>
    <mergeCell ref="L4:M4"/>
    <mergeCell ref="H2:I2"/>
    <mergeCell ref="H3:I3"/>
    <mergeCell ref="R2:S2"/>
    <mergeCell ref="L2:M2"/>
    <mergeCell ref="R3:S3"/>
    <mergeCell ref="L3:M3"/>
    <mergeCell ref="R5:S5"/>
    <mergeCell ref="L5:M5"/>
    <mergeCell ref="N4:O4"/>
    <mergeCell ref="N5:O5"/>
    <mergeCell ref="T4:U4"/>
    <mergeCell ref="T5:U5"/>
    <mergeCell ref="V6:W6"/>
    <mergeCell ref="V7:W7"/>
    <mergeCell ref="V8:W8"/>
    <mergeCell ref="V2:W2"/>
    <mergeCell ref="V3:W3"/>
    <mergeCell ref="V5:W5"/>
    <mergeCell ref="V4:W4"/>
    <mergeCell ref="P8:Q8"/>
    <mergeCell ref="P2:Q2"/>
    <mergeCell ref="P3:Q3"/>
    <mergeCell ref="P4:Q4"/>
    <mergeCell ref="P5:Q5"/>
    <mergeCell ref="P6:Q6"/>
    <mergeCell ref="J7:K7"/>
    <mergeCell ref="J8:K8"/>
    <mergeCell ref="J2:K2"/>
    <mergeCell ref="J3:K3"/>
    <mergeCell ref="J4:K4"/>
    <mergeCell ref="J5:K5"/>
    <mergeCell ref="J6:K6"/>
  </mergeCells>
  <phoneticPr fontId="34" type="noConversion"/>
  <conditionalFormatting sqref="H20:H33">
    <cfRule type="cellIs" dxfId="99" priority="29" operator="equal">
      <formula>"X"</formula>
    </cfRule>
    <cfRule type="cellIs" dxfId="98" priority="30" operator="equal">
      <formula>"I"</formula>
    </cfRule>
  </conditionalFormatting>
  <conditionalFormatting sqref="J21:J33">
    <cfRule type="cellIs" dxfId="97" priority="1" operator="equal">
      <formula>"X"</formula>
    </cfRule>
    <cfRule type="cellIs" dxfId="96" priority="2" operator="equal">
      <formula>"I"</formula>
    </cfRule>
  </conditionalFormatting>
  <conditionalFormatting sqref="J35:J57">
    <cfRule type="cellIs" dxfId="95" priority="3" operator="equal">
      <formula>"X"</formula>
    </cfRule>
    <cfRule type="cellIs" dxfId="94" priority="4" operator="equal">
      <formula>"I"</formula>
    </cfRule>
  </conditionalFormatting>
  <conditionalFormatting sqref="L21:L33">
    <cfRule type="cellIs" dxfId="93" priority="13" operator="equal">
      <formula>"X"</formula>
    </cfRule>
    <cfRule type="cellIs" dxfId="92" priority="14" operator="equal">
      <formula>"I"</formula>
    </cfRule>
  </conditionalFormatting>
  <conditionalFormatting sqref="N20:N33">
    <cfRule type="cellIs" dxfId="91" priority="25" operator="equal">
      <formula>"X"</formula>
    </cfRule>
    <cfRule type="cellIs" dxfId="90" priority="26" operator="equal">
      <formula>"I"</formula>
    </cfRule>
  </conditionalFormatting>
  <conditionalFormatting sqref="P20:P33">
    <cfRule type="cellIs" dxfId="89" priority="5" operator="equal">
      <formula>"X"</formula>
    </cfRule>
    <cfRule type="cellIs" dxfId="88" priority="6" operator="equal">
      <formula>"I"</formula>
    </cfRule>
  </conditionalFormatting>
  <conditionalFormatting sqref="P35:P57">
    <cfRule type="cellIs" dxfId="87" priority="7" operator="equal">
      <formula>"X"</formula>
    </cfRule>
    <cfRule type="cellIs" dxfId="86" priority="8" operator="equal">
      <formula>"I"</formula>
    </cfRule>
  </conditionalFormatting>
  <conditionalFormatting sqref="R21:R33">
    <cfRule type="cellIs" dxfId="85" priority="9" operator="equal">
      <formula>"X"</formula>
    </cfRule>
    <cfRule type="cellIs" dxfId="84" priority="10" operator="equal">
      <formula>"I"</formula>
    </cfRule>
  </conditionalFormatting>
  <conditionalFormatting sqref="T20:T33">
    <cfRule type="cellIs" dxfId="83" priority="21" operator="equal">
      <formula>"X"</formula>
    </cfRule>
    <cfRule type="cellIs" dxfId="82" priority="22" operator="equal">
      <formula>"I"</formula>
    </cfRule>
  </conditionalFormatting>
  <conditionalFormatting sqref="V20:V33">
    <cfRule type="cellIs" dxfId="81" priority="17" operator="equal">
      <formula>"X"</formula>
    </cfRule>
    <cfRule type="cellIs" dxfId="80" priority="18" operator="equal">
      <formula>"I"</formula>
    </cfRule>
  </conditionalFormatting>
  <conditionalFormatting sqref="V35:V56 H35:H57 L35:L57 N35:N57 T35:T57 R36:R57">
    <cfRule type="cellIs" dxfId="79" priority="37" operator="equal">
      <formula>"X"</formula>
    </cfRule>
    <cfRule type="cellIs" dxfId="78" priority="38" operator="equal">
      <formula>"I"</formula>
    </cfRule>
  </conditionalFormatting>
  <hyperlinks>
    <hyperlink ref="B3" location="'Cost Summary'!A1" display="BACK TO SUMMARY SHEET" xr:uid="{35498684-39AB-400C-B141-294CC3AD8B85}"/>
    <hyperlink ref="R7:S7" r:id="rId1" display="damon@acalandscape.net" xr:uid="{ACE66B8D-750C-42B7-ADE5-10FEC2C695D4}"/>
    <hyperlink ref="L7" r:id="rId2" xr:uid="{B6B9F16C-7A3E-40B3-9A3D-D07CD241C3CB}"/>
    <hyperlink ref="N7" r:id="rId3" xr:uid="{B4AA25A2-0A99-4072-ACFC-33A6B2281EDE}"/>
    <hyperlink ref="H7" r:id="rId4" xr:uid="{92C81641-AE98-4405-8EA3-CFC813015CE5}"/>
    <hyperlink ref="T7" r:id="rId5" xr:uid="{C99B9B28-A97C-45BB-95A4-682737F6BAEE}"/>
    <hyperlink ref="P7" r:id="rId6" xr:uid="{02566A48-981A-4EF5-9336-72F881D21D03}"/>
    <hyperlink ref="J7" r:id="rId7" xr:uid="{BC132236-45C6-4EEE-B360-0D48968156B8}"/>
  </hyperlinks>
  <pageMargins left="0.7" right="0.7" top="0.75" bottom="0.75" header="0.3" footer="0.3"/>
  <pageSetup orientation="portrait" horizontalDpi="300" verticalDpi="300" r:id="rId8"/>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1AC5-571A-47F1-82B5-2261CEAB7FFE}">
  <sheetPr>
    <tabColor rgb="FFFFC000"/>
  </sheetPr>
  <dimension ref="A1:U111"/>
  <sheetViews>
    <sheetView zoomScale="93" zoomScaleNormal="93" workbookViewId="0">
      <pane xSplit="2" ySplit="19" topLeftCell="C50" activePane="bottomRight" state="frozen"/>
      <selection pane="topRight" activeCell="C1" sqref="C1"/>
      <selection pane="bottomLeft" activeCell="A20" sqref="A20"/>
      <selection pane="bottomRight" activeCell="B3" activeCellId="1" sqref="G63 B3"/>
    </sheetView>
  </sheetViews>
  <sheetFormatPr defaultRowHeight="14.5" x14ac:dyDescent="0.35"/>
  <cols>
    <col min="1" max="1" width="11" customWidth="1"/>
    <col min="2" max="2" width="70.7265625" style="1" customWidth="1"/>
    <col min="3" max="3" width="17.26953125" style="2" bestFit="1" customWidth="1"/>
    <col min="4" max="5" width="7.54296875" style="2" customWidth="1"/>
    <col min="6" max="6" width="11.1796875" style="2" customWidth="1"/>
    <col min="7" max="7" width="12.26953125" style="2" customWidth="1"/>
    <col min="8" max="8" width="7.81640625" customWidth="1"/>
    <col min="9" max="9" width="13.453125" customWidth="1"/>
    <col min="10" max="10" width="7.453125" style="2" bestFit="1" customWidth="1"/>
    <col min="11" max="11" width="14.81640625" style="2" customWidth="1"/>
    <col min="12" max="12" width="7.453125" style="2" bestFit="1" customWidth="1"/>
    <col min="13" max="13" width="14.81640625" style="2" customWidth="1"/>
    <col min="14" max="14" width="7.7265625" style="2" customWidth="1"/>
    <col min="15" max="15" width="12.26953125" style="2" customWidth="1"/>
    <col min="16" max="16" width="7.453125" style="2" bestFit="1" customWidth="1"/>
    <col min="17" max="17" width="14.81640625" style="2" customWidth="1"/>
    <col min="18" max="18" width="7.453125" style="2" bestFit="1" customWidth="1"/>
    <col min="19" max="19" width="14.81640625" style="2" customWidth="1"/>
    <col min="20" max="20" width="7.453125" style="2" bestFit="1" customWidth="1"/>
    <col min="21" max="21" width="14.81640625" style="2" customWidth="1"/>
  </cols>
  <sheetData>
    <row r="1" spans="1:21" x14ac:dyDescent="0.35">
      <c r="E1" s="152"/>
      <c r="F1" s="125"/>
      <c r="G1" s="123" t="s">
        <v>621</v>
      </c>
      <c r="H1" s="2"/>
      <c r="I1" s="2"/>
      <c r="J1" s="4023"/>
      <c r="K1" s="4023"/>
    </row>
    <row r="2" spans="1:21" x14ac:dyDescent="0.35">
      <c r="E2" s="152"/>
      <c r="F2" s="122" t="s">
        <v>622</v>
      </c>
      <c r="G2" s="123" t="s">
        <v>451</v>
      </c>
      <c r="H2" s="3751"/>
      <c r="I2" s="3751"/>
      <c r="J2" s="3869"/>
      <c r="K2" s="3869"/>
      <c r="L2" s="3751"/>
      <c r="M2" s="3751"/>
      <c r="N2" s="3751"/>
      <c r="O2" s="3751"/>
      <c r="P2" s="3751"/>
      <c r="Q2" s="3751"/>
      <c r="R2" s="3751"/>
      <c r="S2" s="3751"/>
      <c r="T2" s="3751"/>
      <c r="U2" s="3751"/>
    </row>
    <row r="3" spans="1:21" ht="19.5" x14ac:dyDescent="0.35">
      <c r="B3" s="137" t="s">
        <v>623</v>
      </c>
      <c r="E3" s="152"/>
      <c r="F3" s="124" t="s">
        <v>624</v>
      </c>
      <c r="G3" s="123" t="s">
        <v>557</v>
      </c>
      <c r="H3" s="3823" t="s">
        <v>625</v>
      </c>
      <c r="I3" s="3824"/>
      <c r="J3" s="3754" t="s">
        <v>626</v>
      </c>
      <c r="K3" s="3755"/>
      <c r="L3" s="3754" t="s">
        <v>626</v>
      </c>
      <c r="M3" s="3755"/>
      <c r="N3" s="3754" t="s">
        <v>627</v>
      </c>
      <c r="O3" s="3755"/>
      <c r="P3" s="3754" t="s">
        <v>628</v>
      </c>
      <c r="Q3" s="3755"/>
      <c r="R3" s="3754" t="s">
        <v>772</v>
      </c>
      <c r="S3" s="3755"/>
      <c r="T3" s="3754" t="s">
        <v>773</v>
      </c>
      <c r="U3" s="3755"/>
    </row>
    <row r="4" spans="1:21" ht="15.75" customHeight="1" x14ac:dyDescent="0.35">
      <c r="A4" s="3" t="s">
        <v>631</v>
      </c>
      <c r="B4" s="4" t="str">
        <f>'AREA CALC''s'!B4</f>
        <v>Alton Hilltop Gardens</v>
      </c>
      <c r="C4" s="5"/>
      <c r="D4" s="5"/>
      <c r="E4" s="5"/>
      <c r="F4" s="5"/>
      <c r="G4" s="6" t="s">
        <v>632</v>
      </c>
      <c r="H4" s="3752" t="s">
        <v>4052</v>
      </c>
      <c r="I4" s="3753"/>
      <c r="J4" s="3752" t="s">
        <v>1071</v>
      </c>
      <c r="K4" s="3753"/>
      <c r="L4" s="3752" t="s">
        <v>1068</v>
      </c>
      <c r="M4" s="3753"/>
      <c r="N4" s="3752" t="s">
        <v>1066</v>
      </c>
      <c r="O4" s="3753"/>
      <c r="P4" s="3752" t="s">
        <v>1070</v>
      </c>
      <c r="Q4" s="3753"/>
      <c r="R4" s="3752" t="s">
        <v>4053</v>
      </c>
      <c r="S4" s="3753"/>
      <c r="T4" s="3752" t="s">
        <v>4054</v>
      </c>
      <c r="U4" s="3753"/>
    </row>
    <row r="5" spans="1:21" x14ac:dyDescent="0.35">
      <c r="A5" s="3305" t="s">
        <v>634</v>
      </c>
      <c r="B5" s="3306" t="s">
        <v>580</v>
      </c>
      <c r="C5" s="3307"/>
      <c r="D5" s="3307"/>
      <c r="E5" s="3307"/>
      <c r="F5" s="3307"/>
      <c r="G5" s="2194" t="s">
        <v>636</v>
      </c>
      <c r="H5" s="4009" t="s">
        <v>4055</v>
      </c>
      <c r="I5" s="3932"/>
      <c r="J5" s="4020" t="s">
        <v>1078</v>
      </c>
      <c r="K5" s="4021"/>
      <c r="L5" s="4020" t="s">
        <v>1075</v>
      </c>
      <c r="M5" s="4021"/>
      <c r="N5" s="4020" t="s">
        <v>1073</v>
      </c>
      <c r="O5" s="4021"/>
      <c r="P5" s="4020" t="s">
        <v>1077</v>
      </c>
      <c r="Q5" s="4021"/>
      <c r="R5" s="4020" t="s">
        <v>4056</v>
      </c>
      <c r="S5" s="4021"/>
      <c r="T5" s="4009"/>
      <c r="U5" s="3932"/>
    </row>
    <row r="6" spans="1:21" x14ac:dyDescent="0.35">
      <c r="A6" s="3305" t="s">
        <v>638</v>
      </c>
      <c r="B6" s="3308" t="s">
        <v>579</v>
      </c>
      <c r="C6" s="3307"/>
      <c r="D6" s="3307"/>
      <c r="E6" s="3307"/>
      <c r="F6" s="3307"/>
      <c r="G6" s="2194" t="s">
        <v>639</v>
      </c>
      <c r="H6" s="4008"/>
      <c r="I6" s="3938"/>
      <c r="J6" s="4008" t="s">
        <v>1084</v>
      </c>
      <c r="K6" s="3938"/>
      <c r="L6" s="4020" t="s">
        <v>1081</v>
      </c>
      <c r="M6" s="4021"/>
      <c r="N6" s="4008" t="s">
        <v>1079</v>
      </c>
      <c r="O6" s="3938"/>
      <c r="P6" s="4008" t="s">
        <v>1083</v>
      </c>
      <c r="Q6" s="3938"/>
      <c r="R6" s="4008" t="s">
        <v>4057</v>
      </c>
      <c r="S6" s="3938"/>
      <c r="T6" s="4008"/>
      <c r="U6" s="3938"/>
    </row>
    <row r="7" spans="1:21" x14ac:dyDescent="0.35">
      <c r="A7" s="3305" t="s">
        <v>641</v>
      </c>
      <c r="B7" s="3309"/>
      <c r="C7" s="3307"/>
      <c r="D7" s="3307"/>
      <c r="E7" s="3307"/>
      <c r="F7" s="3307"/>
      <c r="G7" s="2194" t="s">
        <v>642</v>
      </c>
      <c r="H7" s="4014" t="s">
        <v>4058</v>
      </c>
      <c r="I7" s="4004"/>
      <c r="J7" s="3790" t="s">
        <v>1090</v>
      </c>
      <c r="K7" s="3792"/>
      <c r="L7" s="3790" t="s">
        <v>1087</v>
      </c>
      <c r="M7" s="3792"/>
      <c r="N7" s="3790" t="s">
        <v>1085</v>
      </c>
      <c r="O7" s="3792"/>
      <c r="P7" s="3790" t="s">
        <v>1089</v>
      </c>
      <c r="Q7" s="3792"/>
      <c r="R7" s="4022" t="s">
        <v>4059</v>
      </c>
      <c r="S7" s="3969"/>
      <c r="T7" s="4014"/>
      <c r="U7" s="4004"/>
    </row>
    <row r="8" spans="1:21" ht="15.75" customHeight="1" x14ac:dyDescent="0.35">
      <c r="A8" s="938" t="s">
        <v>644</v>
      </c>
      <c r="B8" s="939"/>
      <c r="C8" s="940"/>
      <c r="D8" s="940"/>
      <c r="E8" s="940"/>
      <c r="F8" s="940"/>
      <c r="G8" s="1024" t="s">
        <v>644</v>
      </c>
      <c r="H8" s="4012">
        <f>I72</f>
        <v>278850</v>
      </c>
      <c r="I8" s="4013"/>
      <c r="J8" s="4012">
        <f>K72</f>
        <v>277348</v>
      </c>
      <c r="K8" s="4013"/>
      <c r="L8" s="4012">
        <f>M72</f>
        <v>395298.66</v>
      </c>
      <c r="M8" s="4013"/>
      <c r="N8" s="4012">
        <f>O72</f>
        <v>428492.5</v>
      </c>
      <c r="O8" s="4013"/>
      <c r="P8" s="4012">
        <f>Q72</f>
        <v>428325</v>
      </c>
      <c r="Q8" s="4013"/>
      <c r="R8" s="4012">
        <f>S72</f>
        <v>0</v>
      </c>
      <c r="S8" s="4013"/>
      <c r="T8" s="4012">
        <f>U72</f>
        <v>0</v>
      </c>
      <c r="U8" s="4013"/>
    </row>
    <row r="9" spans="1:21" ht="30" customHeight="1" x14ac:dyDescent="0.35">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c r="T9" s="11" t="s">
        <v>651</v>
      </c>
      <c r="U9" s="11" t="s">
        <v>652</v>
      </c>
    </row>
    <row r="10" spans="1:21" ht="15" hidden="1" customHeight="1" x14ac:dyDescent="0.35">
      <c r="A10" s="3310"/>
      <c r="B10" s="3430" t="s">
        <v>653</v>
      </c>
      <c r="C10" s="3307"/>
      <c r="D10" s="3307"/>
      <c r="E10" s="3307"/>
      <c r="F10" s="3307"/>
      <c r="G10" s="2198"/>
      <c r="H10" s="3311"/>
      <c r="I10" s="3311"/>
      <c r="J10" s="3311"/>
      <c r="K10" s="3311"/>
      <c r="L10" s="3311"/>
      <c r="M10" s="3311"/>
      <c r="N10" s="3311"/>
      <c r="O10" s="3311"/>
      <c r="P10" s="3311"/>
      <c r="Q10" s="3311"/>
      <c r="R10" s="3311"/>
      <c r="S10" s="3311"/>
      <c r="T10" s="3311"/>
      <c r="U10" s="3311"/>
    </row>
    <row r="11" spans="1:21" ht="15" hidden="1" customHeight="1" x14ac:dyDescent="0.35">
      <c r="A11" s="3310"/>
      <c r="B11" s="3306" t="e">
        <f>#REF!</f>
        <v>#REF!</v>
      </c>
      <c r="C11" s="3312" t="s">
        <v>654</v>
      </c>
      <c r="D11" s="3307"/>
      <c r="E11" s="3307"/>
      <c r="F11" s="3307"/>
      <c r="G11" s="2198"/>
      <c r="H11" s="3311"/>
      <c r="I11" s="3311"/>
      <c r="J11" s="3311"/>
      <c r="K11" s="3311"/>
      <c r="L11" s="3311"/>
      <c r="M11" s="3311"/>
      <c r="N11" s="3311"/>
      <c r="O11" s="3311"/>
      <c r="P11" s="3311"/>
      <c r="Q11" s="3311"/>
      <c r="R11" s="3311"/>
      <c r="S11" s="3311"/>
      <c r="T11" s="3311"/>
      <c r="U11" s="3311"/>
    </row>
    <row r="12" spans="1:21" ht="15" hidden="1" customHeight="1" x14ac:dyDescent="0.35">
      <c r="A12" s="3310"/>
      <c r="B12" s="3306" t="e">
        <f>#REF!</f>
        <v>#REF!</v>
      </c>
      <c r="C12" s="3312" t="s">
        <v>654</v>
      </c>
      <c r="D12" s="3307"/>
      <c r="E12" s="3307"/>
      <c r="F12" s="3307"/>
      <c r="G12" s="2198"/>
      <c r="H12" s="3311"/>
      <c r="I12" s="3311"/>
      <c r="J12" s="3311"/>
      <c r="K12" s="3311"/>
      <c r="L12" s="3311"/>
      <c r="M12" s="3311"/>
      <c r="N12" s="3311"/>
      <c r="O12" s="3311"/>
      <c r="P12" s="3311"/>
      <c r="Q12" s="3311"/>
      <c r="R12" s="3311"/>
      <c r="S12" s="3311"/>
      <c r="T12" s="3311"/>
      <c r="U12" s="3311"/>
    </row>
    <row r="13" spans="1:21" ht="15" hidden="1" customHeight="1" x14ac:dyDescent="0.35">
      <c r="A13" s="3310"/>
      <c r="B13" s="3306" t="e">
        <f>#REF!</f>
        <v>#REF!</v>
      </c>
      <c r="C13" s="3312" t="s">
        <v>654</v>
      </c>
      <c r="D13" s="3307"/>
      <c r="E13" s="3307"/>
      <c r="F13" s="3307"/>
      <c r="G13" s="2198"/>
      <c r="H13" s="3311"/>
      <c r="I13" s="3311"/>
      <c r="J13" s="3311"/>
      <c r="K13" s="3311"/>
      <c r="L13" s="3311"/>
      <c r="M13" s="3311"/>
      <c r="N13" s="3311"/>
      <c r="O13" s="3311"/>
      <c r="P13" s="3311"/>
      <c r="Q13" s="3311"/>
      <c r="R13" s="3311"/>
      <c r="S13" s="3311"/>
      <c r="T13" s="3311"/>
      <c r="U13" s="3311"/>
    </row>
    <row r="14" spans="1:21" ht="15" hidden="1" customHeight="1" x14ac:dyDescent="0.35">
      <c r="A14" s="3310"/>
      <c r="B14" s="3306" t="e">
        <f>#REF!</f>
        <v>#REF!</v>
      </c>
      <c r="C14" s="3312" t="s">
        <v>654</v>
      </c>
      <c r="D14" s="3307"/>
      <c r="E14" s="3307"/>
      <c r="F14" s="3307"/>
      <c r="G14" s="2198"/>
      <c r="H14" s="3311"/>
      <c r="I14" s="3311"/>
      <c r="J14" s="3311"/>
      <c r="K14" s="3311"/>
      <c r="L14" s="3311"/>
      <c r="M14" s="3311"/>
      <c r="N14" s="3311"/>
      <c r="O14" s="3311"/>
      <c r="P14" s="3311"/>
      <c r="Q14" s="3311"/>
      <c r="R14" s="3311"/>
      <c r="S14" s="3311"/>
      <c r="T14" s="3311"/>
      <c r="U14" s="3311"/>
    </row>
    <row r="15" spans="1:21" ht="15" hidden="1" customHeight="1" x14ac:dyDescent="0.35">
      <c r="A15" s="3310"/>
      <c r="B15" s="3306" t="e">
        <f>#REF!</f>
        <v>#REF!</v>
      </c>
      <c r="C15" s="3312" t="s">
        <v>654</v>
      </c>
      <c r="D15" s="3307"/>
      <c r="E15" s="3307"/>
      <c r="F15" s="3307"/>
      <c r="G15" s="2198"/>
      <c r="H15" s="3311"/>
      <c r="I15" s="3311"/>
      <c r="J15" s="3311"/>
      <c r="K15" s="3311"/>
      <c r="L15" s="3311"/>
      <c r="M15" s="3311"/>
      <c r="N15" s="3311"/>
      <c r="O15" s="3311"/>
      <c r="P15" s="3311"/>
      <c r="Q15" s="3311"/>
      <c r="R15" s="3311"/>
      <c r="S15" s="3311"/>
      <c r="T15" s="3311"/>
      <c r="U15" s="3311"/>
    </row>
    <row r="16" spans="1:21" ht="15" hidden="1" customHeight="1" x14ac:dyDescent="0.35">
      <c r="A16" s="3310"/>
      <c r="B16" s="3306" t="e">
        <f>#REF!</f>
        <v>#REF!</v>
      </c>
      <c r="C16" s="3312" t="s">
        <v>654</v>
      </c>
      <c r="D16" s="3307"/>
      <c r="E16" s="3307"/>
      <c r="F16" s="3307"/>
      <c r="G16" s="2198"/>
      <c r="H16" s="3311"/>
      <c r="I16" s="3311"/>
      <c r="J16" s="3311"/>
      <c r="K16" s="3311"/>
      <c r="L16" s="3311"/>
      <c r="M16" s="3311"/>
      <c r="N16" s="3311"/>
      <c r="O16" s="3311"/>
      <c r="P16" s="3311"/>
      <c r="Q16" s="3311"/>
      <c r="R16" s="3311"/>
      <c r="S16" s="3311"/>
      <c r="T16" s="3311"/>
      <c r="U16" s="3311"/>
    </row>
    <row r="17" spans="1:21" ht="15" hidden="1" customHeight="1" x14ac:dyDescent="0.35">
      <c r="A17" s="3310"/>
      <c r="B17" s="3306" t="e">
        <f>#REF!</f>
        <v>#REF!</v>
      </c>
      <c r="C17" s="3312" t="s">
        <v>654</v>
      </c>
      <c r="D17" s="3307"/>
      <c r="E17" s="3307"/>
      <c r="F17" s="3307"/>
      <c r="G17" s="2198"/>
      <c r="H17" s="3311"/>
      <c r="I17" s="3311"/>
      <c r="J17" s="3311"/>
      <c r="K17" s="3311"/>
      <c r="L17" s="3311"/>
      <c r="M17" s="3311"/>
      <c r="N17" s="3311"/>
      <c r="O17" s="3311"/>
      <c r="P17" s="3311"/>
      <c r="Q17" s="3311"/>
      <c r="R17" s="3311"/>
      <c r="S17" s="3311"/>
      <c r="T17" s="3311"/>
      <c r="U17" s="3311"/>
    </row>
    <row r="18" spans="1:21" ht="15" hidden="1" customHeight="1" x14ac:dyDescent="0.35">
      <c r="A18" s="3310"/>
      <c r="B18" s="3306" t="e">
        <f>#REF!</f>
        <v>#REF!</v>
      </c>
      <c r="C18" s="3312" t="s">
        <v>654</v>
      </c>
      <c r="D18" s="3307"/>
      <c r="E18" s="3307"/>
      <c r="F18" s="3307"/>
      <c r="G18" s="2198"/>
      <c r="H18" s="3311"/>
      <c r="I18" s="3311"/>
      <c r="J18" s="3311"/>
      <c r="K18" s="3311"/>
      <c r="L18" s="3311"/>
      <c r="M18" s="3311"/>
      <c r="N18" s="3311"/>
      <c r="O18" s="3311"/>
      <c r="P18" s="3311"/>
      <c r="Q18" s="3311"/>
      <c r="R18" s="3311"/>
      <c r="S18" s="3311"/>
      <c r="T18" s="3311"/>
      <c r="U18" s="3311"/>
    </row>
    <row r="19" spans="1:21" ht="14.25" hidden="1" customHeight="1" x14ac:dyDescent="0.35">
      <c r="A19" s="3310"/>
      <c r="B19" s="3306" t="e">
        <f>#REF!</f>
        <v>#REF!</v>
      </c>
      <c r="C19" s="3312" t="s">
        <v>654</v>
      </c>
      <c r="D19" s="3307"/>
      <c r="E19" s="3307"/>
      <c r="F19" s="3307"/>
      <c r="G19" s="2198"/>
      <c r="H19" s="3311"/>
      <c r="I19" s="3311"/>
      <c r="J19" s="3311"/>
      <c r="K19" s="3311"/>
      <c r="L19" s="3311"/>
      <c r="M19" s="3311"/>
      <c r="N19" s="3311"/>
      <c r="O19" s="3311"/>
      <c r="P19" s="3311"/>
      <c r="Q19" s="3311"/>
      <c r="R19" s="3311"/>
      <c r="S19" s="3311"/>
      <c r="T19" s="3311"/>
      <c r="U19" s="3311"/>
    </row>
    <row r="20" spans="1:21" x14ac:dyDescent="0.35">
      <c r="A20" s="3310"/>
      <c r="B20" s="3306"/>
      <c r="C20" s="3312"/>
      <c r="D20" s="3307"/>
      <c r="E20" s="3307"/>
      <c r="F20" s="3307"/>
      <c r="G20" s="2198"/>
      <c r="H20" s="3313"/>
      <c r="I20" s="3311"/>
      <c r="J20" s="3313"/>
      <c r="K20" s="3311"/>
      <c r="L20" s="3313"/>
      <c r="M20" s="3311"/>
      <c r="N20" s="3313"/>
      <c r="O20" s="3311"/>
      <c r="P20" s="3313"/>
      <c r="Q20" s="3311"/>
      <c r="R20" s="3313"/>
      <c r="S20" s="3311"/>
      <c r="T20" s="3313"/>
      <c r="U20" s="3311"/>
    </row>
    <row r="21" spans="1:21" x14ac:dyDescent="0.35">
      <c r="A21" s="3310"/>
      <c r="B21" s="3314" t="s">
        <v>580</v>
      </c>
      <c r="C21" s="3312"/>
      <c r="D21" s="3307"/>
      <c r="E21" s="3307"/>
      <c r="F21" s="3307"/>
      <c r="G21" s="2198"/>
      <c r="H21" s="3313"/>
      <c r="I21" s="3311"/>
      <c r="J21" s="3313"/>
      <c r="K21" s="3311"/>
      <c r="L21" s="3313"/>
      <c r="M21" s="3311"/>
      <c r="N21" s="3313"/>
      <c r="O21" s="3311"/>
      <c r="P21" s="3313"/>
      <c r="Q21" s="3311"/>
      <c r="R21" s="3313"/>
      <c r="S21" s="3311"/>
      <c r="T21" s="3313"/>
      <c r="U21" s="3311"/>
    </row>
    <row r="22" spans="1:21" x14ac:dyDescent="0.35">
      <c r="A22" s="3431"/>
      <c r="B22" s="606" t="s">
        <v>657</v>
      </c>
      <c r="C22" s="3312"/>
      <c r="D22" s="3307"/>
      <c r="E22" s="3307"/>
      <c r="F22" s="3307"/>
      <c r="G22" s="2198"/>
      <c r="H22" s="3313"/>
      <c r="I22" s="3401"/>
      <c r="J22" s="3313"/>
      <c r="K22" s="3401"/>
      <c r="L22" s="3313"/>
      <c r="M22" s="3401"/>
      <c r="N22" s="3313"/>
      <c r="O22" s="3396"/>
      <c r="P22" s="3313"/>
      <c r="Q22" s="3402"/>
      <c r="R22" s="3313"/>
      <c r="S22" s="3401"/>
      <c r="T22" s="3313"/>
      <c r="U22" s="3401"/>
    </row>
    <row r="23" spans="1:21" x14ac:dyDescent="0.35">
      <c r="A23" s="3431"/>
      <c r="B23" s="3432" t="s">
        <v>658</v>
      </c>
      <c r="C23" s="3312"/>
      <c r="D23" s="3307"/>
      <c r="E23" s="3307"/>
      <c r="F23" s="3307"/>
      <c r="G23" s="2198"/>
      <c r="H23" s="3313" t="s">
        <v>669</v>
      </c>
      <c r="I23" s="3401"/>
      <c r="J23" s="3313" t="s">
        <v>669</v>
      </c>
      <c r="K23" s="3401"/>
      <c r="L23" s="3313" t="s">
        <v>669</v>
      </c>
      <c r="M23" s="3401"/>
      <c r="N23" s="3313" t="s">
        <v>669</v>
      </c>
      <c r="O23" s="3396"/>
      <c r="P23" s="3313" t="s">
        <v>669</v>
      </c>
      <c r="Q23" s="3402"/>
      <c r="R23" s="3313"/>
      <c r="S23" s="3401"/>
      <c r="T23" s="3313"/>
      <c r="U23" s="3401"/>
    </row>
    <row r="24" spans="1:21" x14ac:dyDescent="0.35">
      <c r="A24" s="3431"/>
      <c r="B24" s="3432" t="s">
        <v>659</v>
      </c>
      <c r="C24" s="3312"/>
      <c r="D24" s="3307"/>
      <c r="E24" s="3307"/>
      <c r="F24" s="3307"/>
      <c r="G24" s="2198"/>
      <c r="H24" s="3313" t="s">
        <v>669</v>
      </c>
      <c r="I24" s="3401"/>
      <c r="J24" s="3313" t="s">
        <v>669</v>
      </c>
      <c r="K24" s="3401"/>
      <c r="L24" s="3313" t="s">
        <v>669</v>
      </c>
      <c r="M24" s="3401"/>
      <c r="N24" s="3313" t="s">
        <v>669</v>
      </c>
      <c r="O24" s="3396"/>
      <c r="P24" s="3313" t="s">
        <v>669</v>
      </c>
      <c r="Q24" s="3396"/>
      <c r="R24" s="3313"/>
      <c r="S24" s="3401"/>
      <c r="T24" s="3313"/>
      <c r="U24" s="3401"/>
    </row>
    <row r="25" spans="1:21" x14ac:dyDescent="0.35">
      <c r="A25" s="3431"/>
      <c r="B25" s="3433" t="s">
        <v>660</v>
      </c>
      <c r="C25" s="3312"/>
      <c r="D25" s="3307"/>
      <c r="E25" s="3307"/>
      <c r="F25" s="3307"/>
      <c r="G25" s="2198"/>
      <c r="H25" s="3313" t="s">
        <v>671</v>
      </c>
      <c r="I25" s="3401"/>
      <c r="J25" s="3313" t="s">
        <v>671</v>
      </c>
      <c r="K25" s="3396"/>
      <c r="L25" s="3313" t="s">
        <v>671</v>
      </c>
      <c r="M25" s="3401" t="s">
        <v>1007</v>
      </c>
      <c r="N25" s="3313" t="s">
        <v>671</v>
      </c>
      <c r="O25" s="3396"/>
      <c r="P25" s="3313" t="s">
        <v>671</v>
      </c>
      <c r="Q25" s="3396"/>
      <c r="R25" s="3313"/>
      <c r="S25" s="3401"/>
      <c r="T25" s="3313"/>
      <c r="U25" s="3401"/>
    </row>
    <row r="26" spans="1:21" x14ac:dyDescent="0.35">
      <c r="A26" s="3431"/>
      <c r="B26" s="3433" t="s">
        <v>661</v>
      </c>
      <c r="C26" s="3312"/>
      <c r="D26" s="3307"/>
      <c r="E26" s="3307"/>
      <c r="F26" s="3307"/>
      <c r="G26" s="2198"/>
      <c r="H26" s="3313" t="s">
        <v>669</v>
      </c>
      <c r="I26" s="3401"/>
      <c r="J26" s="3313" t="s">
        <v>669</v>
      </c>
      <c r="K26" s="3396"/>
      <c r="L26" s="3313" t="s">
        <v>669</v>
      </c>
      <c r="M26" s="3401"/>
      <c r="N26" s="3313" t="s">
        <v>669</v>
      </c>
      <c r="O26" s="3396"/>
      <c r="P26" s="3313" t="s">
        <v>669</v>
      </c>
      <c r="Q26" s="3396"/>
      <c r="R26" s="3313"/>
      <c r="S26" s="3401"/>
      <c r="T26" s="3313"/>
      <c r="U26" s="3401"/>
    </row>
    <row r="27" spans="1:21" x14ac:dyDescent="0.35">
      <c r="A27" s="3431"/>
      <c r="B27" s="3433" t="s">
        <v>662</v>
      </c>
      <c r="C27" s="3312"/>
      <c r="D27" s="3307"/>
      <c r="E27" s="3307"/>
      <c r="F27" s="3307"/>
      <c r="G27" s="2198"/>
      <c r="H27" s="3313" t="s">
        <v>669</v>
      </c>
      <c r="I27" s="3401"/>
      <c r="J27" s="3313" t="s">
        <v>669</v>
      </c>
      <c r="K27" s="3396"/>
      <c r="L27" s="3313" t="s">
        <v>669</v>
      </c>
      <c r="M27" s="3401"/>
      <c r="N27" s="3313" t="s">
        <v>669</v>
      </c>
      <c r="O27" s="3396"/>
      <c r="P27" s="3313" t="s">
        <v>669</v>
      </c>
      <c r="Q27" s="3396"/>
      <c r="R27" s="3313"/>
      <c r="S27" s="3401"/>
      <c r="T27" s="3313"/>
      <c r="U27" s="3401"/>
    </row>
    <row r="28" spans="1:21" x14ac:dyDescent="0.35">
      <c r="A28" s="3431"/>
      <c r="B28" s="3433" t="s">
        <v>663</v>
      </c>
      <c r="C28" s="3312"/>
      <c r="D28" s="3307"/>
      <c r="E28" s="3307"/>
      <c r="F28" s="3307"/>
      <c r="G28" s="2198"/>
      <c r="H28" s="3313" t="s">
        <v>669</v>
      </c>
      <c r="I28" s="3401"/>
      <c r="J28" s="3313" t="s">
        <v>669</v>
      </c>
      <c r="K28" s="3396"/>
      <c r="L28" s="3313" t="s">
        <v>669</v>
      </c>
      <c r="M28" s="3401"/>
      <c r="N28" s="3313" t="s">
        <v>669</v>
      </c>
      <c r="O28" s="3396"/>
      <c r="P28" s="3313" t="s">
        <v>669</v>
      </c>
      <c r="Q28" s="3396"/>
      <c r="R28" s="3313"/>
      <c r="S28" s="3401"/>
      <c r="T28" s="3313"/>
      <c r="U28" s="3401"/>
    </row>
    <row r="29" spans="1:21" x14ac:dyDescent="0.35">
      <c r="A29" s="3431"/>
      <c r="B29" s="3433" t="s">
        <v>789</v>
      </c>
      <c r="C29" s="3312"/>
      <c r="D29" s="3307"/>
      <c r="E29" s="3307"/>
      <c r="F29" s="3307"/>
      <c r="G29" s="2198"/>
      <c r="H29" s="3313" t="s">
        <v>669</v>
      </c>
      <c r="I29" s="3401" t="s">
        <v>4060</v>
      </c>
      <c r="J29" s="3313" t="s">
        <v>669</v>
      </c>
      <c r="K29" s="3396" t="s">
        <v>1099</v>
      </c>
      <c r="L29" s="3313" t="s">
        <v>671</v>
      </c>
      <c r="M29" s="3401" t="s">
        <v>1098</v>
      </c>
      <c r="N29" s="3313" t="s">
        <v>671</v>
      </c>
      <c r="O29" s="3396" t="s">
        <v>1008</v>
      </c>
      <c r="P29" s="3313" t="s">
        <v>671</v>
      </c>
      <c r="Q29" s="3396"/>
      <c r="R29" s="3313"/>
      <c r="S29" s="3401"/>
      <c r="T29" s="3313"/>
      <c r="U29" s="3401"/>
    </row>
    <row r="30" spans="1:21" x14ac:dyDescent="0.35">
      <c r="A30" s="3434"/>
      <c r="B30" s="3433" t="s">
        <v>790</v>
      </c>
      <c r="C30" s="3312"/>
      <c r="D30" s="3307"/>
      <c r="E30" s="3307"/>
      <c r="F30" s="3307"/>
      <c r="G30" s="2198"/>
      <c r="H30" s="3313" t="s">
        <v>669</v>
      </c>
      <c r="I30" s="3401" t="s">
        <v>968</v>
      </c>
      <c r="J30" s="3313" t="s">
        <v>669</v>
      </c>
      <c r="K30" s="3396" t="s">
        <v>1100</v>
      </c>
      <c r="L30" s="3313" t="s">
        <v>671</v>
      </c>
      <c r="M30" s="3396" t="s">
        <v>968</v>
      </c>
      <c r="N30" s="3313" t="s">
        <v>671</v>
      </c>
      <c r="O30" s="3396" t="s">
        <v>1100</v>
      </c>
      <c r="P30" s="3313" t="s">
        <v>671</v>
      </c>
      <c r="Q30" s="3396"/>
      <c r="R30" s="3313"/>
      <c r="S30" s="3401"/>
      <c r="T30" s="3313"/>
      <c r="U30" s="3401"/>
    </row>
    <row r="31" spans="1:21" x14ac:dyDescent="0.35">
      <c r="A31" s="3431"/>
      <c r="B31" s="3433" t="s">
        <v>791</v>
      </c>
      <c r="C31" s="3312"/>
      <c r="D31" s="3307"/>
      <c r="E31" s="3307"/>
      <c r="F31" s="3307"/>
      <c r="G31" s="2198"/>
      <c r="H31" s="3313" t="s">
        <v>669</v>
      </c>
      <c r="I31" s="3401" t="s">
        <v>4061</v>
      </c>
      <c r="J31" s="3313" t="s">
        <v>669</v>
      </c>
      <c r="K31" s="3396" t="s">
        <v>1102</v>
      </c>
      <c r="L31" s="3313" t="s">
        <v>671</v>
      </c>
      <c r="M31" s="3401"/>
      <c r="N31" s="3313" t="s">
        <v>671</v>
      </c>
      <c r="O31" s="3396"/>
      <c r="P31" s="3313" t="s">
        <v>671</v>
      </c>
      <c r="Q31" s="3396"/>
      <c r="R31" s="3313"/>
      <c r="S31" s="3401"/>
      <c r="T31" s="3313"/>
      <c r="U31" s="3401"/>
    </row>
    <row r="32" spans="1:21" x14ac:dyDescent="0.35">
      <c r="A32" s="3431"/>
      <c r="B32" s="3435" t="s">
        <v>664</v>
      </c>
      <c r="C32" s="3312"/>
      <c r="D32" s="3307"/>
      <c r="E32" s="3307"/>
      <c r="F32" s="3307"/>
      <c r="G32" s="2198"/>
      <c r="H32" s="3313"/>
      <c r="I32" s="3401"/>
      <c r="J32" s="3313"/>
      <c r="K32" s="3396"/>
      <c r="L32" s="3313"/>
      <c r="M32" s="3401"/>
      <c r="N32" s="3313"/>
      <c r="O32" s="3396"/>
      <c r="P32" s="3313"/>
      <c r="Q32" s="3402"/>
      <c r="R32" s="3313"/>
      <c r="S32" s="3401"/>
      <c r="T32" s="3313"/>
      <c r="U32" s="3401"/>
    </row>
    <row r="33" spans="1:21" x14ac:dyDescent="0.35">
      <c r="A33" s="3431"/>
      <c r="B33" s="3385" t="s">
        <v>665</v>
      </c>
      <c r="C33" s="3386"/>
      <c r="D33" s="3247"/>
      <c r="E33" s="3247"/>
      <c r="F33" s="3247"/>
      <c r="G33" s="2945"/>
      <c r="H33" s="3250"/>
      <c r="I33" s="3388"/>
      <c r="J33" s="3389"/>
      <c r="K33" s="3436">
        <f>378648-75000-28000-3800</f>
        <v>271848</v>
      </c>
      <c r="L33" s="3389"/>
      <c r="M33" s="3389"/>
      <c r="N33" s="3389"/>
      <c r="O33" s="3436">
        <f>539950-207200</f>
        <v>332750</v>
      </c>
      <c r="P33" s="3390"/>
      <c r="Q33" s="3389"/>
      <c r="R33" s="3387"/>
      <c r="S33" s="3388"/>
      <c r="T33" s="3250"/>
      <c r="U33" s="3388"/>
    </row>
    <row r="34" spans="1:21" x14ac:dyDescent="0.35">
      <c r="A34" s="3431"/>
      <c r="B34" s="3328"/>
      <c r="C34" s="3312"/>
      <c r="D34" s="3307"/>
      <c r="E34" s="3307"/>
      <c r="F34" s="3307"/>
      <c r="G34" s="2198"/>
      <c r="H34" s="3313"/>
      <c r="I34" s="3401"/>
      <c r="J34" s="3313"/>
      <c r="K34" s="3396"/>
      <c r="L34" s="3313"/>
      <c r="M34" s="3401"/>
      <c r="N34" s="3313"/>
      <c r="O34" s="3396"/>
      <c r="P34" s="3313"/>
      <c r="Q34" s="3402"/>
      <c r="R34" s="3313"/>
      <c r="S34" s="3401"/>
      <c r="T34" s="3313"/>
      <c r="U34" s="3401"/>
    </row>
    <row r="35" spans="1:21" x14ac:dyDescent="0.35">
      <c r="A35" s="3431"/>
      <c r="B35" s="3437" t="s">
        <v>1103</v>
      </c>
      <c r="C35" s="3253"/>
      <c r="D35" s="3307"/>
      <c r="E35" s="3307"/>
      <c r="F35" s="3307"/>
      <c r="G35" s="2198"/>
      <c r="H35" s="3313" t="s">
        <v>669</v>
      </c>
      <c r="I35" s="3401"/>
      <c r="J35" s="3313" t="s">
        <v>669</v>
      </c>
      <c r="K35" s="3396"/>
      <c r="L35" s="3313" t="s">
        <v>669</v>
      </c>
      <c r="M35" s="3401"/>
      <c r="N35" s="3313" t="s">
        <v>669</v>
      </c>
      <c r="O35" s="3396"/>
      <c r="P35" s="3313" t="s">
        <v>671</v>
      </c>
      <c r="Q35" s="3402"/>
      <c r="R35" s="3313"/>
      <c r="S35" s="3401"/>
      <c r="T35" s="3313"/>
      <c r="U35" s="3401"/>
    </row>
    <row r="36" spans="1:21" x14ac:dyDescent="0.35">
      <c r="A36" s="3431"/>
      <c r="B36" s="3437" t="s">
        <v>1104</v>
      </c>
      <c r="C36" s="3253"/>
      <c r="D36" s="3307"/>
      <c r="E36" s="3307"/>
      <c r="F36" s="3307"/>
      <c r="G36" s="2198"/>
      <c r="H36" s="3313" t="s">
        <v>669</v>
      </c>
      <c r="I36" s="3401"/>
      <c r="J36" s="3313" t="s">
        <v>669</v>
      </c>
      <c r="K36" s="3396"/>
      <c r="L36" s="3313" t="s">
        <v>669</v>
      </c>
      <c r="M36" s="3401"/>
      <c r="N36" s="3313" t="s">
        <v>669</v>
      </c>
      <c r="O36" s="3396"/>
      <c r="P36" s="3313" t="s">
        <v>671</v>
      </c>
      <c r="Q36" s="3402"/>
      <c r="R36" s="3313"/>
      <c r="S36" s="3401"/>
      <c r="T36" s="3313"/>
      <c r="U36" s="3401"/>
    </row>
    <row r="37" spans="1:21" x14ac:dyDescent="0.35">
      <c r="A37" s="3431"/>
      <c r="B37" s="3437"/>
      <c r="C37" s="3253"/>
      <c r="D37" s="3307"/>
      <c r="E37" s="3307"/>
      <c r="F37" s="3307"/>
      <c r="G37" s="2198"/>
      <c r="H37" s="3313"/>
      <c r="I37" s="3401"/>
      <c r="J37" s="3313"/>
      <c r="K37" s="3396"/>
      <c r="L37" s="3313"/>
      <c r="M37" s="3401"/>
      <c r="N37" s="3313"/>
      <c r="O37" s="3396"/>
      <c r="P37" s="3313"/>
      <c r="Q37" s="3402"/>
      <c r="R37" s="3313"/>
      <c r="S37" s="3401"/>
      <c r="T37" s="3313"/>
      <c r="U37" s="3401"/>
    </row>
    <row r="38" spans="1:21" x14ac:dyDescent="0.35">
      <c r="A38" s="3431"/>
      <c r="B38" s="3437" t="s">
        <v>746</v>
      </c>
      <c r="C38" s="2695"/>
      <c r="D38" s="3307"/>
      <c r="E38" s="3307" t="s">
        <v>752</v>
      </c>
      <c r="F38" s="3399"/>
      <c r="G38" s="2233"/>
      <c r="H38" s="3313" t="s">
        <v>669</v>
      </c>
      <c r="I38" s="3401"/>
      <c r="J38" s="3313" t="s">
        <v>669</v>
      </c>
      <c r="K38" s="3438"/>
      <c r="L38" s="3313" t="s">
        <v>669</v>
      </c>
      <c r="M38" s="3438">
        <f>477547-91125-5280</f>
        <v>381142</v>
      </c>
      <c r="N38" s="3313" t="s">
        <v>669</v>
      </c>
      <c r="O38" s="3438"/>
      <c r="P38" s="3313" t="s">
        <v>669</v>
      </c>
      <c r="Q38" s="3438">
        <v>347825</v>
      </c>
      <c r="R38" s="3313" t="s">
        <v>669</v>
      </c>
      <c r="S38" s="3396"/>
      <c r="T38" s="3313"/>
      <c r="U38" s="3401"/>
    </row>
    <row r="39" spans="1:21" x14ac:dyDescent="0.35">
      <c r="A39" s="3431"/>
      <c r="B39" s="3439" t="s">
        <v>4062</v>
      </c>
      <c r="C39" s="2695" t="s">
        <v>4063</v>
      </c>
      <c r="D39" s="3307">
        <v>1800</v>
      </c>
      <c r="E39" s="3307" t="s">
        <v>752</v>
      </c>
      <c r="F39" s="3399">
        <v>40</v>
      </c>
      <c r="G39" s="2233">
        <f>F39*D39</f>
        <v>72000</v>
      </c>
      <c r="H39" s="3313" t="s">
        <v>669</v>
      </c>
      <c r="I39" s="3440">
        <v>44500</v>
      </c>
      <c r="J39" s="3313" t="s">
        <v>669</v>
      </c>
      <c r="K39" s="3438"/>
      <c r="L39" s="3313" t="s">
        <v>669</v>
      </c>
      <c r="M39" s="3401"/>
      <c r="N39" s="3256" t="s">
        <v>654</v>
      </c>
      <c r="O39" s="3441">
        <f>I39</f>
        <v>44500</v>
      </c>
      <c r="P39" s="3256" t="s">
        <v>654</v>
      </c>
      <c r="Q39" s="3441">
        <f>I39</f>
        <v>44500</v>
      </c>
      <c r="R39" s="3313"/>
      <c r="S39" s="3396"/>
      <c r="T39" s="3313"/>
      <c r="U39" s="3401"/>
    </row>
    <row r="40" spans="1:21" x14ac:dyDescent="0.35">
      <c r="A40" s="3431"/>
      <c r="B40" s="3439" t="s">
        <v>4064</v>
      </c>
      <c r="C40" s="2695" t="s">
        <v>4063</v>
      </c>
      <c r="D40" s="3307"/>
      <c r="E40" s="3307"/>
      <c r="F40" s="3399"/>
      <c r="G40" s="2233"/>
      <c r="H40" s="3313" t="s">
        <v>671</v>
      </c>
      <c r="I40" s="3401"/>
      <c r="J40" s="3313" t="s">
        <v>671</v>
      </c>
      <c r="K40" s="3438"/>
      <c r="L40" s="3313" t="s">
        <v>671</v>
      </c>
      <c r="M40" s="3401"/>
      <c r="N40" s="3313" t="s">
        <v>671</v>
      </c>
      <c r="O40" s="3401"/>
      <c r="P40" s="3313" t="s">
        <v>671</v>
      </c>
      <c r="Q40" s="3438"/>
      <c r="R40" s="3313"/>
      <c r="S40" s="3396"/>
      <c r="T40" s="3313"/>
      <c r="U40" s="3401"/>
    </row>
    <row r="41" spans="1:21" x14ac:dyDescent="0.35">
      <c r="A41" s="3431"/>
      <c r="B41" s="3439" t="s">
        <v>4065</v>
      </c>
      <c r="C41" s="2695" t="s">
        <v>4063</v>
      </c>
      <c r="D41" s="3307">
        <v>5070</v>
      </c>
      <c r="E41" s="3307" t="s">
        <v>28</v>
      </c>
      <c r="F41" s="3399">
        <v>15</v>
      </c>
      <c r="G41" s="2233">
        <f>F41*D41</f>
        <v>76050</v>
      </c>
      <c r="H41" s="3313" t="s">
        <v>669</v>
      </c>
      <c r="I41" s="3440">
        <v>36000</v>
      </c>
      <c r="J41" s="3313" t="s">
        <v>669</v>
      </c>
      <c r="K41" s="3438"/>
      <c r="L41" s="3313" t="s">
        <v>669</v>
      </c>
      <c r="M41" s="3401"/>
      <c r="N41" s="3256" t="s">
        <v>654</v>
      </c>
      <c r="O41" s="3441">
        <f>I41</f>
        <v>36000</v>
      </c>
      <c r="P41" s="3256" t="s">
        <v>654</v>
      </c>
      <c r="Q41" s="3441">
        <f>I41</f>
        <v>36000</v>
      </c>
      <c r="R41" s="3313"/>
      <c r="S41" s="3396"/>
      <c r="T41" s="3313"/>
      <c r="U41" s="3401"/>
    </row>
    <row r="42" spans="1:21" x14ac:dyDescent="0.35">
      <c r="A42" s="3431"/>
      <c r="B42" s="3439" t="s">
        <v>4066</v>
      </c>
      <c r="C42" s="2695" t="s">
        <v>4063</v>
      </c>
      <c r="D42" s="3307">
        <v>1</v>
      </c>
      <c r="E42" s="3307" t="s">
        <v>666</v>
      </c>
      <c r="F42" s="3399"/>
      <c r="G42" s="2233"/>
      <c r="H42" s="3313" t="s">
        <v>669</v>
      </c>
      <c r="I42" s="3401"/>
      <c r="J42" s="3313" t="s">
        <v>669</v>
      </c>
      <c r="K42" s="3438"/>
      <c r="L42" s="3313" t="s">
        <v>669</v>
      </c>
      <c r="M42" s="3401"/>
      <c r="N42" s="3256" t="s">
        <v>654</v>
      </c>
      <c r="O42" s="3441"/>
      <c r="P42" s="3256" t="s">
        <v>654</v>
      </c>
      <c r="Q42" s="3441"/>
      <c r="R42" s="3313"/>
      <c r="S42" s="3396"/>
      <c r="T42" s="3313"/>
      <c r="U42" s="3401"/>
    </row>
    <row r="43" spans="1:21" x14ac:dyDescent="0.35">
      <c r="A43" s="3431"/>
      <c r="B43" s="3439" t="s">
        <v>4067</v>
      </c>
      <c r="C43" s="2695" t="s">
        <v>4063</v>
      </c>
      <c r="D43" s="3307">
        <v>1</v>
      </c>
      <c r="E43" s="3307" t="s">
        <v>666</v>
      </c>
      <c r="F43" s="3399"/>
      <c r="G43" s="2233"/>
      <c r="H43" s="3313" t="s">
        <v>671</v>
      </c>
      <c r="I43" s="3401"/>
      <c r="J43" s="3313" t="s">
        <v>671</v>
      </c>
      <c r="K43" s="3438"/>
      <c r="L43" s="3256" t="s">
        <v>671</v>
      </c>
      <c r="M43" s="3401"/>
      <c r="N43" s="3313" t="s">
        <v>671</v>
      </c>
      <c r="O43" s="3396"/>
      <c r="P43" s="3313" t="s">
        <v>671</v>
      </c>
      <c r="Q43" s="3438"/>
      <c r="R43" s="3313"/>
      <c r="S43" s="3396"/>
      <c r="T43" s="3313"/>
      <c r="U43" s="3401"/>
    </row>
    <row r="44" spans="1:21" x14ac:dyDescent="0.35">
      <c r="A44" s="3431"/>
      <c r="B44" s="3439" t="s">
        <v>4068</v>
      </c>
      <c r="C44" s="2695" t="s">
        <v>4069</v>
      </c>
      <c r="D44" s="3307">
        <v>1</v>
      </c>
      <c r="E44" s="3307" t="s">
        <v>666</v>
      </c>
      <c r="F44" s="3399"/>
      <c r="G44" s="2233"/>
      <c r="H44" s="3313" t="s">
        <v>671</v>
      </c>
      <c r="I44" s="3401"/>
      <c r="J44" s="3313" t="s">
        <v>671</v>
      </c>
      <c r="K44" s="3442"/>
      <c r="L44" s="3256" t="s">
        <v>671</v>
      </c>
      <c r="M44" s="3401"/>
      <c r="N44" s="3313" t="s">
        <v>671</v>
      </c>
      <c r="O44" s="3396"/>
      <c r="P44" s="3313" t="s">
        <v>671</v>
      </c>
      <c r="Q44" s="3438"/>
      <c r="R44" s="3313"/>
      <c r="S44" s="3396"/>
      <c r="T44" s="3313"/>
      <c r="U44" s="3401"/>
    </row>
    <row r="45" spans="1:21" x14ac:dyDescent="0.35">
      <c r="A45" s="3431"/>
      <c r="B45" s="3439" t="s">
        <v>4070</v>
      </c>
      <c r="C45" s="2695" t="s">
        <v>4069</v>
      </c>
      <c r="D45" s="3307">
        <v>1</v>
      </c>
      <c r="E45" s="3307" t="s">
        <v>666</v>
      </c>
      <c r="F45" s="3399"/>
      <c r="G45" s="2233"/>
      <c r="H45" s="3313" t="s">
        <v>671</v>
      </c>
      <c r="I45" s="3401"/>
      <c r="J45" s="3313" t="s">
        <v>671</v>
      </c>
      <c r="K45" s="3396"/>
      <c r="L45" s="3256" t="s">
        <v>671</v>
      </c>
      <c r="M45" s="3401"/>
      <c r="N45" s="3313" t="s">
        <v>671</v>
      </c>
      <c r="O45" s="3396"/>
      <c r="P45" s="3313" t="s">
        <v>671</v>
      </c>
      <c r="Q45" s="3438"/>
      <c r="R45" s="3313"/>
      <c r="S45" s="3396"/>
      <c r="T45" s="3313"/>
      <c r="U45" s="3401"/>
    </row>
    <row r="46" spans="1:21" x14ac:dyDescent="0.35">
      <c r="A46" s="3431"/>
      <c r="B46" s="3439" t="s">
        <v>4071</v>
      </c>
      <c r="C46" s="2695" t="s">
        <v>4069</v>
      </c>
      <c r="D46" s="3307">
        <v>1</v>
      </c>
      <c r="E46" s="3307" t="s">
        <v>666</v>
      </c>
      <c r="F46" s="3399"/>
      <c r="G46" s="2233"/>
      <c r="H46" s="3313" t="s">
        <v>671</v>
      </c>
      <c r="I46" s="3401"/>
      <c r="J46" s="3313" t="s">
        <v>671</v>
      </c>
      <c r="K46" s="3396"/>
      <c r="L46" s="3256" t="s">
        <v>671</v>
      </c>
      <c r="M46" s="3401"/>
      <c r="N46" s="3313" t="s">
        <v>671</v>
      </c>
      <c r="O46" s="3396"/>
      <c r="P46" s="3313" t="s">
        <v>671</v>
      </c>
      <c r="Q46" s="3438"/>
      <c r="R46" s="3313"/>
      <c r="S46" s="3396"/>
      <c r="T46" s="3313"/>
      <c r="U46" s="3401"/>
    </row>
    <row r="47" spans="1:21" x14ac:dyDescent="0.35">
      <c r="A47" s="3431"/>
      <c r="B47" s="3439" t="s">
        <v>4072</v>
      </c>
      <c r="C47" s="2695" t="s">
        <v>4069</v>
      </c>
      <c r="D47" s="3307">
        <v>1</v>
      </c>
      <c r="E47" s="3307" t="s">
        <v>666</v>
      </c>
      <c r="F47" s="3399"/>
      <c r="G47" s="2233"/>
      <c r="H47" s="3313" t="s">
        <v>671</v>
      </c>
      <c r="I47" s="3401"/>
      <c r="J47" s="3313" t="s">
        <v>671</v>
      </c>
      <c r="K47" s="3396"/>
      <c r="L47" s="3256" t="s">
        <v>671</v>
      </c>
      <c r="M47" s="3401"/>
      <c r="N47" s="3313" t="s">
        <v>671</v>
      </c>
      <c r="O47" s="3396"/>
      <c r="P47" s="3313" t="s">
        <v>671</v>
      </c>
      <c r="Q47" s="3438"/>
      <c r="R47" s="3313"/>
      <c r="S47" s="3396"/>
      <c r="T47" s="3313"/>
      <c r="U47" s="3401"/>
    </row>
    <row r="48" spans="1:21" x14ac:dyDescent="0.35">
      <c r="A48" s="3431"/>
      <c r="B48" s="3439" t="s">
        <v>4073</v>
      </c>
      <c r="C48" s="2695" t="s">
        <v>4069</v>
      </c>
      <c r="D48" s="3307">
        <v>1</v>
      </c>
      <c r="E48" s="3307" t="s">
        <v>666</v>
      </c>
      <c r="F48" s="3399"/>
      <c r="G48" s="2233"/>
      <c r="H48" s="3313" t="s">
        <v>671</v>
      </c>
      <c r="I48" s="3401"/>
      <c r="J48" s="3313" t="s">
        <v>671</v>
      </c>
      <c r="K48" s="3396"/>
      <c r="L48" s="3256" t="s">
        <v>671</v>
      </c>
      <c r="M48" s="3401"/>
      <c r="N48" s="3313" t="s">
        <v>671</v>
      </c>
      <c r="O48" s="3396"/>
      <c r="P48" s="3313" t="s">
        <v>671</v>
      </c>
      <c r="Q48" s="3438"/>
      <c r="R48" s="3313"/>
      <c r="S48" s="3396"/>
      <c r="T48" s="3313"/>
      <c r="U48" s="3401"/>
    </row>
    <row r="49" spans="1:21" x14ac:dyDescent="0.35">
      <c r="A49" s="3431"/>
      <c r="B49" s="3443" t="s">
        <v>4074</v>
      </c>
      <c r="C49" s="2695"/>
      <c r="D49" s="3307">
        <v>1</v>
      </c>
      <c r="E49" s="3307" t="s">
        <v>755</v>
      </c>
      <c r="F49" s="3399">
        <v>25000</v>
      </c>
      <c r="G49" s="2233">
        <f>F49*D49</f>
        <v>25000</v>
      </c>
      <c r="H49" s="3313" t="s">
        <v>671</v>
      </c>
      <c r="I49" s="3401"/>
      <c r="J49" s="3313" t="s">
        <v>671</v>
      </c>
      <c r="K49" s="3401"/>
      <c r="L49" s="3256" t="s">
        <v>671</v>
      </c>
      <c r="M49" s="3401"/>
      <c r="N49" s="3313" t="s">
        <v>671</v>
      </c>
      <c r="O49" s="3401"/>
      <c r="P49" s="3256" t="s">
        <v>671</v>
      </c>
      <c r="Q49" s="3401"/>
      <c r="R49" s="3313"/>
      <c r="S49" s="3396"/>
      <c r="T49" s="3313"/>
      <c r="U49" s="3401"/>
    </row>
    <row r="50" spans="1:21" x14ac:dyDescent="0.35">
      <c r="A50" s="3431"/>
      <c r="B50" s="3443" t="s">
        <v>4075</v>
      </c>
      <c r="C50" s="2695"/>
      <c r="D50" s="3307">
        <v>1</v>
      </c>
      <c r="E50" s="3307" t="s">
        <v>755</v>
      </c>
      <c r="F50" s="3399">
        <v>25000</v>
      </c>
      <c r="G50" s="2233">
        <f>F50*D50</f>
        <v>25000</v>
      </c>
      <c r="H50" s="3313" t="s">
        <v>671</v>
      </c>
      <c r="I50" s="3401"/>
      <c r="J50" s="3313" t="s">
        <v>671</v>
      </c>
      <c r="K50" s="3401"/>
      <c r="L50" s="3256" t="s">
        <v>671</v>
      </c>
      <c r="M50" s="3401"/>
      <c r="N50" s="3313" t="s">
        <v>671</v>
      </c>
      <c r="O50" s="3401"/>
      <c r="P50" s="3256" t="s">
        <v>671</v>
      </c>
      <c r="Q50" s="3401"/>
      <c r="R50" s="3313"/>
      <c r="S50" s="3396"/>
      <c r="T50" s="3313"/>
      <c r="U50" s="3401"/>
    </row>
    <row r="51" spans="1:21" x14ac:dyDescent="0.35">
      <c r="A51" s="3431"/>
      <c r="B51" s="3439" t="s">
        <v>4076</v>
      </c>
      <c r="C51" s="2695" t="s">
        <v>4069</v>
      </c>
      <c r="D51" s="3307"/>
      <c r="E51" s="3307"/>
      <c r="F51" s="3399"/>
      <c r="G51" s="2233"/>
      <c r="H51" s="3313" t="s">
        <v>669</v>
      </c>
      <c r="I51" s="3313">
        <v>35200</v>
      </c>
      <c r="J51" s="3313" t="s">
        <v>669</v>
      </c>
      <c r="K51" s="3401"/>
      <c r="L51" s="3313" t="s">
        <v>669</v>
      </c>
      <c r="M51" s="3401"/>
      <c r="N51" s="3313" t="s">
        <v>669</v>
      </c>
      <c r="O51" s="3396"/>
      <c r="P51" s="3313" t="s">
        <v>669</v>
      </c>
      <c r="Q51" s="3438"/>
      <c r="R51" s="3313"/>
      <c r="S51" s="3396"/>
      <c r="T51" s="3313"/>
      <c r="U51" s="3401"/>
    </row>
    <row r="52" spans="1:21" x14ac:dyDescent="0.35">
      <c r="A52" s="3431"/>
      <c r="B52" s="3439" t="s">
        <v>4077</v>
      </c>
      <c r="C52" s="2695"/>
      <c r="D52" s="3307"/>
      <c r="E52" s="3307"/>
      <c r="F52" s="3399"/>
      <c r="G52" s="2233"/>
      <c r="H52" s="3313" t="s">
        <v>669</v>
      </c>
      <c r="I52" s="3313"/>
      <c r="J52" s="3313" t="s">
        <v>669</v>
      </c>
      <c r="K52" s="3401"/>
      <c r="L52" s="3313" t="s">
        <v>669</v>
      </c>
      <c r="M52" s="3401"/>
      <c r="N52" s="3313" t="s">
        <v>669</v>
      </c>
      <c r="O52" s="3396"/>
      <c r="P52" s="3313" t="s">
        <v>669</v>
      </c>
      <c r="Q52" s="3438"/>
      <c r="R52" s="3313"/>
      <c r="S52" s="3396"/>
      <c r="T52" s="3313"/>
      <c r="U52" s="3401"/>
    </row>
    <row r="53" spans="1:21" x14ac:dyDescent="0.35">
      <c r="A53" s="3431"/>
      <c r="B53" s="3439" t="s">
        <v>4078</v>
      </c>
      <c r="C53" s="2695" t="s">
        <v>4079</v>
      </c>
      <c r="D53" s="3307">
        <v>225</v>
      </c>
      <c r="E53" s="3307" t="s">
        <v>752</v>
      </c>
      <c r="F53" s="3399"/>
      <c r="G53" s="2233"/>
      <c r="H53" s="3313" t="s">
        <v>669</v>
      </c>
      <c r="I53" s="3313">
        <v>20600</v>
      </c>
      <c r="J53" s="3313" t="s">
        <v>669</v>
      </c>
      <c r="K53" s="3401"/>
      <c r="L53" s="3313" t="s">
        <v>669</v>
      </c>
      <c r="M53" s="3401"/>
      <c r="N53" s="3313" t="s">
        <v>669</v>
      </c>
      <c r="O53" s="3438"/>
      <c r="P53" s="3313" t="s">
        <v>669</v>
      </c>
      <c r="Q53" s="3438"/>
      <c r="R53" s="3313"/>
      <c r="S53" s="3396"/>
      <c r="T53" s="3313"/>
      <c r="U53" s="3401"/>
    </row>
    <row r="54" spans="1:21" x14ac:dyDescent="0.35">
      <c r="A54" s="3431"/>
      <c r="B54" s="3439" t="s">
        <v>4080</v>
      </c>
      <c r="C54" s="2695" t="s">
        <v>4079</v>
      </c>
      <c r="D54" s="3307">
        <v>2</v>
      </c>
      <c r="E54" s="3307" t="s">
        <v>666</v>
      </c>
      <c r="F54" s="3399"/>
      <c r="G54" s="2233"/>
      <c r="H54" s="3313" t="s">
        <v>669</v>
      </c>
      <c r="I54" s="3313"/>
      <c r="J54" s="3313" t="s">
        <v>669</v>
      </c>
      <c r="K54" s="3401"/>
      <c r="L54" s="3313" t="s">
        <v>669</v>
      </c>
      <c r="M54" s="3401"/>
      <c r="N54" s="3313" t="s">
        <v>669</v>
      </c>
      <c r="O54" s="3438"/>
      <c r="P54" s="3313" t="s">
        <v>669</v>
      </c>
      <c r="Q54" s="3438"/>
      <c r="R54" s="3313"/>
      <c r="S54" s="3396"/>
      <c r="T54" s="3313"/>
      <c r="U54" s="3401"/>
    </row>
    <row r="55" spans="1:21" x14ac:dyDescent="0.35">
      <c r="A55" s="3431"/>
      <c r="B55" s="3439" t="s">
        <v>4081</v>
      </c>
      <c r="C55" s="2695" t="s">
        <v>4069</v>
      </c>
      <c r="D55" s="3307">
        <v>2</v>
      </c>
      <c r="E55" s="3307" t="s">
        <v>666</v>
      </c>
      <c r="F55" s="3399"/>
      <c r="G55" s="2233"/>
      <c r="H55" s="3313" t="s">
        <v>669</v>
      </c>
      <c r="I55" s="3313">
        <v>32800</v>
      </c>
      <c r="J55" s="3313" t="s">
        <v>669</v>
      </c>
      <c r="K55" s="3401"/>
      <c r="L55" s="3313" t="s">
        <v>669</v>
      </c>
      <c r="M55" s="3401"/>
      <c r="N55" s="3313" t="s">
        <v>669</v>
      </c>
      <c r="O55" s="3438"/>
      <c r="P55" s="3313" t="s">
        <v>669</v>
      </c>
      <c r="Q55" s="3438"/>
      <c r="R55" s="3313"/>
      <c r="S55" s="3396"/>
      <c r="T55" s="3313"/>
      <c r="U55" s="3401"/>
    </row>
    <row r="56" spans="1:21" x14ac:dyDescent="0.35">
      <c r="A56" s="3431"/>
      <c r="B56" s="3439" t="s">
        <v>4082</v>
      </c>
      <c r="C56" s="2695" t="s">
        <v>4069</v>
      </c>
      <c r="D56" s="3307">
        <v>1</v>
      </c>
      <c r="E56" s="3307" t="s">
        <v>666</v>
      </c>
      <c r="F56" s="3399"/>
      <c r="G56" s="2233"/>
      <c r="H56" s="3313" t="s">
        <v>669</v>
      </c>
      <c r="I56" s="3313"/>
      <c r="J56" s="3313" t="s">
        <v>669</v>
      </c>
      <c r="K56" s="3401"/>
      <c r="L56" s="3313" t="s">
        <v>669</v>
      </c>
      <c r="M56" s="3401"/>
      <c r="N56" s="3313" t="s">
        <v>669</v>
      </c>
      <c r="O56" s="3438"/>
      <c r="P56" s="3313" t="s">
        <v>669</v>
      </c>
      <c r="Q56" s="3438"/>
      <c r="R56" s="3313"/>
      <c r="S56" s="3396"/>
      <c r="T56" s="3313"/>
      <c r="U56" s="3401"/>
    </row>
    <row r="57" spans="1:21" ht="18.649999999999999" customHeight="1" x14ac:dyDescent="0.35">
      <c r="A57" s="3431"/>
      <c r="B57" s="3439" t="s">
        <v>4083</v>
      </c>
      <c r="C57" s="2695" t="s">
        <v>4069</v>
      </c>
      <c r="D57" s="3307">
        <v>420</v>
      </c>
      <c r="E57" s="3307" t="s">
        <v>752</v>
      </c>
      <c r="F57" s="3399"/>
      <c r="G57" s="2233"/>
      <c r="H57" s="3313" t="s">
        <v>669</v>
      </c>
      <c r="I57" s="3313">
        <f>51000</f>
        <v>51000</v>
      </c>
      <c r="J57" s="3313" t="s">
        <v>669</v>
      </c>
      <c r="K57" s="3401"/>
      <c r="L57" s="3313" t="s">
        <v>669</v>
      </c>
      <c r="M57" s="3401"/>
      <c r="N57" s="3313" t="s">
        <v>669</v>
      </c>
      <c r="O57" s="3396"/>
      <c r="P57" s="3313" t="s">
        <v>669</v>
      </c>
      <c r="Q57" s="3438"/>
      <c r="R57" s="3313"/>
      <c r="S57" s="3396"/>
      <c r="T57" s="3313"/>
      <c r="U57" s="3401"/>
    </row>
    <row r="58" spans="1:21" x14ac:dyDescent="0.35">
      <c r="A58" s="3431"/>
      <c r="B58" s="3439" t="s">
        <v>4084</v>
      </c>
      <c r="C58" s="2695" t="s">
        <v>4069</v>
      </c>
      <c r="D58" s="3307">
        <v>4</v>
      </c>
      <c r="E58" s="3307" t="s">
        <v>666</v>
      </c>
      <c r="F58" s="3399"/>
      <c r="G58" s="2233"/>
      <c r="H58" s="3313" t="s">
        <v>669</v>
      </c>
      <c r="I58" s="3313"/>
      <c r="J58" s="3313" t="s">
        <v>669</v>
      </c>
      <c r="K58" s="3401"/>
      <c r="L58" s="3313" t="s">
        <v>669</v>
      </c>
      <c r="M58" s="3401"/>
      <c r="N58" s="3313" t="s">
        <v>669</v>
      </c>
      <c r="O58" s="3396"/>
      <c r="P58" s="3313" t="s">
        <v>669</v>
      </c>
      <c r="Q58" s="3438"/>
      <c r="R58" s="3313"/>
      <c r="S58" s="3396"/>
      <c r="T58" s="3313"/>
      <c r="U58" s="3401"/>
    </row>
    <row r="59" spans="1:21" x14ac:dyDescent="0.35">
      <c r="A59" s="3431"/>
      <c r="B59" s="3439" t="s">
        <v>4085</v>
      </c>
      <c r="C59" s="2695"/>
      <c r="D59" s="3307">
        <v>1</v>
      </c>
      <c r="E59" s="3307" t="s">
        <v>666</v>
      </c>
      <c r="F59" s="3399"/>
      <c r="G59" s="2233"/>
      <c r="H59" s="3313" t="s">
        <v>669</v>
      </c>
      <c r="I59" s="3313"/>
      <c r="J59" s="3313" t="s">
        <v>669</v>
      </c>
      <c r="K59" s="3396"/>
      <c r="L59" s="3313" t="s">
        <v>669</v>
      </c>
      <c r="M59" s="3401"/>
      <c r="N59" s="3313" t="s">
        <v>669</v>
      </c>
      <c r="O59" s="3396"/>
      <c r="P59" s="3313" t="s">
        <v>669</v>
      </c>
      <c r="Q59" s="3438"/>
      <c r="R59" s="3313"/>
      <c r="S59" s="3396"/>
      <c r="T59" s="3313"/>
      <c r="U59" s="3401"/>
    </row>
    <row r="60" spans="1:21" x14ac:dyDescent="0.35">
      <c r="A60" s="3431"/>
      <c r="B60" s="3439" t="s">
        <v>4086</v>
      </c>
      <c r="C60" s="2695" t="s">
        <v>4079</v>
      </c>
      <c r="D60" s="3307">
        <v>500</v>
      </c>
      <c r="E60" s="3307" t="s">
        <v>752</v>
      </c>
      <c r="F60" s="3399"/>
      <c r="G60" s="2233"/>
      <c r="H60" s="3313" t="s">
        <v>669</v>
      </c>
      <c r="I60" s="3313">
        <v>49500</v>
      </c>
      <c r="J60" s="3313" t="s">
        <v>669</v>
      </c>
      <c r="K60" s="3396"/>
      <c r="L60" s="3313" t="s">
        <v>669</v>
      </c>
      <c r="M60" s="3401"/>
      <c r="N60" s="3313" t="s">
        <v>669</v>
      </c>
      <c r="O60" s="3396"/>
      <c r="P60" s="3313" t="s">
        <v>669</v>
      </c>
      <c r="Q60" s="3438"/>
      <c r="R60" s="3313"/>
      <c r="S60" s="3396"/>
      <c r="T60" s="3313"/>
      <c r="U60" s="3401"/>
    </row>
    <row r="61" spans="1:21" x14ac:dyDescent="0.35">
      <c r="A61" s="3431"/>
      <c r="B61" s="3439" t="s">
        <v>4087</v>
      </c>
      <c r="C61" s="2695" t="s">
        <v>4079</v>
      </c>
      <c r="D61" s="3307">
        <v>1</v>
      </c>
      <c r="E61" s="3307" t="s">
        <v>666</v>
      </c>
      <c r="F61" s="3399"/>
      <c r="G61" s="2233"/>
      <c r="H61" s="3313" t="s">
        <v>669</v>
      </c>
      <c r="I61" s="3401"/>
      <c r="J61" s="3313" t="s">
        <v>669</v>
      </c>
      <c r="K61" s="3396"/>
      <c r="L61" s="3313" t="s">
        <v>669</v>
      </c>
      <c r="M61" s="3401"/>
      <c r="N61" s="3313" t="s">
        <v>669</v>
      </c>
      <c r="O61" s="3396"/>
      <c r="P61" s="3313" t="s">
        <v>669</v>
      </c>
      <c r="Q61" s="3438"/>
      <c r="R61" s="3313"/>
      <c r="S61" s="3396"/>
      <c r="T61" s="3313"/>
      <c r="U61" s="3401"/>
    </row>
    <row r="62" spans="1:21" x14ac:dyDescent="0.35">
      <c r="A62" s="3431"/>
      <c r="B62" s="3439" t="s">
        <v>4088</v>
      </c>
      <c r="C62" s="2695" t="s">
        <v>4079</v>
      </c>
      <c r="D62" s="3307">
        <v>4</v>
      </c>
      <c r="E62" s="3307" t="s">
        <v>666</v>
      </c>
      <c r="F62" s="3399"/>
      <c r="G62" s="2233"/>
      <c r="H62" s="3313" t="s">
        <v>669</v>
      </c>
      <c r="I62" s="3401"/>
      <c r="J62" s="3313" t="s">
        <v>669</v>
      </c>
      <c r="K62" s="3396"/>
      <c r="L62" s="3313" t="s">
        <v>669</v>
      </c>
      <c r="M62" s="3401"/>
      <c r="N62" s="3313" t="s">
        <v>669</v>
      </c>
      <c r="O62" s="3396"/>
      <c r="P62" s="3313" t="s">
        <v>669</v>
      </c>
      <c r="Q62" s="3438"/>
      <c r="R62" s="3313"/>
      <c r="S62" s="3396"/>
      <c r="T62" s="3313"/>
      <c r="U62" s="3401"/>
    </row>
    <row r="63" spans="1:21" x14ac:dyDescent="0.35">
      <c r="A63" s="3431"/>
      <c r="B63" s="3439" t="s">
        <v>4089</v>
      </c>
      <c r="C63" s="3444"/>
      <c r="D63" s="2695">
        <v>16</v>
      </c>
      <c r="E63" s="3307" t="s">
        <v>752</v>
      </c>
      <c r="F63" s="3307"/>
      <c r="G63" s="2233"/>
      <c r="H63" s="3313" t="s">
        <v>669</v>
      </c>
      <c r="I63" s="3401"/>
      <c r="J63" s="3313" t="s">
        <v>669</v>
      </c>
      <c r="K63" s="3396"/>
      <c r="L63" s="3313" t="s">
        <v>669</v>
      </c>
      <c r="M63" s="3438">
        <v>1190</v>
      </c>
      <c r="N63" s="3313" t="s">
        <v>669</v>
      </c>
      <c r="O63" s="3396"/>
      <c r="P63" s="3313" t="s">
        <v>669</v>
      </c>
      <c r="Q63" s="3396"/>
      <c r="R63" s="3313"/>
      <c r="S63" s="3396"/>
      <c r="T63" s="3313"/>
      <c r="U63" s="3401"/>
    </row>
    <row r="64" spans="1:21" x14ac:dyDescent="0.35">
      <c r="A64" s="3431"/>
      <c r="B64" s="3439" t="s">
        <v>4090</v>
      </c>
      <c r="C64" s="3444"/>
      <c r="D64" s="2695">
        <v>1</v>
      </c>
      <c r="E64" s="3307" t="s">
        <v>666</v>
      </c>
      <c r="F64" s="3307"/>
      <c r="G64" s="2233"/>
      <c r="H64" s="3313" t="s">
        <v>669</v>
      </c>
      <c r="I64" s="3401"/>
      <c r="J64" s="3313" t="s">
        <v>669</v>
      </c>
      <c r="K64" s="3396"/>
      <c r="L64" s="3313" t="s">
        <v>669</v>
      </c>
      <c r="M64" s="3438">
        <v>2500</v>
      </c>
      <c r="N64" s="3313" t="s">
        <v>669</v>
      </c>
      <c r="O64" s="3438">
        <v>2500</v>
      </c>
      <c r="P64" s="3313" t="s">
        <v>669</v>
      </c>
      <c r="Q64" s="3396"/>
      <c r="R64" s="3313"/>
      <c r="S64" s="3396"/>
      <c r="T64" s="3313"/>
      <c r="U64" s="3401"/>
    </row>
    <row r="65" spans="1:21" x14ac:dyDescent="0.35">
      <c r="A65" s="3431"/>
      <c r="B65" s="3439" t="s">
        <v>4091</v>
      </c>
      <c r="C65" s="2695" t="s">
        <v>4092</v>
      </c>
      <c r="D65" s="2695">
        <v>1</v>
      </c>
      <c r="E65" s="3307" t="s">
        <v>666</v>
      </c>
      <c r="F65" s="3332">
        <v>8000</v>
      </c>
      <c r="G65" s="2233">
        <f>F65*D65</f>
        <v>8000</v>
      </c>
      <c r="H65" s="3256" t="s">
        <v>654</v>
      </c>
      <c r="I65" s="3445">
        <f>M65</f>
        <v>8500</v>
      </c>
      <c r="J65" s="3313" t="s">
        <v>669</v>
      </c>
      <c r="K65" s="3438">
        <v>5500</v>
      </c>
      <c r="L65" s="3313" t="s">
        <v>669</v>
      </c>
      <c r="M65" s="3438">
        <v>8500</v>
      </c>
      <c r="N65" s="3313" t="s">
        <v>669</v>
      </c>
      <c r="O65" s="3438">
        <v>8500</v>
      </c>
      <c r="P65" s="3313" t="s">
        <v>669</v>
      </c>
      <c r="Q65" s="3396"/>
      <c r="R65" s="3313"/>
      <c r="S65" s="3396"/>
      <c r="T65" s="3313"/>
      <c r="U65" s="3401"/>
    </row>
    <row r="66" spans="1:21" x14ac:dyDescent="0.35">
      <c r="A66" s="3431"/>
      <c r="B66" s="3439"/>
      <c r="C66" s="2695"/>
      <c r="D66" s="2695"/>
      <c r="E66" s="3307"/>
      <c r="F66" s="3332"/>
      <c r="G66" s="2233"/>
      <c r="H66" s="3313"/>
      <c r="I66" s="3401"/>
      <c r="J66" s="3313"/>
      <c r="K66" s="3396"/>
      <c r="L66" s="3313"/>
      <c r="M66" s="3401"/>
      <c r="N66" s="3313"/>
      <c r="O66" s="3438"/>
      <c r="P66" s="3313"/>
      <c r="Q66" s="3396"/>
      <c r="R66" s="3313"/>
      <c r="S66" s="3396"/>
      <c r="T66" s="3313"/>
      <c r="U66" s="3401"/>
    </row>
    <row r="67" spans="1:21" x14ac:dyDescent="0.35">
      <c r="A67" s="3431"/>
      <c r="B67" s="395" t="s">
        <v>4093</v>
      </c>
      <c r="C67" s="3446"/>
      <c r="D67" s="3446"/>
      <c r="E67" s="3423"/>
      <c r="F67" s="3447"/>
      <c r="G67" s="3448"/>
      <c r="H67" s="3313" t="s">
        <v>669</v>
      </c>
      <c r="I67" s="3401">
        <v>750</v>
      </c>
      <c r="J67" s="3313" t="s">
        <v>669</v>
      </c>
      <c r="K67" s="3396"/>
      <c r="L67" s="3313" t="s">
        <v>669</v>
      </c>
      <c r="M67" s="3401"/>
      <c r="N67" s="3313" t="s">
        <v>669</v>
      </c>
      <c r="O67" s="3438"/>
      <c r="P67" s="3313" t="s">
        <v>669</v>
      </c>
      <c r="Q67" s="3396"/>
      <c r="R67" s="3449"/>
      <c r="S67" s="3396"/>
      <c r="T67" s="3449"/>
      <c r="U67" s="3401"/>
    </row>
    <row r="68" spans="1:21" x14ac:dyDescent="0.35">
      <c r="A68" s="14"/>
      <c r="B68" s="15"/>
      <c r="C68" s="16"/>
      <c r="D68" s="16"/>
      <c r="E68" s="17"/>
      <c r="F68" s="18" t="s">
        <v>715</v>
      </c>
      <c r="G68" s="19"/>
      <c r="H68" s="20"/>
      <c r="I68" s="50">
        <f>SUM(I23:I67)</f>
        <v>278850</v>
      </c>
      <c r="J68" s="20"/>
      <c r="K68" s="50">
        <f>SUM(K23:K67)</f>
        <v>277348</v>
      </c>
      <c r="L68" s="20"/>
      <c r="M68" s="50">
        <f>SUM(M23:M67)</f>
        <v>393332</v>
      </c>
      <c r="N68" s="20"/>
      <c r="O68" s="50">
        <f>SUM(O23:O67)</f>
        <v>424250</v>
      </c>
      <c r="P68" s="20"/>
      <c r="Q68" s="50">
        <f>SUM(Q23:Q67)</f>
        <v>428325</v>
      </c>
      <c r="R68" s="20"/>
      <c r="S68" s="50">
        <f>SUM(S23:S67)</f>
        <v>0</v>
      </c>
      <c r="T68" s="20"/>
      <c r="U68" s="50">
        <f>SUM(U23:U58)</f>
        <v>0</v>
      </c>
    </row>
    <row r="69" spans="1:21" x14ac:dyDescent="0.35">
      <c r="A69" s="3265"/>
      <c r="B69" s="3266"/>
      <c r="C69" s="3267"/>
      <c r="D69" s="3267"/>
      <c r="E69" s="3268"/>
      <c r="F69" s="3350" t="s">
        <v>716</v>
      </c>
      <c r="G69" s="2244"/>
      <c r="H69" s="3270">
        <v>0</v>
      </c>
      <c r="I69" s="960"/>
      <c r="J69" s="3270">
        <v>0</v>
      </c>
      <c r="K69" s="960"/>
      <c r="L69" s="3450">
        <v>5.0000000000000001E-3</v>
      </c>
      <c r="M69" s="960"/>
      <c r="N69" s="3450">
        <v>0.01</v>
      </c>
      <c r="O69" s="960"/>
      <c r="P69" s="3270">
        <v>0</v>
      </c>
      <c r="Q69" s="960"/>
      <c r="R69" s="3270">
        <v>0</v>
      </c>
      <c r="S69" s="960"/>
      <c r="T69" s="3270">
        <v>0</v>
      </c>
      <c r="U69" s="960"/>
    </row>
    <row r="70" spans="1:21" x14ac:dyDescent="0.35">
      <c r="A70" s="3265"/>
      <c r="B70" s="3266"/>
      <c r="C70" s="3267"/>
      <c r="D70" s="3267"/>
      <c r="E70" s="3268"/>
      <c r="F70" s="3350" t="s">
        <v>717</v>
      </c>
      <c r="G70" s="2244"/>
      <c r="H70" s="3271"/>
      <c r="I70" s="3272">
        <f>I68*H69</f>
        <v>0</v>
      </c>
      <c r="J70" s="3271"/>
      <c r="K70" s="3272">
        <f>K68*J69</f>
        <v>0</v>
      </c>
      <c r="L70" s="3271"/>
      <c r="M70" s="3272">
        <f>M68*L69</f>
        <v>1966.66</v>
      </c>
      <c r="N70" s="3271"/>
      <c r="O70" s="3272">
        <f>O68*N69</f>
        <v>4242.5</v>
      </c>
      <c r="P70" s="3271"/>
      <c r="Q70" s="3272">
        <f>Q68*P69</f>
        <v>0</v>
      </c>
      <c r="R70" s="3271"/>
      <c r="S70" s="3272">
        <f>S68*R69</f>
        <v>0</v>
      </c>
      <c r="T70" s="3271"/>
      <c r="U70" s="3272">
        <f>U68*T69</f>
        <v>0</v>
      </c>
    </row>
    <row r="71" spans="1:21" x14ac:dyDescent="0.35">
      <c r="A71" s="3265"/>
      <c r="B71" s="3266"/>
      <c r="C71" s="3267"/>
      <c r="D71" s="3267"/>
      <c r="E71" s="3268"/>
      <c r="F71" s="3350"/>
      <c r="G71" s="2244"/>
      <c r="H71" s="3271"/>
      <c r="I71" s="3273"/>
      <c r="J71" s="3271"/>
      <c r="K71" s="3273"/>
      <c r="L71" s="3271"/>
      <c r="M71" s="3273"/>
      <c r="N71" s="3271"/>
      <c r="O71" s="3273"/>
      <c r="P71" s="3271"/>
      <c r="Q71" s="3273"/>
      <c r="R71" s="3271"/>
      <c r="S71" s="3273"/>
      <c r="T71" s="3271"/>
      <c r="U71" s="3273"/>
    </row>
    <row r="72" spans="1:21" x14ac:dyDescent="0.35">
      <c r="A72" s="3265"/>
      <c r="B72" s="3266"/>
      <c r="C72" s="3267"/>
      <c r="D72" s="3267"/>
      <c r="E72" s="3268"/>
      <c r="F72" s="3350" t="s">
        <v>718</v>
      </c>
      <c r="G72" s="2244"/>
      <c r="H72" s="3274"/>
      <c r="I72" s="3272">
        <f>SUM(I68:I70)</f>
        <v>278850</v>
      </c>
      <c r="J72" s="3274"/>
      <c r="K72" s="3272">
        <f>SUM(K68:K70)</f>
        <v>277348</v>
      </c>
      <c r="L72" s="3274"/>
      <c r="M72" s="3272">
        <f>SUM(M68:M70)</f>
        <v>395298.66</v>
      </c>
      <c r="N72" s="3274"/>
      <c r="O72" s="3272">
        <f>SUM(O68:O70)</f>
        <v>428492.5</v>
      </c>
      <c r="P72" s="3274"/>
      <c r="Q72" s="3272">
        <f>SUM(Q68:Q70)</f>
        <v>428325</v>
      </c>
      <c r="R72" s="3274"/>
      <c r="S72" s="3272">
        <f>SUM(S68:S70)</f>
        <v>0</v>
      </c>
      <c r="T72" s="3274"/>
      <c r="U72" s="3272">
        <f>SUM(U68:U70)</f>
        <v>0</v>
      </c>
    </row>
    <row r="73" spans="1:21" x14ac:dyDescent="0.35">
      <c r="A73" s="3265"/>
      <c r="B73" s="3266"/>
      <c r="C73" s="3267"/>
      <c r="D73" s="3267"/>
      <c r="E73" s="3268"/>
      <c r="F73" s="3351" t="s">
        <v>719</v>
      </c>
      <c r="G73" s="2256"/>
      <c r="H73" s="3276"/>
      <c r="I73" s="3277" t="e">
        <f>I72/#REF!</f>
        <v>#REF!</v>
      </c>
      <c r="J73" s="3276"/>
      <c r="K73" s="3277" t="e">
        <f>K72/#REF!</f>
        <v>#REF!</v>
      </c>
      <c r="L73" s="3276"/>
      <c r="M73" s="3277" t="e">
        <f>M72/#REF!</f>
        <v>#REF!</v>
      </c>
      <c r="N73" s="3276"/>
      <c r="O73" s="3277" t="e">
        <f>O72/#REF!</f>
        <v>#REF!</v>
      </c>
      <c r="P73" s="3276"/>
      <c r="Q73" s="3277" t="e">
        <f>Q72/#REF!</f>
        <v>#REF!</v>
      </c>
      <c r="R73" s="3276"/>
      <c r="S73" s="3277" t="e">
        <f>S72/#REF!</f>
        <v>#REF!</v>
      </c>
      <c r="T73" s="3276"/>
      <c r="U73" s="3277" t="e">
        <f>U72/#REF!</f>
        <v>#REF!</v>
      </c>
    </row>
    <row r="74" spans="1:21" x14ac:dyDescent="0.35">
      <c r="A74" s="3265"/>
      <c r="B74" s="3266"/>
      <c r="C74" s="3267"/>
      <c r="D74" s="3267"/>
      <c r="E74" s="3268"/>
      <c r="F74" s="3351" t="s">
        <v>720</v>
      </c>
      <c r="G74" s="2260"/>
      <c r="H74" s="3276"/>
      <c r="I74" s="3277" t="e">
        <f>I72/#REF!</f>
        <v>#REF!</v>
      </c>
      <c r="J74" s="3276"/>
      <c r="K74" s="3277" t="e">
        <f>K72/#REF!</f>
        <v>#REF!</v>
      </c>
      <c r="L74" s="3276"/>
      <c r="M74" s="3277" t="e">
        <f>M72/#REF!</f>
        <v>#REF!</v>
      </c>
      <c r="N74" s="3276"/>
      <c r="O74" s="3277" t="e">
        <f>O72/#REF!</f>
        <v>#REF!</v>
      </c>
      <c r="P74" s="3276"/>
      <c r="Q74" s="3277" t="e">
        <f>Q72/#REF!</f>
        <v>#REF!</v>
      </c>
      <c r="R74" s="3276"/>
      <c r="S74" s="3277" t="e">
        <f>S72/#REF!</f>
        <v>#REF!</v>
      </c>
      <c r="T74" s="3276"/>
      <c r="U74" s="3277" t="e">
        <f>U72/#REF!</f>
        <v>#REF!</v>
      </c>
    </row>
    <row r="75" spans="1:21" x14ac:dyDescent="0.35">
      <c r="A75" s="3265"/>
      <c r="B75" s="3266"/>
      <c r="C75" s="3267"/>
      <c r="D75" s="3267"/>
      <c r="E75" s="3268"/>
      <c r="F75" s="3350"/>
      <c r="G75" s="2261"/>
      <c r="H75" s="3278"/>
      <c r="I75" s="3279"/>
      <c r="J75" s="3278"/>
      <c r="K75" s="3279"/>
      <c r="L75" s="3278"/>
      <c r="M75" s="3279"/>
      <c r="N75" s="3278"/>
      <c r="O75" s="3279"/>
      <c r="P75" s="3278"/>
      <c r="Q75" s="3279"/>
      <c r="R75" s="3278"/>
      <c r="S75" s="3279"/>
      <c r="T75" s="3278"/>
      <c r="U75" s="3279"/>
    </row>
    <row r="76" spans="1:21" x14ac:dyDescent="0.35">
      <c r="A76" s="3764" t="s">
        <v>721</v>
      </c>
      <c r="B76" s="3765"/>
      <c r="C76" s="12"/>
      <c r="D76" s="12"/>
      <c r="E76" s="12"/>
      <c r="F76" s="12"/>
      <c r="G76" s="13"/>
      <c r="H76" s="21"/>
      <c r="I76" s="21"/>
      <c r="J76" s="21"/>
      <c r="K76" s="21"/>
      <c r="L76" s="21"/>
      <c r="M76" s="21"/>
      <c r="N76" s="21"/>
      <c r="O76" s="21"/>
      <c r="P76" s="21"/>
      <c r="Q76" s="21"/>
      <c r="R76" s="21"/>
      <c r="S76" s="21"/>
      <c r="T76" s="21"/>
      <c r="U76" s="21"/>
    </row>
    <row r="77" spans="1:21" x14ac:dyDescent="0.35">
      <c r="A77" s="3451"/>
      <c r="B77" s="3306"/>
      <c r="C77" s="3423"/>
      <c r="D77" s="3423"/>
      <c r="E77" s="3423"/>
      <c r="F77" s="3423"/>
      <c r="G77" s="3452"/>
      <c r="H77" s="3453"/>
      <c r="I77" s="3453"/>
      <c r="J77" s="3453"/>
      <c r="K77" s="3453"/>
      <c r="L77" s="3453"/>
      <c r="M77" s="3453"/>
      <c r="N77" s="3453"/>
      <c r="O77" s="3453"/>
      <c r="P77" s="3453"/>
      <c r="Q77" s="3453"/>
      <c r="R77" s="3453"/>
      <c r="S77" s="3453"/>
      <c r="T77" s="3453"/>
      <c r="U77" s="3453"/>
    </row>
    <row r="78" spans="1:21" x14ac:dyDescent="0.35">
      <c r="A78" s="3451"/>
      <c r="B78" s="3306"/>
      <c r="C78" s="3423"/>
      <c r="D78" s="3423"/>
      <c r="E78" s="3423"/>
      <c r="F78" s="3423"/>
      <c r="G78" s="3452"/>
      <c r="H78" s="3453"/>
      <c r="I78" s="3453"/>
      <c r="J78" s="3453"/>
      <c r="K78" s="3453"/>
      <c r="L78" s="3453"/>
      <c r="M78" s="3453"/>
      <c r="N78" s="3453"/>
      <c r="O78" s="3453"/>
      <c r="P78" s="3453"/>
      <c r="Q78" s="3453"/>
      <c r="R78" s="3453"/>
      <c r="S78" s="3453"/>
      <c r="T78" s="3453"/>
      <c r="U78" s="3453"/>
    </row>
    <row r="79" spans="1:21" x14ac:dyDescent="0.35">
      <c r="A79" s="3451"/>
      <c r="B79" s="3306"/>
      <c r="C79" s="3423"/>
      <c r="D79" s="3423"/>
      <c r="E79" s="3423"/>
      <c r="F79" s="3423"/>
      <c r="G79" s="3452"/>
      <c r="H79" s="3453"/>
      <c r="I79" s="3453"/>
      <c r="J79" s="3453"/>
      <c r="K79" s="3453"/>
      <c r="L79" s="3453"/>
      <c r="M79" s="3453"/>
      <c r="N79" s="3453"/>
      <c r="O79" s="3453"/>
      <c r="P79" s="3453"/>
      <c r="Q79" s="3453"/>
      <c r="R79" s="3453"/>
      <c r="S79" s="3453"/>
      <c r="T79" s="3453"/>
      <c r="U79" s="3453"/>
    </row>
    <row r="80" spans="1:21" s="2" customFormat="1" x14ac:dyDescent="0.35">
      <c r="A80" s="3764" t="s">
        <v>722</v>
      </c>
      <c r="B80" s="3765"/>
      <c r="C80" s="12"/>
      <c r="D80" s="12"/>
      <c r="E80" s="12"/>
      <c r="F80" s="12"/>
      <c r="G80" s="13"/>
      <c r="H80" s="21"/>
      <c r="I80" s="21"/>
      <c r="J80" s="21"/>
      <c r="K80" s="21"/>
      <c r="L80" s="21"/>
      <c r="M80" s="21"/>
      <c r="N80" s="21"/>
      <c r="O80" s="21"/>
      <c r="P80" s="21"/>
      <c r="Q80" s="21"/>
      <c r="R80" s="21"/>
      <c r="S80" s="21"/>
      <c r="T80" s="21"/>
      <c r="U80" s="21"/>
    </row>
    <row r="81" spans="1:21" s="2" customFormat="1" x14ac:dyDescent="0.35">
      <c r="A81" s="3451"/>
      <c r="B81" s="3306"/>
      <c r="C81" s="3423"/>
      <c r="D81" s="3423"/>
      <c r="E81" s="3423"/>
      <c r="F81" s="3423"/>
      <c r="G81" s="3452"/>
      <c r="H81" s="3453"/>
      <c r="I81" s="3453"/>
      <c r="J81" s="3453"/>
      <c r="K81" s="3453"/>
      <c r="L81" s="3453"/>
      <c r="M81" s="3453"/>
      <c r="N81" s="3453"/>
      <c r="O81" s="3453"/>
      <c r="P81" s="3453"/>
      <c r="Q81" s="3453"/>
      <c r="R81" s="3453"/>
      <c r="S81" s="3453"/>
      <c r="T81" s="3453"/>
      <c r="U81" s="3453"/>
    </row>
    <row r="82" spans="1:21" s="2" customFormat="1" x14ac:dyDescent="0.35">
      <c r="A82" s="3451"/>
      <c r="B82" s="3306"/>
      <c r="C82" s="3423"/>
      <c r="D82" s="3423"/>
      <c r="E82" s="3423"/>
      <c r="F82" s="3423"/>
      <c r="G82" s="3452"/>
      <c r="H82" s="3453"/>
      <c r="I82" s="3453"/>
      <c r="J82" s="3453"/>
      <c r="K82" s="3453"/>
      <c r="L82" s="3453"/>
      <c r="M82" s="3453"/>
      <c r="N82" s="3453"/>
      <c r="O82" s="3453"/>
      <c r="P82" s="3453"/>
      <c r="Q82" s="3453"/>
      <c r="R82" s="3453"/>
      <c r="S82" s="3453"/>
      <c r="T82" s="3453"/>
      <c r="U82" s="3453"/>
    </row>
    <row r="83" spans="1:21" x14ac:dyDescent="0.35">
      <c r="A83" s="3451"/>
      <c r="B83" s="3306"/>
      <c r="C83" s="3423"/>
      <c r="D83" s="3423"/>
      <c r="E83" s="3423"/>
      <c r="F83" s="3423"/>
      <c r="G83" s="3452"/>
      <c r="H83" s="3453"/>
      <c r="I83" s="3453"/>
      <c r="J83" s="3453"/>
      <c r="K83" s="3453"/>
      <c r="L83" s="3453"/>
      <c r="M83" s="3453"/>
      <c r="N83" s="3453"/>
      <c r="O83" s="3453"/>
      <c r="P83" s="3453"/>
      <c r="Q83" s="3453"/>
      <c r="R83" s="3453"/>
      <c r="S83" s="3453"/>
      <c r="T83" s="3453"/>
      <c r="U83" s="3453"/>
    </row>
    <row r="84" spans="1:21" s="2" customFormat="1" x14ac:dyDescent="0.35">
      <c r="A84" s="3764" t="s">
        <v>723</v>
      </c>
      <c r="B84" s="3765"/>
      <c r="C84" s="12"/>
      <c r="D84" s="12"/>
      <c r="E84" s="12"/>
      <c r="F84" s="12"/>
      <c r="G84" s="13"/>
      <c r="H84" s="21"/>
      <c r="I84" s="21"/>
      <c r="J84" s="21"/>
      <c r="K84" s="21"/>
      <c r="L84" s="21"/>
      <c r="M84" s="21"/>
      <c r="N84" s="21"/>
      <c r="O84" s="21"/>
      <c r="P84" s="21"/>
      <c r="Q84" s="21"/>
      <c r="R84" s="21"/>
      <c r="S84" s="21"/>
      <c r="T84" s="21"/>
      <c r="U84" s="21"/>
    </row>
    <row r="85" spans="1:21" s="2" customFormat="1" x14ac:dyDescent="0.35">
      <c r="A85" s="3451"/>
      <c r="B85" s="3306"/>
      <c r="C85" s="3423"/>
      <c r="D85" s="3423"/>
      <c r="E85" s="3423"/>
      <c r="F85" s="3423"/>
      <c r="G85" s="3452"/>
      <c r="H85" s="3453"/>
      <c r="I85" s="3453"/>
      <c r="J85" s="3453"/>
      <c r="K85" s="3453"/>
      <c r="L85" s="3453"/>
      <c r="M85" s="3453"/>
      <c r="N85" s="3453"/>
      <c r="O85" s="3453"/>
      <c r="P85" s="3453"/>
      <c r="Q85" s="3453"/>
      <c r="R85" s="3453"/>
      <c r="S85" s="3453"/>
      <c r="T85" s="3453"/>
      <c r="U85" s="3453"/>
    </row>
    <row r="86" spans="1:21" s="2" customFormat="1" x14ac:dyDescent="0.35">
      <c r="A86" s="3310"/>
      <c r="B86" s="3306"/>
      <c r="C86" s="3307"/>
      <c r="D86" s="3307"/>
      <c r="E86" s="3307"/>
      <c r="F86" s="3307"/>
      <c r="G86" s="2198"/>
      <c r="H86" s="3284"/>
      <c r="I86" s="3284"/>
      <c r="J86" s="3284"/>
      <c r="K86" s="3284"/>
      <c r="L86" s="3284"/>
      <c r="M86" s="3284"/>
      <c r="N86" s="3284"/>
      <c r="O86" s="3284"/>
      <c r="P86" s="3284"/>
      <c r="Q86" s="3284"/>
      <c r="R86" s="3284"/>
      <c r="S86" s="3284"/>
      <c r="T86" s="3284"/>
      <c r="U86" s="3284"/>
    </row>
    <row r="87" spans="1:21" s="2" customFormat="1" x14ac:dyDescent="0.35">
      <c r="A87" s="3285"/>
      <c r="B87" s="3286"/>
      <c r="C87" s="3307"/>
      <c r="D87" s="3307"/>
      <c r="E87" s="3307"/>
      <c r="F87" s="3307"/>
      <c r="G87" s="2198"/>
      <c r="H87" s="3287"/>
      <c r="I87" s="3287"/>
      <c r="J87" s="3287"/>
      <c r="K87" s="3287"/>
      <c r="L87" s="3287"/>
      <c r="M87" s="3287"/>
      <c r="N87" s="3287"/>
      <c r="O87" s="3287"/>
      <c r="P87" s="3287"/>
      <c r="Q87" s="3287"/>
      <c r="R87" s="3287"/>
      <c r="S87" s="3287"/>
      <c r="T87" s="3287"/>
      <c r="U87" s="3287"/>
    </row>
    <row r="88" spans="1:21" s="2" customFormat="1" x14ac:dyDescent="0.35">
      <c r="A88" s="3764" t="s">
        <v>724</v>
      </c>
      <c r="B88" s="3765"/>
      <c r="C88" s="12"/>
      <c r="D88" s="12"/>
      <c r="E88" s="12"/>
      <c r="F88" s="12"/>
      <c r="G88" s="13"/>
      <c r="H88" s="21"/>
      <c r="I88" s="21"/>
      <c r="J88" s="21"/>
      <c r="K88" s="21"/>
      <c r="L88" s="21"/>
      <c r="M88" s="21"/>
      <c r="N88" s="21"/>
      <c r="O88" s="21"/>
      <c r="P88" s="21"/>
      <c r="Q88" s="21"/>
      <c r="R88" s="21"/>
      <c r="S88" s="21"/>
      <c r="T88" s="21"/>
      <c r="U88" s="21"/>
    </row>
    <row r="89" spans="1:21" x14ac:dyDescent="0.35">
      <c r="A89" s="3454"/>
      <c r="B89" s="3455" t="s">
        <v>4094</v>
      </c>
      <c r="C89" s="3423"/>
      <c r="D89" s="3423"/>
      <c r="E89" s="3423"/>
      <c r="F89" s="3423"/>
      <c r="G89" s="3452"/>
      <c r="H89" s="3453"/>
      <c r="I89" s="3453"/>
      <c r="J89" s="3453"/>
      <c r="K89" s="3453"/>
      <c r="L89" s="3453"/>
      <c r="M89" s="3453"/>
      <c r="N89" s="3453"/>
      <c r="O89" s="3453"/>
      <c r="P89" s="3453"/>
      <c r="Q89" s="3453"/>
      <c r="R89" s="3453"/>
      <c r="S89" s="3453"/>
      <c r="T89" s="3453"/>
      <c r="U89" s="3453"/>
    </row>
    <row r="90" spans="1:21" x14ac:dyDescent="0.35">
      <c r="A90" s="3285"/>
      <c r="B90" s="3286" t="s">
        <v>4095</v>
      </c>
      <c r="C90" s="3307"/>
      <c r="D90" s="3307"/>
      <c r="E90" s="3307"/>
      <c r="F90" s="3307"/>
      <c r="G90" s="2198"/>
      <c r="H90" s="3289"/>
      <c r="I90" s="3289"/>
      <c r="J90" s="3289"/>
      <c r="K90" s="3289"/>
      <c r="L90" s="3289"/>
      <c r="M90" s="3289"/>
      <c r="N90" s="3289"/>
      <c r="O90" s="3289"/>
      <c r="P90" s="3289"/>
      <c r="Q90" s="3289"/>
      <c r="R90" s="3289"/>
      <c r="S90" s="3289"/>
      <c r="T90" s="3289"/>
      <c r="U90" s="3289"/>
    </row>
    <row r="91" spans="1:21" x14ac:dyDescent="0.35">
      <c r="A91" s="3285"/>
      <c r="B91" s="3286"/>
      <c r="C91" s="3307"/>
      <c r="D91" s="3307"/>
      <c r="E91" s="3307"/>
      <c r="F91" s="3307"/>
      <c r="G91" s="2198"/>
      <c r="H91" s="3289"/>
      <c r="I91" s="3289"/>
      <c r="J91" s="3289"/>
      <c r="K91" s="3289"/>
      <c r="L91" s="3289"/>
      <c r="M91" s="3289"/>
      <c r="N91" s="3289"/>
      <c r="O91" s="3289"/>
      <c r="P91" s="3289"/>
      <c r="Q91" s="3289"/>
      <c r="R91" s="3289"/>
      <c r="S91" s="3289"/>
      <c r="T91" s="3289"/>
      <c r="U91" s="3289"/>
    </row>
    <row r="92" spans="1:21" x14ac:dyDescent="0.35">
      <c r="A92" s="3764" t="s">
        <v>725</v>
      </c>
      <c r="B92" s="3765"/>
      <c r="C92" s="12"/>
      <c r="D92" s="12"/>
      <c r="E92" s="12"/>
      <c r="F92" s="12"/>
      <c r="G92" s="13"/>
      <c r="H92" s="21"/>
      <c r="I92" s="21"/>
      <c r="J92" s="21"/>
      <c r="K92" s="21"/>
      <c r="L92" s="21"/>
      <c r="M92" s="21"/>
      <c r="N92" s="21"/>
      <c r="O92" s="21"/>
      <c r="P92" s="21"/>
      <c r="Q92" s="21"/>
      <c r="R92" s="21"/>
      <c r="S92" s="21"/>
      <c r="T92" s="21"/>
      <c r="U92" s="21"/>
    </row>
    <row r="93" spans="1:21" x14ac:dyDescent="0.35">
      <c r="A93" s="3310"/>
      <c r="B93" s="3306" t="s">
        <v>726</v>
      </c>
      <c r="C93" s="3307"/>
      <c r="D93" s="3307"/>
      <c r="E93" s="3307"/>
      <c r="F93" s="3307"/>
      <c r="G93" s="2198"/>
      <c r="H93" s="3289"/>
      <c r="I93" s="3289"/>
      <c r="J93" s="3289"/>
      <c r="K93" s="3289"/>
      <c r="L93" s="3289"/>
      <c r="M93" s="3289"/>
      <c r="N93" s="3289"/>
      <c r="O93" s="3289"/>
      <c r="P93" s="3289"/>
      <c r="Q93" s="3289"/>
      <c r="R93" s="3289"/>
      <c r="S93" s="3289"/>
      <c r="T93" s="3289"/>
      <c r="U93" s="3289"/>
    </row>
    <row r="94" spans="1:21" x14ac:dyDescent="0.35">
      <c r="A94" s="3310"/>
      <c r="B94" s="3306" t="s">
        <v>727</v>
      </c>
      <c r="C94" s="3307"/>
      <c r="D94" s="3307"/>
      <c r="E94" s="3307"/>
      <c r="F94" s="3307"/>
      <c r="G94" s="2198"/>
      <c r="H94" s="3289"/>
      <c r="I94" s="3289"/>
      <c r="J94" s="3289"/>
      <c r="K94" s="3289"/>
      <c r="L94" s="3289"/>
      <c r="M94" s="3289"/>
      <c r="N94" s="3289"/>
      <c r="O94" s="3289"/>
      <c r="P94" s="3289"/>
      <c r="Q94" s="3289"/>
      <c r="R94" s="3289"/>
      <c r="S94" s="3289"/>
      <c r="T94" s="3289"/>
      <c r="U94" s="3289"/>
    </row>
    <row r="95" spans="1:21" x14ac:dyDescent="0.35">
      <c r="A95" s="3310"/>
      <c r="B95" s="3306" t="s">
        <v>728</v>
      </c>
      <c r="C95" s="3307"/>
      <c r="D95" s="3307"/>
      <c r="E95" s="3307"/>
      <c r="F95" s="3307"/>
      <c r="G95" s="2198"/>
      <c r="H95" s="3289"/>
      <c r="I95" s="3289"/>
      <c r="J95" s="3289"/>
      <c r="K95" s="3289"/>
      <c r="L95" s="3289"/>
      <c r="M95" s="3289"/>
      <c r="N95" s="3289"/>
      <c r="O95" s="3289"/>
      <c r="P95" s="3289"/>
      <c r="Q95" s="3289"/>
      <c r="R95" s="3289"/>
      <c r="S95" s="3289"/>
      <c r="T95" s="3289"/>
      <c r="U95" s="3289"/>
    </row>
    <row r="96" spans="1:21" x14ac:dyDescent="0.35">
      <c r="A96" s="3310"/>
      <c r="B96" s="3306" t="s">
        <v>729</v>
      </c>
      <c r="C96" s="3307"/>
      <c r="D96" s="3307"/>
      <c r="E96" s="3307"/>
      <c r="F96" s="3307"/>
      <c r="G96" s="2198"/>
      <c r="H96" s="3289"/>
      <c r="I96" s="3289"/>
      <c r="J96" s="3289"/>
      <c r="K96" s="3289"/>
      <c r="L96" s="3289"/>
      <c r="M96" s="3289"/>
      <c r="N96" s="3289"/>
      <c r="O96" s="3289"/>
      <c r="P96" s="3289"/>
      <c r="Q96" s="3289"/>
      <c r="R96" s="3289"/>
      <c r="S96" s="3289"/>
      <c r="T96" s="3289"/>
      <c r="U96" s="3289"/>
    </row>
    <row r="97" spans="1:21" x14ac:dyDescent="0.35">
      <c r="A97" s="978"/>
      <c r="B97" s="939"/>
      <c r="C97" s="940"/>
      <c r="D97" s="940"/>
      <c r="E97" s="940"/>
      <c r="F97" s="940"/>
      <c r="G97" s="1039"/>
      <c r="H97" s="981"/>
      <c r="I97" s="981"/>
      <c r="J97" s="981"/>
      <c r="K97" s="981"/>
      <c r="L97" s="981"/>
      <c r="M97" s="981"/>
      <c r="N97" s="981"/>
      <c r="O97" s="981"/>
      <c r="P97" s="981"/>
      <c r="Q97" s="981"/>
      <c r="R97" s="981"/>
      <c r="S97" s="981"/>
      <c r="T97" s="981"/>
      <c r="U97" s="981"/>
    </row>
    <row r="98" spans="1:21" x14ac:dyDescent="0.35">
      <c r="A98" s="7" t="s">
        <v>730</v>
      </c>
      <c r="B98" s="8"/>
      <c r="C98" s="12"/>
      <c r="D98" s="12"/>
      <c r="E98" s="12"/>
      <c r="F98" s="12"/>
      <c r="G98" s="13"/>
      <c r="H98" s="21"/>
      <c r="I98" s="21"/>
      <c r="J98" s="21"/>
      <c r="K98" s="21"/>
      <c r="L98" s="21"/>
      <c r="M98" s="21"/>
      <c r="N98" s="21"/>
      <c r="O98" s="21"/>
      <c r="P98" s="21"/>
      <c r="Q98" s="21"/>
      <c r="R98" s="21"/>
      <c r="S98" s="21"/>
      <c r="T98" s="21"/>
      <c r="U98" s="21"/>
    </row>
    <row r="99" spans="1:21" x14ac:dyDescent="0.35">
      <c r="A99" s="3451"/>
      <c r="B99" s="3456" t="s">
        <v>731</v>
      </c>
      <c r="C99" s="3423"/>
      <c r="D99" s="3423"/>
      <c r="E99" s="3423"/>
      <c r="F99" s="3423"/>
      <c r="G99" s="3452"/>
      <c r="H99" s="3457"/>
      <c r="I99" s="3457"/>
      <c r="J99" s="3457"/>
      <c r="K99" s="3457"/>
      <c r="L99" s="3457"/>
      <c r="M99" s="3457"/>
      <c r="N99" s="3457"/>
      <c r="O99" s="3457"/>
      <c r="P99" s="3457"/>
      <c r="Q99" s="3457"/>
      <c r="R99" s="3457"/>
      <c r="S99" s="3457"/>
      <c r="T99" s="3457"/>
      <c r="U99" s="3457"/>
    </row>
    <row r="100" spans="1:21" x14ac:dyDescent="0.35">
      <c r="A100" s="3310"/>
      <c r="B100" s="3306" t="s">
        <v>732</v>
      </c>
      <c r="C100" s="3307"/>
      <c r="D100" s="3307"/>
      <c r="E100" s="3307"/>
      <c r="F100" s="3307"/>
      <c r="G100" s="2198"/>
      <c r="H100" s="3290"/>
      <c r="I100" s="3290"/>
      <c r="J100" s="3290"/>
      <c r="K100" s="3290"/>
      <c r="L100" s="3290"/>
      <c r="M100" s="3290"/>
      <c r="N100" s="3290"/>
      <c r="O100" s="3290"/>
      <c r="P100" s="3290"/>
      <c r="Q100" s="3290"/>
      <c r="R100" s="3290"/>
      <c r="S100" s="3290"/>
      <c r="T100" s="3290"/>
      <c r="U100" s="3290"/>
    </row>
    <row r="101" spans="1:21" x14ac:dyDescent="0.35">
      <c r="A101" s="3291"/>
      <c r="B101" s="3292" t="s">
        <v>733</v>
      </c>
      <c r="C101" s="3293"/>
      <c r="D101" s="3293"/>
      <c r="E101" s="3293"/>
      <c r="F101" s="3293"/>
      <c r="G101" s="3360"/>
      <c r="H101" s="3297"/>
      <c r="I101" s="3297"/>
      <c r="J101" s="3297"/>
      <c r="K101" s="3297"/>
      <c r="L101" s="3297"/>
      <c r="M101" s="3297"/>
      <c r="N101" s="3297"/>
      <c r="O101" s="3297"/>
      <c r="P101" s="3297"/>
      <c r="Q101" s="3297"/>
      <c r="R101" s="3297"/>
      <c r="S101" s="3297"/>
      <c r="T101" s="3297"/>
      <c r="U101" s="3297"/>
    </row>
    <row r="102" spans="1:21" x14ac:dyDescent="0.35">
      <c r="H102" s="2"/>
      <c r="I102" s="2"/>
    </row>
    <row r="103" spans="1:21" x14ac:dyDescent="0.35">
      <c r="A103" s="78" t="s">
        <v>734</v>
      </c>
      <c r="B103" s="80"/>
      <c r="H103" s="2"/>
      <c r="I103" s="2"/>
    </row>
    <row r="104" spans="1:21" x14ac:dyDescent="0.35">
      <c r="A104" s="79" t="s">
        <v>632</v>
      </c>
      <c r="B104" s="3298" t="str">
        <f>H4</f>
        <v>Tropic Fence</v>
      </c>
      <c r="H104" s="2"/>
      <c r="I104" s="2"/>
    </row>
    <row r="105" spans="1:21" x14ac:dyDescent="0.35">
      <c r="A105" s="3299" t="s">
        <v>636</v>
      </c>
      <c r="B105" s="3298" t="str">
        <f>H5</f>
        <v>Jo Vilarino</v>
      </c>
      <c r="H105" s="2"/>
      <c r="I105" s="2"/>
    </row>
    <row r="106" spans="1:21" x14ac:dyDescent="0.35">
      <c r="A106" s="3301" t="s">
        <v>639</v>
      </c>
      <c r="B106" s="3300">
        <f>H6</f>
        <v>0</v>
      </c>
      <c r="H106" s="2"/>
      <c r="I106" s="2"/>
    </row>
    <row r="107" spans="1:21" x14ac:dyDescent="0.35">
      <c r="A107" s="3301" t="s">
        <v>642</v>
      </c>
      <c r="B107" s="3302" t="str">
        <f>H7</f>
        <v>tropicjov@gmail.com</v>
      </c>
      <c r="H107" s="2"/>
      <c r="I107" s="2"/>
    </row>
    <row r="108" spans="1:21" x14ac:dyDescent="0.35">
      <c r="A108" s="3303" t="s">
        <v>735</v>
      </c>
      <c r="B108" s="3304">
        <f>H8</f>
        <v>278850</v>
      </c>
      <c r="H108" s="2"/>
      <c r="I108" s="2"/>
    </row>
    <row r="109" spans="1:21" x14ac:dyDescent="0.35">
      <c r="H109" s="2"/>
      <c r="I109" s="2"/>
    </row>
    <row r="110" spans="1:21" x14ac:dyDescent="0.35">
      <c r="A110" s="81"/>
      <c r="B110" s="1" t="s">
        <v>736</v>
      </c>
      <c r="H110" s="2"/>
      <c r="I110" s="2"/>
    </row>
    <row r="111" spans="1:21" x14ac:dyDescent="0.35">
      <c r="A111" s="82"/>
      <c r="B111" s="1" t="s">
        <v>737</v>
      </c>
      <c r="H111" s="2"/>
      <c r="I111" s="2"/>
    </row>
  </sheetData>
  <mergeCells count="55">
    <mergeCell ref="J1:K1"/>
    <mergeCell ref="A76:B76"/>
    <mergeCell ref="A80:B80"/>
    <mergeCell ref="A84:B84"/>
    <mergeCell ref="A88:B88"/>
    <mergeCell ref="H2:I2"/>
    <mergeCell ref="H3:I3"/>
    <mergeCell ref="H4:I4"/>
    <mergeCell ref="H5:I5"/>
    <mergeCell ref="H6:I6"/>
    <mergeCell ref="A92:B92"/>
    <mergeCell ref="T8:U8"/>
    <mergeCell ref="P7:Q7"/>
    <mergeCell ref="N7:O7"/>
    <mergeCell ref="R7:S7"/>
    <mergeCell ref="J7:K7"/>
    <mergeCell ref="L7:M7"/>
    <mergeCell ref="T7:U7"/>
    <mergeCell ref="P8:Q8"/>
    <mergeCell ref="N8:O8"/>
    <mergeCell ref="R8:S8"/>
    <mergeCell ref="J8:K8"/>
    <mergeCell ref="L8:M8"/>
    <mergeCell ref="H7:I7"/>
    <mergeCell ref="H8:I8"/>
    <mergeCell ref="T6:U6"/>
    <mergeCell ref="P5:Q5"/>
    <mergeCell ref="N5:O5"/>
    <mergeCell ref="R5:S5"/>
    <mergeCell ref="J5:K5"/>
    <mergeCell ref="T5:U5"/>
    <mergeCell ref="P6:Q6"/>
    <mergeCell ref="N6:O6"/>
    <mergeCell ref="R6:S6"/>
    <mergeCell ref="J6:K6"/>
    <mergeCell ref="L5:M5"/>
    <mergeCell ref="L6:M6"/>
    <mergeCell ref="T4:U4"/>
    <mergeCell ref="P3:Q3"/>
    <mergeCell ref="N3:O3"/>
    <mergeCell ref="R3:S3"/>
    <mergeCell ref="J3:K3"/>
    <mergeCell ref="T3:U3"/>
    <mergeCell ref="P4:Q4"/>
    <mergeCell ref="N4:O4"/>
    <mergeCell ref="R4:S4"/>
    <mergeCell ref="J4:K4"/>
    <mergeCell ref="L3:M3"/>
    <mergeCell ref="L4:M4"/>
    <mergeCell ref="T2:U2"/>
    <mergeCell ref="P2:Q2"/>
    <mergeCell ref="N2:O2"/>
    <mergeCell ref="R2:S2"/>
    <mergeCell ref="J2:K2"/>
    <mergeCell ref="L2:M2"/>
  </mergeCells>
  <conditionalFormatting sqref="H20:H32">
    <cfRule type="cellIs" dxfId="77" priority="33" operator="equal">
      <formula>"X"</formula>
    </cfRule>
    <cfRule type="cellIs" dxfId="76" priority="34" operator="equal">
      <formula>"I"</formula>
    </cfRule>
  </conditionalFormatting>
  <conditionalFormatting sqref="H34:H67">
    <cfRule type="cellIs" dxfId="75" priority="17" operator="equal">
      <formula>"X"</formula>
    </cfRule>
    <cfRule type="cellIs" dxfId="74" priority="18" operator="equal">
      <formula>"I"</formula>
    </cfRule>
  </conditionalFormatting>
  <conditionalFormatting sqref="I51:K60">
    <cfRule type="cellIs" dxfId="73" priority="23" operator="equal">
      <formula>"X"</formula>
    </cfRule>
    <cfRule type="cellIs" dxfId="72" priority="24" operator="equal">
      <formula>"I"</formula>
    </cfRule>
  </conditionalFormatting>
  <conditionalFormatting sqref="J20:J32">
    <cfRule type="cellIs" dxfId="71" priority="59" operator="equal">
      <formula>"X"</formula>
    </cfRule>
    <cfRule type="cellIs" dxfId="70" priority="60" operator="equal">
      <formula>"I"</formula>
    </cfRule>
  </conditionalFormatting>
  <conditionalFormatting sqref="J34:J67">
    <cfRule type="cellIs" dxfId="69" priority="7" operator="equal">
      <formula>"X"</formula>
    </cfRule>
    <cfRule type="cellIs" dxfId="68" priority="8" operator="equal">
      <formula>"I"</formula>
    </cfRule>
  </conditionalFormatting>
  <conditionalFormatting sqref="L20:L32">
    <cfRule type="cellIs" dxfId="67" priority="51" operator="equal">
      <formula>"X"</formula>
    </cfRule>
    <cfRule type="cellIs" dxfId="66" priority="52" operator="equal">
      <formula>"I"</formula>
    </cfRule>
  </conditionalFormatting>
  <conditionalFormatting sqref="L34:L67">
    <cfRule type="cellIs" dxfId="65" priority="41" operator="equal">
      <formula>"X"</formula>
    </cfRule>
    <cfRule type="cellIs" dxfId="64" priority="42" operator="equal">
      <formula>"I"</formula>
    </cfRule>
  </conditionalFormatting>
  <conditionalFormatting sqref="N20:N32">
    <cfRule type="cellIs" dxfId="63" priority="55" operator="equal">
      <formula>"X"</formula>
    </cfRule>
    <cfRule type="cellIs" dxfId="62" priority="56" operator="equal">
      <formula>"I"</formula>
    </cfRule>
  </conditionalFormatting>
  <conditionalFormatting sqref="N34 N37:N67">
    <cfRule type="cellIs" dxfId="61" priority="11" operator="equal">
      <formula>"X"</formula>
    </cfRule>
    <cfRule type="cellIs" dxfId="60" priority="12" operator="equal">
      <formula>"I"</formula>
    </cfRule>
  </conditionalFormatting>
  <conditionalFormatting sqref="P20:P32">
    <cfRule type="cellIs" dxfId="59" priority="69" operator="equal">
      <formula>"X"</formula>
    </cfRule>
    <cfRule type="cellIs" dxfId="58" priority="70" operator="equal">
      <formula>"I"</formula>
    </cfRule>
  </conditionalFormatting>
  <conditionalFormatting sqref="P34:P42 P49:P67">
    <cfRule type="cellIs" dxfId="57" priority="43" operator="equal">
      <formula>"X"</formula>
    </cfRule>
    <cfRule type="cellIs" dxfId="56" priority="44" operator="equal">
      <formula>"I"</formula>
    </cfRule>
  </conditionalFormatting>
  <conditionalFormatting sqref="R20:R32">
    <cfRule type="cellIs" dxfId="55" priority="87" operator="equal">
      <formula>"X"</formula>
    </cfRule>
    <cfRule type="cellIs" dxfId="54" priority="88" operator="equal">
      <formula>"I"</formula>
    </cfRule>
  </conditionalFormatting>
  <conditionalFormatting sqref="R34:R67 T34:T67">
    <cfRule type="cellIs" dxfId="53" priority="61" operator="equal">
      <formula>"X"</formula>
    </cfRule>
    <cfRule type="cellIs" dxfId="52" priority="62" operator="equal">
      <formula>"I"</formula>
    </cfRule>
  </conditionalFormatting>
  <conditionalFormatting sqref="T20:T32">
    <cfRule type="cellIs" dxfId="51" priority="75" operator="equal">
      <formula>"X"</formula>
    </cfRule>
    <cfRule type="cellIs" dxfId="50" priority="76" operator="equal">
      <formula>"I"</formula>
    </cfRule>
  </conditionalFormatting>
  <conditionalFormatting sqref="P43:P48">
    <cfRule type="cellIs" dxfId="49" priority="3" operator="equal">
      <formula>"X"</formula>
    </cfRule>
    <cfRule type="cellIs" dxfId="48" priority="4" operator="equal">
      <formula>"I"</formula>
    </cfRule>
  </conditionalFormatting>
  <conditionalFormatting sqref="N35:N36">
    <cfRule type="cellIs" dxfId="47" priority="1" operator="equal">
      <formula>"X"</formula>
    </cfRule>
    <cfRule type="cellIs" dxfId="46" priority="2" operator="equal">
      <formula>"I"</formula>
    </cfRule>
  </conditionalFormatting>
  <hyperlinks>
    <hyperlink ref="B3" location="'Cost Summary'!A1" display="BACK TO SUMMARY SHEET" xr:uid="{CD165E9D-98BE-4397-AA40-8DB53C814F8F}"/>
    <hyperlink ref="R7:S7" r:id="rId1" display="djohnson@chanceymetals.com" xr:uid="{B4B2A7D4-1709-41B9-A62C-03258459CFBB}"/>
    <hyperlink ref="P7:Q7" r:id="rId2" display="drodriguez@biwiron.com" xr:uid="{91ACC6D3-B7C8-4205-8393-97680F7B2F8A}"/>
    <hyperlink ref="J7:K7" r:id="rId3" display="chris@cacocf.com" xr:uid="{39929C20-8ABD-4463-9470-760F43179CC2}"/>
    <hyperlink ref="L7:M7" r:id="rId4" display="lmontes@coastalmetal.biz" xr:uid="{71728ADE-105D-4529-86A7-B7A60A7D4727}"/>
    <hyperlink ref="H7:I7" r:id="rId5" display="tropicjov@gmail.com" xr:uid="{9C4C114B-C77A-41F0-8742-7FE15665D2EA}"/>
  </hyperlinks>
  <pageMargins left="0.7" right="0.7" top="0.75" bottom="0.75" header="0.3" footer="0.3"/>
  <pageSetup orientation="portrait" r:id="rId6"/>
  <legacyDrawing r:id="rId7"/>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1AC8-543A-4A4D-959B-2CF6902A07FD}">
  <sheetPr>
    <tabColor rgb="FF92D050"/>
  </sheetPr>
  <dimension ref="A1:S119"/>
  <sheetViews>
    <sheetView zoomScale="85" zoomScaleNormal="85" workbookViewId="0">
      <pane xSplit="2" ySplit="9" topLeftCell="C28" activePane="bottomRight" state="frozen"/>
      <selection pane="topRight" activeCell="C1" sqref="C1"/>
      <selection pane="bottomLeft" activeCell="A10" sqref="A10"/>
      <selection pane="bottomRight" activeCell="B28" sqref="B28"/>
    </sheetView>
  </sheetViews>
  <sheetFormatPr defaultColWidth="8.81640625" defaultRowHeight="14.5" x14ac:dyDescent="0.35"/>
  <cols>
    <col min="1" max="1" width="11" style="55" customWidth="1"/>
    <col min="2" max="2" width="70.7265625" style="56" customWidth="1"/>
    <col min="3" max="3" width="10.81640625" style="57" bestFit="1" customWidth="1"/>
    <col min="4" max="5" width="7.54296875" style="57" customWidth="1"/>
    <col min="6" max="6" width="7.7265625" style="57" customWidth="1"/>
    <col min="7" max="7" width="12.26953125" style="57" customWidth="1"/>
    <col min="8" max="8" width="7.453125" style="57" bestFit="1" customWidth="1"/>
    <col min="9" max="9" width="14.81640625" style="57" customWidth="1"/>
    <col min="10" max="10" width="7.453125" style="57" bestFit="1" customWidth="1"/>
    <col min="11" max="11" width="14.81640625" style="57" customWidth="1"/>
    <col min="12" max="12" width="7.453125" style="57" bestFit="1" customWidth="1"/>
    <col min="13" max="13" width="14.81640625" style="57" customWidth="1"/>
    <col min="14" max="14" width="7.453125" style="57" bestFit="1" customWidth="1"/>
    <col min="15" max="15" width="14.81640625" style="57" customWidth="1"/>
    <col min="16" max="16" width="7.453125" style="57" bestFit="1" customWidth="1"/>
    <col min="17" max="17" width="14.81640625" style="57" customWidth="1"/>
    <col min="18" max="18" width="7.453125" style="57" bestFit="1" customWidth="1"/>
    <col min="19" max="19" width="14.81640625" style="57" customWidth="1"/>
    <col min="20" max="16384" width="8.81640625" style="55"/>
  </cols>
  <sheetData>
    <row r="1" spans="1:19" x14ac:dyDescent="0.35">
      <c r="E1" s="152"/>
      <c r="F1" s="125"/>
      <c r="G1" s="123" t="s">
        <v>621</v>
      </c>
    </row>
    <row r="2" spans="1:19" ht="15" thickBot="1" x14ac:dyDescent="0.4">
      <c r="E2" s="152"/>
      <c r="F2" s="122" t="s">
        <v>622</v>
      </c>
      <c r="G2" s="123" t="s">
        <v>451</v>
      </c>
      <c r="H2" s="3843"/>
      <c r="I2" s="3843"/>
      <c r="J2" s="3843"/>
      <c r="K2" s="3843"/>
      <c r="L2" s="3843"/>
      <c r="M2" s="3843"/>
      <c r="N2" s="3843"/>
      <c r="O2" s="3843"/>
      <c r="P2" s="3843"/>
      <c r="Q2" s="3843"/>
      <c r="R2" s="3843"/>
      <c r="S2" s="3843"/>
    </row>
    <row r="3" spans="1:19" ht="19" thickBot="1" x14ac:dyDescent="0.5">
      <c r="B3" s="126" t="s">
        <v>623</v>
      </c>
      <c r="E3" s="152"/>
      <c r="F3" s="124" t="s">
        <v>624</v>
      </c>
      <c r="G3" s="123" t="s">
        <v>557</v>
      </c>
      <c r="H3" s="3844" t="s">
        <v>625</v>
      </c>
      <c r="I3" s="3845"/>
      <c r="J3" s="3844" t="s">
        <v>626</v>
      </c>
      <c r="K3" s="3845"/>
      <c r="L3" s="3844" t="s">
        <v>627</v>
      </c>
      <c r="M3" s="3845"/>
      <c r="N3" s="3844" t="s">
        <v>628</v>
      </c>
      <c r="O3" s="3845"/>
      <c r="P3" s="3844" t="s">
        <v>772</v>
      </c>
      <c r="Q3" s="3845"/>
      <c r="R3" s="3844" t="s">
        <v>773</v>
      </c>
      <c r="S3" s="3845"/>
    </row>
    <row r="4" spans="1:19" ht="15" thickTop="1" x14ac:dyDescent="0.35">
      <c r="A4" s="58" t="s">
        <v>631</v>
      </c>
      <c r="B4" s="4" t="e">
        <f>#REF!</f>
        <v>#REF!</v>
      </c>
      <c r="C4" s="59"/>
      <c r="D4" s="59"/>
      <c r="E4" s="59"/>
      <c r="F4" s="59"/>
      <c r="G4" s="74" t="s">
        <v>632</v>
      </c>
      <c r="H4" s="3752"/>
      <c r="I4" s="3753"/>
      <c r="J4" s="3752"/>
      <c r="K4" s="3753"/>
      <c r="L4" s="3752"/>
      <c r="M4" s="3753"/>
      <c r="N4" s="3752"/>
      <c r="O4" s="3753"/>
      <c r="P4" s="3752"/>
      <c r="Q4" s="3753"/>
      <c r="R4" s="3752"/>
      <c r="S4" s="3753"/>
    </row>
    <row r="5" spans="1:19" x14ac:dyDescent="0.35">
      <c r="A5" s="3458" t="s">
        <v>634</v>
      </c>
      <c r="B5" s="3459" t="s">
        <v>4096</v>
      </c>
      <c r="C5" s="3369"/>
      <c r="D5" s="3369"/>
      <c r="E5" s="3369"/>
      <c r="F5" s="3369"/>
      <c r="G5" s="3460" t="s">
        <v>636</v>
      </c>
      <c r="H5" s="4009"/>
      <c r="I5" s="3932"/>
      <c r="J5" s="4009"/>
      <c r="K5" s="3932"/>
      <c r="L5" s="4009"/>
      <c r="M5" s="3932"/>
      <c r="N5" s="4009"/>
      <c r="O5" s="3932"/>
      <c r="P5" s="4009"/>
      <c r="Q5" s="3932"/>
      <c r="R5" s="4009"/>
      <c r="S5" s="3932"/>
    </row>
    <row r="6" spans="1:19" x14ac:dyDescent="0.35">
      <c r="A6" s="3458" t="s">
        <v>638</v>
      </c>
      <c r="B6" s="3461" t="s">
        <v>4097</v>
      </c>
      <c r="C6" s="3369"/>
      <c r="D6" s="3369"/>
      <c r="E6" s="3369"/>
      <c r="F6" s="3369"/>
      <c r="G6" s="3460" t="s">
        <v>639</v>
      </c>
      <c r="H6" s="4008"/>
      <c r="I6" s="3938"/>
      <c r="J6" s="4008"/>
      <c r="K6" s="3938"/>
      <c r="L6" s="4008"/>
      <c r="M6" s="3938"/>
      <c r="N6" s="4008"/>
      <c r="O6" s="3938"/>
      <c r="P6" s="4008"/>
      <c r="Q6" s="3938"/>
      <c r="R6" s="4008"/>
      <c r="S6" s="3938"/>
    </row>
    <row r="7" spans="1:19" x14ac:dyDescent="0.35">
      <c r="A7" s="3458" t="s">
        <v>641</v>
      </c>
      <c r="B7" s="3462"/>
      <c r="C7" s="3369"/>
      <c r="D7" s="3369"/>
      <c r="E7" s="3369"/>
      <c r="F7" s="3369"/>
      <c r="G7" s="3460" t="s">
        <v>642</v>
      </c>
      <c r="H7" s="4019"/>
      <c r="I7" s="3935"/>
      <c r="J7" s="4019"/>
      <c r="K7" s="3935"/>
      <c r="L7" s="4019"/>
      <c r="M7" s="3935"/>
      <c r="N7" s="4019"/>
      <c r="O7" s="3935"/>
      <c r="P7" s="4019"/>
      <c r="Q7" s="3935"/>
      <c r="R7" s="4019"/>
      <c r="S7" s="3935"/>
    </row>
    <row r="8" spans="1:19" ht="15" thickBot="1" x14ac:dyDescent="0.4">
      <c r="A8" s="938" t="s">
        <v>644</v>
      </c>
      <c r="B8" s="1294"/>
      <c r="C8" s="1295"/>
      <c r="D8" s="1295"/>
      <c r="E8" s="1295"/>
      <c r="F8" s="1295"/>
      <c r="G8" s="1024" t="s">
        <v>644</v>
      </c>
      <c r="H8" s="4012">
        <f>I80</f>
        <v>0</v>
      </c>
      <c r="I8" s="4013"/>
      <c r="J8" s="4012">
        <f>K80</f>
        <v>0</v>
      </c>
      <c r="K8" s="4013"/>
      <c r="L8" s="4012">
        <f>M80</f>
        <v>0</v>
      </c>
      <c r="M8" s="4013"/>
      <c r="N8" s="4012">
        <f>O80</f>
        <v>0</v>
      </c>
      <c r="O8" s="4013"/>
      <c r="P8" s="4012">
        <f>Q80</f>
        <v>0</v>
      </c>
      <c r="Q8" s="4013"/>
      <c r="R8" s="4012">
        <f>S80</f>
        <v>0</v>
      </c>
      <c r="S8" s="4013"/>
    </row>
    <row r="9" spans="1:19" ht="30" thickTop="1" thickBot="1" x14ac:dyDescent="0.4">
      <c r="A9" s="60" t="s">
        <v>645</v>
      </c>
      <c r="B9" s="61"/>
      <c r="C9" s="62" t="s">
        <v>646</v>
      </c>
      <c r="D9" s="62" t="s">
        <v>647</v>
      </c>
      <c r="E9" s="62" t="s">
        <v>648</v>
      </c>
      <c r="F9" s="62" t="s">
        <v>649</v>
      </c>
      <c r="G9" s="75" t="s">
        <v>650</v>
      </c>
      <c r="H9" s="64" t="s">
        <v>651</v>
      </c>
      <c r="I9" s="64" t="s">
        <v>652</v>
      </c>
      <c r="J9" s="64" t="s">
        <v>651</v>
      </c>
      <c r="K9" s="64" t="s">
        <v>652</v>
      </c>
      <c r="L9" s="64" t="s">
        <v>651</v>
      </c>
      <c r="M9" s="64" t="s">
        <v>652</v>
      </c>
      <c r="N9" s="64" t="s">
        <v>651</v>
      </c>
      <c r="O9" s="64" t="s">
        <v>652</v>
      </c>
      <c r="P9" s="64" t="s">
        <v>651</v>
      </c>
      <c r="Q9" s="64" t="s">
        <v>652</v>
      </c>
      <c r="R9" s="64" t="s">
        <v>651</v>
      </c>
      <c r="S9" s="64" t="s">
        <v>652</v>
      </c>
    </row>
    <row r="10" spans="1:19" ht="15.75" hidden="1" customHeight="1" x14ac:dyDescent="0.35">
      <c r="A10" s="3463"/>
      <c r="B10" s="3464" t="s">
        <v>653</v>
      </c>
      <c r="C10" s="3369"/>
      <c r="D10" s="3369"/>
      <c r="E10" s="3369"/>
      <c r="F10" s="3369"/>
      <c r="G10" s="3465"/>
      <c r="H10" s="3466"/>
      <c r="I10" s="3466"/>
      <c r="J10" s="3466"/>
      <c r="K10" s="3466"/>
      <c r="L10" s="3466"/>
      <c r="M10" s="3466"/>
      <c r="N10" s="3466"/>
      <c r="O10" s="3466"/>
      <c r="P10" s="3466"/>
      <c r="Q10" s="3466"/>
      <c r="R10" s="3466"/>
      <c r="S10" s="3466"/>
    </row>
    <row r="11" spans="1:19" ht="15.75" hidden="1" customHeight="1" thickBot="1" x14ac:dyDescent="0.4">
      <c r="A11" s="3463"/>
      <c r="B11" s="3306" t="e">
        <f>#REF!</f>
        <v>#REF!</v>
      </c>
      <c r="C11" s="3368" t="s">
        <v>654</v>
      </c>
      <c r="D11" s="3369"/>
      <c r="E11" s="3369"/>
      <c r="F11" s="3369"/>
      <c r="G11" s="3465"/>
      <c r="H11" s="3466"/>
      <c r="I11" s="3466"/>
      <c r="J11" s="3466"/>
      <c r="K11" s="3466"/>
      <c r="L11" s="3466"/>
      <c r="M11" s="3466"/>
      <c r="N11" s="3466"/>
      <c r="O11" s="3466"/>
      <c r="P11" s="3466"/>
      <c r="Q11" s="3466"/>
      <c r="R11" s="3466"/>
      <c r="S11" s="3466"/>
    </row>
    <row r="12" spans="1:19" ht="15.75" hidden="1" customHeight="1" thickTop="1" x14ac:dyDescent="0.35">
      <c r="A12" s="3463"/>
      <c r="B12" s="3306" t="e">
        <f>#REF!</f>
        <v>#REF!</v>
      </c>
      <c r="C12" s="3368" t="s">
        <v>654</v>
      </c>
      <c r="D12" s="3369"/>
      <c r="E12" s="3369"/>
      <c r="F12" s="3369"/>
      <c r="G12" s="3465"/>
      <c r="H12" s="3466"/>
      <c r="I12" s="3466"/>
      <c r="J12" s="3466"/>
      <c r="K12" s="3466"/>
      <c r="L12" s="3466"/>
      <c r="M12" s="3466"/>
      <c r="N12" s="3466"/>
      <c r="O12" s="3466"/>
      <c r="P12" s="3466"/>
      <c r="Q12" s="3466"/>
      <c r="R12" s="3466"/>
      <c r="S12" s="3466"/>
    </row>
    <row r="13" spans="1:19" ht="15.75" hidden="1" customHeight="1" thickTop="1" x14ac:dyDescent="0.35">
      <c r="A13" s="3463"/>
      <c r="B13" s="3306" t="e">
        <f>#REF!</f>
        <v>#REF!</v>
      </c>
      <c r="C13" s="3368" t="s">
        <v>654</v>
      </c>
      <c r="D13" s="3369"/>
      <c r="E13" s="3369"/>
      <c r="F13" s="3369"/>
      <c r="G13" s="3465"/>
      <c r="H13" s="3466"/>
      <c r="I13" s="3466"/>
      <c r="J13" s="3466"/>
      <c r="K13" s="3466"/>
      <c r="L13" s="3466"/>
      <c r="M13" s="3466"/>
      <c r="N13" s="3466"/>
      <c r="O13" s="3466"/>
      <c r="P13" s="3466"/>
      <c r="Q13" s="3466"/>
      <c r="R13" s="3466"/>
      <c r="S13" s="3466"/>
    </row>
    <row r="14" spans="1:19" ht="15.75" hidden="1" customHeight="1" thickTop="1" x14ac:dyDescent="0.35">
      <c r="A14" s="3463"/>
      <c r="B14" s="3306" t="e">
        <f>#REF!</f>
        <v>#REF!</v>
      </c>
      <c r="C14" s="3368" t="s">
        <v>654</v>
      </c>
      <c r="D14" s="3369"/>
      <c r="E14" s="3369"/>
      <c r="F14" s="3369"/>
      <c r="G14" s="3465"/>
      <c r="H14" s="3466"/>
      <c r="I14" s="3466"/>
      <c r="J14" s="3466"/>
      <c r="K14" s="3466"/>
      <c r="L14" s="3466"/>
      <c r="M14" s="3466"/>
      <c r="N14" s="3466"/>
      <c r="O14" s="3466"/>
      <c r="P14" s="3466"/>
      <c r="Q14" s="3466"/>
      <c r="R14" s="3466"/>
      <c r="S14" s="3466"/>
    </row>
    <row r="15" spans="1:19" ht="15.75" hidden="1" customHeight="1" thickTop="1" x14ac:dyDescent="0.35">
      <c r="A15" s="3463"/>
      <c r="B15" s="3306" t="e">
        <f>#REF!</f>
        <v>#REF!</v>
      </c>
      <c r="C15" s="3368" t="s">
        <v>654</v>
      </c>
      <c r="D15" s="3369"/>
      <c r="E15" s="3369"/>
      <c r="F15" s="3369"/>
      <c r="G15" s="3465"/>
      <c r="H15" s="3466"/>
      <c r="I15" s="3466"/>
      <c r="J15" s="3466"/>
      <c r="K15" s="3466"/>
      <c r="L15" s="3466"/>
      <c r="M15" s="3466"/>
      <c r="N15" s="3466"/>
      <c r="O15" s="3466"/>
      <c r="P15" s="3466"/>
      <c r="Q15" s="3466"/>
      <c r="R15" s="3466"/>
      <c r="S15" s="3466"/>
    </row>
    <row r="16" spans="1:19" ht="15.75" hidden="1" customHeight="1" thickTop="1" x14ac:dyDescent="0.35">
      <c r="A16" s="3463"/>
      <c r="B16" s="3306" t="e">
        <f>#REF!</f>
        <v>#REF!</v>
      </c>
      <c r="C16" s="3368" t="s">
        <v>654</v>
      </c>
      <c r="D16" s="3369"/>
      <c r="E16" s="3369"/>
      <c r="F16" s="3369"/>
      <c r="G16" s="3465"/>
      <c r="H16" s="3466"/>
      <c r="I16" s="3466"/>
      <c r="J16" s="3466"/>
      <c r="K16" s="3466"/>
      <c r="L16" s="3466"/>
      <c r="M16" s="3466"/>
      <c r="N16" s="3466"/>
      <c r="O16" s="3466"/>
      <c r="P16" s="3466"/>
      <c r="Q16" s="3466"/>
      <c r="R16" s="3466"/>
      <c r="S16" s="3466"/>
    </row>
    <row r="17" spans="1:19" ht="15.75" hidden="1" customHeight="1" thickTop="1" x14ac:dyDescent="0.35">
      <c r="A17" s="3463"/>
      <c r="B17" s="3306" t="e">
        <f>#REF!</f>
        <v>#REF!</v>
      </c>
      <c r="C17" s="3368" t="s">
        <v>654</v>
      </c>
      <c r="D17" s="3369"/>
      <c r="E17" s="3369"/>
      <c r="F17" s="3369"/>
      <c r="G17" s="3465"/>
      <c r="H17" s="3466"/>
      <c r="I17" s="3466"/>
      <c r="J17" s="3466"/>
      <c r="K17" s="3466"/>
      <c r="L17" s="3466"/>
      <c r="M17" s="3466"/>
      <c r="N17" s="3466"/>
      <c r="O17" s="3466"/>
      <c r="P17" s="3466"/>
      <c r="Q17" s="3466"/>
      <c r="R17" s="3466"/>
      <c r="S17" s="3466"/>
    </row>
    <row r="18" spans="1:19" ht="15.75" hidden="1" customHeight="1" thickTop="1" x14ac:dyDescent="0.35">
      <c r="A18" s="3463"/>
      <c r="B18" s="3306" t="e">
        <f>#REF!</f>
        <v>#REF!</v>
      </c>
      <c r="C18" s="3368" t="s">
        <v>654</v>
      </c>
      <c r="D18" s="3369"/>
      <c r="E18" s="3369"/>
      <c r="F18" s="3369"/>
      <c r="G18" s="3465"/>
      <c r="H18" s="3466"/>
      <c r="I18" s="3466"/>
      <c r="J18" s="3466"/>
      <c r="K18" s="3466"/>
      <c r="L18" s="3466"/>
      <c r="M18" s="3466"/>
      <c r="N18" s="3466"/>
      <c r="O18" s="3466"/>
      <c r="P18" s="3466"/>
      <c r="Q18" s="3466"/>
      <c r="R18" s="3466"/>
      <c r="S18" s="3466"/>
    </row>
    <row r="19" spans="1:19" ht="15.75" hidden="1" customHeight="1" thickTop="1" x14ac:dyDescent="0.35">
      <c r="A19" s="3463"/>
      <c r="B19" s="3306" t="e">
        <f>#REF!</f>
        <v>#REF!</v>
      </c>
      <c r="C19" s="3368" t="s">
        <v>654</v>
      </c>
      <c r="D19" s="3369"/>
      <c r="E19" s="3369"/>
      <c r="F19" s="3369"/>
      <c r="G19" s="3465"/>
      <c r="H19" s="3466"/>
      <c r="I19" s="3466"/>
      <c r="J19" s="3466"/>
      <c r="K19" s="3466"/>
      <c r="L19" s="3466"/>
      <c r="M19" s="3466"/>
      <c r="N19" s="3466"/>
      <c r="O19" s="3466"/>
      <c r="P19" s="3466"/>
      <c r="Q19" s="3466"/>
      <c r="R19" s="3466"/>
      <c r="S19" s="3466"/>
    </row>
    <row r="20" spans="1:19" ht="15" thickTop="1" x14ac:dyDescent="0.35">
      <c r="A20" s="3463"/>
      <c r="B20" s="3306"/>
      <c r="C20" s="3368"/>
      <c r="D20" s="3369"/>
      <c r="E20" s="3369"/>
      <c r="F20" s="3369"/>
      <c r="G20" s="3465"/>
      <c r="H20" s="3313"/>
      <c r="I20" s="3466"/>
      <c r="J20" s="3313"/>
      <c r="K20" s="3466"/>
      <c r="L20" s="3466"/>
      <c r="M20" s="3466"/>
      <c r="N20" s="3466"/>
      <c r="O20" s="3466"/>
      <c r="P20" s="3313"/>
      <c r="Q20" s="3466"/>
      <c r="R20" s="3313"/>
      <c r="S20" s="3466"/>
    </row>
    <row r="21" spans="1:19" ht="15" thickBot="1" x14ac:dyDescent="0.4">
      <c r="A21" s="3467"/>
      <c r="B21" s="3468" t="s">
        <v>4096</v>
      </c>
      <c r="C21" s="3368"/>
      <c r="D21" s="3369"/>
      <c r="E21" s="3369"/>
      <c r="F21" s="3369"/>
      <c r="G21" s="3465"/>
      <c r="H21" s="3313"/>
      <c r="I21" s="3469"/>
      <c r="J21" s="3313"/>
      <c r="K21" s="3469"/>
      <c r="L21" s="3469"/>
      <c r="M21" s="3470"/>
      <c r="N21" s="3313"/>
      <c r="O21" s="3469"/>
      <c r="P21" s="3313"/>
      <c r="Q21" s="3469"/>
      <c r="R21" s="3313"/>
      <c r="S21" s="3469"/>
    </row>
    <row r="22" spans="1:19" customFormat="1" x14ac:dyDescent="0.35">
      <c r="A22" s="3471"/>
      <c r="B22" s="606" t="s">
        <v>657</v>
      </c>
      <c r="C22" s="3312"/>
      <c r="D22" s="3307"/>
      <c r="E22" s="3307"/>
      <c r="F22" s="3307"/>
      <c r="G22" s="2198"/>
      <c r="H22" s="3313"/>
      <c r="I22" s="3472"/>
      <c r="J22" s="3313"/>
      <c r="K22" s="3473"/>
      <c r="L22" s="3313"/>
      <c r="M22" s="3473"/>
      <c r="N22" s="3313"/>
      <c r="O22" s="3473"/>
      <c r="P22" s="3313"/>
      <c r="Q22" s="3473"/>
      <c r="R22" s="3313"/>
      <c r="S22" s="3473"/>
    </row>
    <row r="23" spans="1:19" customFormat="1" x14ac:dyDescent="0.35">
      <c r="A23" s="3471"/>
      <c r="B23" s="3474" t="s">
        <v>658</v>
      </c>
      <c r="C23" s="3312"/>
      <c r="D23" s="3307"/>
      <c r="E23" s="3307"/>
      <c r="F23" s="3307"/>
      <c r="G23" s="2198"/>
      <c r="H23" s="3313"/>
      <c r="I23" s="3472"/>
      <c r="J23" s="3313"/>
      <c r="K23" s="3473"/>
      <c r="L23" s="3313"/>
      <c r="M23" s="3473"/>
      <c r="N23" s="3313"/>
      <c r="O23" s="3473"/>
      <c r="P23" s="3313"/>
      <c r="Q23" s="3473"/>
      <c r="R23" s="3313"/>
      <c r="S23" s="3473"/>
    </row>
    <row r="24" spans="1:19" customFormat="1" x14ac:dyDescent="0.35">
      <c r="A24" s="3471"/>
      <c r="B24" s="3474" t="s">
        <v>659</v>
      </c>
      <c r="C24" s="3312"/>
      <c r="D24" s="3307"/>
      <c r="E24" s="3307"/>
      <c r="F24" s="3307"/>
      <c r="G24" s="2198"/>
      <c r="H24" s="3313"/>
      <c r="I24" s="3472"/>
      <c r="J24" s="3313"/>
      <c r="K24" s="3473"/>
      <c r="L24" s="3313"/>
      <c r="M24" s="3473"/>
      <c r="N24" s="3313"/>
      <c r="O24" s="3473"/>
      <c r="P24" s="3313"/>
      <c r="Q24" s="3473"/>
      <c r="R24" s="3313"/>
      <c r="S24" s="3473"/>
    </row>
    <row r="25" spans="1:19" customFormat="1" x14ac:dyDescent="0.35">
      <c r="A25" s="3471"/>
      <c r="B25" s="3475" t="s">
        <v>660</v>
      </c>
      <c r="C25" s="3312"/>
      <c r="D25" s="3307"/>
      <c r="E25" s="3307"/>
      <c r="F25" s="3307"/>
      <c r="G25" s="2198"/>
      <c r="H25" s="3313"/>
      <c r="I25" s="3472"/>
      <c r="J25" s="3313"/>
      <c r="K25" s="3473"/>
      <c r="L25" s="3313"/>
      <c r="M25" s="3472"/>
      <c r="N25" s="3313"/>
      <c r="O25" s="3473"/>
      <c r="P25" s="3313"/>
      <c r="Q25" s="3473"/>
      <c r="R25" s="3313"/>
      <c r="S25" s="3473"/>
    </row>
    <row r="26" spans="1:19" customFormat="1" x14ac:dyDescent="0.35">
      <c r="A26" s="3471"/>
      <c r="B26" s="3475" t="s">
        <v>661</v>
      </c>
      <c r="C26" s="3312"/>
      <c r="D26" s="3307"/>
      <c r="E26" s="3307"/>
      <c r="F26" s="3307"/>
      <c r="G26" s="2198"/>
      <c r="H26" s="3313"/>
      <c r="I26" s="3472"/>
      <c r="J26" s="3313"/>
      <c r="K26" s="3473"/>
      <c r="L26" s="3313"/>
      <c r="M26" s="3472"/>
      <c r="N26" s="3313"/>
      <c r="O26" s="3473"/>
      <c r="P26" s="3313"/>
      <c r="Q26" s="3473"/>
      <c r="R26" s="3313"/>
      <c r="S26" s="3473"/>
    </row>
    <row r="27" spans="1:19" customFormat="1" x14ac:dyDescent="0.35">
      <c r="A27" s="3471"/>
      <c r="B27" s="3475" t="s">
        <v>662</v>
      </c>
      <c r="C27" s="3312"/>
      <c r="D27" s="3307"/>
      <c r="E27" s="3307"/>
      <c r="F27" s="3307"/>
      <c r="G27" s="2198"/>
      <c r="H27" s="3313"/>
      <c r="I27" s="3472"/>
      <c r="J27" s="3313"/>
      <c r="K27" s="3473"/>
      <c r="L27" s="3313"/>
      <c r="M27" s="3472"/>
      <c r="N27" s="3313"/>
      <c r="O27" s="3473"/>
      <c r="P27" s="3313"/>
      <c r="Q27" s="3473"/>
      <c r="R27" s="3313"/>
      <c r="S27" s="3473"/>
    </row>
    <row r="28" spans="1:19" customFormat="1" x14ac:dyDescent="0.35">
      <c r="A28" s="3471"/>
      <c r="B28" s="141" t="s">
        <v>663</v>
      </c>
      <c r="C28" s="3312"/>
      <c r="D28" s="3307"/>
      <c r="E28" s="3307"/>
      <c r="F28" s="3307"/>
      <c r="G28" s="2198"/>
      <c r="H28" s="3313"/>
      <c r="I28" s="3472"/>
      <c r="J28" s="3313"/>
      <c r="K28" s="3473"/>
      <c r="L28" s="3313"/>
      <c r="M28" s="3472"/>
      <c r="N28" s="3313"/>
      <c r="O28" s="3473"/>
      <c r="P28" s="3313"/>
      <c r="Q28" s="3473"/>
      <c r="R28" s="3313"/>
      <c r="S28" s="3473"/>
    </row>
    <row r="29" spans="1:19" customFormat="1" x14ac:dyDescent="0.35">
      <c r="A29" s="3471"/>
      <c r="B29" s="219" t="s">
        <v>742</v>
      </c>
      <c r="C29" s="3312"/>
      <c r="D29" s="3307"/>
      <c r="E29" s="3307"/>
      <c r="F29" s="3307"/>
      <c r="G29" s="2198"/>
      <c r="H29" s="3313"/>
      <c r="I29" s="3472"/>
      <c r="J29" s="3313"/>
      <c r="K29" s="3473"/>
      <c r="L29" s="3313"/>
      <c r="M29" s="3472"/>
      <c r="N29" s="3313"/>
      <c r="O29" s="3473"/>
      <c r="P29" s="3313"/>
      <c r="Q29" s="3473"/>
      <c r="R29" s="3313"/>
      <c r="S29" s="3473"/>
    </row>
    <row r="30" spans="1:19" x14ac:dyDescent="0.35">
      <c r="A30" s="3471"/>
      <c r="B30" s="3476" t="s">
        <v>664</v>
      </c>
      <c r="C30" s="3368"/>
      <c r="D30" s="3369"/>
      <c r="E30" s="3369"/>
      <c r="F30" s="3369"/>
      <c r="G30" s="2198"/>
      <c r="H30" s="3313"/>
      <c r="I30" s="3472"/>
      <c r="J30" s="3313"/>
      <c r="K30" s="3473"/>
      <c r="L30" s="3313"/>
      <c r="M30" s="3472"/>
      <c r="N30" s="3313"/>
      <c r="O30" s="3473"/>
      <c r="P30" s="3313"/>
      <c r="Q30" s="3473"/>
      <c r="R30" s="3313"/>
      <c r="S30" s="3473"/>
    </row>
    <row r="31" spans="1:19" x14ac:dyDescent="0.35">
      <c r="A31" s="3471"/>
      <c r="B31" s="3477" t="s">
        <v>665</v>
      </c>
      <c r="C31" s="3478"/>
      <c r="D31" s="3247"/>
      <c r="E31" s="3247"/>
      <c r="F31" s="3247"/>
      <c r="G31" s="2945"/>
      <c r="H31" s="3479"/>
      <c r="I31" s="3480"/>
      <c r="J31" s="3481"/>
      <c r="K31" s="3480"/>
      <c r="L31" s="3482"/>
      <c r="M31" s="3483"/>
      <c r="N31" s="3480"/>
      <c r="O31" s="3480"/>
      <c r="P31" s="3480"/>
      <c r="Q31" s="3480"/>
      <c r="R31" s="3250"/>
      <c r="S31" s="3483"/>
    </row>
    <row r="32" spans="1:19" x14ac:dyDescent="0.35">
      <c r="A32" s="3471"/>
      <c r="B32" s="55"/>
      <c r="C32" s="3368"/>
      <c r="D32" s="3369"/>
      <c r="E32" s="3369"/>
      <c r="F32" s="3369"/>
      <c r="G32" s="3465"/>
      <c r="H32" s="3313"/>
      <c r="I32" s="3472"/>
      <c r="J32" s="3313"/>
      <c r="K32" s="3473"/>
      <c r="L32" s="3313"/>
      <c r="M32" s="3472"/>
      <c r="N32" s="3313"/>
      <c r="O32" s="3472"/>
      <c r="P32" s="3313"/>
      <c r="Q32" s="3472"/>
      <c r="R32" s="3313"/>
      <c r="S32" s="3472"/>
    </row>
    <row r="33" spans="1:19" x14ac:dyDescent="0.35">
      <c r="A33" s="3471"/>
      <c r="B33" s="3484"/>
      <c r="C33" s="3485"/>
      <c r="D33" s="3369"/>
      <c r="E33" s="3369"/>
      <c r="F33" s="3369"/>
      <c r="G33" s="3465"/>
      <c r="H33" s="3313"/>
      <c r="I33" s="3472"/>
      <c r="J33" s="3313"/>
      <c r="K33" s="3473"/>
      <c r="L33" s="3313"/>
      <c r="M33" s="3472"/>
      <c r="N33" s="3313"/>
      <c r="O33" s="3472"/>
      <c r="P33" s="3313"/>
      <c r="Q33" s="3472"/>
      <c r="R33" s="3313"/>
      <c r="S33" s="3472"/>
    </row>
    <row r="34" spans="1:19" x14ac:dyDescent="0.35">
      <c r="A34" s="3467"/>
      <c r="B34" s="3486"/>
      <c r="C34" s="3485"/>
      <c r="D34" s="3369"/>
      <c r="E34" s="3369"/>
      <c r="F34" s="3369"/>
      <c r="G34" s="3465"/>
      <c r="H34" s="3313"/>
      <c r="I34" s="3472"/>
      <c r="J34" s="3313"/>
      <c r="K34" s="3472"/>
      <c r="L34" s="3313"/>
      <c r="M34" s="3472"/>
      <c r="N34" s="3313"/>
      <c r="O34" s="3472"/>
      <c r="P34" s="3313"/>
      <c r="Q34" s="3472"/>
      <c r="R34" s="3313"/>
      <c r="S34" s="3472"/>
    </row>
    <row r="35" spans="1:19" x14ac:dyDescent="0.35">
      <c r="A35" s="3487"/>
      <c r="B35" s="3485"/>
      <c r="C35" s="3485"/>
      <c r="D35" s="3369"/>
      <c r="E35" s="3369"/>
      <c r="F35" s="3369"/>
      <c r="G35" s="3465"/>
      <c r="H35" s="3313"/>
      <c r="I35" s="3472"/>
      <c r="J35" s="3313"/>
      <c r="K35" s="3473"/>
      <c r="L35" s="3313"/>
      <c r="M35" s="3472"/>
      <c r="N35" s="3313"/>
      <c r="O35" s="3472"/>
      <c r="P35" s="3313"/>
      <c r="Q35" s="3472"/>
      <c r="R35" s="3313"/>
      <c r="S35" s="3472"/>
    </row>
    <row r="36" spans="1:19" x14ac:dyDescent="0.35">
      <c r="A36" s="3467"/>
      <c r="B36" s="3485"/>
      <c r="C36" s="3485"/>
      <c r="D36" s="3369"/>
      <c r="E36" s="3369"/>
      <c r="F36" s="3369"/>
      <c r="G36" s="3465"/>
      <c r="H36" s="3313"/>
      <c r="I36" s="3472"/>
      <c r="J36" s="3313"/>
      <c r="K36" s="3473"/>
      <c r="L36" s="3313"/>
      <c r="M36" s="3472"/>
      <c r="N36" s="3313"/>
      <c r="O36" s="3472"/>
      <c r="P36" s="3313"/>
      <c r="Q36" s="3472"/>
      <c r="R36" s="3313"/>
      <c r="S36" s="3472"/>
    </row>
    <row r="37" spans="1:19" x14ac:dyDescent="0.35">
      <c r="A37" s="3467"/>
      <c r="B37" s="3485"/>
      <c r="C37" s="3485"/>
      <c r="D37" s="3369"/>
      <c r="E37" s="3369"/>
      <c r="F37" s="3369"/>
      <c r="G37" s="3465"/>
      <c r="H37" s="3313"/>
      <c r="I37" s="3472"/>
      <c r="J37" s="3313"/>
      <c r="K37" s="3473"/>
      <c r="L37" s="3313"/>
      <c r="M37" s="3472"/>
      <c r="N37" s="3313"/>
      <c r="O37" s="3472"/>
      <c r="P37" s="3313"/>
      <c r="Q37" s="3472"/>
      <c r="R37" s="3313"/>
      <c r="S37" s="3472"/>
    </row>
    <row r="38" spans="1:19" x14ac:dyDescent="0.35">
      <c r="A38" s="3467"/>
      <c r="B38" s="3485"/>
      <c r="C38" s="3485"/>
      <c r="D38" s="3369"/>
      <c r="E38" s="3369"/>
      <c r="F38" s="3369"/>
      <c r="G38" s="3465"/>
      <c r="H38" s="3313"/>
      <c r="I38" s="3472"/>
      <c r="J38" s="3313"/>
      <c r="K38" s="3473"/>
      <c r="L38" s="3313"/>
      <c r="M38" s="3472"/>
      <c r="N38" s="3313"/>
      <c r="O38" s="3472"/>
      <c r="P38" s="3313"/>
      <c r="Q38" s="3472"/>
      <c r="R38" s="3313"/>
      <c r="S38" s="3472"/>
    </row>
    <row r="39" spans="1:19" x14ac:dyDescent="0.35">
      <c r="A39" s="3467"/>
      <c r="B39" s="3485"/>
      <c r="C39" s="3485"/>
      <c r="D39" s="3369"/>
      <c r="E39" s="3369"/>
      <c r="F39" s="3369"/>
      <c r="G39" s="3465"/>
      <c r="H39" s="3313"/>
      <c r="I39" s="3472"/>
      <c r="J39" s="3313"/>
      <c r="K39" s="3473"/>
      <c r="L39" s="3313"/>
      <c r="M39" s="3472"/>
      <c r="N39" s="3313"/>
      <c r="O39" s="3472"/>
      <c r="P39" s="3313"/>
      <c r="Q39" s="3472"/>
      <c r="R39" s="3313"/>
      <c r="S39" s="3472"/>
    </row>
    <row r="40" spans="1:19" x14ac:dyDescent="0.35">
      <c r="A40" s="3467"/>
      <c r="B40" s="3485"/>
      <c r="C40" s="3485"/>
      <c r="D40" s="3369"/>
      <c r="E40" s="3369"/>
      <c r="F40" s="3369"/>
      <c r="G40" s="3465"/>
      <c r="H40" s="3313"/>
      <c r="I40" s="3472"/>
      <c r="J40" s="3313"/>
      <c r="K40" s="3473"/>
      <c r="L40" s="3313"/>
      <c r="M40" s="3472"/>
      <c r="N40" s="3313"/>
      <c r="O40" s="3472"/>
      <c r="P40" s="3313"/>
      <c r="Q40" s="3472"/>
      <c r="R40" s="3313"/>
      <c r="S40" s="3472"/>
    </row>
    <row r="41" spans="1:19" x14ac:dyDescent="0.35">
      <c r="A41" s="3467"/>
      <c r="B41" s="3485"/>
      <c r="C41" s="3485"/>
      <c r="D41" s="3369"/>
      <c r="E41" s="3369"/>
      <c r="F41" s="3369"/>
      <c r="G41" s="3465"/>
      <c r="H41" s="3313"/>
      <c r="I41" s="3472"/>
      <c r="J41" s="3313"/>
      <c r="K41" s="3473"/>
      <c r="L41" s="3313"/>
      <c r="M41" s="3472"/>
      <c r="N41" s="3313"/>
      <c r="O41" s="3472"/>
      <c r="P41" s="3313"/>
      <c r="Q41" s="3472"/>
      <c r="R41" s="3313"/>
      <c r="S41" s="3472"/>
    </row>
    <row r="42" spans="1:19" ht="15" customHeight="1" x14ac:dyDescent="0.35">
      <c r="A42" s="3467"/>
      <c r="B42" s="3485"/>
      <c r="C42" s="3485"/>
      <c r="D42" s="3369"/>
      <c r="E42" s="3369"/>
      <c r="F42" s="3369"/>
      <c r="G42" s="3465"/>
      <c r="H42" s="3313"/>
      <c r="I42" s="3472"/>
      <c r="J42" s="3313"/>
      <c r="K42" s="3473"/>
      <c r="L42" s="3313"/>
      <c r="M42" s="3472"/>
      <c r="N42" s="3313"/>
      <c r="O42" s="3472"/>
      <c r="P42" s="3313"/>
      <c r="Q42" s="3472"/>
      <c r="R42" s="3313"/>
      <c r="S42" s="3472"/>
    </row>
    <row r="43" spans="1:19" ht="15" customHeight="1" x14ac:dyDescent="0.35">
      <c r="A43" s="3467"/>
      <c r="B43" s="3485"/>
      <c r="C43" s="3485"/>
      <c r="D43" s="3369"/>
      <c r="E43" s="3369"/>
      <c r="F43" s="3369"/>
      <c r="G43" s="3465"/>
      <c r="H43" s="3313"/>
      <c r="I43" s="3472"/>
      <c r="J43" s="3313"/>
      <c r="K43" s="3473"/>
      <c r="L43" s="3313"/>
      <c r="M43" s="3472"/>
      <c r="N43" s="3313"/>
      <c r="O43" s="3472"/>
      <c r="P43" s="3313"/>
      <c r="Q43" s="3472"/>
      <c r="R43" s="3313"/>
      <c r="S43" s="3472"/>
    </row>
    <row r="44" spans="1:19" ht="15" customHeight="1" x14ac:dyDescent="0.35">
      <c r="A44" s="3467"/>
      <c r="B44" s="3485"/>
      <c r="C44" s="3485"/>
      <c r="D44" s="3369"/>
      <c r="E44" s="3369"/>
      <c r="F44" s="3369"/>
      <c r="G44" s="3465"/>
      <c r="H44" s="3313"/>
      <c r="I44" s="3472"/>
      <c r="J44" s="3313"/>
      <c r="K44" s="3473"/>
      <c r="L44" s="3313"/>
      <c r="M44" s="3472"/>
      <c r="N44" s="3313"/>
      <c r="O44" s="3472"/>
      <c r="P44" s="3313"/>
      <c r="Q44" s="3472"/>
      <c r="R44" s="3313"/>
      <c r="S44" s="3472"/>
    </row>
    <row r="45" spans="1:19" ht="15" customHeight="1" x14ac:dyDescent="0.35">
      <c r="A45" s="3467"/>
      <c r="B45" s="3485"/>
      <c r="C45" s="3485"/>
      <c r="D45" s="3369"/>
      <c r="E45" s="3369"/>
      <c r="F45" s="3369"/>
      <c r="G45" s="3465"/>
      <c r="H45" s="3313"/>
      <c r="I45" s="3472"/>
      <c r="J45" s="3313"/>
      <c r="K45" s="3473"/>
      <c r="L45" s="3313"/>
      <c r="M45" s="3472"/>
      <c r="N45" s="3313"/>
      <c r="O45" s="3472"/>
      <c r="P45" s="3313"/>
      <c r="Q45" s="3472"/>
      <c r="R45" s="3313"/>
      <c r="S45" s="3472"/>
    </row>
    <row r="46" spans="1:19" x14ac:dyDescent="0.35">
      <c r="A46" s="3487"/>
      <c r="B46" s="3486"/>
      <c r="C46" s="3485"/>
      <c r="D46" s="3369"/>
      <c r="E46" s="3369"/>
      <c r="F46" s="3369"/>
      <c r="G46" s="3465"/>
      <c r="H46" s="3313"/>
      <c r="I46" s="3470"/>
      <c r="J46" s="3313"/>
      <c r="K46" s="3470"/>
      <c r="L46" s="3313"/>
      <c r="M46" s="3470"/>
      <c r="N46" s="3313"/>
      <c r="O46" s="3470"/>
      <c r="P46" s="3313"/>
      <c r="Q46" s="3470"/>
      <c r="R46" s="3313"/>
      <c r="S46" s="3470"/>
    </row>
    <row r="47" spans="1:19" x14ac:dyDescent="0.35">
      <c r="A47" s="3467"/>
      <c r="B47" s="3485"/>
      <c r="C47" s="3485"/>
      <c r="D47" s="3369"/>
      <c r="E47" s="3369"/>
      <c r="F47" s="3369"/>
      <c r="G47" s="3465"/>
      <c r="H47" s="3313"/>
      <c r="I47" s="3470"/>
      <c r="J47" s="3313"/>
      <c r="K47" s="3469"/>
      <c r="L47" s="3313"/>
      <c r="M47" s="3470"/>
      <c r="N47" s="3313"/>
      <c r="O47" s="3469"/>
      <c r="P47" s="3313"/>
      <c r="Q47" s="3469"/>
      <c r="R47" s="3313"/>
      <c r="S47" s="3469"/>
    </row>
    <row r="48" spans="1:19" x14ac:dyDescent="0.35">
      <c r="A48" s="3467"/>
      <c r="B48" s="3485"/>
      <c r="C48" s="3485"/>
      <c r="D48" s="3369"/>
      <c r="E48" s="3369"/>
      <c r="F48" s="3369"/>
      <c r="G48" s="3465"/>
      <c r="H48" s="3313"/>
      <c r="I48" s="3470"/>
      <c r="J48" s="3313"/>
      <c r="K48" s="3469"/>
      <c r="L48" s="3313"/>
      <c r="M48" s="3470"/>
      <c r="N48" s="3313"/>
      <c r="O48" s="3469"/>
      <c r="P48" s="3313"/>
      <c r="Q48" s="3469"/>
      <c r="R48" s="3313"/>
      <c r="S48" s="3469"/>
    </row>
    <row r="49" spans="1:19" x14ac:dyDescent="0.35">
      <c r="A49" s="3467"/>
      <c r="B49" s="3485"/>
      <c r="C49" s="3485"/>
      <c r="D49" s="3369"/>
      <c r="E49" s="3369"/>
      <c r="F49" s="3369"/>
      <c r="G49" s="3465"/>
      <c r="H49" s="3313"/>
      <c r="I49" s="3470"/>
      <c r="J49" s="3313"/>
      <c r="K49" s="3469"/>
      <c r="L49" s="3313"/>
      <c r="M49" s="3470"/>
      <c r="N49" s="3313"/>
      <c r="O49" s="3469"/>
      <c r="P49" s="3313"/>
      <c r="Q49" s="3469"/>
      <c r="R49" s="3313"/>
      <c r="S49" s="3469"/>
    </row>
    <row r="50" spans="1:19" x14ac:dyDescent="0.35">
      <c r="A50" s="3467"/>
      <c r="B50" s="3485"/>
      <c r="C50" s="3485"/>
      <c r="D50" s="3369"/>
      <c r="E50" s="3369"/>
      <c r="F50" s="3369"/>
      <c r="G50" s="3465"/>
      <c r="H50" s="3313"/>
      <c r="I50" s="3470"/>
      <c r="J50" s="3313"/>
      <c r="K50" s="3469"/>
      <c r="L50" s="3313"/>
      <c r="M50" s="3470"/>
      <c r="N50" s="3313"/>
      <c r="O50" s="3469"/>
      <c r="P50" s="3313"/>
      <c r="Q50" s="3469"/>
      <c r="R50" s="3313"/>
      <c r="S50" s="3469"/>
    </row>
    <row r="51" spans="1:19" x14ac:dyDescent="0.35">
      <c r="A51" s="3467"/>
      <c r="B51" s="3485"/>
      <c r="C51" s="3485"/>
      <c r="D51" s="3369"/>
      <c r="E51" s="3369"/>
      <c r="F51" s="3369"/>
      <c r="G51" s="3465"/>
      <c r="H51" s="3313"/>
      <c r="I51" s="3470"/>
      <c r="J51" s="3313"/>
      <c r="K51" s="3470"/>
      <c r="L51" s="3313"/>
      <c r="M51" s="3470"/>
      <c r="N51" s="3313"/>
      <c r="O51" s="3469"/>
      <c r="P51" s="3313"/>
      <c r="Q51" s="3469"/>
      <c r="R51" s="3313"/>
      <c r="S51" s="3469"/>
    </row>
    <row r="52" spans="1:19" x14ac:dyDescent="0.35">
      <c r="A52" s="3467"/>
      <c r="B52" s="3485"/>
      <c r="C52" s="3485"/>
      <c r="D52" s="3369"/>
      <c r="E52" s="3369"/>
      <c r="F52" s="3369"/>
      <c r="G52" s="3465"/>
      <c r="H52" s="3313"/>
      <c r="I52" s="3470"/>
      <c r="J52" s="3313"/>
      <c r="K52" s="3469"/>
      <c r="L52" s="3313"/>
      <c r="M52" s="3470"/>
      <c r="N52" s="3313"/>
      <c r="O52" s="3469"/>
      <c r="P52" s="3313"/>
      <c r="Q52" s="3469"/>
      <c r="R52" s="3313"/>
      <c r="S52" s="3469"/>
    </row>
    <row r="53" spans="1:19" x14ac:dyDescent="0.35">
      <c r="A53" s="3467"/>
      <c r="B53" s="3485"/>
      <c r="C53" s="3485"/>
      <c r="D53" s="3369"/>
      <c r="E53" s="3369"/>
      <c r="F53" s="3369"/>
      <c r="G53" s="3465"/>
      <c r="H53" s="3313"/>
      <c r="I53" s="3470"/>
      <c r="J53" s="3313"/>
      <c r="K53" s="3469"/>
      <c r="L53" s="3313"/>
      <c r="M53" s="3470"/>
      <c r="N53" s="3313"/>
      <c r="O53" s="3469"/>
      <c r="P53" s="3313"/>
      <c r="Q53" s="3469"/>
      <c r="R53" s="3313"/>
      <c r="S53" s="3469"/>
    </row>
    <row r="54" spans="1:19" x14ac:dyDescent="0.35">
      <c r="A54" s="3467"/>
      <c r="B54" s="3485"/>
      <c r="C54" s="3485"/>
      <c r="D54" s="3369"/>
      <c r="E54" s="3369"/>
      <c r="F54" s="3369"/>
      <c r="G54" s="3465"/>
      <c r="H54" s="3313"/>
      <c r="I54" s="3470"/>
      <c r="J54" s="3313"/>
      <c r="K54" s="3470"/>
      <c r="L54" s="3313"/>
      <c r="M54" s="3470"/>
      <c r="N54" s="3313"/>
      <c r="O54" s="3469"/>
      <c r="P54" s="3313"/>
      <c r="Q54" s="3469"/>
      <c r="R54" s="3313"/>
      <c r="S54" s="3469"/>
    </row>
    <row r="55" spans="1:19" x14ac:dyDescent="0.35">
      <c r="A55" s="3467"/>
      <c r="B55" s="3485"/>
      <c r="C55" s="3485"/>
      <c r="D55" s="3369"/>
      <c r="E55" s="3369"/>
      <c r="F55" s="3369"/>
      <c r="G55" s="3465"/>
      <c r="H55" s="3313"/>
      <c r="I55" s="3470"/>
      <c r="J55" s="3313"/>
      <c r="K55" s="3469"/>
      <c r="L55" s="3313"/>
      <c r="M55" s="3470"/>
      <c r="N55" s="3313"/>
      <c r="O55" s="3469"/>
      <c r="P55" s="3313"/>
      <c r="Q55" s="3469"/>
      <c r="R55" s="3313"/>
      <c r="S55" s="3469"/>
    </row>
    <row r="56" spans="1:19" x14ac:dyDescent="0.35">
      <c r="A56" s="3467"/>
      <c r="B56" s="3485"/>
      <c r="C56" s="3485"/>
      <c r="D56" s="3369"/>
      <c r="E56" s="3369"/>
      <c r="F56" s="3369"/>
      <c r="G56" s="3465"/>
      <c r="H56" s="3313"/>
      <c r="I56" s="3470"/>
      <c r="J56" s="3313"/>
      <c r="K56" s="3469"/>
      <c r="L56" s="3313"/>
      <c r="M56" s="3470"/>
      <c r="N56" s="3313"/>
      <c r="O56" s="3469"/>
      <c r="P56" s="3313"/>
      <c r="Q56" s="3469"/>
      <c r="R56" s="3313"/>
      <c r="S56" s="3469"/>
    </row>
    <row r="57" spans="1:19" x14ac:dyDescent="0.35">
      <c r="A57" s="3467"/>
      <c r="B57" s="3485"/>
      <c r="C57" s="3485"/>
      <c r="D57" s="3369"/>
      <c r="E57" s="3369"/>
      <c r="F57" s="3369"/>
      <c r="G57" s="3465"/>
      <c r="H57" s="3313"/>
      <c r="I57" s="3470"/>
      <c r="J57" s="3313"/>
      <c r="K57" s="3469"/>
      <c r="L57" s="3313"/>
      <c r="M57" s="3470"/>
      <c r="N57" s="3313"/>
      <c r="O57" s="3469"/>
      <c r="P57" s="3313"/>
      <c r="Q57" s="3469"/>
      <c r="R57" s="3313"/>
      <c r="S57" s="3469"/>
    </row>
    <row r="58" spans="1:19" x14ac:dyDescent="0.35">
      <c r="A58" s="3467"/>
      <c r="B58" s="3485"/>
      <c r="C58" s="3485"/>
      <c r="D58" s="3369"/>
      <c r="E58" s="3369"/>
      <c r="F58" s="3369"/>
      <c r="G58" s="3465"/>
      <c r="H58" s="3313"/>
      <c r="I58" s="3470"/>
      <c r="J58" s="3313"/>
      <c r="K58" s="3469"/>
      <c r="L58" s="3313"/>
      <c r="M58" s="3470"/>
      <c r="N58" s="3313"/>
      <c r="O58" s="3469"/>
      <c r="P58" s="3313"/>
      <c r="Q58" s="3469"/>
      <c r="R58" s="3313"/>
      <c r="S58" s="3469"/>
    </row>
    <row r="59" spans="1:19" x14ac:dyDescent="0.35">
      <c r="A59" s="3467"/>
      <c r="B59" s="3485"/>
      <c r="C59" s="3485"/>
      <c r="D59" s="3369"/>
      <c r="E59" s="3369"/>
      <c r="F59" s="3369"/>
      <c r="G59" s="3465"/>
      <c r="H59" s="3313"/>
      <c r="I59" s="3470"/>
      <c r="J59" s="3313"/>
      <c r="K59" s="3469"/>
      <c r="L59" s="3313"/>
      <c r="M59" s="3470"/>
      <c r="N59" s="3313"/>
      <c r="O59" s="3469"/>
      <c r="P59" s="3313"/>
      <c r="Q59" s="3469"/>
      <c r="R59" s="3313"/>
      <c r="S59" s="3469"/>
    </row>
    <row r="60" spans="1:19" x14ac:dyDescent="0.35">
      <c r="A60" s="3467"/>
      <c r="B60" s="3485"/>
      <c r="C60" s="3485"/>
      <c r="D60" s="3369"/>
      <c r="E60" s="3369"/>
      <c r="F60" s="3369"/>
      <c r="G60" s="3465"/>
      <c r="H60" s="3313"/>
      <c r="I60" s="3470"/>
      <c r="J60" s="3313"/>
      <c r="K60" s="3469"/>
      <c r="L60" s="3313"/>
      <c r="M60" s="3470"/>
      <c r="N60" s="3313"/>
      <c r="O60" s="3469"/>
      <c r="P60" s="3313"/>
      <c r="Q60" s="3469"/>
      <c r="R60" s="3313"/>
      <c r="S60" s="3469"/>
    </row>
    <row r="61" spans="1:19" x14ac:dyDescent="0.35">
      <c r="A61" s="3467"/>
      <c r="B61" s="3485"/>
      <c r="C61" s="3485"/>
      <c r="D61" s="3369"/>
      <c r="E61" s="3369"/>
      <c r="F61" s="3369"/>
      <c r="G61" s="3465"/>
      <c r="H61" s="3313"/>
      <c r="I61" s="3470"/>
      <c r="J61" s="3313"/>
      <c r="K61" s="3469"/>
      <c r="L61" s="3313"/>
      <c r="M61" s="3470"/>
      <c r="N61" s="3313"/>
      <c r="O61" s="3469"/>
      <c r="P61" s="3313"/>
      <c r="Q61" s="3469"/>
      <c r="R61" s="3313"/>
      <c r="S61" s="3469"/>
    </row>
    <row r="62" spans="1:19" ht="18.649999999999999" customHeight="1" x14ac:dyDescent="0.35">
      <c r="A62" s="3467"/>
      <c r="B62" s="3486"/>
      <c r="C62" s="3485"/>
      <c r="D62" s="3369"/>
      <c r="E62" s="3369"/>
      <c r="F62" s="3369"/>
      <c r="G62" s="3465"/>
      <c r="H62" s="3313"/>
      <c r="I62" s="3470"/>
      <c r="J62" s="3313"/>
      <c r="K62" s="3470"/>
      <c r="L62" s="3313"/>
      <c r="M62" s="3470"/>
      <c r="N62" s="3313"/>
      <c r="O62" s="3469"/>
      <c r="P62" s="3313"/>
      <c r="Q62" s="3469"/>
      <c r="R62" s="3313"/>
      <c r="S62" s="3469"/>
    </row>
    <row r="63" spans="1:19" x14ac:dyDescent="0.35">
      <c r="A63" s="3487"/>
      <c r="B63" s="3485"/>
      <c r="C63" s="3485"/>
      <c r="D63" s="3369"/>
      <c r="E63" s="3369"/>
      <c r="F63" s="3369"/>
      <c r="G63" s="3465"/>
      <c r="H63" s="3313"/>
      <c r="I63" s="3470"/>
      <c r="J63" s="3313"/>
      <c r="K63" s="3469"/>
      <c r="L63" s="3313"/>
      <c r="M63" s="3470"/>
      <c r="N63" s="3313"/>
      <c r="O63" s="3469"/>
      <c r="P63" s="3313"/>
      <c r="Q63" s="3469"/>
      <c r="R63" s="3313"/>
      <c r="S63" s="3469"/>
    </row>
    <row r="64" spans="1:19" ht="15" customHeight="1" x14ac:dyDescent="0.35">
      <c r="A64" s="3487"/>
      <c r="B64" s="3485"/>
      <c r="C64" s="3485"/>
      <c r="D64" s="3369"/>
      <c r="E64" s="3369"/>
      <c r="F64" s="3369"/>
      <c r="G64" s="3465"/>
      <c r="H64" s="3313"/>
      <c r="I64" s="3470"/>
      <c r="J64" s="3313"/>
      <c r="K64" s="3469"/>
      <c r="L64" s="3313"/>
      <c r="M64" s="3470"/>
      <c r="N64" s="3313"/>
      <c r="O64" s="3469"/>
      <c r="P64" s="3313"/>
      <c r="Q64" s="3469"/>
      <c r="R64" s="3313"/>
      <c r="S64" s="3469"/>
    </row>
    <row r="65" spans="1:19" x14ac:dyDescent="0.35">
      <c r="A65" s="3487"/>
      <c r="B65" s="3485"/>
      <c r="C65" s="3485"/>
      <c r="D65" s="3369"/>
      <c r="E65" s="3369"/>
      <c r="F65" s="3369"/>
      <c r="G65" s="3465"/>
      <c r="H65" s="3313"/>
      <c r="I65" s="3470"/>
      <c r="J65" s="3313"/>
      <c r="K65" s="3469"/>
      <c r="L65" s="3313"/>
      <c r="M65" s="3470"/>
      <c r="N65" s="3313"/>
      <c r="O65" s="3469"/>
      <c r="P65" s="3313"/>
      <c r="Q65" s="3469"/>
      <c r="R65" s="3313"/>
      <c r="S65" s="3469"/>
    </row>
    <row r="66" spans="1:19" x14ac:dyDescent="0.35">
      <c r="A66" s="3467"/>
      <c r="B66" s="3485"/>
      <c r="C66" s="3485"/>
      <c r="D66" s="3369"/>
      <c r="E66" s="3369"/>
      <c r="F66" s="3369"/>
      <c r="G66" s="3465"/>
      <c r="H66" s="3313"/>
      <c r="I66" s="3470"/>
      <c r="J66" s="3313"/>
      <c r="K66" s="3469"/>
      <c r="L66" s="3313"/>
      <c r="M66" s="3470"/>
      <c r="N66" s="3313"/>
      <c r="O66" s="3469"/>
      <c r="P66" s="3313"/>
      <c r="Q66" s="3469"/>
      <c r="R66" s="3313"/>
      <c r="S66" s="3469"/>
    </row>
    <row r="67" spans="1:19" x14ac:dyDescent="0.35">
      <c r="A67" s="3487"/>
      <c r="B67" s="1294"/>
      <c r="C67" s="3485"/>
      <c r="D67" s="1295"/>
      <c r="E67" s="1295"/>
      <c r="F67" s="1295"/>
      <c r="G67" s="3488"/>
      <c r="H67" s="3313"/>
      <c r="I67" s="3470"/>
      <c r="J67" s="3313"/>
      <c r="K67" s="3469"/>
      <c r="L67" s="3313"/>
      <c r="M67" s="3469"/>
      <c r="N67" s="3313"/>
      <c r="O67" s="3469"/>
      <c r="P67" s="3313"/>
      <c r="Q67" s="3469"/>
      <c r="R67" s="3313"/>
      <c r="S67" s="3469"/>
    </row>
    <row r="68" spans="1:19" x14ac:dyDescent="0.35">
      <c r="A68" s="3487"/>
      <c r="B68" s="1294"/>
      <c r="C68" s="3238"/>
      <c r="D68" s="1295"/>
      <c r="E68" s="1295"/>
      <c r="F68" s="1295"/>
      <c r="G68" s="3488"/>
      <c r="H68" s="3313"/>
      <c r="I68" s="3469"/>
      <c r="J68" s="3313"/>
      <c r="K68" s="3469"/>
      <c r="L68" s="3313"/>
      <c r="M68" s="3469"/>
      <c r="N68" s="3313"/>
      <c r="O68" s="3469"/>
      <c r="P68" s="3313"/>
      <c r="Q68" s="3469"/>
      <c r="R68" s="3313"/>
      <c r="S68" s="3469"/>
    </row>
    <row r="69" spans="1:19" x14ac:dyDescent="0.35">
      <c r="A69" s="3487"/>
      <c r="B69" s="1294"/>
      <c r="C69" s="3238"/>
      <c r="D69" s="1295"/>
      <c r="E69" s="1295"/>
      <c r="F69" s="1295"/>
      <c r="G69" s="3488"/>
      <c r="H69" s="3313"/>
      <c r="I69" s="3469"/>
      <c r="J69" s="3313"/>
      <c r="K69" s="3469"/>
      <c r="L69" s="3313"/>
      <c r="M69" s="3469"/>
      <c r="N69" s="3313"/>
      <c r="O69" s="3469"/>
      <c r="P69" s="3313"/>
      <c r="Q69" s="3469"/>
      <c r="R69" s="3313"/>
      <c r="S69" s="3469"/>
    </row>
    <row r="70" spans="1:19" x14ac:dyDescent="0.35">
      <c r="A70" s="3467"/>
      <c r="B70" s="1294"/>
      <c r="C70" s="3238"/>
      <c r="D70" s="1295"/>
      <c r="E70" s="1295"/>
      <c r="F70" s="1295"/>
      <c r="G70" s="3488"/>
      <c r="H70" s="3313"/>
      <c r="I70" s="3469"/>
      <c r="J70" s="3313"/>
      <c r="K70" s="3469"/>
      <c r="L70" s="3313"/>
      <c r="M70" s="3469"/>
      <c r="N70" s="3313"/>
      <c r="O70" s="3469"/>
      <c r="P70" s="3313"/>
      <c r="Q70" s="3469"/>
      <c r="R70" s="3313"/>
      <c r="S70" s="3469"/>
    </row>
    <row r="71" spans="1:19" x14ac:dyDescent="0.35">
      <c r="A71" s="3487"/>
      <c r="B71" s="1294"/>
      <c r="C71" s="3238"/>
      <c r="D71" s="1295"/>
      <c r="E71" s="1295"/>
      <c r="F71" s="1295"/>
      <c r="G71" s="3488"/>
      <c r="H71" s="3313"/>
      <c r="I71" s="3469"/>
      <c r="J71" s="3313"/>
      <c r="K71" s="3469"/>
      <c r="L71" s="3313"/>
      <c r="M71" s="3469"/>
      <c r="N71" s="3313"/>
      <c r="O71" s="3469"/>
      <c r="P71" s="3313"/>
      <c r="Q71" s="3469"/>
      <c r="R71" s="3313"/>
      <c r="S71" s="3469"/>
    </row>
    <row r="72" spans="1:19" x14ac:dyDescent="0.35">
      <c r="A72" s="3487"/>
      <c r="B72" s="1294"/>
      <c r="C72" s="3238"/>
      <c r="D72" s="1295"/>
      <c r="E72" s="1295"/>
      <c r="F72" s="1295"/>
      <c r="G72" s="3488"/>
      <c r="H72" s="3313"/>
      <c r="I72" s="3469"/>
      <c r="J72" s="3313"/>
      <c r="K72" s="3469"/>
      <c r="L72" s="3313"/>
      <c r="M72" s="3469"/>
      <c r="N72" s="3313"/>
      <c r="O72" s="3469"/>
      <c r="P72" s="3313"/>
      <c r="Q72" s="3469"/>
      <c r="R72" s="3313"/>
      <c r="S72" s="3469"/>
    </row>
    <row r="73" spans="1:19" x14ac:dyDescent="0.35">
      <c r="A73" s="3487"/>
      <c r="B73" s="1294"/>
      <c r="C73" s="3238"/>
      <c r="D73" s="1295"/>
      <c r="E73" s="1295"/>
      <c r="F73" s="1295"/>
      <c r="G73" s="3488"/>
      <c r="H73" s="3313"/>
      <c r="I73" s="3469"/>
      <c r="J73" s="3313"/>
      <c r="K73" s="3469"/>
      <c r="L73" s="3313"/>
      <c r="M73" s="3469"/>
      <c r="N73" s="3313"/>
      <c r="O73" s="3469"/>
      <c r="P73" s="3313"/>
      <c r="Q73" s="3469"/>
      <c r="R73" s="3313"/>
      <c r="S73" s="3469"/>
    </row>
    <row r="74" spans="1:19" x14ac:dyDescent="0.35">
      <c r="A74" s="3487"/>
      <c r="B74" s="1294"/>
      <c r="C74" s="3238"/>
      <c r="D74" s="1295"/>
      <c r="E74" s="1295"/>
      <c r="F74" s="1295"/>
      <c r="G74" s="3488"/>
      <c r="H74" s="3313"/>
      <c r="I74" s="3469"/>
      <c r="J74" s="3313"/>
      <c r="K74" s="3469"/>
      <c r="L74" s="3313"/>
      <c r="M74" s="3469"/>
      <c r="N74" s="3313"/>
      <c r="O74" s="3469"/>
      <c r="P74" s="3313"/>
      <c r="Q74" s="3469"/>
      <c r="R74" s="3313"/>
      <c r="S74" s="3469"/>
    </row>
    <row r="75" spans="1:19" ht="15" thickBot="1" x14ac:dyDescent="0.4">
      <c r="A75" s="3487"/>
      <c r="B75" s="3489"/>
      <c r="C75" s="3368"/>
      <c r="D75" s="3369"/>
      <c r="E75" s="3369"/>
      <c r="F75" s="3369"/>
      <c r="G75" s="3465"/>
      <c r="H75" s="3313"/>
      <c r="I75" s="3469"/>
      <c r="J75" s="3313"/>
      <c r="K75" s="3469"/>
      <c r="L75" s="3313"/>
      <c r="M75" s="3469"/>
      <c r="N75" s="3313"/>
      <c r="O75" s="3469"/>
      <c r="P75" s="3313"/>
      <c r="Q75" s="3469"/>
      <c r="R75" s="3313"/>
      <c r="S75" s="3469"/>
    </row>
    <row r="76" spans="1:19" ht="15" thickTop="1" x14ac:dyDescent="0.35">
      <c r="A76" s="65"/>
      <c r="B76" s="66"/>
      <c r="C76" s="67"/>
      <c r="D76" s="67"/>
      <c r="E76" s="68"/>
      <c r="F76" s="69" t="s">
        <v>715</v>
      </c>
      <c r="G76" s="76"/>
      <c r="H76" s="72"/>
      <c r="I76" s="71">
        <f>SUM(I33:I75)</f>
        <v>0</v>
      </c>
      <c r="J76" s="70"/>
      <c r="K76" s="71">
        <f>SUM(K33:K75)</f>
        <v>0</v>
      </c>
      <c r="L76" s="70"/>
      <c r="M76" s="71">
        <f>SUM(M33:M75)</f>
        <v>0</v>
      </c>
      <c r="N76" s="70"/>
      <c r="O76" s="71">
        <f>SUM(O33:O75)</f>
        <v>0</v>
      </c>
      <c r="P76" s="70"/>
      <c r="Q76" s="71">
        <f>SUM(Q33:Q75)</f>
        <v>0</v>
      </c>
      <c r="R76" s="70"/>
      <c r="S76" s="71">
        <f>SUM(S33:S75)</f>
        <v>0</v>
      </c>
    </row>
    <row r="77" spans="1:19" x14ac:dyDescent="0.35">
      <c r="A77" s="3490"/>
      <c r="B77" s="3491"/>
      <c r="C77" s="3492"/>
      <c r="D77" s="3492"/>
      <c r="E77" s="3493"/>
      <c r="F77" s="3494" t="s">
        <v>716</v>
      </c>
      <c r="G77" s="3495"/>
      <c r="H77" s="3496">
        <v>0</v>
      </c>
      <c r="I77" s="3497"/>
      <c r="J77" s="3498">
        <v>0</v>
      </c>
      <c r="K77" s="3497"/>
      <c r="L77" s="3498">
        <v>0</v>
      </c>
      <c r="M77" s="3497"/>
      <c r="N77" s="3498">
        <v>0</v>
      </c>
      <c r="O77" s="3497"/>
      <c r="P77" s="3498">
        <v>0</v>
      </c>
      <c r="Q77" s="3497"/>
      <c r="R77" s="3498">
        <v>0</v>
      </c>
      <c r="S77" s="3497"/>
    </row>
    <row r="78" spans="1:19" x14ac:dyDescent="0.35">
      <c r="A78" s="3490"/>
      <c r="B78" s="3491"/>
      <c r="C78" s="3492"/>
      <c r="D78" s="3492"/>
      <c r="E78" s="3493"/>
      <c r="F78" s="3494" t="s">
        <v>717</v>
      </c>
      <c r="G78" s="3495"/>
      <c r="H78" s="3499"/>
      <c r="I78" s="3500">
        <f>I76*H77</f>
        <v>0</v>
      </c>
      <c r="J78" s="3501"/>
      <c r="K78" s="3500">
        <f>K76*J77</f>
        <v>0</v>
      </c>
      <c r="L78" s="3501"/>
      <c r="M78" s="3500">
        <f>M76*L77</f>
        <v>0</v>
      </c>
      <c r="N78" s="3501"/>
      <c r="O78" s="3500">
        <f>O76*N77</f>
        <v>0</v>
      </c>
      <c r="P78" s="3501"/>
      <c r="Q78" s="3500">
        <f>Q76*P77</f>
        <v>0</v>
      </c>
      <c r="R78" s="3501"/>
      <c r="S78" s="3500">
        <f>S76*R77</f>
        <v>0</v>
      </c>
    </row>
    <row r="79" spans="1:19" x14ac:dyDescent="0.35">
      <c r="A79" s="3490"/>
      <c r="B79" s="3491"/>
      <c r="C79" s="3492"/>
      <c r="D79" s="3492"/>
      <c r="E79" s="3493"/>
      <c r="F79" s="3494"/>
      <c r="G79" s="3495"/>
      <c r="H79" s="3499"/>
      <c r="I79" s="3502"/>
      <c r="J79" s="3501"/>
      <c r="K79" s="3502"/>
      <c r="L79" s="3501"/>
      <c r="M79" s="3502"/>
      <c r="N79" s="3501"/>
      <c r="O79" s="3502"/>
      <c r="P79" s="3501"/>
      <c r="Q79" s="3502"/>
      <c r="R79" s="3501"/>
      <c r="S79" s="3502"/>
    </row>
    <row r="80" spans="1:19" x14ac:dyDescent="0.35">
      <c r="A80" s="3490"/>
      <c r="B80" s="3491"/>
      <c r="C80" s="3492"/>
      <c r="D80" s="3492"/>
      <c r="E80" s="3493"/>
      <c r="F80" s="3494" t="s">
        <v>718</v>
      </c>
      <c r="G80" s="3495"/>
      <c r="H80" s="3503"/>
      <c r="I80" s="3504">
        <f>SUM(I76:I78)</f>
        <v>0</v>
      </c>
      <c r="J80" s="3505"/>
      <c r="K80" s="3504">
        <f>SUM(K76:K78)</f>
        <v>0</v>
      </c>
      <c r="L80" s="3505"/>
      <c r="M80" s="3504">
        <f>SUM(M76:M78)</f>
        <v>0</v>
      </c>
      <c r="N80" s="3505"/>
      <c r="O80" s="3504">
        <f>SUM(O76:O78)</f>
        <v>0</v>
      </c>
      <c r="P80" s="3505"/>
      <c r="Q80" s="3504">
        <f>SUM(Q76:Q78)</f>
        <v>0</v>
      </c>
      <c r="R80" s="3505"/>
      <c r="S80" s="3504">
        <f>SUM(S76:S78)</f>
        <v>0</v>
      </c>
    </row>
    <row r="81" spans="1:19" x14ac:dyDescent="0.35">
      <c r="A81" s="3490"/>
      <c r="B81" s="3491"/>
      <c r="C81" s="3492"/>
      <c r="D81" s="3492"/>
      <c r="E81" s="3493"/>
      <c r="F81" s="3494" t="s">
        <v>719</v>
      </c>
      <c r="G81" s="3506"/>
      <c r="H81" s="3507"/>
      <c r="I81" s="3277" t="e">
        <f>I80/#REF!</f>
        <v>#REF!</v>
      </c>
      <c r="J81" s="3508"/>
      <c r="K81" s="3277" t="e">
        <f>K80/#REF!</f>
        <v>#REF!</v>
      </c>
      <c r="L81" s="3508"/>
      <c r="M81" s="3277" t="e">
        <f>M80/#REF!</f>
        <v>#REF!</v>
      </c>
      <c r="N81" s="3508"/>
      <c r="O81" s="3277" t="e">
        <f>O80/#REF!</f>
        <v>#REF!</v>
      </c>
      <c r="P81" s="3508"/>
      <c r="Q81" s="3277" t="e">
        <f>Q80/#REF!</f>
        <v>#REF!</v>
      </c>
      <c r="R81" s="3508"/>
      <c r="S81" s="3277" t="e">
        <f>S80/#REF!</f>
        <v>#REF!</v>
      </c>
    </row>
    <row r="82" spans="1:19" x14ac:dyDescent="0.35">
      <c r="A82" s="3490"/>
      <c r="B82" s="3491"/>
      <c r="C82" s="3492"/>
      <c r="D82" s="3492"/>
      <c r="E82" s="3493"/>
      <c r="F82" s="3494" t="s">
        <v>720</v>
      </c>
      <c r="G82" s="3495"/>
      <c r="H82" s="3507"/>
      <c r="I82" s="3277" t="e">
        <f>I80/#REF!</f>
        <v>#REF!</v>
      </c>
      <c r="J82" s="3508"/>
      <c r="K82" s="3277" t="e">
        <f>K80/#REF!</f>
        <v>#REF!</v>
      </c>
      <c r="L82" s="3508"/>
      <c r="M82" s="3277" t="e">
        <f>M80/#REF!</f>
        <v>#REF!</v>
      </c>
      <c r="N82" s="3508"/>
      <c r="O82" s="3277" t="e">
        <f>O80/#REF!</f>
        <v>#REF!</v>
      </c>
      <c r="P82" s="3508"/>
      <c r="Q82" s="3277" t="e">
        <f>Q80/#REF!</f>
        <v>#REF!</v>
      </c>
      <c r="R82" s="3508"/>
      <c r="S82" s="3277" t="e">
        <f>S80/#REF!</f>
        <v>#REF!</v>
      </c>
    </row>
    <row r="83" spans="1:19" ht="15" thickBot="1" x14ac:dyDescent="0.4">
      <c r="A83" s="3490"/>
      <c r="B83" s="3491"/>
      <c r="C83" s="3492"/>
      <c r="D83" s="3492"/>
      <c r="E83" s="3493"/>
      <c r="F83" s="3494"/>
      <c r="G83" s="3495"/>
      <c r="H83" s="3509"/>
      <c r="I83" s="3509"/>
      <c r="J83" s="3509"/>
      <c r="K83" s="3509"/>
      <c r="L83" s="3509"/>
      <c r="M83" s="3509"/>
      <c r="N83" s="3509"/>
      <c r="O83" s="3509"/>
      <c r="P83" s="3509"/>
      <c r="Q83" s="3509"/>
      <c r="R83" s="3509"/>
      <c r="S83" s="3509"/>
    </row>
    <row r="84" spans="1:19" ht="15.5" thickTop="1" thickBot="1" x14ac:dyDescent="0.4">
      <c r="A84" s="3764" t="s">
        <v>721</v>
      </c>
      <c r="B84" s="3765"/>
      <c r="C84" s="12"/>
      <c r="D84" s="12"/>
      <c r="E84" s="12"/>
      <c r="F84" s="12"/>
      <c r="G84" s="13"/>
      <c r="H84" s="21"/>
      <c r="I84" s="21"/>
      <c r="J84" s="21"/>
      <c r="K84" s="21"/>
      <c r="L84" s="21"/>
      <c r="M84" s="21"/>
      <c r="N84" s="21"/>
      <c r="O84" s="21"/>
      <c r="P84" s="21"/>
      <c r="Q84" s="21"/>
      <c r="R84" s="21"/>
      <c r="S84" s="21"/>
    </row>
    <row r="85" spans="1:19" ht="15" thickTop="1" x14ac:dyDescent="0.35">
      <c r="A85" s="3451"/>
      <c r="B85" s="3306"/>
      <c r="C85" s="3510"/>
      <c r="D85" s="3510"/>
      <c r="E85" s="3510"/>
      <c r="F85" s="3510"/>
      <c r="G85" s="3452"/>
      <c r="H85" s="3453"/>
      <c r="I85" s="3453"/>
      <c r="J85" s="3453"/>
      <c r="K85" s="3453"/>
      <c r="L85" s="3453"/>
      <c r="M85" s="3453"/>
      <c r="N85" s="3453"/>
      <c r="O85" s="3453"/>
      <c r="P85" s="3453"/>
      <c r="Q85" s="3453"/>
      <c r="R85" s="3453"/>
      <c r="S85" s="3453"/>
    </row>
    <row r="86" spans="1:19" x14ac:dyDescent="0.35">
      <c r="A86" s="3451"/>
      <c r="B86" s="3306"/>
      <c r="C86" s="3510"/>
      <c r="D86" s="3510"/>
      <c r="E86" s="3510"/>
      <c r="F86" s="3510"/>
      <c r="G86" s="3452"/>
      <c r="H86" s="3453"/>
      <c r="I86" s="3453"/>
      <c r="J86" s="3453"/>
      <c r="K86" s="3453"/>
      <c r="L86" s="3453"/>
      <c r="M86" s="3453"/>
      <c r="N86" s="3453"/>
      <c r="O86" s="3453"/>
      <c r="P86" s="3453"/>
      <c r="Q86" s="3453"/>
      <c r="R86" s="3453"/>
      <c r="S86" s="3453"/>
    </row>
    <row r="87" spans="1:19" ht="15" thickBot="1" x14ac:dyDescent="0.4">
      <c r="A87" s="3451"/>
      <c r="B87" s="3306"/>
      <c r="C87" s="3510"/>
      <c r="D87" s="3510"/>
      <c r="E87" s="3510"/>
      <c r="F87" s="3510"/>
      <c r="G87" s="3452"/>
      <c r="H87" s="3453"/>
      <c r="I87" s="3453"/>
      <c r="J87" s="3453"/>
      <c r="K87" s="3453"/>
      <c r="L87" s="3453"/>
      <c r="M87" s="3453"/>
      <c r="N87" s="3453"/>
      <c r="O87" s="3453"/>
      <c r="P87" s="3453"/>
      <c r="Q87" s="3453"/>
      <c r="R87" s="3453"/>
      <c r="S87" s="3453"/>
    </row>
    <row r="88" spans="1:19" s="57" customFormat="1" ht="15.5" thickTop="1" thickBot="1" x14ac:dyDescent="0.4">
      <c r="A88" s="3764" t="s">
        <v>722</v>
      </c>
      <c r="B88" s="3765"/>
      <c r="C88" s="12"/>
      <c r="D88" s="12"/>
      <c r="E88" s="12"/>
      <c r="F88" s="12"/>
      <c r="G88" s="13"/>
      <c r="H88" s="21"/>
      <c r="I88" s="21"/>
      <c r="J88" s="21"/>
      <c r="K88" s="21"/>
      <c r="L88" s="21"/>
      <c r="M88" s="21"/>
      <c r="N88" s="21"/>
      <c r="O88" s="21"/>
      <c r="P88" s="21"/>
      <c r="Q88" s="21"/>
      <c r="R88" s="21"/>
      <c r="S88" s="21"/>
    </row>
    <row r="89" spans="1:19" s="57" customFormat="1" ht="15" thickTop="1" x14ac:dyDescent="0.35">
      <c r="A89" s="3451"/>
      <c r="B89" s="3306"/>
      <c r="C89" s="3510"/>
      <c r="D89" s="3510"/>
      <c r="E89" s="3510"/>
      <c r="F89" s="3510"/>
      <c r="G89" s="3452"/>
      <c r="H89" s="3453"/>
      <c r="I89" s="3453"/>
      <c r="J89" s="3453"/>
      <c r="K89" s="3453"/>
      <c r="L89" s="3453"/>
      <c r="M89" s="3453"/>
      <c r="N89" s="3453"/>
      <c r="O89" s="3453"/>
      <c r="P89" s="3453"/>
      <c r="Q89" s="3453"/>
      <c r="R89" s="3453"/>
      <c r="S89" s="3453"/>
    </row>
    <row r="90" spans="1:19" s="57" customFormat="1" x14ac:dyDescent="0.35">
      <c r="A90" s="3451"/>
      <c r="B90" s="3306"/>
      <c r="C90" s="3510"/>
      <c r="D90" s="3510"/>
      <c r="E90" s="3510"/>
      <c r="F90" s="3510"/>
      <c r="G90" s="3452"/>
      <c r="H90" s="3453"/>
      <c r="I90" s="3453"/>
      <c r="J90" s="3453"/>
      <c r="K90" s="3453"/>
      <c r="L90" s="3453"/>
      <c r="M90" s="3453"/>
      <c r="N90" s="3453"/>
      <c r="O90" s="3453"/>
      <c r="P90" s="3453"/>
      <c r="Q90" s="3453"/>
      <c r="R90" s="3453"/>
      <c r="S90" s="3453"/>
    </row>
    <row r="91" spans="1:19" ht="15" thickBot="1" x14ac:dyDescent="0.4">
      <c r="A91" s="3451"/>
      <c r="B91" s="3306"/>
      <c r="C91" s="3510"/>
      <c r="D91" s="3510"/>
      <c r="E91" s="3510"/>
      <c r="F91" s="3510"/>
      <c r="G91" s="3452"/>
      <c r="H91" s="3453"/>
      <c r="I91" s="3453"/>
      <c r="J91" s="3453"/>
      <c r="K91" s="3453"/>
      <c r="L91" s="3453"/>
      <c r="M91" s="3453"/>
      <c r="N91" s="3453"/>
      <c r="O91" s="3453"/>
      <c r="P91" s="3453"/>
      <c r="Q91" s="3453"/>
      <c r="R91" s="3453"/>
      <c r="S91" s="3453"/>
    </row>
    <row r="92" spans="1:19" s="57" customFormat="1" ht="15.5" thickTop="1" thickBot="1" x14ac:dyDescent="0.4">
      <c r="A92" s="3764" t="s">
        <v>723</v>
      </c>
      <c r="B92" s="3765"/>
      <c r="C92" s="12"/>
      <c r="D92" s="12"/>
      <c r="E92" s="12"/>
      <c r="F92" s="12"/>
      <c r="G92" s="13"/>
      <c r="H92" s="21"/>
      <c r="I92" s="21"/>
      <c r="J92" s="21"/>
      <c r="K92" s="21"/>
      <c r="L92" s="21"/>
      <c r="M92" s="21"/>
      <c r="N92" s="21"/>
      <c r="O92" s="21"/>
      <c r="P92" s="21"/>
      <c r="Q92" s="21"/>
      <c r="R92" s="21"/>
      <c r="S92" s="21"/>
    </row>
    <row r="93" spans="1:19" s="57" customFormat="1" ht="15" thickTop="1" x14ac:dyDescent="0.35">
      <c r="A93" s="3451"/>
      <c r="B93" s="3306"/>
      <c r="C93" s="3510"/>
      <c r="D93" s="3510"/>
      <c r="E93" s="3510"/>
      <c r="F93" s="3510"/>
      <c r="G93" s="3452"/>
      <c r="H93" s="3453"/>
      <c r="I93" s="3453"/>
      <c r="J93" s="3453"/>
      <c r="K93" s="3453"/>
      <c r="L93" s="3453"/>
      <c r="M93" s="3453"/>
      <c r="N93" s="3453"/>
      <c r="O93" s="3453"/>
      <c r="P93" s="3453"/>
      <c r="Q93" s="3453"/>
      <c r="R93" s="3453"/>
      <c r="S93" s="3453"/>
    </row>
    <row r="94" spans="1:19" s="57" customFormat="1" x14ac:dyDescent="0.35">
      <c r="A94" s="3310"/>
      <c r="B94" s="3306"/>
      <c r="C94" s="3307"/>
      <c r="D94" s="3307"/>
      <c r="E94" s="3307"/>
      <c r="F94" s="3307"/>
      <c r="G94" s="2198"/>
      <c r="H94" s="3284"/>
      <c r="I94" s="3284"/>
      <c r="J94" s="3284"/>
      <c r="K94" s="3284"/>
      <c r="L94" s="3284"/>
      <c r="M94" s="3284"/>
      <c r="N94" s="3284"/>
      <c r="O94" s="3284"/>
      <c r="P94" s="3284"/>
      <c r="Q94" s="3284"/>
      <c r="R94" s="3284"/>
      <c r="S94" s="3284"/>
    </row>
    <row r="95" spans="1:19" s="57" customFormat="1" ht="15" thickBot="1" x14ac:dyDescent="0.4">
      <c r="A95" s="3285"/>
      <c r="B95" s="3286"/>
      <c r="C95" s="3307"/>
      <c r="D95" s="3307"/>
      <c r="E95" s="3307"/>
      <c r="F95" s="3307"/>
      <c r="G95" s="2198"/>
      <c r="H95" s="3287"/>
      <c r="I95" s="3287"/>
      <c r="J95" s="3287"/>
      <c r="K95" s="3287"/>
      <c r="L95" s="3287"/>
      <c r="M95" s="3287"/>
      <c r="N95" s="3287"/>
      <c r="O95" s="3287"/>
      <c r="P95" s="3287"/>
      <c r="Q95" s="3287"/>
      <c r="R95" s="3287"/>
      <c r="S95" s="3287"/>
    </row>
    <row r="96" spans="1:19" s="57" customFormat="1" ht="15.5" thickTop="1" thickBot="1" x14ac:dyDescent="0.4">
      <c r="A96" s="3764" t="s">
        <v>724</v>
      </c>
      <c r="B96" s="3765"/>
      <c r="C96" s="12"/>
      <c r="D96" s="12"/>
      <c r="E96" s="12"/>
      <c r="F96" s="12"/>
      <c r="G96" s="13"/>
      <c r="H96" s="21"/>
      <c r="I96" s="21"/>
      <c r="J96" s="21"/>
      <c r="K96" s="21"/>
      <c r="L96" s="21"/>
      <c r="M96" s="21"/>
      <c r="N96" s="21"/>
      <c r="O96" s="21"/>
      <c r="P96" s="21"/>
      <c r="Q96" s="21"/>
      <c r="R96" s="21"/>
      <c r="S96" s="21"/>
    </row>
    <row r="97" spans="1:19" ht="15" thickTop="1" x14ac:dyDescent="0.35">
      <c r="A97" s="3454"/>
      <c r="B97" s="3455"/>
      <c r="C97" s="3510"/>
      <c r="D97" s="3510"/>
      <c r="E97" s="3510"/>
      <c r="F97" s="3510"/>
      <c r="G97" s="3452"/>
      <c r="H97" s="3453"/>
      <c r="I97" s="3453"/>
      <c r="J97" s="3453"/>
      <c r="K97" s="3453"/>
      <c r="L97" s="3453"/>
      <c r="M97" s="3453"/>
      <c r="N97" s="3453"/>
      <c r="O97" s="3453"/>
      <c r="P97" s="3453"/>
      <c r="Q97" s="3453"/>
      <c r="R97" s="3453"/>
      <c r="S97" s="3453"/>
    </row>
    <row r="98" spans="1:19" x14ac:dyDescent="0.35">
      <c r="A98" s="3285"/>
      <c r="B98" s="3286"/>
      <c r="C98" s="3307"/>
      <c r="D98" s="3307"/>
      <c r="E98" s="3307"/>
      <c r="F98" s="3307"/>
      <c r="G98" s="2198"/>
      <c r="H98" s="3289"/>
      <c r="I98" s="3289"/>
      <c r="J98" s="3289"/>
      <c r="K98" s="3289"/>
      <c r="L98" s="3289"/>
      <c r="M98" s="3289"/>
      <c r="N98" s="3289"/>
      <c r="O98" s="3289"/>
      <c r="P98" s="3289"/>
      <c r="Q98" s="3289"/>
      <c r="R98" s="3289"/>
      <c r="S98" s="3289"/>
    </row>
    <row r="99" spans="1:19" ht="15" thickBot="1" x14ac:dyDescent="0.4">
      <c r="A99" s="3285"/>
      <c r="B99" s="3286"/>
      <c r="C99" s="3307"/>
      <c r="D99" s="3307"/>
      <c r="E99" s="3307"/>
      <c r="F99" s="3307"/>
      <c r="G99" s="2198"/>
      <c r="H99" s="3289"/>
      <c r="I99" s="3289"/>
      <c r="J99" s="3289"/>
      <c r="K99" s="3289"/>
      <c r="L99" s="3289"/>
      <c r="M99" s="3289"/>
      <c r="N99" s="3289"/>
      <c r="O99" s="3289"/>
      <c r="P99" s="3289"/>
      <c r="Q99" s="3289"/>
      <c r="R99" s="3289"/>
      <c r="S99" s="3289"/>
    </row>
    <row r="100" spans="1:19" ht="15.5" thickTop="1" thickBot="1" x14ac:dyDescent="0.4">
      <c r="A100" s="3764" t="s">
        <v>725</v>
      </c>
      <c r="B100" s="3765"/>
      <c r="C100" s="12"/>
      <c r="D100" s="12"/>
      <c r="E100" s="12"/>
      <c r="F100" s="12"/>
      <c r="G100" s="13"/>
      <c r="H100" s="21"/>
      <c r="I100" s="21"/>
      <c r="J100" s="21"/>
      <c r="K100" s="21"/>
      <c r="L100" s="21"/>
      <c r="M100" s="21"/>
      <c r="N100" s="21"/>
      <c r="O100" s="21"/>
      <c r="P100" s="21"/>
      <c r="Q100" s="21"/>
      <c r="R100" s="21"/>
      <c r="S100" s="21"/>
    </row>
    <row r="101" spans="1:19" ht="15" thickTop="1" x14ac:dyDescent="0.35">
      <c r="A101" s="3310"/>
      <c r="B101" s="3306" t="s">
        <v>726</v>
      </c>
      <c r="C101" s="3307"/>
      <c r="D101" s="3307"/>
      <c r="E101" s="3307"/>
      <c r="F101" s="3307"/>
      <c r="G101" s="2198"/>
      <c r="H101" s="3289"/>
      <c r="I101" s="3289"/>
      <c r="J101" s="3289"/>
      <c r="K101" s="3289"/>
      <c r="L101" s="3289"/>
      <c r="M101" s="3289"/>
      <c r="N101" s="3289"/>
      <c r="O101" s="3289"/>
      <c r="P101" s="3289"/>
      <c r="Q101" s="3289"/>
      <c r="R101" s="3289"/>
      <c r="S101" s="3289"/>
    </row>
    <row r="102" spans="1:19" x14ac:dyDescent="0.35">
      <c r="A102" s="3310"/>
      <c r="B102" s="3306" t="s">
        <v>727</v>
      </c>
      <c r="C102" s="3307"/>
      <c r="D102" s="3307"/>
      <c r="E102" s="3307"/>
      <c r="F102" s="3307"/>
      <c r="G102" s="2198"/>
      <c r="H102" s="3289"/>
      <c r="I102" s="3289"/>
      <c r="J102" s="3289"/>
      <c r="K102" s="3289"/>
      <c r="L102" s="3289"/>
      <c r="M102" s="3289"/>
      <c r="N102" s="3289"/>
      <c r="O102" s="3289"/>
      <c r="P102" s="3289"/>
      <c r="Q102" s="3289"/>
      <c r="R102" s="3289"/>
      <c r="S102" s="3289"/>
    </row>
    <row r="103" spans="1:19" x14ac:dyDescent="0.35">
      <c r="A103" s="3310"/>
      <c r="B103" s="3306" t="s">
        <v>728</v>
      </c>
      <c r="C103" s="3307"/>
      <c r="D103" s="3307"/>
      <c r="E103" s="3307"/>
      <c r="F103" s="3307"/>
      <c r="G103" s="2198"/>
      <c r="H103" s="3289"/>
      <c r="I103" s="3289"/>
      <c r="J103" s="3289"/>
      <c r="K103" s="3289"/>
      <c r="L103" s="3289"/>
      <c r="M103" s="3289"/>
      <c r="N103" s="3289"/>
      <c r="O103" s="3289"/>
      <c r="P103" s="3289"/>
      <c r="Q103" s="3289"/>
      <c r="R103" s="3289"/>
      <c r="S103" s="3289"/>
    </row>
    <row r="104" spans="1:19" x14ac:dyDescent="0.35">
      <c r="A104" s="3310"/>
      <c r="B104" s="3306" t="s">
        <v>729</v>
      </c>
      <c r="C104" s="3307"/>
      <c r="D104" s="3307"/>
      <c r="E104" s="3307"/>
      <c r="F104" s="3307"/>
      <c r="G104" s="2198"/>
      <c r="H104" s="3289"/>
      <c r="I104" s="3289"/>
      <c r="J104" s="3289"/>
      <c r="K104" s="3289"/>
      <c r="L104" s="3289"/>
      <c r="M104" s="3289"/>
      <c r="N104" s="3289"/>
      <c r="O104" s="3289"/>
      <c r="P104" s="3289"/>
      <c r="Q104" s="3289"/>
      <c r="R104" s="3289"/>
      <c r="S104" s="3289"/>
    </row>
    <row r="105" spans="1:19" ht="15" thickBot="1" x14ac:dyDescent="0.4">
      <c r="A105" s="978"/>
      <c r="B105" s="939"/>
      <c r="C105" s="940"/>
      <c r="D105" s="940"/>
      <c r="E105" s="940"/>
      <c r="F105" s="940"/>
      <c r="G105" s="1039"/>
      <c r="H105" s="981"/>
      <c r="I105" s="981"/>
      <c r="J105" s="981"/>
      <c r="K105" s="981"/>
      <c r="L105" s="981"/>
      <c r="M105" s="981"/>
      <c r="N105" s="981"/>
      <c r="O105" s="981"/>
      <c r="P105" s="981"/>
      <c r="Q105" s="981"/>
      <c r="R105" s="981"/>
      <c r="S105" s="981"/>
    </row>
    <row r="106" spans="1:19" ht="15.5" thickTop="1" thickBot="1" x14ac:dyDescent="0.4">
      <c r="A106" s="7" t="s">
        <v>730</v>
      </c>
      <c r="B106" s="8"/>
      <c r="C106" s="12"/>
      <c r="D106" s="12"/>
      <c r="E106" s="12"/>
      <c r="F106" s="12"/>
      <c r="G106" s="13"/>
      <c r="H106" s="21"/>
      <c r="I106" s="21"/>
      <c r="J106" s="21"/>
      <c r="K106" s="21"/>
      <c r="L106" s="21"/>
      <c r="M106" s="21"/>
      <c r="N106" s="21"/>
      <c r="O106" s="21"/>
      <c r="P106" s="21"/>
      <c r="Q106" s="21"/>
      <c r="R106" s="21"/>
      <c r="S106" s="21"/>
    </row>
    <row r="107" spans="1:19" ht="15" thickTop="1" x14ac:dyDescent="0.35">
      <c r="A107" s="3451"/>
      <c r="B107" s="3456" t="s">
        <v>731</v>
      </c>
      <c r="C107" s="3510"/>
      <c r="D107" s="3510"/>
      <c r="E107" s="3510"/>
      <c r="F107" s="3510"/>
      <c r="G107" s="3452"/>
      <c r="H107" s="3457"/>
      <c r="I107" s="3457"/>
      <c r="J107" s="3457"/>
      <c r="K107" s="3457"/>
      <c r="L107" s="3457"/>
      <c r="M107" s="3457"/>
      <c r="N107" s="3457"/>
      <c r="O107" s="3457"/>
      <c r="P107" s="3457"/>
      <c r="Q107" s="3457"/>
      <c r="R107" s="3457"/>
      <c r="S107" s="3457"/>
    </row>
    <row r="108" spans="1:19" x14ac:dyDescent="0.35">
      <c r="A108" s="3310"/>
      <c r="B108" s="3306" t="s">
        <v>732</v>
      </c>
      <c r="C108" s="3307"/>
      <c r="D108" s="3307"/>
      <c r="E108" s="3307"/>
      <c r="F108" s="3307"/>
      <c r="G108" s="2198"/>
      <c r="H108" s="3290"/>
      <c r="I108" s="3290"/>
      <c r="J108" s="3290"/>
      <c r="K108" s="3290"/>
      <c r="L108" s="3290"/>
      <c r="M108" s="3290"/>
      <c r="N108" s="3290"/>
      <c r="O108" s="3290"/>
      <c r="P108" s="3290"/>
      <c r="Q108" s="3290"/>
      <c r="R108" s="3290"/>
      <c r="S108" s="3290"/>
    </row>
    <row r="109" spans="1:19" ht="15" thickBot="1" x14ac:dyDescent="0.4">
      <c r="A109" s="3291"/>
      <c r="B109" s="3292" t="s">
        <v>733</v>
      </c>
      <c r="C109" s="3293"/>
      <c r="D109" s="3293"/>
      <c r="E109" s="3293"/>
      <c r="F109" s="3293"/>
      <c r="G109" s="3360"/>
      <c r="H109" s="3297"/>
      <c r="I109" s="3297"/>
      <c r="J109" s="3297"/>
      <c r="K109" s="3297"/>
      <c r="L109" s="3297"/>
      <c r="M109" s="3297"/>
      <c r="N109" s="3297"/>
      <c r="O109" s="3297"/>
      <c r="P109" s="3297"/>
      <c r="Q109" s="3297"/>
      <c r="R109" s="3297"/>
      <c r="S109" s="3297"/>
    </row>
    <row r="110" spans="1:19" ht="15.5" thickTop="1" thickBot="1" x14ac:dyDescent="0.4">
      <c r="A110"/>
      <c r="B110" s="1"/>
      <c r="C110" s="2"/>
      <c r="D110" s="2"/>
      <c r="E110" s="2"/>
      <c r="F110" s="2"/>
      <c r="G110" s="2"/>
      <c r="H110" s="2"/>
      <c r="I110" s="2"/>
      <c r="J110" s="2"/>
      <c r="K110" s="2"/>
      <c r="L110" s="2"/>
      <c r="M110" s="2"/>
      <c r="N110" s="2"/>
      <c r="O110" s="2"/>
      <c r="P110" s="2"/>
      <c r="Q110" s="2"/>
      <c r="R110" s="2"/>
      <c r="S110" s="2"/>
    </row>
    <row r="111" spans="1:19" ht="15.5" thickTop="1" thickBot="1" x14ac:dyDescent="0.4">
      <c r="A111" s="78" t="s">
        <v>734</v>
      </c>
      <c r="B111" s="80"/>
      <c r="C111" s="2"/>
      <c r="D111" s="2"/>
      <c r="E111" s="2"/>
      <c r="F111" s="2"/>
      <c r="G111" s="2"/>
      <c r="H111" s="2"/>
      <c r="I111" s="2"/>
      <c r="J111" s="2"/>
      <c r="K111" s="2"/>
      <c r="L111" s="2"/>
      <c r="M111" s="2"/>
      <c r="N111" s="2"/>
      <c r="O111" s="2"/>
      <c r="P111" s="2"/>
      <c r="Q111" s="2"/>
      <c r="R111" s="2"/>
      <c r="S111" s="2"/>
    </row>
    <row r="112" spans="1:19" ht="15.5" thickTop="1" thickBot="1" x14ac:dyDescent="0.4">
      <c r="A112" s="79" t="s">
        <v>632</v>
      </c>
      <c r="B112" s="80"/>
      <c r="C112" s="2"/>
      <c r="D112" s="2"/>
      <c r="E112" s="2"/>
      <c r="F112" s="2"/>
      <c r="G112" s="2"/>
      <c r="H112" s="2"/>
      <c r="I112" s="2"/>
      <c r="J112" s="2"/>
      <c r="K112" s="2"/>
      <c r="L112" s="2"/>
      <c r="M112" s="2"/>
      <c r="N112" s="2"/>
      <c r="O112" s="2"/>
      <c r="P112" s="2"/>
      <c r="Q112" s="2"/>
      <c r="R112" s="2"/>
      <c r="S112" s="2"/>
    </row>
    <row r="113" spans="1:19" ht="15" thickTop="1" x14ac:dyDescent="0.35">
      <c r="A113" s="3299" t="s">
        <v>636</v>
      </c>
      <c r="B113" s="3298"/>
      <c r="C113" s="2"/>
      <c r="D113" s="2"/>
      <c r="E113" s="2"/>
      <c r="F113" s="2"/>
      <c r="G113" s="2"/>
      <c r="H113" s="2"/>
      <c r="I113" s="2"/>
      <c r="J113" s="2"/>
      <c r="K113" s="2"/>
      <c r="L113" s="2"/>
      <c r="M113" s="2"/>
      <c r="N113" s="2"/>
      <c r="O113" s="2"/>
      <c r="P113" s="2"/>
      <c r="Q113" s="2"/>
      <c r="R113" s="2"/>
      <c r="S113" s="2"/>
    </row>
    <row r="114" spans="1:19" x14ac:dyDescent="0.35">
      <c r="A114" s="3301" t="s">
        <v>639</v>
      </c>
      <c r="B114" s="3300"/>
      <c r="C114" s="2"/>
      <c r="D114" s="2"/>
      <c r="E114" s="2"/>
      <c r="F114" s="2"/>
      <c r="G114" s="2"/>
      <c r="H114" s="2"/>
      <c r="I114" s="2"/>
      <c r="J114" s="2"/>
      <c r="K114" s="2"/>
      <c r="L114" s="2"/>
      <c r="M114" s="2"/>
      <c r="N114" s="2"/>
      <c r="O114" s="2"/>
      <c r="P114" s="2"/>
      <c r="Q114" s="2"/>
      <c r="R114" s="2"/>
      <c r="S114" s="2"/>
    </row>
    <row r="115" spans="1:19" x14ac:dyDescent="0.35">
      <c r="A115" s="3301" t="s">
        <v>642</v>
      </c>
      <c r="B115" s="3302"/>
      <c r="C115" s="2"/>
      <c r="D115" s="2"/>
      <c r="E115" s="2"/>
      <c r="F115" s="2"/>
      <c r="G115" s="2"/>
      <c r="H115" s="2"/>
      <c r="I115" s="2"/>
      <c r="J115" s="2"/>
      <c r="K115" s="2"/>
      <c r="L115" s="2"/>
      <c r="M115" s="2"/>
      <c r="N115" s="2"/>
      <c r="O115" s="2"/>
      <c r="P115" s="2"/>
      <c r="Q115" s="2"/>
      <c r="R115" s="2"/>
      <c r="S115" s="2"/>
    </row>
    <row r="116" spans="1:19" ht="15" thickBot="1" x14ac:dyDescent="0.4">
      <c r="A116" s="3303" t="s">
        <v>735</v>
      </c>
      <c r="B116" s="3304"/>
      <c r="C116" s="2"/>
      <c r="D116" s="2"/>
      <c r="E116" s="2"/>
      <c r="F116" s="2"/>
      <c r="G116" s="2"/>
      <c r="H116" s="2"/>
      <c r="I116" s="2"/>
      <c r="J116" s="2"/>
      <c r="K116" s="2"/>
      <c r="L116" s="2"/>
      <c r="M116" s="2"/>
      <c r="N116" s="2"/>
      <c r="O116" s="2"/>
      <c r="P116" s="2"/>
      <c r="Q116" s="2"/>
      <c r="R116" s="2"/>
      <c r="S116" s="2"/>
    </row>
    <row r="117" spans="1:19" ht="15" thickTop="1" x14ac:dyDescent="0.35">
      <c r="A117"/>
      <c r="B117" s="1"/>
      <c r="C117" s="2"/>
      <c r="D117" s="2"/>
      <c r="E117" s="2"/>
      <c r="F117" s="2"/>
      <c r="G117" s="2"/>
      <c r="H117" s="2"/>
      <c r="I117" s="2"/>
      <c r="J117" s="2"/>
      <c r="K117" s="2"/>
      <c r="L117" s="2"/>
      <c r="M117" s="2"/>
      <c r="N117" s="2"/>
      <c r="O117" s="2"/>
      <c r="P117" s="2"/>
      <c r="Q117" s="2"/>
      <c r="R117" s="2"/>
      <c r="S117" s="2"/>
    </row>
    <row r="118" spans="1:19" x14ac:dyDescent="0.35">
      <c r="A118" s="81"/>
      <c r="B118" s="1" t="s">
        <v>736</v>
      </c>
      <c r="C118" s="2"/>
      <c r="D118" s="2"/>
      <c r="E118" s="2"/>
      <c r="F118" s="2"/>
      <c r="G118" s="2"/>
      <c r="H118" s="2"/>
      <c r="I118" s="2"/>
      <c r="J118" s="2"/>
      <c r="K118" s="2"/>
      <c r="L118" s="2"/>
      <c r="M118" s="2"/>
      <c r="N118" s="2"/>
      <c r="O118" s="2"/>
      <c r="P118" s="2"/>
      <c r="Q118" s="2"/>
      <c r="R118" s="2"/>
      <c r="S118" s="2"/>
    </row>
    <row r="119" spans="1:19" x14ac:dyDescent="0.35">
      <c r="A119" s="82"/>
      <c r="B119" s="1" t="s">
        <v>737</v>
      </c>
      <c r="C119" s="2"/>
      <c r="D119" s="2"/>
      <c r="E119" s="2"/>
      <c r="F119" s="2"/>
      <c r="G119" s="2"/>
      <c r="H119" s="2"/>
      <c r="I119" s="2"/>
      <c r="J119" s="2"/>
      <c r="K119" s="2"/>
      <c r="L119" s="2"/>
      <c r="M119" s="2"/>
      <c r="N119" s="2"/>
      <c r="O119" s="2"/>
      <c r="P119" s="2"/>
      <c r="Q119" s="2"/>
      <c r="R119" s="2"/>
      <c r="S119" s="2"/>
    </row>
  </sheetData>
  <mergeCells count="47">
    <mergeCell ref="A84:B84"/>
    <mergeCell ref="A88:B88"/>
    <mergeCell ref="A92:B92"/>
    <mergeCell ref="A96:B96"/>
    <mergeCell ref="A100:B100"/>
    <mergeCell ref="H4:I4"/>
    <mergeCell ref="H5:I5"/>
    <mergeCell ref="H6:I6"/>
    <mergeCell ref="H7:I7"/>
    <mergeCell ref="H8:I8"/>
    <mergeCell ref="H2:I2"/>
    <mergeCell ref="J2:K2"/>
    <mergeCell ref="L2:M2"/>
    <mergeCell ref="N2:O2"/>
    <mergeCell ref="P2:Q2"/>
    <mergeCell ref="H3:I3"/>
    <mergeCell ref="J3:K3"/>
    <mergeCell ref="L3:M3"/>
    <mergeCell ref="N3:O3"/>
    <mergeCell ref="P3:Q3"/>
    <mergeCell ref="R2:S2"/>
    <mergeCell ref="R3:S3"/>
    <mergeCell ref="J4:K4"/>
    <mergeCell ref="J5:K5"/>
    <mergeCell ref="J6:K6"/>
    <mergeCell ref="P4:Q4"/>
    <mergeCell ref="P5:Q5"/>
    <mergeCell ref="P6:Q6"/>
    <mergeCell ref="L4:M4"/>
    <mergeCell ref="L5:M5"/>
    <mergeCell ref="L6:M6"/>
    <mergeCell ref="J7:K7"/>
    <mergeCell ref="J8:K8"/>
    <mergeCell ref="N4:O4"/>
    <mergeCell ref="N5:O5"/>
    <mergeCell ref="N6:O6"/>
    <mergeCell ref="N7:O7"/>
    <mergeCell ref="N8:O8"/>
    <mergeCell ref="L7:M7"/>
    <mergeCell ref="L8:M8"/>
    <mergeCell ref="P7:Q7"/>
    <mergeCell ref="P8:Q8"/>
    <mergeCell ref="R4:S4"/>
    <mergeCell ref="R5:S5"/>
    <mergeCell ref="R6:S6"/>
    <mergeCell ref="R7:S7"/>
    <mergeCell ref="R8:S8"/>
  </mergeCells>
  <phoneticPr fontId="34" type="noConversion"/>
  <conditionalFormatting sqref="H20:H30">
    <cfRule type="cellIs" dxfId="45" priority="21" operator="equal">
      <formula>"X"</formula>
    </cfRule>
    <cfRule type="cellIs" dxfId="44" priority="22" operator="equal">
      <formula>"I"</formula>
    </cfRule>
  </conditionalFormatting>
  <conditionalFormatting sqref="H32:H75">
    <cfRule type="cellIs" dxfId="43" priority="19" operator="equal">
      <formula>"X"</formula>
    </cfRule>
    <cfRule type="cellIs" dxfId="42" priority="20" operator="equal">
      <formula>"I"</formula>
    </cfRule>
  </conditionalFormatting>
  <conditionalFormatting sqref="J20:J75">
    <cfRule type="cellIs" dxfId="41" priority="17" operator="equal">
      <formula>"X"</formula>
    </cfRule>
    <cfRule type="cellIs" dxfId="40" priority="18" operator="equal">
      <formula>"I"</formula>
    </cfRule>
  </conditionalFormatting>
  <conditionalFormatting sqref="L22:L30">
    <cfRule type="cellIs" dxfId="39" priority="15" operator="equal">
      <formula>"X"</formula>
    </cfRule>
    <cfRule type="cellIs" dxfId="38" priority="16" operator="equal">
      <formula>"I"</formula>
    </cfRule>
  </conditionalFormatting>
  <conditionalFormatting sqref="L32:L75">
    <cfRule type="cellIs" dxfId="37" priority="13" operator="equal">
      <formula>"X"</formula>
    </cfRule>
    <cfRule type="cellIs" dxfId="36" priority="14" operator="equal">
      <formula>"I"</formula>
    </cfRule>
  </conditionalFormatting>
  <conditionalFormatting sqref="N21:N30">
    <cfRule type="cellIs" dxfId="35" priority="11" operator="equal">
      <formula>"X"</formula>
    </cfRule>
    <cfRule type="cellIs" dxfId="34" priority="12" operator="equal">
      <formula>"I"</formula>
    </cfRule>
  </conditionalFormatting>
  <conditionalFormatting sqref="N32:N75">
    <cfRule type="cellIs" dxfId="33" priority="9" operator="equal">
      <formula>"X"</formula>
    </cfRule>
    <cfRule type="cellIs" dxfId="32" priority="10" operator="equal">
      <formula>"I"</formula>
    </cfRule>
  </conditionalFormatting>
  <conditionalFormatting sqref="P20:P30">
    <cfRule type="cellIs" dxfId="31" priority="5" operator="equal">
      <formula>"X"</formula>
    </cfRule>
    <cfRule type="cellIs" dxfId="30" priority="6" operator="equal">
      <formula>"I"</formula>
    </cfRule>
  </conditionalFormatting>
  <conditionalFormatting sqref="P32:P75">
    <cfRule type="cellIs" dxfId="29" priority="7" operator="equal">
      <formula>"X"</formula>
    </cfRule>
    <cfRule type="cellIs" dxfId="28" priority="8" operator="equal">
      <formula>"I"</formula>
    </cfRule>
  </conditionalFormatting>
  <conditionalFormatting sqref="R20:R30">
    <cfRule type="cellIs" dxfId="27" priority="3" operator="equal">
      <formula>"X"</formula>
    </cfRule>
    <cfRule type="cellIs" dxfId="26" priority="4" operator="equal">
      <formula>"I"</formula>
    </cfRule>
  </conditionalFormatting>
  <conditionalFormatting sqref="R32:R75">
    <cfRule type="cellIs" dxfId="25" priority="1" operator="equal">
      <formula>"X"</formula>
    </cfRule>
    <cfRule type="cellIs" dxfId="24" priority="2" operator="equal">
      <formula>"I"</formula>
    </cfRule>
  </conditionalFormatting>
  <hyperlinks>
    <hyperlink ref="B3" location="'Cost Summary'!A1" display="BACK TO SUMMARY SHEET" xr:uid="{C7D8BC29-560A-42FB-BE16-07CB28A10680}"/>
  </hyperlinks>
  <printOptions horizontalCentered="1"/>
  <pageMargins left="0.2" right="0.2" top="0.75" bottom="0.75" header="0.3" footer="0.3"/>
  <pageSetup scale="64" orientation="portrait" horizontalDpi="1200" verticalDpi="1200" r:id="rId1"/>
  <rowBreaks count="1" manualBreakCount="1">
    <brk id="45" max="6" man="1"/>
  </row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7095-97FE-4E41-80D3-DD36C0A44ED1}">
  <sheetPr>
    <tabColor rgb="FF92D050"/>
  </sheetPr>
  <dimension ref="A1:S95"/>
  <sheetViews>
    <sheetView workbookViewId="0">
      <pane xSplit="2" ySplit="9" topLeftCell="C34" activePane="bottomRight" state="frozen"/>
      <selection pane="topRight" activeCell="C1" sqref="C1"/>
      <selection pane="bottomLeft" activeCell="A10" sqref="A10"/>
      <selection pane="bottomRight" activeCell="B34" sqref="B34"/>
    </sheetView>
  </sheetViews>
  <sheetFormatPr defaultColWidth="8.81640625" defaultRowHeight="14.5" x14ac:dyDescent="0.35"/>
  <cols>
    <col min="1" max="1" width="11" style="55" customWidth="1"/>
    <col min="2" max="2" width="70.7265625" style="56" customWidth="1"/>
    <col min="3" max="3" width="10.81640625" style="57" bestFit="1" customWidth="1"/>
    <col min="4" max="5" width="7.54296875" style="57" customWidth="1"/>
    <col min="6" max="6" width="7.7265625" style="57" customWidth="1"/>
    <col min="7" max="7" width="12.26953125" style="57" customWidth="1"/>
    <col min="8" max="8" width="7.453125" style="57" bestFit="1" customWidth="1"/>
    <col min="9" max="9" width="14.81640625" style="57" customWidth="1"/>
    <col min="10" max="10" width="7.453125" style="57" bestFit="1" customWidth="1"/>
    <col min="11" max="11" width="14.81640625" style="57" customWidth="1"/>
    <col min="12" max="12" width="7.453125" style="57" bestFit="1" customWidth="1"/>
    <col min="13" max="13" width="14.81640625" style="57" customWidth="1"/>
    <col min="14" max="14" width="7.453125" style="57" bestFit="1" customWidth="1"/>
    <col min="15" max="15" width="14.81640625" style="57" customWidth="1"/>
    <col min="16" max="16" width="7.453125" style="57" bestFit="1" customWidth="1"/>
    <col min="17" max="17" width="14.81640625" style="57" customWidth="1"/>
    <col min="18" max="18" width="7.453125" style="57" bestFit="1" customWidth="1"/>
    <col min="19" max="19" width="14.81640625" style="57" customWidth="1"/>
    <col min="20" max="16384" width="8.81640625" style="55"/>
  </cols>
  <sheetData>
    <row r="1" spans="1:19" x14ac:dyDescent="0.35">
      <c r="E1" s="152"/>
      <c r="F1" s="125"/>
      <c r="G1" s="123" t="s">
        <v>621</v>
      </c>
    </row>
    <row r="2" spans="1:19" ht="15" thickBot="1" x14ac:dyDescent="0.4">
      <c r="E2" s="152"/>
      <c r="F2" s="122" t="s">
        <v>622</v>
      </c>
      <c r="G2" s="123" t="s">
        <v>451</v>
      </c>
      <c r="H2" s="3843"/>
      <c r="I2" s="3843"/>
      <c r="J2" s="3843"/>
      <c r="K2" s="3843"/>
      <c r="L2" s="3843"/>
      <c r="M2" s="3843"/>
      <c r="N2" s="3843"/>
      <c r="O2" s="3843"/>
      <c r="P2" s="3843"/>
      <c r="Q2" s="3843"/>
      <c r="R2" s="3843"/>
      <c r="S2" s="3843"/>
    </row>
    <row r="3" spans="1:19" ht="19" thickBot="1" x14ac:dyDescent="0.5">
      <c r="B3" s="126" t="s">
        <v>623</v>
      </c>
      <c r="E3" s="152"/>
      <c r="F3" s="124" t="s">
        <v>624</v>
      </c>
      <c r="G3" s="123" t="s">
        <v>557</v>
      </c>
      <c r="H3" s="3844" t="s">
        <v>625</v>
      </c>
      <c r="I3" s="3845"/>
      <c r="J3" s="3844" t="s">
        <v>626</v>
      </c>
      <c r="K3" s="3845"/>
      <c r="L3" s="3844" t="s">
        <v>627</v>
      </c>
      <c r="M3" s="3845"/>
      <c r="N3" s="3844" t="s">
        <v>628</v>
      </c>
      <c r="O3" s="3845"/>
      <c r="P3" s="3844" t="s">
        <v>629</v>
      </c>
      <c r="Q3" s="3845"/>
      <c r="R3" s="3844" t="s">
        <v>630</v>
      </c>
      <c r="S3" s="3845"/>
    </row>
    <row r="4" spans="1:19" ht="15" thickTop="1" x14ac:dyDescent="0.35">
      <c r="A4" s="58" t="s">
        <v>631</v>
      </c>
      <c r="B4" s="4" t="e">
        <f>#REF!</f>
        <v>#REF!</v>
      </c>
      <c r="C4" s="59"/>
      <c r="D4" s="59"/>
      <c r="E4" s="59"/>
      <c r="F4" s="59"/>
      <c r="G4" s="74" t="s">
        <v>632</v>
      </c>
      <c r="H4" s="3840"/>
      <c r="I4" s="3841"/>
      <c r="J4" s="3752"/>
      <c r="K4" s="3753"/>
      <c r="L4" s="3752"/>
      <c r="M4" s="3753"/>
      <c r="N4" s="3752"/>
      <c r="O4" s="3753"/>
      <c r="P4" s="3752"/>
      <c r="Q4" s="3753"/>
      <c r="R4" s="3752"/>
      <c r="S4" s="3753"/>
    </row>
    <row r="5" spans="1:19" x14ac:dyDescent="0.35">
      <c r="A5" s="3458" t="s">
        <v>634</v>
      </c>
      <c r="B5" s="3459" t="s">
        <v>4098</v>
      </c>
      <c r="C5" s="3369"/>
      <c r="D5" s="3369"/>
      <c r="E5" s="3369"/>
      <c r="F5" s="3369"/>
      <c r="G5" s="3460" t="s">
        <v>636</v>
      </c>
      <c r="H5" s="4024"/>
      <c r="I5" s="3960"/>
      <c r="J5" s="4009"/>
      <c r="K5" s="3932"/>
      <c r="L5" s="4009"/>
      <c r="M5" s="3932"/>
      <c r="N5" s="4009"/>
      <c r="O5" s="3932"/>
      <c r="P5" s="4009"/>
      <c r="Q5" s="3932"/>
      <c r="R5" s="4009"/>
      <c r="S5" s="3932"/>
    </row>
    <row r="6" spans="1:19" x14ac:dyDescent="0.35">
      <c r="A6" s="3458" t="s">
        <v>638</v>
      </c>
      <c r="B6" s="3461" t="s">
        <v>4099</v>
      </c>
      <c r="C6" s="3369"/>
      <c r="D6" s="3369"/>
      <c r="E6" s="3369"/>
      <c r="F6" s="3369"/>
      <c r="G6" s="3460" t="s">
        <v>639</v>
      </c>
      <c r="H6" s="4027"/>
      <c r="I6" s="3962"/>
      <c r="J6" s="4008"/>
      <c r="K6" s="3938"/>
      <c r="L6" s="4008"/>
      <c r="M6" s="3938"/>
      <c r="N6" s="4008"/>
      <c r="O6" s="3938"/>
      <c r="P6" s="4008"/>
      <c r="Q6" s="3938"/>
      <c r="R6" s="4008"/>
      <c r="S6" s="3938"/>
    </row>
    <row r="7" spans="1:19" x14ac:dyDescent="0.35">
      <c r="A7" s="3458" t="s">
        <v>641</v>
      </c>
      <c r="B7" s="3462"/>
      <c r="C7" s="3369"/>
      <c r="D7" s="3369"/>
      <c r="E7" s="3369"/>
      <c r="F7" s="3369"/>
      <c r="G7" s="3460" t="s">
        <v>642</v>
      </c>
      <c r="H7" s="4019"/>
      <c r="I7" s="4028"/>
      <c r="J7" s="4019"/>
      <c r="K7" s="3935"/>
      <c r="L7" s="4019"/>
      <c r="M7" s="3935"/>
      <c r="N7" s="4019"/>
      <c r="O7" s="3935"/>
      <c r="P7" s="4019"/>
      <c r="Q7" s="3935"/>
      <c r="R7" s="4019"/>
      <c r="S7" s="3935"/>
    </row>
    <row r="8" spans="1:19" ht="15" thickBot="1" x14ac:dyDescent="0.4">
      <c r="A8" s="938" t="s">
        <v>644</v>
      </c>
      <c r="B8" s="1294"/>
      <c r="C8" s="1295"/>
      <c r="D8" s="1295"/>
      <c r="E8" s="1295"/>
      <c r="F8" s="1295"/>
      <c r="G8" s="1024" t="s">
        <v>644</v>
      </c>
      <c r="H8" s="4025">
        <f>I56</f>
        <v>0</v>
      </c>
      <c r="I8" s="4026"/>
      <c r="J8" s="4025">
        <f>K56</f>
        <v>0</v>
      </c>
      <c r="K8" s="4026"/>
      <c r="L8" s="4025">
        <f>M56</f>
        <v>0</v>
      </c>
      <c r="M8" s="4026"/>
      <c r="N8" s="4025">
        <f>O56</f>
        <v>0</v>
      </c>
      <c r="O8" s="4026"/>
      <c r="P8" s="4025">
        <f>Q56</f>
        <v>0</v>
      </c>
      <c r="Q8" s="4026"/>
      <c r="R8" s="4025">
        <f>S56</f>
        <v>0</v>
      </c>
      <c r="S8" s="4026"/>
    </row>
    <row r="9" spans="1:19" ht="30" thickTop="1" thickBot="1" x14ac:dyDescent="0.4">
      <c r="A9" s="60" t="s">
        <v>645</v>
      </c>
      <c r="B9" s="61"/>
      <c r="C9" s="62" t="s">
        <v>646</v>
      </c>
      <c r="D9" s="62" t="s">
        <v>647</v>
      </c>
      <c r="E9" s="62" t="s">
        <v>648</v>
      </c>
      <c r="F9" s="62" t="s">
        <v>649</v>
      </c>
      <c r="G9" s="75" t="s">
        <v>650</v>
      </c>
      <c r="H9" s="64" t="s">
        <v>651</v>
      </c>
      <c r="I9" s="64" t="s">
        <v>652</v>
      </c>
      <c r="J9" s="64" t="s">
        <v>651</v>
      </c>
      <c r="K9" s="64" t="s">
        <v>652</v>
      </c>
      <c r="L9" s="64" t="s">
        <v>651</v>
      </c>
      <c r="M9" s="64" t="s">
        <v>652</v>
      </c>
      <c r="N9" s="64" t="s">
        <v>651</v>
      </c>
      <c r="O9" s="64" t="s">
        <v>652</v>
      </c>
      <c r="P9" s="64" t="s">
        <v>651</v>
      </c>
      <c r="Q9" s="64" t="s">
        <v>652</v>
      </c>
      <c r="R9" s="64" t="s">
        <v>651</v>
      </c>
      <c r="S9" s="64" t="s">
        <v>652</v>
      </c>
    </row>
    <row r="10" spans="1:19" ht="15" hidden="1" thickTop="1" x14ac:dyDescent="0.35">
      <c r="A10" s="3463"/>
      <c r="B10" s="3464" t="s">
        <v>653</v>
      </c>
      <c r="C10" s="3369"/>
      <c r="D10" s="3369"/>
      <c r="E10" s="3369"/>
      <c r="F10" s="3369"/>
      <c r="G10" s="3465"/>
      <c r="H10" s="3466"/>
      <c r="I10" s="3466"/>
      <c r="J10" s="3466"/>
      <c r="K10" s="3466"/>
      <c r="L10" s="3466"/>
      <c r="M10" s="3466"/>
      <c r="N10" s="3466"/>
      <c r="O10" s="3466"/>
      <c r="P10" s="3466"/>
      <c r="Q10" s="3466"/>
      <c r="R10" s="3466"/>
      <c r="S10" s="3466"/>
    </row>
    <row r="11" spans="1:19" ht="15" hidden="1" thickTop="1" x14ac:dyDescent="0.35">
      <c r="A11" s="3463"/>
      <c r="B11" s="3306" t="s">
        <v>4100</v>
      </c>
      <c r="C11" s="3368" t="s">
        <v>654</v>
      </c>
      <c r="D11" s="3369"/>
      <c r="E11" s="3369"/>
      <c r="F11" s="3369"/>
      <c r="G11" s="3465"/>
      <c r="H11" s="3466"/>
      <c r="I11" s="3466"/>
      <c r="J11" s="3466"/>
      <c r="K11" s="3466"/>
      <c r="L11" s="3466"/>
      <c r="M11" s="3466"/>
      <c r="N11" s="3466"/>
      <c r="O11" s="3466"/>
      <c r="P11" s="3466"/>
      <c r="Q11" s="3466"/>
      <c r="R11" s="3466"/>
      <c r="S11" s="3466"/>
    </row>
    <row r="12" spans="1:19" ht="15" hidden="1" thickTop="1" x14ac:dyDescent="0.35">
      <c r="A12" s="3463"/>
      <c r="B12" s="3456" t="s">
        <v>4101</v>
      </c>
      <c r="C12" s="3368" t="s">
        <v>654</v>
      </c>
      <c r="D12" s="3369"/>
      <c r="E12" s="3369"/>
      <c r="F12" s="3369"/>
      <c r="G12" s="3465"/>
      <c r="H12" s="3466"/>
      <c r="I12" s="3466"/>
      <c r="J12" s="3466"/>
      <c r="K12" s="3466"/>
      <c r="L12" s="3466"/>
      <c r="M12" s="3466"/>
      <c r="N12" s="3466"/>
      <c r="O12" s="3466"/>
      <c r="P12" s="3466"/>
      <c r="Q12" s="3466"/>
      <c r="R12" s="3466"/>
      <c r="S12" s="3466"/>
    </row>
    <row r="13" spans="1:19" ht="15" hidden="1" thickTop="1" x14ac:dyDescent="0.35">
      <c r="A13" s="3463"/>
      <c r="B13" s="3306" t="s">
        <v>4102</v>
      </c>
      <c r="C13" s="3368" t="s">
        <v>654</v>
      </c>
      <c r="D13" s="3369"/>
      <c r="E13" s="3369"/>
      <c r="F13" s="3369"/>
      <c r="G13" s="3465"/>
      <c r="H13" s="3466"/>
      <c r="I13" s="3466"/>
      <c r="J13" s="3466"/>
      <c r="K13" s="3466"/>
      <c r="L13" s="3466"/>
      <c r="M13" s="3466"/>
      <c r="N13" s="3466"/>
      <c r="O13" s="3466"/>
      <c r="P13" s="3466"/>
      <c r="Q13" s="3466"/>
      <c r="R13" s="3466"/>
      <c r="S13" s="3466"/>
    </row>
    <row r="14" spans="1:19" ht="15" hidden="1" thickTop="1" x14ac:dyDescent="0.35">
      <c r="A14" s="3463"/>
      <c r="B14" s="3306" t="s">
        <v>4103</v>
      </c>
      <c r="C14" s="3368" t="s">
        <v>654</v>
      </c>
      <c r="D14" s="3369"/>
      <c r="E14" s="3369"/>
      <c r="F14" s="3369"/>
      <c r="G14" s="3465"/>
      <c r="H14" s="3466"/>
      <c r="I14" s="3466"/>
      <c r="J14" s="3466"/>
      <c r="K14" s="3466"/>
      <c r="L14" s="3466"/>
      <c r="M14" s="3466"/>
      <c r="N14" s="3466"/>
      <c r="O14" s="3466"/>
      <c r="P14" s="3466"/>
      <c r="Q14" s="3466"/>
      <c r="R14" s="3466"/>
      <c r="S14" s="3466"/>
    </row>
    <row r="15" spans="1:19" ht="15" hidden="1" thickTop="1" x14ac:dyDescent="0.35">
      <c r="A15" s="3463"/>
      <c r="B15" s="3306" t="s">
        <v>4104</v>
      </c>
      <c r="C15" s="3368" t="s">
        <v>654</v>
      </c>
      <c r="D15" s="3369"/>
      <c r="E15" s="3369"/>
      <c r="F15" s="3369"/>
      <c r="G15" s="3465"/>
      <c r="H15" s="3466"/>
      <c r="I15" s="3466"/>
      <c r="J15" s="3466"/>
      <c r="K15" s="3466"/>
      <c r="L15" s="3466"/>
      <c r="M15" s="3466"/>
      <c r="N15" s="3466"/>
      <c r="O15" s="3466"/>
      <c r="P15" s="3466"/>
      <c r="Q15" s="3466"/>
      <c r="R15" s="3466"/>
      <c r="S15" s="3466"/>
    </row>
    <row r="16" spans="1:19" ht="15" hidden="1" thickTop="1" x14ac:dyDescent="0.35">
      <c r="A16" s="3463"/>
      <c r="B16" s="3456" t="s">
        <v>4105</v>
      </c>
      <c r="C16" s="3368" t="s">
        <v>654</v>
      </c>
      <c r="D16" s="3369"/>
      <c r="E16" s="3369"/>
      <c r="F16" s="3369"/>
      <c r="G16" s="3465"/>
      <c r="H16" s="3466"/>
      <c r="I16" s="3466"/>
      <c r="J16" s="3466"/>
      <c r="K16" s="3466"/>
      <c r="L16" s="3466"/>
      <c r="M16" s="3466"/>
      <c r="N16" s="3466"/>
      <c r="O16" s="3466"/>
      <c r="P16" s="3466"/>
      <c r="Q16" s="3466"/>
      <c r="R16" s="3466"/>
      <c r="S16" s="3466"/>
    </row>
    <row r="17" spans="1:19" ht="15" hidden="1" thickTop="1" x14ac:dyDescent="0.35">
      <c r="A17" s="3463"/>
      <c r="B17" s="3456" t="s">
        <v>4106</v>
      </c>
      <c r="C17" s="3368" t="s">
        <v>654</v>
      </c>
      <c r="D17" s="3369"/>
      <c r="E17" s="3369"/>
      <c r="F17" s="3369"/>
      <c r="G17" s="3465"/>
      <c r="H17" s="3466"/>
      <c r="I17" s="3466"/>
      <c r="J17" s="3466"/>
      <c r="K17" s="3466"/>
      <c r="L17" s="3466"/>
      <c r="M17" s="3466"/>
      <c r="N17" s="3466"/>
      <c r="O17" s="3466"/>
      <c r="P17" s="3466"/>
      <c r="Q17" s="3466"/>
      <c r="R17" s="3466"/>
      <c r="S17" s="3466"/>
    </row>
    <row r="18" spans="1:19" ht="15" hidden="1" thickTop="1" x14ac:dyDescent="0.35">
      <c r="A18" s="3463"/>
      <c r="B18" s="3306" t="s">
        <v>4107</v>
      </c>
      <c r="C18" s="3368" t="s">
        <v>654</v>
      </c>
      <c r="D18" s="3369"/>
      <c r="E18" s="3369"/>
      <c r="F18" s="3369"/>
      <c r="G18" s="3465"/>
      <c r="H18" s="3466"/>
      <c r="I18" s="3466"/>
      <c r="J18" s="3466"/>
      <c r="K18" s="3466"/>
      <c r="L18" s="3466"/>
      <c r="M18" s="3466"/>
      <c r="N18" s="3466"/>
      <c r="O18" s="3466"/>
      <c r="P18" s="3466"/>
      <c r="Q18" s="3466"/>
      <c r="R18" s="3466"/>
      <c r="S18" s="3466"/>
    </row>
    <row r="19" spans="1:19" ht="15" hidden="1" thickTop="1" x14ac:dyDescent="0.35">
      <c r="A19" s="3463"/>
      <c r="B19" s="3306" t="s">
        <v>3396</v>
      </c>
      <c r="C19" s="3368" t="s">
        <v>654</v>
      </c>
      <c r="D19" s="3369"/>
      <c r="E19" s="3369"/>
      <c r="F19" s="3369"/>
      <c r="G19" s="3465"/>
      <c r="H19" s="3466"/>
      <c r="I19" s="3466"/>
      <c r="J19" s="3466"/>
      <c r="K19" s="3466"/>
      <c r="L19" s="3466"/>
      <c r="M19" s="3466"/>
      <c r="N19" s="3466"/>
      <c r="O19" s="3466"/>
      <c r="P19" s="3466"/>
      <c r="Q19" s="3466"/>
      <c r="R19" s="3466"/>
      <c r="S19" s="3466"/>
    </row>
    <row r="20" spans="1:19" ht="15" hidden="1" thickTop="1" x14ac:dyDescent="0.35">
      <c r="A20" s="3463"/>
      <c r="B20" s="3459" t="s">
        <v>4108</v>
      </c>
      <c r="C20" s="3368" t="s">
        <v>654</v>
      </c>
      <c r="D20" s="3369"/>
      <c r="E20" s="3369"/>
      <c r="F20" s="3369"/>
      <c r="G20" s="3465"/>
      <c r="H20" s="3466"/>
      <c r="I20" s="3466"/>
      <c r="J20" s="3466"/>
      <c r="K20" s="3466"/>
      <c r="L20" s="3466"/>
      <c r="M20" s="3466"/>
      <c r="N20" s="3466"/>
      <c r="O20" s="3466"/>
      <c r="P20" s="3466"/>
      <c r="Q20" s="3466"/>
      <c r="R20" s="3466"/>
      <c r="S20" s="3466"/>
    </row>
    <row r="21" spans="1:19" ht="15" thickTop="1" x14ac:dyDescent="0.35">
      <c r="A21" s="3511"/>
      <c r="B21" s="3485"/>
      <c r="C21" s="3368"/>
      <c r="D21" s="3369"/>
      <c r="E21" s="3369"/>
      <c r="F21" s="3369"/>
      <c r="G21" s="3465"/>
      <c r="H21" s="3512"/>
      <c r="I21" s="3513"/>
      <c r="J21" s="3513"/>
      <c r="K21" s="3513"/>
      <c r="L21" s="3513"/>
      <c r="M21" s="3513"/>
      <c r="N21" s="3513"/>
      <c r="O21" s="3513"/>
      <c r="P21" s="3513"/>
      <c r="Q21" s="3513"/>
      <c r="R21" s="3513"/>
      <c r="S21" s="3513"/>
    </row>
    <row r="22" spans="1:19" ht="15" thickBot="1" x14ac:dyDescent="0.4">
      <c r="A22" s="3467"/>
      <c r="B22" s="3468" t="s">
        <v>4098</v>
      </c>
      <c r="C22" s="3368"/>
      <c r="D22" s="3369"/>
      <c r="E22" s="3369"/>
      <c r="F22" s="3369"/>
      <c r="G22" s="3465"/>
      <c r="H22" s="3512"/>
      <c r="I22" s="3469"/>
      <c r="J22" s="3469"/>
      <c r="K22" s="3469"/>
      <c r="L22" s="3469"/>
      <c r="M22" s="3469"/>
      <c r="N22" s="3469"/>
      <c r="O22" s="3470"/>
      <c r="P22" s="3469"/>
      <c r="Q22" s="3469"/>
      <c r="R22" s="3469"/>
      <c r="S22" s="3469"/>
    </row>
    <row r="23" spans="1:19" customFormat="1" x14ac:dyDescent="0.35">
      <c r="A23" s="3471"/>
      <c r="B23" s="606" t="s">
        <v>657</v>
      </c>
      <c r="C23" s="3312"/>
      <c r="D23" s="3307"/>
      <c r="E23" s="3307"/>
      <c r="F23" s="3307"/>
      <c r="G23" s="3465"/>
      <c r="H23" s="3313"/>
      <c r="I23" s="3514"/>
      <c r="J23" s="3313"/>
      <c r="K23" s="3472"/>
      <c r="L23" s="3313"/>
      <c r="M23" s="3473"/>
      <c r="N23" s="3313"/>
      <c r="O23" s="3473"/>
      <c r="P23" s="3313"/>
      <c r="Q23" s="3473"/>
      <c r="R23" s="3313"/>
      <c r="S23" s="3473"/>
    </row>
    <row r="24" spans="1:19" customFormat="1" x14ac:dyDescent="0.35">
      <c r="A24" s="3471"/>
      <c r="B24" s="3474" t="s">
        <v>658</v>
      </c>
      <c r="C24" s="3312"/>
      <c r="D24" s="3307"/>
      <c r="E24" s="3307"/>
      <c r="F24" s="3307"/>
      <c r="G24" s="3465"/>
      <c r="H24" s="3313"/>
      <c r="I24" s="3514"/>
      <c r="J24" s="3313"/>
      <c r="K24" s="3472"/>
      <c r="L24" s="3313"/>
      <c r="M24" s="3473"/>
      <c r="N24" s="3313"/>
      <c r="O24" s="3473"/>
      <c r="P24" s="3313"/>
      <c r="Q24" s="3473"/>
      <c r="R24" s="3313"/>
      <c r="S24" s="3473"/>
    </row>
    <row r="25" spans="1:19" customFormat="1" x14ac:dyDescent="0.35">
      <c r="A25" s="3471"/>
      <c r="B25" s="3474" t="s">
        <v>659</v>
      </c>
      <c r="C25" s="3312"/>
      <c r="D25" s="3307"/>
      <c r="E25" s="3307"/>
      <c r="F25" s="3307"/>
      <c r="G25" s="3465"/>
      <c r="H25" s="3313"/>
      <c r="I25" s="3472"/>
      <c r="J25" s="3313"/>
      <c r="K25" s="3472"/>
      <c r="L25" s="3313"/>
      <c r="M25" s="3473"/>
      <c r="N25" s="3313"/>
      <c r="O25" s="3473"/>
      <c r="P25" s="3313"/>
      <c r="Q25" s="3473"/>
      <c r="R25" s="3313"/>
      <c r="S25" s="3473"/>
    </row>
    <row r="26" spans="1:19" customFormat="1" x14ac:dyDescent="0.35">
      <c r="A26" s="3471"/>
      <c r="B26" s="3475" t="s">
        <v>660</v>
      </c>
      <c r="C26" s="3312"/>
      <c r="D26" s="3307"/>
      <c r="E26" s="3307"/>
      <c r="F26" s="3307"/>
      <c r="G26" s="3465"/>
      <c r="H26" s="3313"/>
      <c r="I26" s="3472"/>
      <c r="J26" s="3313"/>
      <c r="K26" s="3472"/>
      <c r="L26" s="3313"/>
      <c r="M26" s="3473"/>
      <c r="N26" s="3313"/>
      <c r="O26" s="3472"/>
      <c r="P26" s="3313"/>
      <c r="Q26" s="3473"/>
      <c r="R26" s="3313"/>
      <c r="S26" s="3473"/>
    </row>
    <row r="27" spans="1:19" customFormat="1" x14ac:dyDescent="0.35">
      <c r="A27" s="3471"/>
      <c r="B27" s="3475" t="s">
        <v>661</v>
      </c>
      <c r="C27" s="3312"/>
      <c r="D27" s="3307"/>
      <c r="E27" s="3307"/>
      <c r="F27" s="3307"/>
      <c r="G27" s="3465"/>
      <c r="H27" s="3313"/>
      <c r="I27" s="3472"/>
      <c r="J27" s="3313"/>
      <c r="K27" s="3472"/>
      <c r="L27" s="3313"/>
      <c r="M27" s="3473"/>
      <c r="N27" s="3313"/>
      <c r="O27" s="3472"/>
      <c r="P27" s="3313"/>
      <c r="Q27" s="3473"/>
      <c r="R27" s="3313"/>
      <c r="S27" s="3473"/>
    </row>
    <row r="28" spans="1:19" customFormat="1" x14ac:dyDescent="0.35">
      <c r="A28" s="3471"/>
      <c r="B28" s="3475" t="s">
        <v>662</v>
      </c>
      <c r="C28" s="3312"/>
      <c r="D28" s="3307"/>
      <c r="E28" s="3307"/>
      <c r="F28" s="3307"/>
      <c r="G28" s="3465"/>
      <c r="H28" s="3313"/>
      <c r="I28" s="3472"/>
      <c r="J28" s="3313"/>
      <c r="K28" s="3472"/>
      <c r="L28" s="3313"/>
      <c r="M28" s="3473"/>
      <c r="N28" s="3313"/>
      <c r="O28" s="3472"/>
      <c r="P28" s="3313"/>
      <c r="Q28" s="3473"/>
      <c r="R28" s="3313"/>
      <c r="S28" s="3473"/>
    </row>
    <row r="29" spans="1:19" customFormat="1" x14ac:dyDescent="0.35">
      <c r="A29" s="3471"/>
      <c r="B29" s="3475" t="s">
        <v>663</v>
      </c>
      <c r="C29" s="3312"/>
      <c r="D29" s="3307"/>
      <c r="E29" s="3307"/>
      <c r="F29" s="3307"/>
      <c r="G29" s="3465"/>
      <c r="H29" s="3313"/>
      <c r="I29" s="3472"/>
      <c r="J29" s="3313"/>
      <c r="K29" s="3472"/>
      <c r="L29" s="3313"/>
      <c r="M29" s="3473"/>
      <c r="N29" s="3313"/>
      <c r="O29" s="3472"/>
      <c r="P29" s="3313"/>
      <c r="Q29" s="3473"/>
      <c r="R29" s="3313"/>
      <c r="S29" s="3473"/>
    </row>
    <row r="30" spans="1:19" customFormat="1" x14ac:dyDescent="0.35">
      <c r="A30" s="129"/>
      <c r="B30" s="220" t="s">
        <v>742</v>
      </c>
      <c r="C30" s="3312"/>
      <c r="D30" s="3307"/>
      <c r="E30" s="3307"/>
      <c r="F30" s="3307"/>
      <c r="G30" s="3465"/>
      <c r="H30" s="3313"/>
      <c r="I30" s="3472"/>
      <c r="J30" s="3313"/>
      <c r="K30" s="3472"/>
      <c r="L30" s="3313"/>
      <c r="M30" s="3473"/>
      <c r="N30" s="3313"/>
      <c r="O30" s="3472"/>
      <c r="P30" s="3313"/>
      <c r="Q30" s="3473"/>
      <c r="R30" s="3313"/>
      <c r="S30" s="3473"/>
    </row>
    <row r="31" spans="1:19" x14ac:dyDescent="0.35">
      <c r="A31" s="129"/>
      <c r="B31" s="131" t="s">
        <v>664</v>
      </c>
      <c r="C31" s="3368"/>
      <c r="D31" s="3369"/>
      <c r="E31" s="3369"/>
      <c r="F31" s="3369"/>
      <c r="G31" s="3465"/>
      <c r="H31" s="3313"/>
      <c r="I31" s="3513"/>
      <c r="J31" s="3313"/>
      <c r="K31" s="3513"/>
      <c r="L31" s="3313"/>
      <c r="M31" s="3513"/>
      <c r="N31" s="3313"/>
      <c r="O31" s="3513"/>
      <c r="P31" s="3313"/>
      <c r="Q31" s="3513"/>
      <c r="R31" s="3313"/>
      <c r="S31" s="3513"/>
    </row>
    <row r="32" spans="1:19" x14ac:dyDescent="0.35">
      <c r="A32" s="3515"/>
      <c r="B32" s="3477" t="s">
        <v>665</v>
      </c>
      <c r="C32" s="3478"/>
      <c r="D32" s="3247"/>
      <c r="E32" s="3247"/>
      <c r="F32" s="3247"/>
      <c r="G32" s="2945"/>
      <c r="H32" s="3479"/>
      <c r="I32" s="3480"/>
      <c r="J32" s="3480"/>
      <c r="K32" s="3480"/>
      <c r="L32" s="3482"/>
      <c r="M32" s="3483"/>
      <c r="N32" s="3480"/>
      <c r="O32" s="3480"/>
      <c r="P32" s="3480"/>
      <c r="Q32" s="3480"/>
      <c r="R32" s="3250"/>
      <c r="S32" s="3483"/>
    </row>
    <row r="33" spans="1:19" x14ac:dyDescent="0.35">
      <c r="A33" s="3484"/>
      <c r="B33" s="3484"/>
      <c r="C33" s="3368"/>
      <c r="D33" s="3369"/>
      <c r="E33" s="3369"/>
      <c r="F33" s="3369"/>
      <c r="G33" s="3465"/>
      <c r="H33" s="3313"/>
      <c r="I33" s="3469"/>
      <c r="J33" s="3313"/>
      <c r="K33" s="3469"/>
      <c r="L33" s="3313"/>
      <c r="M33" s="3470"/>
      <c r="N33" s="3313"/>
      <c r="O33" s="3469"/>
      <c r="P33" s="3313"/>
      <c r="Q33" s="3469"/>
      <c r="R33" s="3313"/>
      <c r="S33" s="3469"/>
    </row>
    <row r="34" spans="1:19" x14ac:dyDescent="0.35">
      <c r="A34" s="3484"/>
      <c r="B34" s="3484"/>
      <c r="C34" s="3485"/>
      <c r="D34" s="3369"/>
      <c r="E34" s="3369"/>
      <c r="F34" s="3369"/>
      <c r="G34" s="3465"/>
      <c r="H34" s="3313"/>
      <c r="I34" s="3470"/>
      <c r="J34" s="3313"/>
      <c r="K34" s="3469"/>
      <c r="L34" s="3313"/>
      <c r="M34" s="3470"/>
      <c r="N34" s="3313"/>
      <c r="O34" s="3469"/>
      <c r="P34" s="3313"/>
      <c r="Q34" s="3469"/>
      <c r="R34" s="3313"/>
      <c r="S34" s="3469"/>
    </row>
    <row r="35" spans="1:19" x14ac:dyDescent="0.35">
      <c r="A35" s="3467"/>
      <c r="B35" s="3485"/>
      <c r="C35" s="3485"/>
      <c r="D35" s="3369"/>
      <c r="E35" s="3369"/>
      <c r="F35" s="3369"/>
      <c r="G35" s="3465"/>
      <c r="H35" s="3313"/>
      <c r="I35" s="3470"/>
      <c r="J35" s="3313"/>
      <c r="K35" s="3470"/>
      <c r="L35" s="3313"/>
      <c r="M35" s="3470"/>
      <c r="N35" s="3313"/>
      <c r="O35" s="3469"/>
      <c r="P35" s="3313"/>
      <c r="Q35" s="3469"/>
      <c r="R35" s="3313"/>
      <c r="S35" s="3469"/>
    </row>
    <row r="36" spans="1:19" x14ac:dyDescent="0.35">
      <c r="A36" s="3467"/>
      <c r="B36" s="3485"/>
      <c r="C36" s="3485"/>
      <c r="D36" s="3369"/>
      <c r="E36" s="3369"/>
      <c r="F36" s="3369"/>
      <c r="G36" s="3465"/>
      <c r="H36" s="3313"/>
      <c r="I36" s="3470"/>
      <c r="J36" s="3313"/>
      <c r="K36" s="3469"/>
      <c r="L36" s="3313"/>
      <c r="M36" s="3470"/>
      <c r="N36" s="3313"/>
      <c r="O36" s="3469"/>
      <c r="P36" s="3313"/>
      <c r="Q36" s="3469"/>
      <c r="R36" s="3313"/>
      <c r="S36" s="3469"/>
    </row>
    <row r="37" spans="1:19" x14ac:dyDescent="0.35">
      <c r="A37" s="3467"/>
      <c r="B37" s="3485"/>
      <c r="C37" s="3485"/>
      <c r="D37" s="3369"/>
      <c r="E37" s="3369"/>
      <c r="F37" s="3369"/>
      <c r="G37" s="3465"/>
      <c r="H37" s="3313"/>
      <c r="I37" s="3470"/>
      <c r="J37" s="3313"/>
      <c r="K37" s="3469"/>
      <c r="L37" s="3313"/>
      <c r="M37" s="3470"/>
      <c r="N37" s="3313"/>
      <c r="O37" s="3469"/>
      <c r="P37" s="3313"/>
      <c r="Q37" s="3469"/>
      <c r="R37" s="3313"/>
      <c r="S37" s="3469"/>
    </row>
    <row r="38" spans="1:19" x14ac:dyDescent="0.35">
      <c r="A38" s="3467"/>
      <c r="B38" s="3484"/>
      <c r="C38" s="3485"/>
      <c r="D38" s="3369"/>
      <c r="E38" s="3369"/>
      <c r="F38" s="3369"/>
      <c r="G38" s="3465"/>
      <c r="H38" s="3313"/>
      <c r="I38" s="3470"/>
      <c r="J38" s="3313"/>
      <c r="K38" s="3469"/>
      <c r="L38" s="3313"/>
      <c r="M38" s="3470"/>
      <c r="N38" s="3313"/>
      <c r="O38" s="3469"/>
      <c r="P38" s="3313"/>
      <c r="Q38" s="3469"/>
      <c r="R38" s="3313"/>
      <c r="S38" s="3469"/>
    </row>
    <row r="39" spans="1:19" x14ac:dyDescent="0.35">
      <c r="A39" s="3467"/>
      <c r="B39" s="3484"/>
      <c r="C39" s="3485"/>
      <c r="D39" s="3369"/>
      <c r="E39" s="3369"/>
      <c r="F39" s="3369"/>
      <c r="G39" s="3465"/>
      <c r="H39" s="3313"/>
      <c r="I39" s="3470"/>
      <c r="J39" s="3313"/>
      <c r="K39" s="3469"/>
      <c r="L39" s="3313"/>
      <c r="M39" s="3470"/>
      <c r="N39" s="3313"/>
      <c r="O39" s="3469"/>
      <c r="P39" s="3313"/>
      <c r="Q39" s="3469"/>
      <c r="R39" s="3313"/>
      <c r="S39" s="3469"/>
    </row>
    <row r="40" spans="1:19" x14ac:dyDescent="0.35">
      <c r="A40" s="3467"/>
      <c r="B40" s="3484"/>
      <c r="C40" s="3485"/>
      <c r="D40" s="3369"/>
      <c r="E40" s="3369"/>
      <c r="F40" s="3369"/>
      <c r="G40" s="3465"/>
      <c r="H40" s="3313"/>
      <c r="I40" s="3470"/>
      <c r="J40" s="3313"/>
      <c r="K40" s="3469"/>
      <c r="L40" s="3313"/>
      <c r="M40" s="3470"/>
      <c r="N40" s="3313"/>
      <c r="O40" s="3469"/>
      <c r="P40" s="3313"/>
      <c r="Q40" s="3469"/>
      <c r="R40" s="3313"/>
      <c r="S40" s="3469"/>
    </row>
    <row r="41" spans="1:19" x14ac:dyDescent="0.35">
      <c r="A41" s="3467"/>
      <c r="B41" s="3484"/>
      <c r="C41" s="3485"/>
      <c r="D41" s="3369"/>
      <c r="E41" s="3369"/>
      <c r="F41" s="3369"/>
      <c r="G41" s="3465"/>
      <c r="H41" s="3313"/>
      <c r="I41" s="3470"/>
      <c r="J41" s="3313"/>
      <c r="K41" s="3470"/>
      <c r="L41" s="3313"/>
      <c r="M41" s="3470"/>
      <c r="N41" s="3313"/>
      <c r="O41" s="3469"/>
      <c r="P41" s="3313"/>
      <c r="Q41" s="3469"/>
      <c r="R41" s="3313"/>
      <c r="S41" s="3469"/>
    </row>
    <row r="42" spans="1:19" ht="15.5" x14ac:dyDescent="0.35">
      <c r="A42" s="3467"/>
      <c r="B42" s="3516"/>
      <c r="C42" s="3485"/>
      <c r="D42" s="3369"/>
      <c r="E42" s="3369"/>
      <c r="F42" s="3369"/>
      <c r="G42" s="3465"/>
      <c r="H42" s="3313"/>
      <c r="I42" s="3470"/>
      <c r="J42" s="3313"/>
      <c r="K42" s="3470"/>
      <c r="L42" s="3313"/>
      <c r="M42" s="3470"/>
      <c r="N42" s="3313"/>
      <c r="O42" s="3469"/>
      <c r="P42" s="3313"/>
      <c r="Q42" s="3469"/>
      <c r="R42" s="3313"/>
      <c r="S42" s="3469"/>
    </row>
    <row r="43" spans="1:19" x14ac:dyDescent="0.35">
      <c r="A43" s="3487"/>
      <c r="B43" s="1294"/>
      <c r="C43" s="3485"/>
      <c r="D43" s="1295"/>
      <c r="E43" s="1295"/>
      <c r="F43" s="1295"/>
      <c r="G43" s="3488"/>
      <c r="H43" s="3313"/>
      <c r="I43" s="3470"/>
      <c r="J43" s="3313"/>
      <c r="K43" s="3469"/>
      <c r="L43" s="3313"/>
      <c r="M43" s="3469"/>
      <c r="N43" s="3313"/>
      <c r="O43" s="3469"/>
      <c r="P43" s="3313"/>
      <c r="Q43" s="3469"/>
      <c r="R43" s="3313"/>
      <c r="S43" s="3469"/>
    </row>
    <row r="44" spans="1:19" x14ac:dyDescent="0.35">
      <c r="A44" s="3487"/>
      <c r="B44" s="1294"/>
      <c r="C44" s="3238"/>
      <c r="D44" s="1295"/>
      <c r="E44" s="1295"/>
      <c r="F44" s="1295"/>
      <c r="G44" s="3488"/>
      <c r="H44" s="3313"/>
      <c r="I44" s="3469"/>
      <c r="J44" s="3313"/>
      <c r="K44" s="3469"/>
      <c r="L44" s="3313"/>
      <c r="M44" s="3469"/>
      <c r="N44" s="3313"/>
      <c r="O44" s="3469"/>
      <c r="P44" s="3313"/>
      <c r="Q44" s="3469"/>
      <c r="R44" s="3313"/>
      <c r="S44" s="3469"/>
    </row>
    <row r="45" spans="1:19" x14ac:dyDescent="0.35">
      <c r="A45" s="3487"/>
      <c r="B45" s="1294"/>
      <c r="C45" s="3238"/>
      <c r="D45" s="1295"/>
      <c r="E45" s="1295"/>
      <c r="F45" s="1295"/>
      <c r="G45" s="3488"/>
      <c r="H45" s="3313"/>
      <c r="I45" s="3469"/>
      <c r="J45" s="3313"/>
      <c r="K45" s="3469"/>
      <c r="L45" s="3313"/>
      <c r="M45" s="3469"/>
      <c r="N45" s="3313"/>
      <c r="O45" s="3469"/>
      <c r="P45" s="3313"/>
      <c r="Q45" s="3469"/>
      <c r="R45" s="3313"/>
      <c r="S45" s="3469"/>
    </row>
    <row r="46" spans="1:19" x14ac:dyDescent="0.35">
      <c r="A46" s="3487"/>
      <c r="B46" s="1294"/>
      <c r="C46" s="3238"/>
      <c r="D46" s="1295"/>
      <c r="E46" s="1295"/>
      <c r="F46" s="1295"/>
      <c r="G46" s="3488"/>
      <c r="H46" s="3313"/>
      <c r="I46" s="3469"/>
      <c r="J46" s="3313"/>
      <c r="K46" s="3469"/>
      <c r="L46" s="3313"/>
      <c r="M46" s="3469"/>
      <c r="N46" s="3313"/>
      <c r="O46" s="3469"/>
      <c r="P46" s="3313"/>
      <c r="Q46" s="3469"/>
      <c r="R46" s="3313"/>
      <c r="S46" s="3469"/>
    </row>
    <row r="47" spans="1:19" x14ac:dyDescent="0.35">
      <c r="A47" s="3487"/>
      <c r="B47" s="1294"/>
      <c r="C47" s="3238"/>
      <c r="D47" s="1295"/>
      <c r="E47" s="1295"/>
      <c r="F47" s="1295"/>
      <c r="G47" s="3488"/>
      <c r="H47" s="3313"/>
      <c r="I47" s="3469"/>
      <c r="J47" s="3313"/>
      <c r="K47" s="3469"/>
      <c r="L47" s="3313"/>
      <c r="M47" s="3469"/>
      <c r="N47" s="3313"/>
      <c r="O47" s="3469"/>
      <c r="P47" s="3313"/>
      <c r="Q47" s="3469"/>
      <c r="R47" s="3313"/>
      <c r="S47" s="3469"/>
    </row>
    <row r="48" spans="1:19" x14ac:dyDescent="0.35">
      <c r="A48" s="3487"/>
      <c r="B48" s="1294"/>
      <c r="C48" s="3238"/>
      <c r="D48" s="1295"/>
      <c r="E48" s="1295"/>
      <c r="F48" s="1295"/>
      <c r="G48" s="3488"/>
      <c r="H48" s="3313"/>
      <c r="I48" s="3469"/>
      <c r="J48" s="3313"/>
      <c r="K48" s="3469"/>
      <c r="L48" s="3313"/>
      <c r="M48" s="3469"/>
      <c r="N48" s="3313"/>
      <c r="O48" s="3469"/>
      <c r="P48" s="3313"/>
      <c r="Q48" s="3469"/>
      <c r="R48" s="3313"/>
      <c r="S48" s="3469"/>
    </row>
    <row r="49" spans="1:19" x14ac:dyDescent="0.35">
      <c r="A49" s="3487"/>
      <c r="B49" s="1294"/>
      <c r="C49" s="3238"/>
      <c r="D49" s="1295"/>
      <c r="E49" s="1295"/>
      <c r="F49" s="1295"/>
      <c r="G49" s="3488"/>
      <c r="H49" s="3313"/>
      <c r="I49" s="3469"/>
      <c r="J49" s="3313"/>
      <c r="K49" s="3469"/>
      <c r="L49" s="3313"/>
      <c r="M49" s="3469"/>
      <c r="N49" s="3313"/>
      <c r="O49" s="3469"/>
      <c r="P49" s="3313"/>
      <c r="Q49" s="3469"/>
      <c r="R49" s="3313"/>
      <c r="S49" s="3469"/>
    </row>
    <row r="50" spans="1:19" x14ac:dyDescent="0.35">
      <c r="A50" s="3487"/>
      <c r="B50" s="1294"/>
      <c r="C50" s="3238"/>
      <c r="D50" s="1295"/>
      <c r="E50" s="1295"/>
      <c r="F50" s="1295"/>
      <c r="G50" s="3488"/>
      <c r="H50" s="3313"/>
      <c r="I50" s="3469"/>
      <c r="J50" s="3313"/>
      <c r="K50" s="3469"/>
      <c r="L50" s="3313"/>
      <c r="M50" s="3469"/>
      <c r="N50" s="3313"/>
      <c r="O50" s="3469"/>
      <c r="P50" s="3313"/>
      <c r="Q50" s="3469"/>
      <c r="R50" s="3313"/>
      <c r="S50" s="3469"/>
    </row>
    <row r="51" spans="1:19" ht="15" thickBot="1" x14ac:dyDescent="0.4">
      <c r="A51" s="3487"/>
      <c r="B51" s="3489"/>
      <c r="C51" s="3368"/>
      <c r="D51" s="3369"/>
      <c r="E51" s="3369"/>
      <c r="F51" s="3369"/>
      <c r="G51" s="3465"/>
      <c r="H51" s="3313"/>
      <c r="I51" s="3469"/>
      <c r="J51" s="3313"/>
      <c r="K51" s="3469"/>
      <c r="L51" s="3313"/>
      <c r="M51" s="3469"/>
      <c r="N51" s="3313"/>
      <c r="O51" s="3469"/>
      <c r="P51" s="3313"/>
      <c r="Q51" s="3469"/>
      <c r="R51" s="3313"/>
      <c r="S51" s="3469"/>
    </row>
    <row r="52" spans="1:19" ht="15" thickTop="1" x14ac:dyDescent="0.35">
      <c r="A52" s="65"/>
      <c r="B52" s="66"/>
      <c r="C52" s="67"/>
      <c r="D52" s="67"/>
      <c r="E52" s="68"/>
      <c r="F52" s="69" t="s">
        <v>715</v>
      </c>
      <c r="G52" s="76"/>
      <c r="H52" s="72"/>
      <c r="I52" s="71">
        <f>SUM(I34:I51)</f>
        <v>0</v>
      </c>
      <c r="J52" s="70"/>
      <c r="K52" s="71">
        <f>SUM(K34:K51)</f>
        <v>0</v>
      </c>
      <c r="L52" s="70"/>
      <c r="M52" s="71">
        <f>SUM(M34:M51)</f>
        <v>0</v>
      </c>
      <c r="N52" s="70"/>
      <c r="O52" s="71">
        <f>SUM(O34:O51)</f>
        <v>0</v>
      </c>
      <c r="P52" s="70"/>
      <c r="Q52" s="71">
        <f>SUM(Q34:Q51)</f>
        <v>0</v>
      </c>
      <c r="R52" s="70"/>
      <c r="S52" s="71">
        <f>SUM(S34:S51)</f>
        <v>0</v>
      </c>
    </row>
    <row r="53" spans="1:19" x14ac:dyDescent="0.35">
      <c r="A53" s="3490"/>
      <c r="B53" s="3491"/>
      <c r="C53" s="3492"/>
      <c r="D53" s="3492"/>
      <c r="E53" s="3493"/>
      <c r="F53" s="3494" t="s">
        <v>716</v>
      </c>
      <c r="G53" s="3495"/>
      <c r="H53" s="3496">
        <v>0</v>
      </c>
      <c r="I53" s="3497"/>
      <c r="J53" s="3498">
        <v>0</v>
      </c>
      <c r="K53" s="3497"/>
      <c r="L53" s="3498">
        <v>0</v>
      </c>
      <c r="M53" s="3497"/>
      <c r="N53" s="3498">
        <v>0</v>
      </c>
      <c r="O53" s="3497"/>
      <c r="P53" s="3498">
        <v>0</v>
      </c>
      <c r="Q53" s="3497"/>
      <c r="R53" s="3498">
        <v>0</v>
      </c>
      <c r="S53" s="3497"/>
    </row>
    <row r="54" spans="1:19" x14ac:dyDescent="0.35">
      <c r="A54" s="3490"/>
      <c r="B54" s="3491"/>
      <c r="C54" s="3492"/>
      <c r="D54" s="3492"/>
      <c r="E54" s="3493"/>
      <c r="F54" s="3494" t="s">
        <v>717</v>
      </c>
      <c r="G54" s="3495"/>
      <c r="H54" s="3499"/>
      <c r="I54" s="3500">
        <f>I52*H53</f>
        <v>0</v>
      </c>
      <c r="J54" s="3501"/>
      <c r="K54" s="3500">
        <f>K52*J53</f>
        <v>0</v>
      </c>
      <c r="L54" s="3501"/>
      <c r="M54" s="3500">
        <f>M52*L53</f>
        <v>0</v>
      </c>
      <c r="N54" s="3501"/>
      <c r="O54" s="3500">
        <f>O52*N53</f>
        <v>0</v>
      </c>
      <c r="P54" s="3501"/>
      <c r="Q54" s="3500">
        <f>Q52*P53</f>
        <v>0</v>
      </c>
      <c r="R54" s="3501"/>
      <c r="S54" s="3500">
        <f>S52*R53</f>
        <v>0</v>
      </c>
    </row>
    <row r="55" spans="1:19" x14ac:dyDescent="0.35">
      <c r="A55" s="3490"/>
      <c r="B55" s="3491"/>
      <c r="C55" s="3492"/>
      <c r="D55" s="3492"/>
      <c r="E55" s="3493"/>
      <c r="F55" s="3494"/>
      <c r="G55" s="3495"/>
      <c r="H55" s="3499"/>
      <c r="I55" s="3502"/>
      <c r="J55" s="3501"/>
      <c r="K55" s="3502"/>
      <c r="L55" s="3501"/>
      <c r="M55" s="3502"/>
      <c r="N55" s="3501"/>
      <c r="O55" s="3502"/>
      <c r="P55" s="3501"/>
      <c r="Q55" s="3502"/>
      <c r="R55" s="3501"/>
      <c r="S55" s="3502"/>
    </row>
    <row r="56" spans="1:19" x14ac:dyDescent="0.35">
      <c r="A56" s="3490"/>
      <c r="B56" s="3491"/>
      <c r="C56" s="3492"/>
      <c r="D56" s="3492"/>
      <c r="E56" s="3493"/>
      <c r="F56" s="3494" t="s">
        <v>718</v>
      </c>
      <c r="G56" s="3495"/>
      <c r="H56" s="3503"/>
      <c r="I56" s="3504">
        <f>SUM(I52:I54)</f>
        <v>0</v>
      </c>
      <c r="J56" s="3505"/>
      <c r="K56" s="3504">
        <f>SUM(K52:K54)</f>
        <v>0</v>
      </c>
      <c r="L56" s="3505"/>
      <c r="M56" s="3504">
        <f>SUM(M52:M54)</f>
        <v>0</v>
      </c>
      <c r="N56" s="3505"/>
      <c r="O56" s="3504">
        <f>SUM(O52:O54)</f>
        <v>0</v>
      </c>
      <c r="P56" s="3505"/>
      <c r="Q56" s="3504">
        <f>SUM(Q52:Q54)</f>
        <v>0</v>
      </c>
      <c r="R56" s="3505"/>
      <c r="S56" s="3504">
        <f>SUM(S52:S54)</f>
        <v>0</v>
      </c>
    </row>
    <row r="57" spans="1:19" x14ac:dyDescent="0.35">
      <c r="A57" s="3490"/>
      <c r="B57" s="3491"/>
      <c r="C57" s="3492"/>
      <c r="D57" s="3492"/>
      <c r="E57" s="3493"/>
      <c r="F57" s="3494" t="s">
        <v>719</v>
      </c>
      <c r="G57" s="3506"/>
      <c r="H57" s="3507"/>
      <c r="I57" s="3277" t="e">
        <f>I56/#REF!</f>
        <v>#REF!</v>
      </c>
      <c r="J57" s="3508"/>
      <c r="K57" s="3277" t="e">
        <f>K56/#REF!</f>
        <v>#REF!</v>
      </c>
      <c r="L57" s="3508"/>
      <c r="M57" s="3277" t="e">
        <f>M56/#REF!</f>
        <v>#REF!</v>
      </c>
      <c r="N57" s="3508"/>
      <c r="O57" s="3277" t="e">
        <f>O56/#REF!</f>
        <v>#REF!</v>
      </c>
      <c r="P57" s="3508"/>
      <c r="Q57" s="3277" t="e">
        <f>Q56/#REF!</f>
        <v>#REF!</v>
      </c>
      <c r="R57" s="3508"/>
      <c r="S57" s="3277" t="e">
        <f>S56/#REF!</f>
        <v>#REF!</v>
      </c>
    </row>
    <row r="58" spans="1:19" x14ac:dyDescent="0.35">
      <c r="A58" s="3490"/>
      <c r="B58" s="3491"/>
      <c r="C58" s="3492"/>
      <c r="D58" s="3492"/>
      <c r="E58" s="3493"/>
      <c r="F58" s="3494" t="s">
        <v>720</v>
      </c>
      <c r="G58" s="3495"/>
      <c r="H58" s="3507"/>
      <c r="I58" s="3277" t="e">
        <f>I56/#REF!</f>
        <v>#REF!</v>
      </c>
      <c r="J58" s="3508"/>
      <c r="K58" s="3277" t="e">
        <f>K56/#REF!</f>
        <v>#REF!</v>
      </c>
      <c r="L58" s="3508"/>
      <c r="M58" s="3277" t="e">
        <f>M56/#REF!</f>
        <v>#REF!</v>
      </c>
      <c r="N58" s="3508"/>
      <c r="O58" s="3277" t="e">
        <f>O56/#REF!</f>
        <v>#REF!</v>
      </c>
      <c r="P58" s="3508"/>
      <c r="Q58" s="3277" t="e">
        <f>Q56/#REF!</f>
        <v>#REF!</v>
      </c>
      <c r="R58" s="3508"/>
      <c r="S58" s="3277" t="e">
        <f>S56/#REF!</f>
        <v>#REF!</v>
      </c>
    </row>
    <row r="59" spans="1:19" ht="15" thickBot="1" x14ac:dyDescent="0.4">
      <c r="A59" s="3490"/>
      <c r="B59" s="3491"/>
      <c r="C59" s="3492"/>
      <c r="D59" s="3492"/>
      <c r="E59" s="3493"/>
      <c r="F59" s="3494"/>
      <c r="G59" s="3495"/>
      <c r="H59" s="3509"/>
      <c r="I59" s="3509"/>
      <c r="J59" s="3517"/>
      <c r="K59" s="3509"/>
      <c r="L59" s="3517"/>
      <c r="M59" s="3509"/>
      <c r="N59" s="3517"/>
      <c r="O59" s="3509"/>
      <c r="P59" s="3517"/>
      <c r="Q59" s="3509"/>
      <c r="R59" s="3517"/>
      <c r="S59" s="3509"/>
    </row>
    <row r="60" spans="1:19" ht="15.5" thickTop="1" thickBot="1" x14ac:dyDescent="0.4">
      <c r="A60" s="3764" t="s">
        <v>721</v>
      </c>
      <c r="B60" s="3765"/>
      <c r="C60" s="12"/>
      <c r="D60" s="12"/>
      <c r="E60" s="12"/>
      <c r="F60" s="12"/>
      <c r="G60" s="13"/>
      <c r="H60" s="21"/>
      <c r="I60" s="21"/>
      <c r="J60" s="21"/>
      <c r="K60" s="21"/>
      <c r="L60" s="21"/>
      <c r="M60" s="21"/>
      <c r="N60" s="21"/>
      <c r="O60" s="21"/>
      <c r="P60" s="21"/>
      <c r="Q60" s="21"/>
      <c r="R60" s="21"/>
      <c r="S60" s="21"/>
    </row>
    <row r="61" spans="1:19" ht="15" thickTop="1" x14ac:dyDescent="0.35">
      <c r="A61" s="3451"/>
      <c r="B61" s="3306"/>
      <c r="C61" s="3510"/>
      <c r="D61" s="3510"/>
      <c r="E61" s="3510"/>
      <c r="F61" s="3510"/>
      <c r="G61" s="3452"/>
      <c r="H61" s="3453"/>
      <c r="I61" s="3453"/>
      <c r="J61" s="3453"/>
      <c r="K61" s="3453"/>
      <c r="L61" s="3453"/>
      <c r="M61" s="3453"/>
      <c r="N61" s="3453"/>
      <c r="O61" s="3453"/>
      <c r="P61" s="3453"/>
      <c r="Q61" s="3453"/>
      <c r="R61" s="3453"/>
      <c r="S61" s="3453"/>
    </row>
    <row r="62" spans="1:19" x14ac:dyDescent="0.35">
      <c r="A62" s="3451"/>
      <c r="B62" s="3306"/>
      <c r="C62" s="3510"/>
      <c r="D62" s="3510"/>
      <c r="E62" s="3510"/>
      <c r="F62" s="3510"/>
      <c r="G62" s="3452"/>
      <c r="H62" s="3453"/>
      <c r="I62" s="3453"/>
      <c r="J62" s="3453"/>
      <c r="K62" s="3453"/>
      <c r="L62" s="3453"/>
      <c r="M62" s="3453"/>
      <c r="N62" s="3453"/>
      <c r="O62" s="3453"/>
      <c r="P62" s="3453"/>
      <c r="Q62" s="3453"/>
      <c r="R62" s="3453"/>
      <c r="S62" s="3453"/>
    </row>
    <row r="63" spans="1:19" ht="15" thickBot="1" x14ac:dyDescent="0.4">
      <c r="A63" s="3451"/>
      <c r="B63" s="3306"/>
      <c r="C63" s="3510"/>
      <c r="D63" s="3510"/>
      <c r="E63" s="3510"/>
      <c r="F63" s="3510"/>
      <c r="G63" s="3452"/>
      <c r="H63" s="3453"/>
      <c r="I63" s="3453"/>
      <c r="J63" s="3453"/>
      <c r="K63" s="3453"/>
      <c r="L63" s="3453"/>
      <c r="M63" s="3453"/>
      <c r="N63" s="3453"/>
      <c r="O63" s="3453"/>
      <c r="P63" s="3453"/>
      <c r="Q63" s="3453"/>
      <c r="R63" s="3453"/>
      <c r="S63" s="3453"/>
    </row>
    <row r="64" spans="1:19" s="57" customFormat="1" ht="15.5" thickTop="1" thickBot="1" x14ac:dyDescent="0.4">
      <c r="A64" s="3764" t="s">
        <v>722</v>
      </c>
      <c r="B64" s="3765"/>
      <c r="C64" s="12"/>
      <c r="D64" s="12"/>
      <c r="E64" s="12"/>
      <c r="F64" s="12"/>
      <c r="G64" s="13"/>
      <c r="H64" s="21"/>
      <c r="I64" s="21"/>
      <c r="J64" s="21"/>
      <c r="K64" s="21"/>
      <c r="L64" s="21"/>
      <c r="M64" s="21"/>
      <c r="N64" s="21"/>
      <c r="O64" s="21"/>
      <c r="P64" s="21"/>
      <c r="Q64" s="21"/>
      <c r="R64" s="21"/>
      <c r="S64" s="21"/>
    </row>
    <row r="65" spans="1:19" s="57" customFormat="1" ht="15" thickTop="1" x14ac:dyDescent="0.35">
      <c r="A65" s="3451"/>
      <c r="B65" s="3306"/>
      <c r="C65" s="3510"/>
      <c r="D65" s="3510"/>
      <c r="E65" s="3510"/>
      <c r="F65" s="3510"/>
      <c r="G65" s="3452"/>
      <c r="H65" s="3453"/>
      <c r="I65" s="3453"/>
      <c r="J65" s="3453"/>
      <c r="K65" s="3453"/>
      <c r="L65" s="3453"/>
      <c r="M65" s="3453"/>
      <c r="N65" s="3453"/>
      <c r="O65" s="3453"/>
      <c r="P65" s="3453"/>
      <c r="Q65" s="3453"/>
      <c r="R65" s="3453"/>
      <c r="S65" s="3453"/>
    </row>
    <row r="66" spans="1:19" s="57" customFormat="1" x14ac:dyDescent="0.35">
      <c r="A66" s="3451"/>
      <c r="B66" s="3306"/>
      <c r="C66" s="3510"/>
      <c r="D66" s="3510"/>
      <c r="E66" s="3510"/>
      <c r="F66" s="3510"/>
      <c r="G66" s="3452"/>
      <c r="H66" s="3453"/>
      <c r="I66" s="3453"/>
      <c r="J66" s="3453"/>
      <c r="K66" s="3453"/>
      <c r="L66" s="3453"/>
      <c r="M66" s="3453"/>
      <c r="N66" s="3453"/>
      <c r="O66" s="3453"/>
      <c r="P66" s="3453"/>
      <c r="Q66" s="3453"/>
      <c r="R66" s="3453"/>
      <c r="S66" s="3453"/>
    </row>
    <row r="67" spans="1:19" ht="15" thickBot="1" x14ac:dyDescent="0.4">
      <c r="A67" s="3451"/>
      <c r="B67" s="3306"/>
      <c r="C67" s="3510"/>
      <c r="D67" s="3510"/>
      <c r="E67" s="3510"/>
      <c r="F67" s="3510"/>
      <c r="G67" s="3452"/>
      <c r="H67" s="3453"/>
      <c r="I67" s="3453"/>
      <c r="J67" s="3453"/>
      <c r="K67" s="3453"/>
      <c r="L67" s="3453"/>
      <c r="M67" s="3453"/>
      <c r="N67" s="3453"/>
      <c r="O67" s="3453"/>
      <c r="P67" s="3453"/>
      <c r="Q67" s="3453"/>
      <c r="R67" s="3453"/>
      <c r="S67" s="3453"/>
    </row>
    <row r="68" spans="1:19" s="57" customFormat="1" ht="15.5" thickTop="1" thickBot="1" x14ac:dyDescent="0.4">
      <c r="A68" s="3764" t="s">
        <v>723</v>
      </c>
      <c r="B68" s="3765"/>
      <c r="C68" s="12"/>
      <c r="D68" s="12"/>
      <c r="E68" s="12"/>
      <c r="F68" s="12"/>
      <c r="G68" s="13"/>
      <c r="H68" s="21"/>
      <c r="I68" s="21"/>
      <c r="J68" s="21"/>
      <c r="K68" s="21"/>
      <c r="L68" s="21"/>
      <c r="M68" s="21"/>
      <c r="N68" s="21"/>
      <c r="O68" s="21"/>
      <c r="P68" s="21"/>
      <c r="Q68" s="21"/>
      <c r="R68" s="21"/>
      <c r="S68" s="21"/>
    </row>
    <row r="69" spans="1:19" s="57" customFormat="1" ht="15" thickTop="1" x14ac:dyDescent="0.35">
      <c r="A69" s="3451"/>
      <c r="B69" s="3306"/>
      <c r="C69" s="3510"/>
      <c r="D69" s="3510"/>
      <c r="E69" s="3510"/>
      <c r="F69" s="3510"/>
      <c r="G69" s="3452"/>
      <c r="H69" s="3453"/>
      <c r="I69" s="3453"/>
      <c r="J69" s="3453"/>
      <c r="K69" s="3453"/>
      <c r="L69" s="3453"/>
      <c r="M69" s="3453"/>
      <c r="N69" s="3453"/>
      <c r="O69" s="3453"/>
      <c r="P69" s="3453"/>
      <c r="Q69" s="3453"/>
      <c r="R69" s="3453"/>
      <c r="S69" s="3453"/>
    </row>
    <row r="70" spans="1:19" s="57" customFormat="1" x14ac:dyDescent="0.35">
      <c r="A70" s="3310"/>
      <c r="B70" s="3306"/>
      <c r="C70" s="3307"/>
      <c r="D70" s="3307"/>
      <c r="E70" s="3307"/>
      <c r="F70" s="3307"/>
      <c r="G70" s="2198"/>
      <c r="H70" s="3284"/>
      <c r="I70" s="3284"/>
      <c r="J70" s="3284"/>
      <c r="K70" s="3284"/>
      <c r="L70" s="3284"/>
      <c r="M70" s="3284"/>
      <c r="N70" s="3284"/>
      <c r="O70" s="3284"/>
      <c r="P70" s="3284"/>
      <c r="Q70" s="3284"/>
      <c r="R70" s="3284"/>
      <c r="S70" s="3284"/>
    </row>
    <row r="71" spans="1:19" s="57" customFormat="1" ht="15" thickBot="1" x14ac:dyDescent="0.4">
      <c r="A71" s="3285"/>
      <c r="B71" s="3286"/>
      <c r="C71" s="3307"/>
      <c r="D71" s="3307"/>
      <c r="E71" s="3307"/>
      <c r="F71" s="3307"/>
      <c r="G71" s="2198"/>
      <c r="H71" s="3287"/>
      <c r="I71" s="3287"/>
      <c r="J71" s="3287"/>
      <c r="K71" s="3287"/>
      <c r="L71" s="3287"/>
      <c r="M71" s="3287"/>
      <c r="N71" s="3287"/>
      <c r="O71" s="3287"/>
      <c r="P71" s="3287"/>
      <c r="Q71" s="3287"/>
      <c r="R71" s="3287"/>
      <c r="S71" s="3287"/>
    </row>
    <row r="72" spans="1:19" s="57" customFormat="1" ht="15.5" thickTop="1" thickBot="1" x14ac:dyDescent="0.4">
      <c r="A72" s="3764" t="s">
        <v>724</v>
      </c>
      <c r="B72" s="3765"/>
      <c r="C72" s="12"/>
      <c r="D72" s="12"/>
      <c r="E72" s="12"/>
      <c r="F72" s="12"/>
      <c r="G72" s="13"/>
      <c r="H72" s="21"/>
      <c r="I72" s="21"/>
      <c r="J72" s="21"/>
      <c r="K72" s="21"/>
      <c r="L72" s="21"/>
      <c r="M72" s="21"/>
      <c r="N72" s="21"/>
      <c r="O72" s="21"/>
      <c r="P72" s="21"/>
      <c r="Q72" s="21"/>
      <c r="R72" s="21"/>
      <c r="S72" s="21"/>
    </row>
    <row r="73" spans="1:19" ht="15" thickTop="1" x14ac:dyDescent="0.35">
      <c r="A73" s="3454"/>
      <c r="B73" s="3455"/>
      <c r="C73" s="3510"/>
      <c r="D73" s="3510"/>
      <c r="E73" s="3510"/>
      <c r="F73" s="3510"/>
      <c r="G73" s="3452"/>
      <c r="H73" s="3453"/>
      <c r="I73" s="3453"/>
      <c r="J73" s="3453"/>
      <c r="K73" s="3453"/>
      <c r="L73" s="3453"/>
      <c r="M73" s="3453"/>
      <c r="N73" s="3453"/>
      <c r="O73" s="3453"/>
      <c r="P73" s="3453"/>
      <c r="Q73" s="3453"/>
      <c r="R73" s="3453"/>
      <c r="S73" s="3453"/>
    </row>
    <row r="74" spans="1:19" x14ac:dyDescent="0.35">
      <c r="A74" s="3285"/>
      <c r="B74" s="3286"/>
      <c r="C74" s="3307"/>
      <c r="D74" s="3307"/>
      <c r="E74" s="3307"/>
      <c r="F74" s="3307"/>
      <c r="G74" s="2198"/>
      <c r="H74" s="3289"/>
      <c r="I74" s="3289"/>
      <c r="J74" s="3289"/>
      <c r="K74" s="3289"/>
      <c r="L74" s="3289"/>
      <c r="M74" s="3289"/>
      <c r="N74" s="3289"/>
      <c r="O74" s="3289"/>
      <c r="P74" s="3289"/>
      <c r="Q74" s="3289"/>
      <c r="R74" s="3289"/>
      <c r="S74" s="3289"/>
    </row>
    <row r="75" spans="1:19" ht="15" thickBot="1" x14ac:dyDescent="0.4">
      <c r="A75" s="3285"/>
      <c r="B75" s="3286"/>
      <c r="C75" s="3307"/>
      <c r="D75" s="3307"/>
      <c r="E75" s="3307"/>
      <c r="F75" s="3307"/>
      <c r="G75" s="2198"/>
      <c r="H75" s="3289"/>
      <c r="I75" s="3289"/>
      <c r="J75" s="3289"/>
      <c r="K75" s="3289"/>
      <c r="L75" s="3289"/>
      <c r="M75" s="3289"/>
      <c r="N75" s="3289"/>
      <c r="O75" s="3289"/>
      <c r="P75" s="3289"/>
      <c r="Q75" s="3289"/>
      <c r="R75" s="3289"/>
      <c r="S75" s="3289"/>
    </row>
    <row r="76" spans="1:19" ht="15.5" thickTop="1" thickBot="1" x14ac:dyDescent="0.4">
      <c r="A76" s="3764" t="s">
        <v>725</v>
      </c>
      <c r="B76" s="3765"/>
      <c r="C76" s="12"/>
      <c r="D76" s="12"/>
      <c r="E76" s="12"/>
      <c r="F76" s="12"/>
      <c r="G76" s="13"/>
      <c r="H76" s="21"/>
      <c r="I76" s="21"/>
      <c r="J76" s="21"/>
      <c r="K76" s="21"/>
      <c r="L76" s="21"/>
      <c r="M76" s="21"/>
      <c r="N76" s="21"/>
      <c r="O76" s="21"/>
      <c r="P76" s="21"/>
      <c r="Q76" s="21"/>
      <c r="R76" s="21"/>
      <c r="S76" s="21"/>
    </row>
    <row r="77" spans="1:19" ht="15" thickTop="1" x14ac:dyDescent="0.35">
      <c r="A77" s="3310"/>
      <c r="B77" s="3306" t="s">
        <v>726</v>
      </c>
      <c r="C77" s="3307"/>
      <c r="D77" s="3307"/>
      <c r="E77" s="3307"/>
      <c r="F77" s="3307"/>
      <c r="G77" s="2198"/>
      <c r="H77" s="3289"/>
      <c r="I77" s="3289"/>
      <c r="J77" s="3289"/>
      <c r="K77" s="3289"/>
      <c r="L77" s="3289"/>
      <c r="M77" s="3289"/>
      <c r="N77" s="3289"/>
      <c r="O77" s="3289"/>
      <c r="P77" s="3289"/>
      <c r="Q77" s="3289"/>
      <c r="R77" s="3289"/>
      <c r="S77" s="3289"/>
    </row>
    <row r="78" spans="1:19" x14ac:dyDescent="0.35">
      <c r="A78" s="3310"/>
      <c r="B78" s="3306" t="s">
        <v>727</v>
      </c>
      <c r="C78" s="3307"/>
      <c r="D78" s="3307"/>
      <c r="E78" s="3307"/>
      <c r="F78" s="3307"/>
      <c r="G78" s="2198"/>
      <c r="H78" s="3289"/>
      <c r="I78" s="3289"/>
      <c r="J78" s="3289"/>
      <c r="K78" s="3289"/>
      <c r="L78" s="3289"/>
      <c r="M78" s="3289"/>
      <c r="N78" s="3289"/>
      <c r="O78" s="3289"/>
      <c r="P78" s="3289"/>
      <c r="Q78" s="3289"/>
      <c r="R78" s="3289"/>
      <c r="S78" s="3289"/>
    </row>
    <row r="79" spans="1:19" x14ac:dyDescent="0.35">
      <c r="A79" s="3310"/>
      <c r="B79" s="3306" t="s">
        <v>728</v>
      </c>
      <c r="C79" s="3307"/>
      <c r="D79" s="3307"/>
      <c r="E79" s="3307"/>
      <c r="F79" s="3307"/>
      <c r="G79" s="2198"/>
      <c r="H79" s="3289"/>
      <c r="I79" s="3289"/>
      <c r="J79" s="3289"/>
      <c r="K79" s="3289"/>
      <c r="L79" s="3289"/>
      <c r="M79" s="3289"/>
      <c r="N79" s="3289"/>
      <c r="O79" s="3289"/>
      <c r="P79" s="3289"/>
      <c r="Q79" s="3289"/>
      <c r="R79" s="3289"/>
      <c r="S79" s="3289"/>
    </row>
    <row r="80" spans="1:19" x14ac:dyDescent="0.35">
      <c r="A80" s="3310"/>
      <c r="B80" s="3306" t="s">
        <v>729</v>
      </c>
      <c r="C80" s="3307"/>
      <c r="D80" s="3307"/>
      <c r="E80" s="3307"/>
      <c r="F80" s="3307"/>
      <c r="G80" s="2198"/>
      <c r="H80" s="3289"/>
      <c r="I80" s="3289"/>
      <c r="J80" s="3289"/>
      <c r="K80" s="3289"/>
      <c r="L80" s="3289"/>
      <c r="M80" s="3289"/>
      <c r="N80" s="3289"/>
      <c r="O80" s="3289"/>
      <c r="P80" s="3289"/>
      <c r="Q80" s="3289"/>
      <c r="R80" s="3289"/>
      <c r="S80" s="3289"/>
    </row>
    <row r="81" spans="1:19" ht="15" thickBot="1" x14ac:dyDescent="0.4">
      <c r="A81" s="978"/>
      <c r="B81" s="939"/>
      <c r="C81" s="940"/>
      <c r="D81" s="940"/>
      <c r="E81" s="940"/>
      <c r="F81" s="940"/>
      <c r="G81" s="1039"/>
      <c r="H81" s="981"/>
      <c r="I81" s="981"/>
      <c r="J81" s="981"/>
      <c r="K81" s="981"/>
      <c r="L81" s="981"/>
      <c r="M81" s="981"/>
      <c r="N81" s="981"/>
      <c r="O81" s="981"/>
      <c r="P81" s="981"/>
      <c r="Q81" s="981"/>
      <c r="R81" s="981"/>
      <c r="S81" s="981"/>
    </row>
    <row r="82" spans="1:19" ht="15.5" thickTop="1" thickBot="1" x14ac:dyDescent="0.4">
      <c r="A82" s="7" t="s">
        <v>730</v>
      </c>
      <c r="B82" s="8"/>
      <c r="C82" s="12"/>
      <c r="D82" s="12"/>
      <c r="E82" s="12"/>
      <c r="F82" s="12"/>
      <c r="G82" s="13"/>
      <c r="H82" s="21"/>
      <c r="I82" s="21"/>
      <c r="J82" s="21"/>
      <c r="K82" s="21"/>
      <c r="L82" s="21"/>
      <c r="M82" s="21"/>
      <c r="N82" s="21"/>
      <c r="O82" s="21"/>
      <c r="P82" s="21"/>
      <c r="Q82" s="21"/>
      <c r="R82" s="21"/>
      <c r="S82" s="21"/>
    </row>
    <row r="83" spans="1:19" ht="15" thickTop="1" x14ac:dyDescent="0.35">
      <c r="A83" s="3451"/>
      <c r="B83" s="3456" t="s">
        <v>731</v>
      </c>
      <c r="C83" s="3510"/>
      <c r="D83" s="3510"/>
      <c r="E83" s="3510"/>
      <c r="F83" s="3510"/>
      <c r="G83" s="3452"/>
      <c r="H83" s="3457"/>
      <c r="I83" s="3457"/>
      <c r="J83" s="3457"/>
      <c r="K83" s="3457"/>
      <c r="L83" s="3457"/>
      <c r="M83" s="3457"/>
      <c r="N83" s="3457"/>
      <c r="O83" s="3457"/>
      <c r="P83" s="3457"/>
      <c r="Q83" s="3457"/>
      <c r="R83" s="3457"/>
      <c r="S83" s="3457"/>
    </row>
    <row r="84" spans="1:19" x14ac:dyDescent="0.35">
      <c r="A84" s="3310"/>
      <c r="B84" s="3306" t="s">
        <v>732</v>
      </c>
      <c r="C84" s="3307"/>
      <c r="D84" s="3307"/>
      <c r="E84" s="3307"/>
      <c r="F84" s="3307"/>
      <c r="G84" s="2198"/>
      <c r="H84" s="3290"/>
      <c r="I84" s="3290"/>
      <c r="J84" s="3290"/>
      <c r="K84" s="3290"/>
      <c r="L84" s="3290"/>
      <c r="M84" s="3290"/>
      <c r="N84" s="3290"/>
      <c r="O84" s="3290"/>
      <c r="P84" s="3290"/>
      <c r="Q84" s="3290"/>
      <c r="R84" s="3290"/>
      <c r="S84" s="3290"/>
    </row>
    <row r="85" spans="1:19" ht="15" thickBot="1" x14ac:dyDescent="0.4">
      <c r="A85" s="3291"/>
      <c r="B85" s="3292" t="s">
        <v>733</v>
      </c>
      <c r="C85" s="3293"/>
      <c r="D85" s="3293"/>
      <c r="E85" s="3293"/>
      <c r="F85" s="3293"/>
      <c r="G85" s="3360"/>
      <c r="H85" s="3297"/>
      <c r="I85" s="3297"/>
      <c r="J85" s="3297"/>
      <c r="K85" s="3297"/>
      <c r="L85" s="3297"/>
      <c r="M85" s="3297"/>
      <c r="N85" s="3297"/>
      <c r="O85" s="3297"/>
      <c r="P85" s="3297"/>
      <c r="Q85" s="3297"/>
      <c r="R85" s="3297"/>
      <c r="S85" s="3297"/>
    </row>
    <row r="86" spans="1:19" ht="15.5" thickTop="1" thickBot="1" x14ac:dyDescent="0.4">
      <c r="A86"/>
      <c r="B86" s="1"/>
      <c r="C86" s="2"/>
      <c r="D86" s="2"/>
      <c r="E86" s="2"/>
      <c r="F86" s="2"/>
      <c r="G86" s="2"/>
      <c r="H86" s="2"/>
      <c r="I86" s="2"/>
      <c r="J86" s="2"/>
      <c r="K86" s="2"/>
      <c r="L86" s="2"/>
      <c r="M86" s="2"/>
      <c r="N86" s="2"/>
      <c r="O86" s="2"/>
      <c r="P86" s="2"/>
      <c r="Q86" s="2"/>
      <c r="R86" s="2"/>
      <c r="S86" s="2"/>
    </row>
    <row r="87" spans="1:19" ht="15.5" thickTop="1" thickBot="1" x14ac:dyDescent="0.4">
      <c r="A87" s="78" t="s">
        <v>734</v>
      </c>
      <c r="B87" s="80"/>
      <c r="C87" s="2"/>
      <c r="D87" s="2"/>
      <c r="E87" s="2"/>
      <c r="F87" s="2"/>
      <c r="G87" s="2"/>
      <c r="H87" s="2"/>
      <c r="I87" s="2"/>
      <c r="J87" s="2"/>
      <c r="K87" s="2"/>
      <c r="L87" s="2"/>
      <c r="M87" s="2"/>
      <c r="N87" s="2"/>
      <c r="O87" s="2"/>
      <c r="P87" s="2"/>
      <c r="Q87" s="2"/>
      <c r="R87" s="2"/>
      <c r="S87" s="2"/>
    </row>
    <row r="88" spans="1:19" ht="15.5" thickTop="1" thickBot="1" x14ac:dyDescent="0.4">
      <c r="A88" s="79" t="s">
        <v>632</v>
      </c>
      <c r="B88" s="80"/>
      <c r="C88" s="2"/>
      <c r="D88" s="2"/>
      <c r="E88" s="2"/>
      <c r="F88" s="2"/>
      <c r="G88" s="2"/>
      <c r="H88" s="2"/>
      <c r="I88" s="2"/>
      <c r="J88" s="2"/>
      <c r="K88" s="2"/>
      <c r="L88" s="2"/>
      <c r="M88" s="2"/>
      <c r="N88" s="2"/>
      <c r="O88" s="2"/>
      <c r="P88" s="2"/>
      <c r="Q88" s="2"/>
      <c r="R88" s="2"/>
      <c r="S88" s="2"/>
    </row>
    <row r="89" spans="1:19" ht="15" thickTop="1" x14ac:dyDescent="0.35">
      <c r="A89" s="3299" t="s">
        <v>636</v>
      </c>
      <c r="B89" s="3298"/>
      <c r="C89" s="2"/>
      <c r="D89" s="2"/>
      <c r="E89" s="2"/>
      <c r="F89" s="2"/>
      <c r="G89" s="2"/>
      <c r="H89" s="2"/>
      <c r="I89" s="2"/>
      <c r="J89" s="2"/>
      <c r="K89" s="2"/>
      <c r="L89" s="2"/>
      <c r="M89" s="2"/>
      <c r="N89" s="2"/>
      <c r="O89" s="2"/>
      <c r="P89" s="2"/>
      <c r="Q89" s="2"/>
      <c r="R89" s="2"/>
      <c r="S89" s="2"/>
    </row>
    <row r="90" spans="1:19" x14ac:dyDescent="0.35">
      <c r="A90" s="3301" t="s">
        <v>639</v>
      </c>
      <c r="B90" s="3300"/>
      <c r="C90" s="2"/>
      <c r="D90" s="2"/>
      <c r="E90" s="2"/>
      <c r="F90" s="2"/>
      <c r="G90" s="2"/>
      <c r="H90" s="2"/>
      <c r="I90" s="2"/>
      <c r="J90" s="2"/>
      <c r="K90" s="2"/>
      <c r="L90" s="2"/>
      <c r="M90" s="2"/>
      <c r="N90" s="2"/>
      <c r="O90" s="2"/>
      <c r="P90" s="2"/>
      <c r="Q90" s="2"/>
      <c r="R90" s="2"/>
      <c r="S90" s="2"/>
    </row>
    <row r="91" spans="1:19" x14ac:dyDescent="0.35">
      <c r="A91" s="3301" t="s">
        <v>642</v>
      </c>
      <c r="B91" s="3302"/>
      <c r="C91" s="2"/>
      <c r="D91" s="2"/>
      <c r="E91" s="2"/>
      <c r="F91" s="2"/>
      <c r="G91" s="2"/>
      <c r="H91" s="2"/>
      <c r="I91" s="2"/>
      <c r="J91" s="2"/>
      <c r="K91" s="2"/>
      <c r="L91" s="2"/>
      <c r="M91" s="2"/>
      <c r="N91" s="2"/>
      <c r="O91" s="2"/>
      <c r="P91" s="2"/>
      <c r="Q91" s="2"/>
      <c r="R91" s="2"/>
      <c r="S91" s="2"/>
    </row>
    <row r="92" spans="1:19" ht="15" thickBot="1" x14ac:dyDescent="0.4">
      <c r="A92" s="3303" t="s">
        <v>735</v>
      </c>
      <c r="B92" s="3304"/>
      <c r="C92" s="2"/>
      <c r="D92" s="2"/>
      <c r="E92" s="2"/>
      <c r="F92" s="2"/>
      <c r="G92" s="2"/>
      <c r="H92" s="2"/>
      <c r="I92" s="2"/>
      <c r="J92" s="2"/>
      <c r="K92" s="2"/>
      <c r="L92" s="2"/>
      <c r="M92" s="2"/>
      <c r="N92" s="2"/>
      <c r="O92" s="2"/>
      <c r="P92" s="2"/>
      <c r="Q92" s="2"/>
      <c r="R92" s="2"/>
      <c r="S92" s="2"/>
    </row>
    <row r="93" spans="1:19" ht="15" thickTop="1" x14ac:dyDescent="0.35">
      <c r="A93"/>
      <c r="B93" s="1"/>
      <c r="C93" s="2"/>
      <c r="D93" s="2"/>
      <c r="E93" s="2"/>
      <c r="F93" s="2"/>
      <c r="G93" s="2"/>
      <c r="H93" s="2"/>
      <c r="I93" s="2"/>
      <c r="J93" s="2"/>
      <c r="K93" s="2"/>
      <c r="L93" s="2"/>
      <c r="M93" s="2"/>
      <c r="N93" s="2"/>
      <c r="O93" s="2"/>
      <c r="P93" s="2"/>
      <c r="Q93" s="2"/>
      <c r="R93" s="2"/>
      <c r="S93" s="2"/>
    </row>
    <row r="94" spans="1:19" x14ac:dyDescent="0.35">
      <c r="A94" s="81"/>
      <c r="B94" s="1" t="s">
        <v>736</v>
      </c>
      <c r="C94" s="2"/>
      <c r="D94" s="2"/>
      <c r="E94" s="2"/>
      <c r="F94" s="2"/>
      <c r="G94" s="2"/>
      <c r="H94" s="2"/>
      <c r="I94" s="2"/>
      <c r="J94" s="2"/>
      <c r="K94" s="2"/>
      <c r="L94" s="2"/>
      <c r="M94" s="2"/>
      <c r="N94" s="2"/>
      <c r="O94" s="2"/>
      <c r="P94" s="2"/>
      <c r="Q94" s="2"/>
      <c r="R94" s="2"/>
      <c r="S94" s="2"/>
    </row>
    <row r="95" spans="1:19" x14ac:dyDescent="0.35">
      <c r="A95" s="82"/>
      <c r="B95" s="1" t="s">
        <v>737</v>
      </c>
      <c r="C95" s="2"/>
      <c r="D95" s="2"/>
      <c r="E95" s="2"/>
      <c r="F95" s="2"/>
      <c r="G95" s="2"/>
      <c r="H95" s="2"/>
      <c r="I95" s="2"/>
      <c r="J95" s="2"/>
      <c r="K95" s="2"/>
      <c r="L95" s="2"/>
      <c r="M95" s="2"/>
      <c r="N95" s="2"/>
      <c r="O95" s="2"/>
      <c r="P95" s="2"/>
      <c r="Q95" s="2"/>
      <c r="R95" s="2"/>
      <c r="S95" s="2"/>
    </row>
  </sheetData>
  <mergeCells count="47">
    <mergeCell ref="N8:O8"/>
    <mergeCell ref="P8:Q8"/>
    <mergeCell ref="R8:S8"/>
    <mergeCell ref="N4:O4"/>
    <mergeCell ref="N5:O5"/>
    <mergeCell ref="N6:O6"/>
    <mergeCell ref="N7:O7"/>
    <mergeCell ref="P4:Q4"/>
    <mergeCell ref="P5:Q5"/>
    <mergeCell ref="P6:Q6"/>
    <mergeCell ref="P7:Q7"/>
    <mergeCell ref="R4:S4"/>
    <mergeCell ref="R5:S5"/>
    <mergeCell ref="R6:S6"/>
    <mergeCell ref="R7:S7"/>
    <mergeCell ref="A60:B60"/>
    <mergeCell ref="A64:B64"/>
    <mergeCell ref="A68:B68"/>
    <mergeCell ref="A72:B72"/>
    <mergeCell ref="A76:B76"/>
    <mergeCell ref="H8:I8"/>
    <mergeCell ref="J8:K8"/>
    <mergeCell ref="L8:M8"/>
    <mergeCell ref="H6:I6"/>
    <mergeCell ref="J6:K6"/>
    <mergeCell ref="L6:M6"/>
    <mergeCell ref="H7:I7"/>
    <mergeCell ref="J7:K7"/>
    <mergeCell ref="L7:M7"/>
    <mergeCell ref="H4:I4"/>
    <mergeCell ref="J4:K4"/>
    <mergeCell ref="L4:M4"/>
    <mergeCell ref="H5:I5"/>
    <mergeCell ref="J5:K5"/>
    <mergeCell ref="L5:M5"/>
    <mergeCell ref="R3:S3"/>
    <mergeCell ref="H2:I2"/>
    <mergeCell ref="J2:K2"/>
    <mergeCell ref="L2:M2"/>
    <mergeCell ref="N2:O2"/>
    <mergeCell ref="P2:Q2"/>
    <mergeCell ref="R2:S2"/>
    <mergeCell ref="H3:I3"/>
    <mergeCell ref="J3:K3"/>
    <mergeCell ref="L3:M3"/>
    <mergeCell ref="N3:O3"/>
    <mergeCell ref="P3:Q3"/>
  </mergeCells>
  <conditionalFormatting sqref="H23:H31">
    <cfRule type="cellIs" dxfId="23" priority="23" operator="equal">
      <formula>"X"</formula>
    </cfRule>
    <cfRule type="cellIs" dxfId="22" priority="24" operator="equal">
      <formula>"I"</formula>
    </cfRule>
  </conditionalFormatting>
  <conditionalFormatting sqref="H33:H51">
    <cfRule type="cellIs" dxfId="21" priority="1" operator="equal">
      <formula>"X"</formula>
    </cfRule>
    <cfRule type="cellIs" dxfId="20" priority="2" operator="equal">
      <formula>"I"</formula>
    </cfRule>
  </conditionalFormatting>
  <conditionalFormatting sqref="J23:J31">
    <cfRule type="cellIs" dxfId="19" priority="21" operator="equal">
      <formula>"X"</formula>
    </cfRule>
    <cfRule type="cellIs" dxfId="18" priority="22" operator="equal">
      <formula>"I"</formula>
    </cfRule>
  </conditionalFormatting>
  <conditionalFormatting sqref="J33:J51">
    <cfRule type="cellIs" dxfId="17" priority="3" operator="equal">
      <formula>"X"</formula>
    </cfRule>
    <cfRule type="cellIs" dxfId="16" priority="4" operator="equal">
      <formula>"I"</formula>
    </cfRule>
  </conditionalFormatting>
  <conditionalFormatting sqref="L23:L31">
    <cfRule type="cellIs" dxfId="15" priority="19" operator="equal">
      <formula>"X"</formula>
    </cfRule>
    <cfRule type="cellIs" dxfId="14" priority="20" operator="equal">
      <formula>"I"</formula>
    </cfRule>
  </conditionalFormatting>
  <conditionalFormatting sqref="L33:L51">
    <cfRule type="cellIs" dxfId="13" priority="5" operator="equal">
      <formula>"X"</formula>
    </cfRule>
    <cfRule type="cellIs" dxfId="12" priority="6" operator="equal">
      <formula>"I"</formula>
    </cfRule>
  </conditionalFormatting>
  <conditionalFormatting sqref="N23:N31">
    <cfRule type="cellIs" dxfId="11" priority="17" operator="equal">
      <formula>"X"</formula>
    </cfRule>
    <cfRule type="cellIs" dxfId="10" priority="18" operator="equal">
      <formula>"I"</formula>
    </cfRule>
  </conditionalFormatting>
  <conditionalFormatting sqref="N33:N51">
    <cfRule type="cellIs" dxfId="9" priority="7" operator="equal">
      <formula>"X"</formula>
    </cfRule>
    <cfRule type="cellIs" dxfId="8" priority="8" operator="equal">
      <formula>"I"</formula>
    </cfRule>
  </conditionalFormatting>
  <conditionalFormatting sqref="P23:P31">
    <cfRule type="cellIs" dxfId="7" priority="15" operator="equal">
      <formula>"X"</formula>
    </cfRule>
    <cfRule type="cellIs" dxfId="6" priority="16" operator="equal">
      <formula>"I"</formula>
    </cfRule>
  </conditionalFormatting>
  <conditionalFormatting sqref="P33:P51">
    <cfRule type="cellIs" dxfId="5" priority="9" operator="equal">
      <formula>"X"</formula>
    </cfRule>
    <cfRule type="cellIs" dxfId="4" priority="10" operator="equal">
      <formula>"I"</formula>
    </cfRule>
  </conditionalFormatting>
  <conditionalFormatting sqref="R23:R31">
    <cfRule type="cellIs" dxfId="3" priority="13" operator="equal">
      <formula>"X"</formula>
    </cfRule>
    <cfRule type="cellIs" dxfId="2" priority="14" operator="equal">
      <formula>"I"</formula>
    </cfRule>
  </conditionalFormatting>
  <conditionalFormatting sqref="R33:R51">
    <cfRule type="cellIs" dxfId="1" priority="11" operator="equal">
      <formula>"X"</formula>
    </cfRule>
    <cfRule type="cellIs" dxfId="0" priority="12" operator="equal">
      <formula>"I"</formula>
    </cfRule>
  </conditionalFormatting>
  <hyperlinks>
    <hyperlink ref="B3" location="'Cost Summary'!A1" display="BACK TO SUMMARY SHEET" xr:uid="{E1500767-1754-45BD-AC48-DC0ABD6062CE}"/>
  </hyperlinks>
  <pageMargins left="0.7" right="0.7" top="0.75" bottom="0.75" header="0.3" footer="0.3"/>
  <pageSetup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717-7ED9-4DF9-8627-C95B6C913AF4}">
  <dimension ref="A1:AH118"/>
  <sheetViews>
    <sheetView zoomScale="85" zoomScaleNormal="85" workbookViewId="0">
      <pane xSplit="2" ySplit="9" topLeftCell="C56" activePane="bottomRight" state="frozen"/>
      <selection pane="topRight" activeCell="C1" sqref="C1"/>
      <selection pane="bottomLeft" activeCell="A10" sqref="A10"/>
      <selection pane="bottomRight" activeCell="I74" sqref="I74:I75"/>
    </sheetView>
  </sheetViews>
  <sheetFormatPr defaultRowHeight="14.5" x14ac:dyDescent="0.35"/>
  <cols>
    <col min="1" max="1" width="11" customWidth="1"/>
    <col min="2" max="2" width="70.7265625" style="1" customWidth="1"/>
    <col min="3" max="3" width="10.81640625" style="2" bestFit="1" customWidth="1"/>
    <col min="4" max="5" width="7.54296875" style="2" customWidth="1"/>
    <col min="6" max="6" width="16.54296875" style="2" bestFit="1" customWidth="1"/>
    <col min="7" max="7" width="12.26953125" style="2" customWidth="1"/>
    <col min="8" max="8" width="7.453125" style="2" bestFit="1" customWidth="1"/>
    <col min="9" max="9" width="14.81640625" style="2" customWidth="1"/>
    <col min="10" max="10" width="7.453125" style="2" bestFit="1" customWidth="1"/>
    <col min="11" max="11" width="14.81640625" style="2" customWidth="1"/>
    <col min="12" max="12" width="7.453125" style="2" bestFit="1" customWidth="1"/>
    <col min="13" max="13" width="14.81640625" style="2" customWidth="1"/>
    <col min="14" max="14" width="7.453125" style="2" bestFit="1" customWidth="1"/>
    <col min="15" max="15" width="14.81640625" style="2" customWidth="1"/>
    <col min="16" max="16" width="7.453125" style="2" bestFit="1" customWidth="1"/>
    <col min="17" max="17" width="14.81640625" style="2" customWidth="1"/>
    <col min="18" max="18" width="7.453125" style="2" bestFit="1" customWidth="1"/>
    <col min="19" max="19" width="14.81640625" style="2" customWidth="1"/>
  </cols>
  <sheetData>
    <row r="1" spans="1:19" x14ac:dyDescent="0.35">
      <c r="F1" s="125"/>
      <c r="G1" s="123" t="s">
        <v>621</v>
      </c>
    </row>
    <row r="2" spans="1:19" ht="15" thickBot="1" x14ac:dyDescent="0.4">
      <c r="E2" s="87"/>
      <c r="F2" s="122"/>
      <c r="G2" s="123" t="s">
        <v>451</v>
      </c>
      <c r="H2" s="3751"/>
      <c r="I2" s="3751"/>
      <c r="J2" s="3751"/>
      <c r="K2" s="3751"/>
      <c r="L2" s="3751"/>
      <c r="M2" s="3751"/>
      <c r="N2" s="3751"/>
      <c r="O2" s="3751"/>
      <c r="P2" s="3751"/>
      <c r="Q2" s="3751"/>
      <c r="R2" s="3751"/>
      <c r="S2" s="3751"/>
    </row>
    <row r="3" spans="1:19" ht="20" thickBot="1" x14ac:dyDescent="0.4">
      <c r="B3" s="137" t="s">
        <v>623</v>
      </c>
      <c r="F3" s="124"/>
      <c r="G3" s="123" t="s">
        <v>557</v>
      </c>
      <c r="H3" s="3754" t="s">
        <v>625</v>
      </c>
      <c r="I3" s="3755"/>
      <c r="J3" s="3754" t="s">
        <v>626</v>
      </c>
      <c r="K3" s="3755"/>
      <c r="L3" s="3754" t="s">
        <v>627</v>
      </c>
      <c r="M3" s="3755"/>
      <c r="N3" s="3754" t="s">
        <v>628</v>
      </c>
      <c r="O3" s="3755"/>
      <c r="P3" s="3754" t="s">
        <v>629</v>
      </c>
      <c r="Q3" s="3755"/>
      <c r="R3" s="3754" t="s">
        <v>630</v>
      </c>
      <c r="S3" s="3755"/>
    </row>
    <row r="4" spans="1:19" ht="15" thickTop="1" x14ac:dyDescent="0.35">
      <c r="A4" s="3" t="s">
        <v>631</v>
      </c>
      <c r="B4" s="4" t="e">
        <f>#REF!</f>
        <v>#REF!</v>
      </c>
      <c r="C4" s="5"/>
      <c r="D4" s="5"/>
      <c r="E4" s="5"/>
      <c r="F4" s="5"/>
      <c r="G4" s="6" t="s">
        <v>632</v>
      </c>
      <c r="H4" s="3752"/>
      <c r="I4" s="3753"/>
      <c r="J4" s="3752"/>
      <c r="K4" s="3753"/>
      <c r="L4" s="3752"/>
      <c r="M4" s="3753"/>
      <c r="N4" s="3752"/>
      <c r="O4" s="3753"/>
      <c r="P4" s="3752"/>
      <c r="Q4" s="3753"/>
      <c r="R4" s="3752"/>
      <c r="S4" s="3753"/>
    </row>
    <row r="5" spans="1:19" x14ac:dyDescent="0.35">
      <c r="A5" s="3305" t="s">
        <v>634</v>
      </c>
      <c r="B5" s="3306" t="s">
        <v>4109</v>
      </c>
      <c r="C5" s="3307"/>
      <c r="D5" s="3307"/>
      <c r="E5" s="3307"/>
      <c r="F5" s="3307"/>
      <c r="G5" s="2194" t="s">
        <v>636</v>
      </c>
      <c r="H5" s="4009"/>
      <c r="I5" s="3932"/>
      <c r="J5" s="4009"/>
      <c r="K5" s="3932"/>
      <c r="L5" s="4009"/>
      <c r="M5" s="3932"/>
      <c r="N5" s="4009"/>
      <c r="O5" s="3932"/>
      <c r="P5" s="4009"/>
      <c r="Q5" s="3932"/>
      <c r="R5" s="4009"/>
      <c r="S5" s="3932"/>
    </row>
    <row r="6" spans="1:19" x14ac:dyDescent="0.35">
      <c r="A6" s="3305" t="s">
        <v>638</v>
      </c>
      <c r="B6" s="3308" t="s">
        <v>4110</v>
      </c>
      <c r="C6" s="3307"/>
      <c r="D6" s="3307"/>
      <c r="E6" s="3307"/>
      <c r="F6" s="3307"/>
      <c r="G6" s="3518" t="s">
        <v>639</v>
      </c>
      <c r="H6" s="4008"/>
      <c r="I6" s="3938"/>
      <c r="J6" s="4008"/>
      <c r="K6" s="3938"/>
      <c r="L6" s="4008"/>
      <c r="M6" s="3938"/>
      <c r="N6" s="4008"/>
      <c r="O6" s="3938"/>
      <c r="P6" s="4008"/>
      <c r="Q6" s="3938"/>
      <c r="R6" s="4008"/>
      <c r="S6" s="3938"/>
    </row>
    <row r="7" spans="1:19" x14ac:dyDescent="0.35">
      <c r="A7" s="3305" t="s">
        <v>641</v>
      </c>
      <c r="B7" s="3309"/>
      <c r="C7" s="3307"/>
      <c r="D7" s="3307"/>
      <c r="E7" s="3307"/>
      <c r="F7" s="3307"/>
      <c r="G7" s="3518" t="s">
        <v>642</v>
      </c>
      <c r="H7" s="4019"/>
      <c r="I7" s="3935"/>
      <c r="J7" s="4019"/>
      <c r="K7" s="3935"/>
      <c r="L7" s="4019"/>
      <c r="M7" s="3935"/>
      <c r="N7" s="4019"/>
      <c r="O7" s="3935"/>
      <c r="P7" s="4019"/>
      <c r="Q7" s="3935"/>
      <c r="R7" s="4019"/>
      <c r="S7" s="3935"/>
    </row>
    <row r="8" spans="1:19" ht="15" thickBot="1" x14ac:dyDescent="0.4">
      <c r="A8" s="938" t="s">
        <v>644</v>
      </c>
      <c r="B8" s="939"/>
      <c r="C8" s="940"/>
      <c r="D8" s="940"/>
      <c r="E8" s="940"/>
      <c r="F8" s="940"/>
      <c r="G8" s="938" t="s">
        <v>644</v>
      </c>
      <c r="H8" s="4012">
        <f>I73</f>
        <v>0</v>
      </c>
      <c r="I8" s="4013"/>
      <c r="J8" s="4012">
        <f>K73</f>
        <v>0</v>
      </c>
      <c r="K8" s="4013"/>
      <c r="L8" s="4012">
        <f>M73</f>
        <v>0</v>
      </c>
      <c r="M8" s="4013"/>
      <c r="N8" s="4012">
        <f>O73</f>
        <v>0</v>
      </c>
      <c r="O8" s="4013"/>
      <c r="P8" s="4012">
        <f>Q73</f>
        <v>0</v>
      </c>
      <c r="Q8" s="4013"/>
      <c r="R8" s="4012">
        <f>S73</f>
        <v>0</v>
      </c>
      <c r="S8" s="4013"/>
    </row>
    <row r="9" spans="1:19" ht="30" thickTop="1" thickBot="1" x14ac:dyDescent="0.4">
      <c r="A9" s="7" t="s">
        <v>645</v>
      </c>
      <c r="B9" s="8"/>
      <c r="C9" s="9" t="s">
        <v>646</v>
      </c>
      <c r="D9" s="9" t="s">
        <v>647</v>
      </c>
      <c r="E9" s="9" t="s">
        <v>648</v>
      </c>
      <c r="F9" s="9" t="s">
        <v>649</v>
      </c>
      <c r="G9" s="10" t="s">
        <v>650</v>
      </c>
      <c r="H9" s="11" t="s">
        <v>651</v>
      </c>
      <c r="I9" s="11" t="s">
        <v>652</v>
      </c>
      <c r="J9" s="11" t="s">
        <v>651</v>
      </c>
      <c r="K9" s="11" t="s">
        <v>652</v>
      </c>
      <c r="L9" s="11" t="s">
        <v>651</v>
      </c>
      <c r="M9" s="11" t="s">
        <v>652</v>
      </c>
      <c r="N9" s="11" t="s">
        <v>651</v>
      </c>
      <c r="O9" s="11" t="s">
        <v>652</v>
      </c>
      <c r="P9" s="11" t="s">
        <v>651</v>
      </c>
      <c r="Q9" s="11" t="s">
        <v>652</v>
      </c>
      <c r="R9" s="11" t="s">
        <v>651</v>
      </c>
      <c r="S9" s="11" t="s">
        <v>652</v>
      </c>
    </row>
    <row r="10" spans="1:19" ht="15" hidden="1" thickTop="1" x14ac:dyDescent="0.35">
      <c r="A10" s="3310"/>
      <c r="B10" s="3464" t="s">
        <v>653</v>
      </c>
      <c r="C10" s="3307"/>
      <c r="D10" s="3307"/>
      <c r="E10" s="3307"/>
      <c r="F10" s="3307"/>
      <c r="G10" s="2198"/>
      <c r="H10" s="3311"/>
      <c r="I10" s="3311"/>
      <c r="J10" s="3311"/>
      <c r="K10" s="3311"/>
      <c r="L10" s="3311"/>
      <c r="M10" s="3311"/>
      <c r="N10" s="3311"/>
      <c r="O10" s="3311"/>
      <c r="P10" s="3311"/>
      <c r="Q10" s="3311"/>
      <c r="R10" s="3311"/>
      <c r="S10" s="3311"/>
    </row>
    <row r="11" spans="1:19" ht="15" hidden="1" thickTop="1" x14ac:dyDescent="0.35">
      <c r="A11" s="3310"/>
      <c r="B11" s="3306" t="e">
        <f>#REF!</f>
        <v>#REF!</v>
      </c>
      <c r="C11" s="3312" t="s">
        <v>654</v>
      </c>
      <c r="D11" s="3307"/>
      <c r="E11" s="3307"/>
      <c r="F11" s="3307"/>
      <c r="G11" s="2198"/>
      <c r="H11" s="3311"/>
      <c r="I11" s="3311"/>
      <c r="J11" s="3311"/>
      <c r="K11" s="3311"/>
      <c r="L11" s="3311"/>
      <c r="M11" s="3311"/>
      <c r="N11" s="3311"/>
      <c r="O11" s="3311"/>
      <c r="P11" s="3311"/>
      <c r="Q11" s="3311"/>
      <c r="R11" s="3311"/>
      <c r="S11" s="3311"/>
    </row>
    <row r="12" spans="1:19" ht="15" hidden="1" thickTop="1" x14ac:dyDescent="0.35">
      <c r="A12" s="3310"/>
      <c r="B12" s="3306" t="e">
        <f>#REF!</f>
        <v>#REF!</v>
      </c>
      <c r="C12" s="3312" t="s">
        <v>654</v>
      </c>
      <c r="D12" s="3307"/>
      <c r="E12" s="3307"/>
      <c r="F12" s="3307"/>
      <c r="G12" s="2198"/>
      <c r="H12" s="3311"/>
      <c r="I12" s="3311"/>
      <c r="J12" s="3311"/>
      <c r="K12" s="3311"/>
      <c r="L12" s="3311"/>
      <c r="M12" s="3311"/>
      <c r="N12" s="3311"/>
      <c r="O12" s="3311"/>
      <c r="P12" s="3311"/>
      <c r="Q12" s="3311"/>
      <c r="R12" s="3311"/>
      <c r="S12" s="3311"/>
    </row>
    <row r="13" spans="1:19" ht="15" hidden="1" thickTop="1" x14ac:dyDescent="0.35">
      <c r="A13" s="3310"/>
      <c r="B13" s="3306" t="e">
        <f>#REF!</f>
        <v>#REF!</v>
      </c>
      <c r="C13" s="3312" t="s">
        <v>654</v>
      </c>
      <c r="D13" s="3307"/>
      <c r="E13" s="3307"/>
      <c r="F13" s="3307"/>
      <c r="G13" s="2198"/>
      <c r="H13" s="3311"/>
      <c r="I13" s="3311"/>
      <c r="J13" s="3311"/>
      <c r="K13" s="3311"/>
      <c r="L13" s="3311"/>
      <c r="M13" s="3311"/>
      <c r="N13" s="3311"/>
      <c r="O13" s="3311"/>
      <c r="P13" s="3311"/>
      <c r="Q13" s="3311"/>
      <c r="R13" s="3311"/>
      <c r="S13" s="3311"/>
    </row>
    <row r="14" spans="1:19" ht="15" hidden="1" thickTop="1" x14ac:dyDescent="0.35">
      <c r="A14" s="3310"/>
      <c r="B14" s="3306" t="e">
        <f>#REF!</f>
        <v>#REF!</v>
      </c>
      <c r="C14" s="3312" t="s">
        <v>654</v>
      </c>
      <c r="D14" s="3307"/>
      <c r="E14" s="3307"/>
      <c r="F14" s="3307"/>
      <c r="G14" s="2198"/>
      <c r="H14" s="3311"/>
      <c r="I14" s="3311"/>
      <c r="J14" s="3311"/>
      <c r="K14" s="3311"/>
      <c r="L14" s="3311"/>
      <c r="M14" s="3311"/>
      <c r="N14" s="3311"/>
      <c r="O14" s="3311"/>
      <c r="P14" s="3311"/>
      <c r="Q14" s="3311"/>
      <c r="R14" s="3311"/>
      <c r="S14" s="3311"/>
    </row>
    <row r="15" spans="1:19" ht="15" hidden="1" thickTop="1" x14ac:dyDescent="0.35">
      <c r="A15" s="3310"/>
      <c r="B15" s="3306" t="e">
        <f>#REF!</f>
        <v>#REF!</v>
      </c>
      <c r="C15" s="3312" t="s">
        <v>654</v>
      </c>
      <c r="D15" s="3307"/>
      <c r="E15" s="3307"/>
      <c r="F15" s="3307"/>
      <c r="G15" s="2198"/>
      <c r="H15" s="3311"/>
      <c r="I15" s="3311"/>
      <c r="J15" s="3311"/>
      <c r="K15" s="3311"/>
      <c r="L15" s="3311"/>
      <c r="M15" s="3311"/>
      <c r="N15" s="3311"/>
      <c r="O15" s="3311"/>
      <c r="P15" s="3311"/>
      <c r="Q15" s="3311"/>
      <c r="R15" s="3311"/>
      <c r="S15" s="3311"/>
    </row>
    <row r="16" spans="1:19" ht="15" hidden="1" thickTop="1" x14ac:dyDescent="0.35">
      <c r="A16" s="3310"/>
      <c r="B16" s="3306" t="e">
        <f>#REF!</f>
        <v>#REF!</v>
      </c>
      <c r="C16" s="3312" t="s">
        <v>654</v>
      </c>
      <c r="D16" s="3307"/>
      <c r="E16" s="3307"/>
      <c r="F16" s="3307"/>
      <c r="G16" s="2198"/>
      <c r="H16" s="3311"/>
      <c r="I16" s="3311"/>
      <c r="J16" s="3311"/>
      <c r="K16" s="3311"/>
      <c r="L16" s="3311"/>
      <c r="M16" s="3311"/>
      <c r="N16" s="3311"/>
      <c r="O16" s="3311"/>
      <c r="P16" s="3311"/>
      <c r="Q16" s="3311"/>
      <c r="R16" s="3311"/>
      <c r="S16" s="3311"/>
    </row>
    <row r="17" spans="1:19" ht="15" hidden="1" thickTop="1" x14ac:dyDescent="0.35">
      <c r="A17" s="3310"/>
      <c r="B17" s="3306" t="e">
        <f>#REF!</f>
        <v>#REF!</v>
      </c>
      <c r="C17" s="3312" t="s">
        <v>654</v>
      </c>
      <c r="D17" s="3307"/>
      <c r="E17" s="3307"/>
      <c r="F17" s="3307"/>
      <c r="G17" s="2198"/>
      <c r="H17" s="3311"/>
      <c r="I17" s="3311"/>
      <c r="J17" s="3311"/>
      <c r="K17" s="3311"/>
      <c r="L17" s="3311"/>
      <c r="M17" s="3311"/>
      <c r="N17" s="3311"/>
      <c r="O17" s="3311"/>
      <c r="P17" s="3311"/>
      <c r="Q17" s="3311"/>
      <c r="R17" s="3311"/>
      <c r="S17" s="3311"/>
    </row>
    <row r="18" spans="1:19" ht="15" hidden="1" thickTop="1" x14ac:dyDescent="0.35">
      <c r="A18" s="3310"/>
      <c r="B18" s="3306" t="e">
        <f>#REF!</f>
        <v>#REF!</v>
      </c>
      <c r="C18" s="3312" t="s">
        <v>654</v>
      </c>
      <c r="D18" s="3307"/>
      <c r="E18" s="3307"/>
      <c r="F18" s="3307"/>
      <c r="G18" s="2198"/>
      <c r="H18" s="3311"/>
      <c r="I18" s="3311"/>
      <c r="J18" s="3311"/>
      <c r="K18" s="3311"/>
      <c r="L18" s="3311"/>
      <c r="M18" s="3311"/>
      <c r="N18" s="3311"/>
      <c r="O18" s="3311"/>
      <c r="P18" s="3311"/>
      <c r="Q18" s="3311"/>
      <c r="R18" s="3311"/>
      <c r="S18" s="3311"/>
    </row>
    <row r="19" spans="1:19" ht="15" hidden="1" thickTop="1" x14ac:dyDescent="0.35">
      <c r="A19" s="3310"/>
      <c r="B19" s="3306" t="e">
        <f>#REF!</f>
        <v>#REF!</v>
      </c>
      <c r="C19" s="3312" t="s">
        <v>654</v>
      </c>
      <c r="D19" s="3307"/>
      <c r="E19" s="3307"/>
      <c r="F19" s="3307"/>
      <c r="G19" s="2198"/>
      <c r="H19" s="3311"/>
      <c r="I19" s="3311"/>
      <c r="J19" s="3311"/>
      <c r="K19" s="3311"/>
      <c r="L19" s="3311"/>
      <c r="M19" s="3311"/>
      <c r="N19" s="3311"/>
      <c r="O19" s="3311"/>
      <c r="P19" s="3311"/>
      <c r="Q19" s="3311"/>
      <c r="R19" s="3311"/>
      <c r="S19" s="3311"/>
    </row>
    <row r="20" spans="1:19" ht="15" thickTop="1" x14ac:dyDescent="0.35">
      <c r="A20" s="3310"/>
      <c r="B20" s="3306"/>
      <c r="C20" s="3312"/>
      <c r="D20" s="3307"/>
      <c r="E20" s="3307"/>
      <c r="F20" s="3307"/>
      <c r="G20" s="2198"/>
      <c r="H20" s="3311"/>
      <c r="I20" s="3311"/>
      <c r="J20" s="3311"/>
      <c r="K20" s="3311"/>
      <c r="L20" s="3311"/>
      <c r="M20" s="3311"/>
      <c r="N20" s="3311"/>
      <c r="O20" s="3311"/>
      <c r="P20" s="3311"/>
      <c r="Q20" s="3311"/>
      <c r="R20" s="3311"/>
      <c r="S20" s="3311"/>
    </row>
    <row r="21" spans="1:19" ht="15" thickBot="1" x14ac:dyDescent="0.4">
      <c r="A21" s="3471"/>
      <c r="B21" s="3314" t="s">
        <v>4111</v>
      </c>
      <c r="C21" s="3312"/>
      <c r="D21" s="3307"/>
      <c r="E21" s="3307"/>
      <c r="F21" s="3307"/>
      <c r="G21" s="2198"/>
      <c r="H21" s="3393"/>
      <c r="I21" s="3472"/>
      <c r="J21" s="3473"/>
      <c r="K21" s="3473"/>
      <c r="L21" s="3393"/>
      <c r="M21" s="3473"/>
      <c r="N21" s="3393"/>
      <c r="O21" s="3473"/>
      <c r="P21" s="3393"/>
      <c r="Q21" s="3473"/>
      <c r="R21" s="3393"/>
      <c r="S21" s="3473"/>
    </row>
    <row r="22" spans="1:19" ht="16" hidden="1" thickBot="1" x14ac:dyDescent="0.4">
      <c r="A22" s="3471"/>
      <c r="B22" s="3519" t="s">
        <v>656</v>
      </c>
      <c r="C22" s="3312"/>
      <c r="D22" s="3307"/>
      <c r="E22" s="3307"/>
      <c r="F22" s="3307"/>
      <c r="G22" s="2198"/>
      <c r="H22" s="3393"/>
      <c r="I22" s="3472"/>
      <c r="J22" s="3473"/>
      <c r="K22" s="3473"/>
      <c r="L22" s="3393"/>
      <c r="M22" s="3473"/>
      <c r="N22" s="3393"/>
      <c r="O22" s="3473"/>
      <c r="P22" s="3393"/>
      <c r="Q22" s="3473"/>
      <c r="R22" s="3393"/>
      <c r="S22" s="3473"/>
    </row>
    <row r="23" spans="1:19" ht="16" thickBot="1" x14ac:dyDescent="0.4">
      <c r="A23" s="3520"/>
      <c r="B23" s="602" t="s">
        <v>657</v>
      </c>
      <c r="C23" s="3253"/>
      <c r="D23" s="3307"/>
      <c r="E23" s="3307"/>
      <c r="F23" s="3307"/>
      <c r="G23" s="2198"/>
      <c r="H23" s="3393"/>
      <c r="I23" s="3472"/>
      <c r="J23" s="3393"/>
      <c r="K23" s="83"/>
      <c r="L23" s="3393"/>
      <c r="M23" s="3473"/>
      <c r="N23" s="3393"/>
      <c r="O23" s="3473"/>
      <c r="P23" s="3393"/>
      <c r="Q23" s="3473"/>
      <c r="R23" s="3393"/>
      <c r="S23" s="3473"/>
    </row>
    <row r="24" spans="1:19" x14ac:dyDescent="0.35">
      <c r="A24" s="3471"/>
      <c r="B24" s="3521" t="s">
        <v>658</v>
      </c>
      <c r="C24" s="3312"/>
      <c r="D24" s="3307"/>
      <c r="E24" s="3307"/>
      <c r="F24" s="3307"/>
      <c r="G24" s="2198"/>
      <c r="H24" s="3393"/>
      <c r="I24" s="3472"/>
      <c r="J24" s="3393"/>
      <c r="K24" s="3473"/>
      <c r="L24" s="3393"/>
      <c r="M24" s="3473"/>
      <c r="N24" s="3393"/>
      <c r="O24" s="3473"/>
      <c r="P24" s="3393"/>
      <c r="Q24" s="3473"/>
      <c r="R24" s="3393"/>
      <c r="S24" s="3473"/>
    </row>
    <row r="25" spans="1:19" x14ac:dyDescent="0.35">
      <c r="A25" s="3263"/>
      <c r="B25" s="3522" t="s">
        <v>659</v>
      </c>
      <c r="C25" s="3312"/>
      <c r="D25" s="3307"/>
      <c r="E25" s="3307"/>
      <c r="F25" s="3307"/>
      <c r="G25" s="2198"/>
      <c r="H25" s="3393"/>
      <c r="I25" s="3472"/>
      <c r="J25" s="3393"/>
      <c r="K25" s="3473"/>
      <c r="L25" s="3393"/>
      <c r="M25" s="3473"/>
      <c r="N25" s="3393"/>
      <c r="O25" s="3473"/>
      <c r="P25" s="3393"/>
      <c r="Q25" s="3473"/>
      <c r="R25" s="3393"/>
      <c r="S25" s="3473"/>
    </row>
    <row r="26" spans="1:19" x14ac:dyDescent="0.35">
      <c r="A26" s="3263"/>
      <c r="B26" s="3523" t="s">
        <v>660</v>
      </c>
      <c r="C26" s="3312"/>
      <c r="D26" s="3307"/>
      <c r="E26" s="3307"/>
      <c r="F26" s="3307"/>
      <c r="G26" s="2198"/>
      <c r="H26" s="3393"/>
      <c r="I26" s="3472"/>
      <c r="J26" s="3393"/>
      <c r="K26" s="3473"/>
      <c r="L26" s="3393"/>
      <c r="M26" s="3473"/>
      <c r="N26" s="3393"/>
      <c r="O26" s="3473"/>
      <c r="P26" s="3393"/>
      <c r="Q26" s="3473"/>
      <c r="R26" s="3393"/>
      <c r="S26" s="3473"/>
    </row>
    <row r="27" spans="1:19" x14ac:dyDescent="0.35">
      <c r="A27" s="3263"/>
      <c r="B27" s="3523" t="s">
        <v>661</v>
      </c>
      <c r="C27" s="3312"/>
      <c r="D27" s="3307"/>
      <c r="E27" s="3307"/>
      <c r="F27" s="3307"/>
      <c r="G27" s="2198"/>
      <c r="H27" s="3393"/>
      <c r="I27" s="3472"/>
      <c r="J27" s="3393"/>
      <c r="K27" s="3472"/>
      <c r="L27" s="3393"/>
      <c r="M27" s="3472"/>
      <c r="N27" s="3393"/>
      <c r="O27" s="3472"/>
      <c r="P27" s="3393"/>
      <c r="Q27" s="3472"/>
      <c r="R27" s="3393"/>
      <c r="S27" s="3472"/>
    </row>
    <row r="28" spans="1:19" x14ac:dyDescent="0.35">
      <c r="A28" s="3263"/>
      <c r="B28" s="3523" t="s">
        <v>662</v>
      </c>
      <c r="C28" s="3312"/>
      <c r="D28" s="3307"/>
      <c r="E28" s="3307"/>
      <c r="F28" s="3307"/>
      <c r="G28" s="2198"/>
      <c r="H28" s="3393"/>
      <c r="I28" s="3472"/>
      <c r="J28" s="3393"/>
      <c r="K28" s="3473"/>
      <c r="L28" s="3393"/>
      <c r="M28" s="3473"/>
      <c r="N28" s="3393"/>
      <c r="O28" s="3473"/>
      <c r="P28" s="3393"/>
      <c r="Q28" s="3473"/>
      <c r="R28" s="3393"/>
      <c r="S28" s="3473"/>
    </row>
    <row r="29" spans="1:19" x14ac:dyDescent="0.35">
      <c r="A29" s="3263"/>
      <c r="B29" s="3523" t="s">
        <v>663</v>
      </c>
      <c r="C29" s="3312"/>
      <c r="D29" s="3307"/>
      <c r="E29" s="3307"/>
      <c r="F29" s="3399"/>
      <c r="G29" s="2198"/>
      <c r="H29" s="3393"/>
      <c r="I29" s="3472"/>
      <c r="J29" s="3393"/>
      <c r="K29" s="3473"/>
      <c r="L29" s="3393"/>
      <c r="M29" s="3473"/>
      <c r="N29" s="3393"/>
      <c r="O29" s="3473"/>
      <c r="P29" s="3393"/>
      <c r="Q29" s="3473"/>
      <c r="R29" s="3393"/>
      <c r="S29" s="3473"/>
    </row>
    <row r="30" spans="1:19" x14ac:dyDescent="0.35">
      <c r="A30" s="3263"/>
      <c r="B30" s="3524" t="s">
        <v>664</v>
      </c>
      <c r="C30" s="3312"/>
      <c r="D30" s="3307"/>
      <c r="E30" s="3307"/>
      <c r="F30" s="3399"/>
      <c r="G30" s="2198"/>
      <c r="H30" s="3393"/>
      <c r="I30" s="3472"/>
      <c r="J30" s="3393"/>
      <c r="K30" s="3473"/>
      <c r="L30" s="3393"/>
      <c r="M30" s="3473"/>
      <c r="N30" s="3393"/>
      <c r="O30" s="3473"/>
      <c r="P30" s="3393"/>
      <c r="Q30" s="3473"/>
      <c r="R30" s="3393"/>
      <c r="S30" s="3473"/>
    </row>
    <row r="31" spans="1:19" x14ac:dyDescent="0.35">
      <c r="A31" s="3263"/>
      <c r="B31" s="3525" t="s">
        <v>665</v>
      </c>
      <c r="C31" s="3526"/>
      <c r="D31" s="3247"/>
      <c r="E31" s="3247"/>
      <c r="F31" s="3247"/>
      <c r="G31" s="3527"/>
      <c r="H31" s="3528"/>
      <c r="I31" s="3528"/>
      <c r="J31" s="3528"/>
      <c r="K31" s="3528"/>
      <c r="L31" s="3529"/>
      <c r="M31" s="3530"/>
      <c r="N31" s="3528"/>
      <c r="O31" s="3528"/>
      <c r="P31" s="3528"/>
      <c r="Q31" s="3528"/>
      <c r="R31" s="3250"/>
      <c r="S31" s="3530"/>
    </row>
    <row r="32" spans="1:19" x14ac:dyDescent="0.35">
      <c r="A32" s="3263"/>
      <c r="B32" s="3531"/>
      <c r="C32" s="3312"/>
      <c r="D32" s="3307"/>
      <c r="E32" s="3307"/>
      <c r="F32" s="3399"/>
      <c r="G32" s="2198"/>
      <c r="H32" s="3393"/>
      <c r="I32" s="3472"/>
      <c r="J32" s="3393"/>
      <c r="K32" s="3473"/>
      <c r="L32" s="3393"/>
      <c r="M32" s="3473"/>
      <c r="N32" s="3393"/>
      <c r="O32" s="3473"/>
      <c r="P32" s="3393"/>
      <c r="Q32" s="3473"/>
      <c r="R32" s="3393"/>
      <c r="S32" s="3473"/>
    </row>
    <row r="33" spans="1:19" ht="15.5" x14ac:dyDescent="0.35">
      <c r="A33" s="3263"/>
      <c r="B33" s="3532" t="s">
        <v>4112</v>
      </c>
      <c r="C33" s="3312"/>
      <c r="D33" s="3533">
        <v>1</v>
      </c>
      <c r="E33" s="3307" t="s">
        <v>4113</v>
      </c>
      <c r="F33" s="3399">
        <v>49418.3</v>
      </c>
      <c r="G33" s="2198"/>
      <c r="H33" s="3393"/>
      <c r="I33" s="3472"/>
      <c r="J33" s="3393"/>
      <c r="K33" s="3473"/>
      <c r="L33" s="3393"/>
      <c r="M33" s="3473"/>
      <c r="N33" s="3393"/>
      <c r="O33" s="3473"/>
      <c r="P33" s="3393"/>
      <c r="Q33" s="3473"/>
      <c r="R33" s="3393"/>
      <c r="S33" s="3473"/>
    </row>
    <row r="34" spans="1:19" x14ac:dyDescent="0.35">
      <c r="A34" s="3263"/>
      <c r="B34" s="3534" t="s">
        <v>4114</v>
      </c>
      <c r="C34" s="3312"/>
      <c r="D34" s="3307"/>
      <c r="E34" s="3307"/>
      <c r="F34" s="3399"/>
      <c r="G34" s="2198"/>
      <c r="H34" s="3393"/>
      <c r="I34" s="3472"/>
      <c r="J34" s="3393"/>
      <c r="K34" s="3473"/>
      <c r="L34" s="3393"/>
      <c r="M34" s="3473"/>
      <c r="N34" s="3393"/>
      <c r="O34" s="3473"/>
      <c r="P34" s="3393"/>
      <c r="Q34" s="3473"/>
      <c r="R34" s="3393"/>
      <c r="S34" s="3473"/>
    </row>
    <row r="35" spans="1:19" x14ac:dyDescent="0.35">
      <c r="A35" s="3263"/>
      <c r="B35" s="3534" t="s">
        <v>4115</v>
      </c>
      <c r="C35" s="3535"/>
      <c r="D35" s="3535"/>
      <c r="E35" s="3307"/>
      <c r="F35" s="3399"/>
      <c r="G35" s="2198"/>
      <c r="H35" s="3393"/>
      <c r="I35" s="3472"/>
      <c r="J35" s="3393"/>
      <c r="K35" s="3473"/>
      <c r="L35" s="3393"/>
      <c r="M35" s="3472"/>
      <c r="N35" s="3393"/>
      <c r="O35" s="3472"/>
      <c r="P35" s="3393"/>
      <c r="Q35" s="3473"/>
      <c r="R35" s="3393"/>
      <c r="S35" s="3473"/>
    </row>
    <row r="36" spans="1:19" x14ac:dyDescent="0.35">
      <c r="A36" s="3263"/>
      <c r="B36" s="3534" t="s">
        <v>4116</v>
      </c>
      <c r="C36" s="3535"/>
      <c r="D36" s="3535"/>
      <c r="E36" s="3307"/>
      <c r="F36" s="3399"/>
      <c r="G36" s="2198"/>
      <c r="H36" s="3393"/>
      <c r="I36" s="3472"/>
      <c r="J36" s="3393"/>
      <c r="K36" s="3473"/>
      <c r="L36" s="3393"/>
      <c r="M36" s="3473"/>
      <c r="N36" s="3393"/>
      <c r="O36" s="3473"/>
      <c r="P36" s="3393"/>
      <c r="Q36" s="3473"/>
      <c r="R36" s="3393"/>
      <c r="S36" s="3473"/>
    </row>
    <row r="37" spans="1:19" x14ac:dyDescent="0.35">
      <c r="A37" s="3263"/>
      <c r="B37" s="3536" t="s">
        <v>4117</v>
      </c>
      <c r="C37" s="3535"/>
      <c r="D37" s="3535"/>
      <c r="E37" s="3307"/>
      <c r="F37" s="3399"/>
      <c r="G37" s="2198"/>
      <c r="H37" s="3393"/>
      <c r="I37" s="3472"/>
      <c r="J37" s="3393"/>
      <c r="K37" s="3473"/>
      <c r="L37" s="3393"/>
      <c r="M37" s="3473"/>
      <c r="N37" s="3393"/>
      <c r="O37" s="3473"/>
      <c r="P37" s="3393"/>
      <c r="Q37" s="3473"/>
      <c r="R37" s="3393"/>
      <c r="S37" s="3473"/>
    </row>
    <row r="38" spans="1:19" x14ac:dyDescent="0.35">
      <c r="A38" s="3263"/>
      <c r="B38" s="3534" t="s">
        <v>4118</v>
      </c>
      <c r="C38" s="3535"/>
      <c r="D38" s="3535"/>
      <c r="E38" s="3307"/>
      <c r="F38" s="3399"/>
      <c r="G38" s="2198"/>
      <c r="H38" s="3393"/>
      <c r="I38" s="3472"/>
      <c r="J38" s="3393"/>
      <c r="K38" s="3473"/>
      <c r="L38" s="3393"/>
      <c r="M38" s="3473"/>
      <c r="N38" s="3393"/>
      <c r="O38" s="3473"/>
      <c r="P38" s="3393"/>
      <c r="Q38" s="3473"/>
      <c r="R38" s="3393"/>
      <c r="S38" s="3473"/>
    </row>
    <row r="39" spans="1:19" x14ac:dyDescent="0.35">
      <c r="A39" s="3263"/>
      <c r="B39" s="3536" t="s">
        <v>4119</v>
      </c>
      <c r="C39" s="3535"/>
      <c r="D39" s="3535"/>
      <c r="E39" s="3307"/>
      <c r="F39" s="3399"/>
      <c r="G39" s="2198"/>
      <c r="H39" s="3393"/>
      <c r="I39" s="3472"/>
      <c r="J39" s="3393"/>
      <c r="K39" s="3473"/>
      <c r="L39" s="3393"/>
      <c r="M39" s="3473"/>
      <c r="N39" s="3393"/>
      <c r="O39" s="3473"/>
      <c r="P39" s="3393"/>
      <c r="Q39" s="3473"/>
      <c r="R39" s="3393"/>
      <c r="S39" s="3473"/>
    </row>
    <row r="40" spans="1:19" x14ac:dyDescent="0.35">
      <c r="A40" s="3263"/>
      <c r="B40" s="3537"/>
      <c r="C40" s="3535"/>
      <c r="D40" s="3535"/>
      <c r="E40" s="3307"/>
      <c r="F40" s="3399"/>
      <c r="G40" s="2198"/>
      <c r="H40" s="3393"/>
      <c r="I40" s="3472"/>
      <c r="J40" s="3393"/>
      <c r="K40" s="3473"/>
      <c r="L40" s="3393"/>
      <c r="M40" s="3473"/>
      <c r="N40" s="3393"/>
      <c r="O40" s="3473"/>
      <c r="P40" s="3393"/>
      <c r="Q40" s="3473"/>
      <c r="R40" s="3393"/>
      <c r="S40" s="3473"/>
    </row>
    <row r="41" spans="1:19" ht="15.5" x14ac:dyDescent="0.35">
      <c r="A41" s="3263"/>
      <c r="B41" s="3532" t="s">
        <v>4112</v>
      </c>
      <c r="C41" s="3535"/>
      <c r="D41" s="3535">
        <v>1</v>
      </c>
      <c r="E41" s="3307" t="s">
        <v>4113</v>
      </c>
      <c r="F41" s="3399">
        <v>50298.3</v>
      </c>
      <c r="G41" s="2198"/>
      <c r="H41" s="3393"/>
      <c r="I41" s="3472"/>
      <c r="J41" s="3393"/>
      <c r="K41" s="3473"/>
      <c r="L41" s="3393"/>
      <c r="M41" s="3473"/>
      <c r="N41" s="3393"/>
      <c r="O41" s="3473"/>
      <c r="P41" s="3393"/>
      <c r="Q41" s="3473"/>
      <c r="R41" s="3393"/>
      <c r="S41" s="3473"/>
    </row>
    <row r="42" spans="1:19" x14ac:dyDescent="0.35">
      <c r="A42" s="3263"/>
      <c r="B42" s="3534" t="s">
        <v>4114</v>
      </c>
      <c r="C42" s="3535"/>
      <c r="D42" s="3535"/>
      <c r="E42" s="3307"/>
      <c r="F42" s="3399"/>
      <c r="G42" s="2198"/>
      <c r="H42" s="3393"/>
      <c r="I42" s="3472"/>
      <c r="J42" s="3393"/>
      <c r="K42" s="3473"/>
      <c r="L42" s="3393"/>
      <c r="M42" s="3473"/>
      <c r="N42" s="3393"/>
      <c r="O42" s="3473"/>
      <c r="P42" s="3393"/>
      <c r="Q42" s="3473"/>
      <c r="R42" s="3393"/>
      <c r="S42" s="3473"/>
    </row>
    <row r="43" spans="1:19" x14ac:dyDescent="0.35">
      <c r="A43" s="3263"/>
      <c r="B43" s="3534" t="s">
        <v>4115</v>
      </c>
      <c r="C43" s="3535"/>
      <c r="D43" s="3535"/>
      <c r="E43" s="3307"/>
      <c r="F43" s="3399"/>
      <c r="G43" s="2198"/>
      <c r="H43" s="3393"/>
      <c r="I43" s="3472"/>
      <c r="J43" s="3393"/>
      <c r="K43" s="3473"/>
      <c r="L43" s="3393"/>
      <c r="M43" s="3473"/>
      <c r="N43" s="3393"/>
      <c r="O43" s="3473"/>
      <c r="P43" s="3393"/>
      <c r="Q43" s="3473"/>
      <c r="R43" s="3393"/>
      <c r="S43" s="3473"/>
    </row>
    <row r="44" spans="1:19" x14ac:dyDescent="0.35">
      <c r="A44" s="3263"/>
      <c r="B44" s="3534" t="s">
        <v>4120</v>
      </c>
      <c r="C44" s="3535"/>
      <c r="D44" s="3535"/>
      <c r="E44" s="3307"/>
      <c r="F44" s="3399"/>
      <c r="G44" s="2198"/>
      <c r="H44" s="3393"/>
      <c r="I44" s="3472"/>
      <c r="J44" s="3393"/>
      <c r="K44" s="3473"/>
      <c r="L44" s="3393"/>
      <c r="M44" s="3473"/>
      <c r="N44" s="3393"/>
      <c r="O44" s="3473"/>
      <c r="P44" s="3393"/>
      <c r="Q44" s="3473"/>
      <c r="R44" s="3393"/>
      <c r="S44" s="3473"/>
    </row>
    <row r="45" spans="1:19" x14ac:dyDescent="0.35">
      <c r="A45" s="3263"/>
      <c r="B45" s="3536" t="s">
        <v>4117</v>
      </c>
      <c r="C45" s="3535"/>
      <c r="D45" s="3535"/>
      <c r="E45" s="3307"/>
      <c r="F45" s="3399"/>
      <c r="G45" s="2198"/>
      <c r="H45" s="3393"/>
      <c r="I45" s="3472"/>
      <c r="J45" s="3393"/>
      <c r="K45" s="3473"/>
      <c r="L45" s="3393"/>
      <c r="M45" s="3473"/>
      <c r="N45" s="3393"/>
      <c r="O45" s="3473"/>
      <c r="P45" s="3393"/>
      <c r="Q45" s="3473"/>
      <c r="R45" s="3393"/>
      <c r="S45" s="3473"/>
    </row>
    <row r="46" spans="1:19" x14ac:dyDescent="0.35">
      <c r="A46" s="3263"/>
      <c r="B46" s="3534" t="s">
        <v>4118</v>
      </c>
      <c r="C46" s="3535"/>
      <c r="D46" s="3535"/>
      <c r="E46" s="3307"/>
      <c r="F46" s="3399"/>
      <c r="G46" s="2198"/>
      <c r="H46" s="3393"/>
      <c r="I46" s="3472"/>
      <c r="J46" s="3393"/>
      <c r="K46" s="3473"/>
      <c r="L46" s="3393"/>
      <c r="M46" s="3473"/>
      <c r="N46" s="3393"/>
      <c r="O46" s="3473"/>
      <c r="P46" s="3393"/>
      <c r="Q46" s="3473"/>
      <c r="R46" s="3393"/>
      <c r="S46" s="3473"/>
    </row>
    <row r="47" spans="1:19" x14ac:dyDescent="0.35">
      <c r="A47" s="3263"/>
      <c r="B47" s="3536" t="s">
        <v>4121</v>
      </c>
      <c r="C47" s="3535"/>
      <c r="D47" s="3535"/>
      <c r="E47" s="3307"/>
      <c r="F47" s="3307"/>
      <c r="G47" s="2198"/>
      <c r="H47" s="3393"/>
      <c r="I47" s="3472"/>
      <c r="J47" s="3393"/>
      <c r="K47" s="3473"/>
      <c r="L47" s="3393"/>
      <c r="M47" s="3473"/>
      <c r="N47" s="3393"/>
      <c r="O47" s="3473"/>
      <c r="P47" s="3393"/>
      <c r="Q47" s="3473"/>
      <c r="R47" s="3393"/>
      <c r="S47" s="3473"/>
    </row>
    <row r="48" spans="1:19" x14ac:dyDescent="0.35">
      <c r="A48" s="3263"/>
      <c r="B48" s="3538"/>
      <c r="C48" s="3535"/>
      <c r="D48" s="3535"/>
      <c r="E48" s="3307"/>
      <c r="F48" s="3307"/>
      <c r="G48" s="2198"/>
      <c r="H48" s="3393"/>
      <c r="I48" s="3472"/>
      <c r="J48" s="3393"/>
      <c r="K48" s="3473"/>
      <c r="L48" s="3393"/>
      <c r="M48" s="3473"/>
      <c r="N48" s="3393"/>
      <c r="O48" s="3473"/>
      <c r="P48" s="3393"/>
      <c r="Q48" s="3473"/>
      <c r="R48" s="3393"/>
      <c r="S48" s="3473"/>
    </row>
    <row r="49" spans="1:19" ht="15.5" x14ac:dyDescent="0.35">
      <c r="A49" s="3263"/>
      <c r="B49" s="3532" t="s">
        <v>4112</v>
      </c>
      <c r="C49" s="3312"/>
      <c r="D49" s="3535">
        <v>1</v>
      </c>
      <c r="E49" s="3307" t="s">
        <v>4113</v>
      </c>
      <c r="F49" s="3399">
        <v>52852</v>
      </c>
      <c r="G49" s="2198"/>
      <c r="H49" s="3393"/>
      <c r="I49" s="3472"/>
      <c r="J49" s="3393"/>
      <c r="K49" s="3473"/>
      <c r="L49" s="3393"/>
      <c r="M49" s="3473"/>
      <c r="N49" s="3393"/>
      <c r="O49" s="3473"/>
      <c r="P49" s="3393"/>
      <c r="Q49" s="3472"/>
      <c r="R49" s="3393"/>
      <c r="S49" s="3472"/>
    </row>
    <row r="50" spans="1:19" x14ac:dyDescent="0.35">
      <c r="A50" s="3263"/>
      <c r="B50" s="3534" t="s">
        <v>4122</v>
      </c>
      <c r="C50" s="3312"/>
      <c r="D50" s="3307"/>
      <c r="E50" s="3307"/>
      <c r="F50" s="3307"/>
      <c r="G50" s="2198"/>
      <c r="H50" s="3393"/>
      <c r="I50" s="3472"/>
      <c r="J50" s="3393"/>
      <c r="K50" s="3473"/>
      <c r="L50" s="3393"/>
      <c r="M50" s="3473"/>
      <c r="N50" s="3393"/>
      <c r="O50" s="3473"/>
      <c r="P50" s="3393"/>
      <c r="Q50" s="3473"/>
      <c r="R50" s="3393"/>
      <c r="S50" s="3473"/>
    </row>
    <row r="51" spans="1:19" x14ac:dyDescent="0.35">
      <c r="A51" s="3263"/>
      <c r="B51" s="3534" t="s">
        <v>4115</v>
      </c>
      <c r="C51" s="3312"/>
      <c r="D51" s="3307"/>
      <c r="E51" s="3307"/>
      <c r="F51" s="3399"/>
      <c r="G51" s="2198"/>
      <c r="H51" s="3393"/>
      <c r="I51" s="3472"/>
      <c r="J51" s="3393"/>
      <c r="K51" s="3473"/>
      <c r="L51" s="3393"/>
      <c r="M51" s="3473"/>
      <c r="N51" s="3393"/>
      <c r="O51" s="3473"/>
      <c r="P51" s="3393"/>
      <c r="Q51" s="3473"/>
      <c r="R51" s="3393"/>
      <c r="S51" s="3473"/>
    </row>
    <row r="52" spans="1:19" x14ac:dyDescent="0.35">
      <c r="A52" s="3263"/>
      <c r="B52" s="3534" t="s">
        <v>4123</v>
      </c>
      <c r="C52" s="3312"/>
      <c r="D52" s="3307"/>
      <c r="E52" s="3307"/>
      <c r="F52" s="3399"/>
      <c r="G52" s="2198"/>
      <c r="H52" s="3393"/>
      <c r="I52" s="3472"/>
      <c r="J52" s="3393"/>
      <c r="K52" s="3473"/>
      <c r="L52" s="3393"/>
      <c r="M52" s="3473"/>
      <c r="N52" s="3393"/>
      <c r="O52" s="3473"/>
      <c r="P52" s="3393"/>
      <c r="Q52" s="3473"/>
      <c r="R52" s="3393"/>
      <c r="S52" s="3473"/>
    </row>
    <row r="53" spans="1:19" x14ac:dyDescent="0.35">
      <c r="A53" s="3263"/>
      <c r="B53" s="3536" t="s">
        <v>4124</v>
      </c>
      <c r="C53" s="3312"/>
      <c r="D53" s="3307"/>
      <c r="E53" s="3307"/>
      <c r="F53" s="3399"/>
      <c r="G53" s="2198"/>
      <c r="H53" s="3393"/>
      <c r="I53" s="3472"/>
      <c r="J53" s="3393"/>
      <c r="K53" s="3473"/>
      <c r="L53" s="3393"/>
      <c r="M53" s="3473"/>
      <c r="N53" s="3393"/>
      <c r="O53" s="3473"/>
      <c r="P53" s="3393"/>
      <c r="Q53" s="3473"/>
      <c r="R53" s="3393"/>
      <c r="S53" s="3473"/>
    </row>
    <row r="54" spans="1:19" x14ac:dyDescent="0.35">
      <c r="A54" s="3263"/>
      <c r="B54" s="3534" t="s">
        <v>4125</v>
      </c>
      <c r="C54" s="3312"/>
      <c r="D54" s="3307"/>
      <c r="E54" s="3307"/>
      <c r="F54" s="3399"/>
      <c r="G54" s="2198"/>
      <c r="H54" s="3393"/>
      <c r="I54" s="3472"/>
      <c r="J54" s="3393"/>
      <c r="K54" s="3473"/>
      <c r="L54" s="3393"/>
      <c r="M54" s="3473"/>
      <c r="N54" s="3393"/>
      <c r="O54" s="3473"/>
      <c r="P54" s="3393"/>
      <c r="Q54" s="3473"/>
      <c r="R54" s="3393"/>
      <c r="S54" s="3473"/>
    </row>
    <row r="55" spans="1:19" x14ac:dyDescent="0.35">
      <c r="A55" s="3263"/>
      <c r="B55" s="3536" t="s">
        <v>4126</v>
      </c>
      <c r="C55" s="3312"/>
      <c r="D55" s="3307"/>
      <c r="E55" s="3307"/>
      <c r="F55" s="3399"/>
      <c r="G55" s="2198"/>
      <c r="H55" s="3393"/>
      <c r="I55" s="3472"/>
      <c r="J55" s="3393"/>
      <c r="K55" s="3473"/>
      <c r="L55" s="3393"/>
      <c r="M55" s="3473"/>
      <c r="N55" s="3393"/>
      <c r="O55" s="3473"/>
      <c r="P55" s="3393"/>
      <c r="Q55" s="3473"/>
      <c r="R55" s="3393"/>
      <c r="S55" s="3473"/>
    </row>
    <row r="56" spans="1:19" x14ac:dyDescent="0.35">
      <c r="A56" s="3263"/>
      <c r="B56" s="3538"/>
      <c r="C56" s="3312"/>
      <c r="D56" s="3307"/>
      <c r="E56" s="3307"/>
      <c r="F56" s="3399"/>
      <c r="G56" s="2198"/>
      <c r="H56" s="3393"/>
      <c r="I56" s="3472"/>
      <c r="J56" s="3393"/>
      <c r="K56" s="3473"/>
      <c r="L56" s="3393"/>
      <c r="M56" s="3473"/>
      <c r="N56" s="3393"/>
      <c r="O56" s="3473"/>
      <c r="P56" s="3393"/>
      <c r="Q56" s="3473"/>
      <c r="R56" s="3393"/>
      <c r="S56" s="3473"/>
    </row>
    <row r="57" spans="1:19" x14ac:dyDescent="0.35">
      <c r="A57" s="3263"/>
      <c r="B57" s="3538"/>
      <c r="C57" s="3312"/>
      <c r="D57" s="3307"/>
      <c r="E57" s="3307"/>
      <c r="F57" s="3399"/>
      <c r="G57" s="2198"/>
      <c r="H57" s="3393"/>
      <c r="I57" s="3472"/>
      <c r="J57" s="3393"/>
      <c r="K57" s="3473"/>
      <c r="L57" s="3393"/>
      <c r="M57" s="3473"/>
      <c r="N57" s="3393"/>
      <c r="O57" s="3473"/>
      <c r="P57" s="3393"/>
      <c r="Q57" s="3473"/>
      <c r="R57" s="3393"/>
      <c r="S57" s="3473"/>
    </row>
    <row r="58" spans="1:19" ht="15.5" x14ac:dyDescent="0.35">
      <c r="A58" s="3263"/>
      <c r="B58" s="3532" t="s">
        <v>4127</v>
      </c>
      <c r="C58" s="3312"/>
      <c r="D58" s="3307">
        <v>1</v>
      </c>
      <c r="E58" s="3307" t="s">
        <v>4113</v>
      </c>
      <c r="F58" s="3399">
        <v>74300.800000000003</v>
      </c>
      <c r="G58" s="2198"/>
      <c r="H58" s="3393"/>
      <c r="I58" s="3472"/>
      <c r="J58" s="3393"/>
      <c r="K58" s="3473"/>
      <c r="L58" s="3393"/>
      <c r="M58" s="3473"/>
      <c r="N58" s="3393"/>
      <c r="O58" s="3473"/>
      <c r="P58" s="3393"/>
      <c r="Q58" s="3473"/>
      <c r="R58" s="3393"/>
      <c r="S58" s="3473"/>
    </row>
    <row r="59" spans="1:19" x14ac:dyDescent="0.35">
      <c r="A59" s="3263"/>
      <c r="B59" s="3538" t="s">
        <v>4128</v>
      </c>
      <c r="C59" s="3312"/>
      <c r="D59" s="3307"/>
      <c r="E59" s="3307"/>
      <c r="F59" s="3399"/>
      <c r="G59" s="2198"/>
      <c r="H59" s="3393"/>
      <c r="I59" s="3472"/>
      <c r="J59" s="3393"/>
      <c r="K59" s="3473"/>
      <c r="L59" s="3393"/>
      <c r="M59" s="3473"/>
      <c r="N59" s="3393"/>
      <c r="O59" s="3473"/>
      <c r="P59" s="3393"/>
      <c r="Q59" s="3473"/>
      <c r="R59" s="3393"/>
      <c r="S59" s="3473"/>
    </row>
    <row r="60" spans="1:19" x14ac:dyDescent="0.35">
      <c r="A60" s="3263"/>
      <c r="B60" s="3538" t="s">
        <v>4129</v>
      </c>
      <c r="C60" s="3312"/>
      <c r="D60" s="3307"/>
      <c r="E60" s="3307"/>
      <c r="F60" s="3399"/>
      <c r="G60" s="2198"/>
      <c r="H60" s="3393"/>
      <c r="I60" s="3472"/>
      <c r="J60" s="3393"/>
      <c r="K60" s="3473"/>
      <c r="L60" s="3393"/>
      <c r="M60" s="3473"/>
      <c r="N60" s="3393"/>
      <c r="O60" s="3473"/>
      <c r="P60" s="3393"/>
      <c r="Q60" s="3473"/>
      <c r="R60" s="3393"/>
      <c r="S60" s="3473"/>
    </row>
    <row r="61" spans="1:19" x14ac:dyDescent="0.35">
      <c r="A61" s="3263"/>
      <c r="B61" s="3538" t="s">
        <v>4130</v>
      </c>
      <c r="C61" s="3312"/>
      <c r="D61" s="3307"/>
      <c r="E61" s="3307"/>
      <c r="F61" s="3399"/>
      <c r="G61" s="2198"/>
      <c r="H61" s="3393"/>
      <c r="I61" s="3472"/>
      <c r="J61" s="3393"/>
      <c r="K61" s="3473"/>
      <c r="L61" s="3393"/>
      <c r="M61" s="3473"/>
      <c r="N61" s="3393"/>
      <c r="O61" s="3473"/>
      <c r="P61" s="3393"/>
      <c r="Q61" s="3473"/>
      <c r="R61" s="3393"/>
      <c r="S61" s="3473"/>
    </row>
    <row r="62" spans="1:19" x14ac:dyDescent="0.35">
      <c r="A62" s="3263"/>
      <c r="B62" s="3538"/>
      <c r="C62" s="3312"/>
      <c r="D62" s="3307"/>
      <c r="E62" s="3307"/>
      <c r="F62" s="3399"/>
      <c r="G62" s="2198"/>
      <c r="H62" s="3393"/>
      <c r="I62" s="3472"/>
      <c r="J62" s="3393"/>
      <c r="K62" s="3473"/>
      <c r="L62" s="3393"/>
      <c r="M62" s="3473"/>
      <c r="N62" s="3393"/>
      <c r="O62" s="3473"/>
      <c r="P62" s="3393"/>
      <c r="Q62" s="3473"/>
      <c r="R62" s="3393"/>
      <c r="S62" s="3473"/>
    </row>
    <row r="63" spans="1:19" ht="15.5" x14ac:dyDescent="0.35">
      <c r="A63" s="3263"/>
      <c r="B63" s="3532" t="s">
        <v>4131</v>
      </c>
      <c r="C63" s="3312"/>
      <c r="D63" s="3307">
        <v>1</v>
      </c>
      <c r="E63" s="3307" t="s">
        <v>4113</v>
      </c>
      <c r="F63" s="3399">
        <v>123514.3</v>
      </c>
      <c r="G63" s="2198"/>
      <c r="H63" s="3393"/>
      <c r="I63" s="3472"/>
      <c r="J63" s="3393"/>
      <c r="K63" s="3473"/>
      <c r="L63" s="3393"/>
      <c r="M63" s="3473"/>
      <c r="N63" s="3393"/>
      <c r="O63" s="3473"/>
      <c r="P63" s="3393"/>
      <c r="Q63" s="3473"/>
      <c r="R63" s="3393"/>
      <c r="S63" s="3473"/>
    </row>
    <row r="64" spans="1:19" x14ac:dyDescent="0.35">
      <c r="A64" s="3263"/>
      <c r="B64" s="3538" t="s">
        <v>4128</v>
      </c>
      <c r="C64" s="3312"/>
      <c r="D64" s="3307"/>
      <c r="E64" s="3307"/>
      <c r="F64" s="3399"/>
      <c r="G64" s="2198"/>
      <c r="H64" s="3393"/>
      <c r="I64" s="3472"/>
      <c r="J64" s="3393"/>
      <c r="K64" s="3473"/>
      <c r="L64" s="3393"/>
      <c r="M64" s="3473"/>
      <c r="N64" s="3393"/>
      <c r="O64" s="3473"/>
      <c r="P64" s="3393"/>
      <c r="Q64" s="3473"/>
      <c r="R64" s="3393"/>
      <c r="S64" s="3473"/>
    </row>
    <row r="65" spans="1:19" x14ac:dyDescent="0.35">
      <c r="A65" s="3263"/>
      <c r="B65" s="3538" t="s">
        <v>4132</v>
      </c>
      <c r="C65" s="3312"/>
      <c r="D65" s="3307"/>
      <c r="E65" s="3307"/>
      <c r="F65" s="3399"/>
      <c r="G65" s="2198"/>
      <c r="H65" s="3393"/>
      <c r="I65" s="3472"/>
      <c r="J65" s="3393"/>
      <c r="K65" s="3473"/>
      <c r="L65" s="3393"/>
      <c r="M65" s="3473"/>
      <c r="N65" s="3393"/>
      <c r="O65" s="3473"/>
      <c r="P65" s="3393"/>
      <c r="Q65" s="3473"/>
      <c r="R65" s="3393"/>
      <c r="S65" s="3473"/>
    </row>
    <row r="66" spans="1:19" x14ac:dyDescent="0.35">
      <c r="A66" s="3263"/>
      <c r="B66" s="3538" t="s">
        <v>4130</v>
      </c>
      <c r="C66" s="3312"/>
      <c r="D66" s="3307"/>
      <c r="E66" s="3307"/>
      <c r="F66" s="3399"/>
      <c r="G66" s="2198"/>
      <c r="H66" s="3393"/>
      <c r="I66" s="3472"/>
      <c r="J66" s="3393"/>
      <c r="K66" s="3473"/>
      <c r="L66" s="3393"/>
      <c r="M66" s="3473"/>
      <c r="N66" s="3393"/>
      <c r="O66" s="3473"/>
      <c r="P66" s="3393"/>
      <c r="Q66" s="3473"/>
      <c r="R66" s="3393"/>
      <c r="S66" s="3473"/>
    </row>
    <row r="67" spans="1:19" x14ac:dyDescent="0.35">
      <c r="A67" s="3263"/>
      <c r="B67" s="121"/>
      <c r="C67" s="3312"/>
      <c r="D67" s="3307"/>
      <c r="E67" s="3307"/>
      <c r="F67" s="3399"/>
      <c r="G67" s="2198"/>
      <c r="H67" s="3393"/>
      <c r="I67" s="3472"/>
      <c r="J67" s="3393"/>
      <c r="K67" s="3473"/>
      <c r="L67" s="3393"/>
      <c r="M67" s="3473"/>
      <c r="N67" s="3393"/>
      <c r="O67" s="3473"/>
      <c r="P67" s="3393"/>
      <c r="Q67" s="3473"/>
      <c r="R67" s="3393"/>
      <c r="S67" s="3473"/>
    </row>
    <row r="68" spans="1:19" ht="15" thickBot="1" x14ac:dyDescent="0.4">
      <c r="A68" s="3263"/>
      <c r="B68" s="3537"/>
      <c r="C68" s="3312"/>
      <c r="D68" s="3307"/>
      <c r="E68" s="3307"/>
      <c r="F68" s="3399"/>
      <c r="G68" s="2198"/>
      <c r="H68" s="3393"/>
      <c r="I68" s="3472"/>
      <c r="J68" s="3393"/>
      <c r="K68" s="3473"/>
      <c r="L68" s="3393"/>
      <c r="M68" s="3473"/>
      <c r="N68" s="3393"/>
      <c r="O68" s="3473"/>
      <c r="P68" s="3393"/>
      <c r="Q68" s="3473"/>
      <c r="R68" s="3393"/>
      <c r="S68" s="3473"/>
    </row>
    <row r="69" spans="1:19" ht="15" thickTop="1" x14ac:dyDescent="0.35">
      <c r="A69" s="14"/>
      <c r="B69" s="15"/>
      <c r="C69" s="16"/>
      <c r="D69" s="16"/>
      <c r="E69" s="17"/>
      <c r="F69" s="18" t="s">
        <v>715</v>
      </c>
      <c r="G69" s="19"/>
      <c r="H69" s="20"/>
      <c r="I69" s="50">
        <f>SUM(I31:I68)</f>
        <v>0</v>
      </c>
      <c r="J69" s="20"/>
      <c r="K69" s="50">
        <f>SUM(K31:K68)</f>
        <v>0</v>
      </c>
      <c r="L69" s="20"/>
      <c r="M69" s="50">
        <f>SUM(M31:M68)</f>
        <v>0</v>
      </c>
      <c r="N69" s="20"/>
      <c r="O69" s="50">
        <f>SUM(O31:O68)</f>
        <v>0</v>
      </c>
      <c r="P69" s="20"/>
      <c r="Q69" s="50">
        <f>SUM(Q31:Q68)</f>
        <v>0</v>
      </c>
      <c r="R69" s="20"/>
      <c r="S69" s="50">
        <f>SUM(S31:S68)</f>
        <v>0</v>
      </c>
    </row>
    <row r="70" spans="1:19" x14ac:dyDescent="0.35">
      <c r="A70" s="3265"/>
      <c r="B70" s="3266"/>
      <c r="C70" s="3267"/>
      <c r="D70" s="3267"/>
      <c r="E70" s="3268"/>
      <c r="F70" s="3350" t="s">
        <v>716</v>
      </c>
      <c r="G70" s="2244"/>
      <c r="H70" s="3270">
        <v>0</v>
      </c>
      <c r="I70" s="960"/>
      <c r="J70" s="3270">
        <v>0</v>
      </c>
      <c r="K70" s="960"/>
      <c r="L70" s="3270">
        <v>0</v>
      </c>
      <c r="M70" s="960"/>
      <c r="N70" s="3270">
        <v>0</v>
      </c>
      <c r="O70" s="960"/>
      <c r="P70" s="3270">
        <v>0</v>
      </c>
      <c r="Q70" s="960"/>
      <c r="R70" s="3270">
        <v>0</v>
      </c>
      <c r="S70" s="960"/>
    </row>
    <row r="71" spans="1:19" x14ac:dyDescent="0.35">
      <c r="A71" s="3265"/>
      <c r="B71" s="3266"/>
      <c r="C71" s="3267"/>
      <c r="D71" s="3267"/>
      <c r="E71" s="3268"/>
      <c r="F71" s="3350" t="s">
        <v>717</v>
      </c>
      <c r="G71" s="2244"/>
      <c r="H71" s="3271"/>
      <c r="I71" s="3272">
        <f>H70*I69</f>
        <v>0</v>
      </c>
      <c r="J71" s="3271"/>
      <c r="K71" s="3272">
        <f>J70*K69</f>
        <v>0</v>
      </c>
      <c r="L71" s="3271"/>
      <c r="M71" s="3272">
        <f>L70*M69</f>
        <v>0</v>
      </c>
      <c r="N71" s="3271"/>
      <c r="O71" s="3272">
        <f>N70*O69</f>
        <v>0</v>
      </c>
      <c r="P71" s="3271"/>
      <c r="Q71" s="3272">
        <f>P70*Q69</f>
        <v>0</v>
      </c>
      <c r="R71" s="3271"/>
      <c r="S71" s="3272">
        <f>R70*S69</f>
        <v>0</v>
      </c>
    </row>
    <row r="72" spans="1:19" x14ac:dyDescent="0.35">
      <c r="A72" s="3265"/>
      <c r="B72" s="3266"/>
      <c r="C72" s="3267"/>
      <c r="D72" s="3267"/>
      <c r="E72" s="3268"/>
      <c r="F72" s="3350"/>
      <c r="G72" s="2244"/>
      <c r="H72" s="3271"/>
      <c r="I72" s="3273"/>
      <c r="J72" s="3271"/>
      <c r="K72" s="3273"/>
      <c r="L72" s="3271"/>
      <c r="M72" s="3273"/>
      <c r="N72" s="3271"/>
      <c r="O72" s="3273"/>
      <c r="P72" s="3271"/>
      <c r="Q72" s="3273"/>
      <c r="R72" s="3271"/>
      <c r="S72" s="3273"/>
    </row>
    <row r="73" spans="1:19" x14ac:dyDescent="0.35">
      <c r="A73" s="3265"/>
      <c r="B73" s="3266"/>
      <c r="C73" s="3267"/>
      <c r="D73" s="3267"/>
      <c r="E73" s="3268"/>
      <c r="F73" s="3350" t="s">
        <v>718</v>
      </c>
      <c r="G73" s="2244"/>
      <c r="H73" s="3274"/>
      <c r="I73" s="3272">
        <f>SUM(I69:I71)</f>
        <v>0</v>
      </c>
      <c r="J73" s="3274"/>
      <c r="K73" s="3272">
        <f>SUM(K69:K71)</f>
        <v>0</v>
      </c>
      <c r="L73" s="3274"/>
      <c r="M73" s="3272">
        <f>SUM(M69:M71)</f>
        <v>0</v>
      </c>
      <c r="N73" s="3274"/>
      <c r="O73" s="3272">
        <f>SUM(O69:O71)</f>
        <v>0</v>
      </c>
      <c r="P73" s="3274"/>
      <c r="Q73" s="3272">
        <f>SUM(Q69:Q71)</f>
        <v>0</v>
      </c>
      <c r="R73" s="3274"/>
      <c r="S73" s="3272">
        <f>SUM(S69:S71)</f>
        <v>0</v>
      </c>
    </row>
    <row r="74" spans="1:19" x14ac:dyDescent="0.35">
      <c r="A74" s="3265"/>
      <c r="B74" s="3266"/>
      <c r="C74" s="3267"/>
      <c r="D74" s="3267"/>
      <c r="E74" s="3268"/>
      <c r="F74" s="3351" t="s">
        <v>719</v>
      </c>
      <c r="G74" s="2256"/>
      <c r="H74" s="3276"/>
      <c r="I74" s="3277" t="e">
        <f>I73/#REF!</f>
        <v>#REF!</v>
      </c>
      <c r="J74" s="3276"/>
      <c r="K74" s="3277" t="e">
        <f>K73/#REF!</f>
        <v>#REF!</v>
      </c>
      <c r="L74" s="3276"/>
      <c r="M74" s="3277" t="e">
        <f>M73/#REF!</f>
        <v>#REF!</v>
      </c>
      <c r="N74" s="3276"/>
      <c r="O74" s="3277" t="e">
        <f>O73/#REF!</f>
        <v>#REF!</v>
      </c>
      <c r="P74" s="3276"/>
      <c r="Q74" s="3277" t="e">
        <f>Q73/#REF!</f>
        <v>#REF!</v>
      </c>
      <c r="R74" s="3276"/>
      <c r="S74" s="3277" t="e">
        <f>S73/#REF!</f>
        <v>#REF!</v>
      </c>
    </row>
    <row r="75" spans="1:19" x14ac:dyDescent="0.35">
      <c r="A75" s="3265"/>
      <c r="B75" s="3266"/>
      <c r="C75" s="3267"/>
      <c r="D75" s="3267"/>
      <c r="E75" s="3268"/>
      <c r="F75" s="3351" t="s">
        <v>720</v>
      </c>
      <c r="G75" s="2260"/>
      <c r="H75" s="3276"/>
      <c r="I75" s="3277" t="e">
        <f>I73/#REF!</f>
        <v>#REF!</v>
      </c>
      <c r="J75" s="3276"/>
      <c r="K75" s="3277" t="e">
        <f>K73/#REF!</f>
        <v>#REF!</v>
      </c>
      <c r="L75" s="3276"/>
      <c r="M75" s="3277" t="e">
        <f>M73/#REF!</f>
        <v>#REF!</v>
      </c>
      <c r="N75" s="3276"/>
      <c r="O75" s="3277" t="e">
        <f>O73/#REF!</f>
        <v>#REF!</v>
      </c>
      <c r="P75" s="3276"/>
      <c r="Q75" s="3277" t="e">
        <f>Q73/#REF!</f>
        <v>#REF!</v>
      </c>
      <c r="R75" s="3276"/>
      <c r="S75" s="3277" t="e">
        <f>S73/#REF!</f>
        <v>#REF!</v>
      </c>
    </row>
    <row r="76" spans="1:19" ht="15" thickBot="1" x14ac:dyDescent="0.4">
      <c r="A76" s="3265"/>
      <c r="B76" s="3266"/>
      <c r="C76" s="3267"/>
      <c r="D76" s="3267"/>
      <c r="E76" s="3268"/>
      <c r="F76" s="3350"/>
      <c r="G76" s="2244"/>
      <c r="H76" s="3420"/>
      <c r="I76" s="3420"/>
      <c r="J76" s="3420"/>
      <c r="K76" s="3420"/>
      <c r="L76" s="3420"/>
      <c r="M76" s="3420"/>
      <c r="N76" s="3420"/>
      <c r="O76" s="3420"/>
      <c r="P76" s="3420"/>
      <c r="Q76" s="3420"/>
      <c r="R76" s="3420"/>
      <c r="S76" s="3420"/>
    </row>
    <row r="77" spans="1:19" ht="15.5" thickTop="1" thickBot="1" x14ac:dyDescent="0.4">
      <c r="A77" s="3764" t="s">
        <v>721</v>
      </c>
      <c r="B77" s="3765"/>
      <c r="C77" s="12"/>
      <c r="D77" s="12"/>
      <c r="E77" s="12"/>
      <c r="F77" s="12"/>
      <c r="G77" s="43"/>
      <c r="H77" s="42"/>
      <c r="I77" s="21"/>
      <c r="J77" s="21"/>
      <c r="K77" s="21"/>
      <c r="L77" s="21"/>
      <c r="M77" s="21"/>
      <c r="N77" s="21"/>
      <c r="O77" s="21"/>
      <c r="P77" s="21"/>
      <c r="Q77" s="21"/>
      <c r="R77" s="21"/>
      <c r="S77" s="21"/>
    </row>
    <row r="78" spans="1:19" ht="15" thickTop="1" x14ac:dyDescent="0.35">
      <c r="A78" s="3539"/>
      <c r="B78" s="3306"/>
      <c r="C78" s="3540"/>
      <c r="D78" s="3540"/>
      <c r="E78" s="3540"/>
      <c r="F78" s="3540"/>
      <c r="G78" s="3541"/>
      <c r="H78" s="3542"/>
      <c r="I78" s="3543"/>
      <c r="J78" s="3543"/>
      <c r="K78" s="3543"/>
      <c r="L78" s="3543"/>
      <c r="M78" s="3543"/>
      <c r="N78" s="3543"/>
      <c r="O78" s="3543"/>
      <c r="P78" s="3543"/>
      <c r="Q78" s="3543"/>
      <c r="R78" s="3543"/>
      <c r="S78" s="3543"/>
    </row>
    <row r="79" spans="1:19" x14ac:dyDescent="0.35">
      <c r="A79" s="3539"/>
      <c r="B79" s="3306"/>
      <c r="C79" s="3540"/>
      <c r="D79" s="3540"/>
      <c r="E79" s="3540"/>
      <c r="F79" s="3540"/>
      <c r="G79" s="3541"/>
      <c r="H79" s="3542"/>
      <c r="I79" s="3543"/>
      <c r="J79" s="3543"/>
      <c r="K79" s="3543"/>
      <c r="L79" s="3543"/>
      <c r="M79" s="3543"/>
      <c r="N79" s="3543"/>
      <c r="O79" s="3543"/>
      <c r="P79" s="3543"/>
      <c r="Q79" s="3543"/>
      <c r="R79" s="3543"/>
      <c r="S79" s="3543"/>
    </row>
    <row r="80" spans="1:19" ht="15" thickBot="1" x14ac:dyDescent="0.4">
      <c r="A80" s="3539"/>
      <c r="B80" s="3306"/>
      <c r="C80" s="3540"/>
      <c r="D80" s="3540"/>
      <c r="E80" s="3540"/>
      <c r="F80" s="3540"/>
      <c r="G80" s="3541"/>
      <c r="H80" s="3542"/>
      <c r="I80" s="3543"/>
      <c r="J80" s="3543"/>
      <c r="K80" s="3543"/>
      <c r="L80" s="3543"/>
      <c r="M80" s="3543"/>
      <c r="N80" s="3543"/>
      <c r="O80" s="3543"/>
      <c r="P80" s="3543"/>
      <c r="Q80" s="3543"/>
      <c r="R80" s="3543"/>
      <c r="S80" s="3543"/>
    </row>
    <row r="81" spans="1:34" s="2" customFormat="1" ht="15.5" thickTop="1" thickBot="1" x14ac:dyDescent="0.4">
      <c r="A81" s="3764" t="s">
        <v>722</v>
      </c>
      <c r="B81" s="3765"/>
      <c r="C81" s="12"/>
      <c r="D81" s="12"/>
      <c r="E81" s="12"/>
      <c r="F81" s="12"/>
      <c r="G81" s="43"/>
      <c r="H81" s="42"/>
      <c r="I81" s="21"/>
      <c r="J81" s="21"/>
      <c r="K81" s="21"/>
      <c r="L81" s="21"/>
      <c r="M81" s="21"/>
      <c r="N81" s="21"/>
      <c r="O81" s="21"/>
      <c r="P81" s="21"/>
      <c r="Q81" s="21"/>
      <c r="R81" s="21"/>
      <c r="S81" s="21"/>
      <c r="T81"/>
      <c r="U81"/>
      <c r="V81"/>
      <c r="W81"/>
      <c r="X81"/>
      <c r="Y81"/>
      <c r="Z81"/>
      <c r="AA81"/>
      <c r="AB81"/>
      <c r="AC81"/>
      <c r="AD81"/>
      <c r="AE81"/>
      <c r="AF81"/>
      <c r="AG81"/>
      <c r="AH81"/>
    </row>
    <row r="82" spans="1:34" s="2" customFormat="1" ht="15" thickTop="1" x14ac:dyDescent="0.35">
      <c r="A82" s="3539"/>
      <c r="B82" s="3306"/>
      <c r="C82" s="3540"/>
      <c r="D82" s="3540"/>
      <c r="E82" s="3540"/>
      <c r="F82" s="3540"/>
      <c r="G82" s="3541"/>
      <c r="H82" s="3542"/>
      <c r="I82" s="3543"/>
      <c r="J82" s="3543"/>
      <c r="K82" s="3543"/>
      <c r="L82" s="3543"/>
      <c r="M82" s="3543"/>
      <c r="N82" s="3543"/>
      <c r="O82" s="3543"/>
      <c r="P82" s="3543"/>
      <c r="Q82" s="3543"/>
      <c r="R82" s="3543"/>
      <c r="S82" s="3543"/>
      <c r="T82"/>
      <c r="U82"/>
      <c r="V82"/>
      <c r="W82"/>
      <c r="X82"/>
      <c r="Y82"/>
      <c r="Z82"/>
      <c r="AA82"/>
      <c r="AB82"/>
      <c r="AC82"/>
      <c r="AD82"/>
      <c r="AE82"/>
      <c r="AF82"/>
      <c r="AG82"/>
      <c r="AH82"/>
    </row>
    <row r="83" spans="1:34" s="2" customFormat="1" x14ac:dyDescent="0.35">
      <c r="A83" s="3539"/>
      <c r="B83" s="3306"/>
      <c r="C83" s="3540"/>
      <c r="D83" s="3540"/>
      <c r="E83" s="3540"/>
      <c r="F83" s="3540"/>
      <c r="G83" s="3541"/>
      <c r="H83" s="3542"/>
      <c r="I83" s="3543"/>
      <c r="J83" s="3543"/>
      <c r="K83" s="3543"/>
      <c r="L83" s="3543"/>
      <c r="M83" s="3543"/>
      <c r="N83" s="3543"/>
      <c r="O83" s="3543"/>
      <c r="P83" s="3543"/>
      <c r="Q83" s="3543"/>
      <c r="R83" s="3543"/>
      <c r="S83" s="3543"/>
      <c r="T83"/>
      <c r="U83"/>
      <c r="V83"/>
      <c r="W83"/>
      <c r="X83"/>
      <c r="Y83"/>
      <c r="Z83"/>
      <c r="AA83"/>
      <c r="AB83"/>
      <c r="AC83"/>
      <c r="AD83"/>
      <c r="AE83"/>
      <c r="AF83"/>
      <c r="AG83"/>
      <c r="AH83"/>
    </row>
    <row r="84" spans="1:34" ht="15" thickBot="1" x14ac:dyDescent="0.4">
      <c r="A84" s="3539"/>
      <c r="B84" s="3306"/>
      <c r="C84" s="3540"/>
      <c r="D84" s="3540"/>
      <c r="E84" s="3540"/>
      <c r="F84" s="3540"/>
      <c r="G84" s="3541"/>
      <c r="H84" s="3542"/>
      <c r="I84" s="3543"/>
      <c r="J84" s="3543"/>
      <c r="K84" s="3543"/>
      <c r="L84" s="3543"/>
      <c r="M84" s="3543"/>
      <c r="N84" s="3543"/>
      <c r="O84" s="3543"/>
      <c r="P84" s="3543"/>
      <c r="Q84" s="3543"/>
      <c r="R84" s="3543"/>
      <c r="S84" s="3543"/>
    </row>
    <row r="85" spans="1:34" s="2" customFormat="1" ht="15.5" thickTop="1" thickBot="1" x14ac:dyDescent="0.4">
      <c r="A85" s="3764" t="s">
        <v>723</v>
      </c>
      <c r="B85" s="3765"/>
      <c r="C85" s="12"/>
      <c r="D85" s="12"/>
      <c r="E85" s="12"/>
      <c r="F85" s="12"/>
      <c r="G85" s="43"/>
      <c r="H85" s="42"/>
      <c r="I85" s="21"/>
      <c r="J85" s="21"/>
      <c r="K85" s="21"/>
      <c r="L85" s="21"/>
      <c r="M85" s="21"/>
      <c r="N85" s="21"/>
      <c r="O85" s="21"/>
      <c r="P85" s="21"/>
      <c r="Q85" s="21"/>
      <c r="R85" s="21"/>
      <c r="S85" s="21"/>
      <c r="T85"/>
      <c r="U85"/>
      <c r="V85"/>
      <c r="W85"/>
      <c r="X85"/>
      <c r="Y85"/>
      <c r="Z85"/>
      <c r="AA85"/>
      <c r="AB85"/>
      <c r="AC85"/>
      <c r="AD85"/>
      <c r="AE85"/>
      <c r="AF85"/>
      <c r="AG85"/>
      <c r="AH85"/>
    </row>
    <row r="86" spans="1:34" s="2" customFormat="1" ht="15" thickTop="1" x14ac:dyDescent="0.35">
      <c r="A86" s="3539"/>
      <c r="B86" s="3306"/>
      <c r="C86" s="3540"/>
      <c r="D86" s="3540"/>
      <c r="E86" s="3540"/>
      <c r="F86" s="3540"/>
      <c r="G86" s="3541"/>
      <c r="H86" s="3542"/>
      <c r="I86" s="3543"/>
      <c r="J86" s="3543"/>
      <c r="K86" s="3543"/>
      <c r="L86" s="3543"/>
      <c r="M86" s="3543"/>
      <c r="N86" s="3543"/>
      <c r="O86" s="3543"/>
      <c r="P86" s="3543"/>
      <c r="Q86" s="3543"/>
      <c r="R86" s="3543"/>
      <c r="S86" s="3543"/>
      <c r="T86"/>
      <c r="U86"/>
      <c r="V86"/>
      <c r="W86"/>
      <c r="X86"/>
      <c r="Y86"/>
      <c r="Z86"/>
      <c r="AA86"/>
      <c r="AB86"/>
      <c r="AC86"/>
      <c r="AD86"/>
      <c r="AE86"/>
      <c r="AF86"/>
      <c r="AG86"/>
      <c r="AH86"/>
    </row>
    <row r="87" spans="1:34" s="2" customFormat="1" x14ac:dyDescent="0.35">
      <c r="A87" s="3310"/>
      <c r="B87" s="3306"/>
      <c r="C87" s="3307"/>
      <c r="D87" s="3307"/>
      <c r="E87" s="3307"/>
      <c r="F87" s="3307"/>
      <c r="G87" s="3283"/>
      <c r="H87" s="2268"/>
      <c r="I87" s="3284"/>
      <c r="J87" s="3284"/>
      <c r="K87" s="3284"/>
      <c r="L87" s="3284"/>
      <c r="M87" s="3284"/>
      <c r="N87" s="3284"/>
      <c r="O87" s="3284"/>
      <c r="P87" s="3284"/>
      <c r="Q87" s="3284"/>
      <c r="R87" s="3284"/>
      <c r="S87" s="3284"/>
      <c r="T87"/>
      <c r="U87"/>
      <c r="V87"/>
      <c r="W87"/>
      <c r="X87"/>
      <c r="Y87"/>
      <c r="Z87"/>
      <c r="AA87"/>
      <c r="AB87"/>
      <c r="AC87"/>
      <c r="AD87"/>
      <c r="AE87"/>
      <c r="AF87"/>
      <c r="AG87"/>
      <c r="AH87"/>
    </row>
    <row r="88" spans="1:34" s="2" customFormat="1" ht="15" thickBot="1" x14ac:dyDescent="0.4">
      <c r="A88" s="3285"/>
      <c r="B88" s="3286"/>
      <c r="C88" s="3307"/>
      <c r="D88" s="3307"/>
      <c r="E88" s="3307"/>
      <c r="F88" s="3307"/>
      <c r="G88" s="3283"/>
      <c r="H88" s="2272"/>
      <c r="I88" s="3287"/>
      <c r="J88" s="3287"/>
      <c r="K88" s="3287"/>
      <c r="L88" s="3287"/>
      <c r="M88" s="3287"/>
      <c r="N88" s="3287"/>
      <c r="O88" s="3287"/>
      <c r="P88" s="3287"/>
      <c r="Q88" s="3287"/>
      <c r="R88" s="3287"/>
      <c r="S88" s="3287"/>
    </row>
    <row r="89" spans="1:34" s="2" customFormat="1" ht="15.5" thickTop="1" thickBot="1" x14ac:dyDescent="0.4">
      <c r="A89" s="3764" t="s">
        <v>724</v>
      </c>
      <c r="B89" s="3765"/>
      <c r="C89" s="12"/>
      <c r="D89" s="12"/>
      <c r="E89" s="12"/>
      <c r="F89" s="12"/>
      <c r="G89" s="43"/>
      <c r="H89" s="42"/>
      <c r="I89" s="21"/>
      <c r="J89" s="21"/>
      <c r="K89" s="21"/>
      <c r="L89" s="21"/>
      <c r="M89" s="21"/>
      <c r="N89" s="21"/>
      <c r="O89" s="21"/>
      <c r="P89" s="21"/>
      <c r="Q89" s="21"/>
      <c r="R89" s="21"/>
      <c r="S89" s="21"/>
      <c r="T89"/>
      <c r="U89"/>
      <c r="V89"/>
      <c r="W89"/>
      <c r="X89"/>
      <c r="Y89"/>
      <c r="Z89"/>
      <c r="AA89"/>
      <c r="AB89"/>
      <c r="AC89"/>
      <c r="AD89"/>
      <c r="AE89"/>
      <c r="AF89"/>
      <c r="AG89"/>
      <c r="AH89"/>
    </row>
    <row r="90" spans="1:34" ht="15" thickTop="1" x14ac:dyDescent="0.35">
      <c r="A90" s="3544"/>
      <c r="B90" s="3545"/>
      <c r="C90" s="3540"/>
      <c r="D90" s="3540"/>
      <c r="E90" s="3540"/>
      <c r="F90" s="3540"/>
      <c r="G90" s="3541"/>
      <c r="H90" s="3542"/>
      <c r="I90" s="3543"/>
      <c r="J90" s="3543"/>
      <c r="K90" s="3543"/>
      <c r="L90" s="3543"/>
      <c r="M90" s="3543"/>
      <c r="N90" s="3543"/>
      <c r="O90" s="3543"/>
      <c r="P90" s="3543"/>
      <c r="Q90" s="3543"/>
      <c r="R90" s="3543"/>
      <c r="S90" s="3543"/>
      <c r="T90" s="2"/>
      <c r="U90" s="2"/>
      <c r="V90" s="2"/>
      <c r="W90" s="2"/>
      <c r="X90" s="2"/>
      <c r="Y90" s="2"/>
      <c r="Z90" s="2"/>
      <c r="AA90" s="2"/>
      <c r="AB90" s="2"/>
      <c r="AC90" s="2"/>
      <c r="AD90" s="2"/>
      <c r="AE90" s="2"/>
      <c r="AF90" s="2"/>
      <c r="AG90" s="2"/>
      <c r="AH90" s="2"/>
    </row>
    <row r="91" spans="1:34" x14ac:dyDescent="0.35">
      <c r="A91" s="3285"/>
      <c r="B91" s="3286"/>
      <c r="C91" s="3307"/>
      <c r="D91" s="3307"/>
      <c r="E91" s="3307"/>
      <c r="F91" s="3307"/>
      <c r="G91" s="3283"/>
      <c r="H91" s="2274"/>
      <c r="I91" s="3289"/>
      <c r="J91" s="3289"/>
      <c r="K91" s="3289"/>
      <c r="L91" s="3289"/>
      <c r="M91" s="3289"/>
      <c r="N91" s="3289"/>
      <c r="O91" s="3289"/>
      <c r="P91" s="3289"/>
      <c r="Q91" s="3289"/>
      <c r="R91" s="3289"/>
      <c r="S91" s="3289"/>
      <c r="T91" s="2"/>
      <c r="U91" s="2"/>
      <c r="V91" s="2"/>
      <c r="W91" s="2"/>
      <c r="X91" s="2"/>
      <c r="Y91" s="2"/>
      <c r="Z91" s="2"/>
      <c r="AA91" s="2"/>
      <c r="AB91" s="2"/>
      <c r="AC91" s="2"/>
      <c r="AD91" s="2"/>
      <c r="AE91" s="2"/>
      <c r="AF91" s="2"/>
      <c r="AG91" s="2"/>
      <c r="AH91" s="2"/>
    </row>
    <row r="92" spans="1:34" ht="15" thickBot="1" x14ac:dyDescent="0.4">
      <c r="A92" s="3285"/>
      <c r="B92" s="3286"/>
      <c r="C92" s="3307"/>
      <c r="D92" s="3307"/>
      <c r="E92" s="3307"/>
      <c r="F92" s="3307"/>
      <c r="G92" s="3283"/>
      <c r="H92" s="2274"/>
      <c r="I92" s="3289"/>
      <c r="J92" s="3289"/>
      <c r="K92" s="3289"/>
      <c r="L92" s="3289"/>
      <c r="M92" s="3289"/>
      <c r="N92" s="3289"/>
      <c r="O92" s="3289"/>
      <c r="P92" s="3289"/>
      <c r="Q92" s="3289"/>
      <c r="R92" s="3289"/>
      <c r="S92" s="3289"/>
      <c r="T92" s="2"/>
      <c r="U92" s="2"/>
      <c r="V92" s="2"/>
      <c r="W92" s="2"/>
      <c r="X92" s="2"/>
      <c r="Y92" s="2"/>
      <c r="Z92" s="2"/>
      <c r="AA92" s="2"/>
      <c r="AB92" s="2"/>
      <c r="AC92" s="2"/>
      <c r="AD92" s="2"/>
      <c r="AE92" s="2"/>
      <c r="AF92" s="2"/>
      <c r="AG92" s="2"/>
      <c r="AH92" s="2"/>
    </row>
    <row r="93" spans="1:34" ht="15.5" thickTop="1" thickBot="1" x14ac:dyDescent="0.4">
      <c r="A93" s="3764" t="s">
        <v>725</v>
      </c>
      <c r="B93" s="3765"/>
      <c r="C93" s="12"/>
      <c r="D93" s="12"/>
      <c r="E93" s="12"/>
      <c r="F93" s="12"/>
      <c r="G93" s="43"/>
      <c r="H93" s="42"/>
      <c r="I93" s="21"/>
      <c r="J93" s="21"/>
      <c r="K93" s="21"/>
      <c r="L93" s="21"/>
      <c r="M93" s="21"/>
      <c r="N93" s="21"/>
      <c r="O93" s="21"/>
      <c r="P93" s="21"/>
      <c r="Q93" s="21"/>
      <c r="R93" s="21"/>
      <c r="S93" s="21"/>
    </row>
    <row r="94" spans="1:34" ht="15" thickTop="1" x14ac:dyDescent="0.35">
      <c r="A94" s="3310"/>
      <c r="B94" s="3306" t="s">
        <v>726</v>
      </c>
      <c r="C94" s="3307"/>
      <c r="D94" s="3307"/>
      <c r="E94" s="3307"/>
      <c r="F94" s="3307"/>
      <c r="G94" s="3283"/>
      <c r="H94" s="2274"/>
      <c r="I94" s="3289"/>
      <c r="J94" s="3289"/>
      <c r="K94" s="3289"/>
      <c r="L94" s="3289"/>
      <c r="M94" s="3289"/>
      <c r="N94" s="3289"/>
      <c r="O94" s="3289"/>
      <c r="P94" s="3289"/>
      <c r="Q94" s="3289"/>
      <c r="R94" s="3289"/>
      <c r="S94" s="3289"/>
    </row>
    <row r="95" spans="1:34" x14ac:dyDescent="0.35">
      <c r="A95" s="3310"/>
      <c r="B95" s="3306" t="s">
        <v>727</v>
      </c>
      <c r="C95" s="3307"/>
      <c r="D95" s="3307"/>
      <c r="E95" s="3307"/>
      <c r="F95" s="3307"/>
      <c r="G95" s="3283"/>
      <c r="H95" s="2274"/>
      <c r="I95" s="3289"/>
      <c r="J95" s="3289"/>
      <c r="K95" s="3289"/>
      <c r="L95" s="3289"/>
      <c r="M95" s="3289"/>
      <c r="N95" s="3289"/>
      <c r="O95" s="3289"/>
      <c r="P95" s="3289"/>
      <c r="Q95" s="3289"/>
      <c r="R95" s="3289"/>
      <c r="S95" s="3289"/>
    </row>
    <row r="96" spans="1:34" x14ac:dyDescent="0.35">
      <c r="A96" s="3310"/>
      <c r="B96" s="3306" t="s">
        <v>728</v>
      </c>
      <c r="C96" s="3307"/>
      <c r="D96" s="3307"/>
      <c r="E96" s="3307"/>
      <c r="F96" s="3307"/>
      <c r="G96" s="3283"/>
      <c r="H96" s="2274"/>
      <c r="I96" s="3289"/>
      <c r="J96" s="3289"/>
      <c r="K96" s="3289"/>
      <c r="L96" s="3289"/>
      <c r="M96" s="3289"/>
      <c r="N96" s="3289"/>
      <c r="O96" s="3289"/>
      <c r="P96" s="3289"/>
      <c r="Q96" s="3289"/>
      <c r="R96" s="3289"/>
      <c r="S96" s="3289"/>
    </row>
    <row r="97" spans="1:34" x14ac:dyDescent="0.35">
      <c r="A97" s="3310"/>
      <c r="B97" s="3306" t="s">
        <v>729</v>
      </c>
      <c r="C97" s="3307"/>
      <c r="D97" s="3307"/>
      <c r="E97" s="3307"/>
      <c r="F97" s="3307"/>
      <c r="G97" s="3283"/>
      <c r="H97" s="2274"/>
      <c r="I97" s="3289"/>
      <c r="J97" s="3289"/>
      <c r="K97" s="3289"/>
      <c r="L97" s="3289"/>
      <c r="M97" s="3289"/>
      <c r="N97" s="3289"/>
      <c r="O97" s="3289"/>
      <c r="P97" s="3289"/>
      <c r="Q97" s="3289"/>
      <c r="R97" s="3289"/>
      <c r="S97" s="3289"/>
    </row>
    <row r="98" spans="1:34" ht="15" thickBot="1" x14ac:dyDescent="0.4">
      <c r="A98" s="978"/>
      <c r="B98" s="939"/>
      <c r="C98" s="940"/>
      <c r="D98" s="940"/>
      <c r="E98" s="940"/>
      <c r="F98" s="940"/>
      <c r="G98" s="979"/>
      <c r="H98" s="980"/>
      <c r="I98" s="981"/>
      <c r="J98" s="981"/>
      <c r="K98" s="981"/>
      <c r="L98" s="981"/>
      <c r="M98" s="981"/>
      <c r="N98" s="981"/>
      <c r="O98" s="981"/>
      <c r="P98" s="981"/>
      <c r="Q98" s="981"/>
      <c r="R98" s="981"/>
      <c r="S98" s="981"/>
    </row>
    <row r="99" spans="1:34" ht="15.5" thickTop="1" thickBot="1" x14ac:dyDescent="0.4">
      <c r="A99" s="7" t="s">
        <v>730</v>
      </c>
      <c r="B99" s="8"/>
      <c r="C99" s="12"/>
      <c r="D99" s="12"/>
      <c r="E99" s="12"/>
      <c r="F99" s="12"/>
      <c r="G99" s="43"/>
      <c r="H99" s="42"/>
      <c r="I99" s="21"/>
      <c r="J99" s="21"/>
      <c r="K99" s="21"/>
      <c r="L99" s="21"/>
      <c r="M99" s="21"/>
      <c r="N99" s="21"/>
      <c r="O99" s="21"/>
      <c r="P99" s="21"/>
      <c r="Q99" s="21"/>
      <c r="R99" s="21"/>
      <c r="S99" s="21"/>
    </row>
    <row r="100" spans="1:34" ht="15" thickTop="1" x14ac:dyDescent="0.35">
      <c r="A100" s="3539"/>
      <c r="B100" s="3546" t="s">
        <v>731</v>
      </c>
      <c r="C100" s="3540"/>
      <c r="D100" s="3540"/>
      <c r="E100" s="3540"/>
      <c r="F100" s="3540"/>
      <c r="G100" s="3541"/>
      <c r="H100" s="3473"/>
      <c r="I100" s="3547"/>
      <c r="J100" s="3547"/>
      <c r="K100" s="3547"/>
      <c r="L100" s="3547"/>
      <c r="M100" s="3547"/>
      <c r="N100" s="3547"/>
      <c r="O100" s="3547"/>
      <c r="P100" s="3547"/>
      <c r="Q100" s="3547"/>
      <c r="R100" s="3547"/>
      <c r="S100" s="3547"/>
    </row>
    <row r="101" spans="1:34" x14ac:dyDescent="0.35">
      <c r="A101" s="3310"/>
      <c r="B101" s="3306" t="s">
        <v>732</v>
      </c>
      <c r="C101" s="3307"/>
      <c r="D101" s="3307"/>
      <c r="E101" s="3307"/>
      <c r="F101" s="3307"/>
      <c r="G101" s="3283"/>
      <c r="H101" s="2276"/>
      <c r="I101" s="3290"/>
      <c r="J101" s="3290"/>
      <c r="K101" s="3290"/>
      <c r="L101" s="3290"/>
      <c r="M101" s="3290"/>
      <c r="N101" s="3290"/>
      <c r="O101" s="3290"/>
      <c r="P101" s="3290"/>
      <c r="Q101" s="3290"/>
      <c r="R101" s="3290"/>
      <c r="S101" s="3290"/>
    </row>
    <row r="102" spans="1:34" ht="15" thickBot="1" x14ac:dyDescent="0.4">
      <c r="A102" s="3291"/>
      <c r="B102" s="3292" t="s">
        <v>733</v>
      </c>
      <c r="C102" s="3293"/>
      <c r="D102" s="3293"/>
      <c r="E102" s="3293"/>
      <c r="F102" s="3293"/>
      <c r="G102" s="3295"/>
      <c r="H102" s="3296"/>
      <c r="I102" s="3297"/>
      <c r="J102" s="3297"/>
      <c r="K102" s="3297"/>
      <c r="L102" s="3297"/>
      <c r="M102" s="3297"/>
      <c r="N102" s="3297"/>
      <c r="O102" s="3297"/>
      <c r="P102" s="3297"/>
      <c r="Q102" s="3297"/>
      <c r="R102" s="3297"/>
      <c r="S102" s="3297"/>
    </row>
    <row r="103" spans="1:34" ht="15.5" thickTop="1" thickBot="1" x14ac:dyDescent="0.4"/>
    <row r="104" spans="1:34" ht="15.5" thickTop="1" thickBot="1" x14ac:dyDescent="0.4">
      <c r="A104" s="78" t="s">
        <v>734</v>
      </c>
      <c r="B104" s="80" t="s">
        <v>4133</v>
      </c>
    </row>
    <row r="105" spans="1:34" ht="15" thickTop="1" x14ac:dyDescent="0.35">
      <c r="A105" s="79" t="s">
        <v>632</v>
      </c>
      <c r="B105" s="3298"/>
    </row>
    <row r="106" spans="1:34" x14ac:dyDescent="0.35">
      <c r="A106" s="3299" t="s">
        <v>636</v>
      </c>
      <c r="B106" s="3298"/>
    </row>
    <row r="107" spans="1:34" x14ac:dyDescent="0.35">
      <c r="A107" s="3301" t="s">
        <v>639</v>
      </c>
      <c r="B107" s="3300"/>
    </row>
    <row r="108" spans="1:34" x14ac:dyDescent="0.35">
      <c r="A108" s="3301" t="s">
        <v>642</v>
      </c>
      <c r="B108" s="3302"/>
    </row>
    <row r="109" spans="1:34" s="2" customFormat="1" ht="15" thickBot="1" x14ac:dyDescent="0.4">
      <c r="A109" s="3303" t="s">
        <v>735</v>
      </c>
      <c r="B109" s="3304"/>
      <c r="T109"/>
      <c r="U109"/>
      <c r="V109"/>
      <c r="W109"/>
      <c r="X109"/>
      <c r="Y109"/>
      <c r="Z109"/>
      <c r="AA109"/>
      <c r="AB109"/>
      <c r="AC109"/>
      <c r="AD109"/>
      <c r="AE109"/>
      <c r="AF109"/>
      <c r="AG109"/>
      <c r="AH109"/>
    </row>
    <row r="110" spans="1:34" s="2" customFormat="1" ht="15" thickTop="1" x14ac:dyDescent="0.35">
      <c r="A110"/>
      <c r="B110" s="1"/>
      <c r="T110"/>
      <c r="U110"/>
      <c r="V110"/>
      <c r="W110"/>
      <c r="X110"/>
      <c r="Y110"/>
      <c r="Z110"/>
      <c r="AA110"/>
      <c r="AB110"/>
      <c r="AC110"/>
      <c r="AD110"/>
      <c r="AE110"/>
      <c r="AF110"/>
      <c r="AG110"/>
      <c r="AH110"/>
    </row>
    <row r="111" spans="1:34" ht="15" thickBot="1" x14ac:dyDescent="0.4"/>
    <row r="112" spans="1:34" ht="15.5" thickTop="1" thickBot="1" x14ac:dyDescent="0.4">
      <c r="A112" s="78" t="s">
        <v>734</v>
      </c>
      <c r="B112" s="80" t="s">
        <v>4134</v>
      </c>
    </row>
    <row r="113" spans="1:2" ht="15" thickTop="1" x14ac:dyDescent="0.35">
      <c r="A113" s="79" t="s">
        <v>632</v>
      </c>
      <c r="B113" s="3298"/>
    </row>
    <row r="114" spans="1:2" x14ac:dyDescent="0.35">
      <c r="A114" s="3299" t="s">
        <v>636</v>
      </c>
      <c r="B114" s="3298"/>
    </row>
    <row r="115" spans="1:2" x14ac:dyDescent="0.35">
      <c r="A115" s="3301" t="s">
        <v>639</v>
      </c>
      <c r="B115" s="3300"/>
    </row>
    <row r="116" spans="1:2" x14ac:dyDescent="0.35">
      <c r="A116" s="3301" t="s">
        <v>642</v>
      </c>
      <c r="B116" s="3302"/>
    </row>
    <row r="117" spans="1:2" ht="15" thickBot="1" x14ac:dyDescent="0.4">
      <c r="A117" s="3303" t="s">
        <v>735</v>
      </c>
      <c r="B117" s="3304"/>
    </row>
    <row r="118" spans="1:2" ht="15" thickTop="1" x14ac:dyDescent="0.35"/>
  </sheetData>
  <mergeCells count="47">
    <mergeCell ref="A77:B77"/>
    <mergeCell ref="A81:B81"/>
    <mergeCell ref="A85:B85"/>
    <mergeCell ref="A89:B89"/>
    <mergeCell ref="A93:B93"/>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2089BAF4-2A27-4E1B-A417-7C104219C5FA}"/>
  </hyperlinks>
  <pageMargins left="0.7" right="0.7" top="0.75" bottom="0.75" header="0.3" footer="0.3"/>
  <pageSetup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C-B765-4A18-9559-D1F341E36417}">
  <dimension ref="B1:BO206"/>
  <sheetViews>
    <sheetView workbookViewId="0">
      <selection activeCell="C16" sqref="C16"/>
    </sheetView>
  </sheetViews>
  <sheetFormatPr defaultRowHeight="14.5" x14ac:dyDescent="0.35"/>
  <cols>
    <col min="2" max="2" width="7.7265625" style="142" customWidth="1"/>
    <col min="3" max="3" width="79.453125" style="143" bestFit="1" customWidth="1"/>
    <col min="4" max="4" width="11.7265625" style="144" bestFit="1" customWidth="1"/>
    <col min="5" max="5" width="7.26953125" style="143" bestFit="1" customWidth="1"/>
    <col min="6" max="6" width="12.26953125" style="145" bestFit="1" customWidth="1"/>
    <col min="7" max="8" width="12.7265625" style="143" bestFit="1" customWidth="1"/>
    <col min="9" max="10" width="11.54296875" style="143" bestFit="1" customWidth="1"/>
    <col min="11" max="11" width="12.7265625" style="143" bestFit="1" customWidth="1"/>
    <col min="12" max="12" width="11.54296875" style="143" bestFit="1" customWidth="1"/>
    <col min="13" max="13" width="10.7265625" style="143" bestFit="1" customWidth="1"/>
    <col min="14" max="15" width="9.7265625" style="143" bestFit="1" customWidth="1"/>
    <col min="16" max="16" width="9.1796875" style="143"/>
  </cols>
  <sheetData>
    <row r="1" spans="2:7" x14ac:dyDescent="0.35">
      <c r="B1" s="142" t="s">
        <v>4135</v>
      </c>
    </row>
    <row r="2" spans="2:7" x14ac:dyDescent="0.35">
      <c r="B2" s="142">
        <v>10</v>
      </c>
      <c r="C2" s="143" t="s">
        <v>732</v>
      </c>
      <c r="D2" s="144" t="s">
        <v>4136</v>
      </c>
      <c r="F2" s="145">
        <v>17500</v>
      </c>
      <c r="G2" s="146">
        <v>17500</v>
      </c>
    </row>
    <row r="3" spans="2:7" x14ac:dyDescent="0.35">
      <c r="B3" s="142">
        <v>20</v>
      </c>
      <c r="C3" s="143" t="s">
        <v>4137</v>
      </c>
      <c r="D3" s="144" t="s">
        <v>4136</v>
      </c>
      <c r="F3" s="145">
        <v>33960</v>
      </c>
      <c r="G3" s="146">
        <v>33960</v>
      </c>
    </row>
    <row r="4" spans="2:7" x14ac:dyDescent="0.35">
      <c r="C4" s="146"/>
    </row>
    <row r="5" spans="2:7" x14ac:dyDescent="0.35">
      <c r="B5" s="142" t="s">
        <v>4138</v>
      </c>
    </row>
    <row r="6" spans="2:7" x14ac:dyDescent="0.35">
      <c r="B6" s="142">
        <v>50</v>
      </c>
      <c r="C6" s="143" t="s">
        <v>4139</v>
      </c>
      <c r="D6" s="144" t="s">
        <v>4140</v>
      </c>
      <c r="F6" s="145">
        <v>1</v>
      </c>
      <c r="G6" s="146">
        <v>2600</v>
      </c>
    </row>
    <row r="7" spans="2:7" x14ac:dyDescent="0.35">
      <c r="B7" s="142">
        <v>55</v>
      </c>
      <c r="C7" s="143" t="s">
        <v>4141</v>
      </c>
      <c r="D7" s="144" t="s">
        <v>4142</v>
      </c>
      <c r="F7" s="145">
        <v>800</v>
      </c>
      <c r="G7" s="146">
        <v>4800</v>
      </c>
    </row>
    <row r="8" spans="2:7" x14ac:dyDescent="0.35">
      <c r="B8" s="142">
        <v>70</v>
      </c>
      <c r="C8" s="143" t="s">
        <v>3755</v>
      </c>
      <c r="D8" s="144" t="s">
        <v>4143</v>
      </c>
      <c r="F8" s="145">
        <v>250</v>
      </c>
      <c r="G8" s="146">
        <v>5500</v>
      </c>
    </row>
    <row r="9" spans="2:7" x14ac:dyDescent="0.35">
      <c r="B9" s="142">
        <v>75</v>
      </c>
      <c r="C9" s="143" t="s">
        <v>3756</v>
      </c>
      <c r="D9" s="144" t="s">
        <v>4144</v>
      </c>
      <c r="F9" s="145">
        <v>10</v>
      </c>
      <c r="G9" s="146">
        <v>1000</v>
      </c>
    </row>
    <row r="10" spans="2:7" x14ac:dyDescent="0.35">
      <c r="G10" s="146"/>
    </row>
    <row r="11" spans="2:7" x14ac:dyDescent="0.35">
      <c r="B11" s="142" t="s">
        <v>4145</v>
      </c>
    </row>
    <row r="12" spans="2:7" x14ac:dyDescent="0.35">
      <c r="B12" s="142">
        <v>108</v>
      </c>
      <c r="C12" s="143" t="s">
        <v>3758</v>
      </c>
      <c r="D12" s="144" t="s">
        <v>4136</v>
      </c>
      <c r="F12" s="145">
        <v>31000</v>
      </c>
      <c r="G12" s="146">
        <v>31000</v>
      </c>
    </row>
    <row r="13" spans="2:7" x14ac:dyDescent="0.35">
      <c r="B13" s="142">
        <v>110</v>
      </c>
      <c r="C13" s="143" t="s">
        <v>3763</v>
      </c>
      <c r="D13" s="144" t="s">
        <v>4146</v>
      </c>
      <c r="F13" s="145">
        <v>4.5</v>
      </c>
      <c r="G13" s="146">
        <v>2700</v>
      </c>
    </row>
    <row r="14" spans="2:7" x14ac:dyDescent="0.35">
      <c r="B14" s="142">
        <v>115</v>
      </c>
      <c r="C14" s="143" t="s">
        <v>3764</v>
      </c>
      <c r="D14" s="144" t="s">
        <v>4147</v>
      </c>
      <c r="F14" s="145">
        <v>12</v>
      </c>
      <c r="G14" s="146">
        <v>234000</v>
      </c>
    </row>
    <row r="15" spans="2:7" x14ac:dyDescent="0.35">
      <c r="B15" s="142">
        <v>120</v>
      </c>
      <c r="C15" s="143" t="s">
        <v>3765</v>
      </c>
      <c r="D15" s="144" t="s">
        <v>4148</v>
      </c>
      <c r="F15" s="145">
        <v>0.35</v>
      </c>
      <c r="G15" s="146">
        <v>9905</v>
      </c>
    </row>
    <row r="16" spans="2:7" x14ac:dyDescent="0.35">
      <c r="B16" s="142">
        <v>125</v>
      </c>
      <c r="C16" s="143" t="s">
        <v>3766</v>
      </c>
      <c r="D16" s="144" t="s">
        <v>4148</v>
      </c>
      <c r="F16" s="145">
        <v>1.2</v>
      </c>
      <c r="G16" s="146">
        <v>33960</v>
      </c>
    </row>
    <row r="17" spans="2:7" x14ac:dyDescent="0.35">
      <c r="B17" s="142">
        <v>130</v>
      </c>
      <c r="C17" s="143" t="s">
        <v>3770</v>
      </c>
      <c r="D17" s="144" t="s">
        <v>4136</v>
      </c>
      <c r="F17" s="145">
        <v>34000</v>
      </c>
      <c r="G17" s="146">
        <v>34000</v>
      </c>
    </row>
    <row r="18" spans="2:7" x14ac:dyDescent="0.35">
      <c r="B18" s="142">
        <v>135</v>
      </c>
      <c r="C18" s="143" t="s">
        <v>3771</v>
      </c>
      <c r="D18" s="144" t="s">
        <v>4149</v>
      </c>
      <c r="F18" s="145">
        <v>2.5</v>
      </c>
      <c r="G18" s="146">
        <v>10500</v>
      </c>
    </row>
    <row r="19" spans="2:7" x14ac:dyDescent="0.35">
      <c r="G19" s="146"/>
    </row>
    <row r="20" spans="2:7" x14ac:dyDescent="0.35">
      <c r="B20" s="142" t="s">
        <v>4150</v>
      </c>
    </row>
    <row r="21" spans="2:7" x14ac:dyDescent="0.35">
      <c r="B21" s="142">
        <v>200</v>
      </c>
      <c r="C21" s="143" t="s">
        <v>3843</v>
      </c>
      <c r="D21" s="144" t="s">
        <v>4151</v>
      </c>
      <c r="F21" s="145">
        <v>4.8</v>
      </c>
      <c r="G21" s="146">
        <v>41280</v>
      </c>
    </row>
    <row r="22" spans="2:7" x14ac:dyDescent="0.35">
      <c r="B22" s="142">
        <v>205</v>
      </c>
      <c r="C22" s="143" t="s">
        <v>3844</v>
      </c>
      <c r="D22" s="144" t="s">
        <v>4152</v>
      </c>
      <c r="F22" s="145">
        <v>11</v>
      </c>
      <c r="G22" s="146">
        <v>89100</v>
      </c>
    </row>
    <row r="23" spans="2:7" x14ac:dyDescent="0.35">
      <c r="B23" s="142">
        <v>215</v>
      </c>
      <c r="C23" s="143" t="s">
        <v>3845</v>
      </c>
      <c r="D23" s="144" t="s">
        <v>4153</v>
      </c>
      <c r="F23" s="145">
        <v>6.6</v>
      </c>
      <c r="G23" s="146">
        <v>52800</v>
      </c>
    </row>
    <row r="24" spans="2:7" x14ac:dyDescent="0.35">
      <c r="B24" s="142">
        <v>220</v>
      </c>
      <c r="C24" s="143" t="s">
        <v>3846</v>
      </c>
      <c r="D24" s="144" t="s">
        <v>4153</v>
      </c>
      <c r="F24" s="145">
        <v>7</v>
      </c>
      <c r="G24" s="146">
        <v>56000</v>
      </c>
    </row>
    <row r="25" spans="2:7" x14ac:dyDescent="0.35">
      <c r="B25" s="142">
        <v>225</v>
      </c>
      <c r="C25" s="143" t="s">
        <v>3849</v>
      </c>
      <c r="D25" s="144" t="s">
        <v>4154</v>
      </c>
      <c r="F25" s="145">
        <v>51</v>
      </c>
      <c r="G25" s="146">
        <v>4335</v>
      </c>
    </row>
    <row r="26" spans="2:7" x14ac:dyDescent="0.35">
      <c r="B26" s="142">
        <v>230</v>
      </c>
      <c r="C26" s="143" t="s">
        <v>4155</v>
      </c>
      <c r="D26" s="144" t="s">
        <v>4156</v>
      </c>
      <c r="F26" s="145">
        <v>6</v>
      </c>
      <c r="G26" s="146">
        <v>9000</v>
      </c>
    </row>
    <row r="27" spans="2:7" x14ac:dyDescent="0.35">
      <c r="B27" s="142">
        <v>240</v>
      </c>
      <c r="C27" s="143" t="s">
        <v>3851</v>
      </c>
      <c r="D27" s="144" t="s">
        <v>4157</v>
      </c>
      <c r="F27" s="145">
        <v>11.2</v>
      </c>
      <c r="G27" s="146">
        <v>47600</v>
      </c>
    </row>
    <row r="28" spans="2:7" x14ac:dyDescent="0.35">
      <c r="B28" s="142">
        <v>241</v>
      </c>
      <c r="C28" s="143" t="s">
        <v>3852</v>
      </c>
      <c r="D28" s="144" t="s">
        <v>4158</v>
      </c>
      <c r="F28" s="145">
        <v>17.2</v>
      </c>
      <c r="G28" s="146">
        <v>1892</v>
      </c>
    </row>
    <row r="29" spans="2:7" x14ac:dyDescent="0.35">
      <c r="B29" s="142">
        <v>242</v>
      </c>
      <c r="C29" s="143" t="s">
        <v>3853</v>
      </c>
      <c r="D29" s="144" t="s">
        <v>4159</v>
      </c>
      <c r="F29" s="145">
        <v>19.2</v>
      </c>
      <c r="G29" s="146">
        <v>4800</v>
      </c>
    </row>
    <row r="30" spans="2:7" x14ac:dyDescent="0.35">
      <c r="B30" s="142">
        <v>245</v>
      </c>
      <c r="C30" s="143" t="s">
        <v>3854</v>
      </c>
      <c r="D30" s="144" t="s">
        <v>4160</v>
      </c>
      <c r="F30" s="145">
        <v>21</v>
      </c>
      <c r="G30" s="146">
        <v>3045</v>
      </c>
    </row>
    <row r="31" spans="2:7" x14ac:dyDescent="0.35">
      <c r="B31" s="142">
        <v>250</v>
      </c>
      <c r="C31" s="143" t="s">
        <v>3855</v>
      </c>
      <c r="D31" s="144" t="s">
        <v>4161</v>
      </c>
      <c r="F31" s="145">
        <v>3.8</v>
      </c>
      <c r="G31" s="146">
        <v>53200</v>
      </c>
    </row>
    <row r="32" spans="2:7" x14ac:dyDescent="0.35">
      <c r="B32" s="142">
        <v>252</v>
      </c>
      <c r="C32" s="143" t="s">
        <v>3856</v>
      </c>
      <c r="D32" s="144" t="s">
        <v>4162</v>
      </c>
      <c r="F32" s="145">
        <v>7.2</v>
      </c>
      <c r="G32" s="146">
        <v>864</v>
      </c>
    </row>
    <row r="33" spans="2:7" x14ac:dyDescent="0.35">
      <c r="B33" s="142">
        <v>255</v>
      </c>
      <c r="C33" s="143" t="s">
        <v>3857</v>
      </c>
      <c r="D33" s="144" t="s">
        <v>4163</v>
      </c>
      <c r="F33" s="145">
        <v>800</v>
      </c>
      <c r="G33" s="146">
        <v>5600</v>
      </c>
    </row>
    <row r="34" spans="2:7" x14ac:dyDescent="0.35">
      <c r="B34" s="142">
        <v>256</v>
      </c>
      <c r="C34" s="143" t="s">
        <v>4164</v>
      </c>
      <c r="D34" s="144" t="s">
        <v>4165</v>
      </c>
      <c r="F34" s="145">
        <v>43</v>
      </c>
      <c r="G34" s="146">
        <v>27950</v>
      </c>
    </row>
    <row r="35" spans="2:7" x14ac:dyDescent="0.35">
      <c r="B35" s="142">
        <v>260</v>
      </c>
      <c r="C35" s="143" t="s">
        <v>4166</v>
      </c>
      <c r="D35" s="144" t="s">
        <v>4136</v>
      </c>
      <c r="F35" s="145">
        <v>13650</v>
      </c>
      <c r="G35" s="146">
        <v>13650</v>
      </c>
    </row>
    <row r="36" spans="2:7" x14ac:dyDescent="0.35">
      <c r="G36" s="146"/>
    </row>
    <row r="37" spans="2:7" x14ac:dyDescent="0.35">
      <c r="B37" s="142" t="s">
        <v>4167</v>
      </c>
    </row>
    <row r="38" spans="2:7" x14ac:dyDescent="0.35">
      <c r="B38" s="142">
        <v>300</v>
      </c>
      <c r="C38" s="143" t="s">
        <v>3774</v>
      </c>
      <c r="D38" s="144" t="s">
        <v>4168</v>
      </c>
      <c r="F38" s="145">
        <v>34</v>
      </c>
      <c r="G38" s="146">
        <v>1870</v>
      </c>
    </row>
    <row r="39" spans="2:7" x14ac:dyDescent="0.35">
      <c r="B39" s="142">
        <v>305</v>
      </c>
      <c r="C39" s="143" t="s">
        <v>3775</v>
      </c>
      <c r="D39" s="144" t="s">
        <v>4169</v>
      </c>
      <c r="F39" s="145">
        <v>36</v>
      </c>
      <c r="G39" s="146">
        <v>2736</v>
      </c>
    </row>
    <row r="40" spans="2:7" x14ac:dyDescent="0.35">
      <c r="B40" s="142">
        <v>310</v>
      </c>
      <c r="C40" s="143" t="s">
        <v>3776</v>
      </c>
      <c r="D40" s="144" t="s">
        <v>4170</v>
      </c>
      <c r="F40" s="145">
        <v>43</v>
      </c>
      <c r="G40" s="146">
        <v>11653</v>
      </c>
    </row>
    <row r="41" spans="2:7" x14ac:dyDescent="0.35">
      <c r="B41" s="142">
        <v>315</v>
      </c>
      <c r="C41" s="143" t="s">
        <v>3778</v>
      </c>
      <c r="D41" s="144" t="s">
        <v>4171</v>
      </c>
      <c r="F41" s="145">
        <v>38</v>
      </c>
      <c r="G41" s="146">
        <v>21280</v>
      </c>
    </row>
    <row r="42" spans="2:7" x14ac:dyDescent="0.35">
      <c r="B42" s="142">
        <v>320</v>
      </c>
      <c r="C42" s="143" t="s">
        <v>3780</v>
      </c>
      <c r="D42" s="144" t="s">
        <v>4172</v>
      </c>
      <c r="F42" s="145">
        <v>44</v>
      </c>
      <c r="G42" s="146">
        <v>20548</v>
      </c>
    </row>
    <row r="43" spans="2:7" x14ac:dyDescent="0.35">
      <c r="B43" s="142">
        <v>325</v>
      </c>
      <c r="C43" s="143" t="s">
        <v>3781</v>
      </c>
      <c r="D43" s="144" t="s">
        <v>4173</v>
      </c>
      <c r="F43" s="145">
        <v>50</v>
      </c>
      <c r="G43" s="146">
        <v>7100</v>
      </c>
    </row>
    <row r="44" spans="2:7" x14ac:dyDescent="0.35">
      <c r="B44" s="142">
        <v>330</v>
      </c>
      <c r="C44" s="143" t="s">
        <v>3782</v>
      </c>
      <c r="D44" s="144" t="s">
        <v>4174</v>
      </c>
      <c r="F44" s="145">
        <v>60</v>
      </c>
      <c r="G44" s="146">
        <v>106500</v>
      </c>
    </row>
    <row r="45" spans="2:7" x14ac:dyDescent="0.35">
      <c r="B45" s="142">
        <v>332</v>
      </c>
      <c r="C45" s="143" t="s">
        <v>3784</v>
      </c>
      <c r="D45" s="144" t="s">
        <v>4175</v>
      </c>
      <c r="F45" s="145">
        <v>88</v>
      </c>
      <c r="G45" s="146">
        <v>5368</v>
      </c>
    </row>
    <row r="46" spans="2:7" x14ac:dyDescent="0.35">
      <c r="B46" s="142">
        <v>335</v>
      </c>
      <c r="C46" s="143" t="s">
        <v>3785</v>
      </c>
      <c r="D46" s="144" t="s">
        <v>4176</v>
      </c>
      <c r="F46" s="145">
        <v>95</v>
      </c>
      <c r="G46" s="146">
        <v>14535</v>
      </c>
    </row>
    <row r="47" spans="2:7" x14ac:dyDescent="0.35">
      <c r="B47" s="142">
        <v>340</v>
      </c>
      <c r="C47" s="143" t="s">
        <v>3787</v>
      </c>
      <c r="D47" s="144" t="s">
        <v>4177</v>
      </c>
      <c r="F47" s="145">
        <v>980</v>
      </c>
      <c r="G47" s="146">
        <v>3920</v>
      </c>
    </row>
    <row r="48" spans="2:7" x14ac:dyDescent="0.35">
      <c r="B48" s="142">
        <v>345</v>
      </c>
      <c r="C48" s="143" t="s">
        <v>3788</v>
      </c>
      <c r="D48" s="144" t="s">
        <v>4178</v>
      </c>
      <c r="F48" s="145">
        <v>1700</v>
      </c>
      <c r="G48" s="146">
        <v>13600</v>
      </c>
    </row>
    <row r="49" spans="2:7" x14ac:dyDescent="0.35">
      <c r="B49" s="142">
        <v>350</v>
      </c>
      <c r="C49" s="143" t="s">
        <v>3789</v>
      </c>
      <c r="D49" s="144" t="s">
        <v>4179</v>
      </c>
      <c r="F49" s="145">
        <v>4250</v>
      </c>
      <c r="G49" s="146">
        <v>4250</v>
      </c>
    </row>
    <row r="50" spans="2:7" x14ac:dyDescent="0.35">
      <c r="B50" s="142">
        <v>355</v>
      </c>
      <c r="C50" s="143" t="s">
        <v>3790</v>
      </c>
      <c r="D50" s="144" t="s">
        <v>4179</v>
      </c>
      <c r="F50" s="145">
        <v>4100</v>
      </c>
      <c r="G50" s="146">
        <v>4100</v>
      </c>
    </row>
    <row r="51" spans="2:7" x14ac:dyDescent="0.35">
      <c r="B51" s="142">
        <v>360</v>
      </c>
      <c r="C51" s="143" t="s">
        <v>3791</v>
      </c>
      <c r="D51" s="144" t="s">
        <v>4180</v>
      </c>
      <c r="F51" s="145">
        <v>5200</v>
      </c>
      <c r="G51" s="146">
        <v>26000</v>
      </c>
    </row>
    <row r="52" spans="2:7" x14ac:dyDescent="0.35">
      <c r="B52" s="142">
        <v>362</v>
      </c>
      <c r="C52" s="143" t="s">
        <v>3792</v>
      </c>
      <c r="D52" s="144" t="s">
        <v>4179</v>
      </c>
      <c r="F52" s="145">
        <v>28000</v>
      </c>
      <c r="G52" s="146">
        <v>28000</v>
      </c>
    </row>
    <row r="53" spans="2:7" x14ac:dyDescent="0.35">
      <c r="B53" s="142">
        <v>364</v>
      </c>
      <c r="C53" s="143" t="s">
        <v>3793</v>
      </c>
      <c r="D53" s="144" t="s">
        <v>4178</v>
      </c>
      <c r="F53" s="145">
        <v>4700</v>
      </c>
      <c r="G53" s="146">
        <v>37600</v>
      </c>
    </row>
    <row r="54" spans="2:7" x14ac:dyDescent="0.35">
      <c r="B54" s="142">
        <v>366</v>
      </c>
      <c r="C54" s="143" t="s">
        <v>3794</v>
      </c>
      <c r="D54" s="144" t="s">
        <v>4181</v>
      </c>
      <c r="F54" s="145">
        <v>4600</v>
      </c>
      <c r="G54" s="146">
        <v>41400</v>
      </c>
    </row>
    <row r="55" spans="2:7" x14ac:dyDescent="0.35">
      <c r="B55" s="142">
        <v>368</v>
      </c>
      <c r="C55" s="143" t="s">
        <v>3795</v>
      </c>
      <c r="D55" s="144" t="s">
        <v>4182</v>
      </c>
      <c r="F55" s="145">
        <v>4550</v>
      </c>
      <c r="G55" s="146">
        <v>9100</v>
      </c>
    </row>
    <row r="56" spans="2:7" x14ac:dyDescent="0.35">
      <c r="B56" s="142">
        <v>369</v>
      </c>
      <c r="C56" s="143" t="s">
        <v>3796</v>
      </c>
      <c r="D56" s="144" t="s">
        <v>4179</v>
      </c>
      <c r="F56" s="145">
        <v>4400</v>
      </c>
      <c r="G56" s="146">
        <v>4400</v>
      </c>
    </row>
    <row r="57" spans="2:7" x14ac:dyDescent="0.35">
      <c r="B57" s="142">
        <v>370</v>
      </c>
      <c r="C57" s="143" t="s">
        <v>4183</v>
      </c>
      <c r="D57" s="144" t="s">
        <v>4179</v>
      </c>
      <c r="F57" s="145">
        <v>5400</v>
      </c>
      <c r="G57" s="146">
        <v>5400</v>
      </c>
    </row>
    <row r="58" spans="2:7" x14ac:dyDescent="0.35">
      <c r="B58" s="142">
        <v>380</v>
      </c>
      <c r="C58" s="143" t="s">
        <v>4184</v>
      </c>
      <c r="D58" s="144" t="s">
        <v>4185</v>
      </c>
      <c r="F58" s="145">
        <v>10</v>
      </c>
      <c r="G58" s="146">
        <v>35600</v>
      </c>
    </row>
    <row r="59" spans="2:7" x14ac:dyDescent="0.35">
      <c r="B59" s="142">
        <v>385</v>
      </c>
      <c r="C59" s="143" t="s">
        <v>4186</v>
      </c>
      <c r="D59" s="144" t="s">
        <v>4185</v>
      </c>
      <c r="F59" s="145">
        <v>5</v>
      </c>
      <c r="G59" s="146">
        <v>17800</v>
      </c>
    </row>
    <row r="60" spans="2:7" x14ac:dyDescent="0.35">
      <c r="G60" s="146"/>
    </row>
    <row r="61" spans="2:7" x14ac:dyDescent="0.35">
      <c r="B61" s="142" t="s">
        <v>4187</v>
      </c>
    </row>
    <row r="62" spans="2:7" x14ac:dyDescent="0.35">
      <c r="B62" s="142">
        <v>405</v>
      </c>
      <c r="C62" s="143" t="s">
        <v>4188</v>
      </c>
      <c r="D62" s="144" t="s">
        <v>4189</v>
      </c>
      <c r="F62" s="145">
        <v>46</v>
      </c>
      <c r="G62" s="146">
        <v>1380</v>
      </c>
    </row>
    <row r="63" spans="2:7" x14ac:dyDescent="0.35">
      <c r="B63" s="142">
        <v>410</v>
      </c>
      <c r="C63" s="143" t="s">
        <v>4190</v>
      </c>
      <c r="D63" s="144" t="s">
        <v>4191</v>
      </c>
      <c r="F63" s="145">
        <v>50</v>
      </c>
      <c r="G63" s="146">
        <v>11000</v>
      </c>
    </row>
    <row r="64" spans="2:7" x14ac:dyDescent="0.35">
      <c r="B64" s="142">
        <v>415</v>
      </c>
      <c r="C64" s="143" t="s">
        <v>4192</v>
      </c>
      <c r="D64" s="144" t="s">
        <v>4179</v>
      </c>
      <c r="F64" s="145">
        <v>6500</v>
      </c>
      <c r="G64" s="146">
        <v>6500</v>
      </c>
    </row>
    <row r="65" spans="2:7" x14ac:dyDescent="0.35">
      <c r="B65" s="142">
        <v>420</v>
      </c>
      <c r="C65" s="143" t="s">
        <v>4193</v>
      </c>
      <c r="D65" s="144" t="s">
        <v>4179</v>
      </c>
      <c r="F65" s="145">
        <v>7600</v>
      </c>
      <c r="G65" s="146">
        <v>7600</v>
      </c>
    </row>
    <row r="66" spans="2:7" x14ac:dyDescent="0.35">
      <c r="B66" s="142">
        <v>425</v>
      </c>
      <c r="C66" s="143" t="s">
        <v>4194</v>
      </c>
      <c r="D66" s="144" t="s">
        <v>4195</v>
      </c>
      <c r="F66" s="145">
        <v>40</v>
      </c>
      <c r="G66" s="146">
        <v>11120</v>
      </c>
    </row>
    <row r="67" spans="2:7" x14ac:dyDescent="0.35">
      <c r="B67" s="142">
        <v>426</v>
      </c>
      <c r="C67" s="143" t="s">
        <v>4196</v>
      </c>
      <c r="D67" s="144" t="s">
        <v>4136</v>
      </c>
      <c r="F67" s="145">
        <v>2700</v>
      </c>
      <c r="G67" s="146">
        <v>2700</v>
      </c>
    </row>
    <row r="68" spans="2:7" x14ac:dyDescent="0.35">
      <c r="B68" s="142">
        <v>428</v>
      </c>
      <c r="C68" s="143" t="s">
        <v>4197</v>
      </c>
      <c r="D68" s="144" t="s">
        <v>4182</v>
      </c>
      <c r="F68" s="145">
        <v>10000</v>
      </c>
      <c r="G68" s="146">
        <v>20000</v>
      </c>
    </row>
    <row r="69" spans="2:7" x14ac:dyDescent="0.35">
      <c r="B69" s="142">
        <v>440</v>
      </c>
      <c r="C69" s="143" t="s">
        <v>3814</v>
      </c>
      <c r="D69" s="144" t="s">
        <v>4159</v>
      </c>
      <c r="F69" s="145">
        <v>10</v>
      </c>
      <c r="G69" s="146">
        <v>2500</v>
      </c>
    </row>
    <row r="70" spans="2:7" x14ac:dyDescent="0.35">
      <c r="B70" s="142">
        <v>445</v>
      </c>
      <c r="C70" s="143" t="s">
        <v>3815</v>
      </c>
      <c r="D70" s="144" t="s">
        <v>4159</v>
      </c>
      <c r="F70" s="145">
        <v>5</v>
      </c>
      <c r="G70" s="146">
        <v>1250</v>
      </c>
    </row>
    <row r="71" spans="2:7" x14ac:dyDescent="0.35">
      <c r="G71" s="146"/>
    </row>
    <row r="72" spans="2:7" x14ac:dyDescent="0.35">
      <c r="B72" s="142" t="s">
        <v>4198</v>
      </c>
    </row>
    <row r="73" spans="2:7" x14ac:dyDescent="0.35">
      <c r="B73" s="142">
        <v>460</v>
      </c>
      <c r="C73" s="143" t="s">
        <v>4199</v>
      </c>
      <c r="D73" s="144" t="s">
        <v>4200</v>
      </c>
      <c r="F73" s="145">
        <v>45</v>
      </c>
      <c r="G73" s="146">
        <v>13725</v>
      </c>
    </row>
    <row r="74" spans="2:7" x14ac:dyDescent="0.35">
      <c r="B74" s="142">
        <v>470</v>
      </c>
      <c r="C74" s="143" t="s">
        <v>3818</v>
      </c>
      <c r="D74" s="144" t="s">
        <v>4136</v>
      </c>
      <c r="F74" s="145">
        <v>2300</v>
      </c>
      <c r="G74" s="146">
        <v>2300</v>
      </c>
    </row>
    <row r="75" spans="2:7" x14ac:dyDescent="0.35">
      <c r="B75" s="142">
        <v>475</v>
      </c>
      <c r="C75" s="143" t="s">
        <v>3819</v>
      </c>
      <c r="D75" s="144" t="s">
        <v>4136</v>
      </c>
      <c r="F75" s="145">
        <v>132000</v>
      </c>
      <c r="G75" s="146">
        <v>132000</v>
      </c>
    </row>
    <row r="76" spans="2:7" x14ac:dyDescent="0.35">
      <c r="B76" s="142">
        <v>485</v>
      </c>
      <c r="C76" s="143" t="s">
        <v>3814</v>
      </c>
      <c r="D76" s="144" t="s">
        <v>4200</v>
      </c>
      <c r="F76" s="145">
        <v>10</v>
      </c>
      <c r="G76" s="146">
        <v>3050</v>
      </c>
    </row>
    <row r="77" spans="2:7" x14ac:dyDescent="0.35">
      <c r="B77" s="142">
        <v>490</v>
      </c>
      <c r="C77" s="143" t="s">
        <v>3820</v>
      </c>
      <c r="D77" s="144" t="s">
        <v>4200</v>
      </c>
      <c r="F77" s="145">
        <v>5</v>
      </c>
      <c r="G77" s="146">
        <v>1525</v>
      </c>
    </row>
    <row r="78" spans="2:7" x14ac:dyDescent="0.35">
      <c r="G78" s="146"/>
    </row>
    <row r="79" spans="2:7" x14ac:dyDescent="0.35">
      <c r="B79" s="142" t="s">
        <v>4201</v>
      </c>
    </row>
    <row r="80" spans="2:7" x14ac:dyDescent="0.35">
      <c r="B80" s="142">
        <v>505</v>
      </c>
      <c r="C80" s="143" t="s">
        <v>4202</v>
      </c>
      <c r="D80" s="144" t="s">
        <v>4203</v>
      </c>
      <c r="F80" s="145">
        <v>30</v>
      </c>
      <c r="G80" s="146">
        <v>40290</v>
      </c>
    </row>
    <row r="81" spans="2:7" x14ac:dyDescent="0.35">
      <c r="B81" s="142">
        <v>506</v>
      </c>
      <c r="C81" s="143" t="s">
        <v>4204</v>
      </c>
      <c r="D81" s="144" t="s">
        <v>4205</v>
      </c>
      <c r="F81" s="145">
        <v>45</v>
      </c>
      <c r="G81" s="146">
        <v>2250</v>
      </c>
    </row>
    <row r="82" spans="2:7" x14ac:dyDescent="0.35">
      <c r="B82" s="142">
        <v>510</v>
      </c>
      <c r="C82" s="143" t="s">
        <v>4206</v>
      </c>
      <c r="D82" s="144" t="s">
        <v>4177</v>
      </c>
      <c r="F82" s="145">
        <v>2600</v>
      </c>
      <c r="G82" s="146">
        <v>10400</v>
      </c>
    </row>
    <row r="83" spans="2:7" x14ac:dyDescent="0.35">
      <c r="B83" s="142">
        <v>515</v>
      </c>
      <c r="C83" s="143" t="s">
        <v>4207</v>
      </c>
      <c r="D83" s="144" t="s">
        <v>4158</v>
      </c>
      <c r="F83" s="145">
        <v>28</v>
      </c>
      <c r="G83" s="146">
        <v>3080</v>
      </c>
    </row>
    <row r="84" spans="2:7" x14ac:dyDescent="0.35">
      <c r="B84" s="142">
        <v>520</v>
      </c>
      <c r="C84" s="143" t="s">
        <v>4208</v>
      </c>
      <c r="D84" s="144" t="s">
        <v>4182</v>
      </c>
      <c r="F84" s="145">
        <v>2350</v>
      </c>
      <c r="G84" s="146">
        <v>4700</v>
      </c>
    </row>
    <row r="85" spans="2:7" x14ac:dyDescent="0.35">
      <c r="B85" s="142">
        <v>525</v>
      </c>
      <c r="C85" s="143" t="s">
        <v>3838</v>
      </c>
      <c r="D85" s="144" t="s">
        <v>4136</v>
      </c>
      <c r="F85" s="145">
        <v>22000</v>
      </c>
      <c r="G85" s="146">
        <v>22000</v>
      </c>
    </row>
    <row r="86" spans="2:7" x14ac:dyDescent="0.35">
      <c r="B86" s="142">
        <v>530</v>
      </c>
      <c r="C86" s="143" t="s">
        <v>4209</v>
      </c>
      <c r="D86" s="144" t="s">
        <v>4177</v>
      </c>
      <c r="F86" s="145">
        <v>5300</v>
      </c>
      <c r="G86" s="146">
        <v>21200</v>
      </c>
    </row>
    <row r="87" spans="2:7" x14ac:dyDescent="0.35">
      <c r="B87" s="142">
        <v>535</v>
      </c>
      <c r="C87" s="143" t="s">
        <v>4210</v>
      </c>
      <c r="D87" s="144" t="s">
        <v>4179</v>
      </c>
      <c r="F87" s="145">
        <v>1800</v>
      </c>
      <c r="G87" s="146">
        <v>1800</v>
      </c>
    </row>
    <row r="88" spans="2:7" x14ac:dyDescent="0.35">
      <c r="B88" s="142">
        <v>540</v>
      </c>
      <c r="C88" s="143" t="s">
        <v>3818</v>
      </c>
      <c r="D88" s="144" t="s">
        <v>4136</v>
      </c>
      <c r="F88" s="145">
        <v>3550</v>
      </c>
      <c r="G88" s="146">
        <v>3550</v>
      </c>
    </row>
    <row r="89" spans="2:7" x14ac:dyDescent="0.35">
      <c r="B89" s="142">
        <v>545</v>
      </c>
      <c r="C89" s="143" t="s">
        <v>3831</v>
      </c>
      <c r="D89" s="144" t="s">
        <v>4179</v>
      </c>
      <c r="F89" s="145">
        <v>2500</v>
      </c>
      <c r="G89" s="146">
        <v>2500</v>
      </c>
    </row>
    <row r="90" spans="2:7" x14ac:dyDescent="0.35">
      <c r="B90" s="142">
        <v>550</v>
      </c>
      <c r="C90" s="143" t="s">
        <v>3832</v>
      </c>
      <c r="D90" s="144" t="s">
        <v>4136</v>
      </c>
      <c r="F90" s="145">
        <v>2800</v>
      </c>
      <c r="G90" s="146">
        <v>2800</v>
      </c>
    </row>
    <row r="91" spans="2:7" x14ac:dyDescent="0.35">
      <c r="G91" s="146"/>
    </row>
    <row r="92" spans="2:7" x14ac:dyDescent="0.35">
      <c r="B92" s="142" t="s">
        <v>4211</v>
      </c>
    </row>
    <row r="93" spans="2:7" x14ac:dyDescent="0.35">
      <c r="B93" s="142">
        <v>600</v>
      </c>
      <c r="C93" s="143" t="s">
        <v>4212</v>
      </c>
      <c r="D93" s="144" t="s">
        <v>4213</v>
      </c>
      <c r="F93" s="145">
        <v>70</v>
      </c>
      <c r="G93" s="146">
        <v>9450</v>
      </c>
    </row>
    <row r="94" spans="2:7" x14ac:dyDescent="0.35">
      <c r="B94" s="142">
        <v>605</v>
      </c>
      <c r="C94" s="143" t="s">
        <v>4214</v>
      </c>
      <c r="D94" s="144" t="s">
        <v>4179</v>
      </c>
      <c r="F94" s="145">
        <v>10000</v>
      </c>
      <c r="G94" s="146">
        <v>10000</v>
      </c>
    </row>
    <row r="95" spans="2:7" x14ac:dyDescent="0.35">
      <c r="B95" s="142">
        <v>610</v>
      </c>
      <c r="C95" s="143" t="s">
        <v>4215</v>
      </c>
      <c r="D95" s="144" t="s">
        <v>4216</v>
      </c>
      <c r="F95" s="145">
        <v>28</v>
      </c>
      <c r="G95" s="146">
        <v>420</v>
      </c>
    </row>
    <row r="96" spans="2:7" x14ac:dyDescent="0.35">
      <c r="B96" s="142">
        <v>615</v>
      </c>
      <c r="C96" s="143" t="s">
        <v>4217</v>
      </c>
      <c r="D96" s="144" t="s">
        <v>4136</v>
      </c>
      <c r="F96" s="145">
        <v>2100</v>
      </c>
      <c r="G96" s="146">
        <v>2100</v>
      </c>
    </row>
    <row r="97" spans="2:10" x14ac:dyDescent="0.35">
      <c r="B97" s="142">
        <v>620</v>
      </c>
      <c r="C97" s="143" t="s">
        <v>3840</v>
      </c>
      <c r="D97" s="144" t="s">
        <v>4179</v>
      </c>
      <c r="F97" s="145">
        <v>2500</v>
      </c>
      <c r="G97" s="146">
        <v>2500</v>
      </c>
    </row>
    <row r="98" spans="2:10" x14ac:dyDescent="0.35">
      <c r="B98" s="142">
        <v>625</v>
      </c>
      <c r="C98" s="143" t="s">
        <v>4218</v>
      </c>
      <c r="D98" s="144" t="s">
        <v>4179</v>
      </c>
      <c r="F98" s="145">
        <v>1800</v>
      </c>
      <c r="G98" s="146">
        <v>1800</v>
      </c>
    </row>
    <row r="99" spans="2:10" x14ac:dyDescent="0.35">
      <c r="B99" s="142">
        <v>630</v>
      </c>
      <c r="C99" s="143" t="s">
        <v>4219</v>
      </c>
      <c r="D99" s="144" t="s">
        <v>4136</v>
      </c>
      <c r="F99" s="145">
        <v>2200</v>
      </c>
      <c r="G99" s="146">
        <v>2200</v>
      </c>
    </row>
    <row r="100" spans="2:10" x14ac:dyDescent="0.35">
      <c r="G100" s="146"/>
    </row>
    <row r="101" spans="2:10" x14ac:dyDescent="0.35">
      <c r="B101" s="142" t="s">
        <v>4135</v>
      </c>
    </row>
    <row r="102" spans="2:10" x14ac:dyDescent="0.35">
      <c r="B102" s="142">
        <v>10</v>
      </c>
      <c r="C102" s="143" t="s">
        <v>732</v>
      </c>
      <c r="D102" s="144" t="s">
        <v>4136</v>
      </c>
      <c r="F102" s="145">
        <v>17500</v>
      </c>
      <c r="G102" s="146">
        <v>17500</v>
      </c>
    </row>
    <row r="103" spans="2:10" x14ac:dyDescent="0.35">
      <c r="B103" s="142">
        <v>20</v>
      </c>
      <c r="C103" s="143" t="s">
        <v>4137</v>
      </c>
      <c r="D103" s="144" t="s">
        <v>4136</v>
      </c>
      <c r="F103" s="145">
        <v>12040</v>
      </c>
      <c r="G103" s="146">
        <v>12040</v>
      </c>
    </row>
    <row r="104" spans="2:10" x14ac:dyDescent="0.35">
      <c r="B104" s="142">
        <v>30</v>
      </c>
      <c r="C104" s="143" t="s">
        <v>3723</v>
      </c>
      <c r="D104" s="144" t="s">
        <v>4136</v>
      </c>
      <c r="F104" s="145">
        <v>10000</v>
      </c>
      <c r="G104" s="146">
        <v>10000</v>
      </c>
    </row>
    <row r="105" spans="2:10" x14ac:dyDescent="0.35">
      <c r="C105" s="146"/>
    </row>
    <row r="106" spans="2:10" x14ac:dyDescent="0.35">
      <c r="B106" s="142" t="s">
        <v>4138</v>
      </c>
    </row>
    <row r="107" spans="2:10" x14ac:dyDescent="0.35">
      <c r="B107" s="142">
        <v>50</v>
      </c>
      <c r="C107" s="143" t="s">
        <v>4139</v>
      </c>
      <c r="D107" s="144" t="s">
        <v>4220</v>
      </c>
      <c r="F107" s="145">
        <v>1</v>
      </c>
      <c r="G107" s="146">
        <v>1700</v>
      </c>
    </row>
    <row r="108" spans="2:10" x14ac:dyDescent="0.35">
      <c r="B108" s="142">
        <v>55</v>
      </c>
      <c r="C108" s="143" t="s">
        <v>4141</v>
      </c>
      <c r="F108" s="145" t="s">
        <v>4142</v>
      </c>
      <c r="H108" s="146">
        <v>800</v>
      </c>
      <c r="J108" s="146">
        <v>4800</v>
      </c>
    </row>
    <row r="109" spans="2:10" x14ac:dyDescent="0.35">
      <c r="B109" s="142">
        <v>60</v>
      </c>
      <c r="C109" s="143" t="s">
        <v>3752</v>
      </c>
      <c r="F109" s="145" t="s">
        <v>4179</v>
      </c>
      <c r="G109" s="146">
        <v>3200</v>
      </c>
      <c r="I109" s="146">
        <v>3200</v>
      </c>
    </row>
    <row r="110" spans="2:10" x14ac:dyDescent="0.35">
      <c r="B110" s="142">
        <v>65</v>
      </c>
      <c r="C110" s="143" t="s">
        <v>3753</v>
      </c>
      <c r="D110" s="144" t="s">
        <v>4221</v>
      </c>
      <c r="F110" s="145">
        <v>1870</v>
      </c>
      <c r="G110" s="146">
        <v>22440</v>
      </c>
    </row>
    <row r="111" spans="2:10" x14ac:dyDescent="0.35">
      <c r="B111" s="142">
        <v>70</v>
      </c>
      <c r="C111" s="143" t="s">
        <v>3755</v>
      </c>
      <c r="F111" s="145" t="s">
        <v>4178</v>
      </c>
      <c r="H111" s="146">
        <v>250</v>
      </c>
      <c r="J111" s="146">
        <v>2000</v>
      </c>
    </row>
    <row r="112" spans="2:10" x14ac:dyDescent="0.35">
      <c r="C112" s="146"/>
    </row>
    <row r="113" spans="2:14" x14ac:dyDescent="0.35">
      <c r="B113" s="142" t="s">
        <v>4145</v>
      </c>
    </row>
    <row r="114" spans="2:14" x14ac:dyDescent="0.35">
      <c r="B114" s="142">
        <v>100</v>
      </c>
      <c r="C114" s="143" t="s">
        <v>4222</v>
      </c>
      <c r="D114" s="144" t="s">
        <v>4223</v>
      </c>
      <c r="F114" s="145">
        <v>5</v>
      </c>
      <c r="G114" s="146">
        <v>4500</v>
      </c>
    </row>
    <row r="115" spans="2:14" x14ac:dyDescent="0.35">
      <c r="B115" s="142">
        <v>105</v>
      </c>
      <c r="C115" s="143" t="s">
        <v>4224</v>
      </c>
      <c r="H115" s="143" t="s">
        <v>4136</v>
      </c>
      <c r="J115" s="146">
        <v>2600</v>
      </c>
      <c r="M115" s="146">
        <v>2600</v>
      </c>
    </row>
    <row r="116" spans="2:14" x14ac:dyDescent="0.35">
      <c r="B116" s="142">
        <v>108</v>
      </c>
      <c r="C116" s="143" t="s">
        <v>3758</v>
      </c>
      <c r="H116" s="143" t="s">
        <v>4136</v>
      </c>
      <c r="I116" s="146">
        <v>13400</v>
      </c>
      <c r="K116" s="146">
        <v>13400</v>
      </c>
    </row>
    <row r="117" spans="2:14" x14ac:dyDescent="0.35">
      <c r="B117" s="142">
        <v>110</v>
      </c>
      <c r="C117" s="143" t="s">
        <v>3763</v>
      </c>
      <c r="G117" s="143" t="s">
        <v>4225</v>
      </c>
      <c r="K117" s="146">
        <v>4.5</v>
      </c>
      <c r="N117" s="146">
        <v>3150</v>
      </c>
    </row>
    <row r="118" spans="2:14" x14ac:dyDescent="0.35">
      <c r="B118" s="142">
        <v>115</v>
      </c>
      <c r="C118" s="143" t="s">
        <v>3764</v>
      </c>
      <c r="D118" s="144" t="s">
        <v>4226</v>
      </c>
      <c r="H118" s="146">
        <v>12</v>
      </c>
      <c r="I118" s="146">
        <v>138000</v>
      </c>
    </row>
    <row r="119" spans="2:14" x14ac:dyDescent="0.35">
      <c r="B119" s="142">
        <v>120</v>
      </c>
      <c r="C119" s="143" t="s">
        <v>3765</v>
      </c>
      <c r="D119" s="144" t="s">
        <v>4227</v>
      </c>
      <c r="I119" s="146">
        <v>0.35</v>
      </c>
      <c r="L119" s="146">
        <v>4060</v>
      </c>
    </row>
    <row r="120" spans="2:14" x14ac:dyDescent="0.35">
      <c r="B120" s="142">
        <v>125</v>
      </c>
      <c r="C120" s="143" t="s">
        <v>3766</v>
      </c>
      <c r="D120" s="144" t="s">
        <v>4227</v>
      </c>
      <c r="I120" s="146">
        <v>1.2</v>
      </c>
      <c r="K120" s="146">
        <v>13920</v>
      </c>
    </row>
    <row r="121" spans="2:14" x14ac:dyDescent="0.35">
      <c r="B121" s="142">
        <v>135</v>
      </c>
      <c r="C121" s="143" t="s">
        <v>3771</v>
      </c>
      <c r="F121" s="145" t="s">
        <v>4228</v>
      </c>
      <c r="J121" s="146">
        <v>2.5</v>
      </c>
      <c r="M121" s="146">
        <v>9500</v>
      </c>
    </row>
    <row r="122" spans="2:14" x14ac:dyDescent="0.35">
      <c r="C122" s="146"/>
    </row>
    <row r="123" spans="2:14" x14ac:dyDescent="0.35">
      <c r="B123" s="142" t="s">
        <v>4150</v>
      </c>
    </row>
    <row r="124" spans="2:14" x14ac:dyDescent="0.35">
      <c r="B124" s="142">
        <v>200</v>
      </c>
      <c r="C124" s="143" t="s">
        <v>3843</v>
      </c>
      <c r="D124" s="144" t="s">
        <v>4229</v>
      </c>
      <c r="F124" s="145">
        <v>4.8</v>
      </c>
      <c r="G124" s="146">
        <v>11520</v>
      </c>
    </row>
    <row r="125" spans="2:14" x14ac:dyDescent="0.35">
      <c r="B125" s="142">
        <v>205</v>
      </c>
      <c r="C125" s="143" t="s">
        <v>3844</v>
      </c>
      <c r="D125" s="144" t="s">
        <v>4230</v>
      </c>
      <c r="F125" s="145">
        <v>11</v>
      </c>
      <c r="G125" s="146">
        <v>25300</v>
      </c>
    </row>
    <row r="126" spans="2:14" x14ac:dyDescent="0.35">
      <c r="B126" s="142">
        <v>210</v>
      </c>
      <c r="C126" s="143" t="s">
        <v>4231</v>
      </c>
      <c r="F126" s="145" t="s">
        <v>4232</v>
      </c>
      <c r="G126" s="146">
        <v>14.2</v>
      </c>
      <c r="I126" s="146">
        <v>2130</v>
      </c>
    </row>
    <row r="127" spans="2:14" x14ac:dyDescent="0.35">
      <c r="B127" s="142">
        <v>215</v>
      </c>
      <c r="C127" s="143" t="s">
        <v>3845</v>
      </c>
      <c r="D127" s="144" t="s">
        <v>4233</v>
      </c>
      <c r="G127" s="146">
        <v>6.6</v>
      </c>
      <c r="H127" s="146">
        <v>14520</v>
      </c>
    </row>
    <row r="128" spans="2:14" x14ac:dyDescent="0.35">
      <c r="B128" s="142">
        <v>220</v>
      </c>
      <c r="C128" s="143" t="s">
        <v>3846</v>
      </c>
      <c r="D128" s="144" t="s">
        <v>4233</v>
      </c>
      <c r="G128" s="146">
        <v>7</v>
      </c>
      <c r="H128" s="146">
        <v>15400</v>
      </c>
    </row>
    <row r="129" spans="2:10" x14ac:dyDescent="0.35">
      <c r="B129" s="142">
        <v>225</v>
      </c>
      <c r="C129" s="143" t="s">
        <v>4234</v>
      </c>
      <c r="G129" s="143" t="s">
        <v>4235</v>
      </c>
      <c r="H129" s="146">
        <v>51</v>
      </c>
      <c r="J129" s="146">
        <v>3315</v>
      </c>
    </row>
    <row r="130" spans="2:10" x14ac:dyDescent="0.35">
      <c r="B130" s="142" t="s">
        <v>4236</v>
      </c>
    </row>
    <row r="131" spans="2:10" x14ac:dyDescent="0.35">
      <c r="B131" s="142">
        <v>240</v>
      </c>
      <c r="C131" s="143" t="s">
        <v>3851</v>
      </c>
      <c r="D131" s="144" t="s">
        <v>4237</v>
      </c>
      <c r="F131" s="145">
        <v>11.2</v>
      </c>
      <c r="G131" s="146">
        <v>7840</v>
      </c>
    </row>
    <row r="132" spans="2:10" x14ac:dyDescent="0.35">
      <c r="B132" s="142">
        <v>245</v>
      </c>
      <c r="C132" s="143" t="s">
        <v>3854</v>
      </c>
      <c r="D132" s="144" t="s">
        <v>4238</v>
      </c>
      <c r="H132" s="146">
        <v>21</v>
      </c>
      <c r="I132" s="146">
        <v>6720</v>
      </c>
    </row>
    <row r="133" spans="2:10" x14ac:dyDescent="0.35">
      <c r="B133" s="142">
        <v>250</v>
      </c>
      <c r="C133" s="143" t="s">
        <v>3855</v>
      </c>
      <c r="D133" s="144" t="s">
        <v>4239</v>
      </c>
      <c r="I133" s="146">
        <v>3.8</v>
      </c>
      <c r="J133" s="146">
        <v>2470</v>
      </c>
    </row>
    <row r="134" spans="2:10" x14ac:dyDescent="0.35">
      <c r="B134" s="142">
        <v>255</v>
      </c>
      <c r="C134" s="143" t="s">
        <v>3857</v>
      </c>
      <c r="F134" s="145" t="s">
        <v>4177</v>
      </c>
      <c r="H134" s="146">
        <v>800</v>
      </c>
      <c r="I134" s="146">
        <v>3200</v>
      </c>
    </row>
    <row r="135" spans="2:10" x14ac:dyDescent="0.35">
      <c r="B135" s="142">
        <v>260</v>
      </c>
      <c r="C135" s="143" t="s">
        <v>4166</v>
      </c>
      <c r="F135" s="145" t="s">
        <v>4136</v>
      </c>
      <c r="G135" s="146">
        <v>6050</v>
      </c>
      <c r="H135" s="146">
        <v>6050</v>
      </c>
    </row>
    <row r="136" spans="2:10" x14ac:dyDescent="0.35">
      <c r="C136" s="146"/>
    </row>
    <row r="137" spans="2:10" x14ac:dyDescent="0.35">
      <c r="B137" s="142" t="s">
        <v>4240</v>
      </c>
    </row>
    <row r="138" spans="2:10" x14ac:dyDescent="0.35">
      <c r="B138" s="142">
        <v>265</v>
      </c>
      <c r="C138" s="147" t="s">
        <v>3843</v>
      </c>
      <c r="D138" s="144" t="s">
        <v>4241</v>
      </c>
      <c r="F138" s="145">
        <v>5.3</v>
      </c>
      <c r="G138" s="146">
        <v>1113</v>
      </c>
    </row>
    <row r="139" spans="2:10" x14ac:dyDescent="0.35">
      <c r="B139" s="142">
        <v>270</v>
      </c>
      <c r="C139" s="143" t="s">
        <v>4242</v>
      </c>
      <c r="D139" s="144" t="s">
        <v>4243</v>
      </c>
      <c r="F139" s="145">
        <v>16.8</v>
      </c>
      <c r="G139" s="144"/>
      <c r="H139" s="146">
        <v>3360</v>
      </c>
    </row>
    <row r="140" spans="2:10" x14ac:dyDescent="0.35">
      <c r="B140" s="142">
        <v>275</v>
      </c>
      <c r="C140" s="143" t="s">
        <v>4244</v>
      </c>
      <c r="D140" s="144" t="s">
        <v>4243</v>
      </c>
      <c r="F140" s="145">
        <v>75</v>
      </c>
      <c r="G140" s="146">
        <v>15000</v>
      </c>
    </row>
    <row r="141" spans="2:10" x14ac:dyDescent="0.35">
      <c r="B141" s="142">
        <v>280</v>
      </c>
      <c r="C141" s="143" t="s">
        <v>4245</v>
      </c>
      <c r="D141" s="144" t="s">
        <v>4243</v>
      </c>
      <c r="F141" s="145">
        <v>72</v>
      </c>
      <c r="G141" s="146">
        <v>14400</v>
      </c>
    </row>
    <row r="142" spans="2:10" x14ac:dyDescent="0.35">
      <c r="B142" s="142">
        <v>285</v>
      </c>
      <c r="C142" s="143" t="s">
        <v>4246</v>
      </c>
      <c r="D142" s="144" t="s">
        <v>4158</v>
      </c>
      <c r="G142" s="146">
        <v>0</v>
      </c>
      <c r="J142" s="146">
        <v>0</v>
      </c>
    </row>
    <row r="144" spans="2:10" x14ac:dyDescent="0.35">
      <c r="B144" s="142" t="s">
        <v>4247</v>
      </c>
    </row>
    <row r="145" spans="2:67" x14ac:dyDescent="0.35">
      <c r="B145" s="142">
        <v>300</v>
      </c>
      <c r="C145" s="148" t="s">
        <v>3774</v>
      </c>
      <c r="D145" s="144">
        <v>55</v>
      </c>
      <c r="E145" s="142" t="s">
        <v>752</v>
      </c>
      <c r="F145" s="145">
        <v>34</v>
      </c>
      <c r="G145" s="145">
        <v>1870</v>
      </c>
    </row>
    <row r="146" spans="2:67" x14ac:dyDescent="0.35">
      <c r="B146" s="142">
        <v>305</v>
      </c>
      <c r="C146" s="148" t="s">
        <v>3775</v>
      </c>
      <c r="D146" s="144">
        <v>76</v>
      </c>
      <c r="E146" s="142" t="s">
        <v>752</v>
      </c>
      <c r="F146" s="145">
        <v>36</v>
      </c>
      <c r="G146" s="145">
        <v>2736</v>
      </c>
      <c r="I146" s="146"/>
      <c r="Q146" s="149"/>
      <c r="W146" s="149"/>
      <c r="AC146" s="149"/>
      <c r="AJ146" s="149"/>
      <c r="AQ146" s="149"/>
      <c r="AY146" s="149"/>
      <c r="BG146" s="149"/>
      <c r="BN146" s="149"/>
      <c r="BO146" s="149"/>
    </row>
    <row r="147" spans="2:67" x14ac:dyDescent="0.35">
      <c r="B147" s="142">
        <v>310</v>
      </c>
      <c r="C147" s="148" t="s">
        <v>3776</v>
      </c>
      <c r="D147" s="144">
        <v>271</v>
      </c>
      <c r="E147" s="142" t="s">
        <v>752</v>
      </c>
      <c r="F147" s="145">
        <v>43</v>
      </c>
      <c r="G147" s="145">
        <v>11653</v>
      </c>
      <c r="I147" s="146"/>
      <c r="Q147" s="149"/>
      <c r="W147" s="149"/>
      <c r="AC147" s="149"/>
      <c r="AJ147" s="149"/>
      <c r="AQ147" s="149"/>
      <c r="AY147" s="149"/>
      <c r="BG147" s="149"/>
      <c r="BN147" s="149"/>
      <c r="BO147" s="149"/>
    </row>
    <row r="148" spans="2:67" x14ac:dyDescent="0.35">
      <c r="B148" s="142">
        <v>315</v>
      </c>
      <c r="C148" s="142" t="s">
        <v>3778</v>
      </c>
      <c r="D148" s="144">
        <v>560</v>
      </c>
      <c r="E148" s="142" t="s">
        <v>752</v>
      </c>
      <c r="F148" s="145">
        <v>38</v>
      </c>
      <c r="G148" s="145">
        <v>21280</v>
      </c>
    </row>
    <row r="149" spans="2:67" x14ac:dyDescent="0.35">
      <c r="B149" s="142">
        <v>320</v>
      </c>
      <c r="C149" s="142" t="s">
        <v>3780</v>
      </c>
      <c r="D149" s="144">
        <v>467</v>
      </c>
      <c r="E149" s="142" t="s">
        <v>752</v>
      </c>
      <c r="F149" s="145">
        <v>44</v>
      </c>
      <c r="G149" s="145">
        <v>20548</v>
      </c>
      <c r="H149" s="146"/>
    </row>
    <row r="150" spans="2:67" x14ac:dyDescent="0.35">
      <c r="B150" s="142">
        <v>325</v>
      </c>
      <c r="C150" s="142" t="s">
        <v>3781</v>
      </c>
      <c r="D150" s="144">
        <v>142</v>
      </c>
      <c r="E150" s="142" t="s">
        <v>752</v>
      </c>
      <c r="F150" s="145">
        <v>50</v>
      </c>
      <c r="G150" s="145">
        <v>7100</v>
      </c>
      <c r="H150" s="146"/>
    </row>
    <row r="151" spans="2:67" x14ac:dyDescent="0.35">
      <c r="B151" s="142">
        <v>330</v>
      </c>
      <c r="C151" s="142" t="s">
        <v>3782</v>
      </c>
      <c r="D151" s="144">
        <v>1775</v>
      </c>
      <c r="E151" s="142" t="s">
        <v>752</v>
      </c>
      <c r="F151" s="145">
        <v>60</v>
      </c>
      <c r="G151" s="145">
        <v>106500</v>
      </c>
    </row>
    <row r="152" spans="2:67" x14ac:dyDescent="0.35">
      <c r="B152" s="142">
        <v>332</v>
      </c>
      <c r="C152" s="142" t="s">
        <v>3784</v>
      </c>
      <c r="D152" s="144">
        <v>61</v>
      </c>
      <c r="E152" s="142" t="s">
        <v>752</v>
      </c>
      <c r="F152" s="145">
        <v>88</v>
      </c>
      <c r="G152" s="145">
        <v>5368</v>
      </c>
    </row>
    <row r="153" spans="2:67" x14ac:dyDescent="0.35">
      <c r="B153" s="142">
        <v>335</v>
      </c>
      <c r="C153" s="142" t="s">
        <v>3785</v>
      </c>
      <c r="D153" s="144">
        <v>153</v>
      </c>
      <c r="E153" s="142" t="s">
        <v>752</v>
      </c>
      <c r="F153" s="145">
        <v>95</v>
      </c>
      <c r="G153" s="145">
        <v>14535</v>
      </c>
    </row>
    <row r="154" spans="2:67" x14ac:dyDescent="0.35">
      <c r="B154" s="142">
        <v>340</v>
      </c>
      <c r="C154" s="142" t="s">
        <v>3787</v>
      </c>
      <c r="D154" s="144">
        <v>4</v>
      </c>
      <c r="E154" s="142" t="s">
        <v>4248</v>
      </c>
      <c r="F154" s="145">
        <v>980</v>
      </c>
      <c r="G154" s="145">
        <v>3920</v>
      </c>
    </row>
    <row r="155" spans="2:67" x14ac:dyDescent="0.35">
      <c r="B155" s="142">
        <v>345</v>
      </c>
      <c r="C155" s="142" t="s">
        <v>3788</v>
      </c>
      <c r="D155" s="144">
        <v>8</v>
      </c>
      <c r="E155" s="142" t="s">
        <v>4248</v>
      </c>
      <c r="F155" s="145">
        <v>1700</v>
      </c>
      <c r="G155" s="145">
        <v>13600</v>
      </c>
    </row>
    <row r="156" spans="2:67" x14ac:dyDescent="0.35">
      <c r="B156" s="142">
        <v>350</v>
      </c>
      <c r="C156" s="142" t="s">
        <v>3789</v>
      </c>
      <c r="D156" s="144">
        <v>1</v>
      </c>
      <c r="E156" s="142" t="s">
        <v>4248</v>
      </c>
      <c r="F156" s="145">
        <v>4250</v>
      </c>
      <c r="G156" s="145">
        <v>4250</v>
      </c>
    </row>
    <row r="157" spans="2:67" x14ac:dyDescent="0.35">
      <c r="B157" s="142">
        <v>355</v>
      </c>
      <c r="C157" s="142" t="s">
        <v>3790</v>
      </c>
      <c r="D157" s="144">
        <v>1</v>
      </c>
      <c r="E157" s="142" t="s">
        <v>4248</v>
      </c>
      <c r="F157" s="145">
        <v>4100</v>
      </c>
      <c r="G157" s="145">
        <v>4100</v>
      </c>
    </row>
    <row r="158" spans="2:67" x14ac:dyDescent="0.35">
      <c r="B158" s="142">
        <v>360</v>
      </c>
      <c r="C158" s="142" t="s">
        <v>3791</v>
      </c>
      <c r="D158" s="144">
        <v>5</v>
      </c>
      <c r="E158" s="142" t="s">
        <v>4248</v>
      </c>
      <c r="F158" s="145">
        <v>5200</v>
      </c>
      <c r="G158" s="145">
        <v>26000</v>
      </c>
    </row>
    <row r="159" spans="2:67" x14ac:dyDescent="0.35">
      <c r="B159" s="142">
        <v>362</v>
      </c>
      <c r="C159" s="142" t="s">
        <v>3792</v>
      </c>
      <c r="D159" s="144">
        <v>1</v>
      </c>
      <c r="E159" s="142" t="s">
        <v>4248</v>
      </c>
      <c r="F159" s="145">
        <v>28000</v>
      </c>
      <c r="G159" s="145">
        <v>28000</v>
      </c>
    </row>
    <row r="160" spans="2:67" x14ac:dyDescent="0.35">
      <c r="B160" s="142">
        <v>364</v>
      </c>
      <c r="C160" s="142" t="s">
        <v>3793</v>
      </c>
      <c r="D160" s="144">
        <v>8</v>
      </c>
      <c r="E160" s="142" t="s">
        <v>4248</v>
      </c>
      <c r="F160" s="145">
        <v>4700</v>
      </c>
      <c r="G160" s="145">
        <v>37600</v>
      </c>
    </row>
    <row r="161" spans="2:7" x14ac:dyDescent="0.35">
      <c r="B161" s="142">
        <v>366</v>
      </c>
      <c r="C161" s="142" t="s">
        <v>3794</v>
      </c>
      <c r="D161" s="144">
        <v>9</v>
      </c>
      <c r="E161" s="142" t="s">
        <v>4248</v>
      </c>
      <c r="F161" s="145">
        <v>4600</v>
      </c>
      <c r="G161" s="145">
        <v>41400</v>
      </c>
    </row>
    <row r="162" spans="2:7" x14ac:dyDescent="0.35">
      <c r="B162" s="142">
        <v>368</v>
      </c>
      <c r="C162" s="142" t="s">
        <v>3795</v>
      </c>
      <c r="D162" s="144">
        <v>2</v>
      </c>
      <c r="E162" s="142" t="s">
        <v>4248</v>
      </c>
      <c r="F162" s="145">
        <v>4550</v>
      </c>
      <c r="G162" s="145">
        <v>9100</v>
      </c>
    </row>
    <row r="163" spans="2:7" x14ac:dyDescent="0.35">
      <c r="B163" s="142">
        <v>369</v>
      </c>
      <c r="C163" s="142" t="s">
        <v>3796</v>
      </c>
      <c r="D163" s="144">
        <v>1</v>
      </c>
      <c r="E163" s="142" t="s">
        <v>4248</v>
      </c>
      <c r="F163" s="145">
        <v>4400</v>
      </c>
      <c r="G163" s="145">
        <v>4400</v>
      </c>
    </row>
    <row r="164" spans="2:7" x14ac:dyDescent="0.35">
      <c r="B164" s="142">
        <v>370</v>
      </c>
      <c r="C164" s="142" t="s">
        <v>4183</v>
      </c>
      <c r="D164" s="144">
        <v>1</v>
      </c>
      <c r="E164" s="142" t="s">
        <v>4248</v>
      </c>
      <c r="F164" s="145">
        <v>5400</v>
      </c>
      <c r="G164" s="145">
        <v>5400</v>
      </c>
    </row>
    <row r="165" spans="2:7" x14ac:dyDescent="0.35">
      <c r="B165" s="142">
        <v>380</v>
      </c>
      <c r="C165" s="142" t="s">
        <v>4184</v>
      </c>
      <c r="D165" s="144">
        <v>3560</v>
      </c>
      <c r="E165" s="142" t="s">
        <v>752</v>
      </c>
      <c r="F165" s="145">
        <v>10</v>
      </c>
      <c r="G165" s="145">
        <v>35600</v>
      </c>
    </row>
    <row r="166" spans="2:7" x14ac:dyDescent="0.35">
      <c r="B166" s="142">
        <v>385</v>
      </c>
      <c r="C166" s="142" t="s">
        <v>4186</v>
      </c>
      <c r="D166" s="144">
        <v>3560</v>
      </c>
      <c r="E166" s="142" t="s">
        <v>752</v>
      </c>
      <c r="F166" s="145">
        <v>5</v>
      </c>
      <c r="G166" s="145">
        <v>17800</v>
      </c>
    </row>
    <row r="168" spans="2:7" x14ac:dyDescent="0.35">
      <c r="B168" s="142" t="s">
        <v>4249</v>
      </c>
    </row>
    <row r="169" spans="2:7" x14ac:dyDescent="0.35">
      <c r="B169" s="142">
        <v>405</v>
      </c>
      <c r="C169" s="142" t="s">
        <v>4188</v>
      </c>
      <c r="D169" s="144">
        <v>30</v>
      </c>
      <c r="E169" s="142" t="s">
        <v>752</v>
      </c>
      <c r="F169" s="145">
        <v>46</v>
      </c>
      <c r="G169" s="145">
        <f>D169*F169</f>
        <v>1380</v>
      </c>
    </row>
    <row r="170" spans="2:7" x14ac:dyDescent="0.35">
      <c r="B170" s="142">
        <v>410</v>
      </c>
      <c r="C170" s="142" t="s">
        <v>4190</v>
      </c>
      <c r="D170" s="144">
        <v>220</v>
      </c>
      <c r="E170" s="142" t="s">
        <v>752</v>
      </c>
      <c r="F170" s="145">
        <v>50</v>
      </c>
      <c r="G170" s="145">
        <f t="shared" ref="G170:G177" si="0">D170*F170</f>
        <v>11000</v>
      </c>
    </row>
    <row r="171" spans="2:7" x14ac:dyDescent="0.35">
      <c r="B171" s="142">
        <v>415</v>
      </c>
      <c r="C171" s="142" t="s">
        <v>4192</v>
      </c>
      <c r="D171" s="144">
        <v>1</v>
      </c>
      <c r="E171" s="142" t="s">
        <v>4248</v>
      </c>
      <c r="F171" s="145">
        <v>6500</v>
      </c>
      <c r="G171" s="145">
        <f t="shared" si="0"/>
        <v>6500</v>
      </c>
    </row>
    <row r="172" spans="2:7" x14ac:dyDescent="0.35">
      <c r="B172" s="142">
        <v>420</v>
      </c>
      <c r="C172" s="142" t="s">
        <v>4193</v>
      </c>
      <c r="D172" s="144">
        <v>1</v>
      </c>
      <c r="E172" s="142" t="s">
        <v>4248</v>
      </c>
      <c r="F172" s="145">
        <v>7600</v>
      </c>
      <c r="G172" s="145">
        <f t="shared" si="0"/>
        <v>7600</v>
      </c>
    </row>
    <row r="173" spans="2:7" x14ac:dyDescent="0.35">
      <c r="B173" s="142">
        <v>425</v>
      </c>
      <c r="C173" s="142" t="s">
        <v>4194</v>
      </c>
      <c r="D173" s="144">
        <v>278</v>
      </c>
      <c r="E173" s="142" t="s">
        <v>752</v>
      </c>
      <c r="F173" s="145">
        <v>40</v>
      </c>
      <c r="G173" s="145">
        <f t="shared" si="0"/>
        <v>11120</v>
      </c>
    </row>
    <row r="174" spans="2:7" x14ac:dyDescent="0.35">
      <c r="B174" s="142">
        <v>426</v>
      </c>
      <c r="C174" s="142" t="s">
        <v>4250</v>
      </c>
      <c r="D174" s="144">
        <v>1</v>
      </c>
      <c r="E174" s="142" t="s">
        <v>755</v>
      </c>
      <c r="F174" s="145">
        <v>2700</v>
      </c>
      <c r="G174" s="145">
        <f t="shared" si="0"/>
        <v>2700</v>
      </c>
    </row>
    <row r="175" spans="2:7" x14ac:dyDescent="0.35">
      <c r="B175" s="142">
        <v>428</v>
      </c>
      <c r="C175" s="142" t="s">
        <v>4197</v>
      </c>
      <c r="D175" s="144">
        <v>2</v>
      </c>
      <c r="E175" s="142" t="s">
        <v>4248</v>
      </c>
      <c r="F175" s="145">
        <v>10000</v>
      </c>
      <c r="G175" s="145">
        <f t="shared" si="0"/>
        <v>20000</v>
      </c>
    </row>
    <row r="176" spans="2:7" x14ac:dyDescent="0.35">
      <c r="B176" s="142">
        <v>440</v>
      </c>
      <c r="C176" s="142" t="s">
        <v>3814</v>
      </c>
      <c r="D176" s="144">
        <v>250</v>
      </c>
      <c r="E176" s="142" t="s">
        <v>752</v>
      </c>
      <c r="F176" s="145">
        <v>10</v>
      </c>
      <c r="G176" s="145">
        <f t="shared" si="0"/>
        <v>2500</v>
      </c>
    </row>
    <row r="177" spans="2:7" x14ac:dyDescent="0.35">
      <c r="B177" s="142">
        <v>445</v>
      </c>
      <c r="C177" s="142" t="s">
        <v>3815</v>
      </c>
      <c r="D177" s="144">
        <v>250</v>
      </c>
      <c r="E177" s="142" t="s">
        <v>752</v>
      </c>
      <c r="F177" s="145">
        <v>5</v>
      </c>
      <c r="G177" s="145">
        <f t="shared" si="0"/>
        <v>1250</v>
      </c>
    </row>
    <row r="178" spans="2:7" x14ac:dyDescent="0.35">
      <c r="G178" s="145"/>
    </row>
    <row r="179" spans="2:7" x14ac:dyDescent="0.35">
      <c r="B179" s="142" t="s">
        <v>4251</v>
      </c>
      <c r="G179" s="145"/>
    </row>
    <row r="180" spans="2:7" x14ac:dyDescent="0.35">
      <c r="B180" s="142">
        <v>460</v>
      </c>
      <c r="C180" s="142" t="s">
        <v>4199</v>
      </c>
      <c r="D180" s="144">
        <v>305</v>
      </c>
      <c r="E180" s="142" t="s">
        <v>752</v>
      </c>
      <c r="F180" s="145">
        <v>45</v>
      </c>
      <c r="G180" s="145">
        <f>D180*F180</f>
        <v>13725</v>
      </c>
    </row>
    <row r="181" spans="2:7" x14ac:dyDescent="0.35">
      <c r="B181" s="142">
        <v>470</v>
      </c>
      <c r="C181" s="142" t="s">
        <v>3818</v>
      </c>
      <c r="D181" s="144">
        <v>1</v>
      </c>
      <c r="E181" s="142" t="s">
        <v>755</v>
      </c>
      <c r="F181" s="145">
        <v>2300</v>
      </c>
      <c r="G181" s="145">
        <f>D181*F181</f>
        <v>2300</v>
      </c>
    </row>
    <row r="182" spans="2:7" x14ac:dyDescent="0.35">
      <c r="B182" s="142">
        <v>475</v>
      </c>
      <c r="C182" s="142" t="s">
        <v>3819</v>
      </c>
      <c r="D182" s="144">
        <v>1</v>
      </c>
      <c r="E182" s="142" t="s">
        <v>755</v>
      </c>
      <c r="F182" s="145">
        <v>132000</v>
      </c>
      <c r="G182" s="145">
        <f>D182*F182</f>
        <v>132000</v>
      </c>
    </row>
    <row r="183" spans="2:7" x14ac:dyDescent="0.35">
      <c r="B183" s="142">
        <v>485</v>
      </c>
      <c r="C183" s="142" t="s">
        <v>3814</v>
      </c>
      <c r="D183" s="144">
        <v>305</v>
      </c>
      <c r="E183" s="142" t="s">
        <v>752</v>
      </c>
      <c r="F183" s="145">
        <v>10</v>
      </c>
      <c r="G183" s="145">
        <f>D183*F183</f>
        <v>3050</v>
      </c>
    </row>
    <row r="184" spans="2:7" x14ac:dyDescent="0.35">
      <c r="B184" s="142">
        <v>490</v>
      </c>
      <c r="C184" s="142" t="s">
        <v>3820</v>
      </c>
      <c r="D184" s="144">
        <v>305</v>
      </c>
      <c r="E184" s="142" t="s">
        <v>752</v>
      </c>
      <c r="F184" s="145">
        <v>5</v>
      </c>
      <c r="G184" s="145">
        <f>D184*F184</f>
        <v>1525</v>
      </c>
    </row>
    <row r="185" spans="2:7" x14ac:dyDescent="0.35">
      <c r="G185" s="145"/>
    </row>
    <row r="186" spans="2:7" x14ac:dyDescent="0.35">
      <c r="B186" s="142" t="s">
        <v>4252</v>
      </c>
      <c r="G186" s="145"/>
    </row>
    <row r="187" spans="2:7" x14ac:dyDescent="0.35">
      <c r="B187" s="142">
        <v>505</v>
      </c>
      <c r="C187" s="142" t="s">
        <v>4202</v>
      </c>
      <c r="D187" s="144">
        <v>1343</v>
      </c>
      <c r="E187" s="142" t="s">
        <v>752</v>
      </c>
      <c r="F187" s="145">
        <v>30</v>
      </c>
      <c r="G187" s="145">
        <f t="shared" ref="G187:G197" si="1">D187*F187</f>
        <v>40290</v>
      </c>
    </row>
    <row r="188" spans="2:7" x14ac:dyDescent="0.35">
      <c r="B188" s="142">
        <v>506</v>
      </c>
      <c r="C188" s="142" t="s">
        <v>4204</v>
      </c>
      <c r="D188" s="144">
        <v>50</v>
      </c>
      <c r="E188" s="142" t="s">
        <v>752</v>
      </c>
      <c r="F188" s="145">
        <v>45</v>
      </c>
      <c r="G188" s="145">
        <f t="shared" si="1"/>
        <v>2250</v>
      </c>
    </row>
    <row r="189" spans="2:7" x14ac:dyDescent="0.35">
      <c r="B189" s="142">
        <v>510</v>
      </c>
      <c r="C189" s="142" t="s">
        <v>4206</v>
      </c>
      <c r="D189" s="144">
        <v>4</v>
      </c>
      <c r="E189" s="142" t="s">
        <v>4248</v>
      </c>
      <c r="F189" s="145">
        <v>2600</v>
      </c>
      <c r="G189" s="145">
        <f t="shared" si="1"/>
        <v>10400</v>
      </c>
    </row>
    <row r="190" spans="2:7" x14ac:dyDescent="0.35">
      <c r="B190" s="142">
        <v>515</v>
      </c>
      <c r="C190" s="142" t="s">
        <v>4207</v>
      </c>
      <c r="D190" s="144">
        <v>110</v>
      </c>
      <c r="E190" s="142" t="s">
        <v>752</v>
      </c>
      <c r="F190" s="145">
        <v>28</v>
      </c>
      <c r="G190" s="145">
        <f t="shared" si="1"/>
        <v>3080</v>
      </c>
    </row>
    <row r="191" spans="2:7" x14ac:dyDescent="0.35">
      <c r="B191" s="142">
        <v>520</v>
      </c>
      <c r="C191" s="142" t="s">
        <v>4208</v>
      </c>
      <c r="D191" s="144">
        <v>2</v>
      </c>
      <c r="E191" s="142" t="s">
        <v>4248</v>
      </c>
      <c r="F191" s="145">
        <v>2350</v>
      </c>
      <c r="G191" s="145">
        <f t="shared" si="1"/>
        <v>4700</v>
      </c>
    </row>
    <row r="192" spans="2:7" x14ac:dyDescent="0.35">
      <c r="B192" s="142">
        <v>525</v>
      </c>
      <c r="C192" s="142" t="s">
        <v>3838</v>
      </c>
      <c r="D192" s="144">
        <v>1</v>
      </c>
      <c r="E192" s="142" t="s">
        <v>755</v>
      </c>
      <c r="F192" s="145">
        <v>22000</v>
      </c>
      <c r="G192" s="145">
        <f t="shared" si="1"/>
        <v>22000</v>
      </c>
    </row>
    <row r="193" spans="2:7" x14ac:dyDescent="0.35">
      <c r="B193" s="142">
        <v>530</v>
      </c>
      <c r="C193" s="142" t="s">
        <v>4209</v>
      </c>
      <c r="D193" s="144">
        <v>4</v>
      </c>
      <c r="E193" s="142" t="s">
        <v>4248</v>
      </c>
      <c r="F193" s="145">
        <v>5300</v>
      </c>
      <c r="G193" s="145">
        <f t="shared" si="1"/>
        <v>21200</v>
      </c>
    </row>
    <row r="194" spans="2:7" x14ac:dyDescent="0.35">
      <c r="B194" s="142">
        <v>535</v>
      </c>
      <c r="C194" s="142" t="s">
        <v>4210</v>
      </c>
      <c r="D194" s="144">
        <v>1</v>
      </c>
      <c r="E194" s="142" t="s">
        <v>4248</v>
      </c>
      <c r="F194" s="145">
        <v>1800</v>
      </c>
      <c r="G194" s="145">
        <f t="shared" si="1"/>
        <v>1800</v>
      </c>
    </row>
    <row r="195" spans="2:7" x14ac:dyDescent="0.35">
      <c r="B195" s="142">
        <v>540</v>
      </c>
      <c r="C195" s="142" t="s">
        <v>3818</v>
      </c>
      <c r="D195" s="144">
        <v>1</v>
      </c>
      <c r="E195" s="142" t="s">
        <v>755</v>
      </c>
      <c r="F195" s="145">
        <v>3550</v>
      </c>
      <c r="G195" s="145">
        <f t="shared" si="1"/>
        <v>3550</v>
      </c>
    </row>
    <row r="196" spans="2:7" x14ac:dyDescent="0.35">
      <c r="B196" s="142">
        <v>545</v>
      </c>
      <c r="C196" s="142" t="s">
        <v>3831</v>
      </c>
      <c r="D196" s="144">
        <v>1</v>
      </c>
      <c r="E196" s="142" t="s">
        <v>4248</v>
      </c>
      <c r="F196" s="145">
        <v>2500</v>
      </c>
      <c r="G196" s="145">
        <f t="shared" si="1"/>
        <v>2500</v>
      </c>
    </row>
    <row r="197" spans="2:7" x14ac:dyDescent="0.35">
      <c r="B197" s="142">
        <v>550</v>
      </c>
      <c r="C197" s="142" t="s">
        <v>3832</v>
      </c>
      <c r="D197" s="144">
        <v>1</v>
      </c>
      <c r="E197" s="142" t="s">
        <v>755</v>
      </c>
      <c r="F197" s="145">
        <v>2800</v>
      </c>
      <c r="G197" s="145">
        <f t="shared" si="1"/>
        <v>2800</v>
      </c>
    </row>
    <row r="198" spans="2:7" x14ac:dyDescent="0.35">
      <c r="G198" s="145"/>
    </row>
    <row r="199" spans="2:7" x14ac:dyDescent="0.35">
      <c r="B199" s="142" t="s">
        <v>4253</v>
      </c>
      <c r="G199" s="145"/>
    </row>
    <row r="200" spans="2:7" x14ac:dyDescent="0.35">
      <c r="B200" s="142">
        <v>600</v>
      </c>
      <c r="C200" s="142" t="s">
        <v>4212</v>
      </c>
      <c r="D200" s="142">
        <v>135</v>
      </c>
      <c r="E200" s="142" t="s">
        <v>752</v>
      </c>
      <c r="F200" s="145">
        <v>70</v>
      </c>
      <c r="G200" s="145">
        <f t="shared" ref="G200:G206" si="2">D200*F200</f>
        <v>9450</v>
      </c>
    </row>
    <row r="201" spans="2:7" x14ac:dyDescent="0.35">
      <c r="B201" s="142">
        <v>605</v>
      </c>
      <c r="C201" s="142" t="s">
        <v>4214</v>
      </c>
      <c r="D201" s="142">
        <v>1</v>
      </c>
      <c r="E201" s="142" t="s">
        <v>4248</v>
      </c>
      <c r="F201" s="145">
        <v>10000</v>
      </c>
      <c r="G201" s="145">
        <f t="shared" si="2"/>
        <v>10000</v>
      </c>
    </row>
    <row r="202" spans="2:7" x14ac:dyDescent="0.35">
      <c r="B202" s="142">
        <v>610</v>
      </c>
      <c r="C202" s="142" t="s">
        <v>4215</v>
      </c>
      <c r="D202" s="142">
        <v>15</v>
      </c>
      <c r="E202" s="142" t="s">
        <v>752</v>
      </c>
      <c r="F202" s="145">
        <v>28</v>
      </c>
      <c r="G202" s="145">
        <f t="shared" si="2"/>
        <v>420</v>
      </c>
    </row>
    <row r="203" spans="2:7" x14ac:dyDescent="0.35">
      <c r="B203" s="142">
        <v>615</v>
      </c>
      <c r="C203" s="142" t="s">
        <v>4217</v>
      </c>
      <c r="D203" s="142">
        <v>1</v>
      </c>
      <c r="E203" s="142" t="s">
        <v>755</v>
      </c>
      <c r="F203" s="145">
        <v>2100</v>
      </c>
      <c r="G203" s="145">
        <f t="shared" si="2"/>
        <v>2100</v>
      </c>
    </row>
    <row r="204" spans="2:7" x14ac:dyDescent="0.35">
      <c r="B204" s="142">
        <v>620</v>
      </c>
      <c r="C204" s="142" t="s">
        <v>3840</v>
      </c>
      <c r="D204" s="142">
        <v>1</v>
      </c>
      <c r="E204" s="142" t="s">
        <v>4248</v>
      </c>
      <c r="F204" s="145">
        <v>2500</v>
      </c>
      <c r="G204" s="145">
        <f t="shared" si="2"/>
        <v>2500</v>
      </c>
    </row>
    <row r="205" spans="2:7" x14ac:dyDescent="0.35">
      <c r="B205" s="142">
        <v>625</v>
      </c>
      <c r="C205" s="143" t="s">
        <v>4218</v>
      </c>
      <c r="D205" s="142">
        <v>1</v>
      </c>
      <c r="E205" s="142" t="s">
        <v>4248</v>
      </c>
      <c r="F205" s="145">
        <v>1800</v>
      </c>
      <c r="G205" s="145">
        <f t="shared" si="2"/>
        <v>1800</v>
      </c>
    </row>
    <row r="206" spans="2:7" x14ac:dyDescent="0.35">
      <c r="B206" s="142">
        <v>630</v>
      </c>
      <c r="C206" s="143" t="s">
        <v>4254</v>
      </c>
      <c r="D206" s="142">
        <v>1</v>
      </c>
      <c r="E206" s="142" t="s">
        <v>755</v>
      </c>
      <c r="F206" s="145">
        <v>2200</v>
      </c>
      <c r="G206" s="145">
        <f t="shared" si="2"/>
        <v>2200</v>
      </c>
    </row>
  </sheetData>
  <pageMargins left="0.7" right="0.7" top="0.75" bottom="0.75" header="0.3" footer="0.3"/>
  <pageSetup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366-A1E0-460A-964F-2F2DF99BB1A6}">
  <dimension ref="B2:CV46"/>
  <sheetViews>
    <sheetView topLeftCell="A13" workbookViewId="0">
      <selection activeCell="M25" sqref="M25"/>
    </sheetView>
  </sheetViews>
  <sheetFormatPr defaultRowHeight="14.5" x14ac:dyDescent="0.35"/>
  <cols>
    <col min="1" max="1" width="2.7265625" customWidth="1"/>
    <col min="2" max="2" width="10.26953125" customWidth="1"/>
    <col min="3" max="3" width="3.26953125" bestFit="1" customWidth="1"/>
    <col min="4" max="4" width="3.7265625" customWidth="1"/>
    <col min="5" max="5" width="33.1796875" bestFit="1" customWidth="1"/>
    <col min="6" max="6" width="9.54296875" style="150" bestFit="1" customWidth="1"/>
    <col min="7" max="7" width="3.1796875" bestFit="1" customWidth="1"/>
    <col min="8" max="8" width="9.54296875" style="150" bestFit="1" customWidth="1"/>
    <col min="9" max="9" width="3.1796875" bestFit="1" customWidth="1"/>
    <col min="10" max="10" width="10.26953125" customWidth="1"/>
    <col min="11" max="11" width="3.26953125" bestFit="1" customWidth="1"/>
    <col min="12" max="12" width="3.7265625" customWidth="1"/>
    <col min="13" max="13" width="33.1796875" bestFit="1" customWidth="1"/>
    <col min="14" max="14" width="9.54296875" style="150" bestFit="1" customWidth="1"/>
    <col min="15" max="15" width="3.1796875" bestFit="1" customWidth="1"/>
    <col min="16" max="16" width="9.54296875" style="150" bestFit="1" customWidth="1"/>
    <col min="17" max="17" width="3.1796875" bestFit="1" customWidth="1"/>
    <col min="18" max="18" width="10.26953125" customWidth="1"/>
    <col min="19" max="19" width="3.26953125" bestFit="1" customWidth="1"/>
    <col min="20" max="20" width="3.7265625" customWidth="1"/>
    <col min="21" max="21" width="33.1796875" bestFit="1" customWidth="1"/>
    <col min="22" max="22" width="9.54296875" style="150" bestFit="1" customWidth="1"/>
    <col min="23" max="23" width="3.1796875" bestFit="1" customWidth="1"/>
    <col min="24" max="24" width="9.54296875" style="150" bestFit="1" customWidth="1"/>
    <col min="25" max="25" width="3.1796875" bestFit="1" customWidth="1"/>
    <col min="26" max="26" width="10.26953125" customWidth="1"/>
    <col min="27" max="27" width="3.26953125" bestFit="1" customWidth="1"/>
    <col min="28" max="28" width="3.7265625" customWidth="1"/>
    <col min="29" max="29" width="33.1796875" bestFit="1" customWidth="1"/>
    <col min="30" max="30" width="9.54296875" style="150" bestFit="1" customWidth="1"/>
    <col min="31" max="31" width="3.1796875" bestFit="1" customWidth="1"/>
    <col min="32" max="32" width="9.54296875" style="150" bestFit="1" customWidth="1"/>
    <col min="33" max="33" width="3.1796875" bestFit="1" customWidth="1"/>
    <col min="34" max="34" width="10.26953125" customWidth="1"/>
    <col min="35" max="35" width="3.26953125" bestFit="1" customWidth="1"/>
    <col min="36" max="36" width="3.7265625" customWidth="1"/>
    <col min="37" max="37" width="33.1796875" bestFit="1" customWidth="1"/>
    <col min="38" max="38" width="9.54296875" style="150" bestFit="1" customWidth="1"/>
    <col min="39" max="39" width="3.1796875" bestFit="1" customWidth="1"/>
    <col min="40" max="40" width="9.54296875" style="150" bestFit="1" customWidth="1"/>
    <col min="41" max="41" width="3.1796875" bestFit="1" customWidth="1"/>
    <col min="42" max="42" width="10.26953125" customWidth="1"/>
    <col min="43" max="43" width="3.26953125" bestFit="1" customWidth="1"/>
    <col min="44" max="44" width="3.7265625" customWidth="1"/>
    <col min="45" max="45" width="33.1796875" bestFit="1" customWidth="1"/>
    <col min="46" max="46" width="9.54296875" style="150" bestFit="1" customWidth="1"/>
    <col min="47" max="47" width="3.1796875" bestFit="1" customWidth="1"/>
    <col min="48" max="48" width="9.54296875" style="150" bestFit="1" customWidth="1"/>
    <col min="49" max="49" width="3.1796875" bestFit="1" customWidth="1"/>
    <col min="50" max="50" width="10.26953125" customWidth="1"/>
    <col min="51" max="51" width="3.26953125" bestFit="1" customWidth="1"/>
    <col min="52" max="52" width="3.7265625" customWidth="1"/>
    <col min="53" max="53" width="33.1796875" bestFit="1" customWidth="1"/>
    <col min="54" max="54" width="9.54296875" style="150" bestFit="1" customWidth="1"/>
    <col min="55" max="55" width="3.1796875" bestFit="1" customWidth="1"/>
    <col min="56" max="56" width="9.54296875" style="150" bestFit="1" customWidth="1"/>
    <col min="57" max="57" width="3.1796875" bestFit="1" customWidth="1"/>
    <col min="58" max="58" width="10.26953125" customWidth="1"/>
    <col min="59" max="59" width="3.26953125" bestFit="1" customWidth="1"/>
    <col min="60" max="60" width="3.7265625" customWidth="1"/>
    <col min="61" max="61" width="33.1796875" bestFit="1" customWidth="1"/>
    <col min="62" max="62" width="9.54296875" style="150" bestFit="1" customWidth="1"/>
    <col min="63" max="63" width="3.1796875" bestFit="1" customWidth="1"/>
    <col min="64" max="64" width="9.54296875" style="150" bestFit="1" customWidth="1"/>
    <col min="65" max="65" width="3.1796875" bestFit="1" customWidth="1"/>
    <col min="66" max="66" width="10.26953125" customWidth="1"/>
    <col min="67" max="67" width="3.26953125" bestFit="1" customWidth="1"/>
    <col min="68" max="68" width="3.7265625" customWidth="1"/>
    <col min="69" max="69" width="33.1796875" bestFit="1" customWidth="1"/>
    <col min="70" max="70" width="9.54296875" style="150" bestFit="1" customWidth="1"/>
    <col min="71" max="71" width="3.1796875" bestFit="1" customWidth="1"/>
    <col min="72" max="72" width="9.54296875" style="150" bestFit="1" customWidth="1"/>
    <col min="73" max="73" width="3.1796875" bestFit="1" customWidth="1"/>
    <col min="74" max="74" width="10.26953125" customWidth="1"/>
    <col min="75" max="75" width="3.26953125" bestFit="1" customWidth="1"/>
    <col min="76" max="76" width="3.7265625" customWidth="1"/>
    <col min="77" max="77" width="33.1796875" bestFit="1" customWidth="1"/>
    <col min="78" max="78" width="9.54296875" style="150" bestFit="1" customWidth="1"/>
    <col min="79" max="79" width="3.1796875" bestFit="1" customWidth="1"/>
    <col min="80" max="80" width="9.54296875" style="150" bestFit="1" customWidth="1"/>
    <col min="81" max="81" width="3.1796875" bestFit="1" customWidth="1"/>
    <col min="82" max="82" width="10.26953125" customWidth="1"/>
    <col min="83" max="83" width="3.26953125" bestFit="1" customWidth="1"/>
    <col min="84" max="84" width="3.7265625" customWidth="1"/>
    <col min="85" max="85" width="33.1796875" bestFit="1" customWidth="1"/>
    <col min="86" max="86" width="9.54296875" style="150" bestFit="1" customWidth="1"/>
    <col min="87" max="87" width="3.1796875" bestFit="1" customWidth="1"/>
    <col min="88" max="88" width="9.54296875" style="150" bestFit="1" customWidth="1"/>
    <col min="89" max="89" width="3.1796875" bestFit="1" customWidth="1"/>
    <col min="90" max="90" width="10.26953125" customWidth="1"/>
    <col min="91" max="91" width="3.26953125" bestFit="1" customWidth="1"/>
    <col min="92" max="92" width="3.7265625" customWidth="1"/>
    <col min="93" max="93" width="33.1796875" bestFit="1" customWidth="1"/>
    <col min="94" max="94" width="9.54296875" style="150" bestFit="1" customWidth="1"/>
    <col min="95" max="95" width="3.1796875" bestFit="1" customWidth="1"/>
    <col min="96" max="96" width="9.54296875" style="150" bestFit="1" customWidth="1"/>
    <col min="97" max="97" width="3.1796875" bestFit="1" customWidth="1"/>
    <col min="98" max="98" width="3" bestFit="1" customWidth="1"/>
    <col min="100" max="100" width="3.1796875" bestFit="1" customWidth="1"/>
  </cols>
  <sheetData>
    <row r="2" spans="2:100" x14ac:dyDescent="0.35">
      <c r="B2" t="s">
        <v>4255</v>
      </c>
      <c r="C2">
        <v>12</v>
      </c>
      <c r="D2" t="s">
        <v>666</v>
      </c>
      <c r="F2" s="150">
        <v>471</v>
      </c>
      <c r="G2" t="s">
        <v>245</v>
      </c>
      <c r="H2" s="150">
        <f>$C$2*F2</f>
        <v>5652</v>
      </c>
      <c r="I2" t="s">
        <v>245</v>
      </c>
      <c r="J2" t="s">
        <v>4256</v>
      </c>
      <c r="K2">
        <v>12</v>
      </c>
      <c r="L2" t="s">
        <v>666</v>
      </c>
      <c r="N2" s="150">
        <v>357</v>
      </c>
      <c r="O2" t="s">
        <v>245</v>
      </c>
      <c r="P2" s="150">
        <f>$K$2*N2</f>
        <v>4284</v>
      </c>
      <c r="Q2" t="s">
        <v>245</v>
      </c>
      <c r="R2" t="s">
        <v>4257</v>
      </c>
      <c r="S2">
        <v>10</v>
      </c>
      <c r="T2" t="s">
        <v>666</v>
      </c>
      <c r="V2" s="150">
        <v>686</v>
      </c>
      <c r="W2" t="s">
        <v>245</v>
      </c>
      <c r="X2" s="150">
        <f>S$2*V2</f>
        <v>6860</v>
      </c>
      <c r="Y2" t="s">
        <v>245</v>
      </c>
      <c r="Z2" t="s">
        <v>4258</v>
      </c>
      <c r="AA2">
        <v>32</v>
      </c>
      <c r="AB2" t="s">
        <v>666</v>
      </c>
      <c r="AD2" s="150">
        <v>507</v>
      </c>
      <c r="AE2" t="s">
        <v>245</v>
      </c>
      <c r="AF2" s="150">
        <f>AA$2*AD2</f>
        <v>16224</v>
      </c>
      <c r="AG2" t="s">
        <v>245</v>
      </c>
      <c r="AH2" t="s">
        <v>4259</v>
      </c>
      <c r="AI2">
        <v>6</v>
      </c>
      <c r="AJ2" t="s">
        <v>666</v>
      </c>
      <c r="AL2" s="150">
        <v>845</v>
      </c>
      <c r="AM2" t="s">
        <v>245</v>
      </c>
      <c r="AN2" s="150">
        <f>AI$2*AL2</f>
        <v>5070</v>
      </c>
      <c r="AO2" t="s">
        <v>245</v>
      </c>
      <c r="AP2" t="s">
        <v>4260</v>
      </c>
      <c r="AQ2">
        <v>4</v>
      </c>
      <c r="AR2" t="s">
        <v>666</v>
      </c>
      <c r="AT2" s="150">
        <v>357</v>
      </c>
      <c r="AU2" t="s">
        <v>245</v>
      </c>
      <c r="AV2" s="150">
        <f>AQ$2*AT2</f>
        <v>1428</v>
      </c>
      <c r="AW2" t="s">
        <v>245</v>
      </c>
      <c r="AX2" t="s">
        <v>4261</v>
      </c>
      <c r="AY2">
        <v>2</v>
      </c>
      <c r="AZ2" t="s">
        <v>666</v>
      </c>
      <c r="BB2" s="150">
        <v>374</v>
      </c>
      <c r="BC2" t="s">
        <v>245</v>
      </c>
      <c r="BD2" s="150">
        <f>AY$2*BB2</f>
        <v>748</v>
      </c>
      <c r="BE2" t="s">
        <v>245</v>
      </c>
      <c r="BF2" t="s">
        <v>4262</v>
      </c>
      <c r="BG2">
        <v>2</v>
      </c>
      <c r="BH2" t="s">
        <v>666</v>
      </c>
      <c r="BJ2" s="150">
        <v>300</v>
      </c>
      <c r="BK2" t="s">
        <v>245</v>
      </c>
      <c r="BL2" s="150">
        <f>BG$2*BJ2</f>
        <v>600</v>
      </c>
      <c r="BM2" t="s">
        <v>245</v>
      </c>
      <c r="BN2" t="s">
        <v>4263</v>
      </c>
      <c r="BO2">
        <v>12</v>
      </c>
      <c r="BP2" t="s">
        <v>666</v>
      </c>
      <c r="BR2" s="150">
        <v>507</v>
      </c>
      <c r="BS2" t="s">
        <v>245</v>
      </c>
      <c r="BT2" s="150">
        <f>BO$2*BR2</f>
        <v>6084</v>
      </c>
      <c r="BU2" t="s">
        <v>245</v>
      </c>
      <c r="BV2" t="s">
        <v>4264</v>
      </c>
      <c r="BW2">
        <v>4</v>
      </c>
      <c r="BX2" t="s">
        <v>666</v>
      </c>
      <c r="BZ2" s="150">
        <v>471</v>
      </c>
      <c r="CA2" t="s">
        <v>245</v>
      </c>
      <c r="CB2" s="150">
        <f>BW$2*BZ2</f>
        <v>1884</v>
      </c>
      <c r="CC2" t="s">
        <v>245</v>
      </c>
      <c r="CD2" t="s">
        <v>4265</v>
      </c>
      <c r="CE2">
        <v>2</v>
      </c>
      <c r="CF2" t="s">
        <v>666</v>
      </c>
      <c r="CH2" s="150">
        <v>306</v>
      </c>
      <c r="CI2" t="s">
        <v>245</v>
      </c>
      <c r="CJ2" s="150">
        <f>CE$2*CH2</f>
        <v>612</v>
      </c>
      <c r="CK2" t="s">
        <v>245</v>
      </c>
      <c r="CL2" t="s">
        <v>4266</v>
      </c>
      <c r="CM2">
        <v>2</v>
      </c>
      <c r="CN2" t="s">
        <v>666</v>
      </c>
      <c r="CP2" s="150">
        <v>534</v>
      </c>
      <c r="CQ2" t="s">
        <v>245</v>
      </c>
      <c r="CR2" s="150">
        <f>CM$2*CP2</f>
        <v>1068</v>
      </c>
      <c r="CS2" t="s">
        <v>245</v>
      </c>
      <c r="CU2" s="39">
        <f>H2+P2+X2+AF2+AV2+AN2+BD2+BL2+BT2+CB2+CJ2+CR2</f>
        <v>50514</v>
      </c>
      <c r="CV2" t="s">
        <v>245</v>
      </c>
    </row>
    <row r="3" spans="2:100" x14ac:dyDescent="0.35">
      <c r="D3" t="s">
        <v>4267</v>
      </c>
      <c r="L3" t="s">
        <v>4267</v>
      </c>
      <c r="T3" t="s">
        <v>4267</v>
      </c>
      <c r="AB3" t="s">
        <v>4267</v>
      </c>
      <c r="AJ3" t="s">
        <v>4267</v>
      </c>
      <c r="AR3" t="s">
        <v>4267</v>
      </c>
      <c r="AZ3" t="s">
        <v>4267</v>
      </c>
      <c r="BH3" t="s">
        <v>4267</v>
      </c>
      <c r="BP3" t="s">
        <v>4267</v>
      </c>
      <c r="BX3" t="s">
        <v>4267</v>
      </c>
      <c r="CF3" t="s">
        <v>4267</v>
      </c>
      <c r="CN3" t="s">
        <v>4267</v>
      </c>
    </row>
    <row r="4" spans="2:100" x14ac:dyDescent="0.35">
      <c r="E4" t="s">
        <v>4268</v>
      </c>
      <c r="F4" s="150">
        <v>375</v>
      </c>
      <c r="G4" t="s">
        <v>245</v>
      </c>
      <c r="H4" s="150">
        <f>$C$2*F4</f>
        <v>4500</v>
      </c>
      <c r="I4" t="s">
        <v>245</v>
      </c>
      <c r="M4" t="s">
        <v>4268</v>
      </c>
      <c r="N4" s="150">
        <v>263.25</v>
      </c>
      <c r="O4" t="s">
        <v>245</v>
      </c>
      <c r="P4" s="150">
        <f>$K$2*N4</f>
        <v>3159</v>
      </c>
      <c r="Q4" t="s">
        <v>245</v>
      </c>
      <c r="U4" t="s">
        <v>4268</v>
      </c>
      <c r="V4" s="150">
        <v>624</v>
      </c>
      <c r="W4" t="s">
        <v>245</v>
      </c>
      <c r="X4" s="150">
        <f>S$2*V4</f>
        <v>6240</v>
      </c>
      <c r="Y4" t="s">
        <v>245</v>
      </c>
      <c r="AC4" t="s">
        <v>4268</v>
      </c>
      <c r="AD4" s="150">
        <v>399.2</v>
      </c>
      <c r="AE4" t="s">
        <v>245</v>
      </c>
      <c r="AF4" s="150">
        <f>AA$2*AD4</f>
        <v>12774.4</v>
      </c>
      <c r="AG4" t="s">
        <v>245</v>
      </c>
      <c r="AK4" t="s">
        <v>4268</v>
      </c>
      <c r="AL4" s="150">
        <v>629.51</v>
      </c>
      <c r="AM4" t="s">
        <v>245</v>
      </c>
      <c r="AN4" s="150">
        <f>AI$2*AL4</f>
        <v>3777.06</v>
      </c>
      <c r="AO4" t="s">
        <v>245</v>
      </c>
      <c r="AS4" t="s">
        <v>4268</v>
      </c>
      <c r="AT4" s="150">
        <v>238.5</v>
      </c>
      <c r="AU4" t="s">
        <v>245</v>
      </c>
      <c r="AV4" s="150">
        <f>AQ$2*AT4</f>
        <v>954</v>
      </c>
      <c r="AW4" t="s">
        <v>245</v>
      </c>
      <c r="BA4" t="s">
        <v>4268</v>
      </c>
      <c r="BB4" s="150">
        <v>289.52</v>
      </c>
      <c r="BC4" t="s">
        <v>245</v>
      </c>
      <c r="BD4" s="150">
        <f>AY$2*BB4</f>
        <v>579.04</v>
      </c>
      <c r="BE4" t="s">
        <v>245</v>
      </c>
      <c r="BI4" t="s">
        <v>4268</v>
      </c>
      <c r="BJ4" s="150">
        <v>267.20999999999998</v>
      </c>
      <c r="BK4" t="s">
        <v>245</v>
      </c>
      <c r="BL4" s="150">
        <f>BG$2*BJ4</f>
        <v>534.41999999999996</v>
      </c>
      <c r="BM4" t="s">
        <v>245</v>
      </c>
      <c r="BQ4" t="s">
        <v>4268</v>
      </c>
      <c r="BR4" s="150">
        <v>427.03</v>
      </c>
      <c r="BS4" t="s">
        <v>245</v>
      </c>
      <c r="BT4" s="150">
        <f>BO$2*BR4</f>
        <v>5124.3599999999997</v>
      </c>
      <c r="BU4" t="s">
        <v>245</v>
      </c>
      <c r="BY4" t="s">
        <v>4268</v>
      </c>
      <c r="BZ4" s="150">
        <v>437.37</v>
      </c>
      <c r="CA4" t="s">
        <v>245</v>
      </c>
      <c r="CB4" s="150">
        <f>BW$2*BZ4</f>
        <v>1749.48</v>
      </c>
      <c r="CC4" t="s">
        <v>245</v>
      </c>
      <c r="CG4" t="s">
        <v>4268</v>
      </c>
      <c r="CH4" s="150">
        <v>274.89999999999998</v>
      </c>
      <c r="CI4" t="s">
        <v>245</v>
      </c>
      <c r="CJ4" s="150">
        <f>CE$2*CH4</f>
        <v>549.79999999999995</v>
      </c>
      <c r="CK4" t="s">
        <v>245</v>
      </c>
      <c r="CO4" t="s">
        <v>4268</v>
      </c>
      <c r="CP4" s="150">
        <v>465.15</v>
      </c>
      <c r="CQ4" t="s">
        <v>245</v>
      </c>
      <c r="CR4" s="150">
        <f>CM$2*CP4</f>
        <v>930.3</v>
      </c>
      <c r="CS4" t="s">
        <v>245</v>
      </c>
      <c r="CU4" s="39">
        <f>H4+P4+X4+AF4+AV4+AN4+BD4+BL4+BT4+CB4+CJ4+CR4</f>
        <v>40871.860000000008</v>
      </c>
      <c r="CV4" t="s">
        <v>245</v>
      </c>
    </row>
    <row r="5" spans="2:100" x14ac:dyDescent="0.35">
      <c r="E5" t="s">
        <v>4269</v>
      </c>
      <c r="F5" s="150">
        <v>321</v>
      </c>
      <c r="G5" t="s">
        <v>245</v>
      </c>
      <c r="H5" s="150">
        <f>$C$2*F5</f>
        <v>3852</v>
      </c>
      <c r="I5" t="s">
        <v>245</v>
      </c>
      <c r="M5" t="s">
        <v>4269</v>
      </c>
      <c r="N5" s="150">
        <v>489</v>
      </c>
      <c r="O5" t="s">
        <v>245</v>
      </c>
      <c r="P5" s="150">
        <f>$C$2*N5</f>
        <v>5868</v>
      </c>
      <c r="Q5" t="s">
        <v>245</v>
      </c>
      <c r="U5" t="s">
        <v>4269</v>
      </c>
      <c r="V5" s="150">
        <v>468</v>
      </c>
      <c r="W5" t="s">
        <v>245</v>
      </c>
      <c r="X5" s="150">
        <f>S$2*V5</f>
        <v>4680</v>
      </c>
      <c r="Y5" t="s">
        <v>245</v>
      </c>
      <c r="AC5" t="s">
        <v>4269</v>
      </c>
      <c r="AD5" s="150">
        <v>469</v>
      </c>
      <c r="AE5" t="s">
        <v>245</v>
      </c>
      <c r="AF5" s="150">
        <f>AA$2*AD5</f>
        <v>15008</v>
      </c>
      <c r="AG5" t="s">
        <v>245</v>
      </c>
      <c r="AK5" t="s">
        <v>4269</v>
      </c>
      <c r="AL5" s="150">
        <v>405</v>
      </c>
      <c r="AM5" t="s">
        <v>245</v>
      </c>
      <c r="AN5" s="150">
        <f>AI$2*AL5</f>
        <v>2430</v>
      </c>
      <c r="AO5" t="s">
        <v>245</v>
      </c>
      <c r="AS5" t="s">
        <v>4269</v>
      </c>
      <c r="AT5" s="150">
        <v>487</v>
      </c>
      <c r="AU5" t="s">
        <v>245</v>
      </c>
      <c r="AV5" s="150">
        <f>AQ$2*AT5</f>
        <v>1948</v>
      </c>
      <c r="AW5" t="s">
        <v>245</v>
      </c>
      <c r="BA5" t="s">
        <v>4269</v>
      </c>
      <c r="BB5" s="150">
        <v>453</v>
      </c>
      <c r="BC5" t="s">
        <v>245</v>
      </c>
      <c r="BD5" s="150">
        <f>AY$2*BB5</f>
        <v>906</v>
      </c>
      <c r="BE5" t="s">
        <v>245</v>
      </c>
      <c r="BI5" t="s">
        <v>4269</v>
      </c>
      <c r="BJ5" s="150">
        <v>505</v>
      </c>
      <c r="BK5" t="s">
        <v>245</v>
      </c>
      <c r="BL5" s="150">
        <f>BG$2*BJ5</f>
        <v>1010</v>
      </c>
      <c r="BM5" t="s">
        <v>245</v>
      </c>
      <c r="BQ5" t="s">
        <v>4269</v>
      </c>
      <c r="BR5" s="150">
        <v>467</v>
      </c>
      <c r="BS5" t="s">
        <v>245</v>
      </c>
      <c r="BT5" s="150">
        <f>BO$2*BR5</f>
        <v>5604</v>
      </c>
      <c r="BU5" t="s">
        <v>245</v>
      </c>
      <c r="BY5" t="s">
        <v>4269</v>
      </c>
      <c r="BZ5" s="150">
        <v>296</v>
      </c>
      <c r="CA5" t="s">
        <v>245</v>
      </c>
      <c r="CB5" s="150">
        <f>BW$2*BZ5</f>
        <v>1184</v>
      </c>
      <c r="CC5" t="s">
        <v>245</v>
      </c>
      <c r="CG5" t="s">
        <v>4269</v>
      </c>
      <c r="CH5" s="150">
        <v>309</v>
      </c>
      <c r="CI5" t="s">
        <v>245</v>
      </c>
      <c r="CJ5" s="150">
        <f>CE$2*CH5</f>
        <v>618</v>
      </c>
      <c r="CK5" t="s">
        <v>245</v>
      </c>
      <c r="CO5" t="s">
        <v>4269</v>
      </c>
      <c r="CP5" s="150">
        <v>404</v>
      </c>
      <c r="CQ5" t="s">
        <v>245</v>
      </c>
      <c r="CR5" s="150">
        <f>CM$2*CP5</f>
        <v>808</v>
      </c>
      <c r="CS5" t="s">
        <v>245</v>
      </c>
      <c r="CU5" s="39">
        <f>H5+P5+X5+AF5+AV5+AN5+BD5+BL5+BT5+CB5+CJ5+CR5</f>
        <v>43916</v>
      </c>
      <c r="CV5" t="s">
        <v>245</v>
      </c>
    </row>
    <row r="6" spans="2:100" x14ac:dyDescent="0.35">
      <c r="E6" t="s">
        <v>4270</v>
      </c>
      <c r="F6" s="150">
        <v>329</v>
      </c>
      <c r="G6" t="s">
        <v>245</v>
      </c>
      <c r="H6" s="150">
        <f>$C$2*F6</f>
        <v>3948</v>
      </c>
      <c r="I6" t="s">
        <v>245</v>
      </c>
      <c r="M6" t="s">
        <v>4270</v>
      </c>
      <c r="N6" s="150">
        <v>150</v>
      </c>
      <c r="O6" t="s">
        <v>245</v>
      </c>
      <c r="P6" s="150">
        <f>$C$2*N6</f>
        <v>1800</v>
      </c>
      <c r="Q6" t="s">
        <v>245</v>
      </c>
      <c r="U6" t="s">
        <v>4270</v>
      </c>
      <c r="V6" s="150">
        <v>333</v>
      </c>
      <c r="W6" t="s">
        <v>245</v>
      </c>
      <c r="X6" s="150">
        <f>S$2*V6</f>
        <v>3330</v>
      </c>
      <c r="Y6" t="s">
        <v>245</v>
      </c>
      <c r="AC6" t="s">
        <v>4270</v>
      </c>
      <c r="AD6" s="150">
        <v>244.5</v>
      </c>
      <c r="AE6" t="s">
        <v>245</v>
      </c>
      <c r="AF6" s="150">
        <f>AA$2*AD6</f>
        <v>7824</v>
      </c>
      <c r="AG6" t="s">
        <v>245</v>
      </c>
      <c r="AK6" t="s">
        <v>4270</v>
      </c>
      <c r="AL6" s="150">
        <v>431.75</v>
      </c>
      <c r="AM6" t="s">
        <v>245</v>
      </c>
      <c r="AN6" s="150">
        <f>AI$2*AL6</f>
        <v>2590.5</v>
      </c>
      <c r="AO6" t="s">
        <v>245</v>
      </c>
      <c r="AS6" t="s">
        <v>4270</v>
      </c>
      <c r="AT6" s="150">
        <v>149.91999999999999</v>
      </c>
      <c r="AU6" t="s">
        <v>245</v>
      </c>
      <c r="AV6" s="150">
        <f>AQ$2*AT6</f>
        <v>599.67999999999995</v>
      </c>
      <c r="AW6" t="s">
        <v>245</v>
      </c>
      <c r="BA6" t="s">
        <v>4270</v>
      </c>
      <c r="BB6" s="150">
        <v>20</v>
      </c>
      <c r="BC6" t="s">
        <v>245</v>
      </c>
      <c r="BD6" s="150">
        <f>AY$2*BB6</f>
        <v>40</v>
      </c>
      <c r="BE6" t="s">
        <v>245</v>
      </c>
      <c r="BI6" t="s">
        <v>4270</v>
      </c>
      <c r="BJ6" s="150">
        <v>142.09</v>
      </c>
      <c r="BK6" t="s">
        <v>245</v>
      </c>
      <c r="BL6" s="150">
        <f>BG$2*BJ6</f>
        <v>284.18</v>
      </c>
      <c r="BM6" t="s">
        <v>245</v>
      </c>
      <c r="BQ6" t="s">
        <v>4270</v>
      </c>
      <c r="BR6" s="150">
        <v>245.35</v>
      </c>
      <c r="BS6" t="s">
        <v>245</v>
      </c>
      <c r="BT6" s="150">
        <f>BO$2*BR6</f>
        <v>2944.2</v>
      </c>
      <c r="BU6" t="s">
        <v>245</v>
      </c>
      <c r="BY6" t="s">
        <v>4270</v>
      </c>
      <c r="BZ6" s="150">
        <v>353.25</v>
      </c>
      <c r="CA6" t="s">
        <v>245</v>
      </c>
      <c r="CB6" s="150">
        <f>BW$2*BZ6</f>
        <v>1413</v>
      </c>
      <c r="CC6" t="s">
        <v>245</v>
      </c>
      <c r="CG6" t="s">
        <v>4270</v>
      </c>
      <c r="CH6" s="150">
        <v>198.07</v>
      </c>
      <c r="CI6" t="s">
        <v>245</v>
      </c>
      <c r="CJ6" s="150">
        <f>CE$2*CH6</f>
        <v>396.14</v>
      </c>
      <c r="CK6" t="s">
        <v>245</v>
      </c>
      <c r="CO6" t="s">
        <v>4270</v>
      </c>
      <c r="CP6" s="150">
        <v>235.5</v>
      </c>
      <c r="CQ6" t="s">
        <v>245</v>
      </c>
      <c r="CR6" s="150">
        <f>CM$2*CP6</f>
        <v>471</v>
      </c>
      <c r="CS6" t="s">
        <v>245</v>
      </c>
      <c r="CU6" s="39">
        <f>H6+P6+X6+AF6+AV6+AN6+BD6+BL6+BT6+CB6+CJ6+CR6</f>
        <v>25640.7</v>
      </c>
      <c r="CV6" t="s">
        <v>245</v>
      </c>
    </row>
    <row r="7" spans="2:100" x14ac:dyDescent="0.35">
      <c r="E7" t="s">
        <v>4271</v>
      </c>
      <c r="F7" s="151">
        <f>F27</f>
        <v>390</v>
      </c>
      <c r="G7" t="s">
        <v>245</v>
      </c>
      <c r="H7" s="150">
        <f>$C$2*F7</f>
        <v>4680</v>
      </c>
      <c r="I7" t="s">
        <v>245</v>
      </c>
      <c r="M7" t="s">
        <v>4271</v>
      </c>
      <c r="N7" s="151">
        <f>N27</f>
        <v>297</v>
      </c>
      <c r="O7" t="s">
        <v>245</v>
      </c>
      <c r="P7" s="150">
        <f>$C$2*N7</f>
        <v>3564</v>
      </c>
      <c r="Q7" t="s">
        <v>245</v>
      </c>
      <c r="U7" t="s">
        <v>4271</v>
      </c>
      <c r="V7" s="151">
        <f>V27</f>
        <v>595</v>
      </c>
      <c r="W7" t="s">
        <v>245</v>
      </c>
      <c r="X7" s="150">
        <f>$C$2*V7</f>
        <v>7140</v>
      </c>
      <c r="Y7" t="s">
        <v>245</v>
      </c>
      <c r="AC7" t="s">
        <v>4271</v>
      </c>
      <c r="AD7" s="151">
        <f>AD27</f>
        <v>429</v>
      </c>
      <c r="AE7" t="s">
        <v>245</v>
      </c>
      <c r="AF7" s="150">
        <f>$C$2*AD7</f>
        <v>5148</v>
      </c>
      <c r="AG7" t="s">
        <v>245</v>
      </c>
      <c r="AK7" t="s">
        <v>4271</v>
      </c>
      <c r="AL7" s="151">
        <f>AL27</f>
        <v>761</v>
      </c>
      <c r="AM7" t="s">
        <v>245</v>
      </c>
      <c r="AN7" s="150">
        <f>$C$2*AL7</f>
        <v>9132</v>
      </c>
      <c r="AO7" t="s">
        <v>245</v>
      </c>
      <c r="AS7" t="s">
        <v>4271</v>
      </c>
      <c r="AT7" s="151">
        <f>AT27</f>
        <v>300</v>
      </c>
      <c r="AU7" t="s">
        <v>245</v>
      </c>
      <c r="AV7" s="150">
        <f>$C$2*AT7</f>
        <v>3600</v>
      </c>
      <c r="AW7" t="s">
        <v>245</v>
      </c>
      <c r="BA7" t="s">
        <v>4271</v>
      </c>
      <c r="BB7" s="151">
        <f>BB27</f>
        <v>316</v>
      </c>
      <c r="BC7" t="s">
        <v>245</v>
      </c>
      <c r="BD7" s="150">
        <f>$C$2*BB7</f>
        <v>3792</v>
      </c>
      <c r="BE7" t="s">
        <v>245</v>
      </c>
      <c r="BI7" t="s">
        <v>4271</v>
      </c>
      <c r="BJ7" s="151">
        <f>BJ27</f>
        <v>247</v>
      </c>
      <c r="BK7" t="s">
        <v>245</v>
      </c>
      <c r="BL7" s="150">
        <f>$C$2*BJ7</f>
        <v>2964</v>
      </c>
      <c r="BM7" t="s">
        <v>245</v>
      </c>
      <c r="BQ7" t="s">
        <v>4271</v>
      </c>
      <c r="BR7" s="151">
        <f>BR27</f>
        <v>436</v>
      </c>
      <c r="BS7" t="s">
        <v>245</v>
      </c>
      <c r="BT7" s="150">
        <f>$C$2*BR7</f>
        <v>5232</v>
      </c>
      <c r="BU7" t="s">
        <v>245</v>
      </c>
      <c r="BY7" t="s">
        <v>4271</v>
      </c>
      <c r="BZ7" s="151">
        <f>BZ27</f>
        <v>405</v>
      </c>
      <c r="CA7" t="s">
        <v>245</v>
      </c>
      <c r="CB7" s="150">
        <f>$C$2*BZ7</f>
        <v>4860</v>
      </c>
      <c r="CC7" t="s">
        <v>245</v>
      </c>
      <c r="CG7" t="s">
        <v>4271</v>
      </c>
      <c r="CH7" s="151">
        <f>CH27</f>
        <v>247</v>
      </c>
      <c r="CI7" t="s">
        <v>245</v>
      </c>
      <c r="CJ7" s="150">
        <f>$C$2*CH7</f>
        <v>2964</v>
      </c>
      <c r="CK7" t="s">
        <v>245</v>
      </c>
      <c r="CO7" t="s">
        <v>4271</v>
      </c>
      <c r="CP7" s="151">
        <f>CP27</f>
        <v>455</v>
      </c>
      <c r="CQ7" t="s">
        <v>245</v>
      </c>
      <c r="CR7" s="150">
        <f>$C$2*CP7</f>
        <v>5460</v>
      </c>
      <c r="CS7" t="s">
        <v>245</v>
      </c>
      <c r="CU7" s="39">
        <f>H7+P7+X7+AF7+AV7+AN7+BD7+BL7+BT7+CB7+CJ7+CR7</f>
        <v>58536</v>
      </c>
      <c r="CV7" t="s">
        <v>245</v>
      </c>
    </row>
    <row r="8" spans="2:100" x14ac:dyDescent="0.35">
      <c r="E8" t="s">
        <v>4272</v>
      </c>
      <c r="M8" t="s">
        <v>4272</v>
      </c>
      <c r="U8" t="s">
        <v>4272</v>
      </c>
      <c r="AC8" t="s">
        <v>4272</v>
      </c>
      <c r="AK8" t="s">
        <v>4272</v>
      </c>
      <c r="AS8" t="s">
        <v>4272</v>
      </c>
      <c r="BA8" t="s">
        <v>4272</v>
      </c>
      <c r="BI8" t="s">
        <v>4272</v>
      </c>
      <c r="BQ8" t="s">
        <v>4272</v>
      </c>
      <c r="BY8" t="s">
        <v>4272</v>
      </c>
      <c r="CG8" t="s">
        <v>4272</v>
      </c>
      <c r="CO8" t="s">
        <v>4272</v>
      </c>
    </row>
    <row r="9" spans="2:100" x14ac:dyDescent="0.35">
      <c r="D9" t="s">
        <v>4273</v>
      </c>
      <c r="L9" t="s">
        <v>4273</v>
      </c>
      <c r="T9" t="s">
        <v>4273</v>
      </c>
      <c r="AB9" t="s">
        <v>4273</v>
      </c>
      <c r="AJ9" t="s">
        <v>4273</v>
      </c>
      <c r="AR9" t="s">
        <v>4273</v>
      </c>
      <c r="AZ9" t="s">
        <v>4273</v>
      </c>
      <c r="BH9" t="s">
        <v>4273</v>
      </c>
      <c r="BP9" t="s">
        <v>4273</v>
      </c>
      <c r="BX9" t="s">
        <v>4273</v>
      </c>
      <c r="CF9" t="s">
        <v>4273</v>
      </c>
      <c r="CN9" t="s">
        <v>4273</v>
      </c>
    </row>
    <row r="10" spans="2:100" x14ac:dyDescent="0.35">
      <c r="E10" t="s">
        <v>4274</v>
      </c>
      <c r="F10" s="150">
        <v>5</v>
      </c>
      <c r="G10" t="s">
        <v>4275</v>
      </c>
      <c r="H10" s="150">
        <f t="shared" ref="H10:H15" si="0">$C$2*F10</f>
        <v>60</v>
      </c>
      <c r="I10" t="s">
        <v>4275</v>
      </c>
      <c r="M10" t="s">
        <v>4274</v>
      </c>
      <c r="N10" s="150">
        <v>5</v>
      </c>
      <c r="O10" t="s">
        <v>4275</v>
      </c>
      <c r="P10" s="150">
        <f>$K$2*N10</f>
        <v>60</v>
      </c>
      <c r="Q10" t="s">
        <v>4275</v>
      </c>
      <c r="U10" t="s">
        <v>4274</v>
      </c>
      <c r="V10" s="150">
        <v>5</v>
      </c>
      <c r="W10" t="s">
        <v>4275</v>
      </c>
      <c r="X10" s="150">
        <f t="shared" ref="X10:X15" si="1">S$2*V10</f>
        <v>50</v>
      </c>
      <c r="Y10" t="s">
        <v>4275</v>
      </c>
      <c r="AC10" t="s">
        <v>4274</v>
      </c>
      <c r="AD10" s="150">
        <v>5</v>
      </c>
      <c r="AE10" t="s">
        <v>4275</v>
      </c>
      <c r="AF10" s="150">
        <f t="shared" ref="AF10:AF15" si="2">AA$2*AD10</f>
        <v>160</v>
      </c>
      <c r="AG10" t="s">
        <v>4275</v>
      </c>
      <c r="AK10" t="s">
        <v>4274</v>
      </c>
      <c r="AL10" s="150">
        <v>5</v>
      </c>
      <c r="AM10" t="s">
        <v>4275</v>
      </c>
      <c r="AN10" s="150">
        <f t="shared" ref="AN10:AN15" si="3">AI$2*AL10</f>
        <v>30</v>
      </c>
      <c r="AO10" t="s">
        <v>4275</v>
      </c>
      <c r="AS10" t="s">
        <v>4274</v>
      </c>
      <c r="AU10" t="s">
        <v>4275</v>
      </c>
      <c r="AV10" s="150">
        <f t="shared" ref="AV10:AV15" si="4">AQ$2*AT10</f>
        <v>0</v>
      </c>
      <c r="AW10" t="s">
        <v>4275</v>
      </c>
      <c r="BA10" t="s">
        <v>4274</v>
      </c>
      <c r="BC10" t="s">
        <v>4275</v>
      </c>
      <c r="BD10" s="150">
        <f t="shared" ref="BD10:BD15" si="5">AY$2*BB10</f>
        <v>0</v>
      </c>
      <c r="BE10" t="s">
        <v>4275</v>
      </c>
      <c r="BI10" t="s">
        <v>4274</v>
      </c>
      <c r="BK10" t="s">
        <v>4275</v>
      </c>
      <c r="BL10" s="150">
        <f t="shared" ref="BL10:BL15" si="6">BG$2*BJ10</f>
        <v>0</v>
      </c>
      <c r="BM10" t="s">
        <v>4275</v>
      </c>
      <c r="BQ10" t="s">
        <v>4274</v>
      </c>
      <c r="BS10" t="s">
        <v>4275</v>
      </c>
      <c r="BT10" s="150">
        <f t="shared" ref="BT10:BT15" si="7">BO$2*BR10</f>
        <v>0</v>
      </c>
      <c r="BU10" t="s">
        <v>4275</v>
      </c>
      <c r="BY10" t="s">
        <v>4274</v>
      </c>
      <c r="CA10" t="s">
        <v>4275</v>
      </c>
      <c r="CB10" s="150">
        <f t="shared" ref="CB10:CB15" si="8">BW$2*BZ10</f>
        <v>0</v>
      </c>
      <c r="CC10" t="s">
        <v>4275</v>
      </c>
      <c r="CG10" t="s">
        <v>4274</v>
      </c>
      <c r="CI10" t="s">
        <v>4275</v>
      </c>
      <c r="CJ10" s="150">
        <f t="shared" ref="CJ10:CJ15" si="9">CE$2*CH10</f>
        <v>0</v>
      </c>
      <c r="CK10" t="s">
        <v>4275</v>
      </c>
      <c r="CO10" t="s">
        <v>4274</v>
      </c>
      <c r="CQ10" t="s">
        <v>4275</v>
      </c>
      <c r="CR10" s="150">
        <f t="shared" ref="CR10:CR15" si="10">CM$2*CP10</f>
        <v>0</v>
      </c>
      <c r="CS10" t="s">
        <v>4275</v>
      </c>
      <c r="CU10" s="39">
        <f t="shared" ref="CU10:CU15" si="11">H10+P10+X10+AF10+AV10+AN10+BD10+BL10+BT10+CB10+CJ10+CR10</f>
        <v>360</v>
      </c>
      <c r="CV10" t="s">
        <v>4275</v>
      </c>
    </row>
    <row r="11" spans="2:100" x14ac:dyDescent="0.35">
      <c r="E11" t="s">
        <v>4276</v>
      </c>
      <c r="F11" s="150">
        <v>7.5</v>
      </c>
      <c r="G11" t="s">
        <v>4275</v>
      </c>
      <c r="H11" s="150">
        <f>$C$2*F11</f>
        <v>90</v>
      </c>
      <c r="I11" t="s">
        <v>4275</v>
      </c>
      <c r="M11" t="s">
        <v>4276</v>
      </c>
      <c r="N11" s="150">
        <v>7.5</v>
      </c>
      <c r="O11" t="s">
        <v>4275</v>
      </c>
      <c r="P11" s="150">
        <f>$K$2*N11</f>
        <v>90</v>
      </c>
      <c r="Q11" t="s">
        <v>4275</v>
      </c>
      <c r="U11" t="s">
        <v>4276</v>
      </c>
      <c r="V11" s="150">
        <v>7.5</v>
      </c>
      <c r="W11" t="s">
        <v>4275</v>
      </c>
      <c r="X11" s="150">
        <f>S$2*V11</f>
        <v>75</v>
      </c>
      <c r="Y11" t="s">
        <v>4275</v>
      </c>
      <c r="AC11" t="s">
        <v>4276</v>
      </c>
      <c r="AD11" s="150">
        <v>7.5</v>
      </c>
      <c r="AE11" t="s">
        <v>4275</v>
      </c>
      <c r="AF11" s="150">
        <f>AA$2*AD11</f>
        <v>240</v>
      </c>
      <c r="AG11" t="s">
        <v>4275</v>
      </c>
      <c r="AK11" t="s">
        <v>4276</v>
      </c>
      <c r="AL11" s="150">
        <v>7.5</v>
      </c>
      <c r="AM11" t="s">
        <v>4275</v>
      </c>
      <c r="AN11" s="150">
        <f t="shared" si="3"/>
        <v>45</v>
      </c>
      <c r="AO11" t="s">
        <v>4275</v>
      </c>
      <c r="AS11" t="s">
        <v>4274</v>
      </c>
      <c r="AU11" t="s">
        <v>4275</v>
      </c>
      <c r="AV11" s="150">
        <f>AQ$2*AT11</f>
        <v>0</v>
      </c>
      <c r="AW11" t="s">
        <v>4275</v>
      </c>
      <c r="BA11" t="s">
        <v>4276</v>
      </c>
      <c r="BC11" t="s">
        <v>4275</v>
      </c>
      <c r="BD11" s="150">
        <f t="shared" si="5"/>
        <v>0</v>
      </c>
      <c r="BE11" t="s">
        <v>4275</v>
      </c>
      <c r="BI11" t="s">
        <v>4276</v>
      </c>
      <c r="BK11" t="s">
        <v>4275</v>
      </c>
      <c r="BL11" s="150">
        <f t="shared" si="6"/>
        <v>0</v>
      </c>
      <c r="BM11" t="s">
        <v>4275</v>
      </c>
      <c r="BQ11" t="s">
        <v>4276</v>
      </c>
      <c r="BS11" t="s">
        <v>4275</v>
      </c>
      <c r="BT11" s="150">
        <f t="shared" si="7"/>
        <v>0</v>
      </c>
      <c r="BU11" t="s">
        <v>4275</v>
      </c>
      <c r="BY11" t="s">
        <v>4276</v>
      </c>
      <c r="CA11" t="s">
        <v>4275</v>
      </c>
      <c r="CB11" s="150">
        <f t="shared" si="8"/>
        <v>0</v>
      </c>
      <c r="CC11" t="s">
        <v>4275</v>
      </c>
      <c r="CG11" t="s">
        <v>4276</v>
      </c>
      <c r="CI11" t="s">
        <v>4275</v>
      </c>
      <c r="CJ11" s="150">
        <f t="shared" si="9"/>
        <v>0</v>
      </c>
      <c r="CK11" t="s">
        <v>4275</v>
      </c>
      <c r="CO11" t="s">
        <v>4276</v>
      </c>
      <c r="CQ11" t="s">
        <v>4275</v>
      </c>
      <c r="CR11" s="150">
        <f t="shared" si="10"/>
        <v>0</v>
      </c>
      <c r="CS11" t="s">
        <v>4275</v>
      </c>
      <c r="CU11" s="39">
        <f t="shared" si="11"/>
        <v>540</v>
      </c>
      <c r="CV11" t="s">
        <v>4275</v>
      </c>
    </row>
    <row r="12" spans="2:100" x14ac:dyDescent="0.35">
      <c r="E12" t="s">
        <v>4277</v>
      </c>
      <c r="F12" s="150">
        <v>4</v>
      </c>
      <c r="G12" t="s">
        <v>4275</v>
      </c>
      <c r="H12" s="150">
        <f t="shared" si="0"/>
        <v>48</v>
      </c>
      <c r="I12" t="s">
        <v>4275</v>
      </c>
      <c r="M12" t="s">
        <v>4277</v>
      </c>
      <c r="N12" s="150">
        <v>4</v>
      </c>
      <c r="O12" t="s">
        <v>4275</v>
      </c>
      <c r="P12" s="150">
        <f>$C$2*N12</f>
        <v>48</v>
      </c>
      <c r="Q12" t="s">
        <v>4275</v>
      </c>
      <c r="U12" t="s">
        <v>4277</v>
      </c>
      <c r="V12" s="150">
        <v>8</v>
      </c>
      <c r="W12" t="s">
        <v>4275</v>
      </c>
      <c r="X12" s="150">
        <f t="shared" si="1"/>
        <v>80</v>
      </c>
      <c r="Y12" t="s">
        <v>4275</v>
      </c>
      <c r="AC12" t="s">
        <v>4277</v>
      </c>
      <c r="AD12" s="150">
        <v>4</v>
      </c>
      <c r="AE12" t="s">
        <v>4275</v>
      </c>
      <c r="AF12" s="150">
        <f t="shared" si="2"/>
        <v>128</v>
      </c>
      <c r="AG12" t="s">
        <v>4275</v>
      </c>
      <c r="AK12" t="s">
        <v>4277</v>
      </c>
      <c r="AL12" s="150">
        <v>4</v>
      </c>
      <c r="AM12" t="s">
        <v>4275</v>
      </c>
      <c r="AN12" s="150">
        <f t="shared" si="3"/>
        <v>24</v>
      </c>
      <c r="AO12" t="s">
        <v>4275</v>
      </c>
      <c r="AS12" t="s">
        <v>4277</v>
      </c>
      <c r="AT12" s="150">
        <v>4</v>
      </c>
      <c r="AU12" t="s">
        <v>4275</v>
      </c>
      <c r="AV12" s="150">
        <f t="shared" si="4"/>
        <v>16</v>
      </c>
      <c r="AW12" t="s">
        <v>4275</v>
      </c>
      <c r="BA12" t="s">
        <v>4277</v>
      </c>
      <c r="BB12" s="150">
        <v>1</v>
      </c>
      <c r="BC12" t="s">
        <v>4275</v>
      </c>
      <c r="BD12" s="150">
        <f t="shared" si="5"/>
        <v>2</v>
      </c>
      <c r="BE12" t="s">
        <v>4275</v>
      </c>
      <c r="BI12" t="s">
        <v>4277</v>
      </c>
      <c r="BK12" t="s">
        <v>4275</v>
      </c>
      <c r="BL12" s="150">
        <f t="shared" si="6"/>
        <v>0</v>
      </c>
      <c r="BM12" t="s">
        <v>4275</v>
      </c>
      <c r="BQ12" t="s">
        <v>4277</v>
      </c>
      <c r="BR12" s="150">
        <v>4</v>
      </c>
      <c r="BS12" t="s">
        <v>4275</v>
      </c>
      <c r="BT12" s="150">
        <f t="shared" si="7"/>
        <v>48</v>
      </c>
      <c r="BU12" t="s">
        <v>4275</v>
      </c>
      <c r="BY12" t="s">
        <v>4277</v>
      </c>
      <c r="BZ12" s="150">
        <v>4</v>
      </c>
      <c r="CA12" t="s">
        <v>4275</v>
      </c>
      <c r="CB12" s="150">
        <f t="shared" si="8"/>
        <v>16</v>
      </c>
      <c r="CC12" t="s">
        <v>4275</v>
      </c>
      <c r="CG12" t="s">
        <v>4277</v>
      </c>
      <c r="CH12" s="150">
        <v>4</v>
      </c>
      <c r="CI12" t="s">
        <v>4275</v>
      </c>
      <c r="CJ12" s="150">
        <f t="shared" si="9"/>
        <v>8</v>
      </c>
      <c r="CK12" t="s">
        <v>4275</v>
      </c>
      <c r="CO12" t="s">
        <v>4277</v>
      </c>
      <c r="CP12" s="150">
        <v>4</v>
      </c>
      <c r="CQ12" t="s">
        <v>4275</v>
      </c>
      <c r="CR12" s="150">
        <f t="shared" si="10"/>
        <v>8</v>
      </c>
      <c r="CS12" t="s">
        <v>4275</v>
      </c>
      <c r="CU12" s="39">
        <f t="shared" si="11"/>
        <v>426</v>
      </c>
      <c r="CV12" t="s">
        <v>4275</v>
      </c>
    </row>
    <row r="13" spans="2:100" x14ac:dyDescent="0.35">
      <c r="E13" t="s">
        <v>4278</v>
      </c>
      <c r="F13" s="150">
        <v>5</v>
      </c>
      <c r="G13" t="s">
        <v>199</v>
      </c>
      <c r="H13" s="150">
        <f t="shared" si="0"/>
        <v>60</v>
      </c>
      <c r="I13" t="s">
        <v>199</v>
      </c>
      <c r="M13" t="s">
        <v>4278</v>
      </c>
      <c r="N13" s="150">
        <v>5</v>
      </c>
      <c r="O13" t="s">
        <v>199</v>
      </c>
      <c r="P13" s="150">
        <f>$C$2*N13</f>
        <v>60</v>
      </c>
      <c r="Q13" t="s">
        <v>199</v>
      </c>
      <c r="U13" t="s">
        <v>4278</v>
      </c>
      <c r="V13" s="150">
        <v>5</v>
      </c>
      <c r="W13" t="s">
        <v>199</v>
      </c>
      <c r="X13" s="150">
        <f t="shared" si="1"/>
        <v>50</v>
      </c>
      <c r="Y13" t="s">
        <v>199</v>
      </c>
      <c r="AC13" t="s">
        <v>4278</v>
      </c>
      <c r="AD13" s="150">
        <v>5</v>
      </c>
      <c r="AE13" t="s">
        <v>199</v>
      </c>
      <c r="AF13" s="150">
        <f t="shared" si="2"/>
        <v>160</v>
      </c>
      <c r="AG13" t="s">
        <v>199</v>
      </c>
      <c r="AK13" t="s">
        <v>4278</v>
      </c>
      <c r="AL13" s="150">
        <v>5</v>
      </c>
      <c r="AM13" t="s">
        <v>199</v>
      </c>
      <c r="AN13" s="150">
        <f t="shared" si="3"/>
        <v>30</v>
      </c>
      <c r="AO13" t="s">
        <v>199</v>
      </c>
      <c r="AS13" t="s">
        <v>4278</v>
      </c>
      <c r="AT13" s="150">
        <v>5</v>
      </c>
      <c r="AU13" t="s">
        <v>199</v>
      </c>
      <c r="AV13" s="150">
        <f t="shared" si="4"/>
        <v>20</v>
      </c>
      <c r="AW13" t="s">
        <v>199</v>
      </c>
      <c r="BA13" t="s">
        <v>4278</v>
      </c>
      <c r="BB13" s="150">
        <v>1</v>
      </c>
      <c r="BC13" t="s">
        <v>199</v>
      </c>
      <c r="BD13" s="150">
        <f t="shared" si="5"/>
        <v>2</v>
      </c>
      <c r="BE13" t="s">
        <v>199</v>
      </c>
      <c r="BI13" t="s">
        <v>4278</v>
      </c>
      <c r="BJ13" s="150">
        <v>5</v>
      </c>
      <c r="BK13" t="s">
        <v>199</v>
      </c>
      <c r="BL13" s="150">
        <f t="shared" si="6"/>
        <v>10</v>
      </c>
      <c r="BM13" t="s">
        <v>199</v>
      </c>
      <c r="BQ13" t="s">
        <v>4278</v>
      </c>
      <c r="BR13" s="150">
        <v>5</v>
      </c>
      <c r="BS13" t="s">
        <v>199</v>
      </c>
      <c r="BT13" s="150">
        <f t="shared" si="7"/>
        <v>60</v>
      </c>
      <c r="BU13" t="s">
        <v>199</v>
      </c>
      <c r="BY13" t="s">
        <v>4278</v>
      </c>
      <c r="BZ13" s="150">
        <v>5</v>
      </c>
      <c r="CA13" t="s">
        <v>199</v>
      </c>
      <c r="CB13" s="150">
        <f t="shared" si="8"/>
        <v>20</v>
      </c>
      <c r="CC13" t="s">
        <v>199</v>
      </c>
      <c r="CG13" t="s">
        <v>4278</v>
      </c>
      <c r="CH13" s="150">
        <v>5</v>
      </c>
      <c r="CI13" t="s">
        <v>199</v>
      </c>
      <c r="CJ13" s="150">
        <f t="shared" si="9"/>
        <v>10</v>
      </c>
      <c r="CK13" t="s">
        <v>199</v>
      </c>
      <c r="CO13" t="s">
        <v>4278</v>
      </c>
      <c r="CP13" s="150">
        <v>5</v>
      </c>
      <c r="CQ13" t="s">
        <v>199</v>
      </c>
      <c r="CR13" s="150">
        <f t="shared" si="10"/>
        <v>10</v>
      </c>
      <c r="CS13" t="s">
        <v>199</v>
      </c>
      <c r="CU13" s="39">
        <f t="shared" si="11"/>
        <v>492</v>
      </c>
      <c r="CV13" t="s">
        <v>199</v>
      </c>
    </row>
    <row r="14" spans="2:100" x14ac:dyDescent="0.35">
      <c r="E14" t="s">
        <v>4279</v>
      </c>
      <c r="F14" s="150">
        <v>93</v>
      </c>
      <c r="G14" t="s">
        <v>263</v>
      </c>
      <c r="H14" s="150">
        <f t="shared" si="0"/>
        <v>1116</v>
      </c>
      <c r="I14" t="s">
        <v>263</v>
      </c>
      <c r="M14" t="s">
        <v>4279</v>
      </c>
      <c r="N14" s="150">
        <v>72</v>
      </c>
      <c r="O14" t="s">
        <v>263</v>
      </c>
      <c r="P14" s="150">
        <f>$C$2*N14</f>
        <v>864</v>
      </c>
      <c r="Q14" t="s">
        <v>263</v>
      </c>
      <c r="U14" t="s">
        <v>4279</v>
      </c>
      <c r="V14" s="150">
        <v>128</v>
      </c>
      <c r="W14" t="s">
        <v>263</v>
      </c>
      <c r="X14" s="150">
        <f t="shared" si="1"/>
        <v>1280</v>
      </c>
      <c r="Y14" t="s">
        <v>263</v>
      </c>
      <c r="AC14" t="s">
        <v>4279</v>
      </c>
      <c r="AD14" s="150">
        <v>111</v>
      </c>
      <c r="AE14" t="s">
        <v>263</v>
      </c>
      <c r="AF14" s="150">
        <f t="shared" si="2"/>
        <v>3552</v>
      </c>
      <c r="AG14" t="s">
        <v>263</v>
      </c>
      <c r="AK14" t="s">
        <v>4279</v>
      </c>
      <c r="AL14" s="150">
        <v>190</v>
      </c>
      <c r="AM14" t="s">
        <v>263</v>
      </c>
      <c r="AN14" s="150">
        <f t="shared" si="3"/>
        <v>1140</v>
      </c>
      <c r="AO14" t="s">
        <v>263</v>
      </c>
      <c r="AS14" t="s">
        <v>4279</v>
      </c>
      <c r="AT14" s="150">
        <v>23</v>
      </c>
      <c r="AU14" t="s">
        <v>263</v>
      </c>
      <c r="AV14" s="150">
        <f t="shared" si="4"/>
        <v>92</v>
      </c>
      <c r="AW14" t="s">
        <v>263</v>
      </c>
      <c r="BA14" t="s">
        <v>4279</v>
      </c>
      <c r="BB14" s="150">
        <v>79</v>
      </c>
      <c r="BC14" t="s">
        <v>263</v>
      </c>
      <c r="BD14" s="150">
        <f t="shared" si="5"/>
        <v>158</v>
      </c>
      <c r="BE14" t="s">
        <v>263</v>
      </c>
      <c r="BI14" t="s">
        <v>4279</v>
      </c>
      <c r="BJ14" s="150">
        <v>62</v>
      </c>
      <c r="BK14" t="s">
        <v>263</v>
      </c>
      <c r="BL14" s="150">
        <f t="shared" si="6"/>
        <v>124</v>
      </c>
      <c r="BM14" t="s">
        <v>263</v>
      </c>
      <c r="BQ14" t="s">
        <v>4279</v>
      </c>
      <c r="BR14" s="150">
        <v>114</v>
      </c>
      <c r="BS14" t="s">
        <v>263</v>
      </c>
      <c r="BT14" s="150">
        <f t="shared" si="7"/>
        <v>1368</v>
      </c>
      <c r="BU14" t="s">
        <v>263</v>
      </c>
      <c r="BY14" t="s">
        <v>4279</v>
      </c>
      <c r="BZ14" s="150">
        <v>116</v>
      </c>
      <c r="CA14" t="s">
        <v>263</v>
      </c>
      <c r="CB14" s="150">
        <f t="shared" si="8"/>
        <v>464</v>
      </c>
      <c r="CC14" t="s">
        <v>263</v>
      </c>
      <c r="CG14" t="s">
        <v>4279</v>
      </c>
      <c r="CH14" s="150">
        <v>68</v>
      </c>
      <c r="CI14" t="s">
        <v>263</v>
      </c>
      <c r="CJ14" s="150">
        <f t="shared" si="9"/>
        <v>136</v>
      </c>
      <c r="CK14" t="s">
        <v>263</v>
      </c>
      <c r="CO14" t="s">
        <v>4279</v>
      </c>
      <c r="CP14" s="150">
        <v>102</v>
      </c>
      <c r="CQ14" t="s">
        <v>263</v>
      </c>
      <c r="CR14" s="150">
        <f t="shared" si="10"/>
        <v>204</v>
      </c>
      <c r="CS14" t="s">
        <v>263</v>
      </c>
      <c r="CU14" s="39">
        <f t="shared" si="11"/>
        <v>10498</v>
      </c>
      <c r="CV14" t="s">
        <v>263</v>
      </c>
    </row>
    <row r="15" spans="2:100" x14ac:dyDescent="0.35">
      <c r="E15" t="s">
        <v>4280</v>
      </c>
      <c r="F15" s="150">
        <v>6</v>
      </c>
      <c r="G15" t="s">
        <v>263</v>
      </c>
      <c r="H15" s="150">
        <f t="shared" si="0"/>
        <v>72</v>
      </c>
      <c r="I15" t="s">
        <v>263</v>
      </c>
      <c r="M15" t="s">
        <v>4280</v>
      </c>
      <c r="N15" s="150">
        <v>5</v>
      </c>
      <c r="O15" t="s">
        <v>263</v>
      </c>
      <c r="P15" s="150">
        <f>$C$2*N15</f>
        <v>60</v>
      </c>
      <c r="Q15" t="s">
        <v>263</v>
      </c>
      <c r="U15" t="s">
        <v>4280</v>
      </c>
      <c r="V15" s="150">
        <v>7</v>
      </c>
      <c r="W15" t="s">
        <v>263</v>
      </c>
      <c r="X15" s="150">
        <f t="shared" si="1"/>
        <v>70</v>
      </c>
      <c r="Y15" t="s">
        <v>263</v>
      </c>
      <c r="AC15" t="s">
        <v>4280</v>
      </c>
      <c r="AD15" s="150">
        <v>5</v>
      </c>
      <c r="AE15" t="s">
        <v>263</v>
      </c>
      <c r="AF15" s="150">
        <f t="shared" si="2"/>
        <v>160</v>
      </c>
      <c r="AG15" t="s">
        <v>263</v>
      </c>
      <c r="AK15" t="s">
        <v>4280</v>
      </c>
      <c r="AL15" s="150">
        <v>15</v>
      </c>
      <c r="AM15" t="s">
        <v>263</v>
      </c>
      <c r="AN15" s="150">
        <f t="shared" si="3"/>
        <v>90</v>
      </c>
      <c r="AO15" t="s">
        <v>263</v>
      </c>
      <c r="AS15" t="s">
        <v>4280</v>
      </c>
      <c r="AT15" s="150">
        <v>6</v>
      </c>
      <c r="AU15" t="s">
        <v>263</v>
      </c>
      <c r="AV15" s="150">
        <f t="shared" si="4"/>
        <v>24</v>
      </c>
      <c r="AW15" t="s">
        <v>263</v>
      </c>
      <c r="BA15" t="s">
        <v>4280</v>
      </c>
      <c r="BB15" s="150">
        <v>6</v>
      </c>
      <c r="BC15" t="s">
        <v>263</v>
      </c>
      <c r="BD15" s="150">
        <f t="shared" si="5"/>
        <v>12</v>
      </c>
      <c r="BE15" t="s">
        <v>263</v>
      </c>
      <c r="BI15" t="s">
        <v>4280</v>
      </c>
      <c r="BJ15" s="150">
        <v>6</v>
      </c>
      <c r="BK15" t="s">
        <v>263</v>
      </c>
      <c r="BL15" s="150">
        <f t="shared" si="6"/>
        <v>12</v>
      </c>
      <c r="BM15" t="s">
        <v>263</v>
      </c>
      <c r="BQ15" t="s">
        <v>4280</v>
      </c>
      <c r="BR15" s="150">
        <v>12</v>
      </c>
      <c r="BS15" t="s">
        <v>263</v>
      </c>
      <c r="BT15" s="150">
        <f t="shared" si="7"/>
        <v>144</v>
      </c>
      <c r="BU15" t="s">
        <v>263</v>
      </c>
      <c r="BY15" t="s">
        <v>4280</v>
      </c>
      <c r="BZ15" s="150">
        <v>12</v>
      </c>
      <c r="CA15" t="s">
        <v>263</v>
      </c>
      <c r="CB15" s="150">
        <f t="shared" si="8"/>
        <v>48</v>
      </c>
      <c r="CC15" t="s">
        <v>263</v>
      </c>
      <c r="CG15" t="s">
        <v>4280</v>
      </c>
      <c r="CH15" s="150">
        <v>6</v>
      </c>
      <c r="CI15" t="s">
        <v>263</v>
      </c>
      <c r="CJ15" s="150">
        <f t="shared" si="9"/>
        <v>12</v>
      </c>
      <c r="CK15" t="s">
        <v>263</v>
      </c>
      <c r="CO15" t="s">
        <v>4280</v>
      </c>
      <c r="CP15" s="150">
        <v>6</v>
      </c>
      <c r="CQ15" t="s">
        <v>263</v>
      </c>
      <c r="CR15" s="150">
        <f t="shared" si="10"/>
        <v>12</v>
      </c>
      <c r="CS15" t="s">
        <v>263</v>
      </c>
      <c r="CU15" s="39">
        <f t="shared" si="11"/>
        <v>716</v>
      </c>
      <c r="CV15" t="s">
        <v>263</v>
      </c>
    </row>
    <row r="16" spans="2:100" x14ac:dyDescent="0.35">
      <c r="D16" t="s">
        <v>4281</v>
      </c>
      <c r="L16" t="s">
        <v>4281</v>
      </c>
      <c r="T16" t="s">
        <v>4281</v>
      </c>
      <c r="AB16" t="s">
        <v>4281</v>
      </c>
      <c r="AJ16" t="s">
        <v>4281</v>
      </c>
      <c r="AR16" t="s">
        <v>4281</v>
      </c>
      <c r="AZ16" t="s">
        <v>4281</v>
      </c>
      <c r="BH16" t="s">
        <v>4281</v>
      </c>
      <c r="BP16" t="s">
        <v>4281</v>
      </c>
      <c r="BX16" t="s">
        <v>4281</v>
      </c>
      <c r="CF16" t="s">
        <v>4281</v>
      </c>
      <c r="CN16" t="s">
        <v>4281</v>
      </c>
    </row>
    <row r="17" spans="4:100" x14ac:dyDescent="0.35">
      <c r="E17" t="s">
        <v>4282</v>
      </c>
      <c r="F17" s="150">
        <v>1</v>
      </c>
      <c r="G17" t="s">
        <v>199</v>
      </c>
      <c r="H17" s="150">
        <f>$C$2*F17</f>
        <v>12</v>
      </c>
      <c r="I17" t="s">
        <v>199</v>
      </c>
      <c r="M17" t="s">
        <v>4282</v>
      </c>
      <c r="O17" t="s">
        <v>199</v>
      </c>
      <c r="P17" s="150">
        <f>$K$2*N17</f>
        <v>0</v>
      </c>
      <c r="Q17" t="s">
        <v>199</v>
      </c>
      <c r="U17" t="s">
        <v>4282</v>
      </c>
      <c r="V17" s="150">
        <v>1</v>
      </c>
      <c r="W17" t="s">
        <v>199</v>
      </c>
      <c r="X17" s="150">
        <f>S$2*V17</f>
        <v>10</v>
      </c>
      <c r="Y17" t="s">
        <v>199</v>
      </c>
      <c r="AC17" t="s">
        <v>4282</v>
      </c>
      <c r="AD17" s="150">
        <v>1</v>
      </c>
      <c r="AE17" t="s">
        <v>199</v>
      </c>
      <c r="AF17" s="150">
        <f>AA$2*AD17</f>
        <v>32</v>
      </c>
      <c r="AG17" t="s">
        <v>199</v>
      </c>
      <c r="AK17" t="s">
        <v>4282</v>
      </c>
      <c r="AM17" t="s">
        <v>199</v>
      </c>
      <c r="AN17" s="150">
        <f>AI$2*AL17</f>
        <v>0</v>
      </c>
      <c r="AO17" t="s">
        <v>199</v>
      </c>
      <c r="AS17" t="s">
        <v>4282</v>
      </c>
      <c r="AT17" s="150">
        <v>1</v>
      </c>
      <c r="AU17" t="s">
        <v>199</v>
      </c>
      <c r="AV17" s="150">
        <f>AQ$2*AT17</f>
        <v>4</v>
      </c>
      <c r="AW17" t="s">
        <v>199</v>
      </c>
      <c r="BA17" t="s">
        <v>4282</v>
      </c>
      <c r="BB17" s="150">
        <v>1</v>
      </c>
      <c r="BC17" t="s">
        <v>199</v>
      </c>
      <c r="BD17" s="150">
        <f>AY$2*BB17</f>
        <v>2</v>
      </c>
      <c r="BE17" t="s">
        <v>199</v>
      </c>
      <c r="BI17" t="s">
        <v>4282</v>
      </c>
      <c r="BJ17" s="150">
        <v>1</v>
      </c>
      <c r="BK17" t="s">
        <v>199</v>
      </c>
      <c r="BL17" s="150">
        <f>BG$2*BJ17</f>
        <v>2</v>
      </c>
      <c r="BM17" t="s">
        <v>199</v>
      </c>
      <c r="BQ17" t="s">
        <v>4282</v>
      </c>
      <c r="BR17" s="150">
        <v>2</v>
      </c>
      <c r="BS17" t="s">
        <v>199</v>
      </c>
      <c r="BT17" s="150">
        <f>BO$2*BR17</f>
        <v>24</v>
      </c>
      <c r="BU17" t="s">
        <v>199</v>
      </c>
      <c r="BY17" t="s">
        <v>4282</v>
      </c>
      <c r="BZ17" s="150">
        <v>2</v>
      </c>
      <c r="CA17" t="s">
        <v>199</v>
      </c>
      <c r="CB17" s="150">
        <f>BW$2*BZ17</f>
        <v>8</v>
      </c>
      <c r="CC17" t="s">
        <v>199</v>
      </c>
      <c r="CG17" t="s">
        <v>4282</v>
      </c>
      <c r="CH17" s="150">
        <v>1</v>
      </c>
      <c r="CI17" t="s">
        <v>199</v>
      </c>
      <c r="CJ17" s="150">
        <f>CE$2*CH17</f>
        <v>2</v>
      </c>
      <c r="CK17" t="s">
        <v>199</v>
      </c>
      <c r="CO17" t="s">
        <v>4282</v>
      </c>
      <c r="CP17" s="150">
        <v>1</v>
      </c>
      <c r="CQ17" t="s">
        <v>199</v>
      </c>
      <c r="CR17" s="150">
        <f>CM$2*CP17</f>
        <v>2</v>
      </c>
      <c r="CS17" t="s">
        <v>199</v>
      </c>
      <c r="CU17" s="39">
        <f>H17+P17+X17+AF17+AV17+AN17+BD17+BL17+BT17+CB17+CJ17+CR17</f>
        <v>98</v>
      </c>
      <c r="CV17" t="s">
        <v>199</v>
      </c>
    </row>
    <row r="18" spans="4:100" x14ac:dyDescent="0.35">
      <c r="E18" t="s">
        <v>4283</v>
      </c>
      <c r="F18" s="150">
        <v>1</v>
      </c>
      <c r="G18" t="s">
        <v>199</v>
      </c>
      <c r="H18" s="150">
        <f>$C$2*F18</f>
        <v>12</v>
      </c>
      <c r="I18" t="s">
        <v>199</v>
      </c>
      <c r="M18" t="s">
        <v>4283</v>
      </c>
      <c r="N18" s="150">
        <v>1</v>
      </c>
      <c r="O18" t="s">
        <v>199</v>
      </c>
      <c r="P18" s="150">
        <f>$C$2*N18</f>
        <v>12</v>
      </c>
      <c r="Q18" t="s">
        <v>199</v>
      </c>
      <c r="U18" t="s">
        <v>4283</v>
      </c>
      <c r="V18" s="150">
        <v>1</v>
      </c>
      <c r="W18" t="s">
        <v>199</v>
      </c>
      <c r="X18" s="150">
        <f>S$2*V18</f>
        <v>10</v>
      </c>
      <c r="Y18" t="s">
        <v>199</v>
      </c>
      <c r="AC18" t="s">
        <v>4283</v>
      </c>
      <c r="AD18" s="150">
        <v>1</v>
      </c>
      <c r="AE18" t="s">
        <v>199</v>
      </c>
      <c r="AF18" s="150">
        <f>AA$2*AD18</f>
        <v>32</v>
      </c>
      <c r="AG18" t="s">
        <v>199</v>
      </c>
      <c r="AK18" t="s">
        <v>4283</v>
      </c>
      <c r="AL18" s="150">
        <v>1</v>
      </c>
      <c r="AM18" t="s">
        <v>199</v>
      </c>
      <c r="AN18" s="150">
        <f>AI$2*AL18</f>
        <v>6</v>
      </c>
      <c r="AO18" t="s">
        <v>199</v>
      </c>
      <c r="AS18" t="s">
        <v>4283</v>
      </c>
      <c r="AT18" s="150">
        <v>1</v>
      </c>
      <c r="AU18" t="s">
        <v>199</v>
      </c>
      <c r="AV18" s="150">
        <f>AQ$2*AT18</f>
        <v>4</v>
      </c>
      <c r="AW18" t="s">
        <v>199</v>
      </c>
      <c r="BA18" t="s">
        <v>4283</v>
      </c>
      <c r="BB18" s="150">
        <v>1</v>
      </c>
      <c r="BC18" t="s">
        <v>199</v>
      </c>
      <c r="BD18" s="150">
        <f>AY$2*BB18</f>
        <v>2</v>
      </c>
      <c r="BE18" t="s">
        <v>199</v>
      </c>
      <c r="BI18" t="s">
        <v>4283</v>
      </c>
      <c r="BJ18" s="150">
        <v>1</v>
      </c>
      <c r="BK18" t="s">
        <v>199</v>
      </c>
      <c r="BL18" s="150">
        <f>BG$2*BJ18</f>
        <v>2</v>
      </c>
      <c r="BM18" t="s">
        <v>199</v>
      </c>
      <c r="BQ18" t="s">
        <v>4283</v>
      </c>
      <c r="BR18" s="150">
        <v>1</v>
      </c>
      <c r="BS18" t="s">
        <v>199</v>
      </c>
      <c r="BT18" s="150">
        <f>BO$2*BR18</f>
        <v>12</v>
      </c>
      <c r="BU18" t="s">
        <v>199</v>
      </c>
      <c r="BY18" t="s">
        <v>4283</v>
      </c>
      <c r="BZ18" s="150">
        <v>1</v>
      </c>
      <c r="CA18" t="s">
        <v>199</v>
      </c>
      <c r="CB18" s="150">
        <f>BW$2*BZ18</f>
        <v>4</v>
      </c>
      <c r="CC18" t="s">
        <v>199</v>
      </c>
      <c r="CG18" t="s">
        <v>4283</v>
      </c>
      <c r="CH18" s="150">
        <v>1</v>
      </c>
      <c r="CI18" t="s">
        <v>199</v>
      </c>
      <c r="CJ18" s="150">
        <f>CE$2*CH18</f>
        <v>2</v>
      </c>
      <c r="CK18" t="s">
        <v>199</v>
      </c>
      <c r="CO18" t="s">
        <v>4283</v>
      </c>
      <c r="CP18" s="150">
        <v>1</v>
      </c>
      <c r="CQ18" t="s">
        <v>199</v>
      </c>
      <c r="CR18" s="150">
        <f>CM$2*CP18</f>
        <v>2</v>
      </c>
      <c r="CS18" t="s">
        <v>199</v>
      </c>
      <c r="CU18" s="39">
        <f>H18+P18+X18+AF18+AV18+AN18+BD18+BL18+BT18+CB18+CJ18+CR18</f>
        <v>100</v>
      </c>
      <c r="CV18" t="s">
        <v>199</v>
      </c>
    </row>
    <row r="19" spans="4:100" x14ac:dyDescent="0.35">
      <c r="U19" t="s">
        <v>4284</v>
      </c>
      <c r="V19" s="150">
        <v>1</v>
      </c>
      <c r="W19" t="s">
        <v>199</v>
      </c>
      <c r="X19" s="150">
        <f>S$2*V19</f>
        <v>10</v>
      </c>
      <c r="Y19" t="s">
        <v>199</v>
      </c>
      <c r="AC19" t="s">
        <v>4284</v>
      </c>
      <c r="AE19" t="s">
        <v>199</v>
      </c>
      <c r="AF19" s="150">
        <f>AA$2*AD19</f>
        <v>0</v>
      </c>
      <c r="AG19" t="s">
        <v>199</v>
      </c>
      <c r="AK19" t="s">
        <v>4284</v>
      </c>
      <c r="AM19" t="s">
        <v>199</v>
      </c>
      <c r="AN19" s="150">
        <f>AI$2*AL19</f>
        <v>0</v>
      </c>
      <c r="AO19" t="s">
        <v>199</v>
      </c>
      <c r="AS19" t="s">
        <v>4284</v>
      </c>
      <c r="AU19" t="s">
        <v>199</v>
      </c>
      <c r="AV19" s="150">
        <f>AQ$2*AT19</f>
        <v>0</v>
      </c>
      <c r="AW19" t="s">
        <v>199</v>
      </c>
      <c r="BA19" t="s">
        <v>4284</v>
      </c>
      <c r="BC19" t="s">
        <v>199</v>
      </c>
      <c r="BD19" s="150">
        <f>AY$2*BB19</f>
        <v>0</v>
      </c>
      <c r="BE19" t="s">
        <v>199</v>
      </c>
      <c r="BI19" t="s">
        <v>4284</v>
      </c>
      <c r="BK19" t="s">
        <v>199</v>
      </c>
      <c r="BL19" s="150">
        <f>BG$2*BJ19</f>
        <v>0</v>
      </c>
      <c r="BM19" t="s">
        <v>199</v>
      </c>
      <c r="BQ19" t="s">
        <v>4284</v>
      </c>
      <c r="BS19" t="s">
        <v>199</v>
      </c>
      <c r="BT19" s="150">
        <f>BO$2*BR19</f>
        <v>0</v>
      </c>
      <c r="BU19" t="s">
        <v>199</v>
      </c>
      <c r="BY19" t="s">
        <v>4284</v>
      </c>
      <c r="CA19" t="s">
        <v>199</v>
      </c>
      <c r="CB19" s="150">
        <f>BW$2*BZ19</f>
        <v>0</v>
      </c>
      <c r="CC19" t="s">
        <v>199</v>
      </c>
      <c r="CG19" t="s">
        <v>4284</v>
      </c>
      <c r="CI19" t="s">
        <v>199</v>
      </c>
      <c r="CJ19" s="150">
        <f>CE$2*CH19</f>
        <v>0</v>
      </c>
      <c r="CK19" t="s">
        <v>199</v>
      </c>
      <c r="CO19" t="s">
        <v>4284</v>
      </c>
      <c r="CQ19" t="s">
        <v>199</v>
      </c>
      <c r="CR19" s="150">
        <f>CM$2*CP19</f>
        <v>0</v>
      </c>
      <c r="CS19" t="s">
        <v>199</v>
      </c>
      <c r="CU19" s="39">
        <f>H19+P19+X19+AF19+AV19+AN19+BD19+BL19+BT19+CB19+CJ19+CR19</f>
        <v>10</v>
      </c>
      <c r="CV19" t="s">
        <v>199</v>
      </c>
    </row>
    <row r="20" spans="4:100" x14ac:dyDescent="0.35">
      <c r="E20" t="s">
        <v>4285</v>
      </c>
      <c r="F20" s="150">
        <v>1</v>
      </c>
      <c r="G20" t="s">
        <v>199</v>
      </c>
      <c r="H20" s="150">
        <f>$C$2*F20</f>
        <v>12</v>
      </c>
      <c r="I20" t="s">
        <v>199</v>
      </c>
      <c r="M20" t="s">
        <v>4285</v>
      </c>
      <c r="O20" t="s">
        <v>199</v>
      </c>
      <c r="P20" s="150">
        <f>$C$2*N20</f>
        <v>0</v>
      </c>
      <c r="Q20" t="s">
        <v>199</v>
      </c>
      <c r="U20" t="s">
        <v>4285</v>
      </c>
      <c r="V20" s="150">
        <v>2</v>
      </c>
      <c r="W20" t="s">
        <v>199</v>
      </c>
      <c r="X20" s="150">
        <f>S$2*V20</f>
        <v>20</v>
      </c>
      <c r="Y20" t="s">
        <v>199</v>
      </c>
      <c r="AC20" t="s">
        <v>4285</v>
      </c>
      <c r="AD20" s="150">
        <v>1</v>
      </c>
      <c r="AE20" t="s">
        <v>199</v>
      </c>
      <c r="AF20" s="150">
        <f>AA$2*AD20</f>
        <v>32</v>
      </c>
      <c r="AG20" t="s">
        <v>199</v>
      </c>
      <c r="AK20" t="s">
        <v>4285</v>
      </c>
      <c r="AL20" s="150">
        <v>3</v>
      </c>
      <c r="AM20" t="s">
        <v>199</v>
      </c>
      <c r="AN20" s="150">
        <f>AI$2*AL20</f>
        <v>18</v>
      </c>
      <c r="AO20" t="s">
        <v>199</v>
      </c>
      <c r="AS20" t="s">
        <v>4285</v>
      </c>
      <c r="AU20" t="s">
        <v>199</v>
      </c>
      <c r="AV20" s="150">
        <f>AQ$2*AT20</f>
        <v>0</v>
      </c>
      <c r="AW20" t="s">
        <v>199</v>
      </c>
      <c r="BA20" t="s">
        <v>4285</v>
      </c>
      <c r="BC20" t="s">
        <v>199</v>
      </c>
      <c r="BD20" s="150">
        <f>AY$2*BB20</f>
        <v>0</v>
      </c>
      <c r="BE20" t="s">
        <v>199</v>
      </c>
      <c r="BI20" t="s">
        <v>4285</v>
      </c>
      <c r="BK20" t="s">
        <v>199</v>
      </c>
      <c r="BL20" s="150">
        <f>BG$2*BJ20</f>
        <v>0</v>
      </c>
      <c r="BM20" t="s">
        <v>199</v>
      </c>
      <c r="BQ20" t="s">
        <v>4285</v>
      </c>
      <c r="BS20" t="s">
        <v>199</v>
      </c>
      <c r="BT20" s="150">
        <f>BO$2*BR20</f>
        <v>0</v>
      </c>
      <c r="BU20" t="s">
        <v>199</v>
      </c>
      <c r="BY20" t="s">
        <v>4285</v>
      </c>
      <c r="CA20" t="s">
        <v>199</v>
      </c>
      <c r="CB20" s="150">
        <f>BW$2*BZ20</f>
        <v>0</v>
      </c>
      <c r="CC20" t="s">
        <v>199</v>
      </c>
      <c r="CG20" t="s">
        <v>4285</v>
      </c>
      <c r="CI20" t="s">
        <v>199</v>
      </c>
      <c r="CJ20" s="150">
        <f>CE$2*CH20</f>
        <v>0</v>
      </c>
      <c r="CK20" t="s">
        <v>199</v>
      </c>
      <c r="CO20" t="s">
        <v>4285</v>
      </c>
      <c r="CP20" s="150">
        <v>1</v>
      </c>
      <c r="CQ20" t="s">
        <v>199</v>
      </c>
      <c r="CR20" s="150">
        <f>CM$2*CP20</f>
        <v>2</v>
      </c>
      <c r="CS20" t="s">
        <v>199</v>
      </c>
      <c r="CU20" s="39">
        <f>H20+P20+X20+AF20+AV20+AN20+BD20+BL20+BT20+CB20+CJ20+CR20</f>
        <v>84</v>
      </c>
      <c r="CV20" t="s">
        <v>199</v>
      </c>
    </row>
    <row r="21" spans="4:100" x14ac:dyDescent="0.35">
      <c r="E21" t="s">
        <v>4286</v>
      </c>
      <c r="F21" s="150">
        <v>1</v>
      </c>
      <c r="G21" t="s">
        <v>199</v>
      </c>
      <c r="H21" s="150">
        <f>$C$2*F21</f>
        <v>12</v>
      </c>
      <c r="I21" t="s">
        <v>199</v>
      </c>
      <c r="M21" t="s">
        <v>4286</v>
      </c>
      <c r="N21" s="150">
        <v>1</v>
      </c>
      <c r="O21" t="s">
        <v>199</v>
      </c>
      <c r="P21" s="150">
        <f>$C$2*N21</f>
        <v>12</v>
      </c>
      <c r="Q21" t="s">
        <v>199</v>
      </c>
      <c r="U21" t="s">
        <v>4286</v>
      </c>
      <c r="V21" s="150">
        <v>1</v>
      </c>
      <c r="W21" t="s">
        <v>199</v>
      </c>
      <c r="X21" s="150">
        <f>S$2*V21</f>
        <v>10</v>
      </c>
      <c r="Y21" t="s">
        <v>199</v>
      </c>
      <c r="AC21" t="s">
        <v>4286</v>
      </c>
      <c r="AD21" s="150">
        <v>1</v>
      </c>
      <c r="AE21" t="s">
        <v>199</v>
      </c>
      <c r="AF21" s="150">
        <f>AA$2*AD21</f>
        <v>32</v>
      </c>
      <c r="AG21" t="s">
        <v>199</v>
      </c>
      <c r="AK21" t="s">
        <v>4286</v>
      </c>
      <c r="AL21" s="150">
        <v>1</v>
      </c>
      <c r="AM21" t="s">
        <v>199</v>
      </c>
      <c r="AN21" s="150">
        <f>AI$2*AL21</f>
        <v>6</v>
      </c>
      <c r="AO21" t="s">
        <v>199</v>
      </c>
      <c r="AS21" t="s">
        <v>4286</v>
      </c>
      <c r="AT21" s="150">
        <v>1</v>
      </c>
      <c r="AU21" t="s">
        <v>199</v>
      </c>
      <c r="AV21" s="150">
        <f>AQ$2*AT21</f>
        <v>4</v>
      </c>
      <c r="AW21" t="s">
        <v>199</v>
      </c>
      <c r="BA21" t="s">
        <v>4286</v>
      </c>
      <c r="BB21" s="150">
        <v>1</v>
      </c>
      <c r="BC21" t="s">
        <v>199</v>
      </c>
      <c r="BD21" s="150">
        <f>AY$2*BB21</f>
        <v>2</v>
      </c>
      <c r="BE21" t="s">
        <v>199</v>
      </c>
      <c r="BI21" t="s">
        <v>4286</v>
      </c>
      <c r="BJ21" s="150">
        <v>1</v>
      </c>
      <c r="BK21" t="s">
        <v>199</v>
      </c>
      <c r="BL21" s="150">
        <f>BG$2*BJ21</f>
        <v>2</v>
      </c>
      <c r="BM21" t="s">
        <v>199</v>
      </c>
      <c r="BQ21" t="s">
        <v>4286</v>
      </c>
      <c r="BR21" s="150">
        <v>1</v>
      </c>
      <c r="BS21" t="s">
        <v>199</v>
      </c>
      <c r="BT21" s="150">
        <f>BO$2*BR21</f>
        <v>12</v>
      </c>
      <c r="BU21" t="s">
        <v>199</v>
      </c>
      <c r="BY21" t="s">
        <v>4286</v>
      </c>
      <c r="BZ21" s="150">
        <v>1</v>
      </c>
      <c r="CA21" t="s">
        <v>199</v>
      </c>
      <c r="CB21" s="150">
        <f>BW$2*BZ21</f>
        <v>4</v>
      </c>
      <c r="CC21" t="s">
        <v>199</v>
      </c>
      <c r="CG21" t="s">
        <v>4286</v>
      </c>
      <c r="CH21" s="150">
        <v>1</v>
      </c>
      <c r="CI21" t="s">
        <v>199</v>
      </c>
      <c r="CJ21" s="150">
        <f>CE$2*CH21</f>
        <v>2</v>
      </c>
      <c r="CK21" t="s">
        <v>199</v>
      </c>
      <c r="CO21" t="s">
        <v>4286</v>
      </c>
      <c r="CP21" s="150">
        <v>1</v>
      </c>
      <c r="CQ21" t="s">
        <v>199</v>
      </c>
      <c r="CR21" s="150">
        <f>CM$2*CP21</f>
        <v>2</v>
      </c>
      <c r="CS21" t="s">
        <v>199</v>
      </c>
      <c r="CU21" s="39">
        <f>H21+P21+X21+AF21+AV21+AN21+BD21+BL21+BT21+CB21+CJ21+CR21</f>
        <v>100</v>
      </c>
      <c r="CV21" t="s">
        <v>199</v>
      </c>
    </row>
    <row r="22" spans="4:100" x14ac:dyDescent="0.35">
      <c r="D22" t="s">
        <v>4287</v>
      </c>
      <c r="L22" t="s">
        <v>4287</v>
      </c>
      <c r="T22" t="s">
        <v>4287</v>
      </c>
      <c r="AB22" t="s">
        <v>4287</v>
      </c>
      <c r="AJ22" t="s">
        <v>4287</v>
      </c>
      <c r="AR22" t="s">
        <v>4287</v>
      </c>
      <c r="AZ22" t="s">
        <v>4287</v>
      </c>
      <c r="BH22" t="s">
        <v>4287</v>
      </c>
      <c r="BP22" t="s">
        <v>4287</v>
      </c>
      <c r="BX22" t="s">
        <v>4287</v>
      </c>
      <c r="CF22" t="s">
        <v>4287</v>
      </c>
      <c r="CN22" t="s">
        <v>4287</v>
      </c>
    </row>
    <row r="23" spans="4:100" x14ac:dyDescent="0.35">
      <c r="E23" t="s">
        <v>4288</v>
      </c>
      <c r="F23" s="150">
        <v>346</v>
      </c>
      <c r="G23" t="s">
        <v>245</v>
      </c>
      <c r="H23" s="150">
        <f t="shared" ref="H23:H31" si="12">$C$2*F23</f>
        <v>4152</v>
      </c>
      <c r="I23" t="s">
        <v>245</v>
      </c>
      <c r="M23" t="s">
        <v>4288</v>
      </c>
      <c r="N23" s="150">
        <v>249</v>
      </c>
      <c r="O23" t="s">
        <v>245</v>
      </c>
      <c r="P23" s="150">
        <f>$K$2*N23</f>
        <v>2988</v>
      </c>
      <c r="Q23" t="s">
        <v>245</v>
      </c>
      <c r="U23" t="s">
        <v>4288</v>
      </c>
      <c r="V23" s="150">
        <v>503</v>
      </c>
      <c r="W23" t="s">
        <v>245</v>
      </c>
      <c r="X23" s="150">
        <f t="shared" ref="X23:X31" si="13">S$2*V23</f>
        <v>5030</v>
      </c>
      <c r="Y23" t="s">
        <v>245</v>
      </c>
      <c r="AC23" t="s">
        <v>4288</v>
      </c>
      <c r="AD23" s="150">
        <v>382</v>
      </c>
      <c r="AE23" t="s">
        <v>245</v>
      </c>
      <c r="AF23" s="150">
        <f t="shared" ref="AF23:AF31" si="14">AA$2*AD23</f>
        <v>12224</v>
      </c>
      <c r="AG23" t="s">
        <v>245</v>
      </c>
      <c r="AK23" t="s">
        <v>4288</v>
      </c>
      <c r="AL23" s="150">
        <v>714</v>
      </c>
      <c r="AM23" t="s">
        <v>245</v>
      </c>
      <c r="AN23" s="150">
        <f t="shared" ref="AN23:AN31" si="15">AI$2*AL23</f>
        <v>4284</v>
      </c>
      <c r="AO23" t="s">
        <v>245</v>
      </c>
      <c r="AS23" t="s">
        <v>4288</v>
      </c>
      <c r="AT23" s="150">
        <v>250</v>
      </c>
      <c r="AU23" t="s">
        <v>245</v>
      </c>
      <c r="AV23" s="150">
        <f t="shared" ref="AV23:AV31" si="16">AQ$2*AT23</f>
        <v>1000</v>
      </c>
      <c r="AW23" t="s">
        <v>245</v>
      </c>
      <c r="BA23" t="s">
        <v>4288</v>
      </c>
      <c r="BB23" s="150">
        <v>269</v>
      </c>
      <c r="BC23" t="s">
        <v>245</v>
      </c>
      <c r="BD23" s="150">
        <f t="shared" ref="BD23:BD31" si="17">AY$2*BB23</f>
        <v>538</v>
      </c>
      <c r="BE23" t="s">
        <v>245</v>
      </c>
      <c r="BI23" t="s">
        <v>4288</v>
      </c>
      <c r="BJ23" s="150">
        <v>199</v>
      </c>
      <c r="BK23" t="s">
        <v>245</v>
      </c>
      <c r="BL23" s="150">
        <f t="shared" ref="BL23:BL31" si="18">BG$2*BJ23</f>
        <v>398</v>
      </c>
      <c r="BM23" t="s">
        <v>245</v>
      </c>
      <c r="BQ23" t="s">
        <v>4288</v>
      </c>
      <c r="BR23" s="150">
        <v>390</v>
      </c>
      <c r="BS23" t="s">
        <v>245</v>
      </c>
      <c r="BT23" s="150">
        <f t="shared" ref="BT23:BT31" si="19">BO$2*BR23</f>
        <v>4680</v>
      </c>
      <c r="BU23" t="s">
        <v>245</v>
      </c>
      <c r="BY23" t="s">
        <v>4288</v>
      </c>
      <c r="BZ23" s="150">
        <v>357</v>
      </c>
      <c r="CA23" t="s">
        <v>245</v>
      </c>
      <c r="CB23" s="150">
        <f t="shared" ref="CB23:CB31" si="20">BW$2*BZ23</f>
        <v>1428</v>
      </c>
      <c r="CC23" t="s">
        <v>245</v>
      </c>
      <c r="CG23" t="s">
        <v>4288</v>
      </c>
      <c r="CH23" s="150">
        <v>201</v>
      </c>
      <c r="CI23" t="s">
        <v>245</v>
      </c>
      <c r="CJ23" s="150">
        <f t="shared" ref="CJ23:CJ31" si="21">CE$2*CH23</f>
        <v>402</v>
      </c>
      <c r="CK23" t="s">
        <v>245</v>
      </c>
      <c r="CO23" t="s">
        <v>4288</v>
      </c>
      <c r="CP23" s="150">
        <v>396</v>
      </c>
      <c r="CQ23" t="s">
        <v>245</v>
      </c>
      <c r="CR23" s="150">
        <f t="shared" ref="CR23:CR31" si="22">CM$2*CP23</f>
        <v>792</v>
      </c>
      <c r="CS23" t="s">
        <v>245</v>
      </c>
      <c r="CU23" s="39">
        <f t="shared" ref="CU23:CU31" si="23">H23+P23+X23+AF23+AV23+AN23+BD23+BL23+BT23+CB23+CJ23+CR23</f>
        <v>37916</v>
      </c>
      <c r="CV23" t="s">
        <v>245</v>
      </c>
    </row>
    <row r="24" spans="4:100" x14ac:dyDescent="0.35">
      <c r="E24" t="s">
        <v>4289</v>
      </c>
      <c r="F24" s="150">
        <v>44</v>
      </c>
      <c r="G24" t="s">
        <v>245</v>
      </c>
      <c r="H24" s="150">
        <f t="shared" si="12"/>
        <v>528</v>
      </c>
      <c r="I24" t="s">
        <v>245</v>
      </c>
      <c r="M24" t="s">
        <v>4289</v>
      </c>
      <c r="N24" s="150">
        <v>48</v>
      </c>
      <c r="O24" t="s">
        <v>245</v>
      </c>
      <c r="P24" s="150">
        <f>$C$2*N24</f>
        <v>576</v>
      </c>
      <c r="Q24" t="s">
        <v>245</v>
      </c>
      <c r="U24" t="s">
        <v>4289</v>
      </c>
      <c r="V24" s="150">
        <v>92</v>
      </c>
      <c r="W24" t="s">
        <v>245</v>
      </c>
      <c r="X24" s="150">
        <f t="shared" si="13"/>
        <v>920</v>
      </c>
      <c r="Y24" t="s">
        <v>245</v>
      </c>
      <c r="AC24" t="s">
        <v>4289</v>
      </c>
      <c r="AD24" s="150">
        <v>47</v>
      </c>
      <c r="AE24" t="s">
        <v>245</v>
      </c>
      <c r="AF24" s="150">
        <f t="shared" si="14"/>
        <v>1504</v>
      </c>
      <c r="AG24" t="s">
        <v>245</v>
      </c>
      <c r="AK24" t="s">
        <v>4289</v>
      </c>
      <c r="AL24" s="150">
        <v>47</v>
      </c>
      <c r="AM24" t="s">
        <v>245</v>
      </c>
      <c r="AN24" s="150">
        <f t="shared" si="15"/>
        <v>282</v>
      </c>
      <c r="AO24" t="s">
        <v>245</v>
      </c>
      <c r="AS24" t="s">
        <v>4289</v>
      </c>
      <c r="AT24" s="150">
        <v>50</v>
      </c>
      <c r="AU24" t="s">
        <v>245</v>
      </c>
      <c r="AV24" s="150">
        <f t="shared" si="16"/>
        <v>200</v>
      </c>
      <c r="AW24" t="s">
        <v>245</v>
      </c>
      <c r="BA24" t="s">
        <v>4289</v>
      </c>
      <c r="BB24" s="150">
        <v>47</v>
      </c>
      <c r="BC24" t="s">
        <v>245</v>
      </c>
      <c r="BD24" s="150">
        <f t="shared" si="17"/>
        <v>94</v>
      </c>
      <c r="BE24" t="s">
        <v>245</v>
      </c>
      <c r="BI24" t="s">
        <v>4289</v>
      </c>
      <c r="BJ24" s="150">
        <v>48</v>
      </c>
      <c r="BK24" t="s">
        <v>245</v>
      </c>
      <c r="BL24" s="150">
        <f t="shared" si="18"/>
        <v>96</v>
      </c>
      <c r="BM24" t="s">
        <v>245</v>
      </c>
      <c r="BQ24" t="s">
        <v>4289</v>
      </c>
      <c r="BR24" s="150">
        <v>46</v>
      </c>
      <c r="BS24" t="s">
        <v>245</v>
      </c>
      <c r="BT24" s="150">
        <f t="shared" si="19"/>
        <v>552</v>
      </c>
      <c r="BU24" t="s">
        <v>245</v>
      </c>
      <c r="BY24" t="s">
        <v>4289</v>
      </c>
      <c r="BZ24" s="150">
        <v>48</v>
      </c>
      <c r="CA24" t="s">
        <v>245</v>
      </c>
      <c r="CB24" s="150">
        <f t="shared" si="20"/>
        <v>192</v>
      </c>
      <c r="CC24" t="s">
        <v>245</v>
      </c>
      <c r="CG24" t="s">
        <v>4289</v>
      </c>
      <c r="CH24" s="150">
        <v>46</v>
      </c>
      <c r="CI24" t="s">
        <v>245</v>
      </c>
      <c r="CJ24" s="150">
        <f t="shared" si="21"/>
        <v>92</v>
      </c>
      <c r="CK24" t="s">
        <v>245</v>
      </c>
      <c r="CO24" t="s">
        <v>4289</v>
      </c>
      <c r="CP24" s="150">
        <v>59</v>
      </c>
      <c r="CQ24" t="s">
        <v>245</v>
      </c>
      <c r="CR24" s="150">
        <f t="shared" si="22"/>
        <v>118</v>
      </c>
      <c r="CS24" t="s">
        <v>245</v>
      </c>
      <c r="CU24" s="39">
        <f t="shared" si="23"/>
        <v>5154</v>
      </c>
      <c r="CV24" t="s">
        <v>245</v>
      </c>
    </row>
    <row r="25" spans="4:100" x14ac:dyDescent="0.35">
      <c r="E25" t="s">
        <v>4290</v>
      </c>
      <c r="F25" s="150">
        <v>23</v>
      </c>
      <c r="G25" t="s">
        <v>263</v>
      </c>
      <c r="H25" s="150">
        <f t="shared" si="12"/>
        <v>276</v>
      </c>
      <c r="I25" t="s">
        <v>263</v>
      </c>
      <c r="M25" t="s">
        <v>4290</v>
      </c>
      <c r="N25" s="150">
        <v>23</v>
      </c>
      <c r="O25" t="s">
        <v>263</v>
      </c>
      <c r="P25" s="150">
        <f>$C$2*N25</f>
        <v>276</v>
      </c>
      <c r="Q25" t="s">
        <v>263</v>
      </c>
      <c r="U25" t="s">
        <v>4290</v>
      </c>
      <c r="V25" s="150">
        <v>46</v>
      </c>
      <c r="W25" t="s">
        <v>263</v>
      </c>
      <c r="X25" s="150">
        <f t="shared" si="13"/>
        <v>460</v>
      </c>
      <c r="Y25" t="s">
        <v>263</v>
      </c>
      <c r="AC25" t="s">
        <v>4290</v>
      </c>
      <c r="AD25" s="150">
        <v>25</v>
      </c>
      <c r="AE25" t="s">
        <v>263</v>
      </c>
      <c r="AF25" s="150">
        <f t="shared" si="14"/>
        <v>800</v>
      </c>
      <c r="AG25" t="s">
        <v>263</v>
      </c>
      <c r="AK25" t="s">
        <v>4290</v>
      </c>
      <c r="AL25" s="150">
        <v>23</v>
      </c>
      <c r="AM25" t="s">
        <v>263</v>
      </c>
      <c r="AN25" s="150">
        <f t="shared" si="15"/>
        <v>138</v>
      </c>
      <c r="AO25" t="s">
        <v>263</v>
      </c>
      <c r="AS25" t="s">
        <v>4290</v>
      </c>
      <c r="AT25" s="150">
        <v>23</v>
      </c>
      <c r="AU25" t="s">
        <v>263</v>
      </c>
      <c r="AV25" s="150">
        <f t="shared" si="16"/>
        <v>92</v>
      </c>
      <c r="AW25" t="s">
        <v>263</v>
      </c>
      <c r="BA25" t="s">
        <v>4290</v>
      </c>
      <c r="BB25" s="150">
        <v>23</v>
      </c>
      <c r="BC25" t="s">
        <v>263</v>
      </c>
      <c r="BD25" s="150">
        <f t="shared" si="17"/>
        <v>46</v>
      </c>
      <c r="BE25" t="s">
        <v>263</v>
      </c>
      <c r="BI25" t="s">
        <v>4290</v>
      </c>
      <c r="BJ25" s="150">
        <v>23</v>
      </c>
      <c r="BK25" t="s">
        <v>263</v>
      </c>
      <c r="BL25" s="150">
        <f t="shared" si="18"/>
        <v>46</v>
      </c>
      <c r="BM25" t="s">
        <v>263</v>
      </c>
      <c r="BQ25" t="s">
        <v>4290</v>
      </c>
      <c r="BR25" s="150">
        <v>23</v>
      </c>
      <c r="BS25" t="s">
        <v>263</v>
      </c>
      <c r="BT25" s="150">
        <f t="shared" si="19"/>
        <v>276</v>
      </c>
      <c r="BU25" t="s">
        <v>263</v>
      </c>
      <c r="BY25" t="s">
        <v>4290</v>
      </c>
      <c r="BZ25" s="150">
        <v>22</v>
      </c>
      <c r="CA25" t="s">
        <v>263</v>
      </c>
      <c r="CB25" s="150">
        <f t="shared" si="20"/>
        <v>88</v>
      </c>
      <c r="CC25" t="s">
        <v>263</v>
      </c>
      <c r="CG25" t="s">
        <v>4290</v>
      </c>
      <c r="CH25" s="150">
        <v>22</v>
      </c>
      <c r="CI25" t="s">
        <v>263</v>
      </c>
      <c r="CJ25" s="150">
        <f t="shared" si="21"/>
        <v>44</v>
      </c>
      <c r="CK25" t="s">
        <v>263</v>
      </c>
      <c r="CO25" t="s">
        <v>4290</v>
      </c>
      <c r="CP25" s="150">
        <v>27</v>
      </c>
      <c r="CQ25" t="s">
        <v>263</v>
      </c>
      <c r="CR25" s="150">
        <f t="shared" si="22"/>
        <v>54</v>
      </c>
      <c r="CS25" t="s">
        <v>263</v>
      </c>
      <c r="CU25" s="39">
        <f t="shared" si="23"/>
        <v>2596</v>
      </c>
      <c r="CV25" t="s">
        <v>263</v>
      </c>
    </row>
    <row r="26" spans="4:100" x14ac:dyDescent="0.35">
      <c r="E26" t="s">
        <v>4291</v>
      </c>
      <c r="F26" s="151">
        <f>(F4*2)+F6+F5</f>
        <v>1400</v>
      </c>
      <c r="G26" t="s">
        <v>245</v>
      </c>
      <c r="H26" s="151">
        <f t="shared" si="12"/>
        <v>16800</v>
      </c>
      <c r="I26" t="s">
        <v>245</v>
      </c>
      <c r="M26" t="s">
        <v>4291</v>
      </c>
      <c r="N26" s="151">
        <f>(N4*2)+N6+N5</f>
        <v>1165.5</v>
      </c>
      <c r="O26" t="s">
        <v>245</v>
      </c>
      <c r="P26" s="151">
        <f>$K$2*N26</f>
        <v>13986</v>
      </c>
      <c r="Q26" t="s">
        <v>245</v>
      </c>
      <c r="U26" t="s">
        <v>4291</v>
      </c>
      <c r="V26" s="151">
        <f>(V4*2)+V6+V5</f>
        <v>2049</v>
      </c>
      <c r="W26" t="s">
        <v>245</v>
      </c>
      <c r="X26" s="151">
        <f t="shared" si="13"/>
        <v>20490</v>
      </c>
      <c r="Y26" t="s">
        <v>245</v>
      </c>
      <c r="AC26" t="s">
        <v>4291</v>
      </c>
      <c r="AD26" s="151">
        <f>(AD4*2)+AD6+AD5</f>
        <v>1511.9</v>
      </c>
      <c r="AE26" t="s">
        <v>245</v>
      </c>
      <c r="AF26" s="151">
        <f t="shared" si="14"/>
        <v>48380.800000000003</v>
      </c>
      <c r="AG26" t="s">
        <v>245</v>
      </c>
      <c r="AK26" t="s">
        <v>4291</v>
      </c>
      <c r="AL26" s="151">
        <f>(AL4*2)+AL6+AL5</f>
        <v>2095.77</v>
      </c>
      <c r="AM26" t="s">
        <v>245</v>
      </c>
      <c r="AN26" s="151">
        <f t="shared" si="15"/>
        <v>12574.619999999999</v>
      </c>
      <c r="AO26" t="s">
        <v>245</v>
      </c>
      <c r="AS26" t="s">
        <v>4291</v>
      </c>
      <c r="AT26" s="151">
        <f>(AT4*2)+AT6+AT5</f>
        <v>1113.92</v>
      </c>
      <c r="AU26" t="s">
        <v>245</v>
      </c>
      <c r="AV26" s="151">
        <f t="shared" si="16"/>
        <v>4455.68</v>
      </c>
      <c r="AW26" t="s">
        <v>245</v>
      </c>
      <c r="BA26" t="s">
        <v>4291</v>
      </c>
      <c r="BB26" s="151">
        <f>(BB4*2)+BB6+BB5</f>
        <v>1052.04</v>
      </c>
      <c r="BC26" t="s">
        <v>245</v>
      </c>
      <c r="BD26" s="151">
        <f t="shared" si="17"/>
        <v>2104.08</v>
      </c>
      <c r="BE26" t="s">
        <v>245</v>
      </c>
      <c r="BI26" t="s">
        <v>4291</v>
      </c>
      <c r="BJ26" s="151">
        <f>(BJ4*2)+BJ6+BJ5</f>
        <v>1181.51</v>
      </c>
      <c r="BK26" t="s">
        <v>245</v>
      </c>
      <c r="BL26" s="151">
        <f t="shared" si="18"/>
        <v>2363.02</v>
      </c>
      <c r="BM26" t="s">
        <v>245</v>
      </c>
      <c r="BQ26" t="s">
        <v>4291</v>
      </c>
      <c r="BR26" s="151">
        <f>(BR4*2)+BR6+BR5</f>
        <v>1566.4099999999999</v>
      </c>
      <c r="BS26" t="s">
        <v>245</v>
      </c>
      <c r="BT26" s="151">
        <f t="shared" si="19"/>
        <v>18796.919999999998</v>
      </c>
      <c r="BU26" t="s">
        <v>245</v>
      </c>
      <c r="BY26" t="s">
        <v>4291</v>
      </c>
      <c r="BZ26" s="151">
        <f>(BZ4*2)+BZ6+BZ5</f>
        <v>1523.99</v>
      </c>
      <c r="CA26" t="s">
        <v>245</v>
      </c>
      <c r="CB26" s="151">
        <f t="shared" si="20"/>
        <v>6095.96</v>
      </c>
      <c r="CC26" t="s">
        <v>245</v>
      </c>
      <c r="CG26" t="s">
        <v>4291</v>
      </c>
      <c r="CH26" s="151">
        <f>(CH4*2)+CH6+CH5</f>
        <v>1056.8699999999999</v>
      </c>
      <c r="CI26" t="s">
        <v>245</v>
      </c>
      <c r="CJ26" s="151">
        <f t="shared" si="21"/>
        <v>2113.7399999999998</v>
      </c>
      <c r="CK26" t="s">
        <v>245</v>
      </c>
      <c r="CO26" t="s">
        <v>4291</v>
      </c>
      <c r="CP26" s="151">
        <f>(CP4*2)+CP6+CP5</f>
        <v>1569.8</v>
      </c>
      <c r="CQ26" t="s">
        <v>245</v>
      </c>
      <c r="CR26" s="151">
        <f t="shared" si="22"/>
        <v>3139.6</v>
      </c>
      <c r="CS26" t="s">
        <v>245</v>
      </c>
      <c r="CU26" s="39">
        <f t="shared" si="23"/>
        <v>151300.41999999998</v>
      </c>
      <c r="CV26" t="s">
        <v>245</v>
      </c>
    </row>
    <row r="27" spans="4:100" x14ac:dyDescent="0.35">
      <c r="E27" t="s">
        <v>4292</v>
      </c>
      <c r="F27" s="151">
        <f>F23+F24</f>
        <v>390</v>
      </c>
      <c r="G27" t="s">
        <v>245</v>
      </c>
      <c r="H27" s="151">
        <f t="shared" si="12"/>
        <v>4680</v>
      </c>
      <c r="I27" t="s">
        <v>245</v>
      </c>
      <c r="M27" t="s">
        <v>4292</v>
      </c>
      <c r="N27" s="151">
        <f>N23+N24</f>
        <v>297</v>
      </c>
      <c r="O27" t="s">
        <v>245</v>
      </c>
      <c r="P27" s="151">
        <f>$K$2*N27</f>
        <v>3564</v>
      </c>
      <c r="Q27" t="s">
        <v>245</v>
      </c>
      <c r="U27" t="s">
        <v>4292</v>
      </c>
      <c r="V27" s="151">
        <f>V23+V24</f>
        <v>595</v>
      </c>
      <c r="W27" t="s">
        <v>245</v>
      </c>
      <c r="X27" s="151">
        <f t="shared" si="13"/>
        <v>5950</v>
      </c>
      <c r="Y27" t="s">
        <v>245</v>
      </c>
      <c r="AC27" t="s">
        <v>4292</v>
      </c>
      <c r="AD27" s="151">
        <f>AD23+AD24</f>
        <v>429</v>
      </c>
      <c r="AE27" t="s">
        <v>245</v>
      </c>
      <c r="AF27" s="151">
        <f t="shared" si="14"/>
        <v>13728</v>
      </c>
      <c r="AG27" t="s">
        <v>245</v>
      </c>
      <c r="AK27" t="s">
        <v>4292</v>
      </c>
      <c r="AL27" s="151">
        <f>AL23+AL24</f>
        <v>761</v>
      </c>
      <c r="AM27" t="s">
        <v>245</v>
      </c>
      <c r="AN27" s="151">
        <f t="shared" si="15"/>
        <v>4566</v>
      </c>
      <c r="AO27" t="s">
        <v>245</v>
      </c>
      <c r="AS27" t="s">
        <v>4292</v>
      </c>
      <c r="AT27" s="151">
        <f>AT23+AT24</f>
        <v>300</v>
      </c>
      <c r="AU27" t="s">
        <v>245</v>
      </c>
      <c r="AV27" s="151">
        <f t="shared" si="16"/>
        <v>1200</v>
      </c>
      <c r="AW27" t="s">
        <v>245</v>
      </c>
      <c r="BA27" t="s">
        <v>4292</v>
      </c>
      <c r="BB27" s="151">
        <f>BB23+BB24</f>
        <v>316</v>
      </c>
      <c r="BC27" t="s">
        <v>245</v>
      </c>
      <c r="BD27" s="151">
        <f t="shared" si="17"/>
        <v>632</v>
      </c>
      <c r="BE27" t="s">
        <v>245</v>
      </c>
      <c r="BI27" t="s">
        <v>4292</v>
      </c>
      <c r="BJ27" s="151">
        <f>BJ23+BJ24</f>
        <v>247</v>
      </c>
      <c r="BK27" t="s">
        <v>245</v>
      </c>
      <c r="BL27" s="151">
        <f t="shared" si="18"/>
        <v>494</v>
      </c>
      <c r="BM27" t="s">
        <v>245</v>
      </c>
      <c r="BQ27" t="s">
        <v>4292</v>
      </c>
      <c r="BR27" s="151">
        <f>BR23+BR24</f>
        <v>436</v>
      </c>
      <c r="BS27" t="s">
        <v>245</v>
      </c>
      <c r="BT27" s="151">
        <f t="shared" si="19"/>
        <v>5232</v>
      </c>
      <c r="BU27" t="s">
        <v>245</v>
      </c>
      <c r="BY27" t="s">
        <v>4292</v>
      </c>
      <c r="BZ27" s="151">
        <f>BZ23+BZ24</f>
        <v>405</v>
      </c>
      <c r="CA27" t="s">
        <v>245</v>
      </c>
      <c r="CB27" s="151">
        <f t="shared" si="20"/>
        <v>1620</v>
      </c>
      <c r="CC27" t="s">
        <v>245</v>
      </c>
      <c r="CG27" t="s">
        <v>4292</v>
      </c>
      <c r="CH27" s="151">
        <f>CH23+CH24</f>
        <v>247</v>
      </c>
      <c r="CI27" t="s">
        <v>245</v>
      </c>
      <c r="CJ27" s="151">
        <f t="shared" si="21"/>
        <v>494</v>
      </c>
      <c r="CK27" t="s">
        <v>245</v>
      </c>
      <c r="CO27" t="s">
        <v>4292</v>
      </c>
      <c r="CP27" s="151">
        <f>CP23+CP24</f>
        <v>455</v>
      </c>
      <c r="CQ27" t="s">
        <v>245</v>
      </c>
      <c r="CR27" s="151">
        <f t="shared" si="22"/>
        <v>910</v>
      </c>
      <c r="CS27" t="s">
        <v>245</v>
      </c>
      <c r="CU27" s="39">
        <f t="shared" si="23"/>
        <v>43070</v>
      </c>
      <c r="CV27" t="s">
        <v>245</v>
      </c>
    </row>
    <row r="28" spans="4:100" x14ac:dyDescent="0.35">
      <c r="E28" t="s">
        <v>4293</v>
      </c>
      <c r="F28" s="151">
        <f>F14</f>
        <v>93</v>
      </c>
      <c r="G28" t="s">
        <v>263</v>
      </c>
      <c r="H28" s="151">
        <f t="shared" si="12"/>
        <v>1116</v>
      </c>
      <c r="I28" t="s">
        <v>263</v>
      </c>
      <c r="M28" t="s">
        <v>4293</v>
      </c>
      <c r="N28" s="151">
        <f>N14</f>
        <v>72</v>
      </c>
      <c r="O28" t="s">
        <v>263</v>
      </c>
      <c r="P28" s="151">
        <f>$K$2*N28</f>
        <v>864</v>
      </c>
      <c r="Q28" t="s">
        <v>263</v>
      </c>
      <c r="U28" t="s">
        <v>4293</v>
      </c>
      <c r="V28" s="151">
        <f>V14</f>
        <v>128</v>
      </c>
      <c r="W28" t="s">
        <v>263</v>
      </c>
      <c r="X28" s="151">
        <f t="shared" si="13"/>
        <v>1280</v>
      </c>
      <c r="Y28" t="s">
        <v>263</v>
      </c>
      <c r="AC28" t="s">
        <v>4293</v>
      </c>
      <c r="AD28" s="151">
        <f>AD14</f>
        <v>111</v>
      </c>
      <c r="AE28" t="s">
        <v>263</v>
      </c>
      <c r="AF28" s="151">
        <f t="shared" si="14"/>
        <v>3552</v>
      </c>
      <c r="AG28" t="s">
        <v>263</v>
      </c>
      <c r="AK28" t="s">
        <v>4293</v>
      </c>
      <c r="AL28" s="151">
        <f>AL14</f>
        <v>190</v>
      </c>
      <c r="AM28" t="s">
        <v>263</v>
      </c>
      <c r="AN28" s="151">
        <f t="shared" si="15"/>
        <v>1140</v>
      </c>
      <c r="AO28" t="s">
        <v>263</v>
      </c>
      <c r="AS28" t="s">
        <v>4293</v>
      </c>
      <c r="AT28" s="151">
        <f>AT14</f>
        <v>23</v>
      </c>
      <c r="AU28" t="s">
        <v>263</v>
      </c>
      <c r="AV28" s="151">
        <f t="shared" si="16"/>
        <v>92</v>
      </c>
      <c r="AW28" t="s">
        <v>263</v>
      </c>
      <c r="BA28" t="s">
        <v>4293</v>
      </c>
      <c r="BB28" s="151">
        <f>BB14</f>
        <v>79</v>
      </c>
      <c r="BC28" t="s">
        <v>263</v>
      </c>
      <c r="BD28" s="151">
        <f t="shared" si="17"/>
        <v>158</v>
      </c>
      <c r="BE28" t="s">
        <v>263</v>
      </c>
      <c r="BI28" t="s">
        <v>4293</v>
      </c>
      <c r="BJ28" s="151">
        <f>BJ14</f>
        <v>62</v>
      </c>
      <c r="BK28" t="s">
        <v>263</v>
      </c>
      <c r="BL28" s="151">
        <f t="shared" si="18"/>
        <v>124</v>
      </c>
      <c r="BM28" t="s">
        <v>263</v>
      </c>
      <c r="BQ28" t="s">
        <v>4293</v>
      </c>
      <c r="BR28" s="151">
        <f>BR14</f>
        <v>114</v>
      </c>
      <c r="BS28" t="s">
        <v>263</v>
      </c>
      <c r="BT28" s="151">
        <f t="shared" si="19"/>
        <v>1368</v>
      </c>
      <c r="BU28" t="s">
        <v>263</v>
      </c>
      <c r="BY28" t="s">
        <v>4293</v>
      </c>
      <c r="BZ28" s="151">
        <f>BZ14</f>
        <v>116</v>
      </c>
      <c r="CA28" t="s">
        <v>263</v>
      </c>
      <c r="CB28" s="151">
        <f t="shared" si="20"/>
        <v>464</v>
      </c>
      <c r="CC28" t="s">
        <v>263</v>
      </c>
      <c r="CG28" t="s">
        <v>4293</v>
      </c>
      <c r="CH28" s="151">
        <f>CH14</f>
        <v>68</v>
      </c>
      <c r="CI28" t="s">
        <v>263</v>
      </c>
      <c r="CJ28" s="151">
        <f t="shared" si="21"/>
        <v>136</v>
      </c>
      <c r="CK28" t="s">
        <v>263</v>
      </c>
      <c r="CO28" t="s">
        <v>4293</v>
      </c>
      <c r="CP28" s="151">
        <f>CP14</f>
        <v>102</v>
      </c>
      <c r="CQ28" t="s">
        <v>263</v>
      </c>
      <c r="CR28" s="151">
        <f t="shared" si="22"/>
        <v>204</v>
      </c>
      <c r="CS28" t="s">
        <v>263</v>
      </c>
      <c r="CU28" s="39">
        <f t="shared" si="23"/>
        <v>10498</v>
      </c>
      <c r="CV28" t="s">
        <v>263</v>
      </c>
    </row>
    <row r="29" spans="4:100" x14ac:dyDescent="0.35">
      <c r="E29" t="s">
        <v>4294</v>
      </c>
      <c r="F29" s="151">
        <f>F17+F18+F20+F21</f>
        <v>4</v>
      </c>
      <c r="G29" t="s">
        <v>199</v>
      </c>
      <c r="H29" s="151">
        <f t="shared" si="12"/>
        <v>48</v>
      </c>
      <c r="I29" t="s">
        <v>199</v>
      </c>
      <c r="M29" t="s">
        <v>4294</v>
      </c>
      <c r="N29" s="151">
        <f>N17+N18+N20+N21</f>
        <v>2</v>
      </c>
      <c r="O29" t="s">
        <v>199</v>
      </c>
      <c r="P29" s="151">
        <f>$K$2*N29</f>
        <v>24</v>
      </c>
      <c r="Q29" t="s">
        <v>199</v>
      </c>
      <c r="U29" t="s">
        <v>4294</v>
      </c>
      <c r="V29" s="151">
        <f>V17+V18+V19+V20+V21</f>
        <v>6</v>
      </c>
      <c r="W29" t="s">
        <v>199</v>
      </c>
      <c r="X29" s="151">
        <f t="shared" si="13"/>
        <v>60</v>
      </c>
      <c r="Y29" t="s">
        <v>199</v>
      </c>
      <c r="AC29" t="s">
        <v>4294</v>
      </c>
      <c r="AD29" s="151">
        <f>AD17+AD18+AD19+AD20+AD21</f>
        <v>4</v>
      </c>
      <c r="AE29" t="s">
        <v>199</v>
      </c>
      <c r="AF29" s="151">
        <f t="shared" si="14"/>
        <v>128</v>
      </c>
      <c r="AG29" t="s">
        <v>199</v>
      </c>
      <c r="AK29" t="s">
        <v>4294</v>
      </c>
      <c r="AL29" s="151">
        <f>AL17+AL18+AL19+AL20+AL21</f>
        <v>5</v>
      </c>
      <c r="AM29" t="s">
        <v>199</v>
      </c>
      <c r="AN29" s="151">
        <f t="shared" si="15"/>
        <v>30</v>
      </c>
      <c r="AO29" t="s">
        <v>199</v>
      </c>
      <c r="AS29" t="s">
        <v>4294</v>
      </c>
      <c r="AT29" s="151">
        <f>AT17+AT18+AT19+AT20+AT21</f>
        <v>3</v>
      </c>
      <c r="AU29" t="s">
        <v>199</v>
      </c>
      <c r="AV29" s="151">
        <f t="shared" si="16"/>
        <v>12</v>
      </c>
      <c r="AW29" t="s">
        <v>199</v>
      </c>
      <c r="BA29" t="s">
        <v>4294</v>
      </c>
      <c r="BB29" s="151">
        <f>BB17+BB18+BB19+BB20+BB21</f>
        <v>3</v>
      </c>
      <c r="BC29" t="s">
        <v>199</v>
      </c>
      <c r="BD29" s="151">
        <f t="shared" si="17"/>
        <v>6</v>
      </c>
      <c r="BE29" t="s">
        <v>199</v>
      </c>
      <c r="BI29" t="s">
        <v>4294</v>
      </c>
      <c r="BJ29" s="151">
        <f>BJ17+BJ18+BJ19+BJ20+BJ21</f>
        <v>3</v>
      </c>
      <c r="BK29" t="s">
        <v>199</v>
      </c>
      <c r="BL29" s="151">
        <f t="shared" si="18"/>
        <v>6</v>
      </c>
      <c r="BM29" t="s">
        <v>199</v>
      </c>
      <c r="BQ29" t="s">
        <v>4294</v>
      </c>
      <c r="BR29" s="151">
        <f>BR17+BR18+BR19+BR20+BR21</f>
        <v>4</v>
      </c>
      <c r="BS29" t="s">
        <v>199</v>
      </c>
      <c r="BT29" s="151">
        <f t="shared" si="19"/>
        <v>48</v>
      </c>
      <c r="BU29" t="s">
        <v>199</v>
      </c>
      <c r="BY29" t="s">
        <v>4294</v>
      </c>
      <c r="BZ29" s="151">
        <f>BZ17+BZ18+BZ19+BZ20+BZ21</f>
        <v>4</v>
      </c>
      <c r="CA29" t="s">
        <v>199</v>
      </c>
      <c r="CB29" s="151">
        <f t="shared" si="20"/>
        <v>16</v>
      </c>
      <c r="CC29" t="s">
        <v>199</v>
      </c>
      <c r="CG29" t="s">
        <v>4294</v>
      </c>
      <c r="CH29" s="151">
        <f>CH17+CH18+CH19+CH20+CH21</f>
        <v>3</v>
      </c>
      <c r="CI29" t="s">
        <v>199</v>
      </c>
      <c r="CJ29" s="151">
        <f t="shared" si="21"/>
        <v>6</v>
      </c>
      <c r="CK29" t="s">
        <v>199</v>
      </c>
      <c r="CO29" t="s">
        <v>4294</v>
      </c>
      <c r="CP29" s="151">
        <f>CP17+CP18+CP19+CP20+CP21</f>
        <v>4</v>
      </c>
      <c r="CQ29" t="s">
        <v>199</v>
      </c>
      <c r="CR29" s="151">
        <f t="shared" si="22"/>
        <v>8</v>
      </c>
      <c r="CS29" t="s">
        <v>199</v>
      </c>
      <c r="CU29" s="39">
        <f t="shared" si="23"/>
        <v>392</v>
      </c>
      <c r="CV29" t="s">
        <v>199</v>
      </c>
    </row>
    <row r="30" spans="4:100" x14ac:dyDescent="0.35">
      <c r="E30" t="s">
        <v>4295</v>
      </c>
      <c r="F30" s="151">
        <f>F13</f>
        <v>5</v>
      </c>
      <c r="G30" t="s">
        <v>199</v>
      </c>
      <c r="H30" s="151">
        <f t="shared" si="12"/>
        <v>60</v>
      </c>
      <c r="I30" t="s">
        <v>199</v>
      </c>
      <c r="M30" t="s">
        <v>4295</v>
      </c>
      <c r="N30" s="151">
        <f>N13</f>
        <v>5</v>
      </c>
      <c r="O30" t="s">
        <v>199</v>
      </c>
      <c r="P30" s="151">
        <f>$C$2*N30</f>
        <v>60</v>
      </c>
      <c r="Q30" t="s">
        <v>199</v>
      </c>
      <c r="U30" t="s">
        <v>4295</v>
      </c>
      <c r="V30" s="151">
        <f>V13</f>
        <v>5</v>
      </c>
      <c r="W30" t="s">
        <v>199</v>
      </c>
      <c r="X30" s="151">
        <f t="shared" si="13"/>
        <v>50</v>
      </c>
      <c r="Y30" t="s">
        <v>199</v>
      </c>
      <c r="AC30" t="s">
        <v>4295</v>
      </c>
      <c r="AD30" s="151">
        <f>AD13</f>
        <v>5</v>
      </c>
      <c r="AE30" t="s">
        <v>199</v>
      </c>
      <c r="AF30" s="151">
        <f t="shared" si="14"/>
        <v>160</v>
      </c>
      <c r="AG30" t="s">
        <v>199</v>
      </c>
      <c r="AK30" t="s">
        <v>4295</v>
      </c>
      <c r="AL30" s="151">
        <f>AL13</f>
        <v>5</v>
      </c>
      <c r="AM30" t="s">
        <v>199</v>
      </c>
      <c r="AN30" s="151">
        <f t="shared" si="15"/>
        <v>30</v>
      </c>
      <c r="AO30" t="s">
        <v>199</v>
      </c>
      <c r="AS30" t="s">
        <v>4295</v>
      </c>
      <c r="AT30" s="151">
        <f>AT13</f>
        <v>5</v>
      </c>
      <c r="AU30" t="s">
        <v>199</v>
      </c>
      <c r="AV30" s="151">
        <f t="shared" si="16"/>
        <v>20</v>
      </c>
      <c r="AW30" t="s">
        <v>199</v>
      </c>
      <c r="BA30" t="s">
        <v>4295</v>
      </c>
      <c r="BB30" s="151">
        <f>BB13</f>
        <v>1</v>
      </c>
      <c r="BC30" t="s">
        <v>199</v>
      </c>
      <c r="BD30" s="151">
        <f t="shared" si="17"/>
        <v>2</v>
      </c>
      <c r="BE30" t="s">
        <v>199</v>
      </c>
      <c r="BI30" t="s">
        <v>4295</v>
      </c>
      <c r="BJ30" s="151">
        <f>BJ13</f>
        <v>5</v>
      </c>
      <c r="BK30" t="s">
        <v>199</v>
      </c>
      <c r="BL30" s="151">
        <f t="shared" si="18"/>
        <v>10</v>
      </c>
      <c r="BM30" t="s">
        <v>199</v>
      </c>
      <c r="BQ30" t="s">
        <v>4295</v>
      </c>
      <c r="BR30" s="151">
        <f>BR13</f>
        <v>5</v>
      </c>
      <c r="BS30" t="s">
        <v>199</v>
      </c>
      <c r="BT30" s="151">
        <f t="shared" si="19"/>
        <v>60</v>
      </c>
      <c r="BU30" t="s">
        <v>199</v>
      </c>
      <c r="BY30" t="s">
        <v>4295</v>
      </c>
      <c r="BZ30" s="151">
        <f>BZ13</f>
        <v>5</v>
      </c>
      <c r="CA30" t="s">
        <v>199</v>
      </c>
      <c r="CB30" s="151">
        <f t="shared" si="20"/>
        <v>20</v>
      </c>
      <c r="CC30" t="s">
        <v>199</v>
      </c>
      <c r="CG30" t="s">
        <v>4295</v>
      </c>
      <c r="CH30" s="151">
        <f>CH13</f>
        <v>5</v>
      </c>
      <c r="CI30" t="s">
        <v>199</v>
      </c>
      <c r="CJ30" s="151">
        <f t="shared" si="21"/>
        <v>10</v>
      </c>
      <c r="CK30" t="s">
        <v>199</v>
      </c>
      <c r="CO30" t="s">
        <v>4295</v>
      </c>
      <c r="CP30" s="151">
        <f>CP13</f>
        <v>5</v>
      </c>
      <c r="CQ30" t="s">
        <v>199</v>
      </c>
      <c r="CR30" s="151">
        <f t="shared" si="22"/>
        <v>10</v>
      </c>
      <c r="CS30" t="s">
        <v>199</v>
      </c>
      <c r="CU30" s="39">
        <f t="shared" si="23"/>
        <v>492</v>
      </c>
      <c r="CV30" t="s">
        <v>199</v>
      </c>
    </row>
    <row r="31" spans="4:100" x14ac:dyDescent="0.35">
      <c r="E31" t="s">
        <v>4296</v>
      </c>
      <c r="F31" s="151">
        <f>F15</f>
        <v>6</v>
      </c>
      <c r="G31" t="s">
        <v>263</v>
      </c>
      <c r="H31" s="151">
        <f t="shared" si="12"/>
        <v>72</v>
      </c>
      <c r="I31" t="s">
        <v>263</v>
      </c>
      <c r="M31" t="s">
        <v>4296</v>
      </c>
      <c r="N31" s="151">
        <f>N15</f>
        <v>5</v>
      </c>
      <c r="O31" t="s">
        <v>263</v>
      </c>
      <c r="P31" s="151">
        <f>$C$2*N31</f>
        <v>60</v>
      </c>
      <c r="Q31" t="s">
        <v>263</v>
      </c>
      <c r="U31" t="s">
        <v>4296</v>
      </c>
      <c r="V31" s="151">
        <f>V15</f>
        <v>7</v>
      </c>
      <c r="W31" t="s">
        <v>263</v>
      </c>
      <c r="X31" s="151">
        <f t="shared" si="13"/>
        <v>70</v>
      </c>
      <c r="Y31" t="s">
        <v>263</v>
      </c>
      <c r="AC31" t="s">
        <v>4296</v>
      </c>
      <c r="AD31" s="151">
        <f>AD15</f>
        <v>5</v>
      </c>
      <c r="AE31" t="s">
        <v>263</v>
      </c>
      <c r="AF31" s="151">
        <f t="shared" si="14"/>
        <v>160</v>
      </c>
      <c r="AG31" t="s">
        <v>263</v>
      </c>
      <c r="AK31" t="s">
        <v>4296</v>
      </c>
      <c r="AL31" s="151">
        <f>AL15</f>
        <v>15</v>
      </c>
      <c r="AM31" t="s">
        <v>263</v>
      </c>
      <c r="AN31" s="151">
        <f t="shared" si="15"/>
        <v>90</v>
      </c>
      <c r="AO31" t="s">
        <v>263</v>
      </c>
      <c r="AS31" t="s">
        <v>4296</v>
      </c>
      <c r="AT31" s="151">
        <f>AT15</f>
        <v>6</v>
      </c>
      <c r="AU31" t="s">
        <v>263</v>
      </c>
      <c r="AV31" s="151">
        <f t="shared" si="16"/>
        <v>24</v>
      </c>
      <c r="AW31" t="s">
        <v>263</v>
      </c>
      <c r="BA31" t="s">
        <v>4296</v>
      </c>
      <c r="BB31" s="151">
        <f>BB15</f>
        <v>6</v>
      </c>
      <c r="BC31" t="s">
        <v>263</v>
      </c>
      <c r="BD31" s="151">
        <f t="shared" si="17"/>
        <v>12</v>
      </c>
      <c r="BE31" t="s">
        <v>263</v>
      </c>
      <c r="BI31" t="s">
        <v>4296</v>
      </c>
      <c r="BJ31" s="151">
        <f>BJ15</f>
        <v>6</v>
      </c>
      <c r="BK31" t="s">
        <v>263</v>
      </c>
      <c r="BL31" s="151">
        <f t="shared" si="18"/>
        <v>12</v>
      </c>
      <c r="BM31" t="s">
        <v>263</v>
      </c>
      <c r="BQ31" t="s">
        <v>4296</v>
      </c>
      <c r="BR31" s="151">
        <f>BR15</f>
        <v>12</v>
      </c>
      <c r="BS31" t="s">
        <v>263</v>
      </c>
      <c r="BT31" s="151">
        <f t="shared" si="19"/>
        <v>144</v>
      </c>
      <c r="BU31" t="s">
        <v>263</v>
      </c>
      <c r="BY31" t="s">
        <v>4296</v>
      </c>
      <c r="BZ31" s="151">
        <f>BZ15</f>
        <v>12</v>
      </c>
      <c r="CA31" t="s">
        <v>263</v>
      </c>
      <c r="CB31" s="151">
        <f t="shared" si="20"/>
        <v>48</v>
      </c>
      <c r="CC31" t="s">
        <v>263</v>
      </c>
      <c r="CG31" t="s">
        <v>4296</v>
      </c>
      <c r="CH31" s="151">
        <f>CH15</f>
        <v>6</v>
      </c>
      <c r="CI31" t="s">
        <v>263</v>
      </c>
      <c r="CJ31" s="151">
        <f t="shared" si="21"/>
        <v>12</v>
      </c>
      <c r="CK31" t="s">
        <v>263</v>
      </c>
      <c r="CO31" t="s">
        <v>4296</v>
      </c>
      <c r="CP31" s="151">
        <f>CP15</f>
        <v>6</v>
      </c>
      <c r="CQ31" t="s">
        <v>263</v>
      </c>
      <c r="CR31" s="151">
        <f t="shared" si="22"/>
        <v>12</v>
      </c>
      <c r="CS31" t="s">
        <v>263</v>
      </c>
      <c r="CU31" s="39">
        <f t="shared" si="23"/>
        <v>716</v>
      </c>
      <c r="CV31" t="s">
        <v>263</v>
      </c>
    </row>
    <row r="32" spans="4:100" x14ac:dyDescent="0.35">
      <c r="D32" t="s">
        <v>4297</v>
      </c>
      <c r="L32" t="s">
        <v>4297</v>
      </c>
      <c r="T32" t="s">
        <v>4297</v>
      </c>
      <c r="AB32" t="s">
        <v>4297</v>
      </c>
      <c r="AJ32" t="s">
        <v>4297</v>
      </c>
      <c r="AR32" t="s">
        <v>4297</v>
      </c>
      <c r="AZ32" t="s">
        <v>4297</v>
      </c>
      <c r="BH32" t="s">
        <v>4297</v>
      </c>
      <c r="BP32" t="s">
        <v>4297</v>
      </c>
      <c r="BX32" t="s">
        <v>4297</v>
      </c>
      <c r="CF32" t="s">
        <v>4297</v>
      </c>
      <c r="CN32" t="s">
        <v>4297</v>
      </c>
    </row>
    <row r="33" spans="4:100" x14ac:dyDescent="0.35">
      <c r="E33" t="s">
        <v>4298</v>
      </c>
      <c r="F33" s="150">
        <v>1</v>
      </c>
      <c r="G33" t="s">
        <v>199</v>
      </c>
      <c r="H33" s="150">
        <f>$C$2*F33</f>
        <v>12</v>
      </c>
      <c r="I33" t="s">
        <v>199</v>
      </c>
      <c r="M33" t="s">
        <v>4298</v>
      </c>
      <c r="N33" s="150">
        <v>1</v>
      </c>
      <c r="O33" t="s">
        <v>199</v>
      </c>
      <c r="P33" s="150">
        <f>$K$2*N33</f>
        <v>12</v>
      </c>
      <c r="Q33" t="s">
        <v>199</v>
      </c>
      <c r="U33" t="s">
        <v>4298</v>
      </c>
      <c r="V33" s="150">
        <v>2</v>
      </c>
      <c r="W33" t="s">
        <v>199</v>
      </c>
      <c r="X33" s="150">
        <f>S$2*V33</f>
        <v>20</v>
      </c>
      <c r="Y33" t="s">
        <v>199</v>
      </c>
      <c r="AC33" t="s">
        <v>4298</v>
      </c>
      <c r="AD33" s="150">
        <v>1</v>
      </c>
      <c r="AE33" t="s">
        <v>199</v>
      </c>
      <c r="AF33" s="150">
        <f>AA$2*AD33</f>
        <v>32</v>
      </c>
      <c r="AG33" t="s">
        <v>199</v>
      </c>
      <c r="AK33" t="s">
        <v>4298</v>
      </c>
      <c r="AL33" s="150">
        <v>1</v>
      </c>
      <c r="AM33" t="s">
        <v>199</v>
      </c>
      <c r="AN33" s="150">
        <f>AI$2*AL33</f>
        <v>6</v>
      </c>
      <c r="AO33" t="s">
        <v>199</v>
      </c>
      <c r="AS33" t="s">
        <v>4298</v>
      </c>
      <c r="AT33" s="150">
        <v>1</v>
      </c>
      <c r="AU33" t="s">
        <v>199</v>
      </c>
      <c r="AV33" s="150">
        <f>AQ$2*AT33</f>
        <v>4</v>
      </c>
      <c r="AW33" t="s">
        <v>199</v>
      </c>
      <c r="BA33" t="s">
        <v>4298</v>
      </c>
      <c r="BB33" s="150">
        <v>1</v>
      </c>
      <c r="BC33" t="s">
        <v>199</v>
      </c>
      <c r="BD33" s="150">
        <f>AY$2*BB33</f>
        <v>2</v>
      </c>
      <c r="BE33" t="s">
        <v>199</v>
      </c>
      <c r="BI33" t="s">
        <v>4298</v>
      </c>
      <c r="BJ33" s="150">
        <v>1</v>
      </c>
      <c r="BK33" t="s">
        <v>199</v>
      </c>
      <c r="BL33" s="150">
        <f>BG$2*BJ33</f>
        <v>2</v>
      </c>
      <c r="BM33" t="s">
        <v>199</v>
      </c>
      <c r="BQ33" t="s">
        <v>4298</v>
      </c>
      <c r="BR33" s="150">
        <v>1</v>
      </c>
      <c r="BS33" t="s">
        <v>199</v>
      </c>
      <c r="BT33" s="150">
        <f>BO$2*BR33</f>
        <v>12</v>
      </c>
      <c r="BU33" t="s">
        <v>199</v>
      </c>
      <c r="BY33" t="s">
        <v>4298</v>
      </c>
      <c r="BZ33" s="150">
        <v>1</v>
      </c>
      <c r="CA33" t="s">
        <v>199</v>
      </c>
      <c r="CB33" s="150">
        <f>BW$2*BZ33</f>
        <v>4</v>
      </c>
      <c r="CC33" t="s">
        <v>199</v>
      </c>
      <c r="CG33" t="s">
        <v>4298</v>
      </c>
      <c r="CH33" s="150">
        <v>1</v>
      </c>
      <c r="CI33" t="s">
        <v>199</v>
      </c>
      <c r="CJ33" s="150">
        <f>CE$2*CH33</f>
        <v>2</v>
      </c>
      <c r="CK33" t="s">
        <v>199</v>
      </c>
      <c r="CO33" t="s">
        <v>4298</v>
      </c>
      <c r="CP33" s="150">
        <v>1</v>
      </c>
      <c r="CQ33" t="s">
        <v>199</v>
      </c>
      <c r="CR33" s="150">
        <f>CM$2*CP33</f>
        <v>2</v>
      </c>
      <c r="CS33" t="s">
        <v>199</v>
      </c>
      <c r="CU33" s="39">
        <f>H33+P33+X33+AF33+AV33+AN33+BD33+BL33+BT33+CB33+CJ33+CR33</f>
        <v>110</v>
      </c>
      <c r="CV33" t="s">
        <v>199</v>
      </c>
    </row>
    <row r="34" spans="4:100" x14ac:dyDescent="0.35">
      <c r="E34" t="s">
        <v>4299</v>
      </c>
      <c r="F34" s="150">
        <v>1</v>
      </c>
      <c r="G34" t="s">
        <v>199</v>
      </c>
      <c r="H34" s="150">
        <f>$C$2*F34</f>
        <v>12</v>
      </c>
      <c r="I34" t="s">
        <v>199</v>
      </c>
      <c r="M34" t="s">
        <v>4299</v>
      </c>
      <c r="N34" s="150">
        <v>1</v>
      </c>
      <c r="O34" t="s">
        <v>199</v>
      </c>
      <c r="P34" s="150">
        <f>$C$2*N34</f>
        <v>12</v>
      </c>
      <c r="Q34" t="s">
        <v>199</v>
      </c>
      <c r="U34" t="s">
        <v>4299</v>
      </c>
      <c r="V34" s="150">
        <v>2</v>
      </c>
      <c r="W34" t="s">
        <v>199</v>
      </c>
      <c r="X34" s="150">
        <f>S$2*V34</f>
        <v>20</v>
      </c>
      <c r="Y34" t="s">
        <v>199</v>
      </c>
      <c r="AC34" t="s">
        <v>4299</v>
      </c>
      <c r="AD34" s="150">
        <v>1</v>
      </c>
      <c r="AE34" t="s">
        <v>199</v>
      </c>
      <c r="AF34" s="150">
        <f>AA$2*AD34</f>
        <v>32</v>
      </c>
      <c r="AG34" t="s">
        <v>199</v>
      </c>
      <c r="AK34" t="s">
        <v>4299</v>
      </c>
      <c r="AL34" s="150">
        <v>1</v>
      </c>
      <c r="AM34" t="s">
        <v>199</v>
      </c>
      <c r="AN34" s="150">
        <f>AI$2*AL34</f>
        <v>6</v>
      </c>
      <c r="AO34" t="s">
        <v>199</v>
      </c>
      <c r="AS34" t="s">
        <v>4299</v>
      </c>
      <c r="AT34" s="150">
        <v>1</v>
      </c>
      <c r="AU34" t="s">
        <v>199</v>
      </c>
      <c r="AV34" s="150">
        <f>AQ$2*AT34</f>
        <v>4</v>
      </c>
      <c r="AW34" t="s">
        <v>199</v>
      </c>
      <c r="BA34" t="s">
        <v>4299</v>
      </c>
      <c r="BB34" s="150">
        <v>1</v>
      </c>
      <c r="BC34" t="s">
        <v>199</v>
      </c>
      <c r="BD34" s="150">
        <f>AY$2*BB34</f>
        <v>2</v>
      </c>
      <c r="BE34" t="s">
        <v>199</v>
      </c>
      <c r="BI34" t="s">
        <v>4299</v>
      </c>
      <c r="BJ34" s="150">
        <v>1</v>
      </c>
      <c r="BK34" t="s">
        <v>199</v>
      </c>
      <c r="BL34" s="150">
        <f>BG$2*BJ34</f>
        <v>2</v>
      </c>
      <c r="BM34" t="s">
        <v>199</v>
      </c>
      <c r="BQ34" t="s">
        <v>4299</v>
      </c>
      <c r="BR34" s="150">
        <v>1</v>
      </c>
      <c r="BS34" t="s">
        <v>199</v>
      </c>
      <c r="BT34" s="150">
        <f>BO$2*BR34</f>
        <v>12</v>
      </c>
      <c r="BU34" t="s">
        <v>199</v>
      </c>
      <c r="BY34" t="s">
        <v>4299</v>
      </c>
      <c r="BZ34" s="150">
        <v>1</v>
      </c>
      <c r="CA34" t="s">
        <v>199</v>
      </c>
      <c r="CB34" s="150">
        <f>BW$2*BZ34</f>
        <v>4</v>
      </c>
      <c r="CC34" t="s">
        <v>199</v>
      </c>
      <c r="CG34" t="s">
        <v>4299</v>
      </c>
      <c r="CH34" s="150">
        <v>1</v>
      </c>
      <c r="CI34" t="s">
        <v>199</v>
      </c>
      <c r="CJ34" s="150">
        <f>CE$2*CH34</f>
        <v>2</v>
      </c>
      <c r="CK34" t="s">
        <v>199</v>
      </c>
      <c r="CO34" t="s">
        <v>4299</v>
      </c>
      <c r="CP34" s="150">
        <v>1</v>
      </c>
      <c r="CQ34" t="s">
        <v>199</v>
      </c>
      <c r="CR34" s="150">
        <f>CM$2*CP34</f>
        <v>2</v>
      </c>
      <c r="CS34" t="s">
        <v>199</v>
      </c>
      <c r="CU34" s="39">
        <f>H34+P34+X34+AF34+AV34+AN34+BD34+BL34+BT34+CB34+CJ34+CR34</f>
        <v>110</v>
      </c>
      <c r="CV34" t="s">
        <v>199</v>
      </c>
    </row>
    <row r="35" spans="4:100" x14ac:dyDescent="0.35">
      <c r="E35" t="s">
        <v>4300</v>
      </c>
      <c r="F35" s="150">
        <v>1</v>
      </c>
      <c r="G35" t="s">
        <v>199</v>
      </c>
      <c r="H35" s="150">
        <f>$C$2*F35</f>
        <v>12</v>
      </c>
      <c r="I35" t="s">
        <v>199</v>
      </c>
      <c r="M35" t="s">
        <v>4300</v>
      </c>
      <c r="N35" s="150">
        <v>1</v>
      </c>
      <c r="O35" t="s">
        <v>199</v>
      </c>
      <c r="P35" s="150">
        <f>$C$2*N35</f>
        <v>12</v>
      </c>
      <c r="Q35" t="s">
        <v>199</v>
      </c>
      <c r="U35" t="s">
        <v>4300</v>
      </c>
      <c r="V35" s="150">
        <v>2</v>
      </c>
      <c r="W35" t="s">
        <v>199</v>
      </c>
      <c r="X35" s="150">
        <f>S$2*V35</f>
        <v>20</v>
      </c>
      <c r="Y35" t="s">
        <v>199</v>
      </c>
      <c r="AC35" t="s">
        <v>4300</v>
      </c>
      <c r="AD35" s="150">
        <v>1</v>
      </c>
      <c r="AE35" t="s">
        <v>199</v>
      </c>
      <c r="AF35" s="150">
        <f>AA$2*AD35</f>
        <v>32</v>
      </c>
      <c r="AG35" t="s">
        <v>199</v>
      </c>
      <c r="AK35" t="s">
        <v>4300</v>
      </c>
      <c r="AL35" s="150">
        <v>1</v>
      </c>
      <c r="AM35" t="s">
        <v>199</v>
      </c>
      <c r="AN35" s="150">
        <f>AI$2*AL35</f>
        <v>6</v>
      </c>
      <c r="AO35" t="s">
        <v>199</v>
      </c>
      <c r="AS35" t="s">
        <v>4300</v>
      </c>
      <c r="AT35" s="150">
        <v>1</v>
      </c>
      <c r="AU35" t="s">
        <v>199</v>
      </c>
      <c r="AV35" s="150">
        <f>AQ$2*AT35</f>
        <v>4</v>
      </c>
      <c r="AW35" t="s">
        <v>199</v>
      </c>
      <c r="BA35" t="s">
        <v>4300</v>
      </c>
      <c r="BB35" s="150">
        <v>1</v>
      </c>
      <c r="BC35" t="s">
        <v>199</v>
      </c>
      <c r="BD35" s="150">
        <f>AY$2*BB35</f>
        <v>2</v>
      </c>
      <c r="BE35" t="s">
        <v>199</v>
      </c>
      <c r="BI35" t="s">
        <v>4300</v>
      </c>
      <c r="BJ35" s="150">
        <v>1</v>
      </c>
      <c r="BK35" t="s">
        <v>199</v>
      </c>
      <c r="BL35" s="150">
        <f>BG$2*BJ35</f>
        <v>2</v>
      </c>
      <c r="BM35" t="s">
        <v>199</v>
      </c>
      <c r="BQ35" t="s">
        <v>4300</v>
      </c>
      <c r="BR35" s="150">
        <v>1</v>
      </c>
      <c r="BS35" t="s">
        <v>199</v>
      </c>
      <c r="BT35" s="150">
        <f>BO$2*BR35</f>
        <v>12</v>
      </c>
      <c r="BU35" t="s">
        <v>199</v>
      </c>
      <c r="BY35" t="s">
        <v>4300</v>
      </c>
      <c r="BZ35" s="150">
        <v>1</v>
      </c>
      <c r="CA35" t="s">
        <v>199</v>
      </c>
      <c r="CB35" s="150">
        <f>BW$2*BZ35</f>
        <v>4</v>
      </c>
      <c r="CC35" t="s">
        <v>199</v>
      </c>
      <c r="CG35" t="s">
        <v>4300</v>
      </c>
      <c r="CH35" s="150">
        <v>1</v>
      </c>
      <c r="CI35" t="s">
        <v>199</v>
      </c>
      <c r="CJ35" s="150">
        <f>CE$2*CH35</f>
        <v>2</v>
      </c>
      <c r="CK35" t="s">
        <v>199</v>
      </c>
      <c r="CO35" t="s">
        <v>4300</v>
      </c>
      <c r="CP35" s="150">
        <v>1</v>
      </c>
      <c r="CQ35" t="s">
        <v>199</v>
      </c>
      <c r="CR35" s="150">
        <f>CM$2*CP35</f>
        <v>2</v>
      </c>
      <c r="CS35" t="s">
        <v>199</v>
      </c>
      <c r="CU35" s="39">
        <f>H35+P35+X35+AF35+AV35+AN35+BD35+BL35+BT35+CB35+CJ35+CR35</f>
        <v>110</v>
      </c>
      <c r="CV35" t="s">
        <v>199</v>
      </c>
    </row>
    <row r="36" spans="4:100" x14ac:dyDescent="0.35">
      <c r="E36" t="s">
        <v>4301</v>
      </c>
      <c r="F36" s="150">
        <v>1</v>
      </c>
      <c r="G36" t="s">
        <v>199</v>
      </c>
      <c r="H36" s="150">
        <f>$C$2*F36</f>
        <v>12</v>
      </c>
      <c r="I36" t="s">
        <v>199</v>
      </c>
      <c r="M36" t="s">
        <v>4301</v>
      </c>
      <c r="N36" s="150">
        <v>1</v>
      </c>
      <c r="O36" t="s">
        <v>199</v>
      </c>
      <c r="P36" s="150">
        <f>$C$2*N36</f>
        <v>12</v>
      </c>
      <c r="Q36" t="s">
        <v>199</v>
      </c>
      <c r="U36" t="s">
        <v>4301</v>
      </c>
      <c r="V36" s="150">
        <v>2</v>
      </c>
      <c r="W36" t="s">
        <v>199</v>
      </c>
      <c r="X36" s="150">
        <f>S$2*V36</f>
        <v>20</v>
      </c>
      <c r="Y36" t="s">
        <v>199</v>
      </c>
      <c r="AC36" t="s">
        <v>4301</v>
      </c>
      <c r="AD36" s="150">
        <v>1</v>
      </c>
      <c r="AE36" t="s">
        <v>199</v>
      </c>
      <c r="AF36" s="150">
        <f>AA$2*AD36</f>
        <v>32</v>
      </c>
      <c r="AG36" t="s">
        <v>199</v>
      </c>
      <c r="AK36" t="s">
        <v>4301</v>
      </c>
      <c r="AL36" s="150">
        <v>1</v>
      </c>
      <c r="AM36" t="s">
        <v>199</v>
      </c>
      <c r="AN36" s="150">
        <f>AI$2*AL36</f>
        <v>6</v>
      </c>
      <c r="AO36" t="s">
        <v>199</v>
      </c>
      <c r="AS36" t="s">
        <v>4301</v>
      </c>
      <c r="AT36" s="150">
        <v>1</v>
      </c>
      <c r="AU36" t="s">
        <v>199</v>
      </c>
      <c r="AV36" s="150">
        <f>AQ$2*AT36</f>
        <v>4</v>
      </c>
      <c r="AW36" t="s">
        <v>199</v>
      </c>
      <c r="BA36" t="s">
        <v>4301</v>
      </c>
      <c r="BB36" s="150">
        <v>1</v>
      </c>
      <c r="BC36" t="s">
        <v>199</v>
      </c>
      <c r="BD36" s="150">
        <f>AY$2*BB36</f>
        <v>2</v>
      </c>
      <c r="BE36" t="s">
        <v>199</v>
      </c>
      <c r="BI36" t="s">
        <v>4301</v>
      </c>
      <c r="BJ36" s="150">
        <v>1</v>
      </c>
      <c r="BK36" t="s">
        <v>199</v>
      </c>
      <c r="BL36" s="150">
        <f>BG$2*BJ36</f>
        <v>2</v>
      </c>
      <c r="BM36" t="s">
        <v>199</v>
      </c>
      <c r="BQ36" t="s">
        <v>4301</v>
      </c>
      <c r="BR36" s="150">
        <v>1</v>
      </c>
      <c r="BS36" t="s">
        <v>199</v>
      </c>
      <c r="BT36" s="150">
        <f>BO$2*BR36</f>
        <v>12</v>
      </c>
      <c r="BU36" t="s">
        <v>199</v>
      </c>
      <c r="BY36" t="s">
        <v>4301</v>
      </c>
      <c r="BZ36" s="150">
        <v>1</v>
      </c>
      <c r="CA36" t="s">
        <v>199</v>
      </c>
      <c r="CB36" s="150">
        <f>BW$2*BZ36</f>
        <v>4</v>
      </c>
      <c r="CC36" t="s">
        <v>199</v>
      </c>
      <c r="CG36" t="s">
        <v>4301</v>
      </c>
      <c r="CH36" s="150">
        <v>1</v>
      </c>
      <c r="CI36" t="s">
        <v>199</v>
      </c>
      <c r="CJ36" s="150">
        <f>CE$2*CH36</f>
        <v>2</v>
      </c>
      <c r="CK36" t="s">
        <v>199</v>
      </c>
      <c r="CO36" t="s">
        <v>4301</v>
      </c>
      <c r="CP36" s="150">
        <v>1</v>
      </c>
      <c r="CQ36" t="s">
        <v>199</v>
      </c>
      <c r="CR36" s="150">
        <f>CM$2*CP36</f>
        <v>2</v>
      </c>
      <c r="CS36" t="s">
        <v>199</v>
      </c>
      <c r="CU36" s="39">
        <f>H36+P36+X36+AF36+AV36+AN36+BD36+BL36+BT36+CB36+CJ36+CR36</f>
        <v>110</v>
      </c>
      <c r="CV36" t="s">
        <v>199</v>
      </c>
    </row>
    <row r="37" spans="4:100" x14ac:dyDescent="0.35">
      <c r="D37" t="s">
        <v>4302</v>
      </c>
      <c r="L37" t="s">
        <v>4302</v>
      </c>
      <c r="T37" t="s">
        <v>4302</v>
      </c>
      <c r="AB37" t="s">
        <v>4302</v>
      </c>
      <c r="AJ37" t="s">
        <v>4302</v>
      </c>
      <c r="AR37" t="s">
        <v>4302</v>
      </c>
      <c r="AZ37" t="s">
        <v>4302</v>
      </c>
      <c r="BH37" t="s">
        <v>4302</v>
      </c>
      <c r="BP37" t="s">
        <v>4302</v>
      </c>
      <c r="BX37" t="s">
        <v>4302</v>
      </c>
      <c r="CF37" t="s">
        <v>4302</v>
      </c>
      <c r="CN37" t="s">
        <v>4302</v>
      </c>
    </row>
    <row r="38" spans="4:100" x14ac:dyDescent="0.35">
      <c r="E38" t="s">
        <v>4303</v>
      </c>
      <c r="F38" s="150">
        <v>2</v>
      </c>
      <c r="G38" t="s">
        <v>199</v>
      </c>
      <c r="H38" s="150">
        <f>$C$2*F38</f>
        <v>24</v>
      </c>
      <c r="I38" t="s">
        <v>199</v>
      </c>
      <c r="M38" t="s">
        <v>4303</v>
      </c>
      <c r="N38" s="150">
        <v>1</v>
      </c>
      <c r="O38" t="s">
        <v>199</v>
      </c>
      <c r="P38" s="150">
        <f>$K$2*N38</f>
        <v>12</v>
      </c>
      <c r="Q38" t="s">
        <v>199</v>
      </c>
      <c r="U38" t="s">
        <v>4303</v>
      </c>
      <c r="V38" s="150">
        <v>3</v>
      </c>
      <c r="W38" t="s">
        <v>199</v>
      </c>
      <c r="X38" s="150">
        <f>S$2*V38</f>
        <v>30</v>
      </c>
      <c r="Y38" t="s">
        <v>199</v>
      </c>
      <c r="AC38" t="s">
        <v>4303</v>
      </c>
      <c r="AD38" s="150">
        <v>2</v>
      </c>
      <c r="AE38" t="s">
        <v>199</v>
      </c>
      <c r="AF38" s="150">
        <f>AA$2*AD38</f>
        <v>64</v>
      </c>
      <c r="AG38" t="s">
        <v>199</v>
      </c>
      <c r="AK38" t="s">
        <v>4303</v>
      </c>
      <c r="AL38" s="150">
        <v>3</v>
      </c>
      <c r="AM38" t="s">
        <v>199</v>
      </c>
      <c r="AN38" s="150">
        <f>AI$2*AL38</f>
        <v>18</v>
      </c>
      <c r="AO38" t="s">
        <v>199</v>
      </c>
      <c r="AS38" t="s">
        <v>4303</v>
      </c>
      <c r="AT38" s="150">
        <v>1</v>
      </c>
      <c r="AU38" t="s">
        <v>199</v>
      </c>
      <c r="AV38" s="150">
        <f>AQ$2*AT38</f>
        <v>4</v>
      </c>
      <c r="AW38" t="s">
        <v>199</v>
      </c>
      <c r="BA38" t="s">
        <v>4303</v>
      </c>
      <c r="BB38" s="150">
        <v>1</v>
      </c>
      <c r="BC38" t="s">
        <v>199</v>
      </c>
      <c r="BD38" s="150">
        <f>AY$2*BB38</f>
        <v>2</v>
      </c>
      <c r="BE38" t="s">
        <v>199</v>
      </c>
      <c r="BI38" t="s">
        <v>4303</v>
      </c>
      <c r="BJ38" s="150">
        <v>1</v>
      </c>
      <c r="BK38" t="s">
        <v>199</v>
      </c>
      <c r="BL38" s="150">
        <f>BG$2*BJ38</f>
        <v>2</v>
      </c>
      <c r="BM38" t="s">
        <v>199</v>
      </c>
      <c r="BQ38" t="s">
        <v>4303</v>
      </c>
      <c r="BR38" s="150">
        <v>2</v>
      </c>
      <c r="BS38" t="s">
        <v>199</v>
      </c>
      <c r="BT38" s="150">
        <f>BO$2*BR38</f>
        <v>24</v>
      </c>
      <c r="BU38" t="s">
        <v>199</v>
      </c>
      <c r="BY38" t="s">
        <v>4303</v>
      </c>
      <c r="BZ38" s="150">
        <v>3</v>
      </c>
      <c r="CA38" t="s">
        <v>199</v>
      </c>
      <c r="CB38" s="150">
        <f>BW$2*BZ38</f>
        <v>12</v>
      </c>
      <c r="CC38" t="s">
        <v>199</v>
      </c>
      <c r="CG38" t="s">
        <v>4303</v>
      </c>
      <c r="CH38" s="150">
        <v>1</v>
      </c>
      <c r="CI38" t="s">
        <v>199</v>
      </c>
      <c r="CJ38" s="150">
        <f>CE$2*CH38</f>
        <v>2</v>
      </c>
      <c r="CK38" t="s">
        <v>199</v>
      </c>
      <c r="CO38" t="s">
        <v>4303</v>
      </c>
      <c r="CP38" s="150">
        <v>2</v>
      </c>
      <c r="CQ38" t="s">
        <v>199</v>
      </c>
      <c r="CR38" s="150">
        <f>CM$2*CP38</f>
        <v>4</v>
      </c>
      <c r="CS38" t="s">
        <v>199</v>
      </c>
      <c r="CU38" s="39">
        <f>H38+P38+X38+AF38+AV38+AN38+BD38+BL38+BT38+CB38+CJ38+CR38</f>
        <v>198</v>
      </c>
      <c r="CV38" t="s">
        <v>199</v>
      </c>
    </row>
    <row r="39" spans="4:100" x14ac:dyDescent="0.35">
      <c r="D39" t="s">
        <v>4304</v>
      </c>
      <c r="L39" t="s">
        <v>4304</v>
      </c>
      <c r="T39" t="s">
        <v>4304</v>
      </c>
      <c r="AB39" t="s">
        <v>4304</v>
      </c>
      <c r="AJ39" t="s">
        <v>4304</v>
      </c>
      <c r="AR39" t="s">
        <v>4304</v>
      </c>
      <c r="AZ39" t="s">
        <v>4304</v>
      </c>
      <c r="BH39" t="s">
        <v>4304</v>
      </c>
      <c r="BP39" t="s">
        <v>4304</v>
      </c>
      <c r="BX39" t="s">
        <v>4304</v>
      </c>
      <c r="CF39" t="s">
        <v>4304</v>
      </c>
      <c r="CN39" t="s">
        <v>4304</v>
      </c>
    </row>
    <row r="40" spans="4:100" x14ac:dyDescent="0.35">
      <c r="E40" t="s">
        <v>4305</v>
      </c>
      <c r="F40" s="150">
        <v>1</v>
      </c>
      <c r="G40" t="s">
        <v>199</v>
      </c>
      <c r="H40" s="150">
        <f>$C$2*F40</f>
        <v>12</v>
      </c>
      <c r="I40" t="s">
        <v>199</v>
      </c>
      <c r="M40" t="s">
        <v>4305</v>
      </c>
      <c r="N40" s="150">
        <v>1</v>
      </c>
      <c r="O40" t="s">
        <v>199</v>
      </c>
      <c r="P40" s="150">
        <f>$K$2*N40</f>
        <v>12</v>
      </c>
      <c r="Q40" t="s">
        <v>199</v>
      </c>
      <c r="U40" t="s">
        <v>4305</v>
      </c>
      <c r="V40" s="150">
        <v>1</v>
      </c>
      <c r="W40" t="s">
        <v>199</v>
      </c>
      <c r="X40" s="150">
        <f>S$2*V40</f>
        <v>10</v>
      </c>
      <c r="Y40" t="s">
        <v>199</v>
      </c>
      <c r="AC40" t="s">
        <v>4305</v>
      </c>
      <c r="AD40" s="150">
        <v>1</v>
      </c>
      <c r="AE40" t="s">
        <v>199</v>
      </c>
      <c r="AF40" s="150">
        <f>AA$2*AD40</f>
        <v>32</v>
      </c>
      <c r="AG40" t="s">
        <v>199</v>
      </c>
      <c r="AK40" t="s">
        <v>4305</v>
      </c>
      <c r="AL40" s="150">
        <v>1</v>
      </c>
      <c r="AM40" t="s">
        <v>199</v>
      </c>
      <c r="AN40" s="150">
        <f>AI$2*AL40</f>
        <v>6</v>
      </c>
      <c r="AO40" t="s">
        <v>199</v>
      </c>
      <c r="AS40" t="s">
        <v>4305</v>
      </c>
      <c r="AU40" t="s">
        <v>199</v>
      </c>
      <c r="AV40" s="150">
        <f>AQ$2*AT40</f>
        <v>0</v>
      </c>
      <c r="AW40" t="s">
        <v>199</v>
      </c>
      <c r="BA40" t="s">
        <v>4305</v>
      </c>
      <c r="BC40" t="s">
        <v>199</v>
      </c>
      <c r="BD40" s="150">
        <f>AY$2*BB40</f>
        <v>0</v>
      </c>
      <c r="BE40" t="s">
        <v>199</v>
      </c>
      <c r="BI40" t="s">
        <v>4305</v>
      </c>
      <c r="BK40" t="s">
        <v>199</v>
      </c>
      <c r="BL40" s="150">
        <f>BG$2*BJ40</f>
        <v>0</v>
      </c>
      <c r="BM40" t="s">
        <v>199</v>
      </c>
      <c r="BQ40" t="s">
        <v>4305</v>
      </c>
      <c r="BS40" t="s">
        <v>199</v>
      </c>
      <c r="BT40" s="150">
        <f>BO$2*BR40</f>
        <v>0</v>
      </c>
      <c r="BU40" t="s">
        <v>199</v>
      </c>
      <c r="BY40" t="s">
        <v>4305</v>
      </c>
      <c r="CA40" t="s">
        <v>199</v>
      </c>
      <c r="CB40" s="150">
        <f>BW$2*BZ40</f>
        <v>0</v>
      </c>
      <c r="CC40" t="s">
        <v>199</v>
      </c>
      <c r="CG40" t="s">
        <v>4305</v>
      </c>
      <c r="CI40" t="s">
        <v>199</v>
      </c>
      <c r="CJ40" s="150">
        <f>CE$2*CH40</f>
        <v>0</v>
      </c>
      <c r="CK40" t="s">
        <v>199</v>
      </c>
      <c r="CO40" t="s">
        <v>4305</v>
      </c>
      <c r="CQ40" t="s">
        <v>199</v>
      </c>
      <c r="CR40" s="150">
        <f>CM$2*CP40</f>
        <v>0</v>
      </c>
      <c r="CS40" t="s">
        <v>199</v>
      </c>
      <c r="CU40" s="39">
        <f>H40+P40+X40+AF40+AV40+AN40+BD40+BL40+BT40+CB40+CJ40+CR40</f>
        <v>72</v>
      </c>
      <c r="CV40" t="s">
        <v>199</v>
      </c>
    </row>
    <row r="41" spans="4:100" x14ac:dyDescent="0.35">
      <c r="E41" t="s">
        <v>4306</v>
      </c>
      <c r="F41" s="150">
        <v>1</v>
      </c>
      <c r="G41" t="s">
        <v>199</v>
      </c>
      <c r="H41" s="150">
        <f>$C$2*F41</f>
        <v>12</v>
      </c>
      <c r="I41" t="s">
        <v>199</v>
      </c>
      <c r="M41" t="s">
        <v>4306</v>
      </c>
      <c r="N41" s="150">
        <v>1</v>
      </c>
      <c r="O41" t="s">
        <v>199</v>
      </c>
      <c r="P41" s="150">
        <f>$C$2*N41</f>
        <v>12</v>
      </c>
      <c r="Q41" t="s">
        <v>199</v>
      </c>
      <c r="U41" t="s">
        <v>4306</v>
      </c>
      <c r="V41" s="150">
        <v>1</v>
      </c>
      <c r="W41" t="s">
        <v>199</v>
      </c>
      <c r="X41" s="150">
        <f>S$2*V41</f>
        <v>10</v>
      </c>
      <c r="Y41" t="s">
        <v>199</v>
      </c>
      <c r="AC41" t="s">
        <v>4306</v>
      </c>
      <c r="AD41" s="150">
        <v>1</v>
      </c>
      <c r="AE41" t="s">
        <v>199</v>
      </c>
      <c r="AF41" s="150">
        <f>AA$2*AD41</f>
        <v>32</v>
      </c>
      <c r="AG41" t="s">
        <v>199</v>
      </c>
      <c r="AK41" t="s">
        <v>4306</v>
      </c>
      <c r="AL41" s="150">
        <v>1</v>
      </c>
      <c r="AM41" t="s">
        <v>199</v>
      </c>
      <c r="AN41" s="150">
        <f>AI$2*AL41</f>
        <v>6</v>
      </c>
      <c r="AO41" t="s">
        <v>199</v>
      </c>
      <c r="AS41" t="s">
        <v>4306</v>
      </c>
      <c r="AU41" t="s">
        <v>199</v>
      </c>
      <c r="AV41" s="150">
        <f>AQ$2*AT41</f>
        <v>0</v>
      </c>
      <c r="AW41" t="s">
        <v>199</v>
      </c>
      <c r="BA41" t="s">
        <v>4306</v>
      </c>
      <c r="BC41" t="s">
        <v>199</v>
      </c>
      <c r="BD41" s="150">
        <f>AY$2*BB41</f>
        <v>0</v>
      </c>
      <c r="BE41" t="s">
        <v>199</v>
      </c>
      <c r="BI41" t="s">
        <v>4306</v>
      </c>
      <c r="BK41" t="s">
        <v>199</v>
      </c>
      <c r="BL41" s="150">
        <f>BG$2*BJ41</f>
        <v>0</v>
      </c>
      <c r="BM41" t="s">
        <v>199</v>
      </c>
      <c r="BQ41" t="s">
        <v>4306</v>
      </c>
      <c r="BS41" t="s">
        <v>199</v>
      </c>
      <c r="BT41" s="150">
        <f>BO$2*BR41</f>
        <v>0</v>
      </c>
      <c r="BU41" t="s">
        <v>199</v>
      </c>
      <c r="BY41" t="s">
        <v>4306</v>
      </c>
      <c r="CA41" t="s">
        <v>199</v>
      </c>
      <c r="CB41" s="150">
        <f>BW$2*BZ41</f>
        <v>0</v>
      </c>
      <c r="CC41" t="s">
        <v>199</v>
      </c>
      <c r="CG41" t="s">
        <v>4306</v>
      </c>
      <c r="CI41" t="s">
        <v>199</v>
      </c>
      <c r="CJ41" s="150">
        <f>CE$2*CH41</f>
        <v>0</v>
      </c>
      <c r="CK41" t="s">
        <v>199</v>
      </c>
      <c r="CO41" t="s">
        <v>4306</v>
      </c>
      <c r="CQ41" t="s">
        <v>199</v>
      </c>
      <c r="CR41" s="150">
        <f>CM$2*CP41</f>
        <v>0</v>
      </c>
      <c r="CS41" t="s">
        <v>199</v>
      </c>
      <c r="CU41" s="39">
        <f>H41+P41+X41+AF41+AV41+AN41+BD41+BL41+BT41+CB41+CJ41+CR41</f>
        <v>72</v>
      </c>
      <c r="CV41" t="s">
        <v>199</v>
      </c>
    </row>
    <row r="42" spans="4:100" x14ac:dyDescent="0.35">
      <c r="D42" t="s">
        <v>4307</v>
      </c>
      <c r="L42" t="s">
        <v>4307</v>
      </c>
      <c r="T42" t="s">
        <v>543</v>
      </c>
      <c r="AB42" t="s">
        <v>543</v>
      </c>
      <c r="AJ42" t="s">
        <v>543</v>
      </c>
      <c r="AR42" t="s">
        <v>543</v>
      </c>
      <c r="AZ42" t="s">
        <v>543</v>
      </c>
      <c r="BH42" t="s">
        <v>543</v>
      </c>
      <c r="BP42" t="s">
        <v>543</v>
      </c>
      <c r="BX42" t="s">
        <v>543</v>
      </c>
      <c r="CF42" t="s">
        <v>543</v>
      </c>
      <c r="CN42" t="s">
        <v>543</v>
      </c>
    </row>
    <row r="43" spans="4:100" x14ac:dyDescent="0.35">
      <c r="E43" t="s">
        <v>4308</v>
      </c>
      <c r="F43" s="150">
        <v>1</v>
      </c>
      <c r="G43" t="s">
        <v>199</v>
      </c>
      <c r="H43" s="150">
        <f>$C$2*F43</f>
        <v>12</v>
      </c>
      <c r="I43" t="s">
        <v>199</v>
      </c>
      <c r="M43" t="s">
        <v>4308</v>
      </c>
      <c r="N43" s="150">
        <v>1</v>
      </c>
      <c r="O43" t="s">
        <v>199</v>
      </c>
      <c r="P43" s="150">
        <f>$K$2*N43</f>
        <v>12</v>
      </c>
      <c r="Q43" t="s">
        <v>199</v>
      </c>
      <c r="U43" t="s">
        <v>4308</v>
      </c>
      <c r="V43" s="150">
        <v>1</v>
      </c>
      <c r="W43" t="s">
        <v>199</v>
      </c>
      <c r="X43" s="150">
        <f>S$2*V43</f>
        <v>10</v>
      </c>
      <c r="Y43" t="s">
        <v>199</v>
      </c>
      <c r="AC43" t="s">
        <v>4308</v>
      </c>
      <c r="AD43" s="150">
        <v>1</v>
      </c>
      <c r="AE43" t="s">
        <v>199</v>
      </c>
      <c r="AF43" s="150">
        <f>AA$2*AD43</f>
        <v>32</v>
      </c>
      <c r="AG43" t="s">
        <v>199</v>
      </c>
      <c r="AK43" t="s">
        <v>4308</v>
      </c>
      <c r="AL43" s="150">
        <v>1</v>
      </c>
      <c r="AM43" t="s">
        <v>199</v>
      </c>
      <c r="AN43" s="150">
        <f>AI$2*AL43</f>
        <v>6</v>
      </c>
      <c r="AO43" t="s">
        <v>199</v>
      </c>
      <c r="AS43" t="s">
        <v>4308</v>
      </c>
      <c r="AU43" t="s">
        <v>199</v>
      </c>
      <c r="AV43" s="150">
        <f>AQ$2*AT43</f>
        <v>0</v>
      </c>
      <c r="AW43" t="s">
        <v>199</v>
      </c>
      <c r="BA43" t="s">
        <v>4308</v>
      </c>
      <c r="BC43" t="s">
        <v>199</v>
      </c>
      <c r="BD43" s="150">
        <f>AY$2*BB43</f>
        <v>0</v>
      </c>
      <c r="BE43" t="s">
        <v>199</v>
      </c>
      <c r="BI43" t="s">
        <v>4308</v>
      </c>
      <c r="BK43" t="s">
        <v>199</v>
      </c>
      <c r="BL43" s="150">
        <f>BG$2*BJ43</f>
        <v>0</v>
      </c>
      <c r="BM43" t="s">
        <v>199</v>
      </c>
      <c r="BQ43" t="s">
        <v>4308</v>
      </c>
      <c r="BS43" t="s">
        <v>199</v>
      </c>
      <c r="BT43" s="150">
        <f>BO$2*BR43</f>
        <v>0</v>
      </c>
      <c r="BU43" t="s">
        <v>199</v>
      </c>
      <c r="BY43" t="s">
        <v>4308</v>
      </c>
      <c r="CA43" t="s">
        <v>199</v>
      </c>
      <c r="CB43" s="150">
        <f>BW$2*BZ43</f>
        <v>0</v>
      </c>
      <c r="CC43" t="s">
        <v>199</v>
      </c>
      <c r="CG43" t="s">
        <v>4308</v>
      </c>
      <c r="CI43" t="s">
        <v>199</v>
      </c>
      <c r="CJ43" s="150">
        <f>CE$2*CH43</f>
        <v>0</v>
      </c>
      <c r="CK43" t="s">
        <v>199</v>
      </c>
      <c r="CO43" t="s">
        <v>4308</v>
      </c>
      <c r="CQ43" t="s">
        <v>199</v>
      </c>
      <c r="CR43" s="150">
        <f>CM$2*CP43</f>
        <v>0</v>
      </c>
      <c r="CS43" t="s">
        <v>199</v>
      </c>
      <c r="CU43" s="39">
        <f>H43+P43+X43+AF43+AV43+AN43+BD43+BL43+BT43+CB43+CJ43+CR43</f>
        <v>72</v>
      </c>
      <c r="CV43" t="s">
        <v>199</v>
      </c>
    </row>
    <row r="44" spans="4:100" x14ac:dyDescent="0.35">
      <c r="E44" t="s">
        <v>4309</v>
      </c>
      <c r="F44" s="150">
        <v>1</v>
      </c>
      <c r="G44" t="s">
        <v>199</v>
      </c>
      <c r="H44" s="150">
        <f>$C$2*F44</f>
        <v>12</v>
      </c>
      <c r="I44" t="s">
        <v>199</v>
      </c>
      <c r="M44" t="s">
        <v>4309</v>
      </c>
      <c r="N44" s="150">
        <v>1</v>
      </c>
      <c r="O44" t="s">
        <v>199</v>
      </c>
      <c r="P44" s="150">
        <f>$C$2*N44</f>
        <v>12</v>
      </c>
      <c r="Q44" t="s">
        <v>199</v>
      </c>
      <c r="U44" t="s">
        <v>4309</v>
      </c>
      <c r="V44" s="150">
        <v>2</v>
      </c>
      <c r="W44" t="s">
        <v>199</v>
      </c>
      <c r="X44" s="150">
        <f>S$2*V44</f>
        <v>20</v>
      </c>
      <c r="Y44" t="s">
        <v>199</v>
      </c>
      <c r="AC44" t="s">
        <v>4309</v>
      </c>
      <c r="AD44" s="150">
        <v>1</v>
      </c>
      <c r="AE44" t="s">
        <v>199</v>
      </c>
      <c r="AF44" s="150">
        <f>AA$2*AD44</f>
        <v>32</v>
      </c>
      <c r="AG44" t="s">
        <v>199</v>
      </c>
      <c r="AK44" t="s">
        <v>4309</v>
      </c>
      <c r="AL44" s="150">
        <v>1</v>
      </c>
      <c r="AM44" t="s">
        <v>199</v>
      </c>
      <c r="AN44" s="150">
        <f>AI$2*AL44</f>
        <v>6</v>
      </c>
      <c r="AO44" t="s">
        <v>199</v>
      </c>
      <c r="AS44" t="s">
        <v>4309</v>
      </c>
      <c r="AT44" s="150">
        <v>1</v>
      </c>
      <c r="AU44" t="s">
        <v>199</v>
      </c>
      <c r="AV44" s="150">
        <f>AQ$2*AT44</f>
        <v>4</v>
      </c>
      <c r="AW44" t="s">
        <v>199</v>
      </c>
      <c r="BA44" t="s">
        <v>4309</v>
      </c>
      <c r="BB44" s="150">
        <v>1</v>
      </c>
      <c r="BC44" t="s">
        <v>199</v>
      </c>
      <c r="BD44" s="150">
        <f>AY$2*BB44</f>
        <v>2</v>
      </c>
      <c r="BE44" t="s">
        <v>199</v>
      </c>
      <c r="BI44" t="s">
        <v>4309</v>
      </c>
      <c r="BJ44" s="150">
        <v>1</v>
      </c>
      <c r="BK44" t="s">
        <v>199</v>
      </c>
      <c r="BL44" s="150">
        <f>BG$2*BJ44</f>
        <v>2</v>
      </c>
      <c r="BM44" t="s">
        <v>199</v>
      </c>
      <c r="BQ44" t="s">
        <v>4309</v>
      </c>
      <c r="BR44" s="150">
        <v>1</v>
      </c>
      <c r="BS44" t="s">
        <v>199</v>
      </c>
      <c r="BT44" s="150">
        <f>BO$2*BR44</f>
        <v>12</v>
      </c>
      <c r="BU44" t="s">
        <v>199</v>
      </c>
      <c r="BY44" t="s">
        <v>4309</v>
      </c>
      <c r="BZ44" s="150">
        <v>1</v>
      </c>
      <c r="CA44" t="s">
        <v>199</v>
      </c>
      <c r="CB44" s="150">
        <f>BW$2*BZ44</f>
        <v>4</v>
      </c>
      <c r="CC44" t="s">
        <v>199</v>
      </c>
      <c r="CG44" t="s">
        <v>4309</v>
      </c>
      <c r="CH44" s="150">
        <v>1</v>
      </c>
      <c r="CI44" t="s">
        <v>199</v>
      </c>
      <c r="CJ44" s="150">
        <f>CE$2*CH44</f>
        <v>2</v>
      </c>
      <c r="CK44" t="s">
        <v>199</v>
      </c>
      <c r="CO44" t="s">
        <v>4309</v>
      </c>
      <c r="CP44" s="150">
        <v>1</v>
      </c>
      <c r="CQ44" t="s">
        <v>199</v>
      </c>
      <c r="CR44" s="150">
        <f>CM$2*CP44</f>
        <v>2</v>
      </c>
      <c r="CS44" t="s">
        <v>199</v>
      </c>
      <c r="CU44" s="39">
        <f>H44+P44+X44+AF44+AV44+AN44+BD44+BL44+BT44+CB44+CJ44+CR44</f>
        <v>110</v>
      </c>
      <c r="CV44" t="s">
        <v>199</v>
      </c>
    </row>
    <row r="45" spans="4:100" x14ac:dyDescent="0.35">
      <c r="E45" t="s">
        <v>4310</v>
      </c>
      <c r="F45" s="150">
        <v>1</v>
      </c>
      <c r="G45" t="s">
        <v>199</v>
      </c>
      <c r="H45" s="150">
        <f>$C$2*F45</f>
        <v>12</v>
      </c>
      <c r="I45" t="s">
        <v>199</v>
      </c>
      <c r="M45" t="s">
        <v>4310</v>
      </c>
      <c r="N45" s="150">
        <v>1</v>
      </c>
      <c r="O45" t="s">
        <v>199</v>
      </c>
      <c r="P45" s="150">
        <f>$C$2*N45</f>
        <v>12</v>
      </c>
      <c r="Q45" t="s">
        <v>199</v>
      </c>
      <c r="U45" t="s">
        <v>4310</v>
      </c>
      <c r="V45" s="150">
        <v>2</v>
      </c>
      <c r="W45" t="s">
        <v>199</v>
      </c>
      <c r="X45" s="150">
        <f>S$2*V45</f>
        <v>20</v>
      </c>
      <c r="Y45" t="s">
        <v>199</v>
      </c>
      <c r="AC45" t="s">
        <v>4310</v>
      </c>
      <c r="AD45" s="150">
        <v>1</v>
      </c>
      <c r="AE45" t="s">
        <v>199</v>
      </c>
      <c r="AF45" s="150">
        <f>AA$2*AD45</f>
        <v>32</v>
      </c>
      <c r="AG45" t="s">
        <v>199</v>
      </c>
      <c r="AK45" t="s">
        <v>4310</v>
      </c>
      <c r="AL45" s="150">
        <v>1</v>
      </c>
      <c r="AM45" t="s">
        <v>199</v>
      </c>
      <c r="AN45" s="150">
        <f>AI$2*AL45</f>
        <v>6</v>
      </c>
      <c r="AO45" t="s">
        <v>199</v>
      </c>
      <c r="AS45" t="s">
        <v>4310</v>
      </c>
      <c r="AT45" s="150">
        <v>1</v>
      </c>
      <c r="AU45" t="s">
        <v>199</v>
      </c>
      <c r="AV45" s="150">
        <f>AQ$2*AT45</f>
        <v>4</v>
      </c>
      <c r="AW45" t="s">
        <v>199</v>
      </c>
      <c r="BA45" t="s">
        <v>4310</v>
      </c>
      <c r="BB45" s="150">
        <v>1</v>
      </c>
      <c r="BC45" t="s">
        <v>199</v>
      </c>
      <c r="BD45" s="150">
        <f>AY$2*BB45</f>
        <v>2</v>
      </c>
      <c r="BE45" t="s">
        <v>199</v>
      </c>
      <c r="BI45" t="s">
        <v>4310</v>
      </c>
      <c r="BJ45" s="150">
        <v>1</v>
      </c>
      <c r="BK45" t="s">
        <v>199</v>
      </c>
      <c r="BL45" s="150">
        <f>BG$2*BJ45</f>
        <v>2</v>
      </c>
      <c r="BM45" t="s">
        <v>199</v>
      </c>
      <c r="BQ45" t="s">
        <v>4310</v>
      </c>
      <c r="BR45" s="150">
        <v>1</v>
      </c>
      <c r="BS45" t="s">
        <v>199</v>
      </c>
      <c r="BT45" s="150">
        <f>BO$2*BR45</f>
        <v>12</v>
      </c>
      <c r="BU45" t="s">
        <v>199</v>
      </c>
      <c r="BY45" t="s">
        <v>4310</v>
      </c>
      <c r="BZ45" s="150">
        <v>1</v>
      </c>
      <c r="CA45" t="s">
        <v>199</v>
      </c>
      <c r="CB45" s="150">
        <f>BW$2*BZ45</f>
        <v>4</v>
      </c>
      <c r="CC45" t="s">
        <v>199</v>
      </c>
      <c r="CG45" t="s">
        <v>4310</v>
      </c>
      <c r="CH45" s="150">
        <v>1</v>
      </c>
      <c r="CI45" t="s">
        <v>199</v>
      </c>
      <c r="CJ45" s="150">
        <f>CE$2*CH45</f>
        <v>2</v>
      </c>
      <c r="CK45" t="s">
        <v>199</v>
      </c>
      <c r="CO45" t="s">
        <v>4310</v>
      </c>
      <c r="CP45" s="150">
        <v>1</v>
      </c>
      <c r="CQ45" t="s">
        <v>199</v>
      </c>
      <c r="CR45" s="150">
        <f>CM$2*CP45</f>
        <v>2</v>
      </c>
      <c r="CS45" t="s">
        <v>199</v>
      </c>
      <c r="CU45" s="39">
        <f>H45+P45+X45+AF45+AV45+AN45+BD45+BL45+BT45+CB45+CJ45+CR45</f>
        <v>110</v>
      </c>
      <c r="CV45" t="s">
        <v>199</v>
      </c>
    </row>
    <row r="46" spans="4:100" x14ac:dyDescent="0.35">
      <c r="E46" t="s">
        <v>4311</v>
      </c>
      <c r="F46" s="150">
        <v>1</v>
      </c>
      <c r="G46" t="s">
        <v>199</v>
      </c>
      <c r="H46" s="150">
        <f>$C$2*F46</f>
        <v>12</v>
      </c>
      <c r="I46" t="s">
        <v>199</v>
      </c>
      <c r="M46" t="s">
        <v>4311</v>
      </c>
      <c r="N46" s="150">
        <v>1</v>
      </c>
      <c r="O46" t="s">
        <v>199</v>
      </c>
      <c r="P46" s="150">
        <f>$C$2*N46</f>
        <v>12</v>
      </c>
      <c r="Q46" t="s">
        <v>199</v>
      </c>
      <c r="U46" t="s">
        <v>4311</v>
      </c>
      <c r="V46" s="150">
        <v>1</v>
      </c>
      <c r="W46" t="s">
        <v>199</v>
      </c>
      <c r="X46" s="150">
        <f>S$2*V46</f>
        <v>10</v>
      </c>
      <c r="Y46" t="s">
        <v>199</v>
      </c>
      <c r="AC46" t="s">
        <v>4311</v>
      </c>
      <c r="AD46" s="150">
        <v>1</v>
      </c>
      <c r="AE46" t="s">
        <v>199</v>
      </c>
      <c r="AF46" s="150">
        <f>AA$2*AD46</f>
        <v>32</v>
      </c>
      <c r="AG46" t="s">
        <v>199</v>
      </c>
      <c r="AK46" t="s">
        <v>4311</v>
      </c>
      <c r="AL46" s="150">
        <v>1</v>
      </c>
      <c r="AM46" t="s">
        <v>199</v>
      </c>
      <c r="AN46" s="150">
        <f>AI$2*AL46</f>
        <v>6</v>
      </c>
      <c r="AO46" t="s">
        <v>199</v>
      </c>
      <c r="AS46" t="s">
        <v>4311</v>
      </c>
      <c r="AT46" s="150">
        <v>1</v>
      </c>
      <c r="AU46" t="s">
        <v>199</v>
      </c>
      <c r="AV46" s="150">
        <f>AQ$2*AT46</f>
        <v>4</v>
      </c>
      <c r="AW46" t="s">
        <v>199</v>
      </c>
      <c r="BA46" t="s">
        <v>4311</v>
      </c>
      <c r="BB46" s="150">
        <v>1</v>
      </c>
      <c r="BC46" t="s">
        <v>199</v>
      </c>
      <c r="BD46" s="150">
        <f>AY$2*BB46</f>
        <v>2</v>
      </c>
      <c r="BE46" t="s">
        <v>199</v>
      </c>
      <c r="BI46" t="s">
        <v>4311</v>
      </c>
      <c r="BJ46" s="150">
        <v>1</v>
      </c>
      <c r="BK46" t="s">
        <v>199</v>
      </c>
      <c r="BL46" s="150">
        <f>BG$2*BJ46</f>
        <v>2</v>
      </c>
      <c r="BM46" t="s">
        <v>199</v>
      </c>
      <c r="BQ46" t="s">
        <v>4311</v>
      </c>
      <c r="BR46" s="150">
        <v>1</v>
      </c>
      <c r="BS46" t="s">
        <v>199</v>
      </c>
      <c r="BT46" s="150">
        <f>BO$2*BR46</f>
        <v>12</v>
      </c>
      <c r="BU46" t="s">
        <v>199</v>
      </c>
      <c r="BY46" t="s">
        <v>4311</v>
      </c>
      <c r="BZ46" s="150">
        <v>1</v>
      </c>
      <c r="CA46" t="s">
        <v>199</v>
      </c>
      <c r="CB46" s="150">
        <f>BW$2*BZ46</f>
        <v>4</v>
      </c>
      <c r="CC46" t="s">
        <v>199</v>
      </c>
      <c r="CG46" t="s">
        <v>4311</v>
      </c>
      <c r="CH46" s="150">
        <v>1</v>
      </c>
      <c r="CI46" t="s">
        <v>199</v>
      </c>
      <c r="CJ46" s="150">
        <f>CE$2*CH46</f>
        <v>2</v>
      </c>
      <c r="CK46" t="s">
        <v>199</v>
      </c>
      <c r="CO46" t="s">
        <v>4311</v>
      </c>
      <c r="CP46" s="150">
        <v>1</v>
      </c>
      <c r="CQ46" t="s">
        <v>199</v>
      </c>
      <c r="CR46" s="150">
        <f>CM$2*CP46</f>
        <v>2</v>
      </c>
      <c r="CS46" t="s">
        <v>199</v>
      </c>
      <c r="CU46" s="39">
        <f>H46+P46+X46+AF46+AV46+AN46+BD46+BL46+BT46+CB46+CJ46+CR46</f>
        <v>100</v>
      </c>
      <c r="CV46" t="s">
        <v>199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c24ece-a397-4fbe-8397-9515c3fb90e0" xsi:nil="true"/>
    <lcf76f155ced4ddcb4097134ff3c332f xmlns="1379246d-1c6f-43a1-afd1-7f5aabd0f69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D19D97369A3144D8B039511394F613D" ma:contentTypeVersion="18" ma:contentTypeDescription="Create a new document." ma:contentTypeScope="" ma:versionID="92bf652a2c16ea2b8533734198e8f4a5">
  <xsd:schema xmlns:xsd="http://www.w3.org/2001/XMLSchema" xmlns:xs="http://www.w3.org/2001/XMLSchema" xmlns:p="http://schemas.microsoft.com/office/2006/metadata/properties" xmlns:ns2="1379246d-1c6f-43a1-afd1-7f5aabd0f698" xmlns:ns3="07c24ece-a397-4fbe-8397-9515c3fb90e0" targetNamespace="http://schemas.microsoft.com/office/2006/metadata/properties" ma:root="true" ma:fieldsID="4e149c992548eed9589fe857f66876bb" ns2:_="" ns3:_="">
    <xsd:import namespace="1379246d-1c6f-43a1-afd1-7f5aabd0f698"/>
    <xsd:import namespace="07c24ece-a397-4fbe-8397-9515c3fb90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79246d-1c6f-43a1-afd1-7f5aabd0f6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c24ece-a397-4fbe-8397-9515c3fb90e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26c90e0-3b89-4434-bd5a-bc70b67ed6cb}" ma:internalName="TaxCatchAll" ma:readOnly="false" ma:showField="CatchAllData" ma:web="07c24ece-a397-4fbe-8397-9515c3fb90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E06E81-5B01-4E25-82B9-6438D27D27C1}">
  <ds:schemaRefs>
    <ds:schemaRef ds:uri="http://schemas.microsoft.com/office/2006/metadata/properties"/>
    <ds:schemaRef ds:uri="http://schemas.microsoft.com/office/infopath/2007/PartnerControls"/>
    <ds:schemaRef ds:uri="07c24ece-a397-4fbe-8397-9515c3fb90e0"/>
    <ds:schemaRef ds:uri="1379246d-1c6f-43a1-afd1-7f5aabd0f698"/>
  </ds:schemaRefs>
</ds:datastoreItem>
</file>

<file path=customXml/itemProps2.xml><?xml version="1.0" encoding="utf-8"?>
<ds:datastoreItem xmlns:ds="http://schemas.openxmlformats.org/officeDocument/2006/customXml" ds:itemID="{C43A04AA-D2C2-4F86-9CC9-E8E9068293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79246d-1c6f-43a1-afd1-7f5aabd0f698"/>
    <ds:schemaRef ds:uri="07c24ece-a397-4fbe-8397-9515c3fb90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885BFE-622C-4E67-8E23-7DCBF35BD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117</vt:i4>
      </vt:variant>
      <vt:variant>
        <vt:lpstr>Named Ranges</vt:lpstr>
      </vt:variant>
      <vt:variant>
        <vt:i4>25</vt:i4>
      </vt:variant>
    </vt:vector>
  </HeadingPairs>
  <TitlesOfParts>
    <vt:vector size="142" baseType="lpstr">
      <vt:lpstr>AREA CALC's</vt:lpstr>
      <vt:lpstr>Project Difference</vt:lpstr>
      <vt:lpstr>Bond Calculator</vt:lpstr>
      <vt:lpstr>Allowances</vt:lpstr>
      <vt:lpstr>Alternates</vt:lpstr>
      <vt:lpstr>GCS&amp;GRS HB</vt:lpstr>
      <vt:lpstr>GCs&amp;GRs-1</vt:lpstr>
      <vt:lpstr>GCs &amp; GRs</vt:lpstr>
      <vt:lpstr>Labor Rates Calculator</vt:lpstr>
      <vt:lpstr>Cost Summary</vt:lpstr>
      <vt:lpstr>IDS</vt:lpstr>
      <vt:lpstr>01A Surveying</vt:lpstr>
      <vt:lpstr>01B Material Testing</vt:lpstr>
      <vt:lpstr>01C Final Cleaning</vt:lpstr>
      <vt:lpstr>02A Demolition</vt:lpstr>
      <vt:lpstr>02B Abatement</vt:lpstr>
      <vt:lpstr>03A Concrete</vt:lpstr>
      <vt:lpstr>03B Precast Hollow Core</vt:lpstr>
      <vt:lpstr>03C Concrete Tilt Up</vt:lpstr>
      <vt:lpstr>03D Structural Precast</vt:lpstr>
      <vt:lpstr>03E Cranes and Hoisting</vt:lpstr>
      <vt:lpstr>03F Concrete Restoration</vt:lpstr>
      <vt:lpstr>04A Masonry</vt:lpstr>
      <vt:lpstr>03C Architectural Precast</vt:lpstr>
      <vt:lpstr>04B Stone Veneer</vt:lpstr>
      <vt:lpstr>05A Structural Steel</vt:lpstr>
      <vt:lpstr>05B Metal Trusses</vt:lpstr>
      <vt:lpstr>05C Misc. Metals</vt:lpstr>
      <vt:lpstr>Sheet1</vt:lpstr>
      <vt:lpstr>05D Handrailings &amp; Railings</vt:lpstr>
      <vt:lpstr>05E Glass Railings</vt:lpstr>
      <vt:lpstr>Rafters &amp; Brackets Clubhouse</vt:lpstr>
      <vt:lpstr>Rafter Tails &amp; Brackets</vt:lpstr>
      <vt:lpstr>Shutters Analysis</vt:lpstr>
      <vt:lpstr>05F Brackets &amp; Rafter Tails</vt:lpstr>
      <vt:lpstr>05G Balcony Columns</vt:lpstr>
      <vt:lpstr>06A Rough Carpentry</vt:lpstr>
      <vt:lpstr>06C Wood Trusses</vt:lpstr>
      <vt:lpstr>06D Interior Finish Carpentry</vt:lpstr>
      <vt:lpstr>06E Heavy Timber Construction</vt:lpstr>
      <vt:lpstr>06F Millwork</vt:lpstr>
      <vt:lpstr>06G Exterior Finish Carpent</vt:lpstr>
      <vt:lpstr>07B Building Insulation</vt:lpstr>
      <vt:lpstr>07C Fireproofing&amp;Firestopping</vt:lpstr>
      <vt:lpstr>07D Roofing</vt:lpstr>
      <vt:lpstr>07E Caulking &amp; Waterproofing</vt:lpstr>
      <vt:lpstr>07F Siding</vt:lpstr>
      <vt:lpstr>07H Panelized Exterior Skin</vt:lpstr>
      <vt:lpstr>08A Doors, Frames, &amp; Hardware</vt:lpstr>
      <vt:lpstr>08 30 Retractable Screens</vt:lpstr>
      <vt:lpstr>08B Overhead Coiling Doors</vt:lpstr>
      <vt:lpstr>08C Glass and Glazing</vt:lpstr>
      <vt:lpstr>08D Skylights</vt:lpstr>
      <vt:lpstr>08E Mirrors</vt:lpstr>
      <vt:lpstr>09A Stucco</vt:lpstr>
      <vt:lpstr>09C Acoustical Ceilings</vt:lpstr>
      <vt:lpstr>09D Acoustical Treatment</vt:lpstr>
      <vt:lpstr>09B Drywall&amp;Framing</vt:lpstr>
      <vt:lpstr>09F Carpet &amp; Resilient</vt:lpstr>
      <vt:lpstr>09G Wood Flooring</vt:lpstr>
      <vt:lpstr>09H Resinuous &amp; Polished C</vt:lpstr>
      <vt:lpstr>09E Flooring</vt:lpstr>
      <vt:lpstr>09I Painting</vt:lpstr>
      <vt:lpstr>09J Venetian Plaster</vt:lpstr>
      <vt:lpstr>10A Signage</vt:lpstr>
      <vt:lpstr>10B Operable Partitions</vt:lpstr>
      <vt:lpstr>10C Toilet Partitions &amp; Bath</vt:lpstr>
      <vt:lpstr>10 22 Operable Partitions</vt:lpstr>
      <vt:lpstr>10D Shower Enclosures</vt:lpstr>
      <vt:lpstr>10 30 Fireplace</vt:lpstr>
      <vt:lpstr>10E Wall &amp; Corner Guards</vt:lpstr>
      <vt:lpstr>10F Lockers</vt:lpstr>
      <vt:lpstr>10G Mesh Sto Lockers</vt:lpstr>
      <vt:lpstr>10H Fireplaces</vt:lpstr>
      <vt:lpstr>10I Fire Extinguishers&amp;Cabinet</vt:lpstr>
      <vt:lpstr>10J Postal Specialties</vt:lpstr>
      <vt:lpstr>10K Metal Shelving</vt:lpstr>
      <vt:lpstr>11 11 Laundry Equip.</vt:lpstr>
      <vt:lpstr>11A Loading Dock Equip</vt:lpstr>
      <vt:lpstr>11B Food Service Equip</vt:lpstr>
      <vt:lpstr>11C Appliances</vt:lpstr>
      <vt:lpstr>12 30 Wall Protection</vt:lpstr>
      <vt:lpstr>11D Athletic Equipment&amp;Surf</vt:lpstr>
      <vt:lpstr>12A Window Treatment</vt:lpstr>
      <vt:lpstr>12B Residential Cabinets &amp; Tops</vt:lpstr>
      <vt:lpstr>13B Swimming Pools</vt:lpstr>
      <vt:lpstr>13C Awnings,Canopies,Shutters</vt:lpstr>
      <vt:lpstr>13D Saunas</vt:lpstr>
      <vt:lpstr>13E Playground Equip</vt:lpstr>
      <vt:lpstr>13F Shade Structures</vt:lpstr>
      <vt:lpstr>14A Elevators</vt:lpstr>
      <vt:lpstr>14B Chutes&amp;Collectors</vt:lpstr>
      <vt:lpstr>14C Elevator Interior&amp;Modern</vt:lpstr>
      <vt:lpstr>14D Wheelchair Lifts</vt:lpstr>
      <vt:lpstr>14E Vehicle Lifts</vt:lpstr>
      <vt:lpstr>14 80 Scaffolding</vt:lpstr>
      <vt:lpstr>21A Fire Sprinkler</vt:lpstr>
      <vt:lpstr>22A Plumbing </vt:lpstr>
      <vt:lpstr>23A HVAC</vt:lpstr>
      <vt:lpstr>26A Electrical</vt:lpstr>
      <vt:lpstr>27A Fire Alarm</vt:lpstr>
      <vt:lpstr>27B BDA</vt:lpstr>
      <vt:lpstr>28A Low Voltage</vt:lpstr>
      <vt:lpstr>31A Sitework</vt:lpstr>
      <vt:lpstr>31B Dewatering</vt:lpstr>
      <vt:lpstr>31D Soil Improvements</vt:lpstr>
      <vt:lpstr>31F Sheet Piling</vt:lpstr>
      <vt:lpstr>31G Auger Cast Piles</vt:lpstr>
      <vt:lpstr>32A Pavers</vt:lpstr>
      <vt:lpstr>32B Site Furnishings</vt:lpstr>
      <vt:lpstr>32C Landscape and Irrigation</vt:lpstr>
      <vt:lpstr>32D Fencing</vt:lpstr>
      <vt:lpstr>32E Synthetic Fields</vt:lpstr>
      <vt:lpstr>35A Marine Work</vt:lpstr>
      <vt:lpstr>41 22 Crane and Hoist</vt:lpstr>
      <vt:lpstr>SiteWorkPrices</vt:lpstr>
      <vt:lpstr>UnitPrices</vt:lpstr>
      <vt:lpstr>'Bond Calculator'!FCP</vt:lpstr>
      <vt:lpstr>'03A Concrete'!Print_Area</vt:lpstr>
      <vt:lpstr>'05A Structural Steel'!Print_Area</vt:lpstr>
      <vt:lpstr>'06F Millwork'!Print_Area</vt:lpstr>
      <vt:lpstr>'07D Roofing'!Print_Area</vt:lpstr>
      <vt:lpstr>'07E Caulking &amp; Waterproofing'!Print_Area</vt:lpstr>
      <vt:lpstr>'08C Glass and Glazing'!Print_Area</vt:lpstr>
      <vt:lpstr>'09B Drywall&amp;Framing'!Print_Area</vt:lpstr>
      <vt:lpstr>'12B Residential Cabinets &amp; Tops'!Print_Area</vt:lpstr>
      <vt:lpstr>'13B Swimming Pools'!Print_Area</vt:lpstr>
      <vt:lpstr>'13C Awnings,Canopies,Shutters'!Print_Area</vt:lpstr>
      <vt:lpstr>'13D Saunas'!Print_Area</vt:lpstr>
      <vt:lpstr>'13E Playground Equip'!Print_Area</vt:lpstr>
      <vt:lpstr>'13F Shade Structures'!Print_Area</vt:lpstr>
      <vt:lpstr>'23A HVAC'!Print_Area</vt:lpstr>
      <vt:lpstr>'26A Electrical'!Print_Area</vt:lpstr>
      <vt:lpstr>'28A Low Voltage'!Print_Area</vt:lpstr>
      <vt:lpstr>'31A Sitework'!Print_Area</vt:lpstr>
      <vt:lpstr>'31F Sheet Piling'!Print_Area</vt:lpstr>
      <vt:lpstr>'31G Auger Cast Piles'!Print_Area</vt:lpstr>
      <vt:lpstr>'32E Synthetic Fields'!Print_Area</vt:lpstr>
      <vt:lpstr>Allowances!Print_Area</vt:lpstr>
      <vt:lpstr>'Cost Summary'!Print_Area</vt:lpstr>
      <vt:lpstr>'GCs &amp; GRs'!Print_Area</vt:lpstr>
      <vt:lpstr>'Cost 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Safwat Tawedros</dc:creator>
  <cp:keywords/>
  <dc:description/>
  <cp:lastModifiedBy>Andrew Covel</cp:lastModifiedBy>
  <cp:revision/>
  <dcterms:created xsi:type="dcterms:W3CDTF">2015-06-05T18:17:20Z</dcterms:created>
  <dcterms:modified xsi:type="dcterms:W3CDTF">2026-05-01T21:03:47Z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0x010100ED19D97369A3144D8B039511394F613D</vt:lpwstr>
  </property>
  <property fmtid="{D5CDD505-2E9C-101B-9397-08002B2CF9AE}" pid="3" name="MediaServiceImageTags">
    <vt:lpwstr/>
  </property>
</Properties>
</file>